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4.xml" ContentType="application/vnd.openxmlformats-officedocument.spreadsheetml.worksheet+xml"/>
  <Override PartName="/xl/drawings/drawing20.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21.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1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7.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4.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26.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4.xml" ContentType="application/vnd.openxmlformats-officedocument.drawing+xml"/>
  <Override PartName="/xl/worksheets/sheet1.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29.xml" ContentType="application/vnd.openxmlformats-officedocument.spreadsheetml.worksheet+xml"/>
  <Override PartName="/xl/worksheets/sheet28.xml" ContentType="application/vnd.openxmlformats-officedocument.spreadsheetml.worksheet+xml"/>
  <Override PartName="/xl/drawings/drawing3.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6.xml" ContentType="application/vnd.openxmlformats-officedocument.spreadsheetml.worksheet+xml"/>
  <Override PartName="/xl/worksheets/sheet27.xml" ContentType="application/vnd.openxmlformats-officedocument.spreadsheetml.worksheet+xml"/>
  <Override PartName="/xl/worksheets/sheet24.xml" ContentType="application/vnd.openxmlformats-officedocument.spreadsheetml.worksheet+xml"/>
  <Override PartName="/xl/worksheets/sheet11.xml" ContentType="application/vnd.openxmlformats-officedocument.spreadsheetml.worksheet+xml"/>
  <Override PartName="/xl/worksheets/sheet25.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worksheets/sheet12.xml" ContentType="application/vnd.openxmlformats-officedocument.spreadsheetml.worksheet+xml"/>
  <Override PartName="/xl/worksheets/sheet10.xml" ContentType="application/vnd.openxmlformats-officedocument.spreadsheetml.worksheet+xml"/>
  <Override PartName="/xl/worksheets/sheet14.xml" ContentType="application/vnd.openxmlformats-officedocument.spreadsheetml.worksheet+xml"/>
  <Override PartName="/xl/worksheets/sheet20.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19.xml" ContentType="application/vnd.openxmlformats-officedocument.spreadsheetml.worksheet+xml"/>
  <Override PartName="/xl/worksheets/sheet21.xml" ContentType="application/vnd.openxmlformats-officedocument.spreadsheetml.worksheet+xml"/>
  <Override PartName="/xl/worksheets/sheet18.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7.xml" ContentType="application/vnd.openxmlformats-officedocument.spreadsheetml.worksheet+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56.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08.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9.xml" ContentType="application/vnd.ms-excel.controlproperties+xml"/>
  <Override PartName="/xl/ctrlProps/ctrlProp703.xml" ContentType="application/vnd.ms-excel.controlproperties+xml"/>
  <Override PartName="/xl/ctrlProps/ctrlProp717.xml" ContentType="application/vnd.ms-excel.controlproperties+xml"/>
  <Override PartName="/xl/ctrlProps/ctrlProp22.xml" ContentType="application/vnd.ms-excel.controlproperties+xml"/>
  <Override PartName="/xl/ctrlProps/ctrlProp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omments17.xml" ContentType="application/vnd.openxmlformats-officedocument.spreadsheetml.comments+xml"/>
  <Override PartName="/xl/ctrlProps/ctrlProp716.xml" ContentType="application/vnd.ms-excel.controlproperties+xml"/>
  <Override PartName="/xl/ctrlProps/ctrlProp27.xml" ContentType="application/vnd.ms-excel.controlproperties+xml"/>
  <Override PartName="/xl/ctrlProps/ctrlProp701.xml" ContentType="application/vnd.ms-excel.controlproperties+xml"/>
  <Override PartName="/xl/ctrlProps/ctrlProp28.xml" ContentType="application/vnd.ms-excel.controlproperties+xml"/>
  <Override PartName="/xl/ctrlProps/ctrlProp26.xml" ContentType="application/vnd.ms-excel.controlproperties+xml"/>
  <Override PartName="/xl/ctrlProps/ctrlProp25.xml" ContentType="application/vnd.ms-excel.controlproperties+xml"/>
  <Override PartName="/xl/ctrlProps/ctrlProp683.xml" ContentType="application/vnd.ms-excel.controlproperties+xml"/>
  <Override PartName="/xl/ctrlProps/ctrlProp684.xml" ContentType="application/vnd.ms-excel.controlproperties+xml"/>
  <Override PartName="/xl/comments16.xml" ContentType="application/vnd.openxmlformats-officedocument.spreadsheetml.comments+xml"/>
  <Override PartName="/xl/ctrlProps/ctrlProp682.xml" ContentType="application/vnd.ms-excel.controlproperties+xml"/>
  <Override PartName="/xl/ctrlProps/ctrlProp30.xml" ContentType="application/vnd.ms-excel.controlproperties+xml"/>
  <Override PartName="/xl/ctrlProps/ctrlProp2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695.xml" ContentType="application/vnd.ms-excel.controlproperties+xml"/>
  <Override PartName="/xl/ctrlProps/ctrlProp694.xml" ContentType="application/vnd.ms-excel.controlproperties+xml"/>
  <Override PartName="/xl/ctrlProps/ctrlProp693.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702.xml" ContentType="application/vnd.ms-excel.controlproperties+xml"/>
  <Override PartName="/xl/ctrlProps/ctrlProp19.xml" ContentType="application/vnd.ms-excel.controlproperties+xml"/>
  <Override PartName="/xl/ctrlProps/ctrlProp726.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59.xml" ContentType="application/vnd.ms-excel.controlproperties+xml"/>
  <Override PartName="/xl/ctrlProps/ctrlProp758.xml" ContentType="application/vnd.ms-excel.controlproperties+xml"/>
  <Override PartName="/xl/ctrlProps/ctrlProp757.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16.xml" ContentType="application/vnd.ms-excel.controlproperties+xml"/>
  <Override PartName="/xl/ctrlProps/ctrlProp15.xml" ContentType="application/vnd.ms-excel.controlproperties+xml"/>
  <Override PartName="/xl/ctrlProps/ctrlProp774.xml" ContentType="application/vnd.ms-excel.controlproperties+xml"/>
  <Override PartName="/xl/ctrlProps/ctrlProp775.xml" ContentType="application/vnd.ms-excel.controlproperties+xml"/>
  <Override PartName="/xl/comments19.xml" ContentType="application/vnd.openxmlformats-officedocument.spreadsheetml.comments+xml"/>
  <Override PartName="/xl/ctrlProps/ctrlProp773.xml" ContentType="application/vnd.ms-excel.controlproperties+xml"/>
  <Override PartName="/xl/ctrlProps/ctrlProp772.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51.xml" ContentType="application/vnd.ms-excel.controlproperties+xml"/>
  <Override PartName="/xl/ctrlProps/ctrlProp750.xml" ContentType="application/vnd.ms-excel.controlproperties+xml"/>
  <Override PartName="/xl/ctrlProps/ctrlProp749.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34.xml" ContentType="application/vnd.ms-excel.controlproperties+xml"/>
  <Override PartName="/xl/ctrlProps/ctrlProp733.xml" ContentType="application/vnd.ms-excel.controlproperties+xml"/>
  <Override PartName="/xl/ctrlProps/ctrlProp732.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17.xml" ContentType="application/vnd.ms-excel.controlproperties+xml"/>
  <Override PartName="/xl/ctrlProps/ctrlProp18.xml" ContentType="application/vnd.ms-excel.controlproperties+xml"/>
  <Override PartName="/xl/comments15.xml" ContentType="application/vnd.openxmlformats-officedocument.spreadsheetml.comments+xml"/>
  <Override PartName="/xl/ctrlProps/ctrlProp743.xml" ContentType="application/vnd.ms-excel.controlproperties+xml"/>
  <Override PartName="/xl/comments18.xml" ContentType="application/vnd.openxmlformats-officedocument.spreadsheetml.comments+xml"/>
  <Override PartName="/xl/ctrlProps/ctrlProp20.xml" ContentType="application/vnd.ms-excel.controlproperties+xml"/>
  <Override PartName="/xl/ctrlProps/ctrlProp725.xml" ContentType="application/vnd.ms-excel.controlproperties+xml"/>
  <Override PartName="/xl/comments13.xml" ContentType="application/vnd.openxmlformats-officedocument.spreadsheetml.comments+xml"/>
  <Override PartName="/xl/ctrlProps/ctrlProp678.xml" ContentType="application/vnd.ms-excel.controlproperties+xml"/>
  <Override PartName="/xl/ctrlProps/ctrlProp618.xml" ContentType="application/vnd.ms-excel.controlproperties+xml"/>
  <Override PartName="/xl/comments9.xml" ContentType="application/vnd.openxmlformats-officedocument.spreadsheetml.comments+xml"/>
  <Override PartName="/xl/ctrlProps/ctrlProp42.xml" ContentType="application/vnd.ms-excel.controlproperties+xml"/>
  <Override PartName="/xl/ctrlProps/ctrlProp41.xml" ContentType="application/vnd.ms-excel.controlproperties+xml"/>
  <Override PartName="/xl/ctrlProps/ctrlProp617.xml" ContentType="application/vnd.ms-excel.controlproperties+xml"/>
  <Override PartName="/xl/ctrlProps/ctrlProp616.xml" ContentType="application/vnd.ms-excel.controlproperties+xml"/>
  <Override PartName="/xl/ctrlProps/ctrlProp615.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29.xml" ContentType="application/vnd.ms-excel.controlproperties+xml"/>
  <Override PartName="/xl/ctrlProps/ctrlProp628.xml" ContentType="application/vnd.ms-excel.controlproperties+xml"/>
  <Override PartName="/xl/ctrlProps/ctrlProp627.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09.xml" ContentType="application/vnd.ms-excel.controlproperties+xml"/>
  <Override PartName="/xl/ctrlProps/ctrlProp608.xml" ContentType="application/vnd.ms-excel.controlproperties+xml"/>
  <Override PartName="/xl/ctrlProps/ctrlProp607.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0.xml" ContentType="application/vnd.ms-excel.controlproperties+xml"/>
  <Override PartName="/xl/ctrlProps/ctrlProp589.xml" ContentType="application/vnd.ms-excel.controlproperties+xml"/>
  <Override PartName="/xl/ctrlProps/ctrlProp45.xml" ContentType="application/vnd.ms-excel.controlproperties+xml"/>
  <Override PartName="/xl/ctrlProps/ctrlProp587.xml" ContentType="application/vnd.ms-excel.controlproperties+xml"/>
  <Override PartName="/xl/ctrlProps/ctrlProp588.xml" ContentType="application/vnd.ms-excel.controlproperties+xml"/>
  <Override PartName="/xl/comments7.xml" ContentType="application/vnd.openxmlformats-officedocument.spreadsheetml.comments+xml"/>
  <Override PartName="/xl/ctrlProps/ctrlProp46.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1.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599.xml" ContentType="application/vnd.ms-excel.controlproperties+xml"/>
  <Override PartName="/xl/ctrlProps/ctrlProp600.xml" ContentType="application/vnd.ms-excel.controlproperties+xml"/>
  <Override PartName="/xl/comments8.xml" ContentType="application/vnd.openxmlformats-officedocument.spreadsheetml.comments+xml"/>
  <Override PartName="/xl/ctrlProps/ctrlProp635.xml" ContentType="application/vnd.ms-excel.controlproperties+xml"/>
  <Override PartName="/xl/ctrlProps/ctrlProp636.xml" ContentType="application/vnd.ms-excel.controlproperties+xml"/>
  <Override PartName="/xl/comments10.xml" ContentType="application/vnd.openxmlformats-officedocument.spreadsheetml.comments+xml"/>
  <Override PartName="/xl/ctrlProps/ctrlProp34.xml" ContentType="application/vnd.ms-excel.controlproperties+xml"/>
  <Override PartName="/xl/ctrlProps/ctrlProp3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776.xml" ContentType="application/vnd.ms-excel.controlproperties+xml"/>
  <Override PartName="/xl/ctrlProps/ctrlProp663.xml" ContentType="application/vnd.ms-excel.controlproperties+xml"/>
  <Override PartName="/xl/ctrlProps/ctrlProp662.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32.xml" ContentType="application/vnd.ms-excel.controlproperties+xml"/>
  <Override PartName="/xl/ctrlProps/ctrlProp31.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omments14.xml" ContentType="application/vnd.openxmlformats-officedocument.spreadsheetml.comments+xml"/>
  <Override PartName="/xl/ctrlProps/ctrlProp674.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56.xml" ContentType="application/vnd.ms-excel.controlproperties+xml"/>
  <Override PartName="/xl/ctrlProps/ctrlProp655.xml" ContentType="application/vnd.ms-excel.controlproperties+xml"/>
  <Override PartName="/xl/ctrlProps/ctrlProp35.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omments11.xml" ContentType="application/vnd.openxmlformats-officedocument.spreadsheetml.comments+xml"/>
  <Override PartName="/xl/ctrlProps/ctrlProp641.xml" ContentType="application/vnd.ms-excel.controlproperties+xml"/>
  <Override PartName="/xl/ctrlProps/ctrlProp640.xml" ContentType="application/vnd.ms-excel.controlproperties+xml"/>
  <Override PartName="/xl/ctrlProps/ctrlProp639.xml" ContentType="application/vnd.ms-excel.controlproperties+xml"/>
  <Override PartName="/xl/ctrlProps/ctrlProp40.xml" ContentType="application/vnd.ms-excel.controlproperties+xml"/>
  <Override PartName="/xl/ctrlProps/ctrlProp39.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38.xml" ContentType="application/vnd.ms-excel.controlproperties+xml"/>
  <Override PartName="/xl/ctrlProps/ctrlProp37.xml" ContentType="application/vnd.ms-excel.controlproperties+xml"/>
  <Override PartName="/xl/ctrlProps/ctrlProp653.xml" ContentType="application/vnd.ms-excel.controlproperties+xml"/>
  <Override PartName="/xl/ctrlProps/ctrlProp654.xml" ContentType="application/vnd.ms-excel.controlproperties+xml"/>
  <Override PartName="/xl/comments12.xml" ContentType="application/vnd.openxmlformats-officedocument.spreadsheetml.comments+xml"/>
  <Override PartName="/xl/ctrlProps/ctrlProp36.xml" ContentType="application/vnd.ms-excel.controlproperties+xml"/>
  <Override PartName="/xl/ctrlProps/ctrlProp652.xml" ContentType="application/vnd.ms-excel.controlproperties+xml"/>
  <Override PartName="/xl/ctrlProps/ctrlProp651.xml" ContentType="application/vnd.ms-excel.controlproperties+xml"/>
  <Override PartName="/xl/ctrlProps/ctrlProp650.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79.xml" ContentType="application/vnd.ms-excel.controlproperties+xml"/>
  <Override PartName="/xl/ctrlProps/ctrlProp795.xml" ContentType="application/vnd.ms-excel.controlproperties+xml"/>
  <Override PartName="/xl/ctrlProps/ctrlProp778.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3.xml" ContentType="application/vnd.ms-excel.controlproperties+xml"/>
  <Override PartName="/xl/ctrlProps/ctrlProp922.xml" ContentType="application/vnd.ms-excel.controlproperties+xml"/>
  <Override PartName="/xl/ctrlProps/ctrlProp921.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39.xml" ContentType="application/vnd.ms-excel.controlproperties+xml"/>
  <Override PartName="/xl/ctrlProps/ctrlProp938.xml" ContentType="application/vnd.ms-excel.controlproperties+xml"/>
  <Override PartName="/xl/ctrlProps/ctrlProp937.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15.xml" ContentType="application/vnd.ms-excel.controlproperties+xml"/>
  <Override PartName="/xl/ctrlProps/ctrlProp914.xml" ContentType="application/vnd.ms-excel.controlproperties+xml"/>
  <Override PartName="/xl/ctrlProps/ctrlProp913.xml" ContentType="application/vnd.ms-excel.controlproperties+xml"/>
  <Override PartName="/xl/ctrlProps/ctrlProp897.xml" ContentType="application/vnd.ms-excel.controlproperties+xml"/>
  <Override PartName="/xl/comments23.xml" ContentType="application/vnd.openxmlformats-officedocument.spreadsheetml.comments+xml"/>
  <Override PartName="/xl/comments2.xml" ContentType="application/vnd.openxmlformats-officedocument.spreadsheetml.comments+xml"/>
  <Override PartName="/xl/ctrlProps/ctrlProp896.xml" ContentType="application/vnd.ms-excel.controlproperties+xml"/>
  <Override PartName="/xl/ctrlProps/ctrlProp895.xml" ContentType="application/vnd.ms-excel.controlproperties+xml"/>
  <Override PartName="/xl/ctrlProps/ctrlProp894.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07.xml" ContentType="application/vnd.ms-excel.controlproperties+xml"/>
  <Override PartName="/xl/ctrlProps/ctrlProp906.xml" ContentType="application/vnd.ms-excel.controlproperties+xml"/>
  <Override PartName="/xl/ctrlProps/ctrlProp905.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omments24.xml" ContentType="application/vnd.openxmlformats-officedocument.spreadsheetml.comments+xml"/>
  <Override PartName="/xl/ctrlProps/ctrlProp7.xml" ContentType="application/vnd.ms-excel.controlproperties+xml"/>
  <Override PartName="/xl/ctrlProps/ctrlProp1.xml" ContentType="application/vnd.ms-excel.controlproperties+xml"/>
  <Override PartName="/xl/comments33.xml" ContentType="application/vnd.openxmlformats-officedocument.spreadsheetml.comments+xml"/>
  <Override PartName="/xl/comments32.xml" ContentType="application/vnd.openxmlformats-officedocument.spreadsheetml.comments+xml"/>
  <Override PartName="/xl/ctrlProps/ctrlProp2.xml" ContentType="application/vnd.ms-excel.controlproperties+xml"/>
  <Override PartName="/xl/comments1.xml" ContentType="application/vnd.openxmlformats-officedocument.spreadsheetml.comments+xml"/>
  <Override PartName="/xl/comments30.xml" ContentType="application/vnd.openxmlformats-officedocument.spreadsheetml.comments+xml"/>
  <Override PartName="/xl/ctrlProps/ctrlProp3.xml" ContentType="application/vnd.ms-excel.controlproperties+xml"/>
  <Override PartName="/xl/comments31.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docProps/core.xml" ContentType="application/vnd.openxmlformats-package.core-properties+xml"/>
  <Override PartName="/customXml/itemProps3.xml" ContentType="application/vnd.openxmlformats-officedocument.customXmlProperties+xml"/>
  <Override PartName="/customXml/itemProps1.xml" ContentType="application/vnd.openxmlformats-officedocument.customXmlProperties+xml"/>
  <Override PartName="/customXml/itemProps2.xml" ContentType="application/vnd.openxmlformats-officedocument.customXmlProperties+xml"/>
  <Override PartName="/xl/comments29.xml" ContentType="application/vnd.openxmlformats-officedocument.spreadsheetml.comment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1.xml" ContentType="application/vnd.ms-excel.controlproperties+xml"/>
  <Override PartName="/xl/ctrlProps/ctrlProp950.xml" ContentType="application/vnd.ms-excel.controlproperties+xml"/>
  <Override PartName="/xl/ctrlProps/ctrlProp949.xml" ContentType="application/vnd.ms-excel.controlproperties+xml"/>
  <Override PartName="/xl/ctrlProps/ctrlProp6.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omments25.xml" ContentType="application/vnd.openxmlformats-officedocument.spreadsheetml.comments+xml"/>
  <Override PartName="/xl/ctrlProps/ctrlProp5.xml" ContentType="application/vnd.ms-excel.controlproperties+xml"/>
  <Override PartName="/xl/comments27.xml" ContentType="application/vnd.openxmlformats-officedocument.spreadsheetml.comments+xml"/>
  <Override PartName="/xl/comments28.xml" ContentType="application/vnd.openxmlformats-officedocument.spreadsheetml.comments+xml"/>
  <Override PartName="/xl/comments26.xml" ContentType="application/vnd.openxmlformats-officedocument.spreadsheetml.comments+xml"/>
  <Override PartName="/xl/ctrlProps/ctrlProp961.xml" ContentType="application/vnd.ms-excel.controlproperties+xml"/>
  <Override PartName="/xl/ctrlProps/ctrlProp960.xml" ContentType="application/vnd.ms-excel.controlproperties+xml"/>
  <Override PartName="/xl/ctrlProps/ctrlProp4.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888.xml" ContentType="application/vnd.ms-excel.controlproperties+xml"/>
  <Override PartName="/xl/ctrlProps/ctrlProp887.xml" ContentType="application/vnd.ms-excel.controlproperties+xml"/>
  <Override PartName="/xl/ctrlProps/ctrlProp886.xml" ContentType="application/vnd.ms-excel.controlproperties+xml"/>
  <Override PartName="/xl/ctrlProps/ctrlProp10.xml" ContentType="application/vnd.ms-excel.controlproperties+xml"/>
  <Override PartName="/xl/ctrlProps/ctrlProp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omments21.xml" ContentType="application/vnd.openxmlformats-officedocument.spreadsheetml.comments+xml"/>
  <Override PartName="/xl/ctrlProps/ctrlProp809.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23.xml" ContentType="application/vnd.ms-excel.controlproperties+xml"/>
  <Override PartName="/xl/ctrlProps/ctrlProp824.xml" ContentType="application/vnd.ms-excel.controlproperties+xml"/>
  <Override PartName="/xl/comments22.xml" ContentType="application/vnd.openxmlformats-officedocument.spreadsheetml.comments+xml"/>
  <Override PartName="/xl/ctrlProps/ctrlProp8.xml" ContentType="application/vnd.ms-excel.controlproperties+xml"/>
  <Override PartName="/xl/ctrlProps/ctrlProp822.xml" ContentType="application/vnd.ms-excel.controlproperties+xml"/>
  <Override PartName="/xl/ctrlProps/ctrlProp821.xml" ContentType="application/vnd.ms-excel.controlproperties+xml"/>
  <Override PartName="/xl/ctrlProps/ctrlProp820.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03.xml" ContentType="application/vnd.ms-excel.controlproperties+xml"/>
  <Override PartName="/xl/ctrlProps/ctrlProp802.xml" ContentType="application/vnd.ms-excel.controlproperties+xml"/>
  <Override PartName="/xl/ctrlProps/ctrlProp801.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779.xml" ContentType="application/vnd.ms-excel.controlproperties+xml"/>
  <Override PartName="/xl/ctrlProps/ctrlProp780.xml" ContentType="application/vnd.ms-excel.controlproperties+xml"/>
  <Override PartName="/xl/comments20.xml" ContentType="application/vnd.openxmlformats-officedocument.spreadsheetml.comments+xml"/>
  <Override PartName="/xl/ctrlProps/ctrlProp14.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586.xml" ContentType="application/vnd.ms-excel.controlproperties+xml"/>
  <Override PartName="/xl/ctrlProps/ctrlProp794.xml" ContentType="application/vnd.ms-excel.controlproperties+xml"/>
  <Override PartName="/xl/ctrlProps/ctrlProp793.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65.xml" ContentType="application/vnd.ms-excel.controlproperties+xml"/>
  <Override PartName="/xl/ctrlProps/ctrlProp864.xml" ContentType="application/vnd.ms-excel.controlproperties+xml"/>
  <Override PartName="/xl/ctrlProps/ctrlProp863.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0.xml" ContentType="application/vnd.ms-excel.controlproperties+xml"/>
  <Override PartName="/xl/ctrlProps/ctrlProp879.xml" ContentType="application/vnd.ms-excel.controlproperties+xml"/>
  <Override PartName="/xl/ctrlProps/ctrlProp878.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57.xml" ContentType="application/vnd.ms-excel.controlproperties+xml"/>
  <Override PartName="/xl/ctrlProps/ctrlProp856.xml" ContentType="application/vnd.ms-excel.controlproperties+xml"/>
  <Override PartName="/xl/ctrlProps/ctrlProp855.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34.xml" ContentType="application/vnd.ms-excel.controlproperties+xml"/>
  <Override PartName="/xl/ctrlProps/ctrlProp833.xml" ContentType="application/vnd.ms-excel.controlproperties+xml"/>
  <Override PartName="/xl/ctrlProps/ctrlProp832.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49.xml" ContentType="application/vnd.ms-excel.controlproperties+xml"/>
  <Override PartName="/xl/ctrlProps/ctrlProp848.xml" ContentType="application/vnd.ms-excel.controlproperties+xml"/>
  <Override PartName="/xl/ctrlProps/ctrlProp847.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777.xml" ContentType="application/vnd.ms-excel.controlproperties+xml"/>
  <Override PartName="/xl/ctrlProps/ctrlProp585.xml" ContentType="application/vnd.ms-excel.controlproperties+xml"/>
  <Override PartName="/xl/ctrlProps/ctrlProp584.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1.xml" ContentType="application/vnd.ms-excel.controlproperties+xml"/>
  <Override PartName="/xl/ctrlProps/ctrlProp230.xml" ContentType="application/vnd.ms-excel.controlproperties+xml"/>
  <Override PartName="/xl/ctrlProps/ctrlProp229.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48.xml" ContentType="application/vnd.ms-excel.controlproperties+xml"/>
  <Override PartName="/xl/ctrlProps/ctrlProp247.xml" ContentType="application/vnd.ms-excel.controlproperties+xml"/>
  <Override PartName="/xl/ctrlProps/ctrlProp246.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22.xml" ContentType="application/vnd.ms-excel.controlproperties+xml"/>
  <Override PartName="/xl/ctrlProps/ctrlProp221.xml" ContentType="application/vnd.ms-excel.controlproperties+xml"/>
  <Override PartName="/xl/ctrlProps/ctrlProp220.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196.xml" ContentType="application/vnd.ms-excel.controlproperties+xml"/>
  <Override PartName="/xl/ctrlProps/ctrlProp195.xml" ContentType="application/vnd.ms-excel.controlproperties+xml"/>
  <Override PartName="/xl/ctrlProps/ctrlProp194.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13.xml" ContentType="application/vnd.ms-excel.controlproperties+xml"/>
  <Override PartName="/xl/ctrlProps/ctrlProp212.xml" ContentType="application/vnd.ms-excel.controlproperties+xml"/>
  <Override PartName="/xl/ctrlProps/ctrlProp211.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295.xml" ContentType="application/vnd.ms-excel.controlproperties+xml"/>
  <Override PartName="/xl/ctrlProps/ctrlProp294.xml" ContentType="application/vnd.ms-excel.controlproperties+xml"/>
  <Override PartName="/xl/ctrlProps/ctrlProp51.xml" ContentType="application/vnd.ms-excel.controlproperties+xml"/>
  <Override PartName="/xl/ctrlProps/ctrlProp292.xml" ContentType="application/vnd.ms-excel.controlproperties+xml"/>
  <Override PartName="/xl/ctrlProps/ctrlProp293.xml" ContentType="application/vnd.ms-excel.controlproperties+xml"/>
  <Override PartName="/xl/comments4.xml" ContentType="application/vnd.openxmlformats-officedocument.spreadsheetml.comments+xml"/>
  <Override PartName="/xl/ctrlProps/ctrlProp52.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2.xml" ContentType="application/vnd.ms-excel.controlproperties+xml"/>
  <Override PartName="/xl/ctrlProps/ctrlProp311.xml" ContentType="application/vnd.ms-excel.controlproperties+xml"/>
  <Override PartName="/xl/ctrlProps/ctrlProp310.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291.xml" ContentType="application/vnd.ms-excel.controlproperties+xml"/>
  <Override PartName="/xl/ctrlProps/ctrlProp290.xml" ContentType="application/vnd.ms-excel.controlproperties+xml"/>
  <Override PartName="/xl/ctrlProps/ctrlProp289.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65.xml" ContentType="application/vnd.ms-excel.controlproperties+xml"/>
  <Override PartName="/xl/ctrlProps/ctrlProp264.xml" ContentType="application/vnd.ms-excel.controlproperties+xml"/>
  <Override PartName="/xl/ctrlProps/ctrlProp263.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2.xml" ContentType="application/vnd.ms-excel.controlproperties+xml"/>
  <Override PartName="/xl/ctrlProps/ctrlProp281.xml" ContentType="application/vnd.ms-excel.controlproperties+xml"/>
  <Override PartName="/xl/ctrlProps/ctrlProp280.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188.xml" ContentType="application/vnd.ms-excel.controlproperties+xml"/>
  <Override PartName="/xl/ctrlProps/ctrlProp187.xml" ContentType="application/vnd.ms-excel.controlproperties+xml"/>
  <Override PartName="/xl/ctrlProps/ctrlProp186.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98.xml" ContentType="application/vnd.ms-excel.controlproperties+xml"/>
  <Override PartName="/xl/ctrlProps/ctrlProp97.xml" ContentType="application/vnd.ms-excel.controlproperties+xml"/>
  <Override PartName="/xl/ctrlProps/ctrlProp96.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15.xml" ContentType="application/vnd.ms-excel.controlproperties+xml"/>
  <Override PartName="/xl/ctrlProps/ctrlProp114.xml" ContentType="application/vnd.ms-excel.controlproperties+xml"/>
  <Override PartName="/xl/ctrlProps/ctrlProp113.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90.xml" ContentType="application/vnd.ms-excel.controlproperties+xml"/>
  <Override PartName="/xl/ctrlProps/ctrlProp89.xml" ContentType="application/vnd.ms-excel.controlproperties+xml"/>
  <Override PartName="/xl/ctrlProps/ctrlProp88.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64.xml" ContentType="application/vnd.ms-excel.controlproperties+xml"/>
  <Override PartName="/xl/ctrlProps/ctrlProp63.xml" ContentType="application/vnd.ms-excel.controlproperties+xml"/>
  <Override PartName="/xl/ctrlProps/ctrlProp62.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1.xml" ContentType="application/vnd.ms-excel.controlproperties+xml"/>
  <Override PartName="/xl/ctrlProps/ctrlProp80.xml" ContentType="application/vnd.ms-excel.controlproperties+xml"/>
  <Override PartName="/xl/ctrlProps/ctrlProp79.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2.xml" ContentType="application/vnd.ms-excel.controlproperties+xml"/>
  <Override PartName="/xl/ctrlProps/ctrlProp161.xml" ContentType="application/vnd.ms-excel.controlproperties+xml"/>
  <Override PartName="/xl/ctrlProps/ctrlProp160.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79.xml" ContentType="application/vnd.ms-excel.controlproperties+xml"/>
  <Override PartName="/xl/ctrlProps/ctrlProp178.xml" ContentType="application/vnd.ms-excel.controlproperties+xml"/>
  <Override PartName="/xl/ctrlProps/ctrlProp177.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54.xml" ContentType="application/vnd.ms-excel.controlproperties+xml"/>
  <Override PartName="/xl/ctrlProps/ctrlProp153.xml" ContentType="application/vnd.ms-excel.controlproperties+xml"/>
  <Override PartName="/xl/ctrlProps/ctrlProp15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2.xml" ContentType="application/vnd.ms-excel.controlproperties+xml"/>
  <Override PartName="/xl/ctrlProps/ctrlProp131.xml" ContentType="application/vnd.ms-excel.controlproperties+xml"/>
  <Override PartName="/xl/ctrlProps/ctrlProp130.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50.xml" ContentType="application/vnd.ms-excel.controlproperties+xml"/>
  <Override PartName="/xl/comments3.xml" ContentType="application/vnd.openxmlformats-officedocument.spreadsheetml.comments+xml"/>
  <Override PartName="/xl/ctrlProps/ctrlProp54.xml" ContentType="application/vnd.ms-excel.controlproperties+xml"/>
  <Override PartName="/xl/ctrlProps/ctrlProp53.xml" ContentType="application/vnd.ms-excel.controlproperties+xml"/>
  <Override PartName="/xl/ctrlProps/ctrlProp151.xml" ContentType="application/vnd.ms-excel.controlproperties+xml"/>
  <Override PartName="/xl/ctrlProps/ctrlProp149.xml" ContentType="application/vnd.ms-excel.controlproperties+xml"/>
  <Override PartName="/xl/ctrlProps/ctrlProp148.xml" ContentType="application/vnd.ms-excel.controlproperties+xml"/>
  <Override PartName="/xl/ctrlProps/ctrlProp147.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496.xml" ContentType="application/vnd.ms-excel.controlproperties+xml"/>
  <Override PartName="/xl/ctrlProps/ctrlProp495.xml" ContentType="application/vnd.ms-excel.controlproperties+xml"/>
  <Override PartName="/xl/ctrlProps/ctrlProp494.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13.xml" ContentType="application/vnd.ms-excel.controlproperties+xml"/>
  <Override PartName="/xl/ctrlProps/ctrlProp512.xml" ContentType="application/vnd.ms-excel.controlproperties+xml"/>
  <Override PartName="/xl/ctrlProps/ctrlProp511.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487.xml" ContentType="application/vnd.ms-excel.controlproperties+xml"/>
  <Override PartName="/xl/ctrlProps/ctrlProp486.xml" ContentType="application/vnd.ms-excel.controlproperties+xml"/>
  <Override PartName="/xl/ctrlProps/ctrlProp485.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1.xml" ContentType="application/vnd.ms-excel.controlproperties+xml"/>
  <Override PartName="/xl/ctrlProps/ctrlProp460.xml" ContentType="application/vnd.ms-excel.controlproperties+xml"/>
  <Override PartName="/xl/ctrlProps/ctrlProp459.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78.xml" ContentType="application/vnd.ms-excel.controlproperties+xml"/>
  <Override PartName="/xl/ctrlProps/ctrlProp477.xml" ContentType="application/vnd.ms-excel.controlproperties+xml"/>
  <Override PartName="/xl/ctrlProps/ctrlProp476.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64.xml" ContentType="application/vnd.ms-excel.controlproperties+xml"/>
  <Override PartName="/xl/ctrlProps/ctrlProp563.xml" ContentType="application/vnd.ms-excel.controlproperties+xml"/>
  <Override PartName="/xl/ctrlProps/ctrlProp562.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82.xml" ContentType="application/vnd.ms-excel.controlproperties+xml"/>
  <Override PartName="/xl/comments6.xml" ContentType="application/vnd.openxmlformats-officedocument.spreadsheetml.comments+xml"/>
  <Override PartName="/xl/ctrlProps/ctrlProp48.xml" ContentType="application/vnd.ms-excel.controlproperties+xml"/>
  <Override PartName="/xl/ctrlProps/ctrlProp47.xml" ContentType="application/vnd.ms-excel.controlproperties+xml"/>
  <Override PartName="/xl/ctrlProps/ctrlProp583.xml" ContentType="application/vnd.ms-excel.controlproperties+xml"/>
  <Override PartName="/xl/ctrlProps/ctrlProp581.xml" ContentType="application/vnd.ms-excel.controlproperties+xml"/>
  <Override PartName="/xl/ctrlProps/ctrlProp580.xml" ContentType="application/vnd.ms-excel.controlproperties+xml"/>
  <Override PartName="/xl/ctrlProps/ctrlProp579.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56.xml" ContentType="application/vnd.ms-excel.controlproperties+xml"/>
  <Override PartName="/xl/ctrlProps/ctrlProp555.xml" ContentType="application/vnd.ms-excel.controlproperties+xml"/>
  <Override PartName="/xl/ctrlProps/ctrlProp554.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0.xml" ContentType="application/vnd.ms-excel.controlproperties+xml"/>
  <Override PartName="/xl/ctrlProps/ctrlProp529.xml" ContentType="application/vnd.ms-excel.controlproperties+xml"/>
  <Override PartName="/xl/ctrlProps/ctrlProp528.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47.xml" ContentType="application/vnd.ms-excel.controlproperties+xml"/>
  <Override PartName="/xl/ctrlProps/ctrlProp546.xml" ContentType="application/vnd.ms-excel.controlproperties+xml"/>
  <Override PartName="/xl/ctrlProps/ctrlProp545.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453.xml" ContentType="application/vnd.ms-excel.controlproperties+xml"/>
  <Override PartName="/xl/ctrlProps/ctrlProp452.xml" ContentType="application/vnd.ms-excel.controlproperties+xml"/>
  <Override PartName="/xl/ctrlProps/ctrlProp451.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63.xml" ContentType="application/vnd.ms-excel.controlproperties+xml"/>
  <Override PartName="/xl/ctrlProps/ctrlProp362.xml" ContentType="application/vnd.ms-excel.controlproperties+xml"/>
  <Override PartName="/xl/ctrlProps/ctrlProp361.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0.xml" ContentType="application/vnd.ms-excel.controlproperties+xml"/>
  <Override PartName="/xl/ctrlProps/ctrlProp379.xml" ContentType="application/vnd.ms-excel.controlproperties+xml"/>
  <Override PartName="/xl/ctrlProps/ctrlProp378.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55.xml" ContentType="application/vnd.ms-excel.controlproperties+xml"/>
  <Override PartName="/xl/ctrlProps/ctrlProp354.xml" ContentType="application/vnd.ms-excel.controlproperties+xml"/>
  <Override PartName="/xl/ctrlProps/ctrlProp353.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29.xml" ContentType="application/vnd.ms-excel.controlproperties+xml"/>
  <Override PartName="/xl/ctrlProps/ctrlProp328.xml" ContentType="application/vnd.ms-excel.controlproperties+xml"/>
  <Override PartName="/xl/ctrlProps/ctrlProp327.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46.xml" ContentType="application/vnd.ms-excel.controlproperties+xml"/>
  <Override PartName="/xl/ctrlProps/ctrlProp345.xml" ContentType="application/vnd.ms-excel.controlproperties+xml"/>
  <Override PartName="/xl/ctrlProps/ctrlProp344.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1.xml" ContentType="application/vnd.ms-excel.controlproperties+xml"/>
  <Override PartName="/xl/ctrlProps/ctrlProp430.xml" ContentType="application/vnd.ms-excel.controlproperties+xml"/>
  <Override PartName="/xl/ctrlProps/ctrlProp429.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omments5.xml" ContentType="application/vnd.openxmlformats-officedocument.spreadsheetml.comments+xml"/>
  <Override PartName="/xl/ctrlProps/ctrlProp50.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44.xml" ContentType="application/vnd.ms-excel.controlproperties+xml"/>
  <Override PartName="/xl/ctrlProps/ctrlProp443.xml" ContentType="application/vnd.ms-excel.controlproperties+xml"/>
  <Override PartName="/xl/ctrlProps/ctrlProp442.xml" ContentType="application/vnd.ms-excel.controlproperties+xml"/>
  <Override PartName="/xl/ctrlProps/ctrlProp49.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23.xml" ContentType="application/vnd.ms-excel.controlproperties+xml"/>
  <Override PartName="/xl/ctrlProps/ctrlProp422.xml" ContentType="application/vnd.ms-excel.controlproperties+xml"/>
  <Override PartName="/xl/ctrlProps/ctrlProp421.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397.xml" ContentType="application/vnd.ms-excel.controlproperties+xml"/>
  <Override PartName="/xl/ctrlProps/ctrlProp396.xml" ContentType="application/vnd.ms-excel.controlproperties+xml"/>
  <Override PartName="/xl/ctrlProps/ctrlProp395.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14.xml" ContentType="application/vnd.ms-excel.controlproperties+xml"/>
  <Override PartName="/xl/ctrlProps/ctrlProp413.xml" ContentType="application/vnd.ms-excel.controlproperties+xml"/>
  <Override PartName="/xl/ctrlProps/ctrlProp412.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55.xml" ContentType="application/vnd.ms-excel.contro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4"/>
  <workbookPr codeName="ThisWorkbook"/>
  <mc:AlternateContent xmlns:mc="http://schemas.openxmlformats.org/markup-compatibility/2006">
    <mc:Choice Requires="x15">
      <x15ac:absPath xmlns:x15ac="http://schemas.microsoft.com/office/spreadsheetml/2010/11/ac" url="S:\Wcd_forms\PD_TD_calculators\Final-Posted\"/>
    </mc:Choice>
  </mc:AlternateContent>
  <xr:revisionPtr revIDLastSave="0" documentId="13_ncr:1_{02AB0D46-76F7-46F1-BD51-6CB861D7EC08}" xr6:coauthVersionLast="36" xr6:coauthVersionMax="36" xr10:uidLastSave="{00000000-0000-0000-0000-000000000000}"/>
  <bookViews>
    <workbookView xWindow="120" yWindow="120" windowWidth="7320" windowHeight="4605" xr2:uid="{00000000-000D-0000-FFFF-FFFF00000000}"/>
  </bookViews>
  <sheets>
    <sheet name="Start here" sheetId="62" r:id="rId1"/>
    <sheet name="PPD DOI on or after 2005" sheetId="39" r:id="rId2"/>
    <sheet name="PPD DOI before 2005" sheetId="60" r:id="rId3"/>
    <sheet name="SAWW" sheetId="59" r:id="rId4"/>
    <sheet name="Upper Extremity-Right" sheetId="54" r:id="rId5"/>
    <sheet name="Upper Extremity-Left" sheetId="52" r:id="rId6"/>
    <sheet name="Lower Extremity-Right" sheetId="50" r:id="rId7"/>
    <sheet name="Lower Extremity-Left" sheetId="48" r:id="rId8"/>
    <sheet name="Hearing" sheetId="46" r:id="rId9"/>
    <sheet name="Vision" sheetId="44" r:id="rId10"/>
    <sheet name="Shoulder-Right" sheetId="34" r:id="rId11"/>
    <sheet name="Shoulder-Left" sheetId="40" r:id="rId12"/>
    <sheet name="Hip-Right" sheetId="27" r:id="rId13"/>
    <sheet name="Hip-Left" sheetId="41" r:id="rId14"/>
    <sheet name="Spine" sheetId="37" r:id="rId15"/>
    <sheet name="Pelvis" sheetId="32" r:id="rId16"/>
    <sheet name="Abdomen" sheetId="21" r:id="rId17"/>
    <sheet name="Chest" sheetId="64" r:id="rId18"/>
    <sheet name="Cardiovascular" sheetId="23" r:id="rId19"/>
    <sheet name="Respiratory" sheetId="33" r:id="rId20"/>
    <sheet name="Cranial Nerves-Brain" sheetId="22" r:id="rId21"/>
    <sheet name="Spinal cord" sheetId="36" r:id="rId22"/>
    <sheet name="Mental illness" sheetId="31" r:id="rId23"/>
    <sheet name="Hematopoietic" sheetId="26" r:id="rId24"/>
    <sheet name="GI &amp; GU" sheetId="25" r:id="rId25"/>
    <sheet name="Endocrine" sheetId="24" r:id="rId26"/>
    <sheet name="Integument &amp; Lacrimal" sheetId="30" r:id="rId27"/>
    <sheet name="Immune system" sheetId="29" r:id="rId28"/>
    <sheet name="UETable" sheetId="55" r:id="rId29"/>
    <sheet name="LETable" sheetId="51" r:id="rId30"/>
    <sheet name="Hearing-Table" sheetId="47" r:id="rId31"/>
    <sheet name="Eye-Table" sheetId="45" r:id="rId32"/>
    <sheet name="Sh-Table" sheetId="35" r:id="rId33"/>
    <sheet name="H-Table" sheetId="28" r:id="rId34"/>
    <sheet name="Sp-Table" sheetId="38" r:id="rId35"/>
    <sheet name="Dol Per Deg" sheetId="61" r:id="rId36"/>
    <sheet name="Rules" sheetId="42" r:id="rId37"/>
    <sheet name="Combiner" sheetId="63" r:id="rId38"/>
    <sheet name="Sheet1" sheetId="14" r:id="rId39"/>
  </sheets>
  <definedNames>
    <definedName name="AmPoint">#REF!</definedName>
    <definedName name="Distance">#REF!</definedName>
    <definedName name="DOI_Rate" localSheetId="35">'Dol Per Deg'!$A$7:$C$16</definedName>
    <definedName name="DOI_Rate">#REF!</definedName>
    <definedName name="Jaeger">#REF!</definedName>
    <definedName name="Metric6">#REF!</definedName>
    <definedName name="Near">#REF!</definedName>
  </definedNames>
  <calcPr calcId="191029"/>
</workbook>
</file>

<file path=xl/calcChain.xml><?xml version="1.0" encoding="utf-8"?>
<calcChain xmlns="http://schemas.openxmlformats.org/spreadsheetml/2006/main">
  <c r="T21" i="46" l="1"/>
  <c r="U21" i="46" s="1"/>
  <c r="T20" i="46"/>
  <c r="U20" i="46" s="1"/>
  <c r="T19" i="46"/>
  <c r="U19" i="46" s="1"/>
  <c r="T18" i="46"/>
  <c r="U18" i="46" s="1"/>
  <c r="O14" i="46" l="1"/>
  <c r="H1" i="63"/>
  <c r="E1" i="63"/>
  <c r="E1" i="24"/>
  <c r="W1" i="39" l="1"/>
  <c r="U1" i="39"/>
  <c r="Y1" i="39" l="1"/>
  <c r="N14" i="39" s="1"/>
  <c r="W1" i="60"/>
  <c r="U1" i="60"/>
  <c r="Y1" i="60" l="1"/>
  <c r="F2" i="47"/>
  <c r="H110" i="37" l="1"/>
  <c r="H67" i="37"/>
  <c r="H66" i="37"/>
  <c r="H65" i="37"/>
  <c r="H64" i="37"/>
  <c r="H63" i="37"/>
  <c r="H62" i="37"/>
  <c r="H61" i="37"/>
  <c r="H60" i="37"/>
  <c r="H59" i="37"/>
  <c r="H58" i="37"/>
  <c r="H57" i="37"/>
  <c r="H56" i="37"/>
  <c r="H15" i="37"/>
  <c r="H16" i="37"/>
  <c r="H17" i="37"/>
  <c r="H18" i="37"/>
  <c r="H19" i="37"/>
  <c r="H20" i="37"/>
  <c r="H14" i="37"/>
  <c r="Y93" i="34" l="1"/>
  <c r="Y604" i="52" l="1"/>
  <c r="Y603" i="52"/>
  <c r="Y550" i="52"/>
  <c r="Y549" i="52"/>
  <c r="Y537" i="52"/>
  <c r="Y538" i="52"/>
  <c r="Y539" i="52"/>
  <c r="Y536" i="52"/>
  <c r="Y379" i="52" l="1"/>
  <c r="Y378" i="52"/>
  <c r="Y374" i="52"/>
  <c r="Y373" i="52"/>
  <c r="Y372" i="52"/>
  <c r="Y371" i="52"/>
  <c r="Y370" i="52"/>
  <c r="Y369" i="52"/>
  <c r="Y368" i="52"/>
  <c r="Y304" i="52"/>
  <c r="Y299" i="52"/>
  <c r="Y298" i="52"/>
  <c r="Y297" i="52"/>
  <c r="Y296" i="52"/>
  <c r="Y295" i="52"/>
  <c r="Y294" i="52"/>
  <c r="Y293" i="52"/>
  <c r="Y229" i="52"/>
  <c r="Y228" i="52"/>
  <c r="Y224" i="52"/>
  <c r="Y223" i="52"/>
  <c r="Y222" i="52"/>
  <c r="Y221" i="52"/>
  <c r="Y220" i="52"/>
  <c r="Y219" i="52"/>
  <c r="Y218" i="52"/>
  <c r="Y152" i="52"/>
  <c r="Y142" i="52"/>
  <c r="Y143" i="52"/>
  <c r="Y144" i="52"/>
  <c r="Y145" i="52"/>
  <c r="Y146" i="52"/>
  <c r="Y147" i="52"/>
  <c r="Y141" i="52"/>
  <c r="Y68" i="52"/>
  <c r="Y69" i="52"/>
  <c r="Y70" i="52"/>
  <c r="Y71" i="52"/>
  <c r="Y72" i="52"/>
  <c r="Y73" i="52"/>
  <c r="Y67" i="52"/>
  <c r="AM62" i="44" l="1"/>
  <c r="AM63" i="44"/>
  <c r="AM64" i="44"/>
  <c r="AM65" i="44"/>
  <c r="AM61" i="44"/>
  <c r="AL62" i="44"/>
  <c r="AL63" i="44"/>
  <c r="AL64" i="44"/>
  <c r="AL65" i="44"/>
  <c r="S98" i="34"/>
  <c r="S97" i="34"/>
  <c r="S98" i="40"/>
  <c r="S97" i="40"/>
  <c r="S36" i="27"/>
  <c r="X35" i="41"/>
  <c r="O12" i="46" l="1"/>
  <c r="P421" i="48" l="1"/>
  <c r="P420" i="48"/>
  <c r="P392" i="48" l="1"/>
  <c r="P392" i="50"/>
  <c r="P253" i="48" l="1"/>
  <c r="P253" i="50"/>
  <c r="P239" i="48"/>
  <c r="P238" i="48"/>
  <c r="W239" i="48" s="1"/>
  <c r="P207" i="48" l="1"/>
  <c r="P186" i="48" l="1"/>
  <c r="R183" i="48"/>
  <c r="P183" i="48" s="1"/>
  <c r="R182" i="48"/>
  <c r="P182" i="48" s="1"/>
  <c r="P146" i="48"/>
  <c r="R143" i="48"/>
  <c r="R142" i="48"/>
  <c r="P106" i="48"/>
  <c r="R103" i="48"/>
  <c r="R102" i="48"/>
  <c r="P66" i="48" l="1"/>
  <c r="R63" i="48"/>
  <c r="R62" i="48"/>
  <c r="P28" i="48" l="1"/>
  <c r="P28" i="50"/>
  <c r="R25" i="48" l="1"/>
  <c r="R24" i="48"/>
  <c r="P421" i="50" l="1"/>
  <c r="P420" i="50"/>
  <c r="F318" i="50" l="1"/>
  <c r="B303" i="50"/>
  <c r="F299" i="50"/>
  <c r="P239" i="50" l="1"/>
  <c r="P238" i="50"/>
  <c r="W239" i="50" s="1"/>
  <c r="Y223" i="50"/>
  <c r="Z223" i="50"/>
  <c r="P207" i="50" l="1"/>
  <c r="P186" i="50"/>
  <c r="P146" i="50"/>
  <c r="P106" i="50"/>
  <c r="R183" i="50" l="1"/>
  <c r="R182" i="50"/>
  <c r="R143" i="50"/>
  <c r="R142" i="50"/>
  <c r="R103" i="50"/>
  <c r="R102" i="50"/>
  <c r="P66" i="50" l="1"/>
  <c r="R63" i="50"/>
  <c r="R62" i="50"/>
  <c r="R24" i="50" l="1"/>
  <c r="R25" i="50"/>
  <c r="T13" i="50"/>
  <c r="B26" i="50" l="1"/>
  <c r="P575" i="52"/>
  <c r="P573" i="52"/>
  <c r="P573" i="54"/>
  <c r="P575" i="54"/>
  <c r="P432" i="54" l="1"/>
  <c r="P431" i="52"/>
  <c r="P431" i="54"/>
  <c r="P426" i="52"/>
  <c r="P426" i="54"/>
  <c r="T394" i="54" l="1"/>
  <c r="T252" i="54" l="1"/>
  <c r="T253" i="54"/>
  <c r="T254" i="54"/>
  <c r="AA349" i="54" l="1"/>
  <c r="AA348" i="54"/>
  <c r="AA347" i="54"/>
  <c r="AB344" i="54"/>
  <c r="AA344" i="54"/>
  <c r="BI344" i="54" s="1"/>
  <c r="AA343" i="54"/>
  <c r="AA342" i="54"/>
  <c r="AA274" i="54"/>
  <c r="AA273" i="54"/>
  <c r="AA272" i="54"/>
  <c r="BI272" i="54" s="1"/>
  <c r="AA269" i="54"/>
  <c r="BI269" i="54" s="1"/>
  <c r="AA268" i="54"/>
  <c r="AA267" i="54"/>
  <c r="AA198" i="54"/>
  <c r="BI198" i="54"/>
  <c r="AA197" i="54"/>
  <c r="AA196" i="54"/>
  <c r="AA193" i="54"/>
  <c r="AA192" i="54"/>
  <c r="AA191" i="54"/>
  <c r="S349" i="54"/>
  <c r="S348" i="54"/>
  <c r="AB348" i="54" s="1"/>
  <c r="BJ348" i="54" s="1"/>
  <c r="S347" i="54"/>
  <c r="T347" i="54" s="1"/>
  <c r="S344" i="54"/>
  <c r="AO344" i="54"/>
  <c r="S343" i="54"/>
  <c r="AU343" i="54" s="1"/>
  <c r="S342" i="54"/>
  <c r="S274" i="54"/>
  <c r="T274" i="54" s="1"/>
  <c r="S273" i="54"/>
  <c r="T273" i="54"/>
  <c r="S272" i="54"/>
  <c r="S269" i="54"/>
  <c r="T269" i="54" s="1"/>
  <c r="AI269" i="54" s="1"/>
  <c r="AO269" i="54"/>
  <c r="S268" i="54"/>
  <c r="S267" i="54"/>
  <c r="T267" i="54" s="1"/>
  <c r="S198" i="54"/>
  <c r="S197" i="54"/>
  <c r="T197" i="54"/>
  <c r="S196" i="54"/>
  <c r="T196" i="54" s="1"/>
  <c r="AP196" i="54" s="1"/>
  <c r="S193" i="54"/>
  <c r="AO193" i="54" s="1"/>
  <c r="S192" i="54"/>
  <c r="BD192" i="54" s="1"/>
  <c r="S191" i="54"/>
  <c r="BG191" i="54" s="1"/>
  <c r="S40" i="54"/>
  <c r="T40" i="54"/>
  <c r="AI40" i="54" s="1"/>
  <c r="S39" i="54"/>
  <c r="AO39" i="54" s="1"/>
  <c r="S38" i="54"/>
  <c r="T38" i="54"/>
  <c r="S34" i="54"/>
  <c r="T34" i="54" s="1"/>
  <c r="Y34" i="54" s="1"/>
  <c r="S35" i="54"/>
  <c r="T35" i="54" s="1"/>
  <c r="U18" i="54"/>
  <c r="R21" i="39"/>
  <c r="T63" i="60"/>
  <c r="S51" i="60"/>
  <c r="N13" i="39"/>
  <c r="R10" i="39"/>
  <c r="Y16" i="39"/>
  <c r="Y14" i="39"/>
  <c r="C11" i="62"/>
  <c r="C9" i="62"/>
  <c r="D8" i="46"/>
  <c r="I6" i="46" s="1"/>
  <c r="E2" i="47"/>
  <c r="S38" i="22"/>
  <c r="P38" i="22" s="1"/>
  <c r="L50" i="22" s="1"/>
  <c r="V50" i="22" s="1"/>
  <c r="P50" i="22" s="1"/>
  <c r="L9" i="63"/>
  <c r="L10" i="63"/>
  <c r="L11" i="63"/>
  <c r="L12" i="63"/>
  <c r="L13" i="63"/>
  <c r="L14" i="63"/>
  <c r="L15" i="63"/>
  <c r="L16" i="63"/>
  <c r="L17" i="63"/>
  <c r="L18" i="63"/>
  <c r="L19" i="63"/>
  <c r="L20" i="63"/>
  <c r="L21" i="63"/>
  <c r="L22" i="63"/>
  <c r="L23" i="63"/>
  <c r="L24" i="63"/>
  <c r="L25" i="63"/>
  <c r="L26" i="63"/>
  <c r="H7" i="61"/>
  <c r="H10" i="61" s="1"/>
  <c r="K74" i="60" s="1"/>
  <c r="C113" i="35"/>
  <c r="C114" i="35"/>
  <c r="C115" i="35"/>
  <c r="C116" i="35"/>
  <c r="C117" i="35"/>
  <c r="C118" i="35"/>
  <c r="C119" i="35"/>
  <c r="C120" i="35"/>
  <c r="C121" i="35"/>
  <c r="C122" i="35"/>
  <c r="C123" i="35"/>
  <c r="C124" i="35"/>
  <c r="C125" i="35"/>
  <c r="C126" i="35"/>
  <c r="C127" i="35"/>
  <c r="C128" i="35"/>
  <c r="C129" i="35"/>
  <c r="C130" i="35"/>
  <c r="C131" i="35"/>
  <c r="C132" i="35"/>
  <c r="C133" i="35"/>
  <c r="C134" i="35"/>
  <c r="C135" i="35"/>
  <c r="C136" i="35"/>
  <c r="C137" i="35"/>
  <c r="C138" i="35"/>
  <c r="C139" i="35"/>
  <c r="C140" i="35"/>
  <c r="C141" i="35"/>
  <c r="C142" i="35"/>
  <c r="C143" i="35"/>
  <c r="C144" i="35"/>
  <c r="C145" i="35"/>
  <c r="C146" i="35"/>
  <c r="C147" i="35"/>
  <c r="C148" i="35"/>
  <c r="C149" i="35"/>
  <c r="C150" i="35"/>
  <c r="C151" i="35"/>
  <c r="C152" i="35"/>
  <c r="C153" i="35"/>
  <c r="G2" i="47"/>
  <c r="H2" i="47"/>
  <c r="L13" i="55"/>
  <c r="M13" i="55"/>
  <c r="L14" i="55"/>
  <c r="M14" i="55"/>
  <c r="L15" i="55"/>
  <c r="M15" i="55"/>
  <c r="L16" i="55"/>
  <c r="M16" i="55"/>
  <c r="L17" i="55"/>
  <c r="M17" i="55"/>
  <c r="L18" i="55"/>
  <c r="M18" i="55"/>
  <c r="L19" i="55"/>
  <c r="M19" i="55"/>
  <c r="L20" i="55"/>
  <c r="M20" i="55"/>
  <c r="L21" i="55"/>
  <c r="M21" i="55"/>
  <c r="L22" i="55"/>
  <c r="M22" i="55"/>
  <c r="L23" i="55"/>
  <c r="M23" i="55"/>
  <c r="L24" i="55"/>
  <c r="M24" i="55"/>
  <c r="L25" i="55"/>
  <c r="M25" i="55"/>
  <c r="L26" i="55"/>
  <c r="M26" i="55"/>
  <c r="L27" i="55"/>
  <c r="M27" i="55"/>
  <c r="L28" i="55"/>
  <c r="M28" i="55"/>
  <c r="L29" i="55"/>
  <c r="M29" i="55"/>
  <c r="L30" i="55"/>
  <c r="M30" i="55"/>
  <c r="L31" i="55"/>
  <c r="M31" i="55"/>
  <c r="L32" i="55"/>
  <c r="M32" i="55"/>
  <c r="L33" i="55"/>
  <c r="M33" i="55"/>
  <c r="L34" i="55"/>
  <c r="M34" i="55"/>
  <c r="L35" i="55"/>
  <c r="M35" i="55"/>
  <c r="L36" i="55"/>
  <c r="M36" i="55"/>
  <c r="L37" i="55"/>
  <c r="M37" i="55"/>
  <c r="L38" i="55"/>
  <c r="M38" i="55"/>
  <c r="L39" i="55"/>
  <c r="M39" i="55"/>
  <c r="L40" i="55"/>
  <c r="M40" i="55"/>
  <c r="L41" i="55"/>
  <c r="M41" i="55"/>
  <c r="L42" i="55"/>
  <c r="M42" i="55"/>
  <c r="L43" i="55"/>
  <c r="M43" i="55"/>
  <c r="L44" i="55"/>
  <c r="M44" i="55"/>
  <c r="L45" i="55"/>
  <c r="M45" i="55"/>
  <c r="L46" i="55"/>
  <c r="M46" i="55"/>
  <c r="L47" i="55"/>
  <c r="M47" i="55"/>
  <c r="L48" i="55"/>
  <c r="M48" i="55"/>
  <c r="L49" i="55"/>
  <c r="M49" i="55"/>
  <c r="L50" i="55"/>
  <c r="M50" i="55"/>
  <c r="L51" i="55"/>
  <c r="M51" i="55"/>
  <c r="L52" i="55"/>
  <c r="M52" i="55"/>
  <c r="L53" i="55"/>
  <c r="M53" i="55"/>
  <c r="L54" i="55"/>
  <c r="M54" i="55"/>
  <c r="L55" i="55"/>
  <c r="M55" i="55"/>
  <c r="L56" i="55"/>
  <c r="M56" i="55"/>
  <c r="L57" i="55"/>
  <c r="M57" i="55"/>
  <c r="L58" i="55"/>
  <c r="M58" i="55"/>
  <c r="L59" i="55"/>
  <c r="M59" i="55"/>
  <c r="L60" i="55"/>
  <c r="M60" i="55"/>
  <c r="L61" i="55"/>
  <c r="M61" i="55"/>
  <c r="L62" i="55"/>
  <c r="M62" i="55"/>
  <c r="L63" i="55"/>
  <c r="M63" i="55"/>
  <c r="L64" i="55"/>
  <c r="M64" i="55"/>
  <c r="L65" i="55"/>
  <c r="M65" i="55"/>
  <c r="L66" i="55"/>
  <c r="M66" i="55"/>
  <c r="L67" i="55"/>
  <c r="M67" i="55"/>
  <c r="L68" i="55"/>
  <c r="M68" i="55"/>
  <c r="L69" i="55"/>
  <c r="M69" i="55"/>
  <c r="L70" i="55"/>
  <c r="M70" i="55"/>
  <c r="L71" i="55"/>
  <c r="M71" i="55"/>
  <c r="L72" i="55"/>
  <c r="M72" i="55"/>
  <c r="L73" i="55"/>
  <c r="M73" i="55"/>
  <c r="L74" i="55"/>
  <c r="M74" i="55"/>
  <c r="L75" i="55"/>
  <c r="M75" i="55"/>
  <c r="L76" i="55"/>
  <c r="M76" i="55"/>
  <c r="L77" i="55"/>
  <c r="M77" i="55"/>
  <c r="L78" i="55"/>
  <c r="M78" i="55"/>
  <c r="AJ78" i="55"/>
  <c r="K79" i="55"/>
  <c r="L79" i="55"/>
  <c r="M79" i="55"/>
  <c r="AJ79" i="55"/>
  <c r="AK79" i="55"/>
  <c r="K80" i="55"/>
  <c r="L80" i="55"/>
  <c r="M80" i="55"/>
  <c r="AJ80" i="55"/>
  <c r="AK80" i="55"/>
  <c r="K81" i="55"/>
  <c r="L81" i="55"/>
  <c r="M81" i="55"/>
  <c r="AJ81" i="55"/>
  <c r="AK81" i="55"/>
  <c r="K82" i="55"/>
  <c r="L82" i="55"/>
  <c r="M82" i="55"/>
  <c r="AJ82" i="55"/>
  <c r="AK82" i="55"/>
  <c r="K83" i="55"/>
  <c r="L83" i="55"/>
  <c r="M83" i="55"/>
  <c r="AJ83" i="55"/>
  <c r="AK83" i="55"/>
  <c r="K84" i="55"/>
  <c r="L84" i="55"/>
  <c r="M84" i="55"/>
  <c r="AJ84" i="55"/>
  <c r="AK84" i="55"/>
  <c r="K85" i="55"/>
  <c r="L85" i="55"/>
  <c r="M85" i="55"/>
  <c r="AJ85" i="55"/>
  <c r="AK85" i="55"/>
  <c r="K86" i="55"/>
  <c r="L86" i="55"/>
  <c r="M86" i="55"/>
  <c r="AJ86" i="55"/>
  <c r="AK86" i="55"/>
  <c r="K87" i="55"/>
  <c r="L87" i="55"/>
  <c r="M87" i="55"/>
  <c r="AJ87" i="55"/>
  <c r="AK87" i="55"/>
  <c r="K88" i="55"/>
  <c r="L88" i="55"/>
  <c r="M88" i="55"/>
  <c r="AJ88" i="55"/>
  <c r="AK88" i="55"/>
  <c r="K89" i="55"/>
  <c r="L89" i="55"/>
  <c r="M89" i="55"/>
  <c r="AJ89" i="55"/>
  <c r="AK89" i="55"/>
  <c r="K90" i="55"/>
  <c r="L90" i="55"/>
  <c r="M90" i="55"/>
  <c r="AJ90" i="55"/>
  <c r="AK90" i="55"/>
  <c r="K91" i="55"/>
  <c r="L91" i="55"/>
  <c r="M91" i="55"/>
  <c r="AJ91" i="55"/>
  <c r="AK91" i="55"/>
  <c r="K92" i="55"/>
  <c r="L92" i="55"/>
  <c r="M92" i="55"/>
  <c r="AJ92" i="55"/>
  <c r="AK92" i="55"/>
  <c r="K93" i="55"/>
  <c r="L93" i="55"/>
  <c r="M93" i="55"/>
  <c r="AJ93" i="55"/>
  <c r="AK93" i="55"/>
  <c r="K94" i="55"/>
  <c r="L94" i="55"/>
  <c r="M94" i="55"/>
  <c r="AJ94" i="55"/>
  <c r="AK94" i="55"/>
  <c r="K95" i="55"/>
  <c r="L95" i="55"/>
  <c r="M95" i="55"/>
  <c r="AJ95" i="55"/>
  <c r="AK95" i="55"/>
  <c r="K96" i="55"/>
  <c r="L96" i="55"/>
  <c r="M96" i="55"/>
  <c r="AJ96" i="55"/>
  <c r="AK96" i="55"/>
  <c r="K97" i="55"/>
  <c r="L97" i="55"/>
  <c r="M97" i="55"/>
  <c r="AJ97" i="55"/>
  <c r="AK97" i="55"/>
  <c r="K98" i="55"/>
  <c r="L98" i="55"/>
  <c r="M98" i="55"/>
  <c r="AJ98" i="55"/>
  <c r="AK98" i="55"/>
  <c r="K99" i="55"/>
  <c r="L99" i="55"/>
  <c r="M99" i="55"/>
  <c r="AJ99" i="55"/>
  <c r="AK99" i="55"/>
  <c r="K100" i="55"/>
  <c r="L100" i="55"/>
  <c r="M100" i="55"/>
  <c r="Q100" i="55"/>
  <c r="AJ100" i="55"/>
  <c r="AK100" i="55"/>
  <c r="K101" i="55"/>
  <c r="L101" i="55"/>
  <c r="M101" i="55"/>
  <c r="Q101" i="55"/>
  <c r="AJ101" i="55"/>
  <c r="AK101" i="55"/>
  <c r="K102" i="55"/>
  <c r="L102" i="55"/>
  <c r="M102" i="55"/>
  <c r="Q102" i="55"/>
  <c r="AJ102" i="55"/>
  <c r="AK102" i="55"/>
  <c r="L103" i="55"/>
  <c r="M103" i="55"/>
  <c r="Q103" i="55"/>
  <c r="AH103" i="55"/>
  <c r="AJ103" i="55"/>
  <c r="AK103" i="55"/>
  <c r="AJ104" i="55"/>
  <c r="AK104" i="55"/>
  <c r="AJ105" i="55"/>
  <c r="AK105" i="55"/>
  <c r="AJ106" i="55"/>
  <c r="AK106" i="55"/>
  <c r="AJ107" i="55"/>
  <c r="AK107" i="55"/>
  <c r="AJ108" i="55"/>
  <c r="AK108" i="55"/>
  <c r="AJ109" i="55"/>
  <c r="AK109" i="55"/>
  <c r="AJ110" i="55"/>
  <c r="AK110" i="55"/>
  <c r="AJ111" i="55"/>
  <c r="AK111" i="55"/>
  <c r="AJ112" i="55"/>
  <c r="AK112" i="55"/>
  <c r="AJ113" i="55"/>
  <c r="AK113" i="55"/>
  <c r="AJ114" i="55"/>
  <c r="AK114" i="55"/>
  <c r="AJ115" i="55"/>
  <c r="AK115" i="55"/>
  <c r="AJ116" i="55"/>
  <c r="AK116" i="55"/>
  <c r="AJ117" i="55"/>
  <c r="AK117" i="55"/>
  <c r="AJ118" i="55"/>
  <c r="AK118" i="55"/>
  <c r="AJ119" i="55"/>
  <c r="AK119" i="55"/>
  <c r="AJ120" i="55"/>
  <c r="AK120" i="55"/>
  <c r="AJ121" i="55"/>
  <c r="AK121" i="55"/>
  <c r="AJ122" i="55"/>
  <c r="AK122" i="55"/>
  <c r="AJ123" i="55"/>
  <c r="AK123" i="55"/>
  <c r="AJ124" i="55"/>
  <c r="AK124" i="55"/>
  <c r="AJ125" i="55"/>
  <c r="AK125" i="55"/>
  <c r="AJ126" i="55"/>
  <c r="AK126" i="55"/>
  <c r="AJ127" i="55"/>
  <c r="AK127" i="55"/>
  <c r="AJ128" i="55"/>
  <c r="AK128" i="55"/>
  <c r="AJ129" i="55"/>
  <c r="AK129" i="55"/>
  <c r="AJ130" i="55"/>
  <c r="AK130" i="55"/>
  <c r="AJ131" i="55"/>
  <c r="AK131" i="55"/>
  <c r="AJ132" i="55"/>
  <c r="AK132" i="55"/>
  <c r="AJ133" i="55"/>
  <c r="AK133" i="55"/>
  <c r="AJ134" i="55"/>
  <c r="AK134" i="55"/>
  <c r="AJ135" i="55"/>
  <c r="AK135" i="55"/>
  <c r="AJ136" i="55"/>
  <c r="AK136" i="55"/>
  <c r="AJ137" i="55"/>
  <c r="AK137" i="55"/>
  <c r="AJ138" i="55"/>
  <c r="AK138" i="55"/>
  <c r="AJ139" i="55"/>
  <c r="AK139" i="55"/>
  <c r="AJ140" i="55"/>
  <c r="AK140" i="55"/>
  <c r="AJ141" i="55"/>
  <c r="AK141" i="55"/>
  <c r="AJ142" i="55"/>
  <c r="AK142" i="55"/>
  <c r="AJ143" i="55"/>
  <c r="AK143" i="55"/>
  <c r="AJ144" i="55"/>
  <c r="AK144" i="55"/>
  <c r="AJ145" i="55"/>
  <c r="AK145" i="55"/>
  <c r="AJ146" i="55"/>
  <c r="AK146" i="55"/>
  <c r="AJ147" i="55"/>
  <c r="AK147" i="55"/>
  <c r="AJ148" i="55"/>
  <c r="AK148" i="55"/>
  <c r="AJ149" i="55"/>
  <c r="AK149" i="55"/>
  <c r="AJ150" i="55"/>
  <c r="AK150" i="55"/>
  <c r="AJ151" i="55"/>
  <c r="AK151" i="55"/>
  <c r="AJ152" i="55"/>
  <c r="AK152" i="55"/>
  <c r="AJ153" i="55"/>
  <c r="AK153" i="55"/>
  <c r="E1" i="29"/>
  <c r="M1" i="29"/>
  <c r="S1" i="29"/>
  <c r="U1" i="29" s="1"/>
  <c r="C10" i="29" s="1"/>
  <c r="M8" i="29"/>
  <c r="R8" i="29" s="1"/>
  <c r="P4" i="29" s="1"/>
  <c r="E1" i="30"/>
  <c r="M1" i="30"/>
  <c r="S1" i="30"/>
  <c r="T1" i="30" s="1"/>
  <c r="I23" i="30" s="1"/>
  <c r="P6" i="30"/>
  <c r="L19" i="30" s="1"/>
  <c r="R19" i="30" s="1"/>
  <c r="P19" i="30" s="1"/>
  <c r="S19" i="30" s="1"/>
  <c r="P12" i="30"/>
  <c r="L20" i="30" s="1"/>
  <c r="R20" i="30" s="1"/>
  <c r="P20" i="30" s="1"/>
  <c r="S20" i="30" s="1"/>
  <c r="M1" i="24"/>
  <c r="S1" i="24"/>
  <c r="U1" i="24" s="1"/>
  <c r="C55" i="24" s="1"/>
  <c r="P4" i="24"/>
  <c r="L43" i="24" s="1"/>
  <c r="R43" i="24" s="1"/>
  <c r="P43" i="24" s="1"/>
  <c r="T43" i="24" s="1"/>
  <c r="P8" i="24"/>
  <c r="L44" i="24" s="1"/>
  <c r="R44" i="24" s="1"/>
  <c r="P44" i="24" s="1"/>
  <c r="T44" i="24" s="1"/>
  <c r="P11" i="24"/>
  <c r="L45" i="24" s="1"/>
  <c r="R45" i="24" s="1"/>
  <c r="P45" i="24" s="1"/>
  <c r="T45" i="24" s="1"/>
  <c r="P15" i="24"/>
  <c r="L46" i="24" s="1"/>
  <c r="R46" i="24" s="1"/>
  <c r="P46" i="24" s="1"/>
  <c r="T46" i="24" s="1"/>
  <c r="P18" i="24"/>
  <c r="L47" i="24"/>
  <c r="R47" i="24" s="1"/>
  <c r="P47" i="24" s="1"/>
  <c r="T47" i="24" s="1"/>
  <c r="P22" i="24"/>
  <c r="L48" i="24"/>
  <c r="R48" i="24" s="1"/>
  <c r="P48" i="24" s="1"/>
  <c r="T48" i="24" s="1"/>
  <c r="P26" i="24"/>
  <c r="L49" i="24" s="1"/>
  <c r="R49" i="24" s="1"/>
  <c r="P49" i="24" s="1"/>
  <c r="T49" i="24" s="1"/>
  <c r="P30" i="24"/>
  <c r="L50" i="24" s="1"/>
  <c r="R50" i="24" s="1"/>
  <c r="P50" i="24" s="1"/>
  <c r="T50" i="24" s="1"/>
  <c r="P35" i="24"/>
  <c r="L51" i="24" s="1"/>
  <c r="R51" i="24" s="1"/>
  <c r="P51" i="24" s="1"/>
  <c r="T51" i="24" s="1"/>
  <c r="P38" i="24"/>
  <c r="L52" i="24" s="1"/>
  <c r="R52" i="24" s="1"/>
  <c r="P52" i="24" s="1"/>
  <c r="T52" i="24" s="1"/>
  <c r="E1" i="25"/>
  <c r="M1" i="25"/>
  <c r="S1" i="25"/>
  <c r="T1" i="25" s="1"/>
  <c r="I81" i="25" s="1"/>
  <c r="P4" i="25"/>
  <c r="L65" i="25" s="1"/>
  <c r="R65" i="25" s="1"/>
  <c r="P65" i="25" s="1"/>
  <c r="S65" i="25" s="1"/>
  <c r="P8" i="25"/>
  <c r="L66" i="25" s="1"/>
  <c r="R66" i="25" s="1"/>
  <c r="P66" i="25" s="1"/>
  <c r="S66" i="25" s="1"/>
  <c r="P13" i="25"/>
  <c r="L67" i="25" s="1"/>
  <c r="R67" i="25" s="1"/>
  <c r="P67" i="25" s="1"/>
  <c r="S67" i="25" s="1"/>
  <c r="P18" i="25"/>
  <c r="L68" i="25"/>
  <c r="R68" i="25"/>
  <c r="P68" i="25" s="1"/>
  <c r="S68" i="25" s="1"/>
  <c r="P22" i="25"/>
  <c r="L69" i="25" s="1"/>
  <c r="R69" i="25" s="1"/>
  <c r="P69" i="25" s="1"/>
  <c r="S69" i="25" s="1"/>
  <c r="T27" i="25"/>
  <c r="P27" i="25"/>
  <c r="L70" i="25"/>
  <c r="P70" i="25"/>
  <c r="S70" i="25"/>
  <c r="P28" i="25"/>
  <c r="L71" i="25"/>
  <c r="R71" i="25" s="1"/>
  <c r="P71" i="25" s="1"/>
  <c r="S71" i="25" s="1"/>
  <c r="P33" i="25"/>
  <c r="L72" i="25" s="1"/>
  <c r="R72" i="25" s="1"/>
  <c r="P72" i="25" s="1"/>
  <c r="S72" i="25" s="1"/>
  <c r="T38" i="25"/>
  <c r="P38" i="25"/>
  <c r="L73" i="25"/>
  <c r="P73" i="25"/>
  <c r="S73" i="25"/>
  <c r="P39" i="25"/>
  <c r="L74" i="25"/>
  <c r="P74" i="25"/>
  <c r="S74" i="25" s="1"/>
  <c r="P43" i="25"/>
  <c r="P48" i="25"/>
  <c r="L76" i="25" s="1"/>
  <c r="R76" i="25" s="1"/>
  <c r="P76" i="25" s="1"/>
  <c r="S76" i="25" s="1"/>
  <c r="S53" i="25"/>
  <c r="S54" i="25"/>
  <c r="S55" i="25"/>
  <c r="P58" i="25"/>
  <c r="L78" i="25"/>
  <c r="R78" i="25" s="1"/>
  <c r="P78" i="25" s="1"/>
  <c r="S78" i="25" s="1"/>
  <c r="L75" i="25"/>
  <c r="R75" i="25" s="1"/>
  <c r="P75" i="25" s="1"/>
  <c r="S75" i="25" s="1"/>
  <c r="E1" i="26"/>
  <c r="M1" i="26"/>
  <c r="S1" i="26"/>
  <c r="T1" i="26" s="1"/>
  <c r="I24" i="26" s="1"/>
  <c r="P4" i="26"/>
  <c r="L19" i="26" s="1"/>
  <c r="R19" i="26" s="1"/>
  <c r="P19" i="26" s="1"/>
  <c r="T19" i="26" s="1"/>
  <c r="P9" i="26"/>
  <c r="L20" i="26"/>
  <c r="R20" i="26"/>
  <c r="P20" i="26"/>
  <c r="T20" i="26"/>
  <c r="P14" i="26"/>
  <c r="L21" i="26"/>
  <c r="R21" i="26"/>
  <c r="P21" i="26"/>
  <c r="T21" i="26"/>
  <c r="E1" i="31"/>
  <c r="M1" i="31"/>
  <c r="S1" i="31"/>
  <c r="U1" i="31" s="1"/>
  <c r="C21" i="31" s="1"/>
  <c r="M6" i="31"/>
  <c r="S6" i="31" s="1"/>
  <c r="P4" i="31" s="1"/>
  <c r="S17" i="31" s="1"/>
  <c r="M10" i="31"/>
  <c r="S10" i="31" s="1"/>
  <c r="P7" i="31" s="1"/>
  <c r="S18" i="31" s="1"/>
  <c r="V12" i="31"/>
  <c r="V13" i="31"/>
  <c r="E1" i="36"/>
  <c r="M1" i="36"/>
  <c r="S1" i="36"/>
  <c r="U1" i="36" s="1"/>
  <c r="C17" i="36" s="1"/>
  <c r="P10" i="36"/>
  <c r="S12" i="36" s="1"/>
  <c r="P12" i="36" s="1"/>
  <c r="E1" i="22"/>
  <c r="M1" i="22"/>
  <c r="S1" i="22"/>
  <c r="U1" i="22" s="1"/>
  <c r="C53" i="22" s="1"/>
  <c r="S4" i="22"/>
  <c r="P4" i="22" s="1"/>
  <c r="L41" i="22" s="1"/>
  <c r="V41" i="22" s="1"/>
  <c r="P41" i="22" s="1"/>
  <c r="P8" i="22"/>
  <c r="L42" i="22" s="1"/>
  <c r="V42" i="22" s="1"/>
  <c r="P42" i="22" s="1"/>
  <c r="S11" i="22"/>
  <c r="S12" i="22"/>
  <c r="P12" i="22"/>
  <c r="L44" i="22"/>
  <c r="S14" i="22"/>
  <c r="P14" i="22"/>
  <c r="L45" i="22"/>
  <c r="V45" i="22"/>
  <c r="P15" i="22"/>
  <c r="L46" i="22" s="1"/>
  <c r="V46" i="22" s="1"/>
  <c r="P46" i="22" s="1"/>
  <c r="P21" i="22"/>
  <c r="L47" i="22" s="1"/>
  <c r="V47" i="22" s="1"/>
  <c r="P47" i="22" s="1"/>
  <c r="S26" i="22"/>
  <c r="P26" i="22" s="1"/>
  <c r="L48" i="22" s="1"/>
  <c r="V48" i="22" s="1"/>
  <c r="P48" i="22" s="1"/>
  <c r="P31" i="22"/>
  <c r="L49" i="22"/>
  <c r="V49" i="22" s="1"/>
  <c r="P49" i="22" s="1"/>
  <c r="D1" i="33"/>
  <c r="M1" i="33"/>
  <c r="S1" i="33"/>
  <c r="U1" i="33" s="1"/>
  <c r="J12" i="33" s="1"/>
  <c r="M5" i="33"/>
  <c r="W5" i="33" s="1"/>
  <c r="P5" i="33" s="1"/>
  <c r="M6" i="33"/>
  <c r="W6" i="33" s="1"/>
  <c r="P6" i="33" s="1"/>
  <c r="M7" i="33"/>
  <c r="W7" i="33" s="1"/>
  <c r="P7" i="33" s="1"/>
  <c r="P8" i="33"/>
  <c r="D1" i="23"/>
  <c r="M1" i="23"/>
  <c r="S1" i="23"/>
  <c r="T1" i="23" s="1"/>
  <c r="I17" i="23" s="1"/>
  <c r="M5" i="23"/>
  <c r="W5" i="23" s="1"/>
  <c r="P5" i="23" s="1"/>
  <c r="M6" i="23"/>
  <c r="W6" i="23"/>
  <c r="P6" i="23" s="1"/>
  <c r="M7" i="23"/>
  <c r="W7" i="23"/>
  <c r="P7" i="23" s="1"/>
  <c r="M8" i="23"/>
  <c r="W8" i="23" s="1"/>
  <c r="P8" i="23" s="1"/>
  <c r="M9" i="23"/>
  <c r="W9" i="23"/>
  <c r="P9" i="23" s="1"/>
  <c r="M10" i="23"/>
  <c r="W10" i="23" s="1"/>
  <c r="P10" i="23" s="1"/>
  <c r="P11" i="23"/>
  <c r="C1" i="64"/>
  <c r="L1" i="64"/>
  <c r="S1" i="64"/>
  <c r="U1" i="64" s="1"/>
  <c r="C8" i="64" s="1"/>
  <c r="P10" i="64"/>
  <c r="P5" i="64" s="1"/>
  <c r="C1" i="21"/>
  <c r="L1" i="21"/>
  <c r="S1" i="21"/>
  <c r="U1" i="21" s="1"/>
  <c r="C9" i="21" s="1"/>
  <c r="P4" i="21"/>
  <c r="P5" i="21"/>
  <c r="P6" i="21"/>
  <c r="C1" i="32"/>
  <c r="L1" i="32"/>
  <c r="S1" i="32"/>
  <c r="T1" i="32" s="1"/>
  <c r="I19" i="32" s="1"/>
  <c r="S6" i="32"/>
  <c r="O6" i="32"/>
  <c r="S7" i="32"/>
  <c r="O7" i="32" s="1"/>
  <c r="S8" i="32"/>
  <c r="O8" i="32" s="1"/>
  <c r="S9" i="32"/>
  <c r="O9" i="32" s="1"/>
  <c r="S10" i="32"/>
  <c r="O10" i="32"/>
  <c r="S11" i="32"/>
  <c r="O11" i="32" s="1"/>
  <c r="S12" i="32"/>
  <c r="O12" i="32" s="1"/>
  <c r="S13" i="32"/>
  <c r="O13" i="32" s="1"/>
  <c r="S14" i="32"/>
  <c r="O14" i="32" s="1"/>
  <c r="S15" i="32"/>
  <c r="O15" i="32" s="1"/>
  <c r="S16" i="32"/>
  <c r="P6" i="32" s="1"/>
  <c r="F1" i="37"/>
  <c r="L1" i="37"/>
  <c r="S1" i="37"/>
  <c r="U1" i="37" s="1"/>
  <c r="F150" i="37" s="1"/>
  <c r="T6" i="37"/>
  <c r="L3" i="38" s="1"/>
  <c r="M3" i="38" s="1"/>
  <c r="N3" i="38" s="1"/>
  <c r="M6" i="37" s="1"/>
  <c r="T7" i="37"/>
  <c r="L4" i="38" s="1"/>
  <c r="M4" i="38" s="1"/>
  <c r="N4" i="38" s="1"/>
  <c r="M7" i="37" s="1"/>
  <c r="T8" i="37"/>
  <c r="L5" i="38" s="1"/>
  <c r="M5" i="38" s="1"/>
  <c r="N5" i="38" s="1"/>
  <c r="M8" i="37" s="1"/>
  <c r="T9" i="37"/>
  <c r="L6" i="38" s="1"/>
  <c r="M6" i="38" s="1"/>
  <c r="N6" i="38" s="1"/>
  <c r="M9" i="37" s="1"/>
  <c r="T10" i="37"/>
  <c r="L7" i="38" s="1"/>
  <c r="M7" i="38" s="1"/>
  <c r="N7" i="38" s="1"/>
  <c r="M10" i="37" s="1"/>
  <c r="T11" i="37"/>
  <c r="L8" i="38" s="1"/>
  <c r="M8" i="38" s="1"/>
  <c r="N8" i="38" s="1"/>
  <c r="M11" i="37" s="1"/>
  <c r="B42" i="37"/>
  <c r="O14" i="37"/>
  <c r="B45" i="37" s="1"/>
  <c r="AA39" i="37" s="1"/>
  <c r="C42" i="37"/>
  <c r="U39" i="37" s="1"/>
  <c r="O15" i="37"/>
  <c r="C45" i="37"/>
  <c r="AB39" i="37" s="1"/>
  <c r="D42" i="37"/>
  <c r="V39" i="37" s="1"/>
  <c r="O16" i="37"/>
  <c r="D45" i="37" s="1"/>
  <c r="AC39" i="37" s="1"/>
  <c r="E42" i="37"/>
  <c r="W39" i="37" s="1"/>
  <c r="O17" i="37"/>
  <c r="F42" i="37"/>
  <c r="X39" i="37" s="1"/>
  <c r="O18" i="37"/>
  <c r="F45" i="37" s="1"/>
  <c r="AE39" i="37" s="1"/>
  <c r="O19" i="37"/>
  <c r="H42" i="37"/>
  <c r="Z39" i="37" s="1"/>
  <c r="O20" i="37"/>
  <c r="H45" i="37" s="1"/>
  <c r="AG39" i="37" s="1"/>
  <c r="S24" i="37"/>
  <c r="T24" i="37"/>
  <c r="U24" i="37"/>
  <c r="AG24" i="37" s="1"/>
  <c r="AJ24" i="37" s="1"/>
  <c r="V24" i="37"/>
  <c r="W24" i="37"/>
  <c r="X24" i="37"/>
  <c r="Y24" i="37"/>
  <c r="Z24" i="37"/>
  <c r="AA24" i="37"/>
  <c r="AB24" i="37"/>
  <c r="AC24" i="37"/>
  <c r="AD24" i="37"/>
  <c r="AE24" i="37"/>
  <c r="B29" i="37"/>
  <c r="C29" i="37"/>
  <c r="D29" i="37"/>
  <c r="E29" i="37"/>
  <c r="F29" i="37"/>
  <c r="G29" i="37"/>
  <c r="H29" i="37"/>
  <c r="I29" i="37"/>
  <c r="J29" i="37"/>
  <c r="K29" i="37"/>
  <c r="L29" i="37"/>
  <c r="M29" i="37"/>
  <c r="N29" i="37"/>
  <c r="P33" i="37"/>
  <c r="G47" i="37" s="1"/>
  <c r="K47" i="37" s="1"/>
  <c r="G42" i="37"/>
  <c r="Y39" i="37" s="1"/>
  <c r="E45" i="37"/>
  <c r="AD39" i="37" s="1"/>
  <c r="G45" i="37"/>
  <c r="AF39" i="37" s="1"/>
  <c r="T51" i="37"/>
  <c r="L9" i="38" s="1"/>
  <c r="M9" i="38" s="1"/>
  <c r="N9" i="38" s="1"/>
  <c r="M51" i="37" s="1"/>
  <c r="T52" i="37"/>
  <c r="L10" i="38" s="1"/>
  <c r="M10" i="38" s="1"/>
  <c r="N10" i="38" s="1"/>
  <c r="M52" i="37" s="1"/>
  <c r="T53" i="37"/>
  <c r="L11" i="38" s="1"/>
  <c r="M11" i="38" s="1"/>
  <c r="N11" i="38" s="1"/>
  <c r="M53" i="37" s="1"/>
  <c r="C91" i="37"/>
  <c r="O56" i="37"/>
  <c r="C96" i="37" s="1"/>
  <c r="AF87" i="37" s="1"/>
  <c r="D91" i="37"/>
  <c r="U87" i="37" s="1"/>
  <c r="O57" i="37"/>
  <c r="D96" i="37" s="1"/>
  <c r="AG87" i="37" s="1"/>
  <c r="O58" i="37"/>
  <c r="E96" i="37" s="1"/>
  <c r="AH87" i="37" s="1"/>
  <c r="O59" i="37"/>
  <c r="F96" i="37" s="1"/>
  <c r="AI87" i="37" s="1"/>
  <c r="G91" i="37"/>
  <c r="X87" i="37" s="1"/>
  <c r="O60" i="37"/>
  <c r="G96" i="37" s="1"/>
  <c r="AJ87" i="37" s="1"/>
  <c r="O61" i="37"/>
  <c r="H96" i="37" s="1"/>
  <c r="AK87" i="37" s="1"/>
  <c r="O62" i="37"/>
  <c r="C98" i="37" s="1"/>
  <c r="AL87" i="37" s="1"/>
  <c r="D93" i="37"/>
  <c r="AA87" i="37" s="1"/>
  <c r="O63" i="37"/>
  <c r="D98" i="37"/>
  <c r="AM87" i="37" s="1"/>
  <c r="E93" i="37"/>
  <c r="AB87" i="37" s="1"/>
  <c r="O64" i="37"/>
  <c r="E98" i="37" s="1"/>
  <c r="AN87" i="37" s="1"/>
  <c r="O65" i="37"/>
  <c r="F98" i="37" s="1"/>
  <c r="AO87" i="37" s="1"/>
  <c r="O66" i="37"/>
  <c r="G98" i="37" s="1"/>
  <c r="AP87" i="37" s="1"/>
  <c r="H93" i="37"/>
  <c r="AE87" i="37" s="1"/>
  <c r="O67" i="37"/>
  <c r="H98" i="37" s="1"/>
  <c r="AQ87" i="37" s="1"/>
  <c r="S70" i="37"/>
  <c r="T70" i="37"/>
  <c r="U70" i="37"/>
  <c r="V70" i="37"/>
  <c r="W70" i="37"/>
  <c r="X70" i="37"/>
  <c r="Y70" i="37"/>
  <c r="Z70" i="37"/>
  <c r="AA70" i="37"/>
  <c r="AB70" i="37"/>
  <c r="AC70" i="37"/>
  <c r="AD70" i="37"/>
  <c r="AE70" i="37"/>
  <c r="AF70" i="37"/>
  <c r="AG70" i="37"/>
  <c r="AH70" i="37"/>
  <c r="AI70" i="37"/>
  <c r="AJ70" i="37"/>
  <c r="AK70" i="37"/>
  <c r="AL70" i="37"/>
  <c r="AM70" i="37"/>
  <c r="AN70" i="37"/>
  <c r="AO70" i="37"/>
  <c r="AP70" i="37"/>
  <c r="AQ70" i="37"/>
  <c r="B77" i="37"/>
  <c r="C77" i="37"/>
  <c r="D77" i="37"/>
  <c r="E77" i="37"/>
  <c r="F77" i="37"/>
  <c r="G77" i="37"/>
  <c r="H77" i="37"/>
  <c r="I77" i="37"/>
  <c r="J77" i="37"/>
  <c r="K77" i="37"/>
  <c r="L77" i="37"/>
  <c r="M77" i="37"/>
  <c r="N77" i="37"/>
  <c r="B80" i="37"/>
  <c r="C80" i="37"/>
  <c r="D80" i="37"/>
  <c r="E80" i="37"/>
  <c r="F80" i="37"/>
  <c r="G80" i="37"/>
  <c r="H80" i="37"/>
  <c r="I80" i="37"/>
  <c r="J80" i="37"/>
  <c r="K80" i="37"/>
  <c r="L80" i="37"/>
  <c r="M80" i="37"/>
  <c r="P83" i="37"/>
  <c r="G100" i="37" s="1"/>
  <c r="K100" i="37" s="1"/>
  <c r="AS87" i="37" s="1"/>
  <c r="E91" i="37"/>
  <c r="V87" i="37" s="1"/>
  <c r="F91" i="37"/>
  <c r="W87" i="37" s="1"/>
  <c r="H91" i="37"/>
  <c r="Y87" i="37" s="1"/>
  <c r="C93" i="37"/>
  <c r="Z87" i="37" s="1"/>
  <c r="F93" i="37"/>
  <c r="AC87" i="37" s="1"/>
  <c r="G93" i="37"/>
  <c r="AD87" i="37" s="1"/>
  <c r="T104" i="37"/>
  <c r="L12" i="38" s="1"/>
  <c r="M12" i="38" s="1"/>
  <c r="N12" i="38" s="1"/>
  <c r="M104" i="37" s="1"/>
  <c r="T105" i="37"/>
  <c r="L13" i="38" s="1"/>
  <c r="M13" i="38" s="1"/>
  <c r="N13" i="38" s="1"/>
  <c r="M105" i="37" s="1"/>
  <c r="T106" i="37"/>
  <c r="L14" i="38" s="1"/>
  <c r="M14" i="38" s="1"/>
  <c r="N14" i="38" s="1"/>
  <c r="M106" i="37" s="1"/>
  <c r="T107" i="37"/>
  <c r="L15" i="38" s="1"/>
  <c r="M15" i="38" s="1"/>
  <c r="N15" i="38" s="1"/>
  <c r="M107" i="37" s="1"/>
  <c r="O110" i="37"/>
  <c r="D139" i="37" s="1"/>
  <c r="Y132" i="37" s="1"/>
  <c r="H111" i="37"/>
  <c r="E136" i="37" s="1"/>
  <c r="U132" i="37" s="1"/>
  <c r="O111" i="37"/>
  <c r="E139" i="37" s="1"/>
  <c r="Z132" i="37" s="1"/>
  <c r="H112" i="37"/>
  <c r="F136" i="37" s="1"/>
  <c r="V132" i="37" s="1"/>
  <c r="O112" i="37"/>
  <c r="H113" i="37"/>
  <c r="G136" i="37" s="1"/>
  <c r="W132" i="37" s="1"/>
  <c r="O113" i="37"/>
  <c r="G139" i="37" s="1"/>
  <c r="AB132" i="37" s="1"/>
  <c r="H114" i="37"/>
  <c r="H136" i="37" s="1"/>
  <c r="X132" i="37" s="1"/>
  <c r="O114" i="37"/>
  <c r="H139" i="37" s="1"/>
  <c r="AC132" i="37" s="1"/>
  <c r="S118" i="37"/>
  <c r="T118" i="37"/>
  <c r="U118" i="37"/>
  <c r="V118" i="37"/>
  <c r="W118" i="37"/>
  <c r="X118" i="37"/>
  <c r="Y118" i="37"/>
  <c r="Z118" i="37"/>
  <c r="AA118" i="37"/>
  <c r="AB118" i="37"/>
  <c r="AC118" i="37"/>
  <c r="AD118" i="37"/>
  <c r="B123" i="37"/>
  <c r="C123" i="37"/>
  <c r="D123" i="37"/>
  <c r="E123" i="37"/>
  <c r="F123" i="37"/>
  <c r="G123" i="37"/>
  <c r="H123" i="37"/>
  <c r="I123" i="37"/>
  <c r="J123" i="37"/>
  <c r="K123" i="37"/>
  <c r="L123" i="37"/>
  <c r="M123" i="37"/>
  <c r="P128" i="37"/>
  <c r="G141" i="37" s="1"/>
  <c r="K141" i="37" s="1"/>
  <c r="AE132" i="37" s="1"/>
  <c r="D136" i="37"/>
  <c r="T132" i="37" s="1"/>
  <c r="F139" i="37"/>
  <c r="AA132" i="37" s="1"/>
  <c r="C1" i="41"/>
  <c r="L1" i="41"/>
  <c r="T1" i="41"/>
  <c r="U1" i="41" s="1"/>
  <c r="I39" i="41" s="1"/>
  <c r="K9" i="41"/>
  <c r="T9" i="41"/>
  <c r="Z3" i="28" s="1"/>
  <c r="AA3" i="28" s="1"/>
  <c r="AB3" i="28" s="1"/>
  <c r="E9" i="41" s="1"/>
  <c r="U9" i="41"/>
  <c r="T10" i="41"/>
  <c r="Z4" i="28" s="1"/>
  <c r="AA4" i="28" s="1"/>
  <c r="AB4" i="28" s="1"/>
  <c r="K11" i="41"/>
  <c r="T11" i="41"/>
  <c r="Z5" i="28" s="1"/>
  <c r="AA5" i="28" s="1"/>
  <c r="AB5" i="28" s="1"/>
  <c r="E11" i="41" s="1"/>
  <c r="U11" i="41"/>
  <c r="T12" i="41"/>
  <c r="Z6" i="28" s="1"/>
  <c r="AA6" i="28" s="1"/>
  <c r="AB6" i="28" s="1"/>
  <c r="K13" i="41"/>
  <c r="T13" i="41"/>
  <c r="Z7" i="28"/>
  <c r="AA7" i="28" s="1"/>
  <c r="AB7" i="28" s="1"/>
  <c r="E13" i="41" s="1"/>
  <c r="U13" i="41"/>
  <c r="T14" i="41"/>
  <c r="Z8" i="28" s="1"/>
  <c r="AA8" i="28" s="1"/>
  <c r="AB8" i="28" s="1"/>
  <c r="K15" i="41"/>
  <c r="T15" i="41"/>
  <c r="Z9" i="28" s="1"/>
  <c r="AA9" i="28" s="1"/>
  <c r="AB9" i="28" s="1"/>
  <c r="E15" i="41" s="1"/>
  <c r="U15" i="41"/>
  <c r="T16" i="41"/>
  <c r="Z10" i="28" s="1"/>
  <c r="AA10" i="28" s="1"/>
  <c r="AB10" i="28" s="1"/>
  <c r="K17" i="41"/>
  <c r="T17" i="41"/>
  <c r="Z11" i="28" s="1"/>
  <c r="AA11" i="28" s="1"/>
  <c r="AB11" i="28" s="1"/>
  <c r="E17" i="41" s="1"/>
  <c r="U17" i="41"/>
  <c r="T18" i="41"/>
  <c r="Z12" i="28" s="1"/>
  <c r="AA12" i="28" s="1"/>
  <c r="AB12" i="28" s="1"/>
  <c r="K19" i="41"/>
  <c r="T19" i="41"/>
  <c r="Z13" i="28" s="1"/>
  <c r="AA13" i="28" s="1"/>
  <c r="AB13" i="28" s="1"/>
  <c r="E19" i="41" s="1"/>
  <c r="U19" i="41"/>
  <c r="T20" i="41"/>
  <c r="Z14" i="28" s="1"/>
  <c r="AA14" i="28" s="1"/>
  <c r="AB14" i="28" s="1"/>
  <c r="Y14" i="41"/>
  <c r="Z14" i="41"/>
  <c r="Y15" i="41"/>
  <c r="Z15" i="41"/>
  <c r="Y16" i="41"/>
  <c r="Z16" i="41"/>
  <c r="Y17" i="41"/>
  <c r="Z17" i="41"/>
  <c r="Y18" i="41"/>
  <c r="Z18" i="41"/>
  <c r="Y19" i="41"/>
  <c r="Z19" i="41"/>
  <c r="P24" i="41"/>
  <c r="D34" i="41"/>
  <c r="P25" i="41"/>
  <c r="D35" i="41"/>
  <c r="T35" i="41"/>
  <c r="P28" i="41"/>
  <c r="D36" i="41" s="1"/>
  <c r="S36" i="41" s="1"/>
  <c r="H36" i="41" s="1"/>
  <c r="T36" i="41" s="1"/>
  <c r="C1" i="27"/>
  <c r="L1" i="27"/>
  <c r="T1" i="27"/>
  <c r="U1" i="27" s="1"/>
  <c r="I39" i="27" s="1"/>
  <c r="K9" i="27"/>
  <c r="T9" i="27"/>
  <c r="U9" i="27"/>
  <c r="T10" i="27"/>
  <c r="P4" i="28" s="1"/>
  <c r="Q4" i="28" s="1"/>
  <c r="R4" i="28" s="1"/>
  <c r="K11" i="27"/>
  <c r="T11" i="27"/>
  <c r="P5" i="28" s="1"/>
  <c r="Q5" i="28" s="1"/>
  <c r="R5" i="28" s="1"/>
  <c r="E11" i="27" s="1"/>
  <c r="U11" i="27"/>
  <c r="T12" i="27"/>
  <c r="P6" i="28" s="1"/>
  <c r="Q6" i="28" s="1"/>
  <c r="R6" i="28" s="1"/>
  <c r="K13" i="27"/>
  <c r="T13" i="27"/>
  <c r="P7" i="28" s="1"/>
  <c r="Q7" i="28" s="1"/>
  <c r="R7" i="28" s="1"/>
  <c r="E13" i="27" s="1"/>
  <c r="U13" i="27"/>
  <c r="T14" i="27"/>
  <c r="P8" i="28" s="1"/>
  <c r="Q8" i="28" s="1"/>
  <c r="R8" i="28" s="1"/>
  <c r="K15" i="27"/>
  <c r="T15" i="27"/>
  <c r="P9" i="28" s="1"/>
  <c r="Q9" i="28" s="1"/>
  <c r="R9" i="28" s="1"/>
  <c r="E15" i="27" s="1"/>
  <c r="U15" i="27"/>
  <c r="T16" i="27"/>
  <c r="P10" i="28" s="1"/>
  <c r="Q10" i="28" s="1"/>
  <c r="R10" i="28" s="1"/>
  <c r="K17" i="27"/>
  <c r="T17" i="27"/>
  <c r="U17" i="27"/>
  <c r="T18" i="27"/>
  <c r="P12" i="28" s="1"/>
  <c r="Q12" i="28" s="1"/>
  <c r="R12" i="28" s="1"/>
  <c r="K19" i="27"/>
  <c r="T19" i="27"/>
  <c r="U19" i="27"/>
  <c r="T20" i="27"/>
  <c r="P14" i="28" s="1"/>
  <c r="Q14" i="28" s="1"/>
  <c r="R14" i="28" s="1"/>
  <c r="Y14" i="27"/>
  <c r="Z14" i="27"/>
  <c r="Y15" i="27"/>
  <c r="Z15" i="27"/>
  <c r="Y16" i="27"/>
  <c r="Z16" i="27"/>
  <c r="Y17" i="27"/>
  <c r="Z17" i="27"/>
  <c r="Y18" i="27"/>
  <c r="Z18" i="27"/>
  <c r="Y19" i="27"/>
  <c r="Z19" i="27"/>
  <c r="P24" i="27"/>
  <c r="D34" i="27"/>
  <c r="T34" i="27"/>
  <c r="P25" i="27"/>
  <c r="D35" i="27"/>
  <c r="T35" i="27"/>
  <c r="P28" i="27"/>
  <c r="D36" i="27" s="1"/>
  <c r="X35" i="27"/>
  <c r="H36" i="27"/>
  <c r="C1" i="40"/>
  <c r="L1" i="40"/>
  <c r="S1" i="40"/>
  <c r="T1" i="40" s="1"/>
  <c r="I101" i="40" s="1"/>
  <c r="K7" i="40"/>
  <c r="T7" i="40"/>
  <c r="Z3" i="35" s="1"/>
  <c r="AA3" i="35" s="1"/>
  <c r="AB3" i="35" s="1"/>
  <c r="E7" i="40" s="1"/>
  <c r="U7" i="40"/>
  <c r="T8" i="40"/>
  <c r="Z4" i="35" s="1"/>
  <c r="AA4" i="35" s="1"/>
  <c r="AB4" i="35" s="1"/>
  <c r="I9" i="40"/>
  <c r="K9" i="40"/>
  <c r="T9" i="40"/>
  <c r="U9" i="40"/>
  <c r="T10" i="40"/>
  <c r="Z6" i="35"/>
  <c r="AA6" i="35" s="1"/>
  <c r="AB6" i="35" s="1"/>
  <c r="I11" i="40"/>
  <c r="K11" i="40"/>
  <c r="T11" i="40"/>
  <c r="W11" i="40" s="1"/>
  <c r="V11" i="40" s="1"/>
  <c r="AE7" i="35" s="1"/>
  <c r="AF7" i="35" s="1"/>
  <c r="AG7" i="35" s="1"/>
  <c r="U11" i="40"/>
  <c r="T12" i="40"/>
  <c r="Z8" i="35" s="1"/>
  <c r="AA8" i="35" s="1"/>
  <c r="AB8" i="35" s="1"/>
  <c r="I13" i="40"/>
  <c r="K13" i="40"/>
  <c r="T13" i="40"/>
  <c r="Z9" i="35" s="1"/>
  <c r="AA9" i="35" s="1"/>
  <c r="AB9" i="35" s="1"/>
  <c r="E13" i="40" s="1"/>
  <c r="U13" i="40"/>
  <c r="T14" i="40"/>
  <c r="Z10" i="35" s="1"/>
  <c r="AA10" i="35" s="1"/>
  <c r="AB10" i="35" s="1"/>
  <c r="I15" i="40"/>
  <c r="K15" i="40"/>
  <c r="T15" i="40"/>
  <c r="U15" i="40"/>
  <c r="T16" i="40"/>
  <c r="Z12" i="35"/>
  <c r="AA12" i="35" s="1"/>
  <c r="AB12" i="35" s="1"/>
  <c r="K17" i="40"/>
  <c r="T17" i="40"/>
  <c r="U17" i="40"/>
  <c r="T18" i="40"/>
  <c r="Z14" i="35" s="1"/>
  <c r="AA14" i="35" s="1"/>
  <c r="AB14" i="35" s="1"/>
  <c r="Y12" i="40"/>
  <c r="Z12" i="40"/>
  <c r="Y13" i="40"/>
  <c r="Z13" i="40"/>
  <c r="Y14" i="40"/>
  <c r="Z14" i="40"/>
  <c r="Y15" i="40"/>
  <c r="Z15" i="40"/>
  <c r="Y16" i="40"/>
  <c r="Z16" i="40"/>
  <c r="Y17" i="40"/>
  <c r="Z17" i="40"/>
  <c r="P22" i="40"/>
  <c r="P23" i="40"/>
  <c r="P24" i="40"/>
  <c r="P25" i="40"/>
  <c r="E95" i="40"/>
  <c r="S31" i="40"/>
  <c r="P31" i="40"/>
  <c r="E96" i="40"/>
  <c r="T96" i="40"/>
  <c r="S32" i="40"/>
  <c r="F41" i="40"/>
  <c r="O41" i="40" s="1"/>
  <c r="S47" i="40" s="1"/>
  <c r="L41" i="40"/>
  <c r="F43" i="40"/>
  <c r="O43" i="40"/>
  <c r="S48" i="40" s="1"/>
  <c r="L43" i="40"/>
  <c r="F45" i="40"/>
  <c r="L45" i="40"/>
  <c r="O45" i="40"/>
  <c r="F47" i="40"/>
  <c r="L47" i="40"/>
  <c r="O47" i="40"/>
  <c r="S44" i="40" s="1"/>
  <c r="C54" i="40" s="1"/>
  <c r="O54" i="40" s="1"/>
  <c r="S49" i="40" s="1"/>
  <c r="F49" i="40"/>
  <c r="L49" i="40"/>
  <c r="O49" i="40"/>
  <c r="F51" i="40"/>
  <c r="L51" i="40"/>
  <c r="O51" i="40"/>
  <c r="F53" i="40"/>
  <c r="L53" i="40"/>
  <c r="O53" i="40"/>
  <c r="F56" i="40"/>
  <c r="L56" i="40"/>
  <c r="O56" i="40"/>
  <c r="F58" i="40"/>
  <c r="L58" i="40"/>
  <c r="O58" i="40"/>
  <c r="T44" i="40" s="1"/>
  <c r="F60" i="40"/>
  <c r="L60" i="40"/>
  <c r="O60" i="40"/>
  <c r="F62" i="40"/>
  <c r="L62" i="40"/>
  <c r="O62" i="40"/>
  <c r="F65" i="40"/>
  <c r="O65" i="40"/>
  <c r="S51" i="40"/>
  <c r="L65" i="40"/>
  <c r="F67" i="40"/>
  <c r="L67" i="40"/>
  <c r="O67" i="40"/>
  <c r="F69" i="40"/>
  <c r="L69" i="40"/>
  <c r="O69" i="40"/>
  <c r="U44" i="40" s="1"/>
  <c r="C72" i="40" s="1"/>
  <c r="O72" i="40" s="1"/>
  <c r="S52" i="40" s="1"/>
  <c r="F71" i="40"/>
  <c r="L71" i="40"/>
  <c r="O71" i="40"/>
  <c r="F76" i="40"/>
  <c r="L76" i="40"/>
  <c r="F78" i="40"/>
  <c r="L78" i="40"/>
  <c r="O78" i="40"/>
  <c r="V44" i="40" s="1"/>
  <c r="F80" i="40"/>
  <c r="L80" i="40"/>
  <c r="O80" i="40"/>
  <c r="F83" i="40"/>
  <c r="L83" i="40"/>
  <c r="P88" i="40"/>
  <c r="E98" i="40" s="1"/>
  <c r="E92" i="40"/>
  <c r="T92" i="40"/>
  <c r="E93" i="40"/>
  <c r="Y93" i="40"/>
  <c r="E94" i="40"/>
  <c r="T94" i="40"/>
  <c r="T95" i="40"/>
  <c r="I97" i="40"/>
  <c r="I98" i="40"/>
  <c r="C1" i="34"/>
  <c r="L1" i="34"/>
  <c r="S1" i="34"/>
  <c r="T1" i="34" s="1"/>
  <c r="I101" i="34" s="1"/>
  <c r="K7" i="34"/>
  <c r="T7" i="34"/>
  <c r="P3" i="35" s="1"/>
  <c r="Q3" i="35" s="1"/>
  <c r="R3" i="35" s="1"/>
  <c r="E7" i="34" s="1"/>
  <c r="U7" i="34"/>
  <c r="T8" i="34"/>
  <c r="P4" i="35" s="1"/>
  <c r="Q4" i="35" s="1"/>
  <c r="R4" i="35" s="1"/>
  <c r="K9" i="34"/>
  <c r="T9" i="34"/>
  <c r="U9" i="34"/>
  <c r="T10" i="34"/>
  <c r="P6" i="35" s="1"/>
  <c r="Q6" i="35" s="1"/>
  <c r="R6" i="35" s="1"/>
  <c r="K11" i="34"/>
  <c r="T11" i="34"/>
  <c r="U11" i="34"/>
  <c r="T12" i="34"/>
  <c r="P8" i="35" s="1"/>
  <c r="Q8" i="35" s="1"/>
  <c r="R8" i="35" s="1"/>
  <c r="K13" i="34"/>
  <c r="T13" i="34"/>
  <c r="P9" i="35" s="1"/>
  <c r="Q9" i="35" s="1"/>
  <c r="R9" i="35" s="1"/>
  <c r="E13" i="34" s="1"/>
  <c r="U13" i="34"/>
  <c r="T14" i="34"/>
  <c r="P10" i="35" s="1"/>
  <c r="Q10" i="35" s="1"/>
  <c r="R10" i="35" s="1"/>
  <c r="K15" i="34"/>
  <c r="T15" i="34"/>
  <c r="U15" i="34"/>
  <c r="T16" i="34"/>
  <c r="P12" i="35" s="1"/>
  <c r="Q12" i="35" s="1"/>
  <c r="R12" i="35" s="1"/>
  <c r="K17" i="34"/>
  <c r="T17" i="34"/>
  <c r="P13" i="35" s="1"/>
  <c r="Q13" i="35" s="1"/>
  <c r="R13" i="35" s="1"/>
  <c r="E17" i="34" s="1"/>
  <c r="U17" i="34"/>
  <c r="T18" i="34"/>
  <c r="P14" i="35" s="1"/>
  <c r="Q14" i="35" s="1"/>
  <c r="R14" i="35" s="1"/>
  <c r="Y12" i="34"/>
  <c r="Z12" i="34"/>
  <c r="Y13" i="34"/>
  <c r="Z13" i="34"/>
  <c r="Y14" i="34"/>
  <c r="Z14" i="34"/>
  <c r="Y15" i="34"/>
  <c r="Z15" i="34"/>
  <c r="Y16" i="34"/>
  <c r="Z16" i="34"/>
  <c r="Y17" i="34"/>
  <c r="Z17" i="34"/>
  <c r="P22" i="34"/>
  <c r="E92" i="34"/>
  <c r="T92" i="34"/>
  <c r="P23" i="34"/>
  <c r="P24" i="34"/>
  <c r="E94" i="34"/>
  <c r="T94" i="34"/>
  <c r="P25" i="34"/>
  <c r="E95" i="34"/>
  <c r="T95" i="34"/>
  <c r="S31" i="34"/>
  <c r="P31" i="34"/>
  <c r="E96" i="34"/>
  <c r="T96" i="34"/>
  <c r="S32" i="34"/>
  <c r="F41" i="34"/>
  <c r="L41" i="34"/>
  <c r="F43" i="34"/>
  <c r="O43" i="34" s="1"/>
  <c r="S48" i="34" s="1"/>
  <c r="L43" i="34"/>
  <c r="F45" i="34"/>
  <c r="L45" i="34"/>
  <c r="O45" i="34"/>
  <c r="F47" i="34"/>
  <c r="L47" i="34"/>
  <c r="O47" i="34"/>
  <c r="F49" i="34"/>
  <c r="L49" i="34"/>
  <c r="O49" i="34"/>
  <c r="F51" i="34"/>
  <c r="L51" i="34"/>
  <c r="O51" i="34"/>
  <c r="F53" i="34"/>
  <c r="L53" i="34"/>
  <c r="O53" i="34"/>
  <c r="F56" i="34"/>
  <c r="L56" i="34"/>
  <c r="O56" i="34"/>
  <c r="F58" i="34"/>
  <c r="L58" i="34"/>
  <c r="O58" i="34"/>
  <c r="F60" i="34"/>
  <c r="L60" i="34"/>
  <c r="O60" i="34"/>
  <c r="F62" i="34"/>
  <c r="L62" i="34"/>
  <c r="O62" i="34"/>
  <c r="F65" i="34"/>
  <c r="O65" i="34" s="1"/>
  <c r="S51" i="34" s="1"/>
  <c r="L65" i="34"/>
  <c r="F67" i="34"/>
  <c r="L67" i="34"/>
  <c r="O67" i="34"/>
  <c r="F69" i="34"/>
  <c r="L69" i="34"/>
  <c r="O69" i="34"/>
  <c r="F71" i="34"/>
  <c r="L71" i="34"/>
  <c r="O71" i="34"/>
  <c r="F76" i="34"/>
  <c r="L76" i="34"/>
  <c r="O76" i="34"/>
  <c r="F78" i="34"/>
  <c r="L78" i="34"/>
  <c r="O78" i="34"/>
  <c r="V44" i="34" s="1"/>
  <c r="C81" i="34" s="1"/>
  <c r="O81" i="34" s="1"/>
  <c r="S53" i="34" s="1"/>
  <c r="F80" i="34"/>
  <c r="L80" i="34"/>
  <c r="O80" i="34"/>
  <c r="F83" i="34"/>
  <c r="L83" i="34"/>
  <c r="P88" i="34"/>
  <c r="E98" i="34" s="1"/>
  <c r="E93" i="34"/>
  <c r="T93" i="34"/>
  <c r="I97" i="34"/>
  <c r="I98" i="34"/>
  <c r="J1" i="44"/>
  <c r="V1" i="44"/>
  <c r="AM3" i="44"/>
  <c r="AN4" i="44" s="1"/>
  <c r="K97" i="44" s="1"/>
  <c r="G5" i="44"/>
  <c r="AL7" i="44"/>
  <c r="AM7" i="44"/>
  <c r="B8" i="44"/>
  <c r="S8" i="44"/>
  <c r="AL8" i="44"/>
  <c r="AM8" i="44"/>
  <c r="AL10" i="44"/>
  <c r="AM10" i="44"/>
  <c r="AN10" i="44"/>
  <c r="AO10" i="44"/>
  <c r="AL11" i="44"/>
  <c r="AM11" i="44"/>
  <c r="AN11" i="44"/>
  <c r="AO11" i="44"/>
  <c r="AL12" i="44"/>
  <c r="AM12" i="44"/>
  <c r="AN12" i="44"/>
  <c r="AO12" i="44"/>
  <c r="O15" i="44"/>
  <c r="AF15" i="44"/>
  <c r="AK21" i="44"/>
  <c r="AL21" i="44"/>
  <c r="AB23" i="44" s="1"/>
  <c r="AM21" i="44"/>
  <c r="AN21" i="44"/>
  <c r="AL23" i="44"/>
  <c r="AN23" i="44"/>
  <c r="AL24" i="44"/>
  <c r="AN24" i="44"/>
  <c r="AL25" i="44"/>
  <c r="AN25" i="44"/>
  <c r="AL26" i="44"/>
  <c r="AN26" i="44"/>
  <c r="AL27" i="44"/>
  <c r="K27" i="44" s="1"/>
  <c r="AR27" i="44" s="1"/>
  <c r="AN27" i="44"/>
  <c r="AL28" i="44"/>
  <c r="AN28" i="44"/>
  <c r="AL29" i="44"/>
  <c r="AN29" i="44"/>
  <c r="AL30" i="44"/>
  <c r="AN30" i="44"/>
  <c r="K31" i="44"/>
  <c r="AM31" i="44" s="1"/>
  <c r="AB31" i="44"/>
  <c r="AO31" i="44" s="1"/>
  <c r="O39" i="44"/>
  <c r="AF39" i="44"/>
  <c r="O40" i="44"/>
  <c r="AF40" i="44"/>
  <c r="O41" i="44"/>
  <c r="AF41" i="44"/>
  <c r="O42" i="44"/>
  <c r="AF42" i="44"/>
  <c r="O43" i="44"/>
  <c r="AF43" i="44"/>
  <c r="O44" i="44"/>
  <c r="AF44" i="44"/>
  <c r="O45" i="44"/>
  <c r="AF45" i="44"/>
  <c r="O46" i="44"/>
  <c r="AF46" i="44"/>
  <c r="O47" i="44"/>
  <c r="AF47" i="44"/>
  <c r="O52" i="44"/>
  <c r="I63" i="44" s="1"/>
  <c r="AF52" i="44"/>
  <c r="Z63" i="44" s="1"/>
  <c r="O53" i="44"/>
  <c r="I64" i="44" s="1"/>
  <c r="AF53" i="44"/>
  <c r="Z64" i="44" s="1"/>
  <c r="O54" i="44"/>
  <c r="I65" i="44" s="1"/>
  <c r="AF54" i="44"/>
  <c r="Z65" i="44" s="1"/>
  <c r="O56" i="44"/>
  <c r="I66" i="44" s="1"/>
  <c r="AN66" i="44" s="1"/>
  <c r="AO66" i="44" s="1"/>
  <c r="AF56" i="44"/>
  <c r="Z66" i="44" s="1"/>
  <c r="AS66" i="44" s="1"/>
  <c r="AT66" i="44" s="1"/>
  <c r="B59" i="44"/>
  <c r="S59" i="44"/>
  <c r="B60" i="44"/>
  <c r="I83" i="44"/>
  <c r="C1" i="46"/>
  <c r="L1" i="46"/>
  <c r="T3" i="46"/>
  <c r="F5" i="46"/>
  <c r="I5" i="46"/>
  <c r="L5" i="46"/>
  <c r="B10" i="46"/>
  <c r="S12" i="46"/>
  <c r="T12" i="46"/>
  <c r="U12" i="46"/>
  <c r="V12" i="46"/>
  <c r="S13" i="46"/>
  <c r="T13" i="46"/>
  <c r="U13" i="46"/>
  <c r="V13" i="46"/>
  <c r="U16" i="46"/>
  <c r="V16" i="46" s="1"/>
  <c r="S17" i="46"/>
  <c r="U17" i="46"/>
  <c r="V17" i="46" s="1"/>
  <c r="W17" i="46"/>
  <c r="X17" i="46" s="1"/>
  <c r="Y17" i="46"/>
  <c r="Z17" i="46" s="1"/>
  <c r="D1" i="48"/>
  <c r="M1" i="48"/>
  <c r="R2" i="48"/>
  <c r="S2" i="48" s="1"/>
  <c r="H501" i="48" s="1"/>
  <c r="P8" i="48"/>
  <c r="E34" i="48" s="1"/>
  <c r="L13" i="48"/>
  <c r="T13" i="48"/>
  <c r="AR3" i="51" s="1"/>
  <c r="AS3" i="51" s="1"/>
  <c r="AT3" i="51" s="1"/>
  <c r="E13" i="48" s="1"/>
  <c r="U13" i="48"/>
  <c r="T14" i="48"/>
  <c r="AR4" i="51" s="1"/>
  <c r="AS4" i="51" s="1"/>
  <c r="AT4" i="51" s="1"/>
  <c r="E14" i="48" s="1"/>
  <c r="L16" i="48"/>
  <c r="T16" i="48"/>
  <c r="AR6" i="51" s="1"/>
  <c r="AS6" i="51" s="1"/>
  <c r="AT6" i="51" s="1"/>
  <c r="E16" i="48" s="1"/>
  <c r="U16" i="48"/>
  <c r="T17" i="48"/>
  <c r="AR7" i="51" s="1"/>
  <c r="AS7" i="51" s="1"/>
  <c r="AT7" i="51" s="1"/>
  <c r="E17" i="48" s="1"/>
  <c r="G17" i="48" s="1"/>
  <c r="L18" i="48"/>
  <c r="T18" i="48"/>
  <c r="AR8" i="51" s="1"/>
  <c r="AS8" i="51" s="1"/>
  <c r="AT8" i="51" s="1"/>
  <c r="E18" i="48" s="1"/>
  <c r="U18" i="48"/>
  <c r="T19" i="48"/>
  <c r="AR9" i="51" s="1"/>
  <c r="AS9" i="51" s="1"/>
  <c r="AT9" i="51" s="1"/>
  <c r="E19" i="48" s="1"/>
  <c r="G19" i="48" s="1"/>
  <c r="E38" i="48"/>
  <c r="W38" i="48" s="1"/>
  <c r="T30" i="48"/>
  <c r="P30" i="48" s="1"/>
  <c r="E39" i="48" s="1"/>
  <c r="S39" i="48" s="1"/>
  <c r="T31" i="48"/>
  <c r="P31" i="48"/>
  <c r="E40" i="48" s="1"/>
  <c r="S40" i="48" s="1"/>
  <c r="P46" i="48"/>
  <c r="E73" i="48" s="1"/>
  <c r="O49" i="48"/>
  <c r="Y57" i="48" s="1"/>
  <c r="O50" i="48"/>
  <c r="Y58" i="48" s="1"/>
  <c r="L54" i="48"/>
  <c r="T54" i="48"/>
  <c r="AR12" i="51" s="1"/>
  <c r="AS12" i="51" s="1"/>
  <c r="AT12" i="51" s="1"/>
  <c r="E54" i="48" s="1"/>
  <c r="U54" i="48"/>
  <c r="T55" i="48"/>
  <c r="AR13" i="51" s="1"/>
  <c r="AS13" i="51" s="1"/>
  <c r="AT13" i="51" s="1"/>
  <c r="E55" i="48" s="1"/>
  <c r="L56" i="48"/>
  <c r="T56" i="48"/>
  <c r="AR14" i="51" s="1"/>
  <c r="AS14" i="51" s="1"/>
  <c r="AT14" i="51" s="1"/>
  <c r="E56" i="48" s="1"/>
  <c r="U56" i="48"/>
  <c r="T57" i="48"/>
  <c r="AR15" i="51" s="1"/>
  <c r="AS15" i="51" s="1"/>
  <c r="AT15" i="51" s="1"/>
  <c r="E57" i="48" s="1"/>
  <c r="G57" i="48" s="1"/>
  <c r="E77" i="48"/>
  <c r="W77" i="48" s="1"/>
  <c r="T68" i="48"/>
  <c r="P68" i="48" s="1"/>
  <c r="E78" i="48" s="1"/>
  <c r="S78" i="48" s="1"/>
  <c r="T69" i="48"/>
  <c r="P69" i="48" s="1"/>
  <c r="E79" i="48" s="1"/>
  <c r="S79" i="48" s="1"/>
  <c r="T70" i="48"/>
  <c r="P70" i="48" s="1"/>
  <c r="E80" i="48" s="1"/>
  <c r="S80" i="48" s="1"/>
  <c r="P86" i="48"/>
  <c r="E113" i="48" s="1"/>
  <c r="O89" i="48"/>
  <c r="O90" i="48"/>
  <c r="Y98" i="48" s="1"/>
  <c r="L94" i="48"/>
  <c r="T94" i="48"/>
  <c r="AR18" i="51" s="1"/>
  <c r="AS18" i="51" s="1"/>
  <c r="AT18" i="51" s="1"/>
  <c r="E94" i="48" s="1"/>
  <c r="U94" i="48"/>
  <c r="T95" i="48"/>
  <c r="AR19" i="51" s="1"/>
  <c r="AS19" i="51" s="1"/>
  <c r="AT19" i="51" s="1"/>
  <c r="E95" i="48" s="1"/>
  <c r="G95" i="48" s="1"/>
  <c r="L96" i="48"/>
  <c r="T96" i="48"/>
  <c r="AR20" i="51" s="1"/>
  <c r="AS20" i="51" s="1"/>
  <c r="AT20" i="51" s="1"/>
  <c r="E96" i="48" s="1"/>
  <c r="U96" i="48"/>
  <c r="T97" i="48"/>
  <c r="AR21" i="51" s="1"/>
  <c r="AS21" i="51" s="1"/>
  <c r="AT21" i="51" s="1"/>
  <c r="E97" i="48" s="1"/>
  <c r="G97" i="48" s="1"/>
  <c r="E117" i="48"/>
  <c r="W117" i="48" s="1"/>
  <c r="T108" i="48"/>
  <c r="P108" i="48" s="1"/>
  <c r="E118" i="48" s="1"/>
  <c r="S118" i="48" s="1"/>
  <c r="T109" i="48"/>
  <c r="P109" i="48" s="1"/>
  <c r="E119" i="48" s="1"/>
  <c r="S119" i="48" s="1"/>
  <c r="T110" i="48"/>
  <c r="P110" i="48" s="1"/>
  <c r="E120" i="48" s="1"/>
  <c r="S120" i="48" s="1"/>
  <c r="P126" i="48"/>
  <c r="E153" i="48" s="1"/>
  <c r="S153" i="48" s="1"/>
  <c r="O129" i="48"/>
  <c r="O130" i="48"/>
  <c r="Y138" i="48" s="1"/>
  <c r="L134" i="48"/>
  <c r="T134" i="48"/>
  <c r="U134" i="48"/>
  <c r="T135" i="48"/>
  <c r="AR25" i="51" s="1"/>
  <c r="AS25" i="51" s="1"/>
  <c r="AT25" i="51" s="1"/>
  <c r="E135" i="48" s="1"/>
  <c r="L136" i="48"/>
  <c r="T136" i="48"/>
  <c r="AR26" i="51" s="1"/>
  <c r="AS26" i="51" s="1"/>
  <c r="AT26" i="51" s="1"/>
  <c r="E136" i="48" s="1"/>
  <c r="U136" i="48"/>
  <c r="T137" i="48"/>
  <c r="AR27" i="51" s="1"/>
  <c r="AS27" i="51" s="1"/>
  <c r="AT27" i="51" s="1"/>
  <c r="E137" i="48" s="1"/>
  <c r="G137" i="48" s="1"/>
  <c r="E157" i="48"/>
  <c r="W157" i="48" s="1"/>
  <c r="T148" i="48"/>
  <c r="P148" i="48" s="1"/>
  <c r="E158" i="48" s="1"/>
  <c r="S158" i="48" s="1"/>
  <c r="T149" i="48"/>
  <c r="P149" i="48" s="1"/>
  <c r="E159" i="48" s="1"/>
  <c r="S159" i="48" s="1"/>
  <c r="T150" i="48"/>
  <c r="P150" i="48" s="1"/>
  <c r="E160" i="48" s="1"/>
  <c r="S160" i="48" s="1"/>
  <c r="P166" i="48"/>
  <c r="E193" i="48" s="1"/>
  <c r="S193" i="48" s="1"/>
  <c r="O169" i="48"/>
  <c r="Y177" i="48" s="1"/>
  <c r="O170" i="48"/>
  <c r="Y178" i="48" s="1"/>
  <c r="L174" i="48"/>
  <c r="T174" i="48"/>
  <c r="U174" i="48"/>
  <c r="T175" i="48"/>
  <c r="AR31" i="51" s="1"/>
  <c r="AS31" i="51" s="1"/>
  <c r="AT31" i="51" s="1"/>
  <c r="E175" i="48" s="1"/>
  <c r="L176" i="48"/>
  <c r="T176" i="48"/>
  <c r="AR32" i="51" s="1"/>
  <c r="AS32" i="51" s="1"/>
  <c r="AT32" i="51" s="1"/>
  <c r="E176" i="48" s="1"/>
  <c r="U176" i="48"/>
  <c r="T177" i="48"/>
  <c r="AR33" i="51" s="1"/>
  <c r="AS33" i="51" s="1"/>
  <c r="AT33" i="51" s="1"/>
  <c r="E177" i="48" s="1"/>
  <c r="E197" i="48"/>
  <c r="W197" i="48" s="1"/>
  <c r="T188" i="48"/>
  <c r="P188" i="48" s="1"/>
  <c r="E198" i="48" s="1"/>
  <c r="T189" i="48"/>
  <c r="P189" i="48" s="1"/>
  <c r="E199" i="48" s="1"/>
  <c r="S199" i="48" s="1"/>
  <c r="T190" i="48"/>
  <c r="P190" i="48" s="1"/>
  <c r="E200" i="48" s="1"/>
  <c r="S200" i="48" s="1"/>
  <c r="S208" i="48"/>
  <c r="S209" i="48"/>
  <c r="S210" i="48"/>
  <c r="S211" i="48"/>
  <c r="S212" i="48"/>
  <c r="S215" i="48"/>
  <c r="S216" i="48"/>
  <c r="S217" i="48"/>
  <c r="S218" i="48"/>
  <c r="S219" i="48"/>
  <c r="L222" i="48"/>
  <c r="T222" i="48"/>
  <c r="AR36" i="51" s="1"/>
  <c r="AS36" i="51" s="1"/>
  <c r="AT36" i="51" s="1"/>
  <c r="E222" i="48" s="1"/>
  <c r="U222" i="48"/>
  <c r="T223" i="48"/>
  <c r="AR37" i="51" s="1"/>
  <c r="AS37" i="51" s="1"/>
  <c r="AT37" i="51" s="1"/>
  <c r="Y223" i="48"/>
  <c r="Z223" i="48"/>
  <c r="Y224" i="48"/>
  <c r="Z224" i="48"/>
  <c r="L224" i="48"/>
  <c r="T224" i="48"/>
  <c r="U224" i="48"/>
  <c r="T225" i="48"/>
  <c r="AR39" i="51" s="1"/>
  <c r="AS39" i="51" s="1"/>
  <c r="AT39" i="51" s="1"/>
  <c r="L228" i="48"/>
  <c r="T228" i="48"/>
  <c r="AR42" i="51" s="1"/>
  <c r="AS42" i="51" s="1"/>
  <c r="AT42" i="51" s="1"/>
  <c r="E228" i="48" s="1"/>
  <c r="U228" i="48"/>
  <c r="T229" i="48"/>
  <c r="AR43" i="51" s="1"/>
  <c r="AS43" i="51" s="1"/>
  <c r="AT43" i="51" s="1"/>
  <c r="Y229" i="48"/>
  <c r="Z229" i="48"/>
  <c r="Y230" i="48"/>
  <c r="Z230" i="48"/>
  <c r="L230" i="48"/>
  <c r="T230" i="48"/>
  <c r="U230" i="48"/>
  <c r="T231" i="48"/>
  <c r="AR45" i="51" s="1"/>
  <c r="AS45" i="51" s="1"/>
  <c r="AT45" i="51" s="1"/>
  <c r="E354" i="48"/>
  <c r="Y354" i="48" s="1"/>
  <c r="E355" i="48"/>
  <c r="Y355" i="48" s="1"/>
  <c r="P242" i="48"/>
  <c r="E356" i="48" s="1"/>
  <c r="Y356" i="48" s="1"/>
  <c r="P243" i="48"/>
  <c r="S244" i="48"/>
  <c r="P244" i="48" s="1"/>
  <c r="E358" i="48" s="1"/>
  <c r="Y358" i="48" s="1"/>
  <c r="P247" i="48"/>
  <c r="E359" i="48" s="1"/>
  <c r="S359" i="48" s="1"/>
  <c r="S248" i="48"/>
  <c r="P248" i="48" s="1"/>
  <c r="E360" i="48" s="1"/>
  <c r="S360" i="48" s="1"/>
  <c r="S250" i="48"/>
  <c r="P250" i="48" s="1"/>
  <c r="E361" i="48" s="1"/>
  <c r="S361" i="48" s="1"/>
  <c r="E362" i="48"/>
  <c r="Y362" i="48" s="1"/>
  <c r="R253" i="48"/>
  <c r="P254" i="48"/>
  <c r="E363" i="48" s="1"/>
  <c r="Y363" i="48" s="1"/>
  <c r="S257" i="48"/>
  <c r="S258" i="48"/>
  <c r="S259" i="48"/>
  <c r="S260" i="48"/>
  <c r="S261" i="48"/>
  <c r="S262" i="48"/>
  <c r="S263" i="48"/>
  <c r="P267" i="48"/>
  <c r="W346" i="48" s="1"/>
  <c r="S281" i="48"/>
  <c r="M281" i="48" s="1"/>
  <c r="T281" i="48"/>
  <c r="U281" i="48"/>
  <c r="S282" i="48"/>
  <c r="M282" i="48" s="1"/>
  <c r="T282" i="48"/>
  <c r="U282" i="48"/>
  <c r="S283" i="48"/>
  <c r="M283" i="48" s="1"/>
  <c r="T283" i="48"/>
  <c r="U283" i="48"/>
  <c r="S284" i="48"/>
  <c r="M284" i="48" s="1"/>
  <c r="T284" i="48"/>
  <c r="U284" i="48"/>
  <c r="S285" i="48"/>
  <c r="M285" i="48" s="1"/>
  <c r="T285" i="48"/>
  <c r="U285" i="48"/>
  <c r="F287" i="48"/>
  <c r="S287" i="48"/>
  <c r="F288" i="48" s="1"/>
  <c r="T287" i="48"/>
  <c r="U287" i="48"/>
  <c r="S288" i="48"/>
  <c r="T288" i="48"/>
  <c r="U288" i="48"/>
  <c r="S289" i="48"/>
  <c r="T289" i="48"/>
  <c r="U289" i="48"/>
  <c r="S290" i="48"/>
  <c r="T290" i="48"/>
  <c r="U290" i="48"/>
  <c r="S291" i="48"/>
  <c r="T291" i="48"/>
  <c r="U291" i="48"/>
  <c r="F293" i="48"/>
  <c r="S293" i="48"/>
  <c r="F295" i="48" s="1"/>
  <c r="T293" i="48"/>
  <c r="U293" i="48"/>
  <c r="S294" i="48"/>
  <c r="T294" i="48"/>
  <c r="U294" i="48"/>
  <c r="S295" i="48"/>
  <c r="T295" i="48"/>
  <c r="U295" i="48"/>
  <c r="S296" i="48"/>
  <c r="T296" i="48"/>
  <c r="U296" i="48"/>
  <c r="S297" i="48"/>
  <c r="T297" i="48"/>
  <c r="U297" i="48"/>
  <c r="S298" i="48"/>
  <c r="T298" i="48"/>
  <c r="U298" i="48"/>
  <c r="F299" i="48"/>
  <c r="P299" i="48" s="1"/>
  <c r="Z282" i="48" s="1"/>
  <c r="F300" i="48"/>
  <c r="S300" i="48"/>
  <c r="T300" i="48"/>
  <c r="U300" i="48"/>
  <c r="S301" i="48"/>
  <c r="T301" i="48"/>
  <c r="U301" i="48"/>
  <c r="S302" i="48"/>
  <c r="T302" i="48"/>
  <c r="U302" i="48"/>
  <c r="B303" i="48"/>
  <c r="F308" i="48"/>
  <c r="S308" i="48"/>
  <c r="F317" i="48" s="1"/>
  <c r="T308" i="48"/>
  <c r="U308" i="48"/>
  <c r="S309" i="48"/>
  <c r="T309" i="48"/>
  <c r="U309" i="48"/>
  <c r="S310" i="48"/>
  <c r="T310" i="48"/>
  <c r="U310" i="48"/>
  <c r="S311" i="48"/>
  <c r="T311" i="48"/>
  <c r="U311" i="48"/>
  <c r="S312" i="48"/>
  <c r="T312" i="48"/>
  <c r="U312" i="48"/>
  <c r="S313" i="48"/>
  <c r="T313" i="48"/>
  <c r="U313" i="48"/>
  <c r="S314" i="48"/>
  <c r="T314" i="48"/>
  <c r="U314" i="48"/>
  <c r="S315" i="48"/>
  <c r="T315" i="48"/>
  <c r="U315" i="48"/>
  <c r="F316" i="48"/>
  <c r="S316" i="48"/>
  <c r="T316" i="48"/>
  <c r="U316" i="48"/>
  <c r="S317" i="48"/>
  <c r="T317" i="48"/>
  <c r="U317" i="48"/>
  <c r="F318" i="48"/>
  <c r="F319" i="48"/>
  <c r="M319" i="48" s="1"/>
  <c r="S319" i="48"/>
  <c r="T319" i="48"/>
  <c r="U319" i="48"/>
  <c r="B320" i="48"/>
  <c r="S321" i="48"/>
  <c r="F327" i="48" s="1"/>
  <c r="T321" i="48"/>
  <c r="U321" i="48"/>
  <c r="S322" i="48"/>
  <c r="T322" i="48"/>
  <c r="U322" i="48"/>
  <c r="S323" i="48"/>
  <c r="T323" i="48"/>
  <c r="U323" i="48"/>
  <c r="S324" i="48"/>
  <c r="T324" i="48"/>
  <c r="U324" i="48"/>
  <c r="S325" i="48"/>
  <c r="T325" i="48"/>
  <c r="U325" i="48"/>
  <c r="S326" i="48"/>
  <c r="T326" i="48"/>
  <c r="U326" i="48"/>
  <c r="S327" i="48"/>
  <c r="T327" i="48"/>
  <c r="U327" i="48"/>
  <c r="S329" i="48"/>
  <c r="M329" i="48" s="1"/>
  <c r="T329" i="48"/>
  <c r="U329" i="48"/>
  <c r="S330" i="48"/>
  <c r="M330" i="48" s="1"/>
  <c r="T330" i="48"/>
  <c r="U330" i="48"/>
  <c r="S331" i="48"/>
  <c r="F334" i="48" s="1"/>
  <c r="T331" i="48"/>
  <c r="U331" i="48"/>
  <c r="S332" i="48"/>
  <c r="T332" i="48"/>
  <c r="U332" i="48"/>
  <c r="S333" i="48"/>
  <c r="T333" i="48"/>
  <c r="U333" i="48"/>
  <c r="S334" i="48"/>
  <c r="T334" i="48"/>
  <c r="U334" i="48"/>
  <c r="S336" i="48"/>
  <c r="M336" i="48" s="1"/>
  <c r="T336" i="48"/>
  <c r="U336" i="48"/>
  <c r="E357" i="48"/>
  <c r="Y357" i="48" s="1"/>
  <c r="P373" i="48"/>
  <c r="E449" i="48" s="1"/>
  <c r="S449" i="48" s="1"/>
  <c r="Z377" i="48"/>
  <c r="Z378" i="48"/>
  <c r="AA377" i="48"/>
  <c r="AA378" i="48"/>
  <c r="L377" i="48"/>
  <c r="T377" i="48"/>
  <c r="AR55" i="51" s="1"/>
  <c r="AS55" i="51" s="1"/>
  <c r="AT55" i="51" s="1"/>
  <c r="E377" i="48" s="1"/>
  <c r="U377" i="48"/>
  <c r="T378" i="48"/>
  <c r="AR56" i="51" s="1"/>
  <c r="AS56" i="51" s="1"/>
  <c r="AT56" i="51" s="1"/>
  <c r="L379" i="48"/>
  <c r="T379" i="48"/>
  <c r="AR57" i="51" s="1"/>
  <c r="AS57" i="51" s="1"/>
  <c r="AT57" i="51" s="1"/>
  <c r="E379" i="48" s="1"/>
  <c r="U379" i="48"/>
  <c r="T380" i="48"/>
  <c r="AR58" i="51" s="1"/>
  <c r="AS58" i="51" s="1"/>
  <c r="AT58" i="51" s="1"/>
  <c r="L382" i="48"/>
  <c r="T382" i="48"/>
  <c r="AR61" i="51" s="1"/>
  <c r="AS61" i="51" s="1"/>
  <c r="AT61" i="51" s="1"/>
  <c r="E382" i="48" s="1"/>
  <c r="U382" i="48"/>
  <c r="L383" i="48"/>
  <c r="T383" i="48"/>
  <c r="U383" i="48"/>
  <c r="L384" i="48"/>
  <c r="T384" i="48"/>
  <c r="U384" i="48"/>
  <c r="L385" i="48"/>
  <c r="T385" i="48"/>
  <c r="AR64" i="51" s="1"/>
  <c r="AS64" i="51" s="1"/>
  <c r="AT64" i="51" s="1"/>
  <c r="E385" i="48" s="1"/>
  <c r="U385" i="48"/>
  <c r="L386" i="48"/>
  <c r="T386" i="48"/>
  <c r="Y386" i="48" s="1"/>
  <c r="V386" i="48" s="1"/>
  <c r="AW65" i="51" s="1"/>
  <c r="AX65" i="51" s="1"/>
  <c r="AY65" i="51" s="1"/>
  <c r="U386" i="48"/>
  <c r="L387" i="48"/>
  <c r="T387" i="48"/>
  <c r="Y387" i="48" s="1"/>
  <c r="V387" i="48" s="1"/>
  <c r="AW66" i="51" s="1"/>
  <c r="AX66" i="51" s="1"/>
  <c r="AY66" i="51" s="1"/>
  <c r="U387" i="48"/>
  <c r="E452" i="48"/>
  <c r="S452" i="48" s="1"/>
  <c r="R397" i="48"/>
  <c r="R398" i="48"/>
  <c r="R399" i="48"/>
  <c r="R400" i="48"/>
  <c r="O400" i="48" s="1"/>
  <c r="P404" i="48"/>
  <c r="P407" i="48"/>
  <c r="E455" i="48" s="1"/>
  <c r="S455" i="48" s="1"/>
  <c r="AI411" i="48"/>
  <c r="S413" i="48"/>
  <c r="B413" i="48" s="1"/>
  <c r="P417" i="48"/>
  <c r="E462" i="48" s="1"/>
  <c r="S462" i="48" s="1"/>
  <c r="S417" i="48"/>
  <c r="P413" i="48" s="1"/>
  <c r="E458" i="48" s="1"/>
  <c r="S458" i="48" s="1"/>
  <c r="S418" i="48"/>
  <c r="P418" i="48" s="1"/>
  <c r="E463" i="48" s="1"/>
  <c r="S463" i="48" s="1"/>
  <c r="P427" i="48"/>
  <c r="S430" i="48"/>
  <c r="S431" i="48"/>
  <c r="S432" i="48"/>
  <c r="S433" i="48"/>
  <c r="S434" i="48"/>
  <c r="S435" i="48"/>
  <c r="S436" i="48"/>
  <c r="P439" i="48"/>
  <c r="W451" i="48" s="1"/>
  <c r="P443" i="48"/>
  <c r="E454" i="48"/>
  <c r="S454" i="48" s="1"/>
  <c r="C489" i="48"/>
  <c r="O499" i="48" s="1"/>
  <c r="D1" i="50"/>
  <c r="M1" i="50"/>
  <c r="R2" i="50"/>
  <c r="P8" i="50"/>
  <c r="E34" i="50" s="1"/>
  <c r="L13" i="50"/>
  <c r="U13" i="50"/>
  <c r="W13" i="50" s="1"/>
  <c r="V13" i="50" s="1"/>
  <c r="AM3" i="51" s="1"/>
  <c r="AN3" i="51" s="1"/>
  <c r="AO3" i="51" s="1"/>
  <c r="T14" i="50"/>
  <c r="AH4" i="51" s="1"/>
  <c r="AI4" i="51" s="1"/>
  <c r="AJ4" i="51" s="1"/>
  <c r="E14" i="50" s="1"/>
  <c r="L16" i="50"/>
  <c r="T16" i="50"/>
  <c r="AH6" i="51" s="1"/>
  <c r="AI6" i="51" s="1"/>
  <c r="AJ6" i="51" s="1"/>
  <c r="E16" i="50" s="1"/>
  <c r="U16" i="50"/>
  <c r="T17" i="50"/>
  <c r="AH7" i="51" s="1"/>
  <c r="AI7" i="51" s="1"/>
  <c r="AJ7" i="51" s="1"/>
  <c r="E17" i="50" s="1"/>
  <c r="L18" i="50"/>
  <c r="T18" i="50"/>
  <c r="U18" i="50"/>
  <c r="T19" i="50"/>
  <c r="AH9" i="51" s="1"/>
  <c r="AI9" i="51" s="1"/>
  <c r="AJ9" i="51" s="1"/>
  <c r="E19" i="50" s="1"/>
  <c r="E38" i="50"/>
  <c r="W38" i="50" s="1"/>
  <c r="T30" i="50"/>
  <c r="P30" i="50" s="1"/>
  <c r="E39" i="50" s="1"/>
  <c r="S39" i="50" s="1"/>
  <c r="T31" i="50"/>
  <c r="P31" i="50" s="1"/>
  <c r="E40" i="50" s="1"/>
  <c r="S40" i="50" s="1"/>
  <c r="P46" i="50"/>
  <c r="E73" i="50" s="1"/>
  <c r="S73" i="50" s="1"/>
  <c r="O49" i="50"/>
  <c r="Y57" i="50" s="1"/>
  <c r="O50" i="50"/>
  <c r="Y58" i="50" s="1"/>
  <c r="L54" i="50"/>
  <c r="T54" i="50"/>
  <c r="AH12" i="51" s="1"/>
  <c r="AI12" i="51" s="1"/>
  <c r="AJ12" i="51" s="1"/>
  <c r="E54" i="50" s="1"/>
  <c r="U54" i="50"/>
  <c r="T55" i="50"/>
  <c r="AH13" i="51" s="1"/>
  <c r="AI13" i="51" s="1"/>
  <c r="AJ13" i="51" s="1"/>
  <c r="E55" i="50" s="1"/>
  <c r="L56" i="50"/>
  <c r="T56" i="50"/>
  <c r="U56" i="50"/>
  <c r="T57" i="50"/>
  <c r="AH15" i="51" s="1"/>
  <c r="AI15" i="51" s="1"/>
  <c r="AJ15" i="51" s="1"/>
  <c r="E57" i="50" s="1"/>
  <c r="E77" i="50"/>
  <c r="W77" i="50" s="1"/>
  <c r="T68" i="50"/>
  <c r="P68" i="50" s="1"/>
  <c r="E78" i="50" s="1"/>
  <c r="S78" i="50" s="1"/>
  <c r="T69" i="50"/>
  <c r="P69" i="50" s="1"/>
  <c r="E79" i="50" s="1"/>
  <c r="S79" i="50" s="1"/>
  <c r="T70" i="50"/>
  <c r="P70" i="50" s="1"/>
  <c r="E80" i="50" s="1"/>
  <c r="S80" i="50" s="1"/>
  <c r="P86" i="50"/>
  <c r="E113" i="50" s="1"/>
  <c r="S113" i="50" s="1"/>
  <c r="O89" i="50"/>
  <c r="O90" i="50"/>
  <c r="Y98" i="50" s="1"/>
  <c r="L94" i="50"/>
  <c r="T94" i="50"/>
  <c r="AH18" i="51" s="1"/>
  <c r="AI18" i="51" s="1"/>
  <c r="AJ18" i="51" s="1"/>
  <c r="E94" i="50" s="1"/>
  <c r="U94" i="50"/>
  <c r="T95" i="50"/>
  <c r="AH19" i="51" s="1"/>
  <c r="AI19" i="51" s="1"/>
  <c r="AJ19" i="51" s="1"/>
  <c r="E95" i="50" s="1"/>
  <c r="L96" i="50"/>
  <c r="T96" i="50"/>
  <c r="AH20" i="51" s="1"/>
  <c r="AI20" i="51" s="1"/>
  <c r="AJ20" i="51" s="1"/>
  <c r="E96" i="50" s="1"/>
  <c r="U96" i="50"/>
  <c r="T97" i="50"/>
  <c r="AH21" i="51" s="1"/>
  <c r="AI21" i="51" s="1"/>
  <c r="AJ21" i="51" s="1"/>
  <c r="E97" i="50" s="1"/>
  <c r="G97" i="50" s="1"/>
  <c r="E117" i="50"/>
  <c r="W117" i="50" s="1"/>
  <c r="T108" i="50"/>
  <c r="P108" i="50" s="1"/>
  <c r="E118" i="50" s="1"/>
  <c r="S118" i="50" s="1"/>
  <c r="T109" i="50"/>
  <c r="P109" i="50" s="1"/>
  <c r="E119" i="50" s="1"/>
  <c r="S119" i="50" s="1"/>
  <c r="T110" i="50"/>
  <c r="P110" i="50" s="1"/>
  <c r="E120" i="50" s="1"/>
  <c r="S120" i="50" s="1"/>
  <c r="P126" i="50"/>
  <c r="E153" i="50" s="1"/>
  <c r="O129" i="50"/>
  <c r="O130" i="50"/>
  <c r="Y138" i="50" s="1"/>
  <c r="L134" i="50"/>
  <c r="T134" i="50"/>
  <c r="AH24" i="51" s="1"/>
  <c r="AI24" i="51" s="1"/>
  <c r="AJ24" i="51" s="1"/>
  <c r="E134" i="50" s="1"/>
  <c r="U134" i="50"/>
  <c r="T135" i="50"/>
  <c r="AH25" i="51" s="1"/>
  <c r="AI25" i="51" s="1"/>
  <c r="AJ25" i="51" s="1"/>
  <c r="E135" i="50" s="1"/>
  <c r="L136" i="50"/>
  <c r="T136" i="50"/>
  <c r="AH26" i="51" s="1"/>
  <c r="AI26" i="51" s="1"/>
  <c r="AJ26" i="51" s="1"/>
  <c r="E136" i="50" s="1"/>
  <c r="U136" i="50"/>
  <c r="T137" i="50"/>
  <c r="AH27" i="51" s="1"/>
  <c r="AI27" i="51" s="1"/>
  <c r="AJ27" i="51" s="1"/>
  <c r="E137" i="50" s="1"/>
  <c r="G137" i="50" s="1"/>
  <c r="E157" i="50"/>
  <c r="W157" i="50" s="1"/>
  <c r="T148" i="50"/>
  <c r="P148" i="50" s="1"/>
  <c r="E158" i="50" s="1"/>
  <c r="S158" i="50" s="1"/>
  <c r="T149" i="50"/>
  <c r="P149" i="50" s="1"/>
  <c r="E159" i="50" s="1"/>
  <c r="S159" i="50" s="1"/>
  <c r="T150" i="50"/>
  <c r="P150" i="50" s="1"/>
  <c r="E160" i="50" s="1"/>
  <c r="S160" i="50" s="1"/>
  <c r="P166" i="50"/>
  <c r="E193" i="50" s="1"/>
  <c r="S193" i="50" s="1"/>
  <c r="O169" i="50"/>
  <c r="O170" i="50"/>
  <c r="Y178" i="50" s="1"/>
  <c r="L174" i="50"/>
  <c r="T174" i="50"/>
  <c r="AH30" i="51" s="1"/>
  <c r="AI30" i="51" s="1"/>
  <c r="AJ30" i="51" s="1"/>
  <c r="E174" i="50" s="1"/>
  <c r="U174" i="50"/>
  <c r="T175" i="50"/>
  <c r="AH31" i="51" s="1"/>
  <c r="AI31" i="51" s="1"/>
  <c r="AJ31" i="51" s="1"/>
  <c r="E175" i="50" s="1"/>
  <c r="L176" i="50"/>
  <c r="T176" i="50"/>
  <c r="AH32" i="51" s="1"/>
  <c r="AI32" i="51" s="1"/>
  <c r="AJ32" i="51" s="1"/>
  <c r="E176" i="50" s="1"/>
  <c r="U176" i="50"/>
  <c r="T177" i="50"/>
  <c r="AH33" i="51" s="1"/>
  <c r="AI33" i="51" s="1"/>
  <c r="AJ33" i="51" s="1"/>
  <c r="E177" i="50" s="1"/>
  <c r="E197" i="50"/>
  <c r="W197" i="50" s="1"/>
  <c r="T188" i="50"/>
  <c r="P188" i="50" s="1"/>
  <c r="E198" i="50" s="1"/>
  <c r="S198" i="50" s="1"/>
  <c r="T189" i="50"/>
  <c r="P189" i="50" s="1"/>
  <c r="E199" i="50" s="1"/>
  <c r="S199" i="50" s="1"/>
  <c r="T190" i="50"/>
  <c r="P190" i="50" s="1"/>
  <c r="E200" i="50" s="1"/>
  <c r="S200" i="50" s="1"/>
  <c r="S208" i="50"/>
  <c r="S209" i="50"/>
  <c r="S210" i="50"/>
  <c r="S211" i="50"/>
  <c r="S212" i="50"/>
  <c r="P212" i="50" s="1"/>
  <c r="E347" i="50" s="1"/>
  <c r="S347" i="50" s="1"/>
  <c r="S215" i="50"/>
  <c r="S216" i="50"/>
  <c r="S217" i="50"/>
  <c r="S218" i="50"/>
  <c r="S219" i="50"/>
  <c r="L222" i="50"/>
  <c r="T222" i="50"/>
  <c r="AH36" i="51" s="1"/>
  <c r="AI36" i="51" s="1"/>
  <c r="AJ36" i="51" s="1"/>
  <c r="E222" i="50" s="1"/>
  <c r="U222" i="50"/>
  <c r="T223" i="50"/>
  <c r="AH37" i="51" s="1"/>
  <c r="AI37" i="51" s="1"/>
  <c r="AJ37" i="51" s="1"/>
  <c r="Y224" i="50"/>
  <c r="Y222" i="50" s="1"/>
  <c r="Z224" i="50"/>
  <c r="Z222" i="50" s="1"/>
  <c r="L224" i="50"/>
  <c r="T224" i="50"/>
  <c r="U224" i="50"/>
  <c r="T225" i="50"/>
  <c r="AH39" i="51" s="1"/>
  <c r="AI39" i="51" s="1"/>
  <c r="AJ39" i="51" s="1"/>
  <c r="L228" i="50"/>
  <c r="T228" i="50"/>
  <c r="AH42" i="51" s="1"/>
  <c r="AI42" i="51" s="1"/>
  <c r="AJ42" i="51" s="1"/>
  <c r="E228" i="50" s="1"/>
  <c r="U228" i="50"/>
  <c r="T229" i="50"/>
  <c r="AH43" i="51" s="1"/>
  <c r="AI43" i="51" s="1"/>
  <c r="AJ43" i="51" s="1"/>
  <c r="Y230" i="50"/>
  <c r="Z230" i="50"/>
  <c r="Y229" i="50"/>
  <c r="Z229" i="50"/>
  <c r="L230" i="50"/>
  <c r="T230" i="50"/>
  <c r="U230" i="50"/>
  <c r="T231" i="50"/>
  <c r="AH45" i="51" s="1"/>
  <c r="AI45" i="51" s="1"/>
  <c r="AJ45" i="51" s="1"/>
  <c r="E354" i="50"/>
  <c r="Y354" i="50" s="1"/>
  <c r="E355" i="50"/>
  <c r="Y355" i="50" s="1"/>
  <c r="P242" i="50"/>
  <c r="E356" i="50" s="1"/>
  <c r="Y356" i="50" s="1"/>
  <c r="P243" i="50"/>
  <c r="E357" i="50" s="1"/>
  <c r="Y357" i="50" s="1"/>
  <c r="S244" i="50"/>
  <c r="P244" i="50" s="1"/>
  <c r="E358" i="50" s="1"/>
  <c r="Y358" i="50" s="1"/>
  <c r="P247" i="50"/>
  <c r="E359" i="50" s="1"/>
  <c r="S359" i="50" s="1"/>
  <c r="S248" i="50"/>
  <c r="P248" i="50" s="1"/>
  <c r="E360" i="50" s="1"/>
  <c r="S360" i="50" s="1"/>
  <c r="S250" i="50"/>
  <c r="P250" i="50" s="1"/>
  <c r="E361" i="50" s="1"/>
  <c r="S361" i="50" s="1"/>
  <c r="E362" i="50"/>
  <c r="Y362" i="50" s="1"/>
  <c r="R253" i="50"/>
  <c r="P254" i="50"/>
  <c r="E363" i="50" s="1"/>
  <c r="Y363" i="50" s="1"/>
  <c r="S257" i="50"/>
  <c r="S258" i="50"/>
  <c r="S259" i="50"/>
  <c r="S260" i="50"/>
  <c r="S261" i="50"/>
  <c r="S262" i="50"/>
  <c r="S263" i="50"/>
  <c r="P267" i="50"/>
  <c r="W346" i="50" s="1"/>
  <c r="S281" i="50"/>
  <c r="M281" i="50" s="1"/>
  <c r="T281" i="50"/>
  <c r="U281" i="50"/>
  <c r="S282" i="50"/>
  <c r="M282" i="50" s="1"/>
  <c r="T282" i="50"/>
  <c r="U282" i="50"/>
  <c r="S283" i="50"/>
  <c r="M283" i="50" s="1"/>
  <c r="T283" i="50"/>
  <c r="U283" i="50"/>
  <c r="S284" i="50"/>
  <c r="M284" i="50" s="1"/>
  <c r="T284" i="50"/>
  <c r="U284" i="50"/>
  <c r="S285" i="50"/>
  <c r="M285" i="50" s="1"/>
  <c r="T285" i="50"/>
  <c r="U285" i="50"/>
  <c r="F287" i="50"/>
  <c r="S287" i="50"/>
  <c r="F288" i="50" s="1"/>
  <c r="T287" i="50"/>
  <c r="U287" i="50"/>
  <c r="S288" i="50"/>
  <c r="T288" i="50"/>
  <c r="U288" i="50"/>
  <c r="S289" i="50"/>
  <c r="T289" i="50"/>
  <c r="U289" i="50"/>
  <c r="S290" i="50"/>
  <c r="T290" i="50"/>
  <c r="U290" i="50"/>
  <c r="S291" i="50"/>
  <c r="T291" i="50"/>
  <c r="U291" i="50"/>
  <c r="F293" i="50"/>
  <c r="S293" i="50"/>
  <c r="F294" i="50" s="1"/>
  <c r="T293" i="50"/>
  <c r="U293" i="50"/>
  <c r="S294" i="50"/>
  <c r="T294" i="50"/>
  <c r="U294" i="50"/>
  <c r="S295" i="50"/>
  <c r="T295" i="50"/>
  <c r="U295" i="50"/>
  <c r="S296" i="50"/>
  <c r="T296" i="50"/>
  <c r="U296" i="50"/>
  <c r="S297" i="50"/>
  <c r="T297" i="50"/>
  <c r="U297" i="50"/>
  <c r="S298" i="50"/>
  <c r="T298" i="50"/>
  <c r="U298" i="50"/>
  <c r="F300" i="50"/>
  <c r="S300" i="50"/>
  <c r="T300" i="50"/>
  <c r="U300" i="50"/>
  <c r="S301" i="50"/>
  <c r="T301" i="50"/>
  <c r="U301" i="50"/>
  <c r="S302" i="50"/>
  <c r="T302" i="50"/>
  <c r="U302" i="50"/>
  <c r="F308" i="50"/>
  <c r="S308" i="50"/>
  <c r="F310" i="50" s="1"/>
  <c r="T308" i="50"/>
  <c r="U308" i="50"/>
  <c r="S309" i="50"/>
  <c r="T309" i="50"/>
  <c r="U309" i="50"/>
  <c r="S310" i="50"/>
  <c r="T310" i="50"/>
  <c r="U310" i="50"/>
  <c r="S311" i="50"/>
  <c r="T311" i="50"/>
  <c r="U311" i="50"/>
  <c r="S312" i="50"/>
  <c r="T312" i="50"/>
  <c r="U312" i="50"/>
  <c r="S313" i="50"/>
  <c r="T313" i="50"/>
  <c r="U313" i="50"/>
  <c r="S314" i="50"/>
  <c r="T314" i="50"/>
  <c r="U314" i="50"/>
  <c r="S315" i="50"/>
  <c r="T315" i="50"/>
  <c r="U315" i="50"/>
  <c r="F316" i="50"/>
  <c r="S316" i="50"/>
  <c r="T316" i="50"/>
  <c r="U316" i="50"/>
  <c r="S317" i="50"/>
  <c r="T317" i="50"/>
  <c r="U317" i="50"/>
  <c r="S319" i="50"/>
  <c r="T319" i="50"/>
  <c r="U319" i="50"/>
  <c r="B320" i="50"/>
  <c r="S321" i="50"/>
  <c r="F323" i="50" s="1"/>
  <c r="T321" i="50"/>
  <c r="U321" i="50"/>
  <c r="S322" i="50"/>
  <c r="T322" i="50"/>
  <c r="U322" i="50"/>
  <c r="S323" i="50"/>
  <c r="T323" i="50"/>
  <c r="U323" i="50"/>
  <c r="S324" i="50"/>
  <c r="T324" i="50"/>
  <c r="U324" i="50"/>
  <c r="S325" i="50"/>
  <c r="T325" i="50"/>
  <c r="U325" i="50"/>
  <c r="S326" i="50"/>
  <c r="T326" i="50"/>
  <c r="U326" i="50"/>
  <c r="S327" i="50"/>
  <c r="T327" i="50"/>
  <c r="U327" i="50"/>
  <c r="S329" i="50"/>
  <c r="M329" i="50" s="1"/>
  <c r="T329" i="50"/>
  <c r="U329" i="50"/>
  <c r="S330" i="50"/>
  <c r="M330" i="50" s="1"/>
  <c r="T330" i="50"/>
  <c r="U330" i="50"/>
  <c r="S331" i="50"/>
  <c r="F333" i="50" s="1"/>
  <c r="T331" i="50"/>
  <c r="U331" i="50"/>
  <c r="S332" i="50"/>
  <c r="T332" i="50"/>
  <c r="U332" i="50"/>
  <c r="S333" i="50"/>
  <c r="T333" i="50"/>
  <c r="U333" i="50"/>
  <c r="S334" i="50"/>
  <c r="T334" i="50"/>
  <c r="U334" i="50"/>
  <c r="S336" i="50"/>
  <c r="M336" i="50" s="1"/>
  <c r="T336" i="50"/>
  <c r="U336" i="50"/>
  <c r="P373" i="50"/>
  <c r="E449" i="50" s="1"/>
  <c r="S449" i="50" s="1"/>
  <c r="Z377" i="50"/>
  <c r="Z378" i="50"/>
  <c r="AA377" i="50"/>
  <c r="AA378" i="50"/>
  <c r="L377" i="50"/>
  <c r="T377" i="50"/>
  <c r="U377" i="50"/>
  <c r="T378" i="50"/>
  <c r="AH56" i="51" s="1"/>
  <c r="AI56" i="51" s="1"/>
  <c r="AJ56" i="51" s="1"/>
  <c r="L379" i="50"/>
  <c r="T379" i="50"/>
  <c r="AH57" i="51" s="1"/>
  <c r="AI57" i="51" s="1"/>
  <c r="AJ57" i="51" s="1"/>
  <c r="E379" i="50" s="1"/>
  <c r="U379" i="50"/>
  <c r="X379" i="50" s="1"/>
  <c r="T380" i="50"/>
  <c r="AH58" i="51" s="1"/>
  <c r="AI58" i="51" s="1"/>
  <c r="AJ58" i="51" s="1"/>
  <c r="L382" i="50"/>
  <c r="T382" i="50"/>
  <c r="U382" i="50"/>
  <c r="L383" i="50"/>
  <c r="T383" i="50"/>
  <c r="AH62" i="51" s="1"/>
  <c r="AI62" i="51" s="1"/>
  <c r="AJ62" i="51" s="1"/>
  <c r="E383" i="50" s="1"/>
  <c r="U383" i="50"/>
  <c r="L384" i="50"/>
  <c r="T384" i="50"/>
  <c r="AH63" i="51" s="1"/>
  <c r="AI63" i="51" s="1"/>
  <c r="AJ63" i="51" s="1"/>
  <c r="E384" i="50" s="1"/>
  <c r="U384" i="50"/>
  <c r="L385" i="50"/>
  <c r="T385" i="50"/>
  <c r="AH64" i="51" s="1"/>
  <c r="AI64" i="51" s="1"/>
  <c r="AJ64" i="51" s="1"/>
  <c r="E385" i="50" s="1"/>
  <c r="U385" i="50"/>
  <c r="L386" i="50"/>
  <c r="T386" i="50"/>
  <c r="AH65" i="51" s="1"/>
  <c r="AI65" i="51" s="1"/>
  <c r="AJ65" i="51" s="1"/>
  <c r="E386" i="50" s="1"/>
  <c r="U386" i="50"/>
  <c r="L387" i="50"/>
  <c r="T387" i="50"/>
  <c r="U387" i="50"/>
  <c r="E452" i="50"/>
  <c r="S452" i="50" s="1"/>
  <c r="R397" i="50"/>
  <c r="R398" i="50"/>
  <c r="R399" i="50"/>
  <c r="R400" i="50"/>
  <c r="P404" i="50"/>
  <c r="E454" i="50" s="1"/>
  <c r="S454" i="50" s="1"/>
  <c r="P407" i="50"/>
  <c r="E455" i="50" s="1"/>
  <c r="S455" i="50" s="1"/>
  <c r="S413" i="50"/>
  <c r="S417" i="50"/>
  <c r="P411" i="50" s="1"/>
  <c r="E456" i="50" s="1"/>
  <c r="S456" i="50" s="1"/>
  <c r="S418" i="50"/>
  <c r="P418" i="50" s="1"/>
  <c r="E463" i="50" s="1"/>
  <c r="S463" i="50" s="1"/>
  <c r="E465" i="50"/>
  <c r="Y465" i="50" s="1"/>
  <c r="P427" i="50"/>
  <c r="S430" i="50"/>
  <c r="S431" i="50"/>
  <c r="S432" i="50"/>
  <c r="S433" i="50"/>
  <c r="S434" i="50"/>
  <c r="S435" i="50"/>
  <c r="S436" i="50"/>
  <c r="P439" i="50"/>
  <c r="W451" i="50" s="1"/>
  <c r="P443" i="50"/>
  <c r="W455" i="50" s="1"/>
  <c r="C489" i="50"/>
  <c r="D1" i="52"/>
  <c r="M1" i="52"/>
  <c r="R2" i="52"/>
  <c r="S2" i="52" s="1"/>
  <c r="J638" i="52" s="1"/>
  <c r="P6" i="52"/>
  <c r="U11" i="52"/>
  <c r="U13" i="52"/>
  <c r="U14" i="52"/>
  <c r="T18" i="52"/>
  <c r="BD3" i="55" s="1"/>
  <c r="BE3" i="55" s="1"/>
  <c r="BF3" i="55" s="1"/>
  <c r="E19" i="52" s="1"/>
  <c r="U18" i="52"/>
  <c r="K19" i="52"/>
  <c r="T19" i="52"/>
  <c r="U19" i="52"/>
  <c r="X19" i="52" s="1"/>
  <c r="K20" i="52"/>
  <c r="T20" i="52"/>
  <c r="BD5" i="55" s="1"/>
  <c r="BE5" i="55" s="1"/>
  <c r="BF5" i="55" s="1"/>
  <c r="E21" i="52" s="1"/>
  <c r="G21" i="52"/>
  <c r="K23" i="52"/>
  <c r="T23" i="52"/>
  <c r="U23" i="52"/>
  <c r="K24" i="52"/>
  <c r="T24" i="52"/>
  <c r="BD8" i="55" s="1"/>
  <c r="BE8" i="55" s="1"/>
  <c r="BF8" i="55" s="1"/>
  <c r="E24" i="52" s="1"/>
  <c r="U24" i="52"/>
  <c r="X24" i="52" s="1"/>
  <c r="G25" i="52"/>
  <c r="T25" i="52"/>
  <c r="BD9" i="55" s="1"/>
  <c r="BE9" i="55" s="1"/>
  <c r="BF9" i="55" s="1"/>
  <c r="E25" i="52" s="1"/>
  <c r="S33" i="52"/>
  <c r="X33" i="52"/>
  <c r="AQ33" i="52"/>
  <c r="S34" i="52"/>
  <c r="AO34" i="52" s="1"/>
  <c r="X34" i="52"/>
  <c r="AQ34" i="52" s="1"/>
  <c r="S35" i="52"/>
  <c r="X35" i="52"/>
  <c r="AQ35" i="52" s="1"/>
  <c r="S38" i="52"/>
  <c r="T39" i="52" s="1"/>
  <c r="AI39" i="52" s="1"/>
  <c r="X38" i="52"/>
  <c r="AQ38" i="52" s="1"/>
  <c r="AC38" i="52"/>
  <c r="S39" i="52"/>
  <c r="X39" i="52"/>
  <c r="AQ39" i="52" s="1"/>
  <c r="S40" i="52"/>
  <c r="T40" i="52"/>
  <c r="X40" i="52"/>
  <c r="AQ40" i="52" s="1"/>
  <c r="T44" i="52"/>
  <c r="P44" i="52" s="1"/>
  <c r="E69" i="52" s="1"/>
  <c r="V69" i="52" s="1"/>
  <c r="T45" i="52"/>
  <c r="P45" i="52" s="1"/>
  <c r="E70" i="52" s="1"/>
  <c r="V70" i="52" s="1"/>
  <c r="T46" i="52"/>
  <c r="P46" i="52" s="1"/>
  <c r="E71" i="52" s="1"/>
  <c r="V71" i="52" s="1"/>
  <c r="T47" i="52"/>
  <c r="P47" i="52" s="1"/>
  <c r="E72" i="52" s="1"/>
  <c r="V72" i="52" s="1"/>
  <c r="H51" i="52"/>
  <c r="S51" i="52"/>
  <c r="H52" i="52"/>
  <c r="S52" i="52"/>
  <c r="O52" i="52" s="1"/>
  <c r="T54" i="52"/>
  <c r="P54" i="52" s="1"/>
  <c r="E74" i="52" s="1"/>
  <c r="V74" i="52" s="1"/>
  <c r="T55" i="52"/>
  <c r="P55" i="52" s="1"/>
  <c r="E75" i="52" s="1"/>
  <c r="R75" i="52" s="1"/>
  <c r="P57" i="52"/>
  <c r="E76" i="52" s="1"/>
  <c r="P58" i="52"/>
  <c r="E77" i="52" s="1"/>
  <c r="P81" i="52"/>
  <c r="E138" i="52" s="1"/>
  <c r="V138" i="52" s="1"/>
  <c r="R84" i="52"/>
  <c r="K91" i="52"/>
  <c r="T91" i="52"/>
  <c r="BD12" i="55" s="1"/>
  <c r="BE12" i="55" s="1"/>
  <c r="BF12" i="55" s="1"/>
  <c r="E91" i="52" s="1"/>
  <c r="U91" i="52"/>
  <c r="I92" i="52"/>
  <c r="K92" i="52"/>
  <c r="T92" i="52"/>
  <c r="W92" i="52" s="1"/>
  <c r="U92" i="52"/>
  <c r="X92" i="52" s="1"/>
  <c r="G93" i="52"/>
  <c r="T93" i="52"/>
  <c r="BD14" i="55" s="1"/>
  <c r="BE14" i="55" s="1"/>
  <c r="BF14" i="55" s="1"/>
  <c r="E93" i="52" s="1"/>
  <c r="AA95" i="52" s="1"/>
  <c r="K95" i="52"/>
  <c r="T95" i="52"/>
  <c r="BD16" i="55" s="1"/>
  <c r="BE16" i="55" s="1"/>
  <c r="BF16" i="55" s="1"/>
  <c r="E95" i="52" s="1"/>
  <c r="U95" i="52"/>
  <c r="I96" i="52"/>
  <c r="K96" i="52"/>
  <c r="T96" i="52"/>
  <c r="U96" i="52"/>
  <c r="X96" i="52" s="1"/>
  <c r="G97" i="52"/>
  <c r="T97" i="52"/>
  <c r="BD18" i="55" s="1"/>
  <c r="BE18" i="55" s="1"/>
  <c r="BF18" i="55" s="1"/>
  <c r="E97" i="52" s="1"/>
  <c r="AB95" i="52" s="1"/>
  <c r="K99" i="52"/>
  <c r="T99" i="52"/>
  <c r="U99" i="52"/>
  <c r="K100" i="52"/>
  <c r="T100" i="52"/>
  <c r="U100" i="52"/>
  <c r="X100" i="52" s="1"/>
  <c r="G101" i="52"/>
  <c r="T101" i="52"/>
  <c r="BD22" i="55" s="1"/>
  <c r="BE22" i="55" s="1"/>
  <c r="BF22" i="55" s="1"/>
  <c r="E101" i="52" s="1"/>
  <c r="T106" i="52"/>
  <c r="P106" i="52" s="1"/>
  <c r="E141" i="52" s="1"/>
  <c r="V141" i="52" s="1"/>
  <c r="T107" i="52"/>
  <c r="P107" i="52" s="1"/>
  <c r="E142" i="52" s="1"/>
  <c r="V142" i="52" s="1"/>
  <c r="T108" i="52"/>
  <c r="P108" i="52" s="1"/>
  <c r="E143" i="52" s="1"/>
  <c r="V143" i="52" s="1"/>
  <c r="T109" i="52"/>
  <c r="P109" i="52" s="1"/>
  <c r="E144" i="52" s="1"/>
  <c r="V144" i="52" s="1"/>
  <c r="S115" i="52"/>
  <c r="T115" i="52" s="1"/>
  <c r="AA115" i="52"/>
  <c r="BI115" i="52" s="1"/>
  <c r="S116" i="52"/>
  <c r="AA116" i="52"/>
  <c r="S117" i="52"/>
  <c r="AO117" i="52" s="1"/>
  <c r="AA117" i="52"/>
  <c r="BI117" i="52" s="1"/>
  <c r="S120" i="52"/>
  <c r="T121" i="52" s="1"/>
  <c r="AA120" i="52"/>
  <c r="BI120" i="52" s="1"/>
  <c r="S121" i="52"/>
  <c r="BG121" i="52" s="1"/>
  <c r="AA121" i="52"/>
  <c r="BI121" i="52" s="1"/>
  <c r="S122" i="52"/>
  <c r="AU122" i="52" s="1"/>
  <c r="AA122" i="52"/>
  <c r="BI122" i="52" s="1"/>
  <c r="H126" i="52"/>
  <c r="S126" i="52"/>
  <c r="H127" i="52"/>
  <c r="O127" i="52" s="1"/>
  <c r="S127" i="52"/>
  <c r="H128" i="52"/>
  <c r="S128" i="52"/>
  <c r="O128" i="52" s="1"/>
  <c r="T126" i="52" s="1"/>
  <c r="T130" i="52"/>
  <c r="P130" i="52" s="1"/>
  <c r="E148" i="52" s="1"/>
  <c r="T131" i="52"/>
  <c r="P131" i="52" s="1"/>
  <c r="E149" i="52" s="1"/>
  <c r="T132" i="52"/>
  <c r="P132" i="52" s="1"/>
  <c r="E150" i="52" s="1"/>
  <c r="V150" i="52" s="1"/>
  <c r="P134" i="52"/>
  <c r="E151" i="52" s="1"/>
  <c r="P135" i="52"/>
  <c r="E152" i="52" s="1"/>
  <c r="V152" i="52" s="1"/>
  <c r="P157" i="52"/>
  <c r="E215" i="52" s="1"/>
  <c r="R215" i="52" s="1"/>
  <c r="B159" i="52"/>
  <c r="R160" i="52"/>
  <c r="K168" i="52"/>
  <c r="T168" i="52"/>
  <c r="BD25" i="55" s="1"/>
  <c r="BE25" i="55" s="1"/>
  <c r="BF25" i="55" s="1"/>
  <c r="E168" i="52" s="1"/>
  <c r="U168" i="52"/>
  <c r="I169" i="52"/>
  <c r="K169" i="52"/>
  <c r="T169" i="52"/>
  <c r="BD26" i="55" s="1"/>
  <c r="BE26" i="55" s="1"/>
  <c r="BF26" i="55" s="1"/>
  <c r="E169" i="52" s="1"/>
  <c r="U169" i="52"/>
  <c r="X169" i="52" s="1"/>
  <c r="G170" i="52"/>
  <c r="T170" i="52"/>
  <c r="BD27" i="55" s="1"/>
  <c r="BE27" i="55" s="1"/>
  <c r="BF27" i="55" s="1"/>
  <c r="E170" i="52" s="1"/>
  <c r="AA172" i="52" s="1"/>
  <c r="K172" i="52"/>
  <c r="T172" i="52"/>
  <c r="BD29" i="55" s="1"/>
  <c r="BE29" i="55" s="1"/>
  <c r="BF29" i="55" s="1"/>
  <c r="E172" i="52" s="1"/>
  <c r="U172" i="52"/>
  <c r="I173" i="52"/>
  <c r="K173" i="52"/>
  <c r="T173" i="52"/>
  <c r="Y173" i="52" s="1"/>
  <c r="V173" i="52" s="1"/>
  <c r="BI30" i="55" s="1"/>
  <c r="BJ30" i="55" s="1"/>
  <c r="BK30" i="55" s="1"/>
  <c r="U173" i="52"/>
  <c r="X173" i="52" s="1"/>
  <c r="G174" i="52"/>
  <c r="T174" i="52"/>
  <c r="BD31" i="55" s="1"/>
  <c r="BE31" i="55" s="1"/>
  <c r="BF31" i="55" s="1"/>
  <c r="E174" i="52" s="1"/>
  <c r="AB172" i="52" s="1"/>
  <c r="K176" i="52"/>
  <c r="T176" i="52"/>
  <c r="BD33" i="55" s="1"/>
  <c r="BE33" i="55" s="1"/>
  <c r="BF33" i="55" s="1"/>
  <c r="E176" i="52" s="1"/>
  <c r="U176" i="52"/>
  <c r="K177" i="52"/>
  <c r="T177" i="52"/>
  <c r="U177" i="52"/>
  <c r="X177" i="52" s="1"/>
  <c r="G178" i="52"/>
  <c r="T178" i="52"/>
  <c r="BD35" i="55" s="1"/>
  <c r="BE35" i="55" s="1"/>
  <c r="BF35" i="55" s="1"/>
  <c r="E178" i="52" s="1"/>
  <c r="T182" i="52"/>
  <c r="P182" i="52" s="1"/>
  <c r="E218" i="52" s="1"/>
  <c r="V218" i="52" s="1"/>
  <c r="T183" i="52"/>
  <c r="P183" i="52" s="1"/>
  <c r="E219" i="52" s="1"/>
  <c r="V219" i="52" s="1"/>
  <c r="T184" i="52"/>
  <c r="P184" i="52" s="1"/>
  <c r="E220" i="52" s="1"/>
  <c r="V220" i="52" s="1"/>
  <c r="T185" i="52"/>
  <c r="P185" i="52" s="1"/>
  <c r="E221" i="52" s="1"/>
  <c r="V221" i="52" s="1"/>
  <c r="S191" i="52"/>
  <c r="AA191" i="52"/>
  <c r="BI191" i="52" s="1"/>
  <c r="S192" i="52"/>
  <c r="BD192" i="52" s="1"/>
  <c r="AA192" i="52"/>
  <c r="BI192" i="52" s="1"/>
  <c r="S193" i="52"/>
  <c r="AZ193" i="52" s="1"/>
  <c r="AA193" i="52"/>
  <c r="BI193" i="52" s="1"/>
  <c r="S196" i="52"/>
  <c r="AU196" i="52" s="1"/>
  <c r="AO196" i="52"/>
  <c r="T196" i="52"/>
  <c r="BA196" i="52" s="1"/>
  <c r="AA196" i="52"/>
  <c r="BI196" i="52"/>
  <c r="AH196" i="52"/>
  <c r="S197" i="52"/>
  <c r="AZ197" i="52" s="1"/>
  <c r="AA197" i="52"/>
  <c r="BI197" i="52" s="1"/>
  <c r="S198" i="52"/>
  <c r="AA198" i="52"/>
  <c r="BI198" i="52" s="1"/>
  <c r="H202" i="52"/>
  <c r="S202" i="52"/>
  <c r="H203" i="52"/>
  <c r="S203" i="52"/>
  <c r="H204" i="52"/>
  <c r="S204" i="52"/>
  <c r="T206" i="52"/>
  <c r="P206" i="52" s="1"/>
  <c r="E225" i="52" s="1"/>
  <c r="T207" i="52"/>
  <c r="P207" i="52" s="1"/>
  <c r="E226" i="52" s="1"/>
  <c r="T208" i="52"/>
  <c r="P208" i="52" s="1"/>
  <c r="E227" i="52" s="1"/>
  <c r="P210" i="52"/>
  <c r="E228" i="52" s="1"/>
  <c r="V228" i="52" s="1"/>
  <c r="P211" i="52"/>
  <c r="E229" i="52"/>
  <c r="V229" i="52" s="1"/>
  <c r="P234" i="52"/>
  <c r="B236" i="52" s="1"/>
  <c r="R237" i="52"/>
  <c r="K244" i="52"/>
  <c r="T244" i="52"/>
  <c r="BD38" i="55" s="1"/>
  <c r="BE38" i="55" s="1"/>
  <c r="BF38" i="55" s="1"/>
  <c r="E244" i="52" s="1"/>
  <c r="U244" i="52"/>
  <c r="I245" i="52"/>
  <c r="K245" i="52"/>
  <c r="T245" i="52"/>
  <c r="W245" i="52" s="1"/>
  <c r="U245" i="52"/>
  <c r="X245" i="52" s="1"/>
  <c r="G246" i="52"/>
  <c r="T246" i="52"/>
  <c r="BD40" i="55" s="1"/>
  <c r="BE40" i="55" s="1"/>
  <c r="BF40" i="55" s="1"/>
  <c r="E246" i="52" s="1"/>
  <c r="AA248" i="52" s="1"/>
  <c r="K248" i="52"/>
  <c r="T248" i="52"/>
  <c r="BD42" i="55" s="1"/>
  <c r="BE42" i="55" s="1"/>
  <c r="BF42" i="55" s="1"/>
  <c r="E248" i="52" s="1"/>
  <c r="U248" i="52"/>
  <c r="I249" i="52"/>
  <c r="K249" i="52"/>
  <c r="T249" i="52"/>
  <c r="U249" i="52"/>
  <c r="X249" i="52" s="1"/>
  <c r="G250" i="52"/>
  <c r="T250" i="52"/>
  <c r="BD44" i="55" s="1"/>
  <c r="BE44" i="55" s="1"/>
  <c r="BF44" i="55" s="1"/>
  <c r="E250" i="52" s="1"/>
  <c r="AB248" i="52" s="1"/>
  <c r="K252" i="52"/>
  <c r="T252" i="52"/>
  <c r="BD46" i="55" s="1"/>
  <c r="BE46" i="55" s="1"/>
  <c r="BF46" i="55" s="1"/>
  <c r="E252" i="52" s="1"/>
  <c r="U252" i="52"/>
  <c r="K253" i="52"/>
  <c r="T253" i="52"/>
  <c r="Y253" i="52" s="1"/>
  <c r="V253" i="52" s="1"/>
  <c r="BI47" i="55" s="1"/>
  <c r="BJ47" i="55" s="1"/>
  <c r="BK47" i="55" s="1"/>
  <c r="I253" i="52" s="1"/>
  <c r="U253" i="52"/>
  <c r="X253" i="52" s="1"/>
  <c r="G254" i="52"/>
  <c r="T254" i="52"/>
  <c r="BD48" i="55" s="1"/>
  <c r="BE48" i="55" s="1"/>
  <c r="BF48" i="55" s="1"/>
  <c r="E254" i="52" s="1"/>
  <c r="T258" i="52"/>
  <c r="P258" i="52" s="1"/>
  <c r="E293" i="52" s="1"/>
  <c r="V293" i="52"/>
  <c r="T259" i="52"/>
  <c r="P259" i="52" s="1"/>
  <c r="E294" i="52" s="1"/>
  <c r="V294" i="52" s="1"/>
  <c r="T260" i="52"/>
  <c r="P260" i="52" s="1"/>
  <c r="E295" i="52" s="1"/>
  <c r="V295" i="52" s="1"/>
  <c r="T261" i="52"/>
  <c r="P261" i="52" s="1"/>
  <c r="E296" i="52" s="1"/>
  <c r="V296" i="52" s="1"/>
  <c r="S267" i="52"/>
  <c r="AA267" i="52"/>
  <c r="BI267" i="52" s="1"/>
  <c r="S268" i="52"/>
  <c r="AO268" i="52" s="1"/>
  <c r="AA268" i="52"/>
  <c r="BI268" i="52" s="1"/>
  <c r="S269" i="52"/>
  <c r="BG269" i="52" s="1"/>
  <c r="AA269" i="52"/>
  <c r="S272" i="52"/>
  <c r="T273" i="52" s="1"/>
  <c r="AA272" i="52"/>
  <c r="BI272" i="52" s="1"/>
  <c r="S273" i="52"/>
  <c r="AZ273" i="52" s="1"/>
  <c r="AA273" i="52"/>
  <c r="BI273" i="52" s="1"/>
  <c r="S274" i="52"/>
  <c r="BD274" i="52" s="1"/>
  <c r="AA274" i="52"/>
  <c r="BI274" i="52" s="1"/>
  <c r="AU274" i="52"/>
  <c r="H278" i="52"/>
  <c r="S278" i="52"/>
  <c r="H279" i="52"/>
  <c r="S279" i="52"/>
  <c r="H280" i="52"/>
  <c r="S280" i="52"/>
  <c r="T282" i="52"/>
  <c r="P282" i="52" s="1"/>
  <c r="E300" i="52" s="1"/>
  <c r="T283" i="52"/>
  <c r="P283" i="52" s="1"/>
  <c r="E301" i="52" s="1"/>
  <c r="V301" i="52" s="1"/>
  <c r="T284" i="52"/>
  <c r="P284" i="52"/>
  <c r="E302" i="52" s="1"/>
  <c r="R302" i="52" s="1"/>
  <c r="P286" i="52"/>
  <c r="E303" i="52" s="1"/>
  <c r="P287" i="52"/>
  <c r="E304" i="52" s="1"/>
  <c r="V304" i="52" s="1"/>
  <c r="P309" i="52"/>
  <c r="R312" i="52"/>
  <c r="K319" i="52"/>
  <c r="T319" i="52"/>
  <c r="BD51" i="55" s="1"/>
  <c r="BE51" i="55" s="1"/>
  <c r="BF51" i="55" s="1"/>
  <c r="E319" i="52" s="1"/>
  <c r="U319" i="52"/>
  <c r="I320" i="52"/>
  <c r="K320" i="52"/>
  <c r="T320" i="52"/>
  <c r="Y320" i="52" s="1"/>
  <c r="V320" i="52" s="1"/>
  <c r="BI52" i="55" s="1"/>
  <c r="BJ52" i="55" s="1"/>
  <c r="BK52" i="55" s="1"/>
  <c r="U320" i="52"/>
  <c r="X320" i="52" s="1"/>
  <c r="G321" i="52"/>
  <c r="T321" i="52"/>
  <c r="BD53" i="55" s="1"/>
  <c r="BE53" i="55" s="1"/>
  <c r="BF53" i="55" s="1"/>
  <c r="E321" i="52" s="1"/>
  <c r="AA323" i="52" s="1"/>
  <c r="K323" i="52"/>
  <c r="T323" i="52"/>
  <c r="U323" i="52"/>
  <c r="I324" i="52"/>
  <c r="K324" i="52"/>
  <c r="T324" i="52"/>
  <c r="Y324" i="52" s="1"/>
  <c r="V324" i="52" s="1"/>
  <c r="BI56" i="55" s="1"/>
  <c r="BJ56" i="55" s="1"/>
  <c r="BK56" i="55" s="1"/>
  <c r="U324" i="52"/>
  <c r="X324" i="52" s="1"/>
  <c r="G325" i="52"/>
  <c r="T325" i="52"/>
  <c r="BD57" i="55" s="1"/>
  <c r="BE57" i="55" s="1"/>
  <c r="BF57" i="55" s="1"/>
  <c r="E325" i="52" s="1"/>
  <c r="AB323" i="52" s="1"/>
  <c r="I327" i="52"/>
  <c r="K327" i="52"/>
  <c r="T327" i="52"/>
  <c r="U327" i="52"/>
  <c r="I328" i="52"/>
  <c r="K328" i="52"/>
  <c r="T328" i="52"/>
  <c r="W328" i="52" s="1"/>
  <c r="U328" i="52"/>
  <c r="X328" i="52" s="1"/>
  <c r="G329" i="52"/>
  <c r="T329" i="52"/>
  <c r="BD61" i="55" s="1"/>
  <c r="BE61" i="55" s="1"/>
  <c r="BF61" i="55" s="1"/>
  <c r="E329" i="52" s="1"/>
  <c r="T333" i="52"/>
  <c r="P333" i="52" s="1"/>
  <c r="E368" i="52" s="1"/>
  <c r="V368" i="52" s="1"/>
  <c r="T334" i="52"/>
  <c r="P334" i="52" s="1"/>
  <c r="E369" i="52" s="1"/>
  <c r="V369" i="52" s="1"/>
  <c r="T335" i="52"/>
  <c r="P335" i="52" s="1"/>
  <c r="E370" i="52" s="1"/>
  <c r="V370" i="52" s="1"/>
  <c r="T336" i="52"/>
  <c r="P336" i="52" s="1"/>
  <c r="E371" i="52" s="1"/>
  <c r="V371" i="52" s="1"/>
  <c r="S342" i="52"/>
  <c r="AA342" i="52"/>
  <c r="BI342" i="52" s="1"/>
  <c r="S343" i="52"/>
  <c r="AA343" i="52"/>
  <c r="BI343" i="52"/>
  <c r="S344" i="52"/>
  <c r="AO344" i="52" s="1"/>
  <c r="AA344" i="52"/>
  <c r="BI344" i="52"/>
  <c r="AH344" i="52"/>
  <c r="BG344" i="52"/>
  <c r="S347" i="52"/>
  <c r="AA347" i="52"/>
  <c r="BI347" i="52"/>
  <c r="S348" i="52"/>
  <c r="AH348" i="52" s="1"/>
  <c r="AA348" i="52"/>
  <c r="S349" i="52"/>
  <c r="AA349" i="52"/>
  <c r="BI349" i="52" s="1"/>
  <c r="H353" i="52"/>
  <c r="O353" i="52" s="1"/>
  <c r="S353" i="52"/>
  <c r="H354" i="52"/>
  <c r="O354" i="52" s="1"/>
  <c r="S354" i="52"/>
  <c r="H355" i="52"/>
  <c r="S355" i="52"/>
  <c r="T357" i="52"/>
  <c r="P357" i="52" s="1"/>
  <c r="E375" i="52" s="1"/>
  <c r="T358" i="52"/>
  <c r="P358" i="52" s="1"/>
  <c r="E376" i="52" s="1"/>
  <c r="T359" i="52"/>
  <c r="P359" i="52" s="1"/>
  <c r="E377" i="52" s="1"/>
  <c r="V377" i="52" s="1"/>
  <c r="P361" i="52"/>
  <c r="E378" i="52" s="1"/>
  <c r="V378" i="52" s="1"/>
  <c r="P362" i="52"/>
  <c r="E379" i="52" s="1"/>
  <c r="V379" i="52" s="1"/>
  <c r="P385" i="52"/>
  <c r="S386" i="52"/>
  <c r="P386" i="52" s="1"/>
  <c r="E529" i="52" s="1"/>
  <c r="AM530" i="52" s="1"/>
  <c r="S387" i="52"/>
  <c r="S388" i="52"/>
  <c r="S389" i="52"/>
  <c r="P389" i="52" s="1"/>
  <c r="E532" i="52" s="1"/>
  <c r="AP530" i="52" s="1"/>
  <c r="S390" i="52"/>
  <c r="P390" i="52" s="1"/>
  <c r="E533" i="52" s="1"/>
  <c r="AQ530" i="52" s="1"/>
  <c r="I394" i="52"/>
  <c r="K394" i="52"/>
  <c r="T394" i="52"/>
  <c r="BD64" i="55" s="1"/>
  <c r="BE64" i="55" s="1"/>
  <c r="BF64" i="55" s="1"/>
  <c r="E394" i="52" s="1"/>
  <c r="U394" i="52"/>
  <c r="I395" i="52"/>
  <c r="K395" i="52"/>
  <c r="T395" i="52"/>
  <c r="U395" i="52"/>
  <c r="T396" i="52"/>
  <c r="BD66" i="55" s="1"/>
  <c r="BE66" i="55" s="1"/>
  <c r="BF66" i="55" s="1"/>
  <c r="V397" i="52"/>
  <c r="W397" i="52"/>
  <c r="X397" i="52"/>
  <c r="Y397" i="52"/>
  <c r="T397" i="52"/>
  <c r="BD67" i="55" s="1"/>
  <c r="BE67" i="55" s="1"/>
  <c r="BF67" i="55" s="1"/>
  <c r="I400" i="52"/>
  <c r="K400" i="52"/>
  <c r="T400" i="52"/>
  <c r="BD70" i="55" s="1"/>
  <c r="BE70" i="55" s="1"/>
  <c r="BF70" i="55" s="1"/>
  <c r="E400" i="52" s="1"/>
  <c r="U400" i="52"/>
  <c r="T401" i="52"/>
  <c r="BD71" i="55" s="1"/>
  <c r="BE71" i="55" s="1"/>
  <c r="BF71" i="55" s="1"/>
  <c r="I402" i="52"/>
  <c r="K402" i="52"/>
  <c r="T402" i="52"/>
  <c r="U402" i="52"/>
  <c r="T403" i="52"/>
  <c r="BD73" i="55" s="1"/>
  <c r="BE73" i="55" s="1"/>
  <c r="BF73" i="55" s="1"/>
  <c r="I404" i="52"/>
  <c r="K404" i="52"/>
  <c r="T404" i="52"/>
  <c r="BD74" i="55" s="1"/>
  <c r="BE74" i="55" s="1"/>
  <c r="BF74" i="55" s="1"/>
  <c r="E404" i="52" s="1"/>
  <c r="U404" i="52"/>
  <c r="T405" i="52"/>
  <c r="BD75" i="55" s="1"/>
  <c r="BE75" i="55" s="1"/>
  <c r="BF75" i="55" s="1"/>
  <c r="K406" i="52"/>
  <c r="T406" i="52"/>
  <c r="U406" i="52"/>
  <c r="T407" i="52"/>
  <c r="BD77" i="55" s="1"/>
  <c r="BE77" i="55" s="1"/>
  <c r="BF77" i="55" s="1"/>
  <c r="V408" i="52"/>
  <c r="W408" i="52"/>
  <c r="X408" i="52"/>
  <c r="Y408" i="52"/>
  <c r="Z408" i="52"/>
  <c r="AA408" i="52"/>
  <c r="AB408" i="52"/>
  <c r="AC408" i="52"/>
  <c r="T412" i="52"/>
  <c r="T413" i="52"/>
  <c r="U413" i="52" s="1"/>
  <c r="T415" i="52"/>
  <c r="T416" i="52"/>
  <c r="H419" i="52"/>
  <c r="S419" i="52"/>
  <c r="H420" i="52"/>
  <c r="S420" i="52"/>
  <c r="T422" i="52"/>
  <c r="P422" i="52"/>
  <c r="E540" i="52" s="1"/>
  <c r="AX530" i="52" s="1"/>
  <c r="T423" i="52"/>
  <c r="P423" i="52" s="1"/>
  <c r="E541" i="52" s="1"/>
  <c r="AY530" i="52" s="1"/>
  <c r="E542" i="52"/>
  <c r="AZ530" i="52" s="1"/>
  <c r="H427" i="52"/>
  <c r="C543" i="52" s="1"/>
  <c r="BA530" i="52" s="1"/>
  <c r="K427" i="52"/>
  <c r="D543" i="52" s="1"/>
  <c r="M427" i="52"/>
  <c r="E543" i="52" s="1"/>
  <c r="BC530" i="52" s="1"/>
  <c r="O427" i="52"/>
  <c r="F543" i="52" s="1"/>
  <c r="BD530" i="52" s="1"/>
  <c r="P427" i="52"/>
  <c r="H428" i="52"/>
  <c r="C544" i="52" s="1"/>
  <c r="BE530" i="52" s="1"/>
  <c r="K428" i="52"/>
  <c r="M428" i="52"/>
  <c r="E544" i="52" s="1"/>
  <c r="BG530" i="52" s="1"/>
  <c r="O428" i="52"/>
  <c r="F544" i="52" s="1"/>
  <c r="BH530" i="52" s="1"/>
  <c r="H429" i="52"/>
  <c r="C545" i="52" s="1"/>
  <c r="BI530" i="52" s="1"/>
  <c r="K429" i="52"/>
  <c r="M429" i="52"/>
  <c r="E545" i="52" s="1"/>
  <c r="BK530" i="52" s="1"/>
  <c r="O429" i="52"/>
  <c r="F545" i="52" s="1"/>
  <c r="BL530" i="52" s="1"/>
  <c r="H430" i="52"/>
  <c r="C546" i="52" s="1"/>
  <c r="BM530" i="52" s="1"/>
  <c r="K430" i="52"/>
  <c r="M430" i="52"/>
  <c r="O430" i="52"/>
  <c r="F546" i="52" s="1"/>
  <c r="BP530" i="52" s="1"/>
  <c r="P432" i="52"/>
  <c r="O434" i="52"/>
  <c r="O435" i="52"/>
  <c r="P436" i="52" s="1"/>
  <c r="E549" i="52" s="1"/>
  <c r="O438" i="52"/>
  <c r="O439" i="52"/>
  <c r="S446" i="52"/>
  <c r="L446" i="52" s="1"/>
  <c r="T446" i="52"/>
  <c r="U446" i="52"/>
  <c r="S447" i="52"/>
  <c r="L447" i="52" s="1"/>
  <c r="T447" i="52"/>
  <c r="U447" i="52"/>
  <c r="S448" i="52"/>
  <c r="L448" i="52" s="1"/>
  <c r="T448" i="52"/>
  <c r="U448" i="52"/>
  <c r="S449" i="52"/>
  <c r="L449" i="52"/>
  <c r="T449" i="52"/>
  <c r="U449" i="52"/>
  <c r="S450" i="52"/>
  <c r="L450" i="52" s="1"/>
  <c r="P450" i="52" s="1"/>
  <c r="AE450" i="52" s="1"/>
  <c r="AF450" i="52" s="1"/>
  <c r="T450" i="52"/>
  <c r="U450" i="52"/>
  <c r="S454" i="52"/>
  <c r="F456" i="52" s="1"/>
  <c r="T454" i="52"/>
  <c r="U454" i="52"/>
  <c r="S455" i="52"/>
  <c r="T455" i="52"/>
  <c r="U455" i="52"/>
  <c r="S456" i="52"/>
  <c r="T456" i="52"/>
  <c r="U456" i="52"/>
  <c r="S457" i="52"/>
  <c r="T457" i="52"/>
  <c r="U457" i="52"/>
  <c r="F460" i="52"/>
  <c r="S460" i="52"/>
  <c r="F463" i="52" s="1"/>
  <c r="T460" i="52"/>
  <c r="U460" i="52"/>
  <c r="S461" i="52"/>
  <c r="T461" i="52"/>
  <c r="U461" i="52"/>
  <c r="S462" i="52"/>
  <c r="T462" i="52"/>
  <c r="U462" i="52"/>
  <c r="S463" i="52"/>
  <c r="T463" i="52"/>
  <c r="U463" i="52"/>
  <c r="S464" i="52"/>
  <c r="T464" i="52"/>
  <c r="U464" i="52"/>
  <c r="F467" i="52"/>
  <c r="S467" i="52"/>
  <c r="F475" i="52" s="1"/>
  <c r="L475" i="52" s="1"/>
  <c r="W475" i="52" s="1"/>
  <c r="T467" i="52"/>
  <c r="U467" i="52"/>
  <c r="S468" i="52"/>
  <c r="T468" i="52"/>
  <c r="U468" i="52"/>
  <c r="S469" i="52"/>
  <c r="T469" i="52"/>
  <c r="U469" i="52"/>
  <c r="S470" i="52"/>
  <c r="T470" i="52"/>
  <c r="U470" i="52"/>
  <c r="S471" i="52"/>
  <c r="T471" i="52"/>
  <c r="U471" i="52"/>
  <c r="S472" i="52"/>
  <c r="T472" i="52"/>
  <c r="U472" i="52"/>
  <c r="S473" i="52"/>
  <c r="T473" i="52"/>
  <c r="U473" i="52"/>
  <c r="S474" i="52"/>
  <c r="T474" i="52"/>
  <c r="U474" i="52"/>
  <c r="S475" i="52"/>
  <c r="T475" i="52"/>
  <c r="U475" i="52"/>
  <c r="S476" i="52"/>
  <c r="T476" i="52"/>
  <c r="U476" i="52"/>
  <c r="F479" i="52"/>
  <c r="S479" i="52"/>
  <c r="L479" i="52" s="1"/>
  <c r="T479" i="52"/>
  <c r="U479" i="52"/>
  <c r="S480" i="52"/>
  <c r="T480" i="52"/>
  <c r="U480" i="52"/>
  <c r="S481" i="52"/>
  <c r="T481" i="52"/>
  <c r="U481" i="52"/>
  <c r="S482" i="52"/>
  <c r="T482" i="52"/>
  <c r="U482" i="52"/>
  <c r="S483" i="52"/>
  <c r="T483" i="52"/>
  <c r="U483" i="52"/>
  <c r="S484" i="52"/>
  <c r="T484" i="52"/>
  <c r="U484" i="52"/>
  <c r="S485" i="52"/>
  <c r="T485" i="52"/>
  <c r="U485" i="52"/>
  <c r="S486" i="52"/>
  <c r="T486" i="52"/>
  <c r="U486" i="52"/>
  <c r="F487" i="52"/>
  <c r="S487" i="52"/>
  <c r="L487" i="52" s="1"/>
  <c r="V487" i="52" s="1"/>
  <c r="T487" i="52"/>
  <c r="U487" i="52"/>
  <c r="S488" i="52"/>
  <c r="T488" i="52"/>
  <c r="U488" i="52"/>
  <c r="S489" i="52"/>
  <c r="T489" i="52"/>
  <c r="U489" i="52"/>
  <c r="S490" i="52"/>
  <c r="T490" i="52"/>
  <c r="U490" i="52"/>
  <c r="S491" i="52"/>
  <c r="T491" i="52"/>
  <c r="U491" i="52"/>
  <c r="F495" i="52"/>
  <c r="S495" i="52"/>
  <c r="F502" i="52" s="1"/>
  <c r="L502" i="52" s="1"/>
  <c r="T495" i="52"/>
  <c r="U495" i="52"/>
  <c r="S496" i="52"/>
  <c r="T496" i="52"/>
  <c r="U496" i="52"/>
  <c r="S497" i="52"/>
  <c r="T497" i="52"/>
  <c r="U497" i="52"/>
  <c r="S498" i="52"/>
  <c r="T498" i="52"/>
  <c r="U498" i="52"/>
  <c r="S499" i="52"/>
  <c r="T499" i="52"/>
  <c r="U499" i="52"/>
  <c r="S500" i="52"/>
  <c r="T500" i="52"/>
  <c r="U500" i="52"/>
  <c r="S501" i="52"/>
  <c r="T501" i="52"/>
  <c r="U501" i="52"/>
  <c r="S502" i="52"/>
  <c r="T502" i="52"/>
  <c r="U502" i="52"/>
  <c r="S503" i="52"/>
  <c r="T503" i="52"/>
  <c r="U503" i="52"/>
  <c r="S504" i="52"/>
  <c r="T504" i="52"/>
  <c r="U504" i="52"/>
  <c r="S505" i="52"/>
  <c r="T505" i="52"/>
  <c r="U505" i="52"/>
  <c r="P514" i="52"/>
  <c r="E528" i="52"/>
  <c r="AL530" i="52" s="1"/>
  <c r="D544" i="52"/>
  <c r="BF530" i="52" s="1"/>
  <c r="D545" i="52"/>
  <c r="BJ530" i="52" s="1"/>
  <c r="D546" i="52"/>
  <c r="BN530" i="52" s="1"/>
  <c r="E546" i="52"/>
  <c r="BO530" i="52" s="1"/>
  <c r="E547" i="52"/>
  <c r="BQ530" i="52" s="1"/>
  <c r="E548" i="52"/>
  <c r="BR530" i="52" s="1"/>
  <c r="P558" i="52"/>
  <c r="E595" i="52" s="1"/>
  <c r="K562" i="52"/>
  <c r="T562" i="52"/>
  <c r="BD80" i="55" s="1"/>
  <c r="BE80" i="55" s="1"/>
  <c r="BF80" i="55" s="1"/>
  <c r="E562" i="52" s="1"/>
  <c r="U562" i="52"/>
  <c r="T563" i="52"/>
  <c r="BD81" i="55" s="1"/>
  <c r="BE81" i="55" s="1"/>
  <c r="BF81" i="55" s="1"/>
  <c r="I564" i="52"/>
  <c r="K564" i="52"/>
  <c r="T564" i="52"/>
  <c r="U564" i="52"/>
  <c r="X564" i="52" s="1"/>
  <c r="T565" i="52"/>
  <c r="BD83" i="55" s="1"/>
  <c r="BE83" i="55" s="1"/>
  <c r="BF83" i="55" s="1"/>
  <c r="I566" i="52"/>
  <c r="K566" i="52"/>
  <c r="T566" i="52"/>
  <c r="Y566" i="52" s="1"/>
  <c r="V566" i="52" s="1"/>
  <c r="BI84" i="55" s="1"/>
  <c r="BJ84" i="55" s="1"/>
  <c r="BK84" i="55" s="1"/>
  <c r="U566" i="52"/>
  <c r="T567" i="52"/>
  <c r="BD85" i="55" s="1"/>
  <c r="BE85" i="55" s="1"/>
  <c r="BF85" i="55" s="1"/>
  <c r="I568" i="52"/>
  <c r="K568" i="52"/>
  <c r="T568" i="52"/>
  <c r="BD86" i="55" s="1"/>
  <c r="BE86" i="55" s="1"/>
  <c r="BF86" i="55" s="1"/>
  <c r="E568" i="52" s="1"/>
  <c r="U568" i="52"/>
  <c r="T569" i="52"/>
  <c r="BD87" i="55" s="1"/>
  <c r="BE87" i="55" s="1"/>
  <c r="BF87" i="55" s="1"/>
  <c r="V570" i="52"/>
  <c r="W570" i="52"/>
  <c r="X570" i="52"/>
  <c r="Y570" i="52"/>
  <c r="Z570" i="52"/>
  <c r="AA570" i="52"/>
  <c r="AB570" i="52"/>
  <c r="AC570" i="52"/>
  <c r="E597" i="52"/>
  <c r="R597" i="52" s="1"/>
  <c r="E598" i="52"/>
  <c r="R598" i="52" s="1"/>
  <c r="T577" i="52"/>
  <c r="P577" i="52" s="1"/>
  <c r="E599" i="52" s="1"/>
  <c r="R599" i="52" s="1"/>
  <c r="P579" i="52"/>
  <c r="E600" i="52" s="1"/>
  <c r="R600" i="52" s="1"/>
  <c r="P580" i="52"/>
  <c r="E601" i="52" s="1"/>
  <c r="R601" i="52" s="1"/>
  <c r="P581" i="52"/>
  <c r="E602" i="52" s="1"/>
  <c r="R602" i="52" s="1"/>
  <c r="P583" i="52"/>
  <c r="E603" i="52" s="1"/>
  <c r="P584" i="52"/>
  <c r="E604" i="52" s="1"/>
  <c r="P588" i="52"/>
  <c r="P592" i="52"/>
  <c r="E607" i="52" s="1"/>
  <c r="Y607" i="52" s="1"/>
  <c r="C626" i="52"/>
  <c r="F626" i="52" s="1"/>
  <c r="D1" i="54"/>
  <c r="M1" i="54"/>
  <c r="R2" i="54"/>
  <c r="S1" i="54" s="1"/>
  <c r="C638" i="54" s="1"/>
  <c r="P6" i="54"/>
  <c r="U11" i="54"/>
  <c r="U12" i="54" s="1"/>
  <c r="U13" i="54"/>
  <c r="U14" i="54"/>
  <c r="T18" i="54"/>
  <c r="AT3" i="55" s="1"/>
  <c r="AU3" i="55" s="1"/>
  <c r="AV3" i="55" s="1"/>
  <c r="E19" i="54" s="1"/>
  <c r="K19" i="54"/>
  <c r="T19" i="54"/>
  <c r="W19" i="54" s="1"/>
  <c r="U19" i="54"/>
  <c r="X19" i="54" s="1"/>
  <c r="K20" i="54"/>
  <c r="T20" i="54"/>
  <c r="AT5" i="55" s="1"/>
  <c r="AU5" i="55" s="1"/>
  <c r="AV5" i="55" s="1"/>
  <c r="E21" i="54" s="1"/>
  <c r="G21" i="54"/>
  <c r="K23" i="54"/>
  <c r="T23" i="54"/>
  <c r="U23" i="54"/>
  <c r="K24" i="54"/>
  <c r="T24" i="54"/>
  <c r="W24" i="54" s="1"/>
  <c r="U24" i="54"/>
  <c r="X24" i="54" s="1"/>
  <c r="G25" i="54"/>
  <c r="T25" i="54"/>
  <c r="AT9" i="55" s="1"/>
  <c r="AU9" i="55" s="1"/>
  <c r="AV9" i="55" s="1"/>
  <c r="E25" i="54" s="1"/>
  <c r="S33" i="54"/>
  <c r="AO33" i="54" s="1"/>
  <c r="X33" i="54"/>
  <c r="AC34" i="54"/>
  <c r="X34" i="54"/>
  <c r="AL35" i="54"/>
  <c r="X35" i="54"/>
  <c r="X38" i="54"/>
  <c r="X39" i="54"/>
  <c r="X40" i="54"/>
  <c r="T44" i="54"/>
  <c r="P44" i="54" s="1"/>
  <c r="E69" i="54" s="1"/>
  <c r="T45" i="54"/>
  <c r="P45" i="54" s="1"/>
  <c r="E70" i="54" s="1"/>
  <c r="P46" i="54"/>
  <c r="E71" i="54" s="1"/>
  <c r="T46" i="54"/>
  <c r="T47" i="54"/>
  <c r="P47" i="54" s="1"/>
  <c r="E72" i="54" s="1"/>
  <c r="H51" i="54"/>
  <c r="S51" i="54"/>
  <c r="H52" i="54"/>
  <c r="S52" i="54"/>
  <c r="T54" i="54"/>
  <c r="P54" i="54" s="1"/>
  <c r="E74" i="54" s="1"/>
  <c r="T55" i="54"/>
  <c r="P55" i="54" s="1"/>
  <c r="E75" i="54" s="1"/>
  <c r="P57" i="54"/>
  <c r="E76" i="54" s="1"/>
  <c r="P58" i="54"/>
  <c r="E77" i="54" s="1"/>
  <c r="P81" i="54"/>
  <c r="E138" i="54" s="1"/>
  <c r="R84" i="54"/>
  <c r="K91" i="54"/>
  <c r="T91" i="54"/>
  <c r="U91" i="54"/>
  <c r="K92" i="54"/>
  <c r="T92" i="54"/>
  <c r="AT13" i="55" s="1"/>
  <c r="AU13" i="55" s="1"/>
  <c r="AV13" i="55" s="1"/>
  <c r="E92" i="54" s="1"/>
  <c r="U92" i="54"/>
  <c r="X92" i="54" s="1"/>
  <c r="G93" i="54"/>
  <c r="T93" i="54"/>
  <c r="AT14" i="55" s="1"/>
  <c r="AU14" i="55" s="1"/>
  <c r="AV14" i="55" s="1"/>
  <c r="E93" i="54" s="1"/>
  <c r="K95" i="54"/>
  <c r="T95" i="54"/>
  <c r="AT16" i="55" s="1"/>
  <c r="AU16" i="55" s="1"/>
  <c r="AV16" i="55" s="1"/>
  <c r="E95" i="54" s="1"/>
  <c r="U95" i="54"/>
  <c r="K96" i="54"/>
  <c r="T96" i="54"/>
  <c r="U96" i="54"/>
  <c r="X96" i="54" s="1"/>
  <c r="G97" i="54"/>
  <c r="T97" i="54"/>
  <c r="AT18" i="55" s="1"/>
  <c r="AU18" i="55" s="1"/>
  <c r="AV18" i="55" s="1"/>
  <c r="E97" i="54" s="1"/>
  <c r="K99" i="54"/>
  <c r="T99" i="54"/>
  <c r="U99" i="54"/>
  <c r="K100" i="54"/>
  <c r="T100" i="54"/>
  <c r="W100" i="54" s="1"/>
  <c r="U100" i="54"/>
  <c r="X100" i="54" s="1"/>
  <c r="G101" i="54"/>
  <c r="T101" i="54"/>
  <c r="AT22" i="55" s="1"/>
  <c r="AU22" i="55" s="1"/>
  <c r="AV22" i="55" s="1"/>
  <c r="E101" i="54" s="1"/>
  <c r="T106" i="54"/>
  <c r="P106" i="54" s="1"/>
  <c r="E141" i="54" s="1"/>
  <c r="T107" i="54"/>
  <c r="P107" i="54" s="1"/>
  <c r="E142" i="54" s="1"/>
  <c r="T108" i="54"/>
  <c r="P108" i="54" s="1"/>
  <c r="E143" i="54" s="1"/>
  <c r="T109" i="54"/>
  <c r="P109" i="54" s="1"/>
  <c r="E144" i="54" s="1"/>
  <c r="S115" i="54"/>
  <c r="AZ115" i="54" s="1"/>
  <c r="AA115" i="54"/>
  <c r="S116" i="54"/>
  <c r="AU116" i="54" s="1"/>
  <c r="AA116" i="54"/>
  <c r="BI116" i="54" s="1"/>
  <c r="S117" i="54"/>
  <c r="AH117" i="54" s="1"/>
  <c r="AA117" i="54"/>
  <c r="BI117" i="54" s="1"/>
  <c r="AZ117" i="54"/>
  <c r="BD117" i="54"/>
  <c r="S120" i="54"/>
  <c r="AZ120" i="54" s="1"/>
  <c r="AA120" i="54"/>
  <c r="S121" i="54"/>
  <c r="T121" i="54" s="1"/>
  <c r="AA121" i="54"/>
  <c r="BI121" i="54" s="1"/>
  <c r="S122" i="54"/>
  <c r="AZ122" i="54" s="1"/>
  <c r="T122" i="54"/>
  <c r="U122" i="54" s="1"/>
  <c r="AA122" i="54"/>
  <c r="H126" i="54"/>
  <c r="S126" i="54"/>
  <c r="H127" i="54"/>
  <c r="S127" i="54"/>
  <c r="O127" i="54" s="1"/>
  <c r="H128" i="54"/>
  <c r="O128" i="54" s="1"/>
  <c r="S128" i="54"/>
  <c r="T130" i="54"/>
  <c r="P130" i="54" s="1"/>
  <c r="E148" i="54" s="1"/>
  <c r="R148" i="54" s="1"/>
  <c r="T131" i="54"/>
  <c r="P131" i="54" s="1"/>
  <c r="E149" i="54" s="1"/>
  <c r="T132" i="54"/>
  <c r="P132" i="54" s="1"/>
  <c r="E150" i="54" s="1"/>
  <c r="P134" i="54"/>
  <c r="E151" i="54" s="1"/>
  <c r="P135" i="54"/>
  <c r="E152" i="54" s="1"/>
  <c r="P157" i="54"/>
  <c r="B159" i="54" s="1"/>
  <c r="R160" i="54"/>
  <c r="K168" i="54"/>
  <c r="T168" i="54"/>
  <c r="AT25" i="55" s="1"/>
  <c r="AU25" i="55" s="1"/>
  <c r="AV25" i="55" s="1"/>
  <c r="E168" i="54" s="1"/>
  <c r="U168" i="54"/>
  <c r="I169" i="54"/>
  <c r="K169" i="54"/>
  <c r="T169" i="54"/>
  <c r="W169" i="54" s="1"/>
  <c r="U169" i="54"/>
  <c r="X169" i="54" s="1"/>
  <c r="Y169" i="54"/>
  <c r="V169" i="54" s="1"/>
  <c r="AY26" i="55" s="1"/>
  <c r="AZ26" i="55" s="1"/>
  <c r="BA26" i="55" s="1"/>
  <c r="G170" i="54"/>
  <c r="T170" i="54"/>
  <c r="AT27" i="55" s="1"/>
  <c r="AU27" i="55" s="1"/>
  <c r="AV27" i="55" s="1"/>
  <c r="E170" i="54" s="1"/>
  <c r="AA172" i="54" s="1"/>
  <c r="K172" i="54"/>
  <c r="T172" i="54"/>
  <c r="AT29" i="55" s="1"/>
  <c r="AU29" i="55" s="1"/>
  <c r="AV29" i="55" s="1"/>
  <c r="E172" i="54" s="1"/>
  <c r="U172" i="54"/>
  <c r="Y172" i="54" s="1"/>
  <c r="V172" i="54" s="1"/>
  <c r="AY29" i="55" s="1"/>
  <c r="AZ29" i="55" s="1"/>
  <c r="BA29" i="55" s="1"/>
  <c r="I172" i="54" s="1"/>
  <c r="K173" i="54"/>
  <c r="T173" i="54"/>
  <c r="W173" i="54" s="1"/>
  <c r="U173" i="54"/>
  <c r="X173" i="54" s="1"/>
  <c r="G174" i="54"/>
  <c r="T174" i="54"/>
  <c r="AT31" i="55" s="1"/>
  <c r="AU31" i="55" s="1"/>
  <c r="AV31" i="55" s="1"/>
  <c r="E174" i="54" s="1"/>
  <c r="K176" i="54"/>
  <c r="T176" i="54"/>
  <c r="AT33" i="55" s="1"/>
  <c r="AU33" i="55" s="1"/>
  <c r="AV33" i="55" s="1"/>
  <c r="E176" i="54" s="1"/>
  <c r="U176" i="54"/>
  <c r="K177" i="54"/>
  <c r="T177" i="54"/>
  <c r="U177" i="54"/>
  <c r="X177" i="54" s="1"/>
  <c r="G178" i="54"/>
  <c r="T178" i="54"/>
  <c r="AT35" i="55" s="1"/>
  <c r="AU35" i="55" s="1"/>
  <c r="AV35" i="55" s="1"/>
  <c r="E178" i="54" s="1"/>
  <c r="T182" i="54"/>
  <c r="P182" i="54" s="1"/>
  <c r="E218" i="54" s="1"/>
  <c r="Y218" i="54" s="1"/>
  <c r="T183" i="54"/>
  <c r="P183" i="54" s="1"/>
  <c r="E219" i="54" s="1"/>
  <c r="T184" i="54"/>
  <c r="P184" i="54" s="1"/>
  <c r="E220" i="54" s="1"/>
  <c r="T185" i="54"/>
  <c r="P185" i="54" s="1"/>
  <c r="E221" i="54" s="1"/>
  <c r="BI193" i="54"/>
  <c r="AO197" i="54"/>
  <c r="AH197" i="54"/>
  <c r="AZ197" i="54"/>
  <c r="BD197" i="54"/>
  <c r="H202" i="54"/>
  <c r="S202" i="54"/>
  <c r="H203" i="54"/>
  <c r="S203" i="54"/>
  <c r="O203" i="54" s="1"/>
  <c r="H204" i="54"/>
  <c r="S204" i="54"/>
  <c r="O204" i="54" s="1"/>
  <c r="T206" i="54"/>
  <c r="P206" i="54" s="1"/>
  <c r="E225" i="54" s="1"/>
  <c r="T207" i="54"/>
  <c r="P207" i="54" s="1"/>
  <c r="E226" i="54" s="1"/>
  <c r="R226" i="54" s="1"/>
  <c r="P208" i="54"/>
  <c r="E227" i="54" s="1"/>
  <c r="R227" i="54" s="1"/>
  <c r="T208" i="54"/>
  <c r="P210" i="54"/>
  <c r="E228" i="54" s="1"/>
  <c r="P211" i="54"/>
  <c r="E229" i="54" s="1"/>
  <c r="V218" i="54"/>
  <c r="P234" i="54"/>
  <c r="R237" i="54"/>
  <c r="K244" i="54"/>
  <c r="T244" i="54"/>
  <c r="U244" i="54"/>
  <c r="K245" i="54"/>
  <c r="T245" i="54"/>
  <c r="W245" i="54" s="1"/>
  <c r="U245" i="54"/>
  <c r="X245" i="54" s="1"/>
  <c r="G246" i="54"/>
  <c r="T246" i="54"/>
  <c r="AT40" i="55" s="1"/>
  <c r="AU40" i="55" s="1"/>
  <c r="AV40" i="55" s="1"/>
  <c r="E246" i="54" s="1"/>
  <c r="K248" i="54"/>
  <c r="T248" i="54"/>
  <c r="AT42" i="55" s="1"/>
  <c r="AU42" i="55" s="1"/>
  <c r="AV42" i="55" s="1"/>
  <c r="E248" i="54" s="1"/>
  <c r="U248" i="54"/>
  <c r="K249" i="54"/>
  <c r="T249" i="54"/>
  <c r="AT43" i="55" s="1"/>
  <c r="AU43" i="55" s="1"/>
  <c r="AV43" i="55" s="1"/>
  <c r="E249" i="54" s="1"/>
  <c r="U249" i="54"/>
  <c r="X249" i="54" s="1"/>
  <c r="G250" i="54"/>
  <c r="T250" i="54"/>
  <c r="AT44" i="55" s="1"/>
  <c r="AU44" i="55" s="1"/>
  <c r="AV44" i="55" s="1"/>
  <c r="E250" i="54" s="1"/>
  <c r="AB248" i="54" s="1"/>
  <c r="K252" i="54"/>
  <c r="U252" i="54"/>
  <c r="K253" i="54"/>
  <c r="U253" i="54"/>
  <c r="X253" i="54" s="1"/>
  <c r="G254" i="54"/>
  <c r="AT48" i="55"/>
  <c r="AU48" i="55" s="1"/>
  <c r="AV48" i="55" s="1"/>
  <c r="E254" i="54" s="1"/>
  <c r="T258" i="54"/>
  <c r="P258" i="54" s="1"/>
  <c r="E293" i="54" s="1"/>
  <c r="T259" i="54"/>
  <c r="P259" i="54" s="1"/>
  <c r="E294" i="54" s="1"/>
  <c r="Y294" i="54" s="1"/>
  <c r="T260" i="54"/>
  <c r="P260" i="54"/>
  <c r="E295" i="54" s="1"/>
  <c r="P261" i="54"/>
  <c r="E296" i="54" s="1"/>
  <c r="T261" i="54"/>
  <c r="AH267" i="54"/>
  <c r="AO267" i="54"/>
  <c r="BD267" i="54"/>
  <c r="BD268" i="54"/>
  <c r="BI268" i="54"/>
  <c r="AO268" i="54"/>
  <c r="AU268" i="54"/>
  <c r="AU269" i="54"/>
  <c r="BG274" i="54"/>
  <c r="H278" i="54"/>
  <c r="O278" i="54"/>
  <c r="S278" i="54"/>
  <c r="H279" i="54"/>
  <c r="S279" i="54"/>
  <c r="H280" i="54"/>
  <c r="S280" i="54"/>
  <c r="O280" i="54" s="1"/>
  <c r="T282" i="54"/>
  <c r="P282" i="54" s="1"/>
  <c r="E300" i="54" s="1"/>
  <c r="T283" i="54"/>
  <c r="P283" i="54"/>
  <c r="E301" i="54" s="1"/>
  <c r="T284" i="54"/>
  <c r="P284" i="54" s="1"/>
  <c r="E302" i="54" s="1"/>
  <c r="V302" i="54" s="1"/>
  <c r="P286" i="54"/>
  <c r="E303" i="54" s="1"/>
  <c r="P287" i="54"/>
  <c r="E304" i="54" s="1"/>
  <c r="P309" i="54"/>
  <c r="E365" i="54" s="1"/>
  <c r="R312" i="54"/>
  <c r="K319" i="54"/>
  <c r="T319" i="54"/>
  <c r="AT51" i="55" s="1"/>
  <c r="AU51" i="55" s="1"/>
  <c r="AV51" i="55" s="1"/>
  <c r="E319" i="54" s="1"/>
  <c r="U319" i="54"/>
  <c r="I320" i="54"/>
  <c r="K320" i="54"/>
  <c r="T320" i="54"/>
  <c r="AT52" i="55" s="1"/>
  <c r="AU52" i="55" s="1"/>
  <c r="AV52" i="55" s="1"/>
  <c r="E320" i="54" s="1"/>
  <c r="U320" i="54"/>
  <c r="X320" i="54" s="1"/>
  <c r="G321" i="54"/>
  <c r="T321" i="54"/>
  <c r="AT53" i="55" s="1"/>
  <c r="AU53" i="55" s="1"/>
  <c r="AV53" i="55" s="1"/>
  <c r="E321" i="54" s="1"/>
  <c r="K323" i="54"/>
  <c r="T323" i="54"/>
  <c r="AT55" i="55" s="1"/>
  <c r="AU55" i="55" s="1"/>
  <c r="AV55" i="55" s="1"/>
  <c r="E323" i="54" s="1"/>
  <c r="U323" i="54"/>
  <c r="I324" i="54"/>
  <c r="K324" i="54"/>
  <c r="T324" i="54"/>
  <c r="Y324" i="54" s="1"/>
  <c r="U324" i="54"/>
  <c r="X324" i="54" s="1"/>
  <c r="G325" i="54"/>
  <c r="T325" i="54"/>
  <c r="AT57" i="55" s="1"/>
  <c r="AU57" i="55" s="1"/>
  <c r="AV57" i="55" s="1"/>
  <c r="E325" i="54" s="1"/>
  <c r="K327" i="54"/>
  <c r="T327" i="54"/>
  <c r="U327" i="54"/>
  <c r="I328" i="54"/>
  <c r="K328" i="54"/>
  <c r="T328" i="54"/>
  <c r="Y328" i="54" s="1"/>
  <c r="V328" i="54" s="1"/>
  <c r="AY60" i="55" s="1"/>
  <c r="AZ60" i="55" s="1"/>
  <c r="BA60" i="55" s="1"/>
  <c r="U328" i="54"/>
  <c r="X328" i="54" s="1"/>
  <c r="G329" i="54"/>
  <c r="T329" i="54"/>
  <c r="AT61" i="55" s="1"/>
  <c r="AU61" i="55" s="1"/>
  <c r="AV61" i="55" s="1"/>
  <c r="E329" i="54" s="1"/>
  <c r="T333" i="54"/>
  <c r="P333" i="54" s="1"/>
  <c r="E368" i="54" s="1"/>
  <c r="T334" i="54"/>
  <c r="P334" i="54" s="1"/>
  <c r="E369" i="54" s="1"/>
  <c r="T335" i="54"/>
  <c r="P335" i="54" s="1"/>
  <c r="E370" i="54" s="1"/>
  <c r="T336" i="54"/>
  <c r="P336" i="54" s="1"/>
  <c r="E371" i="54" s="1"/>
  <c r="BG343" i="54"/>
  <c r="BI349" i="54"/>
  <c r="AH349" i="54"/>
  <c r="AZ349" i="54"/>
  <c r="BD349" i="54"/>
  <c r="BG349" i="54"/>
  <c r="H353" i="54"/>
  <c r="S353" i="54"/>
  <c r="O353" i="54" s="1"/>
  <c r="H354" i="54"/>
  <c r="O354" i="54" s="1"/>
  <c r="S354" i="54"/>
  <c r="H355" i="54"/>
  <c r="O355" i="54" s="1"/>
  <c r="S355" i="54"/>
  <c r="T357" i="54"/>
  <c r="P357" i="54" s="1"/>
  <c r="E375" i="54" s="1"/>
  <c r="T358" i="54"/>
  <c r="P358" i="54" s="1"/>
  <c r="E376" i="54" s="1"/>
  <c r="R376" i="54" s="1"/>
  <c r="T359" i="54"/>
  <c r="P359" i="54" s="1"/>
  <c r="E377" i="54" s="1"/>
  <c r="V377" i="54" s="1"/>
  <c r="P361" i="54"/>
  <c r="E378" i="54" s="1"/>
  <c r="P362" i="54"/>
  <c r="E379" i="54" s="1"/>
  <c r="P385" i="54"/>
  <c r="P390" i="54" s="1"/>
  <c r="E533" i="54" s="1"/>
  <c r="AQ530" i="54" s="1"/>
  <c r="S386" i="54"/>
  <c r="S387" i="54"/>
  <c r="S388" i="54"/>
  <c r="S389" i="54"/>
  <c r="S390" i="54"/>
  <c r="K394" i="54"/>
  <c r="U394" i="54"/>
  <c r="Y394" i="54" s="1"/>
  <c r="V394" i="54" s="1"/>
  <c r="AY64" i="55" s="1"/>
  <c r="AZ64" i="55" s="1"/>
  <c r="BA64" i="55" s="1"/>
  <c r="K395" i="54"/>
  <c r="T395" i="54"/>
  <c r="AT65" i="55" s="1"/>
  <c r="AU65" i="55" s="1"/>
  <c r="AV65" i="55" s="1"/>
  <c r="E395" i="54" s="1"/>
  <c r="U395" i="54"/>
  <c r="T396" i="54"/>
  <c r="AT66" i="55" s="1"/>
  <c r="AU66" i="55" s="1"/>
  <c r="AV66" i="55" s="1"/>
  <c r="V397" i="54"/>
  <c r="W397" i="54"/>
  <c r="X397" i="54"/>
  <c r="Y397" i="54"/>
  <c r="T397" i="54"/>
  <c r="AT67" i="55" s="1"/>
  <c r="AU67" i="55" s="1"/>
  <c r="AV67" i="55" s="1"/>
  <c r="K400" i="54"/>
  <c r="T400" i="54"/>
  <c r="AT70" i="55" s="1"/>
  <c r="AU70" i="55" s="1"/>
  <c r="AV70" i="55" s="1"/>
  <c r="E400" i="54" s="1"/>
  <c r="U400" i="54"/>
  <c r="T401" i="54"/>
  <c r="AT71" i="55" s="1"/>
  <c r="AU71" i="55" s="1"/>
  <c r="AV71" i="55" s="1"/>
  <c r="K402" i="54"/>
  <c r="T402" i="54"/>
  <c r="U402" i="54"/>
  <c r="T403" i="54"/>
  <c r="AT73" i="55" s="1"/>
  <c r="AU73" i="55" s="1"/>
  <c r="AV73" i="55" s="1"/>
  <c r="K404" i="54"/>
  <c r="T404" i="54"/>
  <c r="Y404" i="54" s="1"/>
  <c r="V404" i="54" s="1"/>
  <c r="AY74" i="55" s="1"/>
  <c r="AZ74" i="55" s="1"/>
  <c r="BA74" i="55" s="1"/>
  <c r="I404" i="54" s="1"/>
  <c r="U404" i="54"/>
  <c r="T405" i="54"/>
  <c r="AT75" i="55" s="1"/>
  <c r="AU75" i="55" s="1"/>
  <c r="AV75" i="55" s="1"/>
  <c r="I406" i="54"/>
  <c r="K406" i="54"/>
  <c r="T406" i="54"/>
  <c r="AT76" i="55" s="1"/>
  <c r="AU76" i="55" s="1"/>
  <c r="AV76" i="55" s="1"/>
  <c r="E406" i="54" s="1"/>
  <c r="U406" i="54"/>
  <c r="T407" i="54"/>
  <c r="AT77" i="55" s="1"/>
  <c r="AU77" i="55" s="1"/>
  <c r="AV77" i="55" s="1"/>
  <c r="V408" i="54"/>
  <c r="W408" i="54"/>
  <c r="X408" i="54"/>
  <c r="Y408" i="54"/>
  <c r="Z408" i="54"/>
  <c r="AA408" i="54"/>
  <c r="AB408" i="54"/>
  <c r="AC408" i="54"/>
  <c r="T412" i="54"/>
  <c r="T413" i="54"/>
  <c r="U412" i="54" s="1"/>
  <c r="T415" i="54"/>
  <c r="T416" i="54"/>
  <c r="H419" i="54"/>
  <c r="S419" i="54"/>
  <c r="H420" i="54"/>
  <c r="S420" i="54"/>
  <c r="T422" i="54"/>
  <c r="P422" i="54" s="1"/>
  <c r="E540" i="54" s="1"/>
  <c r="AX530" i="54" s="1"/>
  <c r="T423" i="54"/>
  <c r="P423" i="54" s="1"/>
  <c r="E541" i="54" s="1"/>
  <c r="AY530" i="54" s="1"/>
  <c r="E542" i="54"/>
  <c r="AZ530" i="54" s="1"/>
  <c r="H427" i="54"/>
  <c r="K427" i="54"/>
  <c r="D543" i="54" s="1"/>
  <c r="BB530" i="54" s="1"/>
  <c r="M427" i="54"/>
  <c r="E543" i="54" s="1"/>
  <c r="BC530" i="54" s="1"/>
  <c r="O427" i="54"/>
  <c r="F543" i="54" s="1"/>
  <c r="BD530" i="54" s="1"/>
  <c r="P427" i="54"/>
  <c r="H428" i="54"/>
  <c r="C544" i="54" s="1"/>
  <c r="BE530" i="54" s="1"/>
  <c r="K428" i="54"/>
  <c r="D544" i="54" s="1"/>
  <c r="BF530" i="54" s="1"/>
  <c r="M428" i="54"/>
  <c r="E544" i="54" s="1"/>
  <c r="BG530" i="54" s="1"/>
  <c r="O428" i="54"/>
  <c r="H429" i="54"/>
  <c r="K429" i="54"/>
  <c r="D545" i="54" s="1"/>
  <c r="BJ530" i="54" s="1"/>
  <c r="M429" i="54"/>
  <c r="E545" i="54" s="1"/>
  <c r="BK530" i="54" s="1"/>
  <c r="O429" i="54"/>
  <c r="F545" i="54" s="1"/>
  <c r="BL530" i="54" s="1"/>
  <c r="H430" i="54"/>
  <c r="C546" i="54" s="1"/>
  <c r="BM530" i="54" s="1"/>
  <c r="K430" i="54"/>
  <c r="D546" i="54" s="1"/>
  <c r="BN530" i="54" s="1"/>
  <c r="M430" i="54"/>
  <c r="E546" i="54" s="1"/>
  <c r="BO530" i="54" s="1"/>
  <c r="O430" i="54"/>
  <c r="E547" i="54"/>
  <c r="BQ530" i="54" s="1"/>
  <c r="E548" i="54"/>
  <c r="BR530" i="54" s="1"/>
  <c r="O434" i="54"/>
  <c r="O435" i="54"/>
  <c r="O438" i="54"/>
  <c r="O439" i="54"/>
  <c r="S446" i="54"/>
  <c r="L446" i="54" s="1"/>
  <c r="T446" i="54"/>
  <c r="U446" i="54"/>
  <c r="S447" i="54"/>
  <c r="L447" i="54" s="1"/>
  <c r="T447" i="54"/>
  <c r="U447" i="54"/>
  <c r="S448" i="54"/>
  <c r="L448" i="54" s="1"/>
  <c r="T448" i="54"/>
  <c r="U448" i="54"/>
  <c r="S449" i="54"/>
  <c r="L449" i="54" s="1"/>
  <c r="T449" i="54"/>
  <c r="U449" i="54"/>
  <c r="S450" i="54"/>
  <c r="L450" i="54" s="1"/>
  <c r="P450" i="54" s="1"/>
  <c r="AE450" i="54" s="1"/>
  <c r="AF450" i="54" s="1"/>
  <c r="T450" i="54"/>
  <c r="U450" i="54"/>
  <c r="S454" i="54"/>
  <c r="F455" i="54" s="1"/>
  <c r="F456" i="54"/>
  <c r="L456" i="54" s="1"/>
  <c r="V456" i="54" s="1"/>
  <c r="T454" i="54"/>
  <c r="U454" i="54"/>
  <c r="S455" i="54"/>
  <c r="T455" i="54"/>
  <c r="U455" i="54"/>
  <c r="S456" i="54"/>
  <c r="T456" i="54"/>
  <c r="U456" i="54"/>
  <c r="S457" i="54"/>
  <c r="T457" i="54"/>
  <c r="U457" i="54"/>
  <c r="F460" i="54"/>
  <c r="S460" i="54"/>
  <c r="T460" i="54"/>
  <c r="U460" i="54"/>
  <c r="S461" i="54"/>
  <c r="T461" i="54"/>
  <c r="U461" i="54"/>
  <c r="S462" i="54"/>
  <c r="T462" i="54"/>
  <c r="U462" i="54"/>
  <c r="S463" i="54"/>
  <c r="T463" i="54"/>
  <c r="U463" i="54"/>
  <c r="S464" i="54"/>
  <c r="T464" i="54"/>
  <c r="U464" i="54"/>
  <c r="F467" i="54"/>
  <c r="S467" i="54"/>
  <c r="F472" i="54" s="1"/>
  <c r="L472" i="54" s="1"/>
  <c r="W472" i="54" s="1"/>
  <c r="T467" i="54"/>
  <c r="U467" i="54"/>
  <c r="S468" i="54"/>
  <c r="T468" i="54"/>
  <c r="U468" i="54"/>
  <c r="S469" i="54"/>
  <c r="T469" i="54"/>
  <c r="U469" i="54"/>
  <c r="S470" i="54"/>
  <c r="T470" i="54"/>
  <c r="U470" i="54"/>
  <c r="F471" i="54"/>
  <c r="S471" i="54"/>
  <c r="T471" i="54"/>
  <c r="U471" i="54"/>
  <c r="S472" i="54"/>
  <c r="T472" i="54"/>
  <c r="U472" i="54"/>
  <c r="S473" i="54"/>
  <c r="T473" i="54"/>
  <c r="U473" i="54"/>
  <c r="S474" i="54"/>
  <c r="T474" i="54"/>
  <c r="U474" i="54"/>
  <c r="F475" i="54"/>
  <c r="S475" i="54"/>
  <c r="T475" i="54"/>
  <c r="U475" i="54"/>
  <c r="S476" i="54"/>
  <c r="T476" i="54"/>
  <c r="U476" i="54"/>
  <c r="F479" i="54"/>
  <c r="S479" i="54"/>
  <c r="T479" i="54"/>
  <c r="U479" i="54"/>
  <c r="S480" i="54"/>
  <c r="T480" i="54"/>
  <c r="U480" i="54"/>
  <c r="S481" i="54"/>
  <c r="T481" i="54"/>
  <c r="U481" i="54"/>
  <c r="S482" i="54"/>
  <c r="T482" i="54"/>
  <c r="U482" i="54"/>
  <c r="S483" i="54"/>
  <c r="T483" i="54"/>
  <c r="U483" i="54"/>
  <c r="S484" i="54"/>
  <c r="T484" i="54"/>
  <c r="U484" i="54"/>
  <c r="S485" i="54"/>
  <c r="T485" i="54"/>
  <c r="U485" i="54"/>
  <c r="S486" i="54"/>
  <c r="T486" i="54"/>
  <c r="U486" i="54"/>
  <c r="S487" i="54"/>
  <c r="T487" i="54"/>
  <c r="U487" i="54"/>
  <c r="S488" i="54"/>
  <c r="T488" i="54"/>
  <c r="U488" i="54"/>
  <c r="S489" i="54"/>
  <c r="T489" i="54"/>
  <c r="U489" i="54"/>
  <c r="S490" i="54"/>
  <c r="T490" i="54"/>
  <c r="U490" i="54"/>
  <c r="S491" i="54"/>
  <c r="T491" i="54"/>
  <c r="U491" i="54"/>
  <c r="F495" i="54"/>
  <c r="S495" i="54"/>
  <c r="T495" i="54"/>
  <c r="U495" i="54"/>
  <c r="S496" i="54"/>
  <c r="T496" i="54"/>
  <c r="U496" i="54"/>
  <c r="S497" i="54"/>
  <c r="T497" i="54"/>
  <c r="U497" i="54"/>
  <c r="S498" i="54"/>
  <c r="T498" i="54"/>
  <c r="U498" i="54"/>
  <c r="S499" i="54"/>
  <c r="T499" i="54"/>
  <c r="U499" i="54"/>
  <c r="S500" i="54"/>
  <c r="T500" i="54"/>
  <c r="U500" i="54"/>
  <c r="S501" i="54"/>
  <c r="T501" i="54"/>
  <c r="U501" i="54"/>
  <c r="S502" i="54"/>
  <c r="T502" i="54"/>
  <c r="U502" i="54"/>
  <c r="S503" i="54"/>
  <c r="T503" i="54"/>
  <c r="U503" i="54"/>
  <c r="S504" i="54"/>
  <c r="T504" i="54"/>
  <c r="U504" i="54"/>
  <c r="S505" i="54"/>
  <c r="T505" i="54"/>
  <c r="U505" i="54"/>
  <c r="P514" i="54"/>
  <c r="C543" i="54"/>
  <c r="BA530" i="54" s="1"/>
  <c r="F544" i="54"/>
  <c r="BH530" i="54" s="1"/>
  <c r="C545" i="54"/>
  <c r="BI530" i="54" s="1"/>
  <c r="F546" i="54"/>
  <c r="BP530" i="54" s="1"/>
  <c r="P558" i="54"/>
  <c r="E595" i="54" s="1"/>
  <c r="K562" i="54"/>
  <c r="T562" i="54"/>
  <c r="AT80" i="55" s="1"/>
  <c r="AU80" i="55" s="1"/>
  <c r="AV80" i="55" s="1"/>
  <c r="E562" i="54" s="1"/>
  <c r="U562" i="54"/>
  <c r="T563" i="54"/>
  <c r="AT81" i="55" s="1"/>
  <c r="AU81" i="55" s="1"/>
  <c r="AV81" i="55" s="1"/>
  <c r="K564" i="54"/>
  <c r="T564" i="54"/>
  <c r="Y564" i="54" s="1"/>
  <c r="V564" i="54" s="1"/>
  <c r="AY82" i="55" s="1"/>
  <c r="AZ82" i="55" s="1"/>
  <c r="BA82" i="55" s="1"/>
  <c r="I564" i="54" s="1"/>
  <c r="U564" i="54"/>
  <c r="X564" i="54" s="1"/>
  <c r="T565" i="54"/>
  <c r="AT83" i="55" s="1"/>
  <c r="AU83" i="55" s="1"/>
  <c r="AV83" i="55" s="1"/>
  <c r="K566" i="54"/>
  <c r="T566" i="54"/>
  <c r="Y566" i="54" s="1"/>
  <c r="U566" i="54"/>
  <c r="T567" i="54"/>
  <c r="AT85" i="55" s="1"/>
  <c r="AU85" i="55" s="1"/>
  <c r="AV85" i="55" s="1"/>
  <c r="K568" i="54"/>
  <c r="T568" i="54"/>
  <c r="AT86" i="55" s="1"/>
  <c r="AU86" i="55" s="1"/>
  <c r="AV86" i="55" s="1"/>
  <c r="E568" i="54" s="1"/>
  <c r="U568" i="54"/>
  <c r="Y568" i="54" s="1"/>
  <c r="V568" i="54" s="1"/>
  <c r="AY86" i="55" s="1"/>
  <c r="AZ86" i="55" s="1"/>
  <c r="BA86" i="55" s="1"/>
  <c r="T569" i="54"/>
  <c r="AT87" i="55" s="1"/>
  <c r="AU87" i="55" s="1"/>
  <c r="AV87" i="55" s="1"/>
  <c r="V570" i="54"/>
  <c r="W570" i="54"/>
  <c r="X570" i="54"/>
  <c r="Y570" i="54"/>
  <c r="Z570" i="54"/>
  <c r="AA570" i="54"/>
  <c r="AB570" i="54"/>
  <c r="AC570" i="54"/>
  <c r="E597" i="54"/>
  <c r="R597" i="54" s="1"/>
  <c r="E598" i="54"/>
  <c r="R598" i="54" s="1"/>
  <c r="T577" i="54"/>
  <c r="P577" i="54" s="1"/>
  <c r="E599" i="54" s="1"/>
  <c r="R599" i="54" s="1"/>
  <c r="P579" i="54"/>
  <c r="E600" i="54" s="1"/>
  <c r="R600" i="54" s="1"/>
  <c r="P580" i="54"/>
  <c r="E601" i="54" s="1"/>
  <c r="R601" i="54" s="1"/>
  <c r="P581" i="54"/>
  <c r="E602" i="54" s="1"/>
  <c r="R602" i="54" s="1"/>
  <c r="P583" i="54"/>
  <c r="E603" i="54" s="1"/>
  <c r="Y603" i="54" s="1"/>
  <c r="P584" i="54"/>
  <c r="E604" i="54" s="1"/>
  <c r="Y604" i="54" s="1"/>
  <c r="P588" i="54"/>
  <c r="P592" i="54"/>
  <c r="E607" i="54" s="1"/>
  <c r="Y607" i="54" s="1"/>
  <c r="C626" i="54"/>
  <c r="D1" i="59"/>
  <c r="F1" i="59"/>
  <c r="D5" i="59"/>
  <c r="D6" i="59" s="1"/>
  <c r="D8" i="59"/>
  <c r="D1" i="60"/>
  <c r="M1" i="60"/>
  <c r="S48" i="60"/>
  <c r="S49" i="60"/>
  <c r="S50" i="60"/>
  <c r="N51" i="60"/>
  <c r="N52" i="60"/>
  <c r="N53" i="60"/>
  <c r="E1" i="39"/>
  <c r="M1" i="39"/>
  <c r="R8" i="39"/>
  <c r="R9" i="39"/>
  <c r="N11" i="39"/>
  <c r="H5" i="39" s="1"/>
  <c r="N12" i="39"/>
  <c r="S52" i="39"/>
  <c r="K3" i="62"/>
  <c r="B11" i="22"/>
  <c r="V44" i="22"/>
  <c r="P44" i="22"/>
  <c r="P45" i="22"/>
  <c r="P11" i="22"/>
  <c r="L43" i="22"/>
  <c r="V43" i="22"/>
  <c r="P43" i="22"/>
  <c r="P51" i="25"/>
  <c r="L77" i="25" s="1"/>
  <c r="R77" i="25" s="1"/>
  <c r="P77" i="25" s="1"/>
  <c r="S77" i="25" s="1"/>
  <c r="Y406" i="54"/>
  <c r="V406" i="54" s="1"/>
  <c r="AY76" i="55" s="1"/>
  <c r="AZ76" i="55" s="1"/>
  <c r="BA76" i="55" s="1"/>
  <c r="AO347" i="54"/>
  <c r="AZ347" i="54"/>
  <c r="AH347" i="54"/>
  <c r="BD347" i="54"/>
  <c r="BG347" i="54"/>
  <c r="V226" i="54"/>
  <c r="AT64" i="55"/>
  <c r="AU64" i="55" s="1"/>
  <c r="AV64" i="55" s="1"/>
  <c r="E394" i="54" s="1"/>
  <c r="AT17" i="55"/>
  <c r="AU17" i="55" s="1"/>
  <c r="AV17" i="55" s="1"/>
  <c r="E96" i="54" s="1"/>
  <c r="W96" i="54"/>
  <c r="Y96" i="54"/>
  <c r="V96" i="54" s="1"/>
  <c r="AY17" i="55" s="1"/>
  <c r="AZ17" i="55" s="1"/>
  <c r="BA17" i="55" s="1"/>
  <c r="AU347" i="54"/>
  <c r="AT56" i="55"/>
  <c r="AU56" i="55" s="1"/>
  <c r="AV56" i="55" s="1"/>
  <c r="E324" i="54" s="1"/>
  <c r="V324" i="54"/>
  <c r="AY56" i="55" s="1"/>
  <c r="AZ56" i="55" s="1"/>
  <c r="BA56" i="55" s="1"/>
  <c r="E290" i="54"/>
  <c r="V290" i="54" s="1"/>
  <c r="B236" i="54"/>
  <c r="F469" i="54"/>
  <c r="L469" i="54" s="1"/>
  <c r="AO274" i="54"/>
  <c r="AZ274" i="54"/>
  <c r="AH274" i="54"/>
  <c r="BD274" i="54"/>
  <c r="AU274" i="54"/>
  <c r="AH273" i="54"/>
  <c r="BD273" i="54"/>
  <c r="AU273" i="54"/>
  <c r="AO273" i="54"/>
  <c r="R225" i="54"/>
  <c r="V225" i="54"/>
  <c r="AT30" i="55"/>
  <c r="AU30" i="55" s="1"/>
  <c r="AV30" i="55" s="1"/>
  <c r="E173" i="54" s="1"/>
  <c r="Y173" i="54"/>
  <c r="V173" i="54" s="1"/>
  <c r="AY30" i="55" s="1"/>
  <c r="AZ30" i="55" s="1"/>
  <c r="BA30" i="55" s="1"/>
  <c r="I173" i="54" s="1"/>
  <c r="BI192" i="54"/>
  <c r="R302" i="54"/>
  <c r="BD348" i="54"/>
  <c r="BD344" i="54"/>
  <c r="AT39" i="55"/>
  <c r="AU39" i="55" s="1"/>
  <c r="AV39" i="55" s="1"/>
  <c r="E245" i="54" s="1"/>
  <c r="AT47" i="55"/>
  <c r="AU47" i="55" s="1"/>
  <c r="AV47" i="55" s="1"/>
  <c r="E253" i="54" s="1"/>
  <c r="Y253" i="54"/>
  <c r="V253" i="54" s="1"/>
  <c r="AY47" i="55" s="1"/>
  <c r="AZ47" i="55" s="1"/>
  <c r="BA47" i="55" s="1"/>
  <c r="I253" i="54" s="1"/>
  <c r="AO116" i="54"/>
  <c r="BG116" i="54"/>
  <c r="AZ116" i="54"/>
  <c r="AH116" i="54"/>
  <c r="AO349" i="54"/>
  <c r="BI197" i="54"/>
  <c r="AZ121" i="54"/>
  <c r="AH121" i="54"/>
  <c r="AU121" i="54"/>
  <c r="AO121" i="54"/>
  <c r="Y249" i="54"/>
  <c r="V249" i="54" s="1"/>
  <c r="AY43" i="55" s="1"/>
  <c r="AZ43" i="55" s="1"/>
  <c r="BA43" i="55" s="1"/>
  <c r="AU349" i="54"/>
  <c r="W253" i="54"/>
  <c r="AT46" i="55"/>
  <c r="AU46" i="55" s="1"/>
  <c r="AV46" i="55" s="1"/>
  <c r="E252" i="54" s="1"/>
  <c r="Y252" i="54"/>
  <c r="V252" i="54" s="1"/>
  <c r="AY46" i="55" s="1"/>
  <c r="AZ46" i="55" s="1"/>
  <c r="BA46" i="55" s="1"/>
  <c r="BD198" i="54"/>
  <c r="AU198" i="54"/>
  <c r="O280" i="52"/>
  <c r="W449" i="52"/>
  <c r="P449" i="52"/>
  <c r="AE449" i="52" s="1"/>
  <c r="AF449" i="52" s="1"/>
  <c r="V75" i="52"/>
  <c r="F457" i="52"/>
  <c r="L457" i="52" s="1"/>
  <c r="W457" i="52" s="1"/>
  <c r="L454" i="52"/>
  <c r="F455" i="52"/>
  <c r="BD198" i="52"/>
  <c r="AO198" i="52"/>
  <c r="R377" i="52"/>
  <c r="BI348" i="52"/>
  <c r="BI269" i="52"/>
  <c r="AH197" i="52"/>
  <c r="BD197" i="52"/>
  <c r="AU197" i="52"/>
  <c r="AO197" i="52"/>
  <c r="BG197" i="52"/>
  <c r="AH273" i="52"/>
  <c r="AO121" i="52"/>
  <c r="AZ121" i="52"/>
  <c r="BD121" i="52"/>
  <c r="AU121" i="52"/>
  <c r="AH121" i="52"/>
  <c r="Y319" i="52"/>
  <c r="V319" i="52" s="1"/>
  <c r="BI51" i="55" s="1"/>
  <c r="BJ51" i="55" s="1"/>
  <c r="BK51" i="55" s="1"/>
  <c r="AH267" i="52"/>
  <c r="AU267" i="52"/>
  <c r="BD55" i="55"/>
  <c r="BE55" i="55" s="1"/>
  <c r="BF55" i="55" s="1"/>
  <c r="E323" i="52" s="1"/>
  <c r="Y323" i="52"/>
  <c r="V323" i="52" s="1"/>
  <c r="BI55" i="55" s="1"/>
  <c r="BJ55" i="55" s="1"/>
  <c r="BK55" i="55" s="1"/>
  <c r="E290" i="52"/>
  <c r="P237" i="52"/>
  <c r="E291" i="52" s="1"/>
  <c r="Y394" i="52"/>
  <c r="V394" i="52" s="1"/>
  <c r="BI64" i="55" s="1"/>
  <c r="BJ64" i="55" s="1"/>
  <c r="BK64" i="55" s="1"/>
  <c r="BD60" i="55"/>
  <c r="BE60" i="55" s="1"/>
  <c r="BF60" i="55" s="1"/>
  <c r="E328" i="52" s="1"/>
  <c r="Y328" i="52"/>
  <c r="V328" i="52" s="1"/>
  <c r="BI60" i="55" s="1"/>
  <c r="BJ60" i="55" s="1"/>
  <c r="BK60" i="55" s="1"/>
  <c r="BG273" i="52"/>
  <c r="AZ192" i="52"/>
  <c r="BG192" i="52"/>
  <c r="BD191" i="52"/>
  <c r="BG191" i="52"/>
  <c r="BD117" i="52"/>
  <c r="AH272" i="52"/>
  <c r="AP196" i="52"/>
  <c r="AI196" i="52"/>
  <c r="AZ191" i="52"/>
  <c r="AZ196" i="52"/>
  <c r="T198" i="52"/>
  <c r="BI116" i="52"/>
  <c r="AU347" i="52"/>
  <c r="AU344" i="52"/>
  <c r="BD272" i="52"/>
  <c r="AH269" i="52"/>
  <c r="BD268" i="52"/>
  <c r="U197" i="52"/>
  <c r="AQ197" i="52" s="1"/>
  <c r="BE196" i="52"/>
  <c r="BD34" i="55"/>
  <c r="BE34" i="55" s="1"/>
  <c r="BF34" i="55" s="1"/>
  <c r="E177" i="52" s="1"/>
  <c r="W177" i="52"/>
  <c r="Y177" i="52"/>
  <c r="V177" i="52" s="1"/>
  <c r="BI34" i="55" s="1"/>
  <c r="BJ34" i="55" s="1"/>
  <c r="BK34" i="55" s="1"/>
  <c r="I177" i="52" s="1"/>
  <c r="AZ115" i="52"/>
  <c r="T117" i="52"/>
  <c r="AP117" i="52" s="1"/>
  <c r="AH115" i="52"/>
  <c r="BD115" i="52"/>
  <c r="AU115" i="52"/>
  <c r="AM39" i="52"/>
  <c r="T120" i="52"/>
  <c r="U120" i="52" s="1"/>
  <c r="AJ120" i="52" s="1"/>
  <c r="AO120" i="52"/>
  <c r="AH120" i="52"/>
  <c r="T122" i="52"/>
  <c r="BA122" i="52" s="1"/>
  <c r="AD39" i="52"/>
  <c r="AZ120" i="52"/>
  <c r="AO115" i="52"/>
  <c r="AR66" i="51"/>
  <c r="AS66" i="51" s="1"/>
  <c r="AT66" i="51" s="1"/>
  <c r="E387" i="48" s="1"/>
  <c r="Y40" i="52"/>
  <c r="AH35" i="52"/>
  <c r="T35" i="52"/>
  <c r="AD35" i="52" s="1"/>
  <c r="AM35" i="52"/>
  <c r="AH3" i="51"/>
  <c r="AI3" i="51" s="1"/>
  <c r="AJ3" i="51" s="1"/>
  <c r="E13" i="50" s="1"/>
  <c r="AO33" i="52"/>
  <c r="AC33" i="52"/>
  <c r="BD4" i="55"/>
  <c r="BE4" i="55" s="1"/>
  <c r="BF4" i="55" s="1"/>
  <c r="E20" i="52" s="1"/>
  <c r="W19" i="52"/>
  <c r="AC35" i="52"/>
  <c r="T34" i="52"/>
  <c r="E465" i="48"/>
  <c r="Y465" i="48" s="1"/>
  <c r="W94" i="48"/>
  <c r="V94" i="48" s="1"/>
  <c r="AW18" i="51" s="1"/>
  <c r="AX18" i="51" s="1"/>
  <c r="AY18" i="51" s="1"/>
  <c r="F313" i="48"/>
  <c r="M313" i="48" s="1"/>
  <c r="AR62" i="51"/>
  <c r="AS62" i="51" s="1"/>
  <c r="AT62" i="51" s="1"/>
  <c r="E383" i="48" s="1"/>
  <c r="Y383" i="48"/>
  <c r="V383" i="48" s="1"/>
  <c r="AW62" i="51" s="1"/>
  <c r="AX62" i="51" s="1"/>
  <c r="AY62" i="51" s="1"/>
  <c r="O399" i="48"/>
  <c r="P414" i="48"/>
  <c r="E459" i="48" s="1"/>
  <c r="S459" i="48" s="1"/>
  <c r="O398" i="48"/>
  <c r="P416" i="48"/>
  <c r="E461" i="48" s="1"/>
  <c r="S461" i="48" s="1"/>
  <c r="O397" i="48"/>
  <c r="AR63" i="51"/>
  <c r="AS63" i="51" s="1"/>
  <c r="AT63" i="51" s="1"/>
  <c r="E384" i="48" s="1"/>
  <c r="Y384" i="48"/>
  <c r="V384" i="48" s="1"/>
  <c r="AW63" i="51" s="1"/>
  <c r="AX63" i="51" s="1"/>
  <c r="AY63" i="51" s="1"/>
  <c r="F310" i="48"/>
  <c r="M310" i="48" s="1"/>
  <c r="AF48" i="44"/>
  <c r="Z62" i="44" s="1"/>
  <c r="Y92" i="40"/>
  <c r="T93" i="40"/>
  <c r="W7" i="34"/>
  <c r="V7" i="34" s="1"/>
  <c r="U3" i="35" s="1"/>
  <c r="V3" i="35" s="1"/>
  <c r="W3" i="35" s="1"/>
  <c r="W176" i="48"/>
  <c r="V176" i="48" s="1"/>
  <c r="AW32" i="51" s="1"/>
  <c r="AX32" i="51" s="1"/>
  <c r="AY32" i="51" s="1"/>
  <c r="AR24" i="51"/>
  <c r="AS24" i="51" s="1"/>
  <c r="AT24" i="51" s="1"/>
  <c r="E134" i="48" s="1"/>
  <c r="W134" i="48"/>
  <c r="V134" i="48" s="1"/>
  <c r="AW24" i="51" s="1"/>
  <c r="AX24" i="51" s="1"/>
  <c r="AY24" i="51" s="1"/>
  <c r="K29" i="44"/>
  <c r="AR29" i="44" s="1"/>
  <c r="K30" i="44"/>
  <c r="AR30" i="44" s="1"/>
  <c r="K26" i="44"/>
  <c r="AR26" i="44" s="1"/>
  <c r="P5" i="35"/>
  <c r="Q5" i="35" s="1"/>
  <c r="R5" i="35" s="1"/>
  <c r="E9" i="34" s="1"/>
  <c r="W9" i="34"/>
  <c r="V9" i="34" s="1"/>
  <c r="U5" i="35" s="1"/>
  <c r="V5" i="35" s="1"/>
  <c r="W5" i="35" s="1"/>
  <c r="O48" i="44"/>
  <c r="I62" i="44" s="1"/>
  <c r="Z13" i="35"/>
  <c r="AA13" i="35" s="1"/>
  <c r="AB13" i="35" s="1"/>
  <c r="E17" i="40" s="1"/>
  <c r="W17" i="40"/>
  <c r="V17" i="40" s="1"/>
  <c r="AE13" i="35" s="1"/>
  <c r="AF13" i="35" s="1"/>
  <c r="AG13" i="35" s="1"/>
  <c r="Y92" i="34"/>
  <c r="P11" i="35"/>
  <c r="Q11" i="35" s="1"/>
  <c r="R11" i="35" s="1"/>
  <c r="E15" i="34" s="1"/>
  <c r="Z11" i="35"/>
  <c r="AA11" i="35" s="1"/>
  <c r="AB11" i="35" s="1"/>
  <c r="E15" i="40" s="1"/>
  <c r="W15" i="40"/>
  <c r="V15" i="40" s="1"/>
  <c r="AE11" i="35" s="1"/>
  <c r="AF11" i="35" s="1"/>
  <c r="AG11" i="35" s="1"/>
  <c r="P11" i="28"/>
  <c r="Q11" i="28" s="1"/>
  <c r="R11" i="28" s="1"/>
  <c r="E17" i="27" s="1"/>
  <c r="W17" i="27"/>
  <c r="V17" i="27" s="1"/>
  <c r="U11" i="28" s="1"/>
  <c r="V11" i="28" s="1"/>
  <c r="W11" i="28" s="1"/>
  <c r="X34" i="27"/>
  <c r="X34" i="41"/>
  <c r="T34" i="41"/>
  <c r="Z5" i="35"/>
  <c r="AA5" i="35" s="1"/>
  <c r="AB5" i="35" s="1"/>
  <c r="E9" i="40" s="1"/>
  <c r="W9" i="40"/>
  <c r="V9" i="40" s="1"/>
  <c r="AE5" i="35" s="1"/>
  <c r="AF5" i="35" s="1"/>
  <c r="AG5" i="35" s="1"/>
  <c r="W11" i="27"/>
  <c r="V11" i="27" s="1"/>
  <c r="U5" i="28" s="1"/>
  <c r="V5" i="28" s="1"/>
  <c r="W5" i="28" s="1"/>
  <c r="W11" i="41"/>
  <c r="V11" i="41" s="1"/>
  <c r="AE5" i="28" s="1"/>
  <c r="AF5" i="28" s="1"/>
  <c r="AG5" i="28" s="1"/>
  <c r="BE122" i="52"/>
  <c r="AV122" i="52"/>
  <c r="AI122" i="52"/>
  <c r="AR40" i="52"/>
  <c r="AJ197" i="52"/>
  <c r="AW197" i="52"/>
  <c r="BB197" i="52"/>
  <c r="AB120" i="52"/>
  <c r="BJ120" i="52" s="1"/>
  <c r="AV117" i="52"/>
  <c r="F485" i="52"/>
  <c r="F481" i="52"/>
  <c r="L481" i="52" s="1"/>
  <c r="S16" i="46"/>
  <c r="O10" i="46"/>
  <c r="I12" i="46"/>
  <c r="AI35" i="52"/>
  <c r="V122" i="52"/>
  <c r="AK122" i="52" s="1"/>
  <c r="V376" i="54"/>
  <c r="V148" i="54"/>
  <c r="AZ273" i="54"/>
  <c r="BG273" i="54"/>
  <c r="AC40" i="54"/>
  <c r="AH40" i="54"/>
  <c r="AL40" i="54"/>
  <c r="AO40" i="54"/>
  <c r="AT74" i="55"/>
  <c r="AU74" i="55" s="1"/>
  <c r="AV74" i="55" s="1"/>
  <c r="E404" i="54" s="1"/>
  <c r="AT72" i="55"/>
  <c r="AU72" i="55" s="1"/>
  <c r="AV72" i="55" s="1"/>
  <c r="E402" i="54" s="1"/>
  <c r="BG267" i="54"/>
  <c r="AU267" i="54"/>
  <c r="AZ267" i="54"/>
  <c r="V227" i="54"/>
  <c r="V446" i="52"/>
  <c r="P446" i="52"/>
  <c r="AE446" i="52" s="1"/>
  <c r="AF446" i="52" s="1"/>
  <c r="AZ268" i="54"/>
  <c r="AH268" i="54"/>
  <c r="BG268" i="54"/>
  <c r="BD84" i="55"/>
  <c r="BE84" i="55" s="1"/>
  <c r="BF84" i="55" s="1"/>
  <c r="E566" i="52" s="1"/>
  <c r="B311" i="54"/>
  <c r="AT20" i="55"/>
  <c r="AU20" i="55" s="1"/>
  <c r="AV20" i="55" s="1"/>
  <c r="E99" i="54" s="1"/>
  <c r="AT12" i="55"/>
  <c r="AU12" i="55" s="1"/>
  <c r="AV12" i="55" s="1"/>
  <c r="E91" i="54" s="1"/>
  <c r="BG122" i="52"/>
  <c r="AT26" i="55"/>
  <c r="AU26" i="55" s="1"/>
  <c r="AV26" i="55" s="1"/>
  <c r="E169" i="54" s="1"/>
  <c r="AO347" i="52"/>
  <c r="BG347" i="52"/>
  <c r="T348" i="52"/>
  <c r="AP348" i="52" s="1"/>
  <c r="T349" i="52"/>
  <c r="AC40" i="52"/>
  <c r="AL40" i="52"/>
  <c r="AO40" i="52"/>
  <c r="AH40" i="52"/>
  <c r="T33" i="52"/>
  <c r="Y33" i="52" s="1"/>
  <c r="AR33" i="52" s="1"/>
  <c r="AH33" i="52"/>
  <c r="AL33" i="52"/>
  <c r="AZ198" i="54"/>
  <c r="AH192" i="52"/>
  <c r="AO192" i="52"/>
  <c r="U198" i="52"/>
  <c r="AJ198" i="52" s="1"/>
  <c r="AB196" i="52"/>
  <c r="BD348" i="52"/>
  <c r="AO348" i="52"/>
  <c r="AU348" i="52"/>
  <c r="AZ348" i="52"/>
  <c r="AO198" i="54"/>
  <c r="AU197" i="54"/>
  <c r="AV196" i="52"/>
  <c r="O126" i="52"/>
  <c r="BG197" i="54"/>
  <c r="BG348" i="52"/>
  <c r="AZ347" i="52"/>
  <c r="BG120" i="52"/>
  <c r="AO274" i="52"/>
  <c r="Y100" i="52"/>
  <c r="V100" i="52" s="1"/>
  <c r="BI21" i="55" s="1"/>
  <c r="BJ21" i="55" s="1"/>
  <c r="BK21" i="55" s="1"/>
  <c r="I100" i="52" s="1"/>
  <c r="BG343" i="52"/>
  <c r="BG274" i="52"/>
  <c r="AH274" i="52"/>
  <c r="AZ268" i="52"/>
  <c r="BD196" i="52"/>
  <c r="T197" i="52"/>
  <c r="BA197" i="52" s="1"/>
  <c r="Y18" i="40"/>
  <c r="F315" i="48"/>
  <c r="F290" i="48"/>
  <c r="M290" i="48" s="1"/>
  <c r="W19" i="27"/>
  <c r="V19" i="27" s="1"/>
  <c r="U13" i="28" s="1"/>
  <c r="V13" i="28" s="1"/>
  <c r="W13" i="28" s="1"/>
  <c r="I19" i="27" s="1"/>
  <c r="P13" i="28"/>
  <c r="Q13" i="28" s="1"/>
  <c r="R13" i="28" s="1"/>
  <c r="E19" i="27" s="1"/>
  <c r="P3" i="28"/>
  <c r="Q3" i="28" s="1"/>
  <c r="R3" i="28" s="1"/>
  <c r="E9" i="27" s="1"/>
  <c r="AM33" i="52"/>
  <c r="BB198" i="52"/>
  <c r="AI121" i="52"/>
  <c r="AP121" i="52"/>
  <c r="AB121" i="52"/>
  <c r="BA121" i="52"/>
  <c r="AI349" i="52"/>
  <c r="BE349" i="52"/>
  <c r="AP349" i="52"/>
  <c r="BJ121" i="52"/>
  <c r="P13" i="54"/>
  <c r="E64" i="54" s="1"/>
  <c r="E61" i="54"/>
  <c r="V61" i="54" s="1"/>
  <c r="AC35" i="54"/>
  <c r="AO35" i="54"/>
  <c r="AH35" i="54"/>
  <c r="AL34" i="54"/>
  <c r="AH34" i="54"/>
  <c r="AO34" i="54"/>
  <c r="U34" i="54"/>
  <c r="AI34" i="54"/>
  <c r="AD34" i="54"/>
  <c r="AM34" i="54"/>
  <c r="AM40" i="54"/>
  <c r="U40" i="54"/>
  <c r="Z40" i="54" s="1"/>
  <c r="AS40" i="54" s="1"/>
  <c r="Y40" i="54"/>
  <c r="AR40" i="54" s="1"/>
  <c r="AQ35" i="54"/>
  <c r="AR34" i="54"/>
  <c r="AQ39" i="54"/>
  <c r="AB347" i="54"/>
  <c r="AU191" i="54"/>
  <c r="AO191" i="54"/>
  <c r="BI348" i="54"/>
  <c r="BI273" i="54"/>
  <c r="BE347" i="54"/>
  <c r="AI347" i="54"/>
  <c r="BA347" i="54"/>
  <c r="AP347" i="54"/>
  <c r="AV347" i="54"/>
  <c r="U347" i="54"/>
  <c r="AQ347" i="54" s="1"/>
  <c r="BG348" i="54"/>
  <c r="T344" i="54"/>
  <c r="AI344" i="54" s="1"/>
  <c r="AH344" i="54"/>
  <c r="AH348" i="54"/>
  <c r="AU342" i="54"/>
  <c r="T348" i="54"/>
  <c r="U348" i="54" s="1"/>
  <c r="AJ348" i="54" s="1"/>
  <c r="BG344" i="54"/>
  <c r="AZ344" i="54"/>
  <c r="AZ348" i="54"/>
  <c r="AU344" i="54"/>
  <c r="U273" i="54"/>
  <c r="AV273" i="54"/>
  <c r="AP273" i="54"/>
  <c r="BA273" i="54"/>
  <c r="AI273" i="54"/>
  <c r="BE273" i="54"/>
  <c r="AP274" i="54"/>
  <c r="BA274" i="54"/>
  <c r="U274" i="54"/>
  <c r="BE274" i="54"/>
  <c r="AI274" i="54"/>
  <c r="BG269" i="54"/>
  <c r="BD269" i="54"/>
  <c r="AH269" i="54"/>
  <c r="AV197" i="54"/>
  <c r="U197" i="54"/>
  <c r="AJ197" i="54" s="1"/>
  <c r="AI197" i="54"/>
  <c r="BA197" i="54"/>
  <c r="BE197" i="54"/>
  <c r="T193" i="54"/>
  <c r="AI193" i="54" s="1"/>
  <c r="BE121" i="54"/>
  <c r="U121" i="54"/>
  <c r="AW121" i="54" s="1"/>
  <c r="AV121" i="54"/>
  <c r="AI121" i="54"/>
  <c r="AP121" i="54"/>
  <c r="AB121" i="54"/>
  <c r="BA121" i="54"/>
  <c r="BG121" i="54"/>
  <c r="BD121" i="54"/>
  <c r="T115" i="54"/>
  <c r="BE115" i="54" s="1"/>
  <c r="AO120" i="54"/>
  <c r="AH120" i="54"/>
  <c r="AV122" i="54"/>
  <c r="AB122" i="54"/>
  <c r="BJ122" i="54"/>
  <c r="BG122" i="54"/>
  <c r="BD122" i="54"/>
  <c r="AO122" i="54"/>
  <c r="AH122" i="54"/>
  <c r="T120" i="54"/>
  <c r="AV120" i="54" s="1"/>
  <c r="BG120" i="54"/>
  <c r="BD120" i="54"/>
  <c r="AU120" i="54"/>
  <c r="AU115" i="54"/>
  <c r="BG115" i="54"/>
  <c r="BD115" i="54"/>
  <c r="AO115" i="54"/>
  <c r="AH115" i="54"/>
  <c r="AB115" i="54"/>
  <c r="BJ115" i="54" s="1"/>
  <c r="AC347" i="54"/>
  <c r="BK347" i="54" s="1"/>
  <c r="AV344" i="54"/>
  <c r="BE344" i="54"/>
  <c r="BA344" i="54"/>
  <c r="AP344" i="54"/>
  <c r="BJ347" i="54"/>
  <c r="BA348" i="54"/>
  <c r="AP348" i="54"/>
  <c r="AW274" i="54"/>
  <c r="AQ274" i="54"/>
  <c r="AJ274" i="54"/>
  <c r="BB274" i="54"/>
  <c r="V273" i="54"/>
  <c r="AW273" i="54"/>
  <c r="AJ273" i="54"/>
  <c r="AQ273" i="54"/>
  <c r="BB273" i="54"/>
  <c r="U193" i="54"/>
  <c r="V193" i="54" s="1"/>
  <c r="AX193" i="54" s="1"/>
  <c r="BA115" i="54"/>
  <c r="U120" i="54"/>
  <c r="AJ120" i="54" s="1"/>
  <c r="BE120" i="54"/>
  <c r="BA120" i="54"/>
  <c r="AI120" i="54"/>
  <c r="AP120" i="54"/>
  <c r="AQ33" i="54"/>
  <c r="AR273" i="54"/>
  <c r="AJ193" i="54"/>
  <c r="V120" i="54"/>
  <c r="AW120" i="54"/>
  <c r="AC120" i="54"/>
  <c r="BK120" i="54" s="1"/>
  <c r="BJ121" i="54"/>
  <c r="AK120" i="54"/>
  <c r="BI196" i="54"/>
  <c r="BI191" i="54"/>
  <c r="BI347" i="54"/>
  <c r="BI122" i="54"/>
  <c r="BI120" i="54"/>
  <c r="B83" i="54"/>
  <c r="AD38" i="54"/>
  <c r="AM38" i="54"/>
  <c r="AI38" i="54"/>
  <c r="U38" i="54"/>
  <c r="Z38" i="54" s="1"/>
  <c r="AL38" i="54"/>
  <c r="AH38" i="54"/>
  <c r="AO38" i="54"/>
  <c r="AC38" i="54"/>
  <c r="Y38" i="54"/>
  <c r="O52" i="54"/>
  <c r="O51" i="54"/>
  <c r="AR38" i="54"/>
  <c r="AE38" i="54"/>
  <c r="AQ38" i="54"/>
  <c r="P387" i="54"/>
  <c r="E530" i="54" s="1"/>
  <c r="AN530" i="54" s="1"/>
  <c r="C10" i="46" l="1"/>
  <c r="Y24" i="54"/>
  <c r="V24" i="54" s="1"/>
  <c r="AY8" i="55" s="1"/>
  <c r="AZ8" i="55" s="1"/>
  <c r="BA8" i="55" s="1"/>
  <c r="Y20" i="27"/>
  <c r="W7" i="40"/>
  <c r="V7" i="40" s="1"/>
  <c r="AE3" i="35" s="1"/>
  <c r="AF3" i="35" s="1"/>
  <c r="AG3" i="35" s="1"/>
  <c r="I7" i="40" s="1"/>
  <c r="AF118" i="37"/>
  <c r="AI118" i="37" s="1"/>
  <c r="AG118" i="37"/>
  <c r="AJ118" i="37" s="1"/>
  <c r="N80" i="37"/>
  <c r="N30" i="37"/>
  <c r="H6" i="47"/>
  <c r="G6" i="47"/>
  <c r="C13" i="46"/>
  <c r="T17" i="46"/>
  <c r="B9" i="46" s="1"/>
  <c r="C51" i="39"/>
  <c r="S51" i="39" s="1"/>
  <c r="C61" i="60"/>
  <c r="V14" i="31"/>
  <c r="M15" i="31" s="1"/>
  <c r="S14" i="31" s="1"/>
  <c r="P11" i="31" s="1"/>
  <c r="S19" i="31" s="1"/>
  <c r="T18" i="31" s="1"/>
  <c r="T65" i="25"/>
  <c r="T71" i="25"/>
  <c r="T77" i="25"/>
  <c r="T76" i="25"/>
  <c r="T70" i="25"/>
  <c r="T75" i="25"/>
  <c r="T69" i="25"/>
  <c r="T72" i="25"/>
  <c r="T68" i="25"/>
  <c r="T74" i="25"/>
  <c r="T67" i="25"/>
  <c r="T78" i="25"/>
  <c r="T73" i="25"/>
  <c r="T66" i="25"/>
  <c r="U21" i="26"/>
  <c r="U20" i="26"/>
  <c r="U19" i="26"/>
  <c r="V19" i="26" s="1"/>
  <c r="W19" i="26" s="1"/>
  <c r="V20" i="26" s="1"/>
  <c r="W20" i="26" s="1"/>
  <c r="P22" i="26" s="1"/>
  <c r="C47" i="39" s="1"/>
  <c r="S47" i="39" s="1"/>
  <c r="T17" i="31"/>
  <c r="AI39" i="37"/>
  <c r="AS70" i="37"/>
  <c r="AV70" i="37" s="1"/>
  <c r="AR70" i="37"/>
  <c r="AU70" i="37"/>
  <c r="AT70" i="37"/>
  <c r="AW70" i="37" s="1"/>
  <c r="N73" i="37" s="1"/>
  <c r="N124" i="37"/>
  <c r="AF24" i="37"/>
  <c r="AI24" i="37" s="1"/>
  <c r="T87" i="37"/>
  <c r="T39" i="37"/>
  <c r="W17" i="41"/>
  <c r="V17" i="41" s="1"/>
  <c r="AE11" i="28" s="1"/>
  <c r="AF11" i="28" s="1"/>
  <c r="AG11" i="28" s="1"/>
  <c r="W13" i="41"/>
  <c r="V13" i="41" s="1"/>
  <c r="AE7" i="28" s="1"/>
  <c r="AF7" i="28" s="1"/>
  <c r="AG7" i="28" s="1"/>
  <c r="I13" i="41" s="1"/>
  <c r="I11" i="41"/>
  <c r="I17" i="41"/>
  <c r="W15" i="41"/>
  <c r="V15" i="41" s="1"/>
  <c r="AE9" i="28" s="1"/>
  <c r="AF9" i="28" s="1"/>
  <c r="AG9" i="28" s="1"/>
  <c r="I15" i="41" s="1"/>
  <c r="W9" i="41"/>
  <c r="V9" i="41" s="1"/>
  <c r="AE3" i="28" s="1"/>
  <c r="AF3" i="28" s="1"/>
  <c r="AG3" i="28" s="1"/>
  <c r="I9" i="41" s="1"/>
  <c r="Y20" i="41"/>
  <c r="W19" i="41"/>
  <c r="V19" i="41" s="1"/>
  <c r="AE13" i="28" s="1"/>
  <c r="AF13" i="28" s="1"/>
  <c r="AG13" i="28" s="1"/>
  <c r="I19" i="41" s="1"/>
  <c r="Z20" i="41"/>
  <c r="Z20" i="27"/>
  <c r="G14" i="27" s="1"/>
  <c r="I17" i="27"/>
  <c r="W13" i="27"/>
  <c r="V13" i="27" s="1"/>
  <c r="U7" i="28" s="1"/>
  <c r="V7" i="28" s="1"/>
  <c r="W7" i="28" s="1"/>
  <c r="I13" i="27" s="1"/>
  <c r="I11" i="27"/>
  <c r="W9" i="27"/>
  <c r="V9" i="27" s="1"/>
  <c r="U3" i="28" s="1"/>
  <c r="V3" i="28" s="1"/>
  <c r="W3" i="28" s="1"/>
  <c r="I9" i="27" s="1"/>
  <c r="C63" i="40"/>
  <c r="O63" i="40" s="1"/>
  <c r="S50" i="40" s="1"/>
  <c r="T44" i="34"/>
  <c r="C63" i="34" s="1"/>
  <c r="O63" i="34" s="1"/>
  <c r="S50" i="34" s="1"/>
  <c r="T50" i="34" s="1"/>
  <c r="U44" i="34"/>
  <c r="S44" i="34"/>
  <c r="O41" i="34"/>
  <c r="S47" i="34" s="1"/>
  <c r="C54" i="34"/>
  <c r="O54" i="34" s="1"/>
  <c r="S49" i="34" s="1"/>
  <c r="C72" i="34"/>
  <c r="O72" i="34" s="1"/>
  <c r="S52" i="34" s="1"/>
  <c r="O83" i="34"/>
  <c r="S54" i="34" s="1"/>
  <c r="W13" i="40"/>
  <c r="V13" i="40" s="1"/>
  <c r="AE9" i="35" s="1"/>
  <c r="AF9" i="35" s="1"/>
  <c r="AG9" i="35" s="1"/>
  <c r="W15" i="34"/>
  <c r="V15" i="34" s="1"/>
  <c r="U11" i="35" s="1"/>
  <c r="V11" i="35" s="1"/>
  <c r="W11" i="35" s="1"/>
  <c r="I15" i="34" s="1"/>
  <c r="W11" i="34"/>
  <c r="V11" i="34" s="1"/>
  <c r="U7" i="35" s="1"/>
  <c r="V7" i="35" s="1"/>
  <c r="W7" i="35" s="1"/>
  <c r="I9" i="34"/>
  <c r="W17" i="34"/>
  <c r="V17" i="34" s="1"/>
  <c r="U13" i="35" s="1"/>
  <c r="V13" i="35" s="1"/>
  <c r="W13" i="35" s="1"/>
  <c r="I17" i="34" s="1"/>
  <c r="I17" i="40"/>
  <c r="Y18" i="34"/>
  <c r="Z7" i="35"/>
  <c r="AA7" i="35" s="1"/>
  <c r="AB7" i="35" s="1"/>
  <c r="E11" i="40" s="1"/>
  <c r="W13" i="34"/>
  <c r="V13" i="34" s="1"/>
  <c r="U9" i="35" s="1"/>
  <c r="V9" i="35" s="1"/>
  <c r="W9" i="35" s="1"/>
  <c r="I13" i="34" s="1"/>
  <c r="P7" i="35"/>
  <c r="Q7" i="35" s="1"/>
  <c r="R7" i="35" s="1"/>
  <c r="E11" i="34" s="1"/>
  <c r="I11" i="34" s="1"/>
  <c r="I13" i="46"/>
  <c r="T16" i="46"/>
  <c r="C11" i="46"/>
  <c r="AM13" i="44"/>
  <c r="S13" i="44" s="1"/>
  <c r="AM9" i="44"/>
  <c r="AF6" i="44" s="1"/>
  <c r="AF8" i="44" s="1"/>
  <c r="K28" i="44"/>
  <c r="AM28" i="44" s="1"/>
  <c r="AM27" i="44"/>
  <c r="K23" i="44"/>
  <c r="AR23" i="44" s="1"/>
  <c r="C45" i="39"/>
  <c r="S45" i="39" s="1"/>
  <c r="C55" i="60"/>
  <c r="S43" i="22"/>
  <c r="S48" i="22"/>
  <c r="S42" i="22"/>
  <c r="S41" i="22"/>
  <c r="S47" i="22"/>
  <c r="S50" i="22"/>
  <c r="S46" i="22"/>
  <c r="S49" i="22"/>
  <c r="S45" i="22"/>
  <c r="S44" i="22"/>
  <c r="T10" i="23"/>
  <c r="T6" i="23"/>
  <c r="T9" i="23"/>
  <c r="T7" i="23"/>
  <c r="T5" i="23"/>
  <c r="T8" i="23"/>
  <c r="T11" i="23"/>
  <c r="C41" i="39"/>
  <c r="S41" i="39" s="1"/>
  <c r="C51" i="60"/>
  <c r="O16" i="32"/>
  <c r="T10" i="32"/>
  <c r="T16" i="32"/>
  <c r="T8" i="32"/>
  <c r="T13" i="32"/>
  <c r="T14" i="32"/>
  <c r="T7" i="32"/>
  <c r="T11" i="32"/>
  <c r="T9" i="32"/>
  <c r="T6" i="32"/>
  <c r="T15" i="32"/>
  <c r="T12" i="32"/>
  <c r="T73" i="60"/>
  <c r="I10" i="46"/>
  <c r="C12" i="46"/>
  <c r="C73" i="60"/>
  <c r="T72" i="60"/>
  <c r="C72" i="60"/>
  <c r="T74" i="60"/>
  <c r="C74" i="60"/>
  <c r="Y91" i="52"/>
  <c r="V91" i="52" s="1"/>
  <c r="BI12" i="55" s="1"/>
  <c r="BJ12" i="55" s="1"/>
  <c r="BK12" i="55" s="1"/>
  <c r="E468" i="48"/>
  <c r="Y468" i="48" s="1"/>
  <c r="W281" i="48"/>
  <c r="W319" i="48"/>
  <c r="M317" i="48"/>
  <c r="AM30" i="44"/>
  <c r="K25" i="44"/>
  <c r="AR25" i="44" s="1"/>
  <c r="K24" i="44"/>
  <c r="AM26" i="44"/>
  <c r="AB27" i="44"/>
  <c r="AO27" i="44" s="1"/>
  <c r="AM29" i="44"/>
  <c r="AO13" i="44"/>
  <c r="Z18" i="34"/>
  <c r="I7" i="34"/>
  <c r="W230" i="48"/>
  <c r="V230" i="48" s="1"/>
  <c r="AW44" i="51" s="1"/>
  <c r="AX44" i="51" s="1"/>
  <c r="AY44" i="51" s="1"/>
  <c r="V303" i="52"/>
  <c r="Y303" i="52"/>
  <c r="V151" i="52"/>
  <c r="Y151" i="52"/>
  <c r="V77" i="52"/>
  <c r="Y77" i="52"/>
  <c r="W24" i="52"/>
  <c r="V76" i="52"/>
  <c r="Y76" i="52"/>
  <c r="Y248" i="54"/>
  <c r="V248" i="54" s="1"/>
  <c r="AY42" i="55" s="1"/>
  <c r="AZ42" i="55" s="1"/>
  <c r="BA42" i="55" s="1"/>
  <c r="I248" i="54"/>
  <c r="I96" i="54"/>
  <c r="Y91" i="54"/>
  <c r="V91" i="54" s="1"/>
  <c r="AY12" i="55" s="1"/>
  <c r="AZ12" i="55" s="1"/>
  <c r="BA12" i="55" s="1"/>
  <c r="AT8" i="55"/>
  <c r="AU8" i="55" s="1"/>
  <c r="AV8" i="55" s="1"/>
  <c r="E24" i="54" s="1"/>
  <c r="I24" i="54" s="1"/>
  <c r="V370" i="54"/>
  <c r="Y370" i="54"/>
  <c r="Y295" i="54"/>
  <c r="V295" i="54"/>
  <c r="V220" i="54"/>
  <c r="Y220" i="54"/>
  <c r="R149" i="54"/>
  <c r="V149" i="54"/>
  <c r="AB267" i="54"/>
  <c r="BJ267" i="54" s="1"/>
  <c r="U267" i="54"/>
  <c r="BE267" i="54"/>
  <c r="AV267" i="54"/>
  <c r="AI267" i="54"/>
  <c r="AP267" i="54"/>
  <c r="BA267" i="54"/>
  <c r="AD122" i="54"/>
  <c r="BL122" i="54" s="1"/>
  <c r="V122" i="54"/>
  <c r="AC122" i="54"/>
  <c r="BK122" i="54" s="1"/>
  <c r="AQ122" i="54"/>
  <c r="AW122" i="54"/>
  <c r="AJ122" i="54"/>
  <c r="BB122" i="54"/>
  <c r="T354" i="54"/>
  <c r="V371" i="54"/>
  <c r="Y371" i="54"/>
  <c r="AM35" i="54"/>
  <c r="AD35" i="54"/>
  <c r="AI35" i="54"/>
  <c r="U35" i="54"/>
  <c r="Z35" i="54" s="1"/>
  <c r="AS35" i="54" s="1"/>
  <c r="Y35" i="54"/>
  <c r="AR35" i="54" s="1"/>
  <c r="BD193" i="54"/>
  <c r="AV348" i="54"/>
  <c r="AP122" i="54"/>
  <c r="AC39" i="54"/>
  <c r="F470" i="54"/>
  <c r="L470" i="54" s="1"/>
  <c r="V470" i="54" s="1"/>
  <c r="E215" i="54"/>
  <c r="AB120" i="54"/>
  <c r="BJ120" i="54" s="1"/>
  <c r="AI115" i="54"/>
  <c r="AP193" i="54"/>
  <c r="BE348" i="54"/>
  <c r="V347" i="54"/>
  <c r="W347" i="54" s="1"/>
  <c r="X347" i="54" s="1"/>
  <c r="AM347" i="54" s="1"/>
  <c r="AI122" i="54"/>
  <c r="AU193" i="54"/>
  <c r="AI196" i="54"/>
  <c r="AD40" i="54"/>
  <c r="AL39" i="54"/>
  <c r="AH39" i="54"/>
  <c r="AT82" i="55"/>
  <c r="AU82" i="55" s="1"/>
  <c r="AV82" i="55" s="1"/>
  <c r="E564" i="54" s="1"/>
  <c r="R290" i="54"/>
  <c r="AH343" i="54"/>
  <c r="W456" i="54"/>
  <c r="V379" i="54"/>
  <c r="Y379" i="54"/>
  <c r="V369" i="54"/>
  <c r="Y369" i="54"/>
  <c r="V303" i="54"/>
  <c r="Y303" i="54"/>
  <c r="O202" i="54"/>
  <c r="AO196" i="54"/>
  <c r="V72" i="54"/>
  <c r="Y72" i="54"/>
  <c r="P12" i="54"/>
  <c r="E63" i="54" s="1"/>
  <c r="L467" i="54"/>
  <c r="AJ121" i="54"/>
  <c r="L454" i="54"/>
  <c r="W454" i="54" s="1"/>
  <c r="V121" i="54"/>
  <c r="AK121" i="54" s="1"/>
  <c r="F468" i="54"/>
  <c r="BG193" i="54"/>
  <c r="BD343" i="54"/>
  <c r="F474" i="54"/>
  <c r="L474" i="54" s="1"/>
  <c r="AQ193" i="54"/>
  <c r="AP115" i="54"/>
  <c r="BE193" i="54"/>
  <c r="AI348" i="54"/>
  <c r="U344" i="54"/>
  <c r="AW347" i="54"/>
  <c r="BE122" i="54"/>
  <c r="AZ193" i="54"/>
  <c r="AZ269" i="54"/>
  <c r="T39" i="54"/>
  <c r="AZ196" i="54"/>
  <c r="R377" i="54"/>
  <c r="AU117" i="54"/>
  <c r="Y319" i="54"/>
  <c r="V319" i="54" s="1"/>
  <c r="AY51" i="55" s="1"/>
  <c r="AZ51" i="55" s="1"/>
  <c r="BA51" i="55" s="1"/>
  <c r="L471" i="54"/>
  <c r="F473" i="54"/>
  <c r="L473" i="54" s="1"/>
  <c r="V473" i="54" s="1"/>
  <c r="F457" i="54"/>
  <c r="L457" i="54" s="1"/>
  <c r="V457" i="54" s="1"/>
  <c r="V368" i="54"/>
  <c r="Y368" i="54"/>
  <c r="Y323" i="54"/>
  <c r="V323" i="54" s="1"/>
  <c r="AY55" i="55" s="1"/>
  <c r="AZ55" i="55" s="1"/>
  <c r="BA55" i="55" s="1"/>
  <c r="I323" i="54" s="1"/>
  <c r="R326" i="54" s="1"/>
  <c r="AH196" i="54"/>
  <c r="O126" i="54"/>
  <c r="BG117" i="54"/>
  <c r="AH193" i="54"/>
  <c r="T343" i="54"/>
  <c r="AZ343" i="54"/>
  <c r="V229" i="54"/>
  <c r="Y229" i="54"/>
  <c r="V221" i="54"/>
  <c r="Y221" i="54"/>
  <c r="V143" i="54"/>
  <c r="Y143" i="54"/>
  <c r="V70" i="54"/>
  <c r="Y70" i="54"/>
  <c r="AQ120" i="54"/>
  <c r="AV115" i="54"/>
  <c r="AV193" i="54"/>
  <c r="BA122" i="54"/>
  <c r="V474" i="54"/>
  <c r="P440" i="54"/>
  <c r="E550" i="54" s="1"/>
  <c r="Y550" i="54" s="1"/>
  <c r="AO343" i="54"/>
  <c r="V294" i="54"/>
  <c r="V142" i="54"/>
  <c r="Y142" i="54"/>
  <c r="V69" i="54"/>
  <c r="Y69" i="54"/>
  <c r="BA193" i="54"/>
  <c r="AJ40" i="54"/>
  <c r="V228" i="54"/>
  <c r="Y228" i="54"/>
  <c r="BG196" i="54"/>
  <c r="V141" i="54"/>
  <c r="Y141" i="54"/>
  <c r="V144" i="54"/>
  <c r="Y144" i="54"/>
  <c r="V71" i="54"/>
  <c r="Y71" i="54"/>
  <c r="U115" i="54"/>
  <c r="BB115" i="54" s="1"/>
  <c r="W474" i="54"/>
  <c r="F476" i="54"/>
  <c r="L476" i="54" s="1"/>
  <c r="V293" i="54"/>
  <c r="Y293" i="54"/>
  <c r="BD196" i="54"/>
  <c r="V219" i="54"/>
  <c r="Y219" i="54"/>
  <c r="V152" i="54"/>
  <c r="Y152" i="54"/>
  <c r="T116" i="54"/>
  <c r="AB273" i="54"/>
  <c r="BJ273" i="54" s="1"/>
  <c r="V304" i="54"/>
  <c r="Y304" i="54"/>
  <c r="V296" i="54"/>
  <c r="Y296" i="54"/>
  <c r="AU196" i="54"/>
  <c r="T349" i="54"/>
  <c r="W379" i="48"/>
  <c r="W224" i="48"/>
  <c r="V224" i="48" s="1"/>
  <c r="AW38" i="51" s="1"/>
  <c r="AX38" i="51" s="1"/>
  <c r="AY38" i="51" s="1"/>
  <c r="Y222" i="48"/>
  <c r="E466" i="48"/>
  <c r="Y466" i="48" s="1"/>
  <c r="E469" i="48"/>
  <c r="Y469" i="48" s="1"/>
  <c r="W174" i="48"/>
  <c r="V174" i="48" s="1"/>
  <c r="AW30" i="51" s="1"/>
  <c r="AX30" i="51" s="1"/>
  <c r="AY30" i="51" s="1"/>
  <c r="G175" i="48"/>
  <c r="Y173" i="48"/>
  <c r="E178" i="48"/>
  <c r="Y137" i="48"/>
  <c r="Y133" i="48"/>
  <c r="E138" i="48"/>
  <c r="E98" i="48"/>
  <c r="Y93" i="48"/>
  <c r="Y97" i="48"/>
  <c r="E58" i="48"/>
  <c r="Y53" i="48"/>
  <c r="F312" i="48"/>
  <c r="M312" i="48" s="1"/>
  <c r="Y385" i="48"/>
  <c r="V385" i="48" s="1"/>
  <c r="AW64" i="51" s="1"/>
  <c r="AX64" i="51" s="1"/>
  <c r="AY64" i="51" s="1"/>
  <c r="W455" i="48"/>
  <c r="F326" i="48"/>
  <c r="M326" i="48" s="1"/>
  <c r="V326" i="48" s="1"/>
  <c r="E365" i="48"/>
  <c r="Y365" i="48" s="1"/>
  <c r="M331" i="48"/>
  <c r="V331" i="48" s="1"/>
  <c r="W18" i="48"/>
  <c r="V18" i="48" s="1"/>
  <c r="AW8" i="51" s="1"/>
  <c r="AX8" i="51" s="1"/>
  <c r="AY8" i="51" s="1"/>
  <c r="J18" i="48" s="1"/>
  <c r="V281" i="48"/>
  <c r="F311" i="48"/>
  <c r="M311" i="48" s="1"/>
  <c r="F309" i="48"/>
  <c r="M309" i="48" s="1"/>
  <c r="F314" i="48"/>
  <c r="M314" i="48" s="1"/>
  <c r="M295" i="48"/>
  <c r="W295" i="48" s="1"/>
  <c r="M288" i="48"/>
  <c r="W288" i="48" s="1"/>
  <c r="W285" i="48"/>
  <c r="Y228" i="48"/>
  <c r="F333" i="48"/>
  <c r="M333" i="48" s="1"/>
  <c r="F332" i="48"/>
  <c r="W16" i="48"/>
  <c r="V16" i="48" s="1"/>
  <c r="AW6" i="51" s="1"/>
  <c r="AX6" i="51" s="1"/>
  <c r="AY6" i="51" s="1"/>
  <c r="J16" i="48" s="1"/>
  <c r="Y177" i="50"/>
  <c r="Y173" i="50"/>
  <c r="E178" i="50"/>
  <c r="Y137" i="50"/>
  <c r="Y133" i="50"/>
  <c r="E138" i="50"/>
  <c r="E98" i="50"/>
  <c r="Y97" i="50"/>
  <c r="Y93" i="50"/>
  <c r="G223" i="50"/>
  <c r="Y53" i="50"/>
  <c r="E58" i="50"/>
  <c r="G55" i="50"/>
  <c r="E365" i="50"/>
  <c r="Y365" i="50" s="1"/>
  <c r="G19" i="50"/>
  <c r="E330" i="52"/>
  <c r="AE319" i="52"/>
  <c r="AC323" i="52"/>
  <c r="AD323" i="52" s="1"/>
  <c r="Y245" i="54"/>
  <c r="V245" i="54" s="1"/>
  <c r="AY39" i="55" s="1"/>
  <c r="AZ39" i="55" s="1"/>
  <c r="BA39" i="55" s="1"/>
  <c r="I245" i="54" s="1"/>
  <c r="AC323" i="54"/>
  <c r="AE319" i="54"/>
  <c r="E330" i="54"/>
  <c r="AA323" i="54"/>
  <c r="AB323" i="54"/>
  <c r="E606" i="54"/>
  <c r="Y606" i="54" s="1"/>
  <c r="AE244" i="52"/>
  <c r="E255" i="52"/>
  <c r="AC248" i="52"/>
  <c r="AD248" i="52" s="1"/>
  <c r="E179" i="52"/>
  <c r="AE168" i="52"/>
  <c r="AC172" i="52"/>
  <c r="AD172" i="52" s="1"/>
  <c r="E102" i="52"/>
  <c r="AC95" i="52"/>
  <c r="AD95" i="52" s="1"/>
  <c r="AE91" i="52"/>
  <c r="Y19" i="52"/>
  <c r="V19" i="52" s="1"/>
  <c r="BI4" i="55" s="1"/>
  <c r="BJ4" i="55" s="1"/>
  <c r="BK4" i="55" s="1"/>
  <c r="I20" i="52" s="1"/>
  <c r="E26" i="52"/>
  <c r="AC172" i="54"/>
  <c r="AA248" i="54"/>
  <c r="AE168" i="54"/>
  <c r="AB172" i="54"/>
  <c r="E179" i="54"/>
  <c r="I252" i="54"/>
  <c r="R255" i="54" s="1"/>
  <c r="E255" i="54"/>
  <c r="AC248" i="54"/>
  <c r="AE244" i="54"/>
  <c r="Y100" i="54"/>
  <c r="V100" i="54" s="1"/>
  <c r="AY21" i="55" s="1"/>
  <c r="AZ21" i="55" s="1"/>
  <c r="BA21" i="55" s="1"/>
  <c r="I100" i="54" s="1"/>
  <c r="AT21" i="55"/>
  <c r="AU21" i="55" s="1"/>
  <c r="AV21" i="55" s="1"/>
  <c r="E100" i="54" s="1"/>
  <c r="W92" i="54"/>
  <c r="E102" i="54"/>
  <c r="AE92" i="54"/>
  <c r="I249" i="54"/>
  <c r="R251" i="54" s="1"/>
  <c r="E26" i="54"/>
  <c r="B28" i="54"/>
  <c r="Y23" i="54"/>
  <c r="V23" i="54" s="1"/>
  <c r="AY7" i="55" s="1"/>
  <c r="AZ7" i="55" s="1"/>
  <c r="BA7" i="55" s="1"/>
  <c r="AT7" i="55"/>
  <c r="AU7" i="55" s="1"/>
  <c r="AV7" i="55" s="1"/>
  <c r="E23" i="54" s="1"/>
  <c r="I323" i="52"/>
  <c r="R326" i="52" s="1"/>
  <c r="I319" i="52"/>
  <c r="R322" i="52" s="1"/>
  <c r="R330" i="52"/>
  <c r="Y172" i="52"/>
  <c r="V172" i="52" s="1"/>
  <c r="BI29" i="55" s="1"/>
  <c r="BJ29" i="55" s="1"/>
  <c r="BK29" i="55" s="1"/>
  <c r="I172" i="52" s="1"/>
  <c r="R175" i="52" s="1"/>
  <c r="I91" i="52"/>
  <c r="R94" i="52" s="1"/>
  <c r="Y23" i="52"/>
  <c r="V23" i="52" s="1"/>
  <c r="BI7" i="55" s="1"/>
  <c r="BJ7" i="55" s="1"/>
  <c r="BK7" i="55" s="1"/>
  <c r="Y402" i="54"/>
  <c r="V402" i="54" s="1"/>
  <c r="AY72" i="55" s="1"/>
  <c r="AZ72" i="55" s="1"/>
  <c r="BA72" i="55" s="1"/>
  <c r="I402" i="54" s="1"/>
  <c r="V378" i="54"/>
  <c r="Y378" i="54"/>
  <c r="I319" i="54"/>
  <c r="R322" i="54" s="1"/>
  <c r="W249" i="54"/>
  <c r="Y244" i="54"/>
  <c r="V244" i="54" s="1"/>
  <c r="AY38" i="55" s="1"/>
  <c r="AZ38" i="55" s="1"/>
  <c r="BA38" i="55" s="1"/>
  <c r="R175" i="54"/>
  <c r="Y168" i="54"/>
  <c r="V168" i="54" s="1"/>
  <c r="AY25" i="55" s="1"/>
  <c r="AZ25" i="55" s="1"/>
  <c r="BA25" i="55" s="1"/>
  <c r="I168" i="54" s="1"/>
  <c r="R171" i="54" s="1"/>
  <c r="V151" i="54"/>
  <c r="Y151" i="54"/>
  <c r="V77" i="54"/>
  <c r="Y77" i="54"/>
  <c r="V76" i="54"/>
  <c r="Y76" i="54"/>
  <c r="M11" i="63"/>
  <c r="M21" i="63"/>
  <c r="M20" i="63"/>
  <c r="M16" i="63"/>
  <c r="M26" i="63"/>
  <c r="M18" i="63"/>
  <c r="M15" i="63"/>
  <c r="M14" i="63"/>
  <c r="M19" i="63"/>
  <c r="M25" i="63"/>
  <c r="M24" i="63"/>
  <c r="M10" i="63"/>
  <c r="M22" i="63"/>
  <c r="M13" i="63"/>
  <c r="M12" i="63"/>
  <c r="M17" i="63"/>
  <c r="M9" i="63"/>
  <c r="M23" i="63"/>
  <c r="AB25" i="44"/>
  <c r="AB29" i="44"/>
  <c r="AS23" i="44"/>
  <c r="AO23" i="44"/>
  <c r="AB24" i="44"/>
  <c r="AB26" i="44"/>
  <c r="AB28" i="44"/>
  <c r="AB30" i="44"/>
  <c r="T54" i="34"/>
  <c r="T52" i="34"/>
  <c r="T98" i="34"/>
  <c r="Z18" i="40"/>
  <c r="E12" i="40" s="1"/>
  <c r="O83" i="40"/>
  <c r="S54" i="40" s="1"/>
  <c r="T98" i="40"/>
  <c r="G8" i="40"/>
  <c r="O76" i="40"/>
  <c r="C81" i="40" s="1"/>
  <c r="O81" i="40" s="1"/>
  <c r="S53" i="40" s="1"/>
  <c r="U6" i="37"/>
  <c r="U7" i="37" s="1"/>
  <c r="U8" i="37" s="1"/>
  <c r="P5" i="37" s="1"/>
  <c r="G39" i="37" s="1"/>
  <c r="W15" i="27"/>
  <c r="V15" i="27" s="1"/>
  <c r="U9" i="28" s="1"/>
  <c r="V9" i="28" s="1"/>
  <c r="W9" i="28" s="1"/>
  <c r="I15" i="27" s="1"/>
  <c r="E10" i="27"/>
  <c r="E14" i="27"/>
  <c r="T36" i="27"/>
  <c r="E18" i="27"/>
  <c r="G18" i="27"/>
  <c r="E12" i="27"/>
  <c r="G12" i="27"/>
  <c r="G10" i="27"/>
  <c r="E16" i="27"/>
  <c r="AH118" i="37"/>
  <c r="AK118" i="37" s="1"/>
  <c r="N119" i="37" s="1"/>
  <c r="U104" i="37"/>
  <c r="U105" i="37" s="1"/>
  <c r="U106" i="37" s="1"/>
  <c r="P103" i="37" s="1"/>
  <c r="G133" i="37" s="1"/>
  <c r="U51" i="37"/>
  <c r="U52" i="37" s="1"/>
  <c r="U53" i="37" s="1"/>
  <c r="P50" i="37" s="1"/>
  <c r="G88" i="37" s="1"/>
  <c r="O64" i="44"/>
  <c r="AN64" i="44" s="1"/>
  <c r="AO64" i="44" s="1"/>
  <c r="AF61" i="44"/>
  <c r="AF64" i="44"/>
  <c r="AS64" i="44" s="1"/>
  <c r="AT64" i="44" s="1"/>
  <c r="AL13" i="44"/>
  <c r="B13" i="44" s="1"/>
  <c r="AN13" i="44"/>
  <c r="AL9" i="44"/>
  <c r="O6" i="44" s="1"/>
  <c r="S22" i="46"/>
  <c r="V14" i="46"/>
  <c r="O9" i="46"/>
  <c r="I11" i="46"/>
  <c r="B11" i="46"/>
  <c r="O11" i="46"/>
  <c r="U1" i="26"/>
  <c r="C24" i="26" s="1"/>
  <c r="T4" i="46"/>
  <c r="C55" i="46" s="1"/>
  <c r="T14" i="46"/>
  <c r="E464" i="48"/>
  <c r="Y464" i="48" s="1"/>
  <c r="R401" i="48"/>
  <c r="B401" i="48" s="1"/>
  <c r="X281" i="48"/>
  <c r="P281" i="48" s="1"/>
  <c r="AE281" i="48" s="1"/>
  <c r="AF281" i="48" s="1"/>
  <c r="Z222" i="48"/>
  <c r="V319" i="48"/>
  <c r="X319" i="48" s="1"/>
  <c r="P319" i="48" s="1"/>
  <c r="P415" i="48"/>
  <c r="E460" i="48" s="1"/>
  <c r="S460" i="48" s="1"/>
  <c r="V330" i="48"/>
  <c r="M327" i="48"/>
  <c r="V285" i="48"/>
  <c r="M332" i="48"/>
  <c r="V332" i="48" s="1"/>
  <c r="Z228" i="48"/>
  <c r="M316" i="48"/>
  <c r="V316" i="48" s="1"/>
  <c r="T263" i="48"/>
  <c r="V310" i="48"/>
  <c r="W310" i="48"/>
  <c r="W290" i="48"/>
  <c r="V290" i="48"/>
  <c r="W329" i="48"/>
  <c r="V329" i="48"/>
  <c r="W333" i="48"/>
  <c r="V333" i="48"/>
  <c r="F294" i="48"/>
  <c r="M294" i="48" s="1"/>
  <c r="F297" i="48"/>
  <c r="M297" i="48" s="1"/>
  <c r="W297" i="48" s="1"/>
  <c r="T436" i="48"/>
  <c r="F301" i="48"/>
  <c r="M301" i="48" s="1"/>
  <c r="V301" i="48" s="1"/>
  <c r="M293" i="48"/>
  <c r="W293" i="48" s="1"/>
  <c r="M287" i="48"/>
  <c r="W287" i="48" s="1"/>
  <c r="F291" i="48"/>
  <c r="M291" i="48" s="1"/>
  <c r="M315" i="48"/>
  <c r="W315" i="48" s="1"/>
  <c r="F324" i="48"/>
  <c r="M324" i="48" s="1"/>
  <c r="F302" i="48"/>
  <c r="M302" i="48" s="1"/>
  <c r="W302" i="48" s="1"/>
  <c r="Y397" i="48"/>
  <c r="F296" i="48"/>
  <c r="M296" i="48" s="1"/>
  <c r="M300" i="48"/>
  <c r="W300" i="48" s="1"/>
  <c r="T259" i="48"/>
  <c r="T211" i="48"/>
  <c r="B209" i="48" s="1"/>
  <c r="F323" i="48"/>
  <c r="M323" i="48" s="1"/>
  <c r="W323" i="48" s="1"/>
  <c r="W54" i="48"/>
  <c r="V54" i="48" s="1"/>
  <c r="AW12" i="51" s="1"/>
  <c r="AX12" i="51" s="1"/>
  <c r="AY12" i="51" s="1"/>
  <c r="J54" i="48" s="1"/>
  <c r="T432" i="48"/>
  <c r="U436" i="48" s="1"/>
  <c r="P430" i="48" s="1"/>
  <c r="E467" i="48" s="1"/>
  <c r="Y467" i="48" s="1"/>
  <c r="S320" i="48"/>
  <c r="F289" i="48"/>
  <c r="M289" i="48" s="1"/>
  <c r="W222" i="48"/>
  <c r="V222" i="48" s="1"/>
  <c r="AW36" i="51" s="1"/>
  <c r="AX36" i="51" s="1"/>
  <c r="AY36" i="51" s="1"/>
  <c r="J222" i="48" s="1"/>
  <c r="F322" i="48"/>
  <c r="M322" i="48" s="1"/>
  <c r="W322" i="48" s="1"/>
  <c r="S303" i="48"/>
  <c r="M321" i="48"/>
  <c r="V321" i="48" s="1"/>
  <c r="F325" i="48"/>
  <c r="M325" i="48" s="1"/>
  <c r="W325" i="48" s="1"/>
  <c r="P412" i="48"/>
  <c r="Z379" i="48"/>
  <c r="M308" i="48"/>
  <c r="V308" i="48" s="1"/>
  <c r="M334" i="48"/>
  <c r="F298" i="48"/>
  <c r="M298" i="48" s="1"/>
  <c r="W298" i="48" s="1"/>
  <c r="T218" i="48"/>
  <c r="B215" i="48" s="1"/>
  <c r="W311" i="48"/>
  <c r="V311" i="48"/>
  <c r="V294" i="48"/>
  <c r="W294" i="48"/>
  <c r="V314" i="48"/>
  <c r="W314" i="48"/>
  <c r="V287" i="48"/>
  <c r="S198" i="48"/>
  <c r="S113" i="48"/>
  <c r="W324" i="48"/>
  <c r="V324" i="48"/>
  <c r="W313" i="48"/>
  <c r="V313" i="48"/>
  <c r="W309" i="48"/>
  <c r="V309" i="48"/>
  <c r="W312" i="48"/>
  <c r="V312" i="48"/>
  <c r="W283" i="48"/>
  <c r="V283" i="48"/>
  <c r="W289" i="48"/>
  <c r="V289" i="48"/>
  <c r="W336" i="48"/>
  <c r="V336" i="48"/>
  <c r="W317" i="48"/>
  <c r="V317" i="48"/>
  <c r="V325" i="48"/>
  <c r="W282" i="48"/>
  <c r="V282" i="48"/>
  <c r="W327" i="48"/>
  <c r="V327" i="48"/>
  <c r="S34" i="48"/>
  <c r="W284" i="48"/>
  <c r="V284" i="48"/>
  <c r="W332" i="48"/>
  <c r="Y398" i="48"/>
  <c r="S73" i="48"/>
  <c r="AR44" i="51"/>
  <c r="AS44" i="51" s="1"/>
  <c r="AT44" i="51" s="1"/>
  <c r="E230" i="48" s="1"/>
  <c r="J230" i="48" s="1"/>
  <c r="Y399" i="48"/>
  <c r="P411" i="48"/>
  <c r="E456" i="48" s="1"/>
  <c r="S456" i="48" s="1"/>
  <c r="AR65" i="51"/>
  <c r="AS65" i="51" s="1"/>
  <c r="AT65" i="51" s="1"/>
  <c r="E386" i="48" s="1"/>
  <c r="W308" i="48"/>
  <c r="Y396" i="48"/>
  <c r="Z396" i="48" s="1"/>
  <c r="AA396" i="48" s="1"/>
  <c r="W330" i="48"/>
  <c r="X330" i="48" s="1"/>
  <c r="P330" i="48" s="1"/>
  <c r="AE291" i="48" s="1"/>
  <c r="AF291" i="48" s="1"/>
  <c r="AR38" i="51"/>
  <c r="AS38" i="51" s="1"/>
  <c r="AT38" i="51" s="1"/>
  <c r="E224" i="48" s="1"/>
  <c r="J224" i="48" s="1"/>
  <c r="AA379" i="48"/>
  <c r="Y382" i="48"/>
  <c r="V382" i="48" s="1"/>
  <c r="AW61" i="51" s="1"/>
  <c r="AX61" i="51" s="1"/>
  <c r="AY61" i="51" s="1"/>
  <c r="J382" i="48" s="1"/>
  <c r="P218" i="48"/>
  <c r="E351" i="48" s="1"/>
  <c r="S351" i="48" s="1"/>
  <c r="P209" i="48"/>
  <c r="E344" i="48" s="1"/>
  <c r="S344" i="48" s="1"/>
  <c r="P211" i="48"/>
  <c r="E346" i="48" s="1"/>
  <c r="P215" i="48"/>
  <c r="E348" i="48" s="1"/>
  <c r="S348" i="48" s="1"/>
  <c r="P216" i="48"/>
  <c r="E349" i="48" s="1"/>
  <c r="S349" i="48" s="1"/>
  <c r="E342" i="48"/>
  <c r="S342" i="48" s="1"/>
  <c r="P208" i="48"/>
  <c r="E343" i="48" s="1"/>
  <c r="S343" i="48" s="1"/>
  <c r="P217" i="48"/>
  <c r="E350" i="48" s="1"/>
  <c r="S350" i="48" s="1"/>
  <c r="P212" i="48"/>
  <c r="E347" i="48" s="1"/>
  <c r="S347" i="48" s="1"/>
  <c r="P219" i="48"/>
  <c r="E352" i="48" s="1"/>
  <c r="S352" i="48" s="1"/>
  <c r="P210" i="48"/>
  <c r="E345" i="48" s="1"/>
  <c r="S345" i="48" s="1"/>
  <c r="P63" i="48"/>
  <c r="E76" i="48" s="1"/>
  <c r="W76" i="48" s="1"/>
  <c r="Z228" i="50"/>
  <c r="Y377" i="48"/>
  <c r="V377" i="48" s="1"/>
  <c r="AW55" i="51" s="1"/>
  <c r="AX55" i="51" s="1"/>
  <c r="AY55" i="51" s="1"/>
  <c r="J377" i="48" s="1"/>
  <c r="W228" i="48"/>
  <c r="V228" i="48" s="1"/>
  <c r="AW42" i="51" s="1"/>
  <c r="AX42" i="51" s="1"/>
  <c r="AY42" i="51" s="1"/>
  <c r="J228" i="48" s="1"/>
  <c r="G177" i="48"/>
  <c r="W178" i="48"/>
  <c r="AR30" i="51"/>
  <c r="AS30" i="51" s="1"/>
  <c r="AT30" i="51" s="1"/>
  <c r="E174" i="48" s="1"/>
  <c r="G135" i="48"/>
  <c r="W138" i="48"/>
  <c r="W136" i="48"/>
  <c r="V136" i="48" s="1"/>
  <c r="AW26" i="51" s="1"/>
  <c r="AX26" i="51" s="1"/>
  <c r="AY26" i="51" s="1"/>
  <c r="J136" i="48" s="1"/>
  <c r="W96" i="48"/>
  <c r="V96" i="48" s="1"/>
  <c r="AW20" i="51" s="1"/>
  <c r="AX20" i="51" s="1"/>
  <c r="AY20" i="51" s="1"/>
  <c r="J96" i="48" s="1"/>
  <c r="G55" i="48"/>
  <c r="W56" i="48"/>
  <c r="V56" i="48" s="1"/>
  <c r="AW14" i="51" s="1"/>
  <c r="AX14" i="51" s="1"/>
  <c r="AY14" i="51" s="1"/>
  <c r="W58" i="48"/>
  <c r="W20" i="48"/>
  <c r="G14" i="48"/>
  <c r="J384" i="48"/>
  <c r="J386" i="48"/>
  <c r="J387" i="48"/>
  <c r="J383" i="48"/>
  <c r="J385" i="48"/>
  <c r="X379" i="48"/>
  <c r="Y379" i="48" s="1"/>
  <c r="V379" i="48" s="1"/>
  <c r="AW57" i="51" s="1"/>
  <c r="AX57" i="51" s="1"/>
  <c r="AY57" i="51" s="1"/>
  <c r="J379" i="48" s="1"/>
  <c r="J176" i="48"/>
  <c r="J134" i="48"/>
  <c r="J94" i="48"/>
  <c r="W98" i="48"/>
  <c r="J56" i="48"/>
  <c r="W13" i="48"/>
  <c r="V13" i="48" s="1"/>
  <c r="AW3" i="51" s="1"/>
  <c r="AX3" i="51" s="1"/>
  <c r="AY3" i="51" s="1"/>
  <c r="J13" i="48" s="1"/>
  <c r="R15" i="48" s="1"/>
  <c r="Y387" i="50"/>
  <c r="V387" i="50" s="1"/>
  <c r="AM66" i="51" s="1"/>
  <c r="AN66" i="51" s="1"/>
  <c r="AO66" i="51" s="1"/>
  <c r="Y382" i="50"/>
  <c r="V382" i="50" s="1"/>
  <c r="AM61" i="51" s="1"/>
  <c r="AN61" i="51" s="1"/>
  <c r="AO61" i="51" s="1"/>
  <c r="Y377" i="50"/>
  <c r="V377" i="50" s="1"/>
  <c r="AM55" i="51" s="1"/>
  <c r="AN55" i="51" s="1"/>
  <c r="AO55" i="51" s="1"/>
  <c r="Y228" i="50"/>
  <c r="W136" i="50"/>
  <c r="V136" i="50" s="1"/>
  <c r="AM26" i="51" s="1"/>
  <c r="AN26" i="51" s="1"/>
  <c r="AO26" i="51" s="1"/>
  <c r="J136" i="50" s="1"/>
  <c r="W56" i="50"/>
  <c r="V56" i="50" s="1"/>
  <c r="AM14" i="51" s="1"/>
  <c r="AN14" i="51" s="1"/>
  <c r="AO14" i="51" s="1"/>
  <c r="W18" i="50"/>
  <c r="V18" i="50" s="1"/>
  <c r="AM8" i="51" s="1"/>
  <c r="AN8" i="51" s="1"/>
  <c r="AO8" i="51" s="1"/>
  <c r="Y400" i="52"/>
  <c r="V400" i="52" s="1"/>
  <c r="BI70" i="55" s="1"/>
  <c r="BJ70" i="55" s="1"/>
  <c r="BK70" i="55" s="1"/>
  <c r="Y404" i="52"/>
  <c r="V404" i="52" s="1"/>
  <c r="BI74" i="55" s="1"/>
  <c r="BJ74" i="55" s="1"/>
  <c r="BK74" i="55" s="1"/>
  <c r="AL396" i="52"/>
  <c r="AM396" i="52" s="1"/>
  <c r="BD7" i="55"/>
  <c r="BE7" i="55" s="1"/>
  <c r="BF7" i="55" s="1"/>
  <c r="E23" i="52" s="1"/>
  <c r="R11" i="39"/>
  <c r="G31" i="39" s="1"/>
  <c r="F319" i="50"/>
  <c r="W174" i="50"/>
  <c r="V174" i="50" s="1"/>
  <c r="AM30" i="51" s="1"/>
  <c r="AN30" i="51" s="1"/>
  <c r="AO30" i="51" s="1"/>
  <c r="J174" i="50" s="1"/>
  <c r="M319" i="50"/>
  <c r="V319" i="50" s="1"/>
  <c r="W224" i="50"/>
  <c r="V224" i="50" s="1"/>
  <c r="AM38" i="51" s="1"/>
  <c r="AN38" i="51" s="1"/>
  <c r="AO38" i="51" s="1"/>
  <c r="F297" i="50"/>
  <c r="M297" i="50" s="1"/>
  <c r="V297" i="50" s="1"/>
  <c r="F311" i="50"/>
  <c r="M311" i="50" s="1"/>
  <c r="F334" i="50"/>
  <c r="M334" i="50" s="1"/>
  <c r="W334" i="50" s="1"/>
  <c r="M331" i="50"/>
  <c r="AH44" i="51"/>
  <c r="AI44" i="51" s="1"/>
  <c r="AJ44" i="51" s="1"/>
  <c r="E230" i="50" s="1"/>
  <c r="W230" i="50"/>
  <c r="V230" i="50" s="1"/>
  <c r="AM44" i="51" s="1"/>
  <c r="AN44" i="51" s="1"/>
  <c r="AO44" i="51" s="1"/>
  <c r="V336" i="50"/>
  <c r="M300" i="50"/>
  <c r="W300" i="50" s="1"/>
  <c r="F295" i="50"/>
  <c r="M295" i="50" s="1"/>
  <c r="W295" i="50" s="1"/>
  <c r="W283" i="50"/>
  <c r="Y385" i="50"/>
  <c r="V385" i="50" s="1"/>
  <c r="AM64" i="51" s="1"/>
  <c r="AN64" i="51" s="1"/>
  <c r="AO64" i="51" s="1"/>
  <c r="J385" i="50" s="1"/>
  <c r="R401" i="50"/>
  <c r="B401" i="50" s="1"/>
  <c r="V282" i="50"/>
  <c r="T263" i="50"/>
  <c r="W134" i="50"/>
  <c r="V134" i="50" s="1"/>
  <c r="AM24" i="51" s="1"/>
  <c r="AN24" i="51" s="1"/>
  <c r="AO24" i="51" s="1"/>
  <c r="J134" i="50" s="1"/>
  <c r="W16" i="50"/>
  <c r="V16" i="50" s="1"/>
  <c r="AM6" i="51" s="1"/>
  <c r="AN6" i="51" s="1"/>
  <c r="AO6" i="51" s="1"/>
  <c r="J16" i="50" s="1"/>
  <c r="M310" i="50"/>
  <c r="W310" i="50" s="1"/>
  <c r="F312" i="50"/>
  <c r="M312" i="50" s="1"/>
  <c r="V312" i="50" s="1"/>
  <c r="AH66" i="51"/>
  <c r="AI66" i="51" s="1"/>
  <c r="AJ66" i="51" s="1"/>
  <c r="E387" i="50" s="1"/>
  <c r="Y383" i="50"/>
  <c r="V383" i="50" s="1"/>
  <c r="AM62" i="51" s="1"/>
  <c r="AN62" i="51" s="1"/>
  <c r="AO62" i="51" s="1"/>
  <c r="J383" i="50" s="1"/>
  <c r="F327" i="50"/>
  <c r="M327" i="50" s="1"/>
  <c r="V327" i="50" s="1"/>
  <c r="M316" i="50"/>
  <c r="W316" i="50" s="1"/>
  <c r="W282" i="50"/>
  <c r="O397" i="50"/>
  <c r="F332" i="50"/>
  <c r="M332" i="50" s="1"/>
  <c r="W332" i="50" s="1"/>
  <c r="M323" i="50"/>
  <c r="V323" i="50" s="1"/>
  <c r="F296" i="50"/>
  <c r="M296" i="50" s="1"/>
  <c r="V296" i="50" s="1"/>
  <c r="M288" i="50"/>
  <c r="W288" i="50" s="1"/>
  <c r="F289" i="50"/>
  <c r="M289" i="50" s="1"/>
  <c r="W289" i="50" s="1"/>
  <c r="F314" i="50"/>
  <c r="M314" i="50" s="1"/>
  <c r="W314" i="50" s="1"/>
  <c r="W228" i="50"/>
  <c r="V228" i="50" s="1"/>
  <c r="AM42" i="51" s="1"/>
  <c r="AN42" i="51" s="1"/>
  <c r="AO42" i="51" s="1"/>
  <c r="J228" i="50" s="1"/>
  <c r="AH61" i="51"/>
  <c r="AI61" i="51" s="1"/>
  <c r="AJ61" i="51" s="1"/>
  <c r="E382" i="50" s="1"/>
  <c r="T432" i="50"/>
  <c r="P413" i="50"/>
  <c r="E458" i="50" s="1"/>
  <c r="S458" i="50" s="1"/>
  <c r="M308" i="50"/>
  <c r="V308" i="50" s="1"/>
  <c r="F291" i="50"/>
  <c r="M291" i="50" s="1"/>
  <c r="V291" i="50" s="1"/>
  <c r="M287" i="50"/>
  <c r="W287" i="50" s="1"/>
  <c r="W176" i="50"/>
  <c r="V176" i="50" s="1"/>
  <c r="AM32" i="51" s="1"/>
  <c r="AN32" i="51" s="1"/>
  <c r="AO32" i="51" s="1"/>
  <c r="J176" i="50" s="1"/>
  <c r="F290" i="50"/>
  <c r="M290" i="50" s="1"/>
  <c r="W290" i="50" s="1"/>
  <c r="P416" i="50"/>
  <c r="E461" i="50" s="1"/>
  <c r="S461" i="50" s="1"/>
  <c r="W54" i="50"/>
  <c r="V54" i="50" s="1"/>
  <c r="AM12" i="51" s="1"/>
  <c r="AN12" i="51" s="1"/>
  <c r="AO12" i="51" s="1"/>
  <c r="J54" i="50" s="1"/>
  <c r="W96" i="50"/>
  <c r="V96" i="50" s="1"/>
  <c r="AM20" i="51" s="1"/>
  <c r="AN20" i="51" s="1"/>
  <c r="AO20" i="51" s="1"/>
  <c r="J96" i="50" s="1"/>
  <c r="F309" i="50"/>
  <c r="M309" i="50" s="1"/>
  <c r="F317" i="50"/>
  <c r="M317" i="50" s="1"/>
  <c r="V317" i="50" s="1"/>
  <c r="M294" i="50"/>
  <c r="Z379" i="50"/>
  <c r="V283" i="50"/>
  <c r="T218" i="50"/>
  <c r="B215" i="50" s="1"/>
  <c r="P412" i="50"/>
  <c r="B456" i="50" s="1"/>
  <c r="F313" i="50"/>
  <c r="M313" i="50" s="1"/>
  <c r="W313" i="50" s="1"/>
  <c r="AA379" i="50"/>
  <c r="AH38" i="51"/>
  <c r="AI38" i="51" s="1"/>
  <c r="AJ38" i="51" s="1"/>
  <c r="E224" i="50" s="1"/>
  <c r="W222" i="50"/>
  <c r="V222" i="50" s="1"/>
  <c r="AM36" i="51" s="1"/>
  <c r="AN36" i="51" s="1"/>
  <c r="AO36" i="51" s="1"/>
  <c r="J222" i="50" s="1"/>
  <c r="G225" i="50"/>
  <c r="P415" i="50"/>
  <c r="E460" i="50" s="1"/>
  <c r="S460" i="50" s="1"/>
  <c r="M321" i="50"/>
  <c r="V330" i="50"/>
  <c r="O398" i="50"/>
  <c r="V329" i="50"/>
  <c r="F326" i="50"/>
  <c r="M326" i="50" s="1"/>
  <c r="W326" i="50" s="1"/>
  <c r="M293" i="50"/>
  <c r="F325" i="50"/>
  <c r="M325" i="50" s="1"/>
  <c r="W325" i="50" s="1"/>
  <c r="Y384" i="50"/>
  <c r="V384" i="50" s="1"/>
  <c r="AM63" i="51" s="1"/>
  <c r="AN63" i="51" s="1"/>
  <c r="AO63" i="51" s="1"/>
  <c r="J384" i="50" s="1"/>
  <c r="F298" i="50"/>
  <c r="M298" i="50" s="1"/>
  <c r="F301" i="50"/>
  <c r="M301" i="50" s="1"/>
  <c r="W301" i="50" s="1"/>
  <c r="AH8" i="51"/>
  <c r="AI8" i="51" s="1"/>
  <c r="AJ8" i="51" s="1"/>
  <c r="E18" i="50" s="1"/>
  <c r="J18" i="50" s="1"/>
  <c r="O400" i="50"/>
  <c r="Y379" i="50"/>
  <c r="V379" i="50" s="1"/>
  <c r="AM57" i="51" s="1"/>
  <c r="AN57" i="51" s="1"/>
  <c r="AO57" i="51" s="1"/>
  <c r="J379" i="50" s="1"/>
  <c r="F324" i="50"/>
  <c r="M324" i="50" s="1"/>
  <c r="T259" i="50"/>
  <c r="P414" i="50"/>
  <c r="E459" i="50" s="1"/>
  <c r="S459" i="50" s="1"/>
  <c r="W285" i="50"/>
  <c r="O399" i="50"/>
  <c r="P417" i="50"/>
  <c r="E462" i="50" s="1"/>
  <c r="S462" i="50" s="1"/>
  <c r="T436" i="50"/>
  <c r="B413" i="50"/>
  <c r="F322" i="50"/>
  <c r="M322" i="50" s="1"/>
  <c r="W322" i="50" s="1"/>
  <c r="F302" i="50"/>
  <c r="M302" i="50" s="1"/>
  <c r="W302" i="50" s="1"/>
  <c r="W379" i="50"/>
  <c r="Y386" i="50"/>
  <c r="V386" i="50" s="1"/>
  <c r="AM65" i="51" s="1"/>
  <c r="AN65" i="51" s="1"/>
  <c r="AO65" i="51" s="1"/>
  <c r="J386" i="50" s="1"/>
  <c r="M333" i="50"/>
  <c r="V333" i="50" s="1"/>
  <c r="F315" i="50"/>
  <c r="M315" i="50" s="1"/>
  <c r="S303" i="50"/>
  <c r="P216" i="50"/>
  <c r="E349" i="50" s="1"/>
  <c r="S349" i="50" s="1"/>
  <c r="W94" i="50"/>
  <c r="V94" i="50" s="1"/>
  <c r="AM18" i="51" s="1"/>
  <c r="AN18" i="51" s="1"/>
  <c r="AO18" i="51" s="1"/>
  <c r="J94" i="50" s="1"/>
  <c r="V376" i="52"/>
  <c r="R376" i="52"/>
  <c r="V148" i="52"/>
  <c r="R148" i="52"/>
  <c r="P479" i="52"/>
  <c r="V479" i="52"/>
  <c r="X479" i="52" s="1"/>
  <c r="U126" i="52"/>
  <c r="V126" i="52" s="1"/>
  <c r="BA115" i="52"/>
  <c r="U117" i="52"/>
  <c r="AW117" i="52" s="1"/>
  <c r="AV115" i="52"/>
  <c r="BE115" i="52"/>
  <c r="AB115" i="52"/>
  <c r="BJ115" i="52" s="1"/>
  <c r="AI115" i="52"/>
  <c r="AH122" i="52"/>
  <c r="F491" i="52"/>
  <c r="L491" i="52" s="1"/>
  <c r="W491" i="52" s="1"/>
  <c r="V120" i="52"/>
  <c r="W120" i="52" s="1"/>
  <c r="AE120" i="52" s="1"/>
  <c r="BM120" i="52" s="1"/>
  <c r="AP120" i="52"/>
  <c r="W324" i="52"/>
  <c r="F471" i="52"/>
  <c r="L471" i="52" s="1"/>
  <c r="W471" i="52" s="1"/>
  <c r="Y562" i="52"/>
  <c r="V562" i="52" s="1"/>
  <c r="BI80" i="55" s="1"/>
  <c r="BJ80" i="55" s="1"/>
  <c r="BK80" i="55" s="1"/>
  <c r="I562" i="52" s="1"/>
  <c r="L460" i="52"/>
  <c r="P388" i="52"/>
  <c r="E531" i="52" s="1"/>
  <c r="AO530" i="52" s="1"/>
  <c r="W320" i="52"/>
  <c r="AZ274" i="52"/>
  <c r="BD39" i="55"/>
  <c r="BE39" i="55" s="1"/>
  <c r="BF39" i="55" s="1"/>
  <c r="E245" i="52" s="1"/>
  <c r="F462" i="52"/>
  <c r="L462" i="52" s="1"/>
  <c r="V449" i="52"/>
  <c r="W447" i="52"/>
  <c r="AV120" i="52"/>
  <c r="V215" i="52"/>
  <c r="BD122" i="52"/>
  <c r="F469" i="52"/>
  <c r="L469" i="52" s="1"/>
  <c r="V469" i="52" s="1"/>
  <c r="AR122" i="52"/>
  <c r="V121" i="52"/>
  <c r="O419" i="52"/>
  <c r="P419" i="52" s="1"/>
  <c r="E538" i="52" s="1"/>
  <c r="T274" i="52"/>
  <c r="BE274" i="52" s="1"/>
  <c r="W487" i="52"/>
  <c r="F482" i="52"/>
  <c r="L482" i="52" s="1"/>
  <c r="W482" i="52" s="1"/>
  <c r="AQ120" i="52"/>
  <c r="AI120" i="52"/>
  <c r="F489" i="52"/>
  <c r="L489" i="52" s="1"/>
  <c r="AX122" i="52"/>
  <c r="Y95" i="52"/>
  <c r="V95" i="52" s="1"/>
  <c r="BI16" i="55" s="1"/>
  <c r="BJ16" i="55" s="1"/>
  <c r="BK16" i="55" s="1"/>
  <c r="I95" i="52" s="1"/>
  <c r="R98" i="52" s="1"/>
  <c r="F464" i="52"/>
  <c r="L464" i="52" s="1"/>
  <c r="F496" i="52"/>
  <c r="L496" i="52" s="1"/>
  <c r="W496" i="52" s="1"/>
  <c r="AW120" i="52"/>
  <c r="BB120" i="52"/>
  <c r="AZ122" i="52"/>
  <c r="AC197" i="52"/>
  <c r="BK197" i="52" s="1"/>
  <c r="AB348" i="52"/>
  <c r="U34" i="52"/>
  <c r="AI348" i="52"/>
  <c r="BG268" i="52"/>
  <c r="Y568" i="52"/>
  <c r="V568" i="52" s="1"/>
  <c r="BI86" i="55" s="1"/>
  <c r="BJ86" i="55" s="1"/>
  <c r="BK86" i="55" s="1"/>
  <c r="F490" i="52"/>
  <c r="L490" i="52" s="1"/>
  <c r="W490" i="52" s="1"/>
  <c r="F498" i="52"/>
  <c r="AP122" i="52"/>
  <c r="AO122" i="52"/>
  <c r="AU192" i="52"/>
  <c r="AO273" i="52"/>
  <c r="O279" i="52"/>
  <c r="BG196" i="52"/>
  <c r="O202" i="52"/>
  <c r="T203" i="52" s="1"/>
  <c r="BD56" i="55"/>
  <c r="BE56" i="55" s="1"/>
  <c r="BF56" i="55" s="1"/>
  <c r="E324" i="52" s="1"/>
  <c r="F461" i="52"/>
  <c r="F486" i="52"/>
  <c r="BA120" i="52"/>
  <c r="T127" i="52"/>
  <c r="F488" i="52"/>
  <c r="L488" i="52" s="1"/>
  <c r="AB197" i="52"/>
  <c r="BJ197" i="52" s="1"/>
  <c r="U33" i="52"/>
  <c r="V33" i="52" s="1"/>
  <c r="AF33" i="52" s="1"/>
  <c r="BE348" i="52"/>
  <c r="AU273" i="52"/>
  <c r="J13" i="50"/>
  <c r="R15" i="50" s="1"/>
  <c r="E469" i="50"/>
  <c r="Y469" i="50" s="1"/>
  <c r="E468" i="50"/>
  <c r="Y468" i="50" s="1"/>
  <c r="E342" i="50"/>
  <c r="W281" i="50"/>
  <c r="V281" i="50"/>
  <c r="E466" i="50"/>
  <c r="Y466" i="50" s="1"/>
  <c r="AH55" i="51"/>
  <c r="AI55" i="51" s="1"/>
  <c r="AJ55" i="51" s="1"/>
  <c r="E377" i="50" s="1"/>
  <c r="V285" i="50"/>
  <c r="W329" i="50"/>
  <c r="E464" i="50"/>
  <c r="Y464" i="50" s="1"/>
  <c r="W336" i="50"/>
  <c r="P208" i="50"/>
  <c r="E343" i="50" s="1"/>
  <c r="S343" i="50" s="1"/>
  <c r="P218" i="50"/>
  <c r="E351" i="50" s="1"/>
  <c r="S351" i="50" s="1"/>
  <c r="P217" i="50"/>
  <c r="E350" i="50" s="1"/>
  <c r="S350" i="50" s="1"/>
  <c r="P219" i="50"/>
  <c r="E352" i="50" s="1"/>
  <c r="S352" i="50" s="1"/>
  <c r="P215" i="50"/>
  <c r="E348" i="50" s="1"/>
  <c r="S348" i="50" s="1"/>
  <c r="W330" i="50"/>
  <c r="S34" i="50"/>
  <c r="P210" i="50"/>
  <c r="E345" i="50" s="1"/>
  <c r="S345" i="50" s="1"/>
  <c r="P209" i="50"/>
  <c r="E344" i="50" s="1"/>
  <c r="S344" i="50" s="1"/>
  <c r="V284" i="50"/>
  <c r="W284" i="50"/>
  <c r="T211" i="50"/>
  <c r="B209" i="50" s="1"/>
  <c r="S153" i="50"/>
  <c r="S320" i="50"/>
  <c r="P211" i="50"/>
  <c r="E346" i="50" s="1"/>
  <c r="S346" i="50" s="1"/>
  <c r="AH14" i="51"/>
  <c r="AI14" i="51" s="1"/>
  <c r="AJ14" i="51" s="1"/>
  <c r="E56" i="50" s="1"/>
  <c r="S2" i="50"/>
  <c r="H501" i="50" s="1"/>
  <c r="S1" i="50"/>
  <c r="C501" i="50" s="1"/>
  <c r="G57" i="50"/>
  <c r="W58" i="50"/>
  <c r="W20" i="50"/>
  <c r="E20" i="50" s="1"/>
  <c r="G17" i="50"/>
  <c r="G177" i="50"/>
  <c r="W178" i="50"/>
  <c r="G95" i="50"/>
  <c r="G135" i="50"/>
  <c r="W138" i="50"/>
  <c r="W98" i="50"/>
  <c r="G175" i="50"/>
  <c r="G14" i="50"/>
  <c r="AJ569" i="52"/>
  <c r="AK569" i="52"/>
  <c r="E565" i="52" s="1"/>
  <c r="AL569" i="52"/>
  <c r="Y244" i="52"/>
  <c r="V244" i="52" s="1"/>
  <c r="BI38" i="55" s="1"/>
  <c r="BJ38" i="55" s="1"/>
  <c r="BK38" i="55" s="1"/>
  <c r="I244" i="52" s="1"/>
  <c r="R247" i="52" s="1"/>
  <c r="Y245" i="52"/>
  <c r="V245" i="52" s="1"/>
  <c r="BI39" i="55" s="1"/>
  <c r="BJ39" i="55" s="1"/>
  <c r="BK39" i="55" s="1"/>
  <c r="Y169" i="52"/>
  <c r="V169" i="52" s="1"/>
  <c r="BI26" i="55" s="1"/>
  <c r="BJ26" i="55" s="1"/>
  <c r="BK26" i="55" s="1"/>
  <c r="Y92" i="52"/>
  <c r="V92" i="52" s="1"/>
  <c r="BI13" i="55" s="1"/>
  <c r="BJ13" i="55" s="1"/>
  <c r="BK13" i="55" s="1"/>
  <c r="BD13" i="55"/>
  <c r="BE13" i="55" s="1"/>
  <c r="BF13" i="55" s="1"/>
  <c r="E92" i="52" s="1"/>
  <c r="Y24" i="52"/>
  <c r="V24" i="52" s="1"/>
  <c r="BI8" i="55" s="1"/>
  <c r="BJ8" i="55" s="1"/>
  <c r="BK8" i="55" s="1"/>
  <c r="I24" i="52" s="1"/>
  <c r="AL407" i="54"/>
  <c r="AM407" i="54" s="1"/>
  <c r="AK407" i="54"/>
  <c r="Y400" i="54"/>
  <c r="V400" i="54" s="1"/>
  <c r="AY70" i="55" s="1"/>
  <c r="AZ70" i="55" s="1"/>
  <c r="BA70" i="55" s="1"/>
  <c r="I400" i="54" s="1"/>
  <c r="AJ407" i="54"/>
  <c r="G401" i="54" s="1"/>
  <c r="AJ396" i="54"/>
  <c r="Y176" i="54"/>
  <c r="V176" i="54" s="1"/>
  <c r="AY33" i="55" s="1"/>
  <c r="AZ33" i="55" s="1"/>
  <c r="BA33" i="55" s="1"/>
  <c r="I176" i="54" s="1"/>
  <c r="Y92" i="54"/>
  <c r="V92" i="54" s="1"/>
  <c r="AY13" i="55" s="1"/>
  <c r="AZ13" i="55" s="1"/>
  <c r="BA13" i="55" s="1"/>
  <c r="I92" i="54" s="1"/>
  <c r="Y19" i="54"/>
  <c r="V19" i="54" s="1"/>
  <c r="AY4" i="55" s="1"/>
  <c r="AZ4" i="55" s="1"/>
  <c r="BA4" i="55" s="1"/>
  <c r="Y18" i="54"/>
  <c r="V18" i="54" s="1"/>
  <c r="AY3" i="55" s="1"/>
  <c r="P14" i="54"/>
  <c r="E65" i="54" s="1"/>
  <c r="B8" i="54"/>
  <c r="R61" i="54"/>
  <c r="P11" i="54"/>
  <c r="E62" i="54" s="1"/>
  <c r="L461" i="52"/>
  <c r="V461" i="52" s="1"/>
  <c r="W564" i="54"/>
  <c r="T342" i="52"/>
  <c r="AB342" i="52" s="1"/>
  <c r="T344" i="52"/>
  <c r="AO342" i="52"/>
  <c r="AV273" i="52"/>
  <c r="BA273" i="52"/>
  <c r="V149" i="52"/>
  <c r="R149" i="52"/>
  <c r="AV197" i="52"/>
  <c r="BD342" i="52"/>
  <c r="AC117" i="52"/>
  <c r="BK117" i="52" s="1"/>
  <c r="Y252" i="52"/>
  <c r="V252" i="52" s="1"/>
  <c r="BI46" i="55" s="1"/>
  <c r="BJ46" i="55" s="1"/>
  <c r="BK46" i="55" s="1"/>
  <c r="I252" i="52" s="1"/>
  <c r="R255" i="52" s="1"/>
  <c r="F501" i="52"/>
  <c r="L501" i="52" s="1"/>
  <c r="W501" i="52" s="1"/>
  <c r="F499" i="52"/>
  <c r="L499" i="52" s="1"/>
  <c r="F505" i="52"/>
  <c r="L505" i="52" s="1"/>
  <c r="V505" i="52" s="1"/>
  <c r="F497" i="52"/>
  <c r="L497" i="52" s="1"/>
  <c r="V497" i="52" s="1"/>
  <c r="F503" i="52"/>
  <c r="AJ396" i="52"/>
  <c r="V375" i="52"/>
  <c r="R375" i="52"/>
  <c r="BG349" i="52"/>
  <c r="AZ349" i="52"/>
  <c r="AB349" i="52"/>
  <c r="BJ349" i="52" s="1"/>
  <c r="AH349" i="52"/>
  <c r="AU349" i="52"/>
  <c r="Y96" i="52"/>
  <c r="V96" i="52" s="1"/>
  <c r="BI17" i="55" s="1"/>
  <c r="BJ17" i="55" s="1"/>
  <c r="BK17" i="55" s="1"/>
  <c r="BD17" i="55"/>
  <c r="BE17" i="55" s="1"/>
  <c r="BF17" i="55" s="1"/>
  <c r="E96" i="52" s="1"/>
  <c r="W96" i="52"/>
  <c r="Y18" i="52"/>
  <c r="V18" i="52" s="1"/>
  <c r="BI3" i="55" s="1"/>
  <c r="BJ3" i="55" s="1"/>
  <c r="BK3" i="55" s="1"/>
  <c r="I19" i="52" s="1"/>
  <c r="AI197" i="52"/>
  <c r="T128" i="52"/>
  <c r="BG193" i="52"/>
  <c r="AH342" i="52"/>
  <c r="L485" i="52"/>
  <c r="V485" i="52" s="1"/>
  <c r="F504" i="52"/>
  <c r="L504" i="52" s="1"/>
  <c r="AR121" i="52"/>
  <c r="AK121" i="52"/>
  <c r="BA198" i="52"/>
  <c r="AV198" i="52"/>
  <c r="BE198" i="52"/>
  <c r="L495" i="52"/>
  <c r="P495" i="52" s="1"/>
  <c r="T267" i="52"/>
  <c r="AB267" i="52" s="1"/>
  <c r="BJ267" i="52" s="1"/>
  <c r="T269" i="52"/>
  <c r="AZ267" i="52"/>
  <c r="AO267" i="52"/>
  <c r="BG267" i="52"/>
  <c r="AZ342" i="52"/>
  <c r="BD269" i="52"/>
  <c r="AU269" i="52"/>
  <c r="AZ269" i="52"/>
  <c r="V226" i="52"/>
  <c r="R226" i="52"/>
  <c r="AP197" i="52"/>
  <c r="T343" i="52"/>
  <c r="BA349" i="52"/>
  <c r="AV349" i="52"/>
  <c r="BE273" i="52"/>
  <c r="AJ117" i="52"/>
  <c r="W169" i="52"/>
  <c r="T268" i="52"/>
  <c r="BG342" i="52"/>
  <c r="R227" i="52"/>
  <c r="V227" i="52"/>
  <c r="AO269" i="52"/>
  <c r="T354" i="52"/>
  <c r="AI273" i="52"/>
  <c r="BB117" i="52"/>
  <c r="BD267" i="52"/>
  <c r="BD21" i="55"/>
  <c r="BE21" i="55" s="1"/>
  <c r="BF21" i="55" s="1"/>
  <c r="E100" i="52" s="1"/>
  <c r="W100" i="52"/>
  <c r="AU342" i="52"/>
  <c r="BA117" i="52"/>
  <c r="AI117" i="52"/>
  <c r="BE197" i="52"/>
  <c r="T355" i="52"/>
  <c r="R138" i="52"/>
  <c r="F500" i="52"/>
  <c r="L500" i="52" s="1"/>
  <c r="BE117" i="52"/>
  <c r="AP273" i="52"/>
  <c r="AQ117" i="52"/>
  <c r="R74" i="52"/>
  <c r="T389" i="52"/>
  <c r="B387" i="52" s="1"/>
  <c r="P387" i="52"/>
  <c r="E530" i="52" s="1"/>
  <c r="AN530" i="52" s="1"/>
  <c r="W249" i="52"/>
  <c r="BD43" i="55"/>
  <c r="BE43" i="55" s="1"/>
  <c r="BF43" i="55" s="1"/>
  <c r="E249" i="52" s="1"/>
  <c r="Y249" i="52"/>
  <c r="V249" i="52" s="1"/>
  <c r="BI43" i="55" s="1"/>
  <c r="BJ43" i="55" s="1"/>
  <c r="BK43" i="55" s="1"/>
  <c r="E606" i="52"/>
  <c r="Y606" i="52" s="1"/>
  <c r="AK396" i="52"/>
  <c r="O355" i="52"/>
  <c r="T353" i="52" s="1"/>
  <c r="AO35" i="52"/>
  <c r="AL35" i="52"/>
  <c r="V489" i="52"/>
  <c r="W489" i="52"/>
  <c r="B311" i="52"/>
  <c r="E365" i="52"/>
  <c r="AH191" i="52"/>
  <c r="T192" i="52"/>
  <c r="BD20" i="55"/>
  <c r="BE20" i="55" s="1"/>
  <c r="BF20" i="55" s="1"/>
  <c r="E99" i="52" s="1"/>
  <c r="Y99" i="52"/>
  <c r="V99" i="52" s="1"/>
  <c r="BI20" i="55" s="1"/>
  <c r="BJ20" i="55" s="1"/>
  <c r="BK20" i="55" s="1"/>
  <c r="AU120" i="52"/>
  <c r="R301" i="52"/>
  <c r="U121" i="52"/>
  <c r="AC121" i="52" s="1"/>
  <c r="AB273" i="52"/>
  <c r="BJ273" i="52" s="1"/>
  <c r="AB122" i="52"/>
  <c r="BJ122" i="52" s="1"/>
  <c r="AH34" i="52"/>
  <c r="W173" i="52"/>
  <c r="AO191" i="52"/>
  <c r="F480" i="52"/>
  <c r="L480" i="52" s="1"/>
  <c r="V480" i="52" s="1"/>
  <c r="F483" i="52"/>
  <c r="F484" i="52"/>
  <c r="L484" i="52" s="1"/>
  <c r="L467" i="52"/>
  <c r="L463" i="52"/>
  <c r="V463" i="52" s="1"/>
  <c r="U412" i="52"/>
  <c r="V412" i="52" s="1"/>
  <c r="W412" i="52" s="1"/>
  <c r="P413" i="52" s="1"/>
  <c r="E536" i="52" s="1"/>
  <c r="T347" i="52"/>
  <c r="BA347" i="52" s="1"/>
  <c r="AH347" i="52"/>
  <c r="BD347" i="52"/>
  <c r="U115" i="52"/>
  <c r="AP115" i="52"/>
  <c r="U116" i="52"/>
  <c r="B83" i="52"/>
  <c r="BD120" i="52"/>
  <c r="R150" i="52"/>
  <c r="P447" i="52"/>
  <c r="AE447" i="52" s="1"/>
  <c r="AF447" i="52" s="1"/>
  <c r="Y35" i="52"/>
  <c r="AR35" i="52" s="1"/>
  <c r="W479" i="52"/>
  <c r="AL34" i="52"/>
  <c r="BD30" i="55"/>
  <c r="BE30" i="55" s="1"/>
  <c r="BF30" i="55" s="1"/>
  <c r="E173" i="52" s="1"/>
  <c r="AB117" i="52"/>
  <c r="BJ117" i="52" s="1"/>
  <c r="AZ117" i="52"/>
  <c r="BD273" i="52"/>
  <c r="W564" i="52"/>
  <c r="BD82" i="55"/>
  <c r="BE82" i="55" s="1"/>
  <c r="BF82" i="55" s="1"/>
  <c r="E564" i="52" s="1"/>
  <c r="Y564" i="52"/>
  <c r="V564" i="52" s="1"/>
  <c r="BI82" i="55" s="1"/>
  <c r="BJ82" i="55" s="1"/>
  <c r="BK82" i="55" s="1"/>
  <c r="AH268" i="52"/>
  <c r="AU268" i="52"/>
  <c r="BG115" i="52"/>
  <c r="T116" i="52"/>
  <c r="L455" i="52"/>
  <c r="X449" i="52"/>
  <c r="Y395" i="52"/>
  <c r="V395" i="52" s="1"/>
  <c r="BI65" i="55" s="1"/>
  <c r="BJ65" i="55" s="1"/>
  <c r="BK65" i="55" s="1"/>
  <c r="BD65" i="55"/>
  <c r="BE65" i="55" s="1"/>
  <c r="BF65" i="55" s="1"/>
  <c r="E395" i="52" s="1"/>
  <c r="AU272" i="52"/>
  <c r="AO272" i="52"/>
  <c r="BD47" i="55"/>
  <c r="BE47" i="55" s="1"/>
  <c r="BF47" i="55" s="1"/>
  <c r="E253" i="52" s="1"/>
  <c r="W253" i="52"/>
  <c r="O51" i="52"/>
  <c r="T52" i="52" s="1"/>
  <c r="E552" i="52"/>
  <c r="Y552" i="52" s="1"/>
  <c r="O420" i="52"/>
  <c r="P420" i="52" s="1"/>
  <c r="E539" i="52" s="1"/>
  <c r="AB274" i="52"/>
  <c r="BJ274" i="52" s="1"/>
  <c r="O204" i="52"/>
  <c r="AI569" i="52"/>
  <c r="B570" i="52" s="1"/>
  <c r="L456" i="52"/>
  <c r="AK407" i="52"/>
  <c r="O278" i="52"/>
  <c r="T278" i="52" s="1"/>
  <c r="O203" i="52"/>
  <c r="P12" i="52"/>
  <c r="E63" i="52" s="1"/>
  <c r="V63" i="52" s="1"/>
  <c r="AT84" i="55"/>
  <c r="AU84" i="55" s="1"/>
  <c r="AV84" i="55" s="1"/>
  <c r="E566" i="54" s="1"/>
  <c r="AI569" i="54"/>
  <c r="B570" i="54" s="1"/>
  <c r="I568" i="54"/>
  <c r="V566" i="54"/>
  <c r="AY84" i="55" s="1"/>
  <c r="AZ84" i="55" s="1"/>
  <c r="BA84" i="55" s="1"/>
  <c r="I566" i="54" s="1"/>
  <c r="AL396" i="54"/>
  <c r="AM396" i="54" s="1"/>
  <c r="AR193" i="54"/>
  <c r="AK193" i="54"/>
  <c r="AD197" i="54"/>
  <c r="BL197" i="54" s="1"/>
  <c r="AW197" i="54"/>
  <c r="V197" i="54"/>
  <c r="BB197" i="54"/>
  <c r="AQ197" i="54"/>
  <c r="AP269" i="54"/>
  <c r="BA269" i="54"/>
  <c r="AV269" i="54"/>
  <c r="BE269" i="54"/>
  <c r="AR120" i="54"/>
  <c r="AX120" i="54"/>
  <c r="V75" i="54"/>
  <c r="R75" i="54"/>
  <c r="AQ34" i="54"/>
  <c r="V348" i="54"/>
  <c r="AQ348" i="54"/>
  <c r="BB348" i="54"/>
  <c r="AW348" i="54"/>
  <c r="AJ34" i="54"/>
  <c r="AE34" i="54"/>
  <c r="Z34" i="54"/>
  <c r="AS34" i="54" s="1"/>
  <c r="V34" i="54"/>
  <c r="AF34" i="54" s="1"/>
  <c r="AL569" i="54"/>
  <c r="AJ569" i="54"/>
  <c r="F501" i="54"/>
  <c r="L501" i="54" s="1"/>
  <c r="W501" i="54" s="1"/>
  <c r="F503" i="54"/>
  <c r="L503" i="54" s="1"/>
  <c r="W503" i="54" s="1"/>
  <c r="F505" i="54"/>
  <c r="L505" i="54" s="1"/>
  <c r="F499" i="54"/>
  <c r="L499" i="54" s="1"/>
  <c r="V499" i="54" s="1"/>
  <c r="F500" i="54"/>
  <c r="L500" i="54" s="1"/>
  <c r="W500" i="54" s="1"/>
  <c r="F502" i="54"/>
  <c r="L502" i="54" s="1"/>
  <c r="F496" i="54"/>
  <c r="L496" i="54" s="1"/>
  <c r="V496" i="54" s="1"/>
  <c r="F498" i="54"/>
  <c r="L498" i="54" s="1"/>
  <c r="F497" i="54"/>
  <c r="F480" i="54"/>
  <c r="L480" i="54" s="1"/>
  <c r="W480" i="54" s="1"/>
  <c r="F482" i="54"/>
  <c r="L482" i="54" s="1"/>
  <c r="F484" i="54"/>
  <c r="L484" i="54" s="1"/>
  <c r="V484" i="54" s="1"/>
  <c r="F486" i="54"/>
  <c r="L486" i="54" s="1"/>
  <c r="V486" i="54" s="1"/>
  <c r="F488" i="54"/>
  <c r="L488" i="54" s="1"/>
  <c r="V488" i="54" s="1"/>
  <c r="F490" i="54"/>
  <c r="L490" i="54" s="1"/>
  <c r="V490" i="54" s="1"/>
  <c r="F481" i="54"/>
  <c r="L481" i="54" s="1"/>
  <c r="W481" i="54" s="1"/>
  <c r="F483" i="54"/>
  <c r="L483" i="54" s="1"/>
  <c r="V483" i="54" s="1"/>
  <c r="F485" i="54"/>
  <c r="L485" i="54" s="1"/>
  <c r="W485" i="54" s="1"/>
  <c r="F487" i="54"/>
  <c r="L487" i="54" s="1"/>
  <c r="F489" i="54"/>
  <c r="L489" i="54" s="1"/>
  <c r="F491" i="54"/>
  <c r="L491" i="54" s="1"/>
  <c r="V491" i="54" s="1"/>
  <c r="V115" i="54"/>
  <c r="F504" i="54"/>
  <c r="L504" i="54" s="1"/>
  <c r="V504" i="54" s="1"/>
  <c r="R595" i="54"/>
  <c r="T128" i="54"/>
  <c r="T127" i="54"/>
  <c r="AQ40" i="54"/>
  <c r="AH33" i="54"/>
  <c r="T33" i="54"/>
  <c r="AL33" i="54"/>
  <c r="AC33" i="54"/>
  <c r="AT34" i="55"/>
  <c r="AU34" i="55" s="1"/>
  <c r="AV34" i="55" s="1"/>
  <c r="E177" i="54" s="1"/>
  <c r="Y177" i="54"/>
  <c r="V177" i="54" s="1"/>
  <c r="AY34" i="55" s="1"/>
  <c r="AZ34" i="55" s="1"/>
  <c r="BA34" i="55" s="1"/>
  <c r="I177" i="54" s="1"/>
  <c r="W177" i="54"/>
  <c r="AS38" i="54"/>
  <c r="W471" i="54"/>
  <c r="X471" i="54" s="1"/>
  <c r="P471" i="54" s="1"/>
  <c r="V471" i="54"/>
  <c r="W273" i="54"/>
  <c r="AE273" i="54" s="1"/>
  <c r="BM273" i="54" s="1"/>
  <c r="AK273" i="54"/>
  <c r="AX273" i="54"/>
  <c r="W193" i="54"/>
  <c r="AE193" i="54" s="1"/>
  <c r="BM193" i="54" s="1"/>
  <c r="U269" i="54"/>
  <c r="AC269" i="54" s="1"/>
  <c r="BK269" i="54" s="1"/>
  <c r="W469" i="54"/>
  <c r="Y327" i="54"/>
  <c r="V327" i="54" s="1"/>
  <c r="AY59" i="55" s="1"/>
  <c r="AZ59" i="55" s="1"/>
  <c r="BA59" i="55" s="1"/>
  <c r="AT59" i="55"/>
  <c r="AU59" i="55" s="1"/>
  <c r="AV59" i="55" s="1"/>
  <c r="E327" i="54" s="1"/>
  <c r="BD342" i="54"/>
  <c r="BG342" i="54"/>
  <c r="AB196" i="54"/>
  <c r="BJ196" i="54" s="1"/>
  <c r="BB120" i="54"/>
  <c r="AR122" i="54"/>
  <c r="AC267" i="54"/>
  <c r="BK267" i="54" s="1"/>
  <c r="AC121" i="54"/>
  <c r="AC348" i="54"/>
  <c r="BK348" i="54" s="1"/>
  <c r="AE40" i="54"/>
  <c r="L455" i="54"/>
  <c r="AO192" i="54"/>
  <c r="T192" i="54"/>
  <c r="AB192" i="54" s="1"/>
  <c r="BJ192" i="54" s="1"/>
  <c r="AH192" i="54"/>
  <c r="BI274" i="54"/>
  <c r="AJ38" i="54"/>
  <c r="U196" i="54"/>
  <c r="T342" i="54"/>
  <c r="X456" i="54"/>
  <c r="P456" i="54" s="1"/>
  <c r="W473" i="54"/>
  <c r="X473" i="54" s="1"/>
  <c r="P473" i="54" s="1"/>
  <c r="T353" i="54"/>
  <c r="U353" i="54" s="1"/>
  <c r="V353" i="54" s="1"/>
  <c r="T355" i="54"/>
  <c r="AB193" i="54"/>
  <c r="AB269" i="54"/>
  <c r="BI343" i="54"/>
  <c r="AW193" i="54"/>
  <c r="AX347" i="54"/>
  <c r="BB121" i="54"/>
  <c r="AV196" i="54"/>
  <c r="AD274" i="54"/>
  <c r="BL274" i="54" s="1"/>
  <c r="V40" i="54"/>
  <c r="L475" i="54"/>
  <c r="V475" i="54" s="1"/>
  <c r="V469" i="54"/>
  <c r="U415" i="54"/>
  <c r="U416" i="54"/>
  <c r="O279" i="54"/>
  <c r="AC197" i="54"/>
  <c r="BK197" i="54" s="1"/>
  <c r="AP197" i="54"/>
  <c r="T272" i="54"/>
  <c r="BE272" i="54" s="1"/>
  <c r="V38" i="54"/>
  <c r="AF38" i="54" s="1"/>
  <c r="AQ121" i="54"/>
  <c r="V274" i="54"/>
  <c r="BJ344" i="54"/>
  <c r="AC193" i="54"/>
  <c r="BK193" i="54" s="1"/>
  <c r="BA196" i="54"/>
  <c r="AD273" i="54"/>
  <c r="BL273" i="54" s="1"/>
  <c r="AO342" i="54"/>
  <c r="AU192" i="54"/>
  <c r="AB197" i="54"/>
  <c r="AC273" i="54"/>
  <c r="AZ192" i="54"/>
  <c r="AK569" i="54"/>
  <c r="V472" i="54"/>
  <c r="X472" i="54" s="1"/>
  <c r="P472" i="54" s="1"/>
  <c r="W328" i="54"/>
  <c r="AT60" i="55"/>
  <c r="AU60" i="55" s="1"/>
  <c r="AV60" i="55" s="1"/>
  <c r="E328" i="54" s="1"/>
  <c r="W320" i="54"/>
  <c r="Y320" i="54"/>
  <c r="V320" i="54" s="1"/>
  <c r="AY52" i="55" s="1"/>
  <c r="AZ52" i="55" s="1"/>
  <c r="BA52" i="55" s="1"/>
  <c r="R301" i="54"/>
  <c r="V301" i="54"/>
  <c r="T203" i="54"/>
  <c r="T202" i="54"/>
  <c r="U202" i="54" s="1"/>
  <c r="V202" i="54" s="1"/>
  <c r="T204" i="54"/>
  <c r="V150" i="54"/>
  <c r="R150" i="54"/>
  <c r="T198" i="54"/>
  <c r="AH198" i="54"/>
  <c r="BG198" i="54"/>
  <c r="AO348" i="54"/>
  <c r="AU348" i="54"/>
  <c r="AD193" i="54"/>
  <c r="BL193" i="54" s="1"/>
  <c r="BE196" i="54"/>
  <c r="AH342" i="54"/>
  <c r="T51" i="54"/>
  <c r="BB193" i="54"/>
  <c r="AZ342" i="54"/>
  <c r="BG192" i="54"/>
  <c r="L468" i="54"/>
  <c r="V468" i="54" s="1"/>
  <c r="T126" i="54"/>
  <c r="AC274" i="54"/>
  <c r="BK274" i="54" s="1"/>
  <c r="AV274" i="54"/>
  <c r="AB274" i="54"/>
  <c r="BJ274" i="54" s="1"/>
  <c r="BD116" i="54"/>
  <c r="L479" i="54"/>
  <c r="V479" i="54" s="1"/>
  <c r="Y395" i="54"/>
  <c r="V395" i="54" s="1"/>
  <c r="AY65" i="55" s="1"/>
  <c r="AZ65" i="55" s="1"/>
  <c r="BA65" i="55" s="1"/>
  <c r="I395" i="54" s="1"/>
  <c r="W324" i="54"/>
  <c r="AT38" i="55"/>
  <c r="AU38" i="55" s="1"/>
  <c r="AV38" i="55" s="1"/>
  <c r="E244" i="54" s="1"/>
  <c r="P237" i="54"/>
  <c r="E291" i="54" s="1"/>
  <c r="T117" i="54"/>
  <c r="AU122" i="54"/>
  <c r="P160" i="54"/>
  <c r="E216" i="54" s="1"/>
  <c r="AB116" i="54"/>
  <c r="L495" i="54"/>
  <c r="P495" i="54" s="1"/>
  <c r="O420" i="54"/>
  <c r="P420" i="54" s="1"/>
  <c r="E539" i="54" s="1"/>
  <c r="Y539" i="54" s="1"/>
  <c r="AO117" i="54"/>
  <c r="W475" i="54"/>
  <c r="X475" i="54" s="1"/>
  <c r="P475" i="54" s="1"/>
  <c r="W470" i="54"/>
  <c r="X470" i="54" s="1"/>
  <c r="P470" i="54" s="1"/>
  <c r="T268" i="54"/>
  <c r="Y562" i="54"/>
  <c r="V562" i="54" s="1"/>
  <c r="AY80" i="55" s="1"/>
  <c r="AZ80" i="55" s="1"/>
  <c r="BA80" i="55" s="1"/>
  <c r="I562" i="54" s="1"/>
  <c r="E552" i="54"/>
  <c r="Y552" i="54" s="1"/>
  <c r="AK396" i="54"/>
  <c r="I394" i="54"/>
  <c r="W467" i="52"/>
  <c r="W460" i="52"/>
  <c r="V447" i="52"/>
  <c r="X447" i="52" s="1"/>
  <c r="W446" i="52"/>
  <c r="X446" i="52" s="1"/>
  <c r="P440" i="52"/>
  <c r="E550" i="52" s="1"/>
  <c r="BB530" i="52"/>
  <c r="W481" i="52"/>
  <c r="V481" i="52"/>
  <c r="BJ348" i="52"/>
  <c r="V499" i="52"/>
  <c r="W499" i="52"/>
  <c r="W461" i="52"/>
  <c r="V504" i="52"/>
  <c r="W504" i="52"/>
  <c r="V502" i="52"/>
  <c r="W502" i="52"/>
  <c r="P448" i="52"/>
  <c r="AE448" i="52" s="1"/>
  <c r="AF448" i="52" s="1"/>
  <c r="W448" i="52"/>
  <c r="V448" i="52"/>
  <c r="W464" i="52"/>
  <c r="V464" i="52"/>
  <c r="L486" i="52"/>
  <c r="L498" i="52"/>
  <c r="R225" i="52"/>
  <c r="V225" i="52"/>
  <c r="V482" i="52"/>
  <c r="V500" i="52"/>
  <c r="W500" i="52"/>
  <c r="BJ196" i="52"/>
  <c r="AW198" i="52"/>
  <c r="AQ198" i="52"/>
  <c r="W497" i="52"/>
  <c r="W122" i="52"/>
  <c r="AI34" i="52"/>
  <c r="Y34" i="52"/>
  <c r="AD34" i="52"/>
  <c r="AM34" i="52"/>
  <c r="V475" i="52"/>
  <c r="X475" i="52" s="1"/>
  <c r="P475" i="52" s="1"/>
  <c r="AJ34" i="52"/>
  <c r="X487" i="52"/>
  <c r="P487" i="52" s="1"/>
  <c r="AC39" i="52"/>
  <c r="AL39" i="52"/>
  <c r="AO39" i="52"/>
  <c r="Y39" i="52"/>
  <c r="AH39" i="52"/>
  <c r="V457" i="52"/>
  <c r="X457" i="52" s="1"/>
  <c r="P457" i="52"/>
  <c r="BD72" i="55"/>
  <c r="BE72" i="55" s="1"/>
  <c r="BF72" i="55" s="1"/>
  <c r="E402" i="52" s="1"/>
  <c r="Y402" i="52"/>
  <c r="V402" i="52" s="1"/>
  <c r="BI72" i="55" s="1"/>
  <c r="BJ72" i="55" s="1"/>
  <c r="BK72" i="55" s="1"/>
  <c r="V501" i="52"/>
  <c r="X501" i="52" s="1"/>
  <c r="P501" i="52"/>
  <c r="L483" i="52"/>
  <c r="Z34" i="52"/>
  <c r="AS34" i="52" s="1"/>
  <c r="AC198" i="52"/>
  <c r="BK198" i="52" s="1"/>
  <c r="AV348" i="52"/>
  <c r="BA348" i="52"/>
  <c r="AE34" i="52"/>
  <c r="AV121" i="52"/>
  <c r="BE121" i="52"/>
  <c r="AD33" i="52"/>
  <c r="U35" i="52"/>
  <c r="AI33" i="52"/>
  <c r="U342" i="52"/>
  <c r="BA342" i="52"/>
  <c r="AV269" i="52"/>
  <c r="AB269" i="52"/>
  <c r="BE269" i="52"/>
  <c r="W463" i="52"/>
  <c r="X463" i="52" s="1"/>
  <c r="P463" i="52" s="1"/>
  <c r="W450" i="52"/>
  <c r="V450" i="52"/>
  <c r="AD40" i="52"/>
  <c r="AM40" i="52"/>
  <c r="AI40" i="52"/>
  <c r="AX121" i="52"/>
  <c r="V300" i="52"/>
  <c r="R300" i="52"/>
  <c r="L503" i="52"/>
  <c r="U122" i="52"/>
  <c r="BE120" i="52"/>
  <c r="AC120" i="52"/>
  <c r="BK120" i="52" s="1"/>
  <c r="V290" i="52"/>
  <c r="R290" i="52"/>
  <c r="V454" i="52"/>
  <c r="W454" i="52"/>
  <c r="P454" i="52"/>
  <c r="AJ407" i="52"/>
  <c r="AL407" i="52"/>
  <c r="AM407" i="52" s="1"/>
  <c r="BG198" i="52"/>
  <c r="AH198" i="52"/>
  <c r="AB198" i="52"/>
  <c r="AZ198" i="52"/>
  <c r="AH117" i="52"/>
  <c r="BG117" i="52"/>
  <c r="AU117" i="52"/>
  <c r="U348" i="52"/>
  <c r="AB347" i="52"/>
  <c r="BE347" i="52"/>
  <c r="AH343" i="52"/>
  <c r="AO343" i="52"/>
  <c r="AU343" i="52"/>
  <c r="BD343" i="52"/>
  <c r="AH116" i="52"/>
  <c r="AO116" i="52"/>
  <c r="AU116" i="52"/>
  <c r="AZ116" i="52"/>
  <c r="BD116" i="52"/>
  <c r="BG116" i="52"/>
  <c r="AU198" i="52"/>
  <c r="U416" i="52"/>
  <c r="U415" i="52"/>
  <c r="BB116" i="52"/>
  <c r="AW116" i="52"/>
  <c r="V302" i="52"/>
  <c r="AI198" i="52"/>
  <c r="AP198" i="52"/>
  <c r="AZ343" i="52"/>
  <c r="F474" i="52"/>
  <c r="L474" i="52" s="1"/>
  <c r="F468" i="52"/>
  <c r="L468" i="52" s="1"/>
  <c r="F470" i="52"/>
  <c r="L470" i="52" s="1"/>
  <c r="F476" i="52"/>
  <c r="L476" i="52" s="1"/>
  <c r="F472" i="52"/>
  <c r="L472" i="52" s="1"/>
  <c r="F473" i="52"/>
  <c r="L473" i="52" s="1"/>
  <c r="BD76" i="55"/>
  <c r="BE76" i="55" s="1"/>
  <c r="BF76" i="55" s="1"/>
  <c r="E406" i="52" s="1"/>
  <c r="I406" i="52" s="1"/>
  <c r="Y406" i="52"/>
  <c r="V406" i="52" s="1"/>
  <c r="BI76" i="55" s="1"/>
  <c r="BJ76" i="55" s="1"/>
  <c r="BK76" i="55" s="1"/>
  <c r="BD59" i="55"/>
  <c r="BE59" i="55" s="1"/>
  <c r="BF59" i="55" s="1"/>
  <c r="E327" i="52" s="1"/>
  <c r="Y327" i="52"/>
  <c r="V327" i="52" s="1"/>
  <c r="BI59" i="55" s="1"/>
  <c r="BJ59" i="55" s="1"/>
  <c r="BK59" i="55" s="1"/>
  <c r="AP274" i="52"/>
  <c r="AV274" i="52"/>
  <c r="BD193" i="52"/>
  <c r="AH193" i="52"/>
  <c r="AO193" i="52"/>
  <c r="AU193" i="52"/>
  <c r="AO349" i="52"/>
  <c r="Y248" i="52"/>
  <c r="V248" i="52" s="1"/>
  <c r="BI42" i="55" s="1"/>
  <c r="BJ42" i="55" s="1"/>
  <c r="BK42" i="55" s="1"/>
  <c r="I248" i="52" s="1"/>
  <c r="R251" i="52" s="1"/>
  <c r="Y176" i="52"/>
  <c r="V176" i="52" s="1"/>
  <c r="BI33" i="55" s="1"/>
  <c r="BJ33" i="55" s="1"/>
  <c r="BK33" i="55" s="1"/>
  <c r="I176" i="52" s="1"/>
  <c r="R179" i="52" s="1"/>
  <c r="Y168" i="52"/>
  <c r="V168" i="52" s="1"/>
  <c r="BI25" i="55" s="1"/>
  <c r="BJ25" i="55" s="1"/>
  <c r="BK25" i="55" s="1"/>
  <c r="I168" i="52" s="1"/>
  <c r="R171" i="52" s="1"/>
  <c r="AO38" i="52"/>
  <c r="T38" i="52"/>
  <c r="AC34" i="52"/>
  <c r="T191" i="52"/>
  <c r="AL38" i="52"/>
  <c r="AH38" i="52"/>
  <c r="S465" i="52"/>
  <c r="BD349" i="52"/>
  <c r="BD52" i="55"/>
  <c r="BE52" i="55" s="1"/>
  <c r="BF52" i="55" s="1"/>
  <c r="E320" i="52" s="1"/>
  <c r="T272" i="52"/>
  <c r="U196" i="52"/>
  <c r="R365" i="52"/>
  <c r="BD344" i="52"/>
  <c r="P312" i="52"/>
  <c r="E366" i="52" s="1"/>
  <c r="V366" i="52" s="1"/>
  <c r="BG272" i="52"/>
  <c r="P84" i="52"/>
  <c r="E139" i="52" s="1"/>
  <c r="AZ344" i="52"/>
  <c r="AZ272" i="52"/>
  <c r="AU191" i="52"/>
  <c r="T193" i="52"/>
  <c r="P13" i="52"/>
  <c r="E64" i="52" s="1"/>
  <c r="R64" i="52" s="1"/>
  <c r="H11" i="61"/>
  <c r="Z86" i="44" s="1"/>
  <c r="B3" i="39"/>
  <c r="H9" i="61"/>
  <c r="K73" i="60" s="1"/>
  <c r="H8" i="61"/>
  <c r="K72" i="60" s="1"/>
  <c r="T1" i="36"/>
  <c r="I17" i="36" s="1"/>
  <c r="P7" i="21"/>
  <c r="C40" i="39" s="1"/>
  <c r="S40" i="39" s="1"/>
  <c r="AF62" i="44"/>
  <c r="AS62" i="44" s="1"/>
  <c r="AT62" i="44" s="1"/>
  <c r="AF63" i="44"/>
  <c r="AS63" i="44" s="1"/>
  <c r="AT63" i="44" s="1"/>
  <c r="AL4" i="44"/>
  <c r="T97" i="44" s="1"/>
  <c r="U45" i="24"/>
  <c r="U48" i="24"/>
  <c r="U46" i="24"/>
  <c r="U51" i="24"/>
  <c r="U50" i="24"/>
  <c r="U49" i="24"/>
  <c r="U52" i="24"/>
  <c r="U44" i="24"/>
  <c r="U47" i="24"/>
  <c r="U43" i="24"/>
  <c r="P37" i="39"/>
  <c r="B12" i="46"/>
  <c r="U1" i="25"/>
  <c r="C81" i="25" s="1"/>
  <c r="M85" i="44"/>
  <c r="V85" i="44" s="1"/>
  <c r="S1" i="52"/>
  <c r="C638" i="52" s="1"/>
  <c r="B3" i="60"/>
  <c r="T1" i="24"/>
  <c r="I55" i="24" s="1"/>
  <c r="T1" i="22"/>
  <c r="I53" i="22" s="1"/>
  <c r="S52" i="60"/>
  <c r="S2" i="54"/>
  <c r="J638" i="54" s="1"/>
  <c r="V1" i="27"/>
  <c r="C39" i="27" s="1"/>
  <c r="O495" i="48"/>
  <c r="M83" i="44"/>
  <c r="O497" i="48"/>
  <c r="O494" i="48"/>
  <c r="V1" i="41"/>
  <c r="C39" i="41" s="1"/>
  <c r="U12" i="52"/>
  <c r="P160" i="52" s="1"/>
  <c r="E216" i="52" s="1"/>
  <c r="E61" i="52"/>
  <c r="V216" i="52"/>
  <c r="R216" i="52"/>
  <c r="V291" i="52"/>
  <c r="R291" i="52"/>
  <c r="P11" i="52"/>
  <c r="E62" i="52" s="1"/>
  <c r="B8" i="52"/>
  <c r="P14" i="52"/>
  <c r="E65" i="52" s="1"/>
  <c r="R595" i="52"/>
  <c r="T1" i="31"/>
  <c r="I21" i="31" s="1"/>
  <c r="T1" i="33"/>
  <c r="J14" i="33" s="1"/>
  <c r="T1" i="37"/>
  <c r="K150" i="37" s="1"/>
  <c r="T1" i="21"/>
  <c r="I9" i="21" s="1"/>
  <c r="O496" i="48"/>
  <c r="F489" i="48"/>
  <c r="S1" i="48"/>
  <c r="C501" i="48" s="1"/>
  <c r="F626" i="54"/>
  <c r="U1" i="40"/>
  <c r="C101" i="40" s="1"/>
  <c r="V300" i="54"/>
  <c r="R300" i="54"/>
  <c r="V375" i="54"/>
  <c r="R375" i="54"/>
  <c r="R365" i="54"/>
  <c r="V365" i="54"/>
  <c r="P312" i="54"/>
  <c r="E366" i="54" s="1"/>
  <c r="L497" i="54"/>
  <c r="V497" i="54" s="1"/>
  <c r="M32" i="46"/>
  <c r="M39" i="46"/>
  <c r="V73" i="44"/>
  <c r="Y79" i="44"/>
  <c r="D10" i="59"/>
  <c r="N38" i="39"/>
  <c r="D12" i="59"/>
  <c r="U1" i="30"/>
  <c r="C23" i="30" s="1"/>
  <c r="U1" i="23"/>
  <c r="I15" i="23" s="1"/>
  <c r="O498" i="48"/>
  <c r="T1" i="29"/>
  <c r="I10" i="29" s="1"/>
  <c r="O493" i="48"/>
  <c r="F489" i="50"/>
  <c r="T1" i="64"/>
  <c r="I8" i="64" s="1"/>
  <c r="U1" i="32"/>
  <c r="C19" i="32" s="1"/>
  <c r="U1" i="34"/>
  <c r="C101" i="34" s="1"/>
  <c r="S4" i="46"/>
  <c r="I55" i="46" s="1"/>
  <c r="T19" i="30"/>
  <c r="T20" i="30"/>
  <c r="T5" i="33"/>
  <c r="T6" i="33"/>
  <c r="T7" i="33"/>
  <c r="T8" i="33"/>
  <c r="S346" i="48"/>
  <c r="AT4" i="55"/>
  <c r="AU4" i="55" s="1"/>
  <c r="AV4" i="55" s="1"/>
  <c r="E20" i="54" s="1"/>
  <c r="AI33" i="54"/>
  <c r="AM33" i="54"/>
  <c r="Y33" i="54"/>
  <c r="T52" i="54"/>
  <c r="U51" i="54" s="1"/>
  <c r="U52" i="54" s="1"/>
  <c r="P50" i="54" s="1"/>
  <c r="E73" i="54" s="1"/>
  <c r="BI115" i="54"/>
  <c r="AR115" i="54"/>
  <c r="W120" i="54"/>
  <c r="AD120" i="54"/>
  <c r="BL120" i="54" s="1"/>
  <c r="T191" i="54"/>
  <c r="AB191" i="54" s="1"/>
  <c r="AZ191" i="54"/>
  <c r="AH191" i="54"/>
  <c r="BD191" i="54"/>
  <c r="AJ267" i="54"/>
  <c r="BB267" i="54"/>
  <c r="AQ267" i="54"/>
  <c r="BA272" i="54"/>
  <c r="BG272" i="54"/>
  <c r="AZ272" i="54"/>
  <c r="AH272" i="54"/>
  <c r="BD272" i="54"/>
  <c r="AU272" i="54"/>
  <c r="AO272" i="54"/>
  <c r="U342" i="54"/>
  <c r="BI342" i="54"/>
  <c r="AE347" i="54"/>
  <c r="BM347" i="54" s="1"/>
  <c r="AL347" i="54"/>
  <c r="AK347" i="54"/>
  <c r="AR347" i="54"/>
  <c r="AJ347" i="54"/>
  <c r="AS347" i="54"/>
  <c r="AD347" i="54"/>
  <c r="BB347" i="54"/>
  <c r="AF347" i="54"/>
  <c r="BN347" i="54" s="1"/>
  <c r="U413" i="54"/>
  <c r="V412" i="54" s="1"/>
  <c r="W412" i="54" s="1"/>
  <c r="P413" i="54" s="1"/>
  <c r="E536" i="54" s="1"/>
  <c r="Y536" i="54" s="1"/>
  <c r="V450" i="54"/>
  <c r="S465" i="54"/>
  <c r="F462" i="54"/>
  <c r="L462" i="54" s="1"/>
  <c r="V462" i="54" s="1"/>
  <c r="V501" i="54"/>
  <c r="X501" i="54" s="1"/>
  <c r="P501" i="54" s="1"/>
  <c r="W505" i="54"/>
  <c r="V505" i="54"/>
  <c r="W497" i="54"/>
  <c r="W502" i="54"/>
  <c r="V502" i="54"/>
  <c r="W499" i="54"/>
  <c r="X499" i="54" s="1"/>
  <c r="P499" i="54" s="1"/>
  <c r="W504" i="54"/>
  <c r="X504" i="54" s="1"/>
  <c r="P504" i="54" s="1"/>
  <c r="V498" i="54"/>
  <c r="W498" i="54"/>
  <c r="W491" i="54"/>
  <c r="W486" i="54"/>
  <c r="W489" i="54"/>
  <c r="V489" i="54"/>
  <c r="W487" i="54"/>
  <c r="W482" i="54"/>
  <c r="V487" i="54"/>
  <c r="V482" i="54"/>
  <c r="W488" i="54"/>
  <c r="X488" i="54" s="1"/>
  <c r="P488" i="54" s="1"/>
  <c r="W483" i="54"/>
  <c r="X483" i="54" s="1"/>
  <c r="P483" i="54" s="1"/>
  <c r="W484" i="54"/>
  <c r="X484" i="54" s="1"/>
  <c r="P484" i="54" s="1"/>
  <c r="F461" i="54"/>
  <c r="L461" i="54" s="1"/>
  <c r="V461" i="54" s="1"/>
  <c r="F463" i="54"/>
  <c r="L463" i="54" s="1"/>
  <c r="V463" i="54" s="1"/>
  <c r="L460" i="54"/>
  <c r="F464" i="54"/>
  <c r="L464" i="54" s="1"/>
  <c r="W464" i="54" s="1"/>
  <c r="V446" i="54"/>
  <c r="W450" i="54"/>
  <c r="V449" i="54"/>
  <c r="W449" i="54"/>
  <c r="P449" i="54"/>
  <c r="AE449" i="54" s="1"/>
  <c r="AF449" i="54" s="1"/>
  <c r="V448" i="54"/>
  <c r="W448" i="54"/>
  <c r="P448" i="54"/>
  <c r="AE448" i="54" s="1"/>
  <c r="AF448" i="54" s="1"/>
  <c r="P447" i="54"/>
  <c r="AE447" i="54" s="1"/>
  <c r="AF447" i="54" s="1"/>
  <c r="V447" i="54"/>
  <c r="W447" i="54"/>
  <c r="W446" i="54"/>
  <c r="P436" i="54"/>
  <c r="E549" i="54" s="1"/>
  <c r="Y549" i="54" s="1"/>
  <c r="O419" i="54"/>
  <c r="P419" i="54" s="1"/>
  <c r="E538" i="54" s="1"/>
  <c r="Y538" i="54" s="1"/>
  <c r="T389" i="54"/>
  <c r="B387" i="54" s="1"/>
  <c r="E528" i="54"/>
  <c r="P386" i="54"/>
  <c r="E529" i="54" s="1"/>
  <c r="AM530" i="54" s="1"/>
  <c r="P389" i="54"/>
  <c r="E532" i="54" s="1"/>
  <c r="AP530" i="54" s="1"/>
  <c r="P388" i="54"/>
  <c r="E531" i="54" s="1"/>
  <c r="AO530" i="54" s="1"/>
  <c r="V138" i="54"/>
  <c r="R138" i="54"/>
  <c r="R74" i="54"/>
  <c r="V74" i="54"/>
  <c r="V216" i="54"/>
  <c r="R216" i="54"/>
  <c r="V291" i="54"/>
  <c r="R291" i="54"/>
  <c r="P84" i="54"/>
  <c r="E139" i="54" s="1"/>
  <c r="R63" i="54"/>
  <c r="V63" i="54"/>
  <c r="R65" i="54"/>
  <c r="V65" i="54"/>
  <c r="V64" i="54"/>
  <c r="R64" i="54"/>
  <c r="Y99" i="54"/>
  <c r="V99" i="54" s="1"/>
  <c r="AY20" i="55" s="1"/>
  <c r="AZ20" i="55" s="1"/>
  <c r="BA20" i="55" s="1"/>
  <c r="I99" i="54" s="1"/>
  <c r="Y95" i="54"/>
  <c r="V95" i="54" s="1"/>
  <c r="AY16" i="55" s="1"/>
  <c r="AZ16" i="55" s="1"/>
  <c r="BA16" i="55" s="1"/>
  <c r="I95" i="54" s="1"/>
  <c r="R98" i="54" s="1"/>
  <c r="I91" i="54"/>
  <c r="O21" i="46" l="1"/>
  <c r="L631" i="54"/>
  <c r="M52" i="46"/>
  <c r="L498" i="48"/>
  <c r="L498" i="50"/>
  <c r="L497" i="50"/>
  <c r="I20" i="54"/>
  <c r="AZ3" i="55"/>
  <c r="BA3" i="55" s="1"/>
  <c r="I19" i="54" s="1"/>
  <c r="R22" i="54" s="1"/>
  <c r="T19" i="31"/>
  <c r="T41" i="22"/>
  <c r="U41" i="22" s="1"/>
  <c r="T42" i="22" s="1"/>
  <c r="U42" i="22" s="1"/>
  <c r="T43" i="22" s="1"/>
  <c r="U43" i="22" s="1"/>
  <c r="T44" i="22" s="1"/>
  <c r="U44" i="22" s="1"/>
  <c r="T45" i="22" s="1"/>
  <c r="U45" i="22" s="1"/>
  <c r="T46" i="22" s="1"/>
  <c r="U46" i="22" s="1"/>
  <c r="T47" i="22" s="1"/>
  <c r="U47" i="22" s="1"/>
  <c r="T48" i="22" s="1"/>
  <c r="U48" i="22" s="1"/>
  <c r="T49" i="22" s="1"/>
  <c r="U49" i="22" s="1"/>
  <c r="P51" i="22" s="1"/>
  <c r="G16" i="27"/>
  <c r="G20" i="27"/>
  <c r="E20" i="27"/>
  <c r="X11" i="27" s="1"/>
  <c r="X33" i="27" s="1"/>
  <c r="L496" i="48"/>
  <c r="L497" i="48"/>
  <c r="N62" i="60"/>
  <c r="N54" i="60"/>
  <c r="L635" i="54"/>
  <c r="K39" i="37"/>
  <c r="S39" i="37" s="1"/>
  <c r="U19" i="30"/>
  <c r="V19" i="30" s="1"/>
  <c r="P21" i="30" s="1"/>
  <c r="U65" i="25"/>
  <c r="V65" i="25" s="1"/>
  <c r="U66" i="25" s="1"/>
  <c r="V66" i="25" s="1"/>
  <c r="U67" i="25" s="1"/>
  <c r="V67" i="25" s="1"/>
  <c r="U68" i="25" s="1"/>
  <c r="V68" i="25" s="1"/>
  <c r="U69" i="25" s="1"/>
  <c r="V69" i="25" s="1"/>
  <c r="U70" i="25" s="1"/>
  <c r="V70" i="25" s="1"/>
  <c r="U71" i="25" s="1"/>
  <c r="V71" i="25" s="1"/>
  <c r="U72" i="25" s="1"/>
  <c r="V72" i="25" s="1"/>
  <c r="U73" i="25" s="1"/>
  <c r="V73" i="25" s="1"/>
  <c r="U74" i="25" s="1"/>
  <c r="V74" i="25" s="1"/>
  <c r="U75" i="25" s="1"/>
  <c r="V75" i="25" s="1"/>
  <c r="U76" i="25" s="1"/>
  <c r="V76" i="25" s="1"/>
  <c r="U77" i="25" s="1"/>
  <c r="V77" i="25" s="1"/>
  <c r="P79" i="25" s="1"/>
  <c r="C57" i="60"/>
  <c r="U17" i="31"/>
  <c r="V17" i="31" s="1"/>
  <c r="C50" i="60"/>
  <c r="K88" i="37"/>
  <c r="S87" i="37" s="1"/>
  <c r="P125" i="37"/>
  <c r="G140" i="37" s="1"/>
  <c r="AH24" i="37"/>
  <c r="AK24" i="37" s="1"/>
  <c r="N25" i="37" s="1"/>
  <c r="P31" i="37" s="1"/>
  <c r="G46" i="37" s="1"/>
  <c r="AH39" i="37" s="1"/>
  <c r="P81" i="37"/>
  <c r="G99" i="37" s="1"/>
  <c r="AR87" i="37" s="1"/>
  <c r="E18" i="41"/>
  <c r="G14" i="41"/>
  <c r="G16" i="41"/>
  <c r="G10" i="41"/>
  <c r="G18" i="41"/>
  <c r="E12" i="41"/>
  <c r="E10" i="41"/>
  <c r="G12" i="41"/>
  <c r="G20" i="41"/>
  <c r="E20" i="41"/>
  <c r="E16" i="41"/>
  <c r="E14" i="41"/>
  <c r="T49" i="40"/>
  <c r="T51" i="34"/>
  <c r="T47" i="34"/>
  <c r="T49" i="34"/>
  <c r="T53" i="34"/>
  <c r="T48" i="34"/>
  <c r="G14" i="40"/>
  <c r="E14" i="40"/>
  <c r="E8" i="34"/>
  <c r="E10" i="40"/>
  <c r="E8" i="40"/>
  <c r="G18" i="40"/>
  <c r="G12" i="40"/>
  <c r="G10" i="40"/>
  <c r="E16" i="40"/>
  <c r="G16" i="40"/>
  <c r="G10" i="34"/>
  <c r="G8" i="34"/>
  <c r="E12" i="34"/>
  <c r="E10" i="34"/>
  <c r="E18" i="34"/>
  <c r="G14" i="34"/>
  <c r="E16" i="34"/>
  <c r="G18" i="34"/>
  <c r="E14" i="34"/>
  <c r="G16" i="34"/>
  <c r="G12" i="34"/>
  <c r="L632" i="52"/>
  <c r="L634" i="52"/>
  <c r="L636" i="52"/>
  <c r="Z94" i="44"/>
  <c r="L633" i="52"/>
  <c r="L630" i="52"/>
  <c r="L636" i="54"/>
  <c r="L635" i="52"/>
  <c r="L494" i="48"/>
  <c r="M44" i="46"/>
  <c r="L495" i="50"/>
  <c r="Z85" i="44"/>
  <c r="AE85" i="44" s="1"/>
  <c r="L494" i="50"/>
  <c r="L499" i="50"/>
  <c r="L493" i="50"/>
  <c r="M45" i="46"/>
  <c r="AR28" i="44"/>
  <c r="L634" i="54"/>
  <c r="L496" i="50"/>
  <c r="L493" i="48"/>
  <c r="L633" i="54"/>
  <c r="L631" i="52"/>
  <c r="AM23" i="44"/>
  <c r="AM25" i="44"/>
  <c r="U5" i="23"/>
  <c r="V5" i="23" s="1"/>
  <c r="U6" i="23" s="1"/>
  <c r="V6" i="23" s="1"/>
  <c r="U7" i="23" s="1"/>
  <c r="V7" i="23" s="1"/>
  <c r="U8" i="23" s="1"/>
  <c r="V8" i="23" s="1"/>
  <c r="U9" i="23" s="1"/>
  <c r="V9" i="23" s="1"/>
  <c r="U10" i="23" s="1"/>
  <c r="V10" i="23" s="1"/>
  <c r="P12" i="23" s="1"/>
  <c r="U6" i="32"/>
  <c r="V6" i="32" s="1"/>
  <c r="U7" i="32" s="1"/>
  <c r="V7" i="32" s="1"/>
  <c r="U8" i="32" s="1"/>
  <c r="V8" i="32" s="1"/>
  <c r="U9" i="32" s="1"/>
  <c r="V9" i="32" s="1"/>
  <c r="U10" i="32" s="1"/>
  <c r="V10" i="32" s="1"/>
  <c r="U11" i="32" s="1"/>
  <c r="V11" i="32" s="1"/>
  <c r="U12" i="32" s="1"/>
  <c r="V12" i="32" s="1"/>
  <c r="U13" i="32" s="1"/>
  <c r="V13" i="32" s="1"/>
  <c r="U14" i="32" s="1"/>
  <c r="V14" i="32" s="1"/>
  <c r="U15" i="32" s="1"/>
  <c r="V15" i="32" s="1"/>
  <c r="P17" i="32" s="1"/>
  <c r="L499" i="48"/>
  <c r="G9" i="39"/>
  <c r="G36" i="39"/>
  <c r="G25" i="39"/>
  <c r="G17" i="39"/>
  <c r="G24" i="39"/>
  <c r="G34" i="39"/>
  <c r="G32" i="39"/>
  <c r="G26" i="39"/>
  <c r="G14" i="39"/>
  <c r="G23" i="39"/>
  <c r="N32" i="39"/>
  <c r="O8" i="44"/>
  <c r="AF10" i="44"/>
  <c r="AF12" i="44" s="1"/>
  <c r="AF14" i="44" s="1"/>
  <c r="X285" i="48"/>
  <c r="P285" i="48" s="1"/>
  <c r="AE285" i="48" s="1"/>
  <c r="AF285" i="48" s="1"/>
  <c r="AS27" i="44"/>
  <c r="AR24" i="44"/>
  <c r="AM24" i="44"/>
  <c r="AP30" i="44"/>
  <c r="K32" i="44" s="1"/>
  <c r="Z397" i="48"/>
  <c r="AA397" i="48" s="1"/>
  <c r="E223" i="48"/>
  <c r="G231" i="48"/>
  <c r="G223" i="48"/>
  <c r="R22" i="52"/>
  <c r="O22" i="52" s="1"/>
  <c r="E401" i="54"/>
  <c r="E407" i="54"/>
  <c r="E405" i="54"/>
  <c r="G407" i="54"/>
  <c r="R179" i="54"/>
  <c r="AI39" i="54"/>
  <c r="AM39" i="54"/>
  <c r="U39" i="54"/>
  <c r="Z39" i="54" s="1"/>
  <c r="AS39" i="54" s="1"/>
  <c r="AD39" i="54"/>
  <c r="AC272" i="54"/>
  <c r="BK272" i="54" s="1"/>
  <c r="P479" i="54"/>
  <c r="AP272" i="54"/>
  <c r="AC115" i="54"/>
  <c r="BK115" i="54" s="1"/>
  <c r="W496" i="54"/>
  <c r="U126" i="54"/>
  <c r="V126" i="54" s="1"/>
  <c r="U127" i="54" s="1"/>
  <c r="V127" i="54" s="1"/>
  <c r="P125" i="54" s="1"/>
  <c r="E147" i="54" s="1"/>
  <c r="X469" i="54"/>
  <c r="P469" i="54" s="1"/>
  <c r="AQ115" i="54"/>
  <c r="BA349" i="54"/>
  <c r="U349" i="54"/>
  <c r="BE349" i="54"/>
  <c r="AV349" i="54"/>
  <c r="AI349" i="54"/>
  <c r="AP349" i="54"/>
  <c r="W457" i="54"/>
  <c r="X457" i="54" s="1"/>
  <c r="P457" i="54" s="1"/>
  <c r="AW344" i="54"/>
  <c r="AJ344" i="54"/>
  <c r="AQ344" i="54"/>
  <c r="BB344" i="54"/>
  <c r="V344" i="54"/>
  <c r="U272" i="54"/>
  <c r="V272" i="54" s="1"/>
  <c r="AR272" i="54" s="1"/>
  <c r="AJ115" i="54"/>
  <c r="AW115" i="54"/>
  <c r="U343" i="54"/>
  <c r="AP343" i="54"/>
  <c r="AV343" i="54"/>
  <c r="BE343" i="54"/>
  <c r="AI343" i="54"/>
  <c r="BA343" i="54"/>
  <c r="Y39" i="54"/>
  <c r="AJ35" i="54"/>
  <c r="AE35" i="54"/>
  <c r="V73" i="54"/>
  <c r="Y73" i="54"/>
  <c r="AA38" i="54"/>
  <c r="AT38" i="54" s="1"/>
  <c r="AD121" i="54"/>
  <c r="BL121" i="54" s="1"/>
  <c r="AX121" i="54"/>
  <c r="V454" i="54"/>
  <c r="X454" i="54" s="1"/>
  <c r="R215" i="54"/>
  <c r="V215" i="54"/>
  <c r="V495" i="54"/>
  <c r="W468" i="54"/>
  <c r="X468" i="54" s="1"/>
  <c r="P468" i="54" s="1"/>
  <c r="P454" i="54"/>
  <c r="AR121" i="54"/>
  <c r="W121" i="54"/>
  <c r="AE121" i="54" s="1"/>
  <c r="BM121" i="54" s="1"/>
  <c r="X474" i="54"/>
  <c r="P474" i="54" s="1"/>
  <c r="W467" i="54"/>
  <c r="P467" i="54"/>
  <c r="V467" i="54"/>
  <c r="V481" i="54"/>
  <c r="X481" i="54" s="1"/>
  <c r="P481" i="54" s="1"/>
  <c r="W490" i="54"/>
  <c r="X490" i="54" s="1"/>
  <c r="P490" i="54" s="1"/>
  <c r="W495" i="54"/>
  <c r="V35" i="54"/>
  <c r="AF35" i="54" s="1"/>
  <c r="AB343" i="54"/>
  <c r="BJ343" i="54" s="1"/>
  <c r="AW267" i="54"/>
  <c r="V267" i="54"/>
  <c r="G403" i="54"/>
  <c r="U116" i="54"/>
  <c r="AI116" i="54"/>
  <c r="BE116" i="54"/>
  <c r="AP116" i="54"/>
  <c r="AV116" i="54"/>
  <c r="BA116" i="54"/>
  <c r="V476" i="54"/>
  <c r="W476" i="54"/>
  <c r="AC344" i="54"/>
  <c r="BK344" i="54" s="1"/>
  <c r="AB349" i="54"/>
  <c r="BJ349" i="54" s="1"/>
  <c r="W122" i="54"/>
  <c r="AK122" i="54"/>
  <c r="AX122" i="54"/>
  <c r="R386" i="48"/>
  <c r="R387" i="48" s="1"/>
  <c r="P388" i="48" s="1"/>
  <c r="E451" i="48" s="1"/>
  <c r="Y451" i="48" s="1"/>
  <c r="G229" i="48"/>
  <c r="J174" i="48"/>
  <c r="R178" i="48" s="1"/>
  <c r="R58" i="48"/>
  <c r="O58" i="48" s="1"/>
  <c r="R98" i="48"/>
  <c r="O98" i="48" s="1"/>
  <c r="R138" i="48"/>
  <c r="O138" i="48" s="1"/>
  <c r="W291" i="48"/>
  <c r="V291" i="48"/>
  <c r="W316" i="48"/>
  <c r="X316" i="48" s="1"/>
  <c r="P316" i="48" s="1"/>
  <c r="E229" i="48"/>
  <c r="E231" i="48"/>
  <c r="E225" i="48"/>
  <c r="V288" i="48"/>
  <c r="X288" i="48" s="1"/>
  <c r="P288" i="48" s="1"/>
  <c r="V322" i="48"/>
  <c r="X322" i="48" s="1"/>
  <c r="P322" i="48" s="1"/>
  <c r="W331" i="48"/>
  <c r="X331" i="48" s="1"/>
  <c r="P331" i="48" s="1"/>
  <c r="B335" i="48"/>
  <c r="G225" i="48"/>
  <c r="V323" i="48"/>
  <c r="X323" i="48" s="1"/>
  <c r="P323" i="48" s="1"/>
  <c r="V315" i="48"/>
  <c r="X315" i="48" s="1"/>
  <c r="P315" i="48" s="1"/>
  <c r="W326" i="48"/>
  <c r="V300" i="48"/>
  <c r="V295" i="48"/>
  <c r="X295" i="48" s="1"/>
  <c r="P295" i="48" s="1"/>
  <c r="X332" i="48"/>
  <c r="P332" i="48" s="1"/>
  <c r="R20" i="48"/>
  <c r="O20" i="48" s="1"/>
  <c r="E20" i="48"/>
  <c r="J382" i="50"/>
  <c r="W323" i="50"/>
  <c r="V288" i="50"/>
  <c r="X336" i="50"/>
  <c r="P336" i="50" s="1"/>
  <c r="AE293" i="50" s="1"/>
  <c r="AF293" i="50" s="1"/>
  <c r="W319" i="50"/>
  <c r="X319" i="50" s="1"/>
  <c r="P319" i="50" s="1"/>
  <c r="E563" i="52"/>
  <c r="E569" i="52"/>
  <c r="G396" i="52"/>
  <c r="R102" i="54"/>
  <c r="O102" i="54" s="1"/>
  <c r="G396" i="54"/>
  <c r="E403" i="54"/>
  <c r="AC403" i="54" s="1"/>
  <c r="AA535" i="54" s="1"/>
  <c r="G405" i="54"/>
  <c r="AD248" i="54"/>
  <c r="AD323" i="54"/>
  <c r="AD172" i="54"/>
  <c r="I23" i="54"/>
  <c r="R26" i="54" s="1"/>
  <c r="O26" i="54" s="1"/>
  <c r="R20" i="50"/>
  <c r="O20" i="50" s="1"/>
  <c r="Z12" i="50" s="1"/>
  <c r="Y20" i="50" s="1"/>
  <c r="I99" i="52"/>
  <c r="R102" i="52" s="1"/>
  <c r="O102" i="52" s="1"/>
  <c r="I23" i="52"/>
  <c r="R26" i="52" s="1"/>
  <c r="O26" i="52" s="1"/>
  <c r="I244" i="54"/>
  <c r="R247" i="54" s="1"/>
  <c r="O247" i="54" s="1"/>
  <c r="R94" i="54"/>
  <c r="O94" i="54" s="1"/>
  <c r="N9" i="63"/>
  <c r="O9" i="63" s="1"/>
  <c r="N10" i="63" s="1"/>
  <c r="O10" i="63" s="1"/>
  <c r="N11" i="63" s="1"/>
  <c r="O11" i="63" s="1"/>
  <c r="N12" i="63" s="1"/>
  <c r="O12" i="63" s="1"/>
  <c r="N13" i="63" s="1"/>
  <c r="O13" i="63" s="1"/>
  <c r="N14" i="63" s="1"/>
  <c r="O14" i="63" s="1"/>
  <c r="N15" i="63" s="1"/>
  <c r="O15" i="63" s="1"/>
  <c r="N16" i="63" s="1"/>
  <c r="O16" i="63" s="1"/>
  <c r="N17" i="63" s="1"/>
  <c r="O17" i="63" s="1"/>
  <c r="N18" i="63" s="1"/>
  <c r="O18" i="63" s="1"/>
  <c r="N19" i="63" s="1"/>
  <c r="O19" i="63" s="1"/>
  <c r="N20" i="63" s="1"/>
  <c r="O20" i="63" s="1"/>
  <c r="N21" i="63" s="1"/>
  <c r="O21" i="63" s="1"/>
  <c r="N22" i="63" s="1"/>
  <c r="O22" i="63" s="1"/>
  <c r="N23" i="63" s="1"/>
  <c r="O23" i="63" s="1"/>
  <c r="N24" i="63" s="1"/>
  <c r="O24" i="63" s="1"/>
  <c r="N25" i="63" s="1"/>
  <c r="O25" i="63" s="1"/>
  <c r="D10" i="63" s="1"/>
  <c r="AF65" i="44"/>
  <c r="AS65" i="44" s="1"/>
  <c r="AT65" i="44" s="1"/>
  <c r="AO29" i="44"/>
  <c r="AS29" i="44"/>
  <c r="AS25" i="44"/>
  <c r="AO25" i="44"/>
  <c r="AO28" i="44"/>
  <c r="AS28" i="44"/>
  <c r="AS26" i="44"/>
  <c r="AO26" i="44"/>
  <c r="AS24" i="44"/>
  <c r="AO24" i="44"/>
  <c r="AQ30" i="44"/>
  <c r="AB32" i="44" s="1"/>
  <c r="AO30" i="44"/>
  <c r="AS30" i="44"/>
  <c r="O63" i="44"/>
  <c r="AN63" i="44" s="1"/>
  <c r="AO63" i="44" s="1"/>
  <c r="O62" i="44"/>
  <c r="AN62" i="44" s="1"/>
  <c r="AO62" i="44" s="1"/>
  <c r="O65" i="44"/>
  <c r="AN65" i="44" s="1"/>
  <c r="AO65" i="44" s="1"/>
  <c r="U47" i="34"/>
  <c r="V47" i="34" s="1"/>
  <c r="U48" i="34" s="1"/>
  <c r="V48" i="34" s="1"/>
  <c r="U49" i="34" s="1"/>
  <c r="V49" i="34" s="1"/>
  <c r="U50" i="34" s="1"/>
  <c r="V50" i="34" s="1"/>
  <c r="U51" i="34" s="1"/>
  <c r="V51" i="34" s="1"/>
  <c r="U52" i="34" s="1"/>
  <c r="V52" i="34" s="1"/>
  <c r="U53" i="34" s="1"/>
  <c r="V53" i="34" s="1"/>
  <c r="P84" i="34" s="1"/>
  <c r="E97" i="34" s="1"/>
  <c r="T97" i="34" s="1"/>
  <c r="E18" i="40"/>
  <c r="T54" i="40"/>
  <c r="T50" i="40"/>
  <c r="T47" i="40"/>
  <c r="T52" i="40"/>
  <c r="T48" i="40"/>
  <c r="T51" i="40"/>
  <c r="T53" i="40"/>
  <c r="K133" i="37"/>
  <c r="S132" i="37" s="1"/>
  <c r="AD132" i="37"/>
  <c r="O10" i="44"/>
  <c r="C37" i="60"/>
  <c r="N37" i="60" s="1"/>
  <c r="S23" i="46"/>
  <c r="I21" i="46" s="1"/>
  <c r="AL530" i="54"/>
  <c r="E380" i="48"/>
  <c r="G380" i="48" s="1"/>
  <c r="E378" i="48"/>
  <c r="V298" i="48"/>
  <c r="X298" i="48" s="1"/>
  <c r="P298" i="48" s="1"/>
  <c r="X294" i="48"/>
  <c r="P294" i="48" s="1"/>
  <c r="V293" i="48"/>
  <c r="X293" i="48" s="1"/>
  <c r="P293" i="48" s="1"/>
  <c r="V302" i="48"/>
  <c r="X302" i="48" s="1"/>
  <c r="P302" i="48" s="1"/>
  <c r="W301" i="48"/>
  <c r="X301" i="48" s="1"/>
  <c r="P301" i="48" s="1"/>
  <c r="X309" i="48"/>
  <c r="P309" i="48" s="1"/>
  <c r="X329" i="48"/>
  <c r="P329" i="48" s="1"/>
  <c r="AE290" i="48" s="1"/>
  <c r="AF290" i="48" s="1"/>
  <c r="X291" i="48"/>
  <c r="P291" i="48" s="1"/>
  <c r="Z398" i="48"/>
  <c r="AA398" i="48" s="1"/>
  <c r="P401" i="48" s="1"/>
  <c r="E453" i="48" s="1"/>
  <c r="Y453" i="48" s="1"/>
  <c r="X308" i="48"/>
  <c r="P308" i="48" s="1"/>
  <c r="X287" i="48"/>
  <c r="P287" i="48" s="1"/>
  <c r="P257" i="48"/>
  <c r="E364" i="48" s="1"/>
  <c r="Y364" i="48" s="1"/>
  <c r="B26" i="48"/>
  <c r="P62" i="48"/>
  <c r="E75" i="48" s="1"/>
  <c r="W75" i="48" s="1"/>
  <c r="W334" i="48"/>
  <c r="B457" i="48"/>
  <c r="C412" i="48"/>
  <c r="E457" i="48"/>
  <c r="S457" i="48" s="1"/>
  <c r="B456" i="48"/>
  <c r="V334" i="48"/>
  <c r="X317" i="48"/>
  <c r="P317" i="48" s="1"/>
  <c r="B328" i="48"/>
  <c r="X290" i="48"/>
  <c r="P290" i="48" s="1"/>
  <c r="V297" i="48"/>
  <c r="X297" i="48" s="1"/>
  <c r="P297" i="48" s="1"/>
  <c r="X324" i="48"/>
  <c r="P324" i="48" s="1"/>
  <c r="X333" i="48"/>
  <c r="P333" i="48" s="1"/>
  <c r="X310" i="48"/>
  <c r="P310" i="48" s="1"/>
  <c r="W321" i="48"/>
  <c r="X321" i="48" s="1"/>
  <c r="P321" i="48" s="1"/>
  <c r="X283" i="48"/>
  <c r="P283" i="48" s="1"/>
  <c r="AE283" i="48" s="1"/>
  <c r="AF283" i="48" s="1"/>
  <c r="X311" i="48"/>
  <c r="P311" i="48" s="1"/>
  <c r="B64" i="48"/>
  <c r="P142" i="48"/>
  <c r="E155" i="48" s="1"/>
  <c r="W155" i="48" s="1"/>
  <c r="B184" i="48"/>
  <c r="P143" i="48"/>
  <c r="E156" i="48" s="1"/>
  <c r="W156" i="48" s="1"/>
  <c r="B144" i="48"/>
  <c r="X327" i="48"/>
  <c r="P327" i="48" s="1"/>
  <c r="X325" i="48"/>
  <c r="P325" i="48" s="1"/>
  <c r="X336" i="48"/>
  <c r="P336" i="48" s="1"/>
  <c r="AE293" i="48" s="1"/>
  <c r="AF293" i="48" s="1"/>
  <c r="X314" i="48"/>
  <c r="P314" i="48" s="1"/>
  <c r="P25" i="48"/>
  <c r="E37" i="48" s="1"/>
  <c r="W37" i="48" s="1"/>
  <c r="X326" i="48"/>
  <c r="P326" i="48" s="1"/>
  <c r="X282" i="48"/>
  <c r="P282" i="48" s="1"/>
  <c r="AE282" i="48" s="1"/>
  <c r="AF282" i="48" s="1"/>
  <c r="W296" i="48"/>
  <c r="V296" i="48"/>
  <c r="X300" i="48"/>
  <c r="P300" i="48" s="1"/>
  <c r="X284" i="48"/>
  <c r="P284" i="48" s="1"/>
  <c r="AE284" i="48" s="1"/>
  <c r="AF284" i="48" s="1"/>
  <c r="X289" i="48"/>
  <c r="P289" i="48" s="1"/>
  <c r="X312" i="48"/>
  <c r="P312" i="48" s="1"/>
  <c r="X313" i="48"/>
  <c r="P313" i="48" s="1"/>
  <c r="Y341" i="48"/>
  <c r="E195" i="48"/>
  <c r="W195" i="48" s="1"/>
  <c r="P24" i="48"/>
  <c r="E36" i="48" s="1"/>
  <c r="W36" i="48" s="1"/>
  <c r="B104" i="48"/>
  <c r="P103" i="48"/>
  <c r="E116" i="48" s="1"/>
  <c r="W116" i="48" s="1"/>
  <c r="P102" i="48"/>
  <c r="E115" i="48" s="1"/>
  <c r="W115" i="48" s="1"/>
  <c r="E196" i="48"/>
  <c r="W196" i="48" s="1"/>
  <c r="O15" i="48"/>
  <c r="J387" i="50"/>
  <c r="J377" i="50"/>
  <c r="J230" i="50"/>
  <c r="J224" i="50"/>
  <c r="J56" i="50"/>
  <c r="R58" i="50" s="1"/>
  <c r="O58" i="50" s="1"/>
  <c r="Z53" i="50" s="1"/>
  <c r="Y59" i="50" s="1"/>
  <c r="E567" i="52"/>
  <c r="G565" i="52"/>
  <c r="G567" i="52"/>
  <c r="B328" i="50"/>
  <c r="W331" i="50"/>
  <c r="B335" i="50"/>
  <c r="V300" i="50"/>
  <c r="X300" i="50" s="1"/>
  <c r="P300" i="50" s="1"/>
  <c r="W297" i="50"/>
  <c r="X297" i="50" s="1"/>
  <c r="P297" i="50" s="1"/>
  <c r="V334" i="50"/>
  <c r="X334" i="50" s="1"/>
  <c r="P334" i="50" s="1"/>
  <c r="W308" i="50"/>
  <c r="X308" i="50" s="1"/>
  <c r="P308" i="50" s="1"/>
  <c r="W312" i="50"/>
  <c r="X312" i="50" s="1"/>
  <c r="P312" i="50" s="1"/>
  <c r="V287" i="50"/>
  <c r="V302" i="50"/>
  <c r="X302" i="50" s="1"/>
  <c r="P302" i="50" s="1"/>
  <c r="V331" i="50"/>
  <c r="X287" i="50"/>
  <c r="P287" i="50" s="1"/>
  <c r="P257" i="50"/>
  <c r="E364" i="50" s="1"/>
  <c r="Y364" i="50" s="1"/>
  <c r="W327" i="50"/>
  <c r="X327" i="50" s="1"/>
  <c r="P327" i="50" s="1"/>
  <c r="V301" i="50"/>
  <c r="X301" i="50" s="1"/>
  <c r="P301" i="50" s="1"/>
  <c r="V310" i="50"/>
  <c r="X310" i="50" s="1"/>
  <c r="P310" i="50" s="1"/>
  <c r="V290" i="50"/>
  <c r="X290" i="50" s="1"/>
  <c r="P290" i="50" s="1"/>
  <c r="X283" i="50"/>
  <c r="P283" i="50" s="1"/>
  <c r="AE283" i="50" s="1"/>
  <c r="AF283" i="50" s="1"/>
  <c r="V316" i="50"/>
  <c r="X316" i="50" s="1"/>
  <c r="P316" i="50" s="1"/>
  <c r="X282" i="50"/>
  <c r="P282" i="50" s="1"/>
  <c r="AE282" i="50" s="1"/>
  <c r="AF282" i="50" s="1"/>
  <c r="E378" i="50"/>
  <c r="G378" i="50" s="1"/>
  <c r="V295" i="50"/>
  <c r="X295" i="50" s="1"/>
  <c r="P295" i="50" s="1"/>
  <c r="E380" i="50"/>
  <c r="G380" i="50" s="1"/>
  <c r="V325" i="50"/>
  <c r="X325" i="50" s="1"/>
  <c r="P325" i="50" s="1"/>
  <c r="U436" i="50"/>
  <c r="P430" i="50" s="1"/>
  <c r="E467" i="50" s="1"/>
  <c r="Y467" i="50" s="1"/>
  <c r="V313" i="50"/>
  <c r="X313" i="50" s="1"/>
  <c r="P313" i="50" s="1"/>
  <c r="W333" i="50"/>
  <c r="X333" i="50" s="1"/>
  <c r="P333" i="50" s="1"/>
  <c r="X330" i="50"/>
  <c r="P330" i="50" s="1"/>
  <c r="AE291" i="50" s="1"/>
  <c r="AF291" i="50" s="1"/>
  <c r="W309" i="50"/>
  <c r="V309" i="50"/>
  <c r="Y399" i="50"/>
  <c r="W296" i="50"/>
  <c r="X296" i="50" s="1"/>
  <c r="P296" i="50" s="1"/>
  <c r="Y398" i="50"/>
  <c r="C412" i="50"/>
  <c r="V314" i="50"/>
  <c r="X314" i="50" s="1"/>
  <c r="P314" i="50" s="1"/>
  <c r="E457" i="50"/>
  <c r="S457" i="50" s="1"/>
  <c r="X323" i="50"/>
  <c r="P323" i="50" s="1"/>
  <c r="V289" i="50"/>
  <c r="X289" i="50" s="1"/>
  <c r="P289" i="50" s="1"/>
  <c r="X285" i="50"/>
  <c r="P285" i="50" s="1"/>
  <c r="AE285" i="50" s="1"/>
  <c r="AF285" i="50" s="1"/>
  <c r="Y396" i="50"/>
  <c r="B457" i="50"/>
  <c r="V294" i="50"/>
  <c r="W294" i="50"/>
  <c r="E225" i="50"/>
  <c r="E223" i="50"/>
  <c r="V324" i="50"/>
  <c r="W324" i="50"/>
  <c r="V315" i="50"/>
  <c r="W315" i="50"/>
  <c r="X329" i="50"/>
  <c r="P329" i="50" s="1"/>
  <c r="AE290" i="50" s="1"/>
  <c r="AF290" i="50" s="1"/>
  <c r="V322" i="50"/>
  <c r="X322" i="50" s="1"/>
  <c r="P322" i="50" s="1"/>
  <c r="Y397" i="50"/>
  <c r="W291" i="50"/>
  <c r="X291" i="50" s="1"/>
  <c r="P291" i="50" s="1"/>
  <c r="W298" i="50"/>
  <c r="V298" i="50"/>
  <c r="W293" i="50"/>
  <c r="V293" i="50"/>
  <c r="W317" i="50"/>
  <c r="X317" i="50" s="1"/>
  <c r="P317" i="50" s="1"/>
  <c r="V332" i="50"/>
  <c r="X332" i="50" s="1"/>
  <c r="P332" i="50" s="1"/>
  <c r="V326" i="50"/>
  <c r="X326" i="50" s="1"/>
  <c r="P326" i="50" s="1"/>
  <c r="X281" i="50"/>
  <c r="P281" i="50" s="1"/>
  <c r="AE281" i="50" s="1"/>
  <c r="AF281" i="50" s="1"/>
  <c r="V321" i="50"/>
  <c r="W321" i="50"/>
  <c r="X288" i="50"/>
  <c r="P288" i="50" s="1"/>
  <c r="R98" i="50"/>
  <c r="B144" i="50"/>
  <c r="P142" i="50"/>
  <c r="E155" i="50" s="1"/>
  <c r="W155" i="50" s="1"/>
  <c r="P182" i="50"/>
  <c r="E195" i="50" s="1"/>
  <c r="W195" i="50" s="1"/>
  <c r="P143" i="50"/>
  <c r="E156" i="50" s="1"/>
  <c r="W156" i="50" s="1"/>
  <c r="P183" i="50"/>
  <c r="E196" i="50" s="1"/>
  <c r="W196" i="50" s="1"/>
  <c r="B184" i="50"/>
  <c r="P103" i="50"/>
  <c r="E116" i="50" s="1"/>
  <c r="W116" i="50" s="1"/>
  <c r="P102" i="50"/>
  <c r="E115" i="50" s="1"/>
  <c r="W115" i="50" s="1"/>
  <c r="B104" i="50"/>
  <c r="G569" i="52"/>
  <c r="B64" i="50"/>
  <c r="P62" i="50"/>
  <c r="E75" i="50" s="1"/>
  <c r="W75" i="50" s="1"/>
  <c r="P63" i="50"/>
  <c r="E76" i="50" s="1"/>
  <c r="W76" i="50" s="1"/>
  <c r="W121" i="52"/>
  <c r="AD121" i="52"/>
  <c r="BL121" i="52" s="1"/>
  <c r="AR120" i="52"/>
  <c r="X460" i="52"/>
  <c r="AD120" i="52"/>
  <c r="BL120" i="52" s="1"/>
  <c r="AK120" i="52"/>
  <c r="AQ121" i="52"/>
  <c r="AA33" i="52"/>
  <c r="AT33" i="52" s="1"/>
  <c r="P460" i="52"/>
  <c r="V460" i="52"/>
  <c r="V64" i="52"/>
  <c r="AJ121" i="52"/>
  <c r="W469" i="52"/>
  <c r="V496" i="52"/>
  <c r="G405" i="52"/>
  <c r="V34" i="52"/>
  <c r="AF34" i="52" s="1"/>
  <c r="AJ33" i="52"/>
  <c r="AI274" i="52"/>
  <c r="T51" i="52"/>
  <c r="U51" i="52" s="1"/>
  <c r="U52" i="52" s="1"/>
  <c r="P50" i="52" s="1"/>
  <c r="E73" i="52" s="1"/>
  <c r="V73" i="52" s="1"/>
  <c r="U349" i="52"/>
  <c r="BB121" i="52"/>
  <c r="U127" i="52"/>
  <c r="V127" i="52" s="1"/>
  <c r="P125" i="52" s="1"/>
  <c r="E147" i="52" s="1"/>
  <c r="V147" i="52" s="1"/>
  <c r="BA274" i="52"/>
  <c r="G563" i="52"/>
  <c r="V491" i="52"/>
  <c r="X491" i="52" s="1"/>
  <c r="P491" i="52" s="1"/>
  <c r="U353" i="52"/>
  <c r="V353" i="52" s="1"/>
  <c r="Z33" i="52"/>
  <c r="W462" i="52"/>
  <c r="V462" i="52"/>
  <c r="X462" i="52" s="1"/>
  <c r="P462" i="52" s="1"/>
  <c r="AE33" i="52"/>
  <c r="V35" i="52"/>
  <c r="AF35" i="52" s="1"/>
  <c r="AX120" i="52"/>
  <c r="AW121" i="52"/>
  <c r="T202" i="52"/>
  <c r="V490" i="52"/>
  <c r="X490" i="52" s="1"/>
  <c r="P490" i="52" s="1"/>
  <c r="U343" i="52"/>
  <c r="AC343" i="52" s="1"/>
  <c r="T204" i="52"/>
  <c r="V471" i="52"/>
  <c r="X471" i="52" s="1"/>
  <c r="P471" i="52" s="1"/>
  <c r="P25" i="50"/>
  <c r="E37" i="50" s="1"/>
  <c r="W37" i="50" s="1"/>
  <c r="P24" i="50"/>
  <c r="X284" i="50"/>
  <c r="P284" i="50" s="1"/>
  <c r="AE284" i="50" s="1"/>
  <c r="AF284" i="50" s="1"/>
  <c r="G229" i="50"/>
  <c r="G231" i="50"/>
  <c r="S342" i="50"/>
  <c r="E229" i="50"/>
  <c r="V311" i="50"/>
  <c r="W311" i="50"/>
  <c r="E231" i="50"/>
  <c r="R178" i="50"/>
  <c r="O178" i="50" s="1"/>
  <c r="Z173" i="50" s="1"/>
  <c r="Y179" i="50" s="1"/>
  <c r="Z178" i="50" s="1"/>
  <c r="R138" i="50"/>
  <c r="O15" i="50"/>
  <c r="E405" i="52"/>
  <c r="E397" i="52"/>
  <c r="I327" i="54"/>
  <c r="R62" i="54"/>
  <c r="V62" i="54"/>
  <c r="R63" i="52"/>
  <c r="G569" i="54"/>
  <c r="BE192" i="52"/>
  <c r="AP192" i="52"/>
  <c r="AB192" i="52"/>
  <c r="BJ192" i="52" s="1"/>
  <c r="BA192" i="52"/>
  <c r="AI192" i="52"/>
  <c r="AV192" i="52"/>
  <c r="E396" i="52"/>
  <c r="X450" i="52"/>
  <c r="AP342" i="52"/>
  <c r="W485" i="52"/>
  <c r="X485" i="52" s="1"/>
  <c r="P485" i="52" s="1"/>
  <c r="X448" i="52"/>
  <c r="V456" i="52"/>
  <c r="W456" i="52"/>
  <c r="X489" i="52"/>
  <c r="P489" i="52" s="1"/>
  <c r="AP116" i="52"/>
  <c r="AI116" i="52"/>
  <c r="BE116" i="52"/>
  <c r="AV116" i="52"/>
  <c r="BA116" i="52"/>
  <c r="BE267" i="52"/>
  <c r="U268" i="52"/>
  <c r="BA267" i="52"/>
  <c r="AP267" i="52"/>
  <c r="AI267" i="52"/>
  <c r="U269" i="52"/>
  <c r="AC269" i="52" s="1"/>
  <c r="BK269" i="52" s="1"/>
  <c r="U267" i="52"/>
  <c r="AV267" i="52"/>
  <c r="R366" i="52"/>
  <c r="W480" i="52"/>
  <c r="X480" i="52" s="1"/>
  <c r="P480" i="52" s="1"/>
  <c r="V455" i="52"/>
  <c r="W455" i="52"/>
  <c r="AI347" i="52"/>
  <c r="U347" i="52"/>
  <c r="AC347" i="52" s="1"/>
  <c r="AV347" i="52"/>
  <c r="AP347" i="52"/>
  <c r="AP269" i="52"/>
  <c r="AI269" i="52"/>
  <c r="BA269" i="52"/>
  <c r="U202" i="52"/>
  <c r="V202" i="52" s="1"/>
  <c r="U354" i="52"/>
  <c r="V354" i="52" s="1"/>
  <c r="P352" i="52" s="1"/>
  <c r="E374" i="52" s="1"/>
  <c r="V374" i="52" s="1"/>
  <c r="BA343" i="52"/>
  <c r="AP343" i="52"/>
  <c r="BE343" i="52"/>
  <c r="AI343" i="52"/>
  <c r="AV343" i="52"/>
  <c r="AB343" i="52"/>
  <c r="BJ343" i="52" s="1"/>
  <c r="AB344" i="52"/>
  <c r="BJ344" i="52" s="1"/>
  <c r="BA344" i="52"/>
  <c r="AP344" i="52"/>
  <c r="AV344" i="52"/>
  <c r="AI344" i="52"/>
  <c r="BE344" i="52"/>
  <c r="V467" i="52"/>
  <c r="X467" i="52" s="1"/>
  <c r="P467" i="52"/>
  <c r="U344" i="52"/>
  <c r="BE342" i="52"/>
  <c r="AV342" i="52"/>
  <c r="W495" i="52"/>
  <c r="W505" i="52"/>
  <c r="X505" i="52" s="1"/>
  <c r="P505" i="52" s="1"/>
  <c r="W484" i="52"/>
  <c r="V484" i="52"/>
  <c r="X484" i="52" s="1"/>
  <c r="P484" i="52" s="1"/>
  <c r="V365" i="52"/>
  <c r="AJ116" i="52"/>
  <c r="AQ116" i="52"/>
  <c r="AV268" i="52"/>
  <c r="AB268" i="52"/>
  <c r="BJ268" i="52" s="1"/>
  <c r="AI268" i="52"/>
  <c r="BE268" i="52"/>
  <c r="BA268" i="52"/>
  <c r="AP268" i="52"/>
  <c r="V139" i="52"/>
  <c r="AC116" i="52"/>
  <c r="BK116" i="52" s="1"/>
  <c r="AB116" i="52"/>
  <c r="AI342" i="52"/>
  <c r="V495" i="52"/>
  <c r="X495" i="52" s="1"/>
  <c r="X496" i="52"/>
  <c r="P496" i="52" s="1"/>
  <c r="T280" i="52"/>
  <c r="T279" i="52"/>
  <c r="U278" i="52" s="1"/>
  <c r="V278" i="52" s="1"/>
  <c r="BB115" i="52"/>
  <c r="AC115" i="52"/>
  <c r="BK115" i="52" s="1"/>
  <c r="V115" i="52"/>
  <c r="V117" i="52"/>
  <c r="AQ115" i="52"/>
  <c r="AJ115" i="52"/>
  <c r="AW115" i="52"/>
  <c r="V116" i="52"/>
  <c r="G565" i="54"/>
  <c r="G563" i="54"/>
  <c r="E563" i="54"/>
  <c r="G567" i="54"/>
  <c r="E567" i="54"/>
  <c r="E569" i="54"/>
  <c r="E565" i="54"/>
  <c r="V415" i="54"/>
  <c r="W415" i="54" s="1"/>
  <c r="P416" i="54" s="1"/>
  <c r="E537" i="54" s="1"/>
  <c r="Y537" i="54" s="1"/>
  <c r="BE342" i="54"/>
  <c r="AV342" i="54"/>
  <c r="AP342" i="54"/>
  <c r="AX348" i="54"/>
  <c r="W348" i="54"/>
  <c r="AE348" i="54" s="1"/>
  <c r="BM348" i="54" s="1"/>
  <c r="AK348" i="54"/>
  <c r="AR348" i="54"/>
  <c r="V500" i="54"/>
  <c r="X500" i="54" s="1"/>
  <c r="P500" i="54" s="1"/>
  <c r="BA268" i="54"/>
  <c r="AI268" i="54"/>
  <c r="U268" i="54"/>
  <c r="AC268" i="54" s="1"/>
  <c r="BK268" i="54" s="1"/>
  <c r="BE268" i="54"/>
  <c r="AV268" i="54"/>
  <c r="AP268" i="54"/>
  <c r="T280" i="54"/>
  <c r="T278" i="54"/>
  <c r="T279" i="54"/>
  <c r="BJ269" i="54"/>
  <c r="AJ196" i="54"/>
  <c r="BB196" i="54"/>
  <c r="V196" i="54"/>
  <c r="AD196" i="54"/>
  <c r="BL196" i="54" s="1"/>
  <c r="AC196" i="54"/>
  <c r="BK196" i="54" s="1"/>
  <c r="AQ196" i="54"/>
  <c r="AW196" i="54"/>
  <c r="AP192" i="54"/>
  <c r="AI192" i="54"/>
  <c r="AV192" i="54"/>
  <c r="U192" i="54"/>
  <c r="BA192" i="54"/>
  <c r="BE192" i="54"/>
  <c r="BK121" i="54"/>
  <c r="AD348" i="54"/>
  <c r="BL348" i="54" s="1"/>
  <c r="BJ116" i="54"/>
  <c r="X487" i="54"/>
  <c r="P487" i="54" s="1"/>
  <c r="X496" i="54"/>
  <c r="P496" i="54" s="1"/>
  <c r="AB342" i="54"/>
  <c r="BJ342" i="54" s="1"/>
  <c r="BK273" i="54"/>
  <c r="AJ269" i="54"/>
  <c r="AW269" i="54"/>
  <c r="V269" i="54"/>
  <c r="AD269" i="54" s="1"/>
  <c r="BL269" i="54" s="1"/>
  <c r="AQ269" i="54"/>
  <c r="BB269" i="54"/>
  <c r="AD33" i="54"/>
  <c r="U33" i="54"/>
  <c r="BE117" i="54"/>
  <c r="U117" i="54"/>
  <c r="AI117" i="54"/>
  <c r="AC117" i="54"/>
  <c r="BK117" i="54" s="1"/>
  <c r="AP117" i="54"/>
  <c r="AB117" i="54"/>
  <c r="BA117" i="54"/>
  <c r="AV117" i="54"/>
  <c r="BA342" i="54"/>
  <c r="AI198" i="54"/>
  <c r="AV198" i="54"/>
  <c r="BA198" i="54"/>
  <c r="U198" i="54"/>
  <c r="AP198" i="54"/>
  <c r="BE198" i="54"/>
  <c r="U203" i="54"/>
  <c r="V203" i="54" s="1"/>
  <c r="P201" i="54" s="1"/>
  <c r="E224" i="54" s="1"/>
  <c r="AL121" i="54"/>
  <c r="X121" i="54"/>
  <c r="AM121" i="54" s="1"/>
  <c r="AS121" i="54"/>
  <c r="BJ193" i="54"/>
  <c r="V503" i="54"/>
  <c r="X503" i="54" s="1"/>
  <c r="P503" i="54" s="1"/>
  <c r="V480" i="54"/>
  <c r="X480" i="54" s="1"/>
  <c r="P480" i="54" s="1"/>
  <c r="AI342" i="54"/>
  <c r="AB198" i="54"/>
  <c r="AI272" i="54"/>
  <c r="AV272" i="54"/>
  <c r="U354" i="54"/>
  <c r="V354" i="54" s="1"/>
  <c r="P352" i="54" s="1"/>
  <c r="E374" i="54" s="1"/>
  <c r="AB268" i="54"/>
  <c r="BJ197" i="54"/>
  <c r="AF273" i="54"/>
  <c r="BN273" i="54" s="1"/>
  <c r="AS273" i="54"/>
  <c r="AL273" i="54"/>
  <c r="X273" i="54"/>
  <c r="AM273" i="54" s="1"/>
  <c r="W479" i="54"/>
  <c r="AX274" i="54"/>
  <c r="AK274" i="54"/>
  <c r="AR274" i="54"/>
  <c r="W274" i="54"/>
  <c r="AB272" i="54"/>
  <c r="BJ272" i="54" s="1"/>
  <c r="AA40" i="54"/>
  <c r="AF40" i="54"/>
  <c r="W455" i="54"/>
  <c r="V455" i="54"/>
  <c r="X455" i="54" s="1"/>
  <c r="P455" i="54" s="1"/>
  <c r="P458" i="54" s="1"/>
  <c r="AE453" i="54" s="1"/>
  <c r="AF453" i="54" s="1"/>
  <c r="AD115" i="54"/>
  <c r="BL115" i="54" s="1"/>
  <c r="AK115" i="54"/>
  <c r="AX115" i="54"/>
  <c r="W115" i="54"/>
  <c r="AR197" i="54"/>
  <c r="W197" i="54"/>
  <c r="AE197" i="54" s="1"/>
  <c r="BM197" i="54" s="1"/>
  <c r="AX197" i="54"/>
  <c r="AK197" i="54"/>
  <c r="V485" i="54"/>
  <c r="X485" i="54" s="1"/>
  <c r="P485" i="54" s="1"/>
  <c r="AX272" i="54"/>
  <c r="AK272" i="54"/>
  <c r="W272" i="54"/>
  <c r="AA35" i="54"/>
  <c r="AL193" i="54"/>
  <c r="AS193" i="54"/>
  <c r="X193" i="54"/>
  <c r="AM193" i="54" s="1"/>
  <c r="AA34" i="54"/>
  <c r="AT34" i="54" s="1"/>
  <c r="Y36" i="54"/>
  <c r="E397" i="54"/>
  <c r="E396" i="54"/>
  <c r="X500" i="52"/>
  <c r="P500" i="52" s="1"/>
  <c r="X504" i="52"/>
  <c r="P504" i="52" s="1"/>
  <c r="W462" i="54"/>
  <c r="X462" i="54" s="1"/>
  <c r="P462" i="54" s="1"/>
  <c r="X497" i="52"/>
  <c r="P497" i="52" s="1"/>
  <c r="X481" i="52"/>
  <c r="P481" i="52" s="1"/>
  <c r="AI38" i="52"/>
  <c r="U40" i="52"/>
  <c r="Y38" i="52"/>
  <c r="U38" i="52"/>
  <c r="Z38" i="52" s="1"/>
  <c r="AS38" i="52" s="1"/>
  <c r="AM38" i="52"/>
  <c r="AD38" i="52"/>
  <c r="U39" i="52"/>
  <c r="AW343" i="52"/>
  <c r="AJ343" i="52"/>
  <c r="BB343" i="52"/>
  <c r="AQ343" i="52"/>
  <c r="V470" i="52"/>
  <c r="W470" i="52"/>
  <c r="BJ116" i="52"/>
  <c r="G401" i="52"/>
  <c r="G403" i="52"/>
  <c r="G407" i="52"/>
  <c r="W498" i="52"/>
  <c r="V498" i="52"/>
  <c r="V486" i="52"/>
  <c r="W486" i="52"/>
  <c r="W468" i="52"/>
  <c r="V468" i="52"/>
  <c r="X468" i="52" s="1"/>
  <c r="P468" i="52" s="1"/>
  <c r="AJ35" i="52"/>
  <c r="AE35" i="52"/>
  <c r="AA35" i="52"/>
  <c r="AT35" i="52" s="1"/>
  <c r="Z35" i="52"/>
  <c r="AR34" i="52"/>
  <c r="X499" i="52"/>
  <c r="P499" i="52" s="1"/>
  <c r="U274" i="52"/>
  <c r="AP272" i="52"/>
  <c r="AI272" i="52"/>
  <c r="AV272" i="52"/>
  <c r="U272" i="52"/>
  <c r="U273" i="52"/>
  <c r="AB272" i="52"/>
  <c r="BE272" i="52"/>
  <c r="BA272" i="52"/>
  <c r="W476" i="52"/>
  <c r="V476" i="52"/>
  <c r="AS121" i="52"/>
  <c r="AL121" i="52"/>
  <c r="E401" i="52"/>
  <c r="V474" i="52"/>
  <c r="W474" i="52"/>
  <c r="BB122" i="52"/>
  <c r="AW122" i="52"/>
  <c r="AJ122" i="52"/>
  <c r="AD122" i="52"/>
  <c r="BL122" i="52" s="1"/>
  <c r="AQ122" i="52"/>
  <c r="AC122" i="52"/>
  <c r="BJ269" i="52"/>
  <c r="X464" i="52"/>
  <c r="P464" i="52" s="1"/>
  <c r="BJ347" i="52"/>
  <c r="V503" i="52"/>
  <c r="W503" i="52"/>
  <c r="AW342" i="52"/>
  <c r="AQ342" i="52"/>
  <c r="V343" i="52"/>
  <c r="V342" i="52"/>
  <c r="AJ342" i="52"/>
  <c r="BB342" i="52"/>
  <c r="V344" i="52"/>
  <c r="AC342" i="52"/>
  <c r="BK342" i="52" s="1"/>
  <c r="U203" i="52"/>
  <c r="V203" i="52" s="1"/>
  <c r="P201" i="52" s="1"/>
  <c r="E224" i="52" s="1"/>
  <c r="V224" i="52" s="1"/>
  <c r="BJ198" i="52"/>
  <c r="E403" i="52"/>
  <c r="AI191" i="52"/>
  <c r="BA191" i="52"/>
  <c r="AP191" i="52"/>
  <c r="U193" i="52"/>
  <c r="AC193" i="52" s="1"/>
  <c r="BK193" i="52" s="1"/>
  <c r="U191" i="52"/>
  <c r="AC191" i="52" s="1"/>
  <c r="BK191" i="52" s="1"/>
  <c r="AB191" i="52"/>
  <c r="AV191" i="52"/>
  <c r="U192" i="52"/>
  <c r="BE191" i="52"/>
  <c r="E407" i="52"/>
  <c r="V473" i="52"/>
  <c r="W473" i="52"/>
  <c r="AJ349" i="52"/>
  <c r="AW349" i="52"/>
  <c r="BB349" i="52"/>
  <c r="AQ349" i="52"/>
  <c r="AC349" i="52"/>
  <c r="X454" i="52"/>
  <c r="BJ342" i="52"/>
  <c r="V483" i="52"/>
  <c r="W483" i="52"/>
  <c r="X122" i="52"/>
  <c r="AM122" i="52" s="1"/>
  <c r="X121" i="52"/>
  <c r="AM121" i="52" s="1"/>
  <c r="X120" i="52"/>
  <c r="AM120" i="52" s="1"/>
  <c r="AS120" i="52"/>
  <c r="AL120" i="52"/>
  <c r="X482" i="52"/>
  <c r="P482" i="52" s="1"/>
  <c r="X461" i="52"/>
  <c r="P461" i="52" s="1"/>
  <c r="B465" i="52" s="1"/>
  <c r="X502" i="52"/>
  <c r="P502" i="52" s="1"/>
  <c r="BE193" i="52"/>
  <c r="AI193" i="52"/>
  <c r="AP193" i="52"/>
  <c r="AB193" i="52"/>
  <c r="AV193" i="52"/>
  <c r="BA193" i="52"/>
  <c r="AW348" i="52"/>
  <c r="AJ348" i="52"/>
  <c r="AQ348" i="52"/>
  <c r="BB348" i="52"/>
  <c r="AC348" i="52"/>
  <c r="BK121" i="52"/>
  <c r="R139" i="52"/>
  <c r="AQ196" i="52"/>
  <c r="V196" i="52"/>
  <c r="AD196" i="52" s="1"/>
  <c r="BL196" i="52" s="1"/>
  <c r="AJ196" i="52"/>
  <c r="BB196" i="52"/>
  <c r="V198" i="52"/>
  <c r="AW196" i="52"/>
  <c r="V197" i="52"/>
  <c r="AC196" i="52"/>
  <c r="W472" i="52"/>
  <c r="V472" i="52"/>
  <c r="X472" i="52" s="1"/>
  <c r="P472" i="52" s="1"/>
  <c r="V415" i="52"/>
  <c r="W415" i="52" s="1"/>
  <c r="P416" i="52" s="1"/>
  <c r="E537" i="52" s="1"/>
  <c r="AE121" i="52"/>
  <c r="BM121" i="52" s="1"/>
  <c r="AR39" i="52"/>
  <c r="AL122" i="52"/>
  <c r="AS122" i="52"/>
  <c r="AE122" i="52"/>
  <c r="BM122" i="52" s="1"/>
  <c r="V488" i="52"/>
  <c r="W488" i="52"/>
  <c r="X469" i="52"/>
  <c r="P469" i="52" s="1"/>
  <c r="O171" i="52"/>
  <c r="AA173" i="52" s="1"/>
  <c r="O255" i="52"/>
  <c r="AC249" i="52" s="1"/>
  <c r="L630" i="54"/>
  <c r="L632" i="54"/>
  <c r="O326" i="52"/>
  <c r="AB324" i="52" s="1"/>
  <c r="L495" i="48"/>
  <c r="G54" i="60"/>
  <c r="V43" i="24"/>
  <c r="W43" i="24" s="1"/>
  <c r="V44" i="24" s="1"/>
  <c r="W44" i="24" s="1"/>
  <c r="V45" i="24" s="1"/>
  <c r="W45" i="24" s="1"/>
  <c r="V46" i="24" s="1"/>
  <c r="W46" i="24" s="1"/>
  <c r="V47" i="24" s="1"/>
  <c r="W47" i="24" s="1"/>
  <c r="V48" i="24" s="1"/>
  <c r="W48" i="24" s="1"/>
  <c r="V49" i="24" s="1"/>
  <c r="W49" i="24" s="1"/>
  <c r="V50" i="24" s="1"/>
  <c r="W50" i="24" s="1"/>
  <c r="V51" i="24" s="1"/>
  <c r="W51" i="24" s="1"/>
  <c r="P53" i="24" s="1"/>
  <c r="D14" i="59"/>
  <c r="N34" i="39" s="1"/>
  <c r="R366" i="54"/>
  <c r="Q55" i="60"/>
  <c r="G48" i="60"/>
  <c r="Q56" i="60"/>
  <c r="V366" i="54"/>
  <c r="O330" i="52"/>
  <c r="AC324" i="52" s="1"/>
  <c r="R61" i="52"/>
  <c r="V61" i="52"/>
  <c r="V65" i="52"/>
  <c r="R65" i="52"/>
  <c r="R62" i="52"/>
  <c r="V62" i="52"/>
  <c r="O94" i="52"/>
  <c r="AA96" i="52" s="1"/>
  <c r="O175" i="52"/>
  <c r="AB173" i="52" s="1"/>
  <c r="O179" i="52"/>
  <c r="O98" i="52"/>
  <c r="AB96" i="52" s="1"/>
  <c r="O322" i="52"/>
  <c r="AA324" i="52" s="1"/>
  <c r="O247" i="52"/>
  <c r="AA249" i="52" s="1"/>
  <c r="O251" i="52"/>
  <c r="AB249" i="52" s="1"/>
  <c r="C50" i="39"/>
  <c r="S50" i="39" s="1"/>
  <c r="C60" i="60"/>
  <c r="U5" i="33"/>
  <c r="V5" i="33" s="1"/>
  <c r="U6" i="33" s="1"/>
  <c r="V6" i="33" s="1"/>
  <c r="U7" i="33" s="1"/>
  <c r="V7" i="33" s="1"/>
  <c r="P9" i="33" s="1"/>
  <c r="AR33" i="54"/>
  <c r="AL120" i="54"/>
  <c r="X120" i="54"/>
  <c r="AE120" i="54"/>
  <c r="BM120" i="54" s="1"/>
  <c r="AS120" i="54"/>
  <c r="BJ191" i="54"/>
  <c r="U191" i="54"/>
  <c r="V191" i="54" s="1"/>
  <c r="AC191" i="54"/>
  <c r="BK191" i="54" s="1"/>
  <c r="AV191" i="54"/>
  <c r="BA191" i="54"/>
  <c r="BE191" i="54"/>
  <c r="AI191" i="54"/>
  <c r="AP191" i="54"/>
  <c r="BI267" i="54"/>
  <c r="AW272" i="54"/>
  <c r="BB272" i="54"/>
  <c r="AJ272" i="54"/>
  <c r="AD272" i="54"/>
  <c r="BL272" i="54" s="1"/>
  <c r="AQ272" i="54"/>
  <c r="AJ342" i="54"/>
  <c r="V342" i="54"/>
  <c r="AW342" i="54"/>
  <c r="AQ342" i="54"/>
  <c r="BB342" i="54"/>
  <c r="AC342" i="54"/>
  <c r="BK342" i="54" s="1"/>
  <c r="BL347" i="54"/>
  <c r="AA350" i="54"/>
  <c r="X450" i="54"/>
  <c r="X446" i="54"/>
  <c r="P446" i="54" s="1"/>
  <c r="AE446" i="54" s="1"/>
  <c r="AF446" i="54" s="1"/>
  <c r="W461" i="54"/>
  <c r="X461" i="54" s="1"/>
  <c r="P461" i="54" s="1"/>
  <c r="B465" i="54" s="1"/>
  <c r="X498" i="54"/>
  <c r="P498" i="54" s="1"/>
  <c r="X495" i="54"/>
  <c r="X502" i="54"/>
  <c r="P502" i="54" s="1"/>
  <c r="X497" i="54"/>
  <c r="P497" i="54" s="1"/>
  <c r="X505" i="54"/>
  <c r="P505" i="54" s="1"/>
  <c r="X482" i="54"/>
  <c r="P482" i="54" s="1"/>
  <c r="X489" i="54"/>
  <c r="P489" i="54" s="1"/>
  <c r="X491" i="54"/>
  <c r="P491" i="54" s="1"/>
  <c r="X486" i="54"/>
  <c r="P486" i="54" s="1"/>
  <c r="X479" i="54"/>
  <c r="V464" i="54"/>
  <c r="X464" i="54" s="1"/>
  <c r="P464" i="54" s="1"/>
  <c r="V460" i="54"/>
  <c r="W460" i="54"/>
  <c r="W463" i="54"/>
  <c r="X463" i="54" s="1"/>
  <c r="P463" i="54" s="1"/>
  <c r="X449" i="54"/>
  <c r="X448" i="54"/>
  <c r="X447" i="54"/>
  <c r="O171" i="54"/>
  <c r="AA173" i="54" s="1"/>
  <c r="V139" i="54"/>
  <c r="R139" i="54"/>
  <c r="O175" i="54"/>
  <c r="AB173" i="54" s="1"/>
  <c r="O322" i="54"/>
  <c r="AA324" i="54" s="1"/>
  <c r="O251" i="54"/>
  <c r="AB249" i="54" s="1"/>
  <c r="O179" i="54"/>
  <c r="O326" i="54"/>
  <c r="AB324" i="54" s="1"/>
  <c r="O255" i="54"/>
  <c r="AC245" i="54" s="1"/>
  <c r="O98" i="54"/>
  <c r="AB92" i="54" s="1"/>
  <c r="U18" i="31" l="1"/>
  <c r="V18" i="31" s="1"/>
  <c r="P16" i="31" s="1"/>
  <c r="AR31" i="44"/>
  <c r="AR32" i="44" s="1"/>
  <c r="Z40" i="37"/>
  <c r="W40" i="37"/>
  <c r="S40" i="37"/>
  <c r="V40" i="37"/>
  <c r="Y40" i="37"/>
  <c r="T40" i="37"/>
  <c r="AC40" i="37"/>
  <c r="AG40" i="37"/>
  <c r="AA40" i="37"/>
  <c r="C21" i="46"/>
  <c r="C48" i="39"/>
  <c r="S48" i="39" s="1"/>
  <c r="C58" i="60"/>
  <c r="C56" i="60"/>
  <c r="C46" i="39"/>
  <c r="S46" i="39" s="1"/>
  <c r="U88" i="37"/>
  <c r="AE88" i="37"/>
  <c r="Y88" i="37"/>
  <c r="AJ88" i="37"/>
  <c r="AI40" i="37"/>
  <c r="AB40" i="37"/>
  <c r="AH40" i="37"/>
  <c r="AF40" i="37"/>
  <c r="U40" i="37"/>
  <c r="X40" i="37"/>
  <c r="AE40" i="37"/>
  <c r="AD40" i="37"/>
  <c r="T88" i="37"/>
  <c r="AN88" i="37"/>
  <c r="AG88" i="37"/>
  <c r="AA88" i="37"/>
  <c r="W88" i="37"/>
  <c r="AR88" i="37"/>
  <c r="V88" i="37"/>
  <c r="X88" i="37"/>
  <c r="AO88" i="37"/>
  <c r="AQ88" i="37"/>
  <c r="AK88" i="37"/>
  <c r="S88" i="37"/>
  <c r="AM88" i="37"/>
  <c r="Z88" i="37"/>
  <c r="AF88" i="37"/>
  <c r="AB88" i="37"/>
  <c r="AC88" i="37"/>
  <c r="AI88" i="37"/>
  <c r="AP88" i="37"/>
  <c r="AL88" i="37"/>
  <c r="AS88" i="37"/>
  <c r="AD88" i="37"/>
  <c r="AH88" i="37"/>
  <c r="X11" i="41"/>
  <c r="X33" i="41" s="1"/>
  <c r="J32" i="41" s="1"/>
  <c r="X9" i="27"/>
  <c r="R21" i="27" s="1"/>
  <c r="R17" i="27" s="1"/>
  <c r="X9" i="40"/>
  <c r="X7" i="40" s="1"/>
  <c r="R19" i="40" s="1"/>
  <c r="R15" i="40" s="1"/>
  <c r="X9" i="34"/>
  <c r="Y91" i="34" s="1"/>
  <c r="AM32" i="44"/>
  <c r="N26" i="44" s="1"/>
  <c r="AO32" i="44"/>
  <c r="AP15" i="44"/>
  <c r="AQ15" i="44" s="1"/>
  <c r="AP16" i="44"/>
  <c r="AQ16" i="44" s="1"/>
  <c r="S60" i="44"/>
  <c r="D7" i="45"/>
  <c r="D8" i="45" s="1"/>
  <c r="D9" i="45" s="1"/>
  <c r="AO21" i="44" s="1"/>
  <c r="C54" i="60"/>
  <c r="C44" i="39"/>
  <c r="S44" i="39" s="1"/>
  <c r="C42" i="39"/>
  <c r="S42" i="39" s="1"/>
  <c r="C52" i="60"/>
  <c r="C39" i="39"/>
  <c r="S39" i="39" s="1"/>
  <c r="C49" i="60"/>
  <c r="O12" i="44"/>
  <c r="O14" i="44" s="1"/>
  <c r="E232" i="48"/>
  <c r="R232" i="48"/>
  <c r="AC223" i="48"/>
  <c r="R222" i="48" s="1"/>
  <c r="X334" i="48"/>
  <c r="P334" i="48" s="1"/>
  <c r="X331" i="50"/>
  <c r="P331" i="50" s="1"/>
  <c r="E232" i="50"/>
  <c r="AS31" i="44"/>
  <c r="AS32" i="44" s="1"/>
  <c r="AA20" i="52"/>
  <c r="AA25" i="52" s="1"/>
  <c r="AD20" i="52"/>
  <c r="AX267" i="54"/>
  <c r="AK267" i="54"/>
  <c r="AD267" i="54"/>
  <c r="BL267" i="54" s="1"/>
  <c r="AR267" i="54"/>
  <c r="W267" i="54"/>
  <c r="BB116" i="54"/>
  <c r="AQ116" i="54"/>
  <c r="AJ116" i="54"/>
  <c r="V116" i="54"/>
  <c r="AW116" i="54"/>
  <c r="X476" i="54"/>
  <c r="P476" i="54" s="1"/>
  <c r="P477" i="54" s="1"/>
  <c r="Z446" i="54" s="1"/>
  <c r="AJ349" i="54"/>
  <c r="AQ349" i="54"/>
  <c r="BB349" i="54"/>
  <c r="AD349" i="54"/>
  <c r="BL349" i="54" s="1"/>
  <c r="AW349" i="54"/>
  <c r="V349" i="54"/>
  <c r="AC349" i="54"/>
  <c r="BK349" i="54" s="1"/>
  <c r="P506" i="54"/>
  <c r="Z448" i="54" s="1"/>
  <c r="AA446" i="54" s="1"/>
  <c r="AB446" i="54" s="1"/>
  <c r="X41" i="54"/>
  <c r="X122" i="54"/>
  <c r="AM122" i="54" s="1"/>
  <c r="AS122" i="54"/>
  <c r="AE122" i="54"/>
  <c r="AL122" i="54"/>
  <c r="AC116" i="54"/>
  <c r="BK116" i="54" s="1"/>
  <c r="AR39" i="54"/>
  <c r="V147" i="54"/>
  <c r="Y147" i="54"/>
  <c r="BB343" i="54"/>
  <c r="AQ343" i="54"/>
  <c r="V343" i="54"/>
  <c r="AJ343" i="54"/>
  <c r="AW343" i="54"/>
  <c r="AC343" i="54"/>
  <c r="BK343" i="54" s="1"/>
  <c r="AD343" i="54"/>
  <c r="BL343" i="54" s="1"/>
  <c r="V374" i="54"/>
  <c r="Y374" i="54"/>
  <c r="X467" i="54"/>
  <c r="AE39" i="54"/>
  <c r="AJ39" i="54"/>
  <c r="V39" i="54"/>
  <c r="AF39" i="54" s="1"/>
  <c r="P492" i="54"/>
  <c r="Z447" i="54" s="1"/>
  <c r="V224" i="54"/>
  <c r="Y224" i="54"/>
  <c r="AR344" i="54"/>
  <c r="AX344" i="54"/>
  <c r="AD344" i="54"/>
  <c r="BL344" i="54" s="1"/>
  <c r="W344" i="54"/>
  <c r="AK344" i="54"/>
  <c r="G378" i="48"/>
  <c r="Z133" i="48"/>
  <c r="Y139" i="48" s="1"/>
  <c r="Y12" i="48"/>
  <c r="Y19" i="48" s="1"/>
  <c r="Z93" i="48"/>
  <c r="Y99" i="48" s="1"/>
  <c r="Z99" i="48" s="1"/>
  <c r="Z53" i="48"/>
  <c r="Y59" i="48" s="1"/>
  <c r="Z58" i="48" s="1"/>
  <c r="AC229" i="48"/>
  <c r="P292" i="48"/>
  <c r="N292" i="48" s="1"/>
  <c r="O178" i="48"/>
  <c r="AB12" i="48"/>
  <c r="Z12" i="48"/>
  <c r="Y20" i="48" s="1"/>
  <c r="AC565" i="52"/>
  <c r="AA597" i="52" s="1"/>
  <c r="K594" i="52" s="1"/>
  <c r="AB20" i="52"/>
  <c r="AA26" i="52" s="1"/>
  <c r="R386" i="50"/>
  <c r="R387" i="50" s="1"/>
  <c r="Z177" i="50"/>
  <c r="AA177" i="50" s="1"/>
  <c r="AB177" i="50" s="1"/>
  <c r="Z179" i="50"/>
  <c r="O138" i="50"/>
  <c r="O98" i="50"/>
  <c r="Z93" i="50" s="1"/>
  <c r="Y99" i="50" s="1"/>
  <c r="AB12" i="50"/>
  <c r="Y12" i="50"/>
  <c r="Y19" i="50" s="1"/>
  <c r="AD324" i="52"/>
  <c r="AE320" i="52" s="1"/>
  <c r="AD249" i="52"/>
  <c r="AE245" i="52" s="1"/>
  <c r="AB92" i="52"/>
  <c r="AA100" i="52" s="1"/>
  <c r="AA169" i="52"/>
  <c r="AA176" i="52" s="1"/>
  <c r="AB169" i="52"/>
  <c r="AA177" i="52" s="1"/>
  <c r="AA245" i="52"/>
  <c r="AA252" i="52" s="1"/>
  <c r="AB320" i="52"/>
  <c r="AA328" i="52" s="1"/>
  <c r="AA92" i="52"/>
  <c r="AA99" i="52" s="1"/>
  <c r="AB245" i="52"/>
  <c r="AA253" i="52" s="1"/>
  <c r="AA320" i="52"/>
  <c r="AA327" i="52" s="1"/>
  <c r="AC395" i="52"/>
  <c r="AA534" i="52" s="1"/>
  <c r="AC320" i="52"/>
  <c r="AA329" i="52" s="1"/>
  <c r="AA100" i="54"/>
  <c r="AB169" i="54"/>
  <c r="AA177" i="54" s="1"/>
  <c r="AB320" i="54"/>
  <c r="AA328" i="54" s="1"/>
  <c r="AA320" i="54"/>
  <c r="AA327" i="54" s="1"/>
  <c r="AC245" i="52"/>
  <c r="AA254" i="52" s="1"/>
  <c r="AC173" i="52"/>
  <c r="AD173" i="52" s="1"/>
  <c r="AE169" i="52" s="1"/>
  <c r="AC169" i="52"/>
  <c r="AA178" i="52" s="1"/>
  <c r="AC96" i="52"/>
  <c r="AD96" i="52" s="1"/>
  <c r="AE92" i="52" s="1"/>
  <c r="AC92" i="52"/>
  <c r="AA101" i="52" s="1"/>
  <c r="AB245" i="54"/>
  <c r="AA253" i="54" s="1"/>
  <c r="AA169" i="54"/>
  <c r="AA176" i="54" s="1"/>
  <c r="AC173" i="54"/>
  <c r="AD173" i="54" s="1"/>
  <c r="AE169" i="54" s="1"/>
  <c r="AC169" i="54"/>
  <c r="AA178" i="54" s="1"/>
  <c r="AA249" i="54"/>
  <c r="AA245" i="54"/>
  <c r="AA252" i="54" s="1"/>
  <c r="AC92" i="54"/>
  <c r="AA101" i="54" s="1"/>
  <c r="AA92" i="54"/>
  <c r="AA99" i="54" s="1"/>
  <c r="AC249" i="54"/>
  <c r="AA254" i="54"/>
  <c r="AB20" i="54"/>
  <c r="AA26" i="54" s="1"/>
  <c r="R330" i="54"/>
  <c r="O330" i="54" s="1"/>
  <c r="AC395" i="54"/>
  <c r="AA534" i="54" s="1"/>
  <c r="K531" i="54" s="1"/>
  <c r="O22" i="54"/>
  <c r="AA20" i="54" s="1"/>
  <c r="AA25" i="54" s="1"/>
  <c r="E7" i="45"/>
  <c r="E8" i="45" s="1"/>
  <c r="E9" i="45" s="1"/>
  <c r="AP21" i="44" s="1"/>
  <c r="K37" i="60"/>
  <c r="X7" i="34"/>
  <c r="R19" i="34" s="1"/>
  <c r="Y91" i="40"/>
  <c r="K90" i="40" s="1"/>
  <c r="U47" i="40"/>
  <c r="V47" i="40" s="1"/>
  <c r="U48" i="40" s="1"/>
  <c r="V48" i="40" s="1"/>
  <c r="U49" i="40" s="1"/>
  <c r="V49" i="40" s="1"/>
  <c r="U50" i="40" s="1"/>
  <c r="V50" i="40" s="1"/>
  <c r="U51" i="40" s="1"/>
  <c r="V51" i="40" s="1"/>
  <c r="U52" i="40" s="1"/>
  <c r="V52" i="40" s="1"/>
  <c r="U53" i="40" s="1"/>
  <c r="V53" i="40" s="1"/>
  <c r="P84" i="40" s="1"/>
  <c r="E97" i="40" s="1"/>
  <c r="T97" i="40" s="1"/>
  <c r="J32" i="27"/>
  <c r="X32" i="27"/>
  <c r="X9" i="41"/>
  <c r="R21" i="41" s="1"/>
  <c r="S21" i="41" s="1"/>
  <c r="X32" i="41"/>
  <c r="Y133" i="37"/>
  <c r="Z133" i="37"/>
  <c r="AD133" i="37"/>
  <c r="AC133" i="37"/>
  <c r="T133" i="37"/>
  <c r="S133" i="37"/>
  <c r="X133" i="37"/>
  <c r="AB133" i="37"/>
  <c r="U133" i="37"/>
  <c r="AA133" i="37"/>
  <c r="W133" i="37"/>
  <c r="V133" i="37"/>
  <c r="AE133" i="37"/>
  <c r="F21" i="46"/>
  <c r="L21" i="46"/>
  <c r="AB377" i="48"/>
  <c r="R379" i="48" s="1"/>
  <c r="R378" i="48" s="1"/>
  <c r="R380" i="48" s="1"/>
  <c r="P381" i="48" s="1"/>
  <c r="P318" i="48"/>
  <c r="T320" i="48" s="1"/>
  <c r="P320" i="48" s="1"/>
  <c r="P335" i="48"/>
  <c r="AE292" i="48" s="1"/>
  <c r="AF292" i="48" s="1"/>
  <c r="P328" i="48"/>
  <c r="AE289" i="48" s="1"/>
  <c r="AF289" i="48" s="1"/>
  <c r="X296" i="48"/>
  <c r="P296" i="48" s="1"/>
  <c r="T303" i="48" s="1"/>
  <c r="P303" i="48" s="1"/>
  <c r="Z281" i="48" s="1"/>
  <c r="AE286" i="48"/>
  <c r="AF286" i="48" s="1"/>
  <c r="J116" i="48"/>
  <c r="S116" i="48" s="1"/>
  <c r="J117" i="48"/>
  <c r="S117" i="48" s="1"/>
  <c r="J115" i="48"/>
  <c r="S115" i="48" s="1"/>
  <c r="J196" i="48"/>
  <c r="S196" i="48" s="1"/>
  <c r="J195" i="48"/>
  <c r="S195" i="48" s="1"/>
  <c r="J197" i="48"/>
  <c r="S197" i="48" s="1"/>
  <c r="J156" i="48"/>
  <c r="S156" i="48" s="1"/>
  <c r="J155" i="48"/>
  <c r="S155" i="48" s="1"/>
  <c r="J157" i="48"/>
  <c r="S157" i="48" s="1"/>
  <c r="J76" i="48"/>
  <c r="S76" i="48" s="1"/>
  <c r="J77" i="48"/>
  <c r="S77" i="48" s="1"/>
  <c r="J75" i="48"/>
  <c r="S75" i="48" s="1"/>
  <c r="J37" i="48"/>
  <c r="S37" i="48" s="1"/>
  <c r="J36" i="48"/>
  <c r="S36" i="48" s="1"/>
  <c r="J38" i="48"/>
  <c r="S38" i="48" s="1"/>
  <c r="X321" i="50"/>
  <c r="P321" i="50" s="1"/>
  <c r="X298" i="50"/>
  <c r="P298" i="50" s="1"/>
  <c r="X324" i="50"/>
  <c r="P324" i="50" s="1"/>
  <c r="X293" i="50"/>
  <c r="P293" i="50" s="1"/>
  <c r="P318" i="50"/>
  <c r="AE288" i="50" s="1"/>
  <c r="AF288" i="50" s="1"/>
  <c r="X309" i="50"/>
  <c r="P309" i="50" s="1"/>
  <c r="AB377" i="50"/>
  <c r="R379" i="50" s="1"/>
  <c r="R378" i="50" s="1"/>
  <c r="Z396" i="50"/>
  <c r="AA396" i="50" s="1"/>
  <c r="Z397" i="50" s="1"/>
  <c r="AA397" i="50" s="1"/>
  <c r="Z398" i="50" s="1"/>
  <c r="AA398" i="50" s="1"/>
  <c r="P401" i="50" s="1"/>
  <c r="E453" i="50" s="1"/>
  <c r="Y453" i="50" s="1"/>
  <c r="P335" i="50"/>
  <c r="AE292" i="50" s="1"/>
  <c r="AF292" i="50" s="1"/>
  <c r="P292" i="50"/>
  <c r="N292" i="50" s="1"/>
  <c r="X294" i="50"/>
  <c r="P294" i="50" s="1"/>
  <c r="AC223" i="50"/>
  <c r="X315" i="50"/>
  <c r="P315" i="50" s="1"/>
  <c r="P328" i="50"/>
  <c r="AE289" i="50" s="1"/>
  <c r="AF289" i="50" s="1"/>
  <c r="AC229" i="50"/>
  <c r="AS33" i="52"/>
  <c r="X36" i="52"/>
  <c r="X456" i="52"/>
  <c r="P456" i="52" s="1"/>
  <c r="AA34" i="52"/>
  <c r="AT34" i="52" s="1"/>
  <c r="AD343" i="52"/>
  <c r="BL343" i="52" s="1"/>
  <c r="U279" i="52"/>
  <c r="V279" i="52" s="1"/>
  <c r="P277" i="52" s="1"/>
  <c r="E299" i="52" s="1"/>
  <c r="V299" i="52" s="1"/>
  <c r="E36" i="50"/>
  <c r="W36" i="50" s="1"/>
  <c r="R232" i="50"/>
  <c r="X311" i="50"/>
  <c r="J77" i="50"/>
  <c r="S77" i="50" s="1"/>
  <c r="J75" i="50"/>
  <c r="S75" i="50" s="1"/>
  <c r="J76" i="50"/>
  <c r="S76" i="50" s="1"/>
  <c r="J195" i="50"/>
  <c r="S195" i="50" s="1"/>
  <c r="J197" i="50"/>
  <c r="S197" i="50" s="1"/>
  <c r="J196" i="50"/>
  <c r="S196" i="50" s="1"/>
  <c r="J115" i="50"/>
  <c r="S115" i="50" s="1"/>
  <c r="J117" i="50"/>
  <c r="S117" i="50" s="1"/>
  <c r="J116" i="50"/>
  <c r="S116" i="50" s="1"/>
  <c r="J157" i="50"/>
  <c r="S157" i="50" s="1"/>
  <c r="J156" i="50"/>
  <c r="S156" i="50" s="1"/>
  <c r="J155" i="50"/>
  <c r="S155" i="50" s="1"/>
  <c r="J37" i="50"/>
  <c r="S37" i="50" s="1"/>
  <c r="J38" i="50"/>
  <c r="S38" i="50" s="1"/>
  <c r="G397" i="52"/>
  <c r="BK347" i="52"/>
  <c r="I368" i="52"/>
  <c r="R368" i="52" s="1"/>
  <c r="X455" i="52"/>
  <c r="P455" i="52" s="1"/>
  <c r="AK116" i="52"/>
  <c r="AR116" i="52"/>
  <c r="AX116" i="52"/>
  <c r="AD116" i="52"/>
  <c r="BL116" i="52" s="1"/>
  <c r="AW347" i="52"/>
  <c r="V348" i="52"/>
  <c r="BB347" i="52"/>
  <c r="V349" i="52"/>
  <c r="V347" i="52"/>
  <c r="AQ347" i="52"/>
  <c r="AJ347" i="52"/>
  <c r="AJ344" i="52"/>
  <c r="AQ344" i="52"/>
  <c r="BB344" i="52"/>
  <c r="AW344" i="52"/>
  <c r="AJ267" i="52"/>
  <c r="AQ267" i="52"/>
  <c r="BB267" i="52"/>
  <c r="V269" i="52"/>
  <c r="AW267" i="52"/>
  <c r="V268" i="52"/>
  <c r="V267" i="52"/>
  <c r="AD267" i="52"/>
  <c r="BL267" i="52" s="1"/>
  <c r="AF120" i="52"/>
  <c r="AR117" i="52"/>
  <c r="AX117" i="52"/>
  <c r="AK117" i="52"/>
  <c r="AD117" i="52"/>
  <c r="BL117" i="52" s="1"/>
  <c r="AW269" i="52"/>
  <c r="BB269" i="52"/>
  <c r="AJ269" i="52"/>
  <c r="AQ269" i="52"/>
  <c r="Y36" i="52"/>
  <c r="AK115" i="52"/>
  <c r="AR115" i="52"/>
  <c r="W117" i="52"/>
  <c r="W115" i="52"/>
  <c r="W116" i="52"/>
  <c r="AX115" i="52"/>
  <c r="AD115" i="52"/>
  <c r="BL115" i="52" s="1"/>
  <c r="AW268" i="52"/>
  <c r="BB268" i="52"/>
  <c r="AQ268" i="52"/>
  <c r="AJ268" i="52"/>
  <c r="AC344" i="52"/>
  <c r="BK344" i="52" s="1"/>
  <c r="AE116" i="52"/>
  <c r="BM116" i="52" s="1"/>
  <c r="X476" i="52"/>
  <c r="P476" i="52" s="1"/>
  <c r="X470" i="52"/>
  <c r="P470" i="52" s="1"/>
  <c r="AC267" i="52"/>
  <c r="BK267" i="52" s="1"/>
  <c r="AC268" i="52"/>
  <c r="BK268" i="52" s="1"/>
  <c r="AC565" i="54"/>
  <c r="AA597" i="54" s="1"/>
  <c r="K594" i="54" s="1"/>
  <c r="G397" i="54"/>
  <c r="AT35" i="54"/>
  <c r="Z36" i="54"/>
  <c r="X197" i="54"/>
  <c r="AM197" i="54" s="1"/>
  <c r="AL197" i="54"/>
  <c r="AS197" i="54"/>
  <c r="AD198" i="54"/>
  <c r="BL198" i="54" s="1"/>
  <c r="AQ198" i="54"/>
  <c r="BB198" i="54"/>
  <c r="AW198" i="54"/>
  <c r="V198" i="54"/>
  <c r="AJ198" i="54"/>
  <c r="BJ117" i="54"/>
  <c r="AB275" i="54"/>
  <c r="AS274" i="54"/>
  <c r="AL274" i="54"/>
  <c r="AF274" i="54"/>
  <c r="BN274" i="54" s="1"/>
  <c r="X274" i="54"/>
  <c r="AM274" i="54" s="1"/>
  <c r="U278" i="54"/>
  <c r="V278" i="54" s="1"/>
  <c r="U279" i="54" s="1"/>
  <c r="V279" i="54" s="1"/>
  <c r="P277" i="54" s="1"/>
  <c r="E299" i="54" s="1"/>
  <c r="AW192" i="54"/>
  <c r="V192" i="54"/>
  <c r="AQ192" i="54"/>
  <c r="AD192" i="54"/>
  <c r="BL192" i="54" s="1"/>
  <c r="AJ192" i="54"/>
  <c r="BB192" i="54"/>
  <c r="AE274" i="54"/>
  <c r="W196" i="54"/>
  <c r="AX196" i="54"/>
  <c r="AR196" i="54"/>
  <c r="AK196" i="54"/>
  <c r="AE196" i="54"/>
  <c r="BM196" i="54" s="1"/>
  <c r="AF193" i="54"/>
  <c r="AE115" i="54"/>
  <c r="BM115" i="54" s="1"/>
  <c r="X115" i="54"/>
  <c r="AM115" i="54" s="1"/>
  <c r="AF115" i="54"/>
  <c r="BN115" i="54" s="1"/>
  <c r="AL115" i="54"/>
  <c r="AS115" i="54"/>
  <c r="BJ268" i="54"/>
  <c r="AC198" i="54"/>
  <c r="BK198" i="54" s="1"/>
  <c r="AQ117" i="54"/>
  <c r="BB117" i="54"/>
  <c r="V117" i="54"/>
  <c r="AD117" i="54" s="1"/>
  <c r="BL117" i="54" s="1"/>
  <c r="AW117" i="54"/>
  <c r="AJ117" i="54"/>
  <c r="AT40" i="54"/>
  <c r="Z41" i="54"/>
  <c r="BJ198" i="54"/>
  <c r="W269" i="54"/>
  <c r="AE269" i="54" s="1"/>
  <c r="BM269" i="54" s="1"/>
  <c r="AK269" i="54"/>
  <c r="AX269" i="54"/>
  <c r="AR269" i="54"/>
  <c r="AS272" i="54"/>
  <c r="X272" i="54"/>
  <c r="AM272" i="54" s="1"/>
  <c r="AL272" i="54"/>
  <c r="AE272" i="54"/>
  <c r="BM272" i="54" s="1"/>
  <c r="AX191" i="54"/>
  <c r="AR191" i="54"/>
  <c r="AK191" i="54"/>
  <c r="W191" i="54"/>
  <c r="AF121" i="54"/>
  <c r="AJ33" i="54"/>
  <c r="V33" i="54"/>
  <c r="AF33" i="54" s="1"/>
  <c r="Z33" i="54"/>
  <c r="AE33" i="54"/>
  <c r="AC192" i="54"/>
  <c r="AW268" i="54"/>
  <c r="AJ268" i="54"/>
  <c r="AQ268" i="54"/>
  <c r="V268" i="54"/>
  <c r="BB268" i="54"/>
  <c r="AS348" i="54"/>
  <c r="X348" i="54"/>
  <c r="AM348" i="54" s="1"/>
  <c r="AL348" i="54"/>
  <c r="X483" i="52"/>
  <c r="P483" i="52" s="1"/>
  <c r="AC566" i="52"/>
  <c r="P570" i="52" s="1"/>
  <c r="E596" i="52" s="1"/>
  <c r="Y596" i="52" s="1"/>
  <c r="X473" i="52"/>
  <c r="P473" i="52" s="1"/>
  <c r="X503" i="52"/>
  <c r="P503" i="52" s="1"/>
  <c r="AC396" i="52"/>
  <c r="P398" i="52" s="1"/>
  <c r="E534" i="52" s="1"/>
  <c r="R27" i="52"/>
  <c r="X488" i="52"/>
  <c r="P488" i="52" s="1"/>
  <c r="BK349" i="52"/>
  <c r="X486" i="52"/>
  <c r="P486" i="52" s="1"/>
  <c r="AJ40" i="52"/>
  <c r="AE40" i="52"/>
  <c r="Z40" i="52"/>
  <c r="BK348" i="52"/>
  <c r="AJ193" i="52"/>
  <c r="AW193" i="52"/>
  <c r="AQ193" i="52"/>
  <c r="BB193" i="52"/>
  <c r="V273" i="52"/>
  <c r="BB272" i="52"/>
  <c r="V272" i="52"/>
  <c r="AD272" i="52" s="1"/>
  <c r="AQ272" i="52"/>
  <c r="V274" i="52"/>
  <c r="AD274" i="52" s="1"/>
  <c r="BL274" i="52" s="1"/>
  <c r="AJ272" i="52"/>
  <c r="AW272" i="52"/>
  <c r="AR38" i="52"/>
  <c r="AF122" i="52"/>
  <c r="BN122" i="52" s="1"/>
  <c r="AK198" i="52"/>
  <c r="AX198" i="52"/>
  <c r="AR198" i="52"/>
  <c r="AD198" i="52"/>
  <c r="AR344" i="52"/>
  <c r="AK344" i="52"/>
  <c r="AX344" i="52"/>
  <c r="AD344" i="52"/>
  <c r="X474" i="52"/>
  <c r="P474" i="52" s="1"/>
  <c r="AW192" i="52"/>
  <c r="AQ192" i="52"/>
  <c r="BB192" i="52"/>
  <c r="AC192" i="52"/>
  <c r="AJ192" i="52"/>
  <c r="AC403" i="52"/>
  <c r="AA535" i="52" s="1"/>
  <c r="X498" i="52"/>
  <c r="P498" i="52" s="1"/>
  <c r="AE39" i="52"/>
  <c r="Z39" i="52"/>
  <c r="AJ39" i="52"/>
  <c r="AJ274" i="52"/>
  <c r="AW274" i="52"/>
  <c r="AQ274" i="52"/>
  <c r="AC274" i="52"/>
  <c r="BB274" i="52"/>
  <c r="BJ272" i="52"/>
  <c r="BK196" i="52"/>
  <c r="P465" i="52"/>
  <c r="AE454" i="52" s="1"/>
  <c r="AF454" i="52" s="1"/>
  <c r="BJ191" i="52"/>
  <c r="AK343" i="52"/>
  <c r="AX343" i="52"/>
  <c r="AR343" i="52"/>
  <c r="BK122" i="52"/>
  <c r="AF121" i="52"/>
  <c r="AC273" i="52"/>
  <c r="AJ273" i="52"/>
  <c r="BB273" i="52"/>
  <c r="AW273" i="52"/>
  <c r="AQ273" i="52"/>
  <c r="AD273" i="52"/>
  <c r="BL273" i="52" s="1"/>
  <c r="AS35" i="52"/>
  <c r="Z36" i="52"/>
  <c r="AR196" i="52"/>
  <c r="W197" i="52"/>
  <c r="AE197" i="52" s="1"/>
  <c r="BM197" i="52" s="1"/>
  <c r="W198" i="52"/>
  <c r="AE198" i="52" s="1"/>
  <c r="BM198" i="52" s="1"/>
  <c r="AK196" i="52"/>
  <c r="W196" i="52"/>
  <c r="AE196" i="52" s="1"/>
  <c r="AX196" i="52"/>
  <c r="AX342" i="52"/>
  <c r="W343" i="52"/>
  <c r="W344" i="52"/>
  <c r="W342" i="52"/>
  <c r="AE342" i="52"/>
  <c r="BM342" i="52" s="1"/>
  <c r="AR342" i="52"/>
  <c r="AK342" i="52"/>
  <c r="BK343" i="52"/>
  <c r="AK197" i="52"/>
  <c r="AD197" i="52"/>
  <c r="AR197" i="52"/>
  <c r="AX197" i="52"/>
  <c r="BJ193" i="52"/>
  <c r="AQ191" i="52"/>
  <c r="V191" i="52"/>
  <c r="BB191" i="52"/>
  <c r="AJ191" i="52"/>
  <c r="AW191" i="52"/>
  <c r="V192" i="52"/>
  <c r="AD192" i="52" s="1"/>
  <c r="BL192" i="52" s="1"/>
  <c r="V193" i="52"/>
  <c r="AD193" i="52" s="1"/>
  <c r="AD342" i="52"/>
  <c r="BL342" i="52" s="1"/>
  <c r="AC272" i="52"/>
  <c r="BK272" i="52" s="1"/>
  <c r="V40" i="52"/>
  <c r="AF40" i="52" s="1"/>
  <c r="V38" i="52"/>
  <c r="AF38" i="52" s="1"/>
  <c r="V39" i="52"/>
  <c r="AF39" i="52" s="1"/>
  <c r="AJ38" i="52"/>
  <c r="AE38" i="52"/>
  <c r="C59" i="60"/>
  <c r="C49" i="39"/>
  <c r="S49" i="39" s="1"/>
  <c r="R254" i="52"/>
  <c r="I147" i="52"/>
  <c r="R147" i="52" s="1"/>
  <c r="I144" i="52"/>
  <c r="R144" i="52" s="1"/>
  <c r="I141" i="52"/>
  <c r="R141" i="52" s="1"/>
  <c r="I143" i="52"/>
  <c r="R143" i="52" s="1"/>
  <c r="I152" i="52"/>
  <c r="R152" i="52" s="1"/>
  <c r="I142" i="52"/>
  <c r="R142" i="52" s="1"/>
  <c r="I151" i="52"/>
  <c r="R151" i="52" s="1"/>
  <c r="I229" i="52"/>
  <c r="R229" i="52" s="1"/>
  <c r="I224" i="52"/>
  <c r="R224" i="52" s="1"/>
  <c r="I219" i="52"/>
  <c r="R219" i="52" s="1"/>
  <c r="I218" i="52"/>
  <c r="R218" i="52" s="1"/>
  <c r="I220" i="52"/>
  <c r="R220" i="52" s="1"/>
  <c r="I228" i="52"/>
  <c r="R228" i="52" s="1"/>
  <c r="I221" i="52"/>
  <c r="R221" i="52" s="1"/>
  <c r="R101" i="52"/>
  <c r="R329" i="52"/>
  <c r="I374" i="52"/>
  <c r="R374" i="52" s="1"/>
  <c r="I371" i="52"/>
  <c r="R371" i="52" s="1"/>
  <c r="I378" i="52"/>
  <c r="R378" i="52" s="1"/>
  <c r="I369" i="52"/>
  <c r="R369" i="52" s="1"/>
  <c r="I379" i="52"/>
  <c r="R379" i="52" s="1"/>
  <c r="I370" i="52"/>
  <c r="R370" i="52" s="1"/>
  <c r="I295" i="52"/>
  <c r="R295" i="52" s="1"/>
  <c r="I294" i="52"/>
  <c r="R294" i="52" s="1"/>
  <c r="I303" i="52"/>
  <c r="R303" i="52" s="1"/>
  <c r="I296" i="52"/>
  <c r="R296" i="52" s="1"/>
  <c r="I293" i="52"/>
  <c r="R293" i="52" s="1"/>
  <c r="I304" i="52"/>
  <c r="R304" i="52" s="1"/>
  <c r="R178" i="52"/>
  <c r="I72" i="52"/>
  <c r="R72" i="52" s="1"/>
  <c r="I70" i="52"/>
  <c r="R70" i="52" s="1"/>
  <c r="I73" i="52"/>
  <c r="R73" i="52" s="1"/>
  <c r="I69" i="52"/>
  <c r="R69" i="52" s="1"/>
  <c r="I77" i="52"/>
  <c r="R77" i="52" s="1"/>
  <c r="I76" i="52"/>
  <c r="R76" i="52" s="1"/>
  <c r="I71" i="52"/>
  <c r="R71" i="52" s="1"/>
  <c r="C53" i="60"/>
  <c r="C43" i="39"/>
  <c r="S43" i="39" s="1"/>
  <c r="AF120" i="54"/>
  <c r="BN120" i="54" s="1"/>
  <c r="AM120" i="54"/>
  <c r="AW191" i="54"/>
  <c r="BB191" i="54"/>
  <c r="AJ191" i="54"/>
  <c r="AQ191" i="54"/>
  <c r="AD191" i="54"/>
  <c r="BL191" i="54" s="1"/>
  <c r="AK342" i="54"/>
  <c r="AR342" i="54"/>
  <c r="W342" i="54"/>
  <c r="AE342" i="54" s="1"/>
  <c r="BM342" i="54" s="1"/>
  <c r="AX342" i="54"/>
  <c r="AD342" i="54"/>
  <c r="X460" i="54"/>
  <c r="P460" i="54" s="1"/>
  <c r="P465" i="54" s="1"/>
  <c r="AE454" i="54" s="1"/>
  <c r="AF454" i="54" s="1"/>
  <c r="AC404" i="54"/>
  <c r="P408" i="54" s="1"/>
  <c r="E535" i="54" s="1"/>
  <c r="Y535" i="54" s="1"/>
  <c r="I152" i="54"/>
  <c r="R152" i="54" s="1"/>
  <c r="I296" i="54"/>
  <c r="R296" i="54" s="1"/>
  <c r="I293" i="54"/>
  <c r="R293" i="54" s="1"/>
  <c r="I294" i="54"/>
  <c r="R294" i="54" s="1"/>
  <c r="I303" i="54"/>
  <c r="R303" i="54" s="1"/>
  <c r="I304" i="54"/>
  <c r="R304" i="54" s="1"/>
  <c r="I295" i="54"/>
  <c r="R295" i="54" s="1"/>
  <c r="I220" i="54"/>
  <c r="R220" i="54" s="1"/>
  <c r="I219" i="54"/>
  <c r="R219" i="54" s="1"/>
  <c r="I218" i="54"/>
  <c r="R218" i="54" s="1"/>
  <c r="I221" i="54"/>
  <c r="R221" i="54" s="1"/>
  <c r="I229" i="54"/>
  <c r="R229" i="54" s="1"/>
  <c r="I224" i="54"/>
  <c r="R224" i="54" s="1"/>
  <c r="I228" i="54"/>
  <c r="R228" i="54" s="1"/>
  <c r="R254" i="54"/>
  <c r="I72" i="54"/>
  <c r="R72" i="54" s="1"/>
  <c r="I70" i="54"/>
  <c r="R70" i="54" s="1"/>
  <c r="I76" i="54"/>
  <c r="R76" i="54" s="1"/>
  <c r="I73" i="54"/>
  <c r="R73" i="54" s="1"/>
  <c r="I69" i="54"/>
  <c r="R69" i="54" s="1"/>
  <c r="I77" i="54"/>
  <c r="R77" i="54" s="1"/>
  <c r="I71" i="54"/>
  <c r="R71" i="54" s="1"/>
  <c r="I368" i="54"/>
  <c r="R368" i="54" s="1"/>
  <c r="I369" i="54"/>
  <c r="R369" i="54" s="1"/>
  <c r="I378" i="54"/>
  <c r="R378" i="54" s="1"/>
  <c r="I370" i="54"/>
  <c r="R370" i="54" s="1"/>
  <c r="I371" i="54"/>
  <c r="R371" i="54" s="1"/>
  <c r="I379" i="54"/>
  <c r="R379" i="54" s="1"/>
  <c r="I374" i="54"/>
  <c r="R374" i="54" s="1"/>
  <c r="R178" i="54"/>
  <c r="I143" i="54"/>
  <c r="R143" i="54" s="1"/>
  <c r="I147" i="54"/>
  <c r="R147" i="54" s="1"/>
  <c r="I151" i="54"/>
  <c r="R151" i="54" s="1"/>
  <c r="I142" i="54"/>
  <c r="R142" i="54" s="1"/>
  <c r="I144" i="54"/>
  <c r="R144" i="54" s="1"/>
  <c r="R101" i="54"/>
  <c r="I141" i="54"/>
  <c r="R141" i="54" s="1"/>
  <c r="S89" i="37" l="1"/>
  <c r="S90" i="37" s="1"/>
  <c r="T89" i="37"/>
  <c r="T90" i="37" s="1"/>
  <c r="S41" i="37"/>
  <c r="S42" i="37" s="1"/>
  <c r="S91" i="40"/>
  <c r="I91" i="40" s="1"/>
  <c r="T41" i="37"/>
  <c r="T42" i="37" s="1"/>
  <c r="U41" i="37" s="1"/>
  <c r="U42" i="37" s="1"/>
  <c r="V41" i="37" s="1"/>
  <c r="V42" i="37" s="1"/>
  <c r="W41" i="37" s="1"/>
  <c r="W42" i="37" s="1"/>
  <c r="X41" i="37" s="1"/>
  <c r="X42" i="37" s="1"/>
  <c r="Y41" i="37" s="1"/>
  <c r="Y42" i="37" s="1"/>
  <c r="Z41" i="37" s="1"/>
  <c r="Z42" i="37" s="1"/>
  <c r="AA41" i="37" s="1"/>
  <c r="AA42" i="37" s="1"/>
  <c r="AB41" i="37" s="1"/>
  <c r="AB42" i="37" s="1"/>
  <c r="AC41" i="37" s="1"/>
  <c r="AC42" i="37" s="1"/>
  <c r="AD41" i="37" s="1"/>
  <c r="AD42" i="37" s="1"/>
  <c r="AE41" i="37" s="1"/>
  <c r="AE42" i="37" s="1"/>
  <c r="AF41" i="37" s="1"/>
  <c r="AF42" i="37" s="1"/>
  <c r="AG41" i="37" s="1"/>
  <c r="AG42" i="37" s="1"/>
  <c r="AH41" i="37" s="1"/>
  <c r="AH42" i="37" s="1"/>
  <c r="P38" i="37" s="1"/>
  <c r="G145" i="37" s="1"/>
  <c r="U89" i="37"/>
  <c r="U90" i="37" s="1"/>
  <c r="V89" i="37" s="1"/>
  <c r="V90" i="37" s="1"/>
  <c r="W89" i="37" s="1"/>
  <c r="W90" i="37" s="1"/>
  <c r="X89" i="37" s="1"/>
  <c r="X90" i="37" s="1"/>
  <c r="Y89" i="37" s="1"/>
  <c r="Y90" i="37" s="1"/>
  <c r="Z89" i="37" s="1"/>
  <c r="Z90" i="37" s="1"/>
  <c r="AA89" i="37" s="1"/>
  <c r="AA90" i="37" s="1"/>
  <c r="AB89" i="37" s="1"/>
  <c r="AB90" i="37" s="1"/>
  <c r="AC89" i="37" s="1"/>
  <c r="AC90" i="37" s="1"/>
  <c r="AD89" i="37" s="1"/>
  <c r="AD90" i="37" s="1"/>
  <c r="AE89" i="37" s="1"/>
  <c r="AE90" i="37" s="1"/>
  <c r="AF89" i="37" s="1"/>
  <c r="AF90" i="37" s="1"/>
  <c r="AG89" i="37" s="1"/>
  <c r="AG90" i="37" s="1"/>
  <c r="AH89" i="37" s="1"/>
  <c r="AH90" i="37" s="1"/>
  <c r="AI89" i="37" s="1"/>
  <c r="AI90" i="37" s="1"/>
  <c r="AJ89" i="37" s="1"/>
  <c r="AJ90" i="37" s="1"/>
  <c r="AK89" i="37" s="1"/>
  <c r="AK90" i="37" s="1"/>
  <c r="AL89" i="37" s="1"/>
  <c r="AL90" i="37" s="1"/>
  <c r="AM89" i="37" s="1"/>
  <c r="AM90" i="37" s="1"/>
  <c r="AN89" i="37" s="1"/>
  <c r="AN90" i="37" s="1"/>
  <c r="AO89" i="37" s="1"/>
  <c r="AO90" i="37" s="1"/>
  <c r="AP89" i="37" s="1"/>
  <c r="AP90" i="37" s="1"/>
  <c r="AQ89" i="37" s="1"/>
  <c r="AQ90" i="37" s="1"/>
  <c r="AR89" i="37" s="1"/>
  <c r="AR90" i="37" s="1"/>
  <c r="P87" i="37" s="1"/>
  <c r="G146" i="37" s="1"/>
  <c r="S21" i="27"/>
  <c r="P8" i="27" s="1"/>
  <c r="D33" i="27" s="1"/>
  <c r="Y90" i="40"/>
  <c r="AE26" i="44"/>
  <c r="AF33" i="44" s="1"/>
  <c r="Z61" i="44" s="1"/>
  <c r="AS61" i="44" s="1"/>
  <c r="AT61" i="44" s="1"/>
  <c r="AR15" i="44"/>
  <c r="O33" i="44"/>
  <c r="I61" i="44" s="1"/>
  <c r="AM16" i="44"/>
  <c r="AN16" i="44" s="1"/>
  <c r="AM15" i="44"/>
  <c r="AN15" i="44" s="1"/>
  <c r="R227" i="48"/>
  <c r="R228" i="48" s="1"/>
  <c r="R223" i="48"/>
  <c r="AF17" i="44"/>
  <c r="Z60" i="44" s="1"/>
  <c r="AS60" i="44" s="1"/>
  <c r="AT60" i="44" s="1"/>
  <c r="K531" i="52"/>
  <c r="AB25" i="52"/>
  <c r="BM122" i="54"/>
  <c r="AC123" i="54"/>
  <c r="AE267" i="54"/>
  <c r="BM267" i="54" s="1"/>
  <c r="AS267" i="54"/>
  <c r="AL267" i="54"/>
  <c r="X267" i="54"/>
  <c r="AM267" i="54" s="1"/>
  <c r="AF348" i="54"/>
  <c r="AA33" i="54"/>
  <c r="AT33" i="54" s="1"/>
  <c r="X344" i="54"/>
  <c r="AM344" i="54" s="1"/>
  <c r="AS344" i="54"/>
  <c r="AL344" i="54"/>
  <c r="AF344" i="54"/>
  <c r="BN344" i="54" s="1"/>
  <c r="AE344" i="54"/>
  <c r="BM344" i="54" s="1"/>
  <c r="AA39" i="54"/>
  <c r="AX343" i="54"/>
  <c r="AR343" i="54"/>
  <c r="AK343" i="54"/>
  <c r="W343" i="54"/>
  <c r="AE343" i="54"/>
  <c r="BM343" i="54" s="1"/>
  <c r="AK349" i="54"/>
  <c r="W349" i="54"/>
  <c r="AX349" i="54"/>
  <c r="AR349" i="54"/>
  <c r="AX116" i="54"/>
  <c r="AD116" i="54"/>
  <c r="BL116" i="54" s="1"/>
  <c r="W116" i="54"/>
  <c r="AR116" i="54"/>
  <c r="AK116" i="54"/>
  <c r="V299" i="54"/>
  <c r="Y299" i="54"/>
  <c r="I299" i="54" s="1"/>
  <c r="R299" i="54" s="1"/>
  <c r="AF122" i="54"/>
  <c r="BN122" i="54" s="1"/>
  <c r="P388" i="50"/>
  <c r="E451" i="50" s="1"/>
  <c r="Y451" i="50" s="1"/>
  <c r="Z173" i="48"/>
  <c r="Y179" i="48" s="1"/>
  <c r="Z139" i="48"/>
  <c r="Z137" i="48"/>
  <c r="Z138" i="48"/>
  <c r="Y342" i="48"/>
  <c r="Z97" i="48"/>
  <c r="Z98" i="48"/>
  <c r="Y449" i="48"/>
  <c r="Z57" i="48"/>
  <c r="AA57" i="48" s="1"/>
  <c r="AB57" i="48" s="1"/>
  <c r="Z59" i="48"/>
  <c r="Z20" i="48"/>
  <c r="Z19" i="48"/>
  <c r="W461" i="48"/>
  <c r="Y448" i="48"/>
  <c r="R380" i="50"/>
  <c r="P381" i="50" s="1"/>
  <c r="E450" i="50" s="1"/>
  <c r="R222" i="50"/>
  <c r="Z133" i="50"/>
  <c r="Y139" i="50" s="1"/>
  <c r="Z137" i="50" s="1"/>
  <c r="AA178" i="50"/>
  <c r="AB178" i="50" s="1"/>
  <c r="AA173" i="50" s="1"/>
  <c r="P179" i="50" s="1"/>
  <c r="AB178" i="52"/>
  <c r="AB99" i="52"/>
  <c r="AB328" i="52"/>
  <c r="AB177" i="52"/>
  <c r="AB176" i="52"/>
  <c r="AB100" i="52"/>
  <c r="Y534" i="52"/>
  <c r="AB327" i="52"/>
  <c r="AB329" i="52"/>
  <c r="AB252" i="52"/>
  <c r="AB101" i="52"/>
  <c r="AD249" i="54"/>
  <c r="AE245" i="54" s="1"/>
  <c r="AC324" i="54"/>
  <c r="AD324" i="54" s="1"/>
  <c r="AE320" i="54" s="1"/>
  <c r="AC320" i="54"/>
  <c r="AA329" i="54" s="1"/>
  <c r="AB329" i="54" s="1"/>
  <c r="AB253" i="52"/>
  <c r="AB254" i="52"/>
  <c r="AB100" i="54"/>
  <c r="AB178" i="54"/>
  <c r="AB177" i="54"/>
  <c r="AB176" i="54"/>
  <c r="AB254" i="54"/>
  <c r="AB252" i="54"/>
  <c r="AB253" i="54"/>
  <c r="AC396" i="54"/>
  <c r="P398" i="54" s="1"/>
  <c r="AD20" i="54"/>
  <c r="R329" i="54"/>
  <c r="R27" i="54"/>
  <c r="S19" i="34"/>
  <c r="R15" i="34"/>
  <c r="S91" i="34"/>
  <c r="I91" i="34" s="1"/>
  <c r="K90" i="34"/>
  <c r="Y90" i="34"/>
  <c r="S19" i="40"/>
  <c r="P19" i="40" s="1"/>
  <c r="E91" i="40" s="1"/>
  <c r="T91" i="40" s="1"/>
  <c r="R17" i="41"/>
  <c r="P21" i="41" s="1"/>
  <c r="D33" i="41" s="1"/>
  <c r="S33" i="41" s="1"/>
  <c r="H33" i="41" s="1"/>
  <c r="T33" i="41" s="1"/>
  <c r="U34" i="41" s="1"/>
  <c r="S134" i="37"/>
  <c r="S135" i="37" s="1"/>
  <c r="T134" i="37" s="1"/>
  <c r="T135" i="37" s="1"/>
  <c r="U134" i="37" s="1"/>
  <c r="U135" i="37" s="1"/>
  <c r="V134" i="37" s="1"/>
  <c r="V135" i="37" s="1"/>
  <c r="W134" i="37" s="1"/>
  <c r="W135" i="37" s="1"/>
  <c r="X134" i="37" s="1"/>
  <c r="X135" i="37" s="1"/>
  <c r="Y134" i="37" s="1"/>
  <c r="Y135" i="37" s="1"/>
  <c r="Z134" i="37" s="1"/>
  <c r="Z135" i="37" s="1"/>
  <c r="AA134" i="37" s="1"/>
  <c r="AA135" i="37" s="1"/>
  <c r="AB134" i="37" s="1"/>
  <c r="AB135" i="37" s="1"/>
  <c r="AC134" i="37" s="1"/>
  <c r="AC135" i="37" s="1"/>
  <c r="AD134" i="37" s="1"/>
  <c r="AD135" i="37" s="1"/>
  <c r="P132" i="37" s="1"/>
  <c r="G147" i="37" s="1"/>
  <c r="Z283" i="48"/>
  <c r="AA284" i="48" s="1"/>
  <c r="AB284" i="48" s="1"/>
  <c r="AE287" i="48"/>
  <c r="AF287" i="48" s="1"/>
  <c r="AG287" i="48" s="1"/>
  <c r="Z284" i="48"/>
  <c r="AE288" i="48"/>
  <c r="AF288" i="48" s="1"/>
  <c r="E450" i="48"/>
  <c r="W449" i="48"/>
  <c r="P299" i="50"/>
  <c r="Z282" i="50" s="1"/>
  <c r="T303" i="50"/>
  <c r="P303" i="50" s="1"/>
  <c r="Z281" i="50" s="1"/>
  <c r="Z284" i="50"/>
  <c r="Y448" i="50"/>
  <c r="W461" i="50"/>
  <c r="Y449" i="50"/>
  <c r="AE286" i="50"/>
  <c r="AF286" i="50" s="1"/>
  <c r="J36" i="50"/>
  <c r="S36" i="50" s="1"/>
  <c r="R227" i="50"/>
  <c r="AA36" i="52"/>
  <c r="B36" i="52" s="1"/>
  <c r="P492" i="52"/>
  <c r="Z447" i="52" s="1"/>
  <c r="P458" i="52"/>
  <c r="AE453" i="52" s="1"/>
  <c r="AF453" i="52" s="1"/>
  <c r="P477" i="52"/>
  <c r="Z446" i="52" s="1"/>
  <c r="AZ34" i="52"/>
  <c r="I299" i="52"/>
  <c r="R299" i="52" s="1"/>
  <c r="P311" i="50"/>
  <c r="T320" i="50" s="1"/>
  <c r="P320" i="50" s="1"/>
  <c r="X320" i="50"/>
  <c r="Z98" i="50"/>
  <c r="Z97" i="50"/>
  <c r="Z99" i="50"/>
  <c r="Z19" i="50"/>
  <c r="Z20" i="50"/>
  <c r="AL116" i="52"/>
  <c r="AS116" i="52"/>
  <c r="AK349" i="52"/>
  <c r="AX349" i="52"/>
  <c r="AR349" i="52"/>
  <c r="AD349" i="52"/>
  <c r="AX347" i="52"/>
  <c r="W348" i="52"/>
  <c r="AK347" i="52"/>
  <c r="W347" i="52"/>
  <c r="AE347" i="52"/>
  <c r="BM347" i="52" s="1"/>
  <c r="W349" i="52"/>
  <c r="AR347" i="52"/>
  <c r="AX34" i="52"/>
  <c r="X116" i="52"/>
  <c r="AM116" i="52" s="1"/>
  <c r="AL115" i="52"/>
  <c r="AE115" i="52"/>
  <c r="BM115" i="52" s="1"/>
  <c r="X115" i="52"/>
  <c r="AM115" i="52" s="1"/>
  <c r="AS115" i="52"/>
  <c r="AF115" i="52"/>
  <c r="BN115" i="52" s="1"/>
  <c r="X117" i="52"/>
  <c r="AK267" i="52"/>
  <c r="AR267" i="52"/>
  <c r="W269" i="52"/>
  <c r="W268" i="52"/>
  <c r="W267" i="52"/>
  <c r="AX267" i="52"/>
  <c r="AE267" i="52"/>
  <c r="BM267" i="52" s="1"/>
  <c r="AV34" i="52"/>
  <c r="AS117" i="52"/>
  <c r="AL117" i="52"/>
  <c r="AE117" i="52"/>
  <c r="BM117" i="52" s="1"/>
  <c r="AK268" i="52"/>
  <c r="AR268" i="52"/>
  <c r="AX268" i="52"/>
  <c r="AE268" i="52"/>
  <c r="BM268" i="52" s="1"/>
  <c r="AK348" i="52"/>
  <c r="AR348" i="52"/>
  <c r="AX348" i="52"/>
  <c r="AD348" i="52"/>
  <c r="AA38" i="52"/>
  <c r="AT38" i="52" s="1"/>
  <c r="AD268" i="52"/>
  <c r="BL268" i="52" s="1"/>
  <c r="AD269" i="52"/>
  <c r="BL269" i="52" s="1"/>
  <c r="AR269" i="52"/>
  <c r="AX269" i="52"/>
  <c r="AK269" i="52"/>
  <c r="AE269" i="52"/>
  <c r="BM269" i="52" s="1"/>
  <c r="AD347" i="52"/>
  <c r="BN120" i="52"/>
  <c r="AA123" i="52"/>
  <c r="AC566" i="54"/>
  <c r="P570" i="54" s="1"/>
  <c r="BN348" i="54"/>
  <c r="AB350" i="54"/>
  <c r="BK192" i="54"/>
  <c r="AL191" i="54"/>
  <c r="AE191" i="54"/>
  <c r="BM191" i="54" s="1"/>
  <c r="X191" i="54"/>
  <c r="AM191" i="54" s="1"/>
  <c r="AS191" i="54"/>
  <c r="BN121" i="54"/>
  <c r="AB123" i="54"/>
  <c r="AK268" i="54"/>
  <c r="AX268" i="54"/>
  <c r="W268" i="54"/>
  <c r="AE268" i="54" s="1"/>
  <c r="BM268" i="54" s="1"/>
  <c r="AR268" i="54"/>
  <c r="BY121" i="54"/>
  <c r="AS33" i="54"/>
  <c r="X36" i="54"/>
  <c r="AA36" i="54" s="1"/>
  <c r="B36" i="54" s="1"/>
  <c r="BN193" i="54"/>
  <c r="AC194" i="54"/>
  <c r="AL196" i="54"/>
  <c r="AS196" i="54"/>
  <c r="X196" i="54"/>
  <c r="AM196" i="54" s="1"/>
  <c r="AF196" i="54"/>
  <c r="AK192" i="54"/>
  <c r="AX192" i="54"/>
  <c r="W192" i="54"/>
  <c r="AR192" i="54"/>
  <c r="AX198" i="54"/>
  <c r="W198" i="54"/>
  <c r="AE198" i="54" s="1"/>
  <c r="BM198" i="54" s="1"/>
  <c r="AK198" i="54"/>
  <c r="AR198" i="54"/>
  <c r="AF197" i="54"/>
  <c r="AD268" i="54"/>
  <c r="AA118" i="54"/>
  <c r="AF272" i="54"/>
  <c r="AF269" i="54"/>
  <c r="BN269" i="54" s="1"/>
  <c r="AS269" i="54"/>
  <c r="AL269" i="54"/>
  <c r="X269" i="54"/>
  <c r="AM269" i="54" s="1"/>
  <c r="W117" i="54"/>
  <c r="AE117" i="54" s="1"/>
  <c r="AX117" i="54"/>
  <c r="AR117" i="54"/>
  <c r="AK117" i="54"/>
  <c r="BM274" i="54"/>
  <c r="AC275" i="54"/>
  <c r="P506" i="52"/>
  <c r="Z448" i="52" s="1"/>
  <c r="AB26" i="52"/>
  <c r="AC25" i="52" s="1"/>
  <c r="AD25" i="52" s="1"/>
  <c r="BM196" i="52"/>
  <c r="BL193" i="52"/>
  <c r="BL272" i="52"/>
  <c r="AR191" i="52"/>
  <c r="AK191" i="52"/>
  <c r="W192" i="52"/>
  <c r="W193" i="52"/>
  <c r="AE193" i="52" s="1"/>
  <c r="BM193" i="52" s="1"/>
  <c r="AX191" i="52"/>
  <c r="W191" i="52"/>
  <c r="AE191" i="52" s="1"/>
  <c r="BM191" i="52" s="1"/>
  <c r="AS344" i="52"/>
  <c r="AL344" i="52"/>
  <c r="AL197" i="52"/>
  <c r="AS197" i="52"/>
  <c r="AC404" i="52"/>
  <c r="P408" i="52" s="1"/>
  <c r="AS343" i="52"/>
  <c r="AL343" i="52"/>
  <c r="AG446" i="52"/>
  <c r="AG453" i="52"/>
  <c r="AG454" i="52"/>
  <c r="AG449" i="52"/>
  <c r="AG447" i="52"/>
  <c r="AG450" i="52"/>
  <c r="AG448" i="52"/>
  <c r="AS39" i="52"/>
  <c r="AK274" i="52"/>
  <c r="AR274" i="52"/>
  <c r="AX274" i="52"/>
  <c r="BB34" i="52"/>
  <c r="AX193" i="52"/>
  <c r="AR193" i="52"/>
  <c r="AK193" i="52"/>
  <c r="BK274" i="52"/>
  <c r="AW34" i="52"/>
  <c r="AR192" i="52"/>
  <c r="AX192" i="52"/>
  <c r="AE192" i="52"/>
  <c r="BM192" i="52" s="1"/>
  <c r="AK192" i="52"/>
  <c r="BK273" i="52"/>
  <c r="AA39" i="52"/>
  <c r="AT39" i="52" s="1"/>
  <c r="BK192" i="52"/>
  <c r="AY34" i="52"/>
  <c r="AL196" i="52"/>
  <c r="AF196" i="52"/>
  <c r="BN196" i="52" s="1"/>
  <c r="AS196" i="52"/>
  <c r="X198" i="52"/>
  <c r="AM198" i="52" s="1"/>
  <c r="X197" i="52"/>
  <c r="AM197" i="52" s="1"/>
  <c r="X196" i="52"/>
  <c r="AM196" i="52" s="1"/>
  <c r="AE343" i="52"/>
  <c r="X41" i="52"/>
  <c r="BC34" i="52"/>
  <c r="BN121" i="52"/>
  <c r="AB123" i="52"/>
  <c r="BL344" i="52"/>
  <c r="W274" i="52"/>
  <c r="AR272" i="52"/>
  <c r="W273" i="52"/>
  <c r="AE273" i="52" s="1"/>
  <c r="BM273" i="52" s="1"/>
  <c r="W272" i="52"/>
  <c r="AK272" i="52"/>
  <c r="AE272" i="52"/>
  <c r="BM272" i="52" s="1"/>
  <c r="AX272" i="52"/>
  <c r="BL197" i="52"/>
  <c r="AC123" i="52"/>
  <c r="AK273" i="52"/>
  <c r="AX273" i="52"/>
  <c r="AR273" i="52"/>
  <c r="BA34" i="52"/>
  <c r="AA40" i="52"/>
  <c r="AT40" i="52" s="1"/>
  <c r="AY39" i="52" s="1"/>
  <c r="AD191" i="52"/>
  <c r="X342" i="52"/>
  <c r="AM342" i="52" s="1"/>
  <c r="AS342" i="52"/>
  <c r="X343" i="52"/>
  <c r="AM343" i="52" s="1"/>
  <c r="AL342" i="52"/>
  <c r="X344" i="52"/>
  <c r="AM344" i="52" s="1"/>
  <c r="AL198" i="52"/>
  <c r="AS198" i="52"/>
  <c r="AE344" i="52"/>
  <c r="BM344" i="52" s="1"/>
  <c r="BL198" i="52"/>
  <c r="AS40" i="52"/>
  <c r="AA448" i="54"/>
  <c r="AB448" i="54" s="1"/>
  <c r="AA447" i="54"/>
  <c r="AB447" i="54" s="1"/>
  <c r="AC446" i="54" s="1"/>
  <c r="AD446" i="54" s="1"/>
  <c r="AC447" i="54" s="1"/>
  <c r="AD447" i="54" s="1"/>
  <c r="P508" i="54" s="1"/>
  <c r="BU121" i="54"/>
  <c r="BS121" i="54"/>
  <c r="AA123" i="54"/>
  <c r="AD123" i="54" s="1"/>
  <c r="B123" i="54" s="1"/>
  <c r="BT121" i="54"/>
  <c r="BR121" i="54"/>
  <c r="BW121" i="54"/>
  <c r="BV121" i="54"/>
  <c r="BX121" i="54"/>
  <c r="BZ121" i="54"/>
  <c r="CA121" i="54"/>
  <c r="BL342" i="54"/>
  <c r="X342" i="54"/>
  <c r="AM342" i="54" s="1"/>
  <c r="AS342" i="54"/>
  <c r="AL342" i="54"/>
  <c r="AG454" i="54"/>
  <c r="AG448" i="54"/>
  <c r="AG447" i="54"/>
  <c r="AG446" i="54"/>
  <c r="AG449" i="54"/>
  <c r="AG453" i="54"/>
  <c r="AG450" i="54"/>
  <c r="AB101" i="54"/>
  <c r="AB99" i="54"/>
  <c r="I549" i="54"/>
  <c r="BS530" i="54" s="1"/>
  <c r="I550" i="54"/>
  <c r="BT530" i="54" s="1"/>
  <c r="I536" i="54"/>
  <c r="AT530" i="54" s="1"/>
  <c r="I537" i="54"/>
  <c r="AU530" i="54" s="1"/>
  <c r="I539" i="54"/>
  <c r="AW530" i="54" s="1"/>
  <c r="I538" i="54"/>
  <c r="AV530" i="54" s="1"/>
  <c r="I552" i="54"/>
  <c r="BV530" i="54" s="1"/>
  <c r="R145" i="37" l="1"/>
  <c r="P19" i="34"/>
  <c r="E91" i="34" s="1"/>
  <c r="T91" i="34" s="1"/>
  <c r="AL61" i="44"/>
  <c r="O61" i="44" s="1"/>
  <c r="AN61" i="44" s="1"/>
  <c r="AO61" i="44" s="1"/>
  <c r="AO15" i="44"/>
  <c r="O17" i="44" s="1"/>
  <c r="I60" i="44" s="1"/>
  <c r="AY61" i="44" s="1"/>
  <c r="R229" i="48"/>
  <c r="P234" i="48" s="1"/>
  <c r="O226" i="48"/>
  <c r="R228" i="50"/>
  <c r="O233" i="50" s="1"/>
  <c r="R223" i="50"/>
  <c r="AU60" i="44"/>
  <c r="AU65" i="44"/>
  <c r="O233" i="48"/>
  <c r="Y450" i="48"/>
  <c r="AC327" i="52"/>
  <c r="AD327" i="52" s="1"/>
  <c r="AL349" i="54"/>
  <c r="AS349" i="54"/>
  <c r="X349" i="54"/>
  <c r="AM349" i="54" s="1"/>
  <c r="AE349" i="54"/>
  <c r="AE116" i="54"/>
  <c r="AS116" i="54"/>
  <c r="AL116" i="54"/>
  <c r="X116" i="54"/>
  <c r="AM116" i="54" s="1"/>
  <c r="AC345" i="54"/>
  <c r="AL343" i="54"/>
  <c r="X343" i="54"/>
  <c r="AM343" i="54" s="1"/>
  <c r="AS343" i="54"/>
  <c r="AF191" i="54"/>
  <c r="AT39" i="54"/>
  <c r="Y41" i="54"/>
  <c r="AA41" i="54" s="1"/>
  <c r="B41" i="54" s="1"/>
  <c r="AF267" i="54"/>
  <c r="BN267" i="54" s="1"/>
  <c r="AC99" i="54"/>
  <c r="AD99" i="54" s="1"/>
  <c r="AC100" i="54" s="1"/>
  <c r="AD100" i="54" s="1"/>
  <c r="AD92" i="54" s="1"/>
  <c r="L450" i="48"/>
  <c r="W449" i="50"/>
  <c r="Y447" i="48"/>
  <c r="Y340" i="48"/>
  <c r="J365" i="48" s="1"/>
  <c r="S365" i="48" s="1"/>
  <c r="AA97" i="48"/>
  <c r="AB97" i="48" s="1"/>
  <c r="AA98" i="48" s="1"/>
  <c r="AB98" i="48" s="1"/>
  <c r="AA93" i="48" s="1"/>
  <c r="P99" i="48" s="1"/>
  <c r="L117" i="48" s="1"/>
  <c r="Z179" i="48"/>
  <c r="Z177" i="48"/>
  <c r="Z178" i="48"/>
  <c r="AA137" i="48"/>
  <c r="AB137" i="48" s="1"/>
  <c r="AA138" i="48" s="1"/>
  <c r="AB138" i="48" s="1"/>
  <c r="AA133" i="48" s="1"/>
  <c r="P139" i="48" s="1"/>
  <c r="L157" i="48" s="1"/>
  <c r="Z138" i="50"/>
  <c r="AA137" i="50" s="1"/>
  <c r="AB137" i="50" s="1"/>
  <c r="Z139" i="50"/>
  <c r="AA58" i="48"/>
  <c r="AB58" i="48" s="1"/>
  <c r="AA53" i="48" s="1"/>
  <c r="P59" i="48" s="1"/>
  <c r="L77" i="48" s="1"/>
  <c r="AA283" i="48"/>
  <c r="AB283" i="48" s="1"/>
  <c r="AG290" i="48"/>
  <c r="AA19" i="48"/>
  <c r="AB19" i="48" s="1"/>
  <c r="AA12" i="48" s="1"/>
  <c r="P21" i="48" s="1"/>
  <c r="L37" i="48" s="1"/>
  <c r="AG292" i="48"/>
  <c r="AC99" i="52"/>
  <c r="AD99" i="52" s="1"/>
  <c r="AC100" i="52" s="1"/>
  <c r="AD100" i="52" s="1"/>
  <c r="AD92" i="52" s="1"/>
  <c r="P88" i="52" s="1"/>
  <c r="L450" i="50"/>
  <c r="Y450" i="50"/>
  <c r="AC20" i="52"/>
  <c r="P16" i="52" s="1"/>
  <c r="AC176" i="52"/>
  <c r="AD176" i="52" s="1"/>
  <c r="AC177" i="52" s="1"/>
  <c r="AD177" i="52" s="1"/>
  <c r="AD169" i="52" s="1"/>
  <c r="P165" i="52" s="1"/>
  <c r="K225" i="52" s="1"/>
  <c r="AC252" i="52"/>
  <c r="AD252" i="52" s="1"/>
  <c r="AC253" i="52" s="1"/>
  <c r="AD253" i="52" s="1"/>
  <c r="AD245" i="52" s="1"/>
  <c r="P241" i="52" s="1"/>
  <c r="AC328" i="52"/>
  <c r="AD328" i="52" s="1"/>
  <c r="AD320" i="52" s="1"/>
  <c r="P316" i="52" s="1"/>
  <c r="E534" i="54"/>
  <c r="Y534" i="54" s="1"/>
  <c r="I534" i="54" s="1"/>
  <c r="AR530" i="54" s="1"/>
  <c r="K548" i="54"/>
  <c r="AB328" i="54"/>
  <c r="AB327" i="54"/>
  <c r="E596" i="54"/>
  <c r="Y596" i="54" s="1"/>
  <c r="I596" i="54" s="1"/>
  <c r="R596" i="54" s="1"/>
  <c r="K603" i="54"/>
  <c r="I535" i="54"/>
  <c r="AS530" i="54" s="1"/>
  <c r="AC176" i="54"/>
  <c r="AD176" i="54" s="1"/>
  <c r="AC177" i="54" s="1"/>
  <c r="AD177" i="54" s="1"/>
  <c r="AD169" i="54" s="1"/>
  <c r="P165" i="54" s="1"/>
  <c r="AC252" i="54"/>
  <c r="AD252" i="54" s="1"/>
  <c r="AC253" i="54" s="1"/>
  <c r="AD253" i="54" s="1"/>
  <c r="AD245" i="54" s="1"/>
  <c r="P241" i="54" s="1"/>
  <c r="K300" i="54" s="1"/>
  <c r="I604" i="54"/>
  <c r="R604" i="54" s="1"/>
  <c r="I607" i="54"/>
  <c r="R607" i="54" s="1"/>
  <c r="I606" i="54"/>
  <c r="R606" i="54" s="1"/>
  <c r="AB25" i="54"/>
  <c r="AB26" i="54"/>
  <c r="AZ61" i="44"/>
  <c r="AU61" i="44"/>
  <c r="AU62" i="44"/>
  <c r="AU66" i="44"/>
  <c r="AZ62" i="44"/>
  <c r="AU64" i="44"/>
  <c r="AU63" i="44"/>
  <c r="U97" i="40"/>
  <c r="U98" i="40"/>
  <c r="U95" i="40"/>
  <c r="U96" i="40"/>
  <c r="U92" i="40"/>
  <c r="U93" i="40"/>
  <c r="U94" i="40"/>
  <c r="U91" i="40"/>
  <c r="S33" i="27"/>
  <c r="H33" i="27" s="1"/>
  <c r="T33" i="27" s="1"/>
  <c r="U33" i="41"/>
  <c r="V33" i="41" s="1"/>
  <c r="W33" i="41" s="1"/>
  <c r="U35" i="41"/>
  <c r="U36" i="41"/>
  <c r="R147" i="37"/>
  <c r="R146" i="37"/>
  <c r="S145" i="37" s="1"/>
  <c r="T145" i="37" s="1"/>
  <c r="AG288" i="48"/>
  <c r="AG291" i="48"/>
  <c r="AG289" i="48"/>
  <c r="AG282" i="48"/>
  <c r="AG285" i="48"/>
  <c r="AA282" i="48"/>
  <c r="AB282" i="48" s="1"/>
  <c r="AA281" i="48"/>
  <c r="AB281" i="48" s="1"/>
  <c r="AG284" i="48"/>
  <c r="AG293" i="48"/>
  <c r="AG286" i="48"/>
  <c r="AG281" i="48"/>
  <c r="AG283" i="48"/>
  <c r="J358" i="48"/>
  <c r="S358" i="48" s="1"/>
  <c r="J355" i="48"/>
  <c r="S355" i="48" s="1"/>
  <c r="J363" i="48"/>
  <c r="S363" i="48" s="1"/>
  <c r="Y447" i="50"/>
  <c r="AV35" i="52"/>
  <c r="AW35" i="52" s="1"/>
  <c r="AA118" i="52"/>
  <c r="AW39" i="52"/>
  <c r="BC39" i="52"/>
  <c r="AF343" i="52"/>
  <c r="BN343" i="52" s="1"/>
  <c r="AF116" i="52"/>
  <c r="BN116" i="52" s="1"/>
  <c r="Z283" i="50"/>
  <c r="AE287" i="50"/>
  <c r="AF287" i="50" s="1"/>
  <c r="AA19" i="50"/>
  <c r="AB19" i="50" s="1"/>
  <c r="AA97" i="50"/>
  <c r="AB97" i="50" s="1"/>
  <c r="AA98" i="50" s="1"/>
  <c r="AB98" i="50" s="1"/>
  <c r="AA93" i="50" s="1"/>
  <c r="P99" i="50" s="1"/>
  <c r="L197" i="50"/>
  <c r="I603" i="54"/>
  <c r="R603" i="54" s="1"/>
  <c r="X269" i="52"/>
  <c r="AM269" i="52" s="1"/>
  <c r="X267" i="52"/>
  <c r="AM267" i="52" s="1"/>
  <c r="AL267" i="52"/>
  <c r="AS267" i="52"/>
  <c r="X268" i="52"/>
  <c r="AM268" i="52" s="1"/>
  <c r="AS347" i="52"/>
  <c r="X349" i="52"/>
  <c r="AM349" i="52" s="1"/>
  <c r="X348" i="52"/>
  <c r="AM348" i="52" s="1"/>
  <c r="AL347" i="52"/>
  <c r="X347" i="52"/>
  <c r="AM347" i="52" s="1"/>
  <c r="BL347" i="52"/>
  <c r="BL348" i="52"/>
  <c r="AL268" i="52"/>
  <c r="AS268" i="52"/>
  <c r="AF268" i="52"/>
  <c r="BN268" i="52" s="1"/>
  <c r="AL269" i="52"/>
  <c r="AS269" i="52"/>
  <c r="AL348" i="52"/>
  <c r="AS348" i="52"/>
  <c r="AL349" i="52"/>
  <c r="AS349" i="52"/>
  <c r="AF349" i="52"/>
  <c r="BN349" i="52" s="1"/>
  <c r="AX35" i="52"/>
  <c r="AY35" i="52" s="1"/>
  <c r="AZ35" i="52" s="1"/>
  <c r="BA35" i="52" s="1"/>
  <c r="BB35" i="52" s="1"/>
  <c r="P36" i="52" s="1"/>
  <c r="E67" i="52" s="1"/>
  <c r="Y41" i="52"/>
  <c r="AE349" i="52"/>
  <c r="BM349" i="52" s="1"/>
  <c r="AX39" i="52"/>
  <c r="AE348" i="52"/>
  <c r="BM348" i="52" s="1"/>
  <c r="AM117" i="52"/>
  <c r="AF117" i="52"/>
  <c r="BL349" i="52"/>
  <c r="BL268" i="54"/>
  <c r="AL192" i="54"/>
  <c r="AS192" i="54"/>
  <c r="X192" i="54"/>
  <c r="AM192" i="54" s="1"/>
  <c r="AY34" i="54"/>
  <c r="AZ34" i="54"/>
  <c r="BB34" i="54"/>
  <c r="BC34" i="54"/>
  <c r="AW34" i="54"/>
  <c r="BA34" i="54"/>
  <c r="AX34" i="54"/>
  <c r="AV34" i="54"/>
  <c r="BN197" i="54"/>
  <c r="AB199" i="54"/>
  <c r="AC270" i="54"/>
  <c r="AL117" i="54"/>
  <c r="X117" i="54"/>
  <c r="AM117" i="54" s="1"/>
  <c r="AF117" i="54"/>
  <c r="BN117" i="54" s="1"/>
  <c r="AS117" i="54"/>
  <c r="AE192" i="54"/>
  <c r="X268" i="54"/>
  <c r="AM268" i="54" s="1"/>
  <c r="AS268" i="54"/>
  <c r="AL268" i="54"/>
  <c r="BQ122" i="54"/>
  <c r="BR122" i="54" s="1"/>
  <c r="BS122" i="54" s="1"/>
  <c r="BT122" i="54" s="1"/>
  <c r="BU122" i="54" s="1"/>
  <c r="BV122" i="54" s="1"/>
  <c r="BW122" i="54" s="1"/>
  <c r="BX122" i="54" s="1"/>
  <c r="BY122" i="54" s="1"/>
  <c r="BZ122" i="54" s="1"/>
  <c r="P123" i="54" s="1"/>
  <c r="E146" i="54" s="1"/>
  <c r="Y146" i="54" s="1"/>
  <c r="BN272" i="54"/>
  <c r="AA275" i="54"/>
  <c r="AD275" i="54" s="1"/>
  <c r="B275" i="54" s="1"/>
  <c r="BM117" i="54"/>
  <c r="AF198" i="54"/>
  <c r="BN198" i="54" s="1"/>
  <c r="X198" i="54"/>
  <c r="AM198" i="54" s="1"/>
  <c r="AS198" i="54"/>
  <c r="AL198" i="54"/>
  <c r="AA199" i="54"/>
  <c r="BN196" i="54"/>
  <c r="BQ121" i="54"/>
  <c r="BP121" i="54"/>
  <c r="BP122" i="54" s="1"/>
  <c r="AA448" i="52"/>
  <c r="AB448" i="52" s="1"/>
  <c r="AA447" i="52"/>
  <c r="AB447" i="52" s="1"/>
  <c r="AA446" i="52"/>
  <c r="AB446" i="52" s="1"/>
  <c r="AC446" i="52" s="1"/>
  <c r="AD446" i="52" s="1"/>
  <c r="AC447" i="52" s="1"/>
  <c r="AD447" i="52" s="1"/>
  <c r="P508" i="52" s="1"/>
  <c r="V67" i="52"/>
  <c r="I67" i="52"/>
  <c r="R67" i="52" s="1"/>
  <c r="AL274" i="52"/>
  <c r="AS274" i="52"/>
  <c r="AF342" i="52"/>
  <c r="BA39" i="52"/>
  <c r="AA41" i="52"/>
  <c r="B41" i="52" s="1"/>
  <c r="AF197" i="52"/>
  <c r="AL193" i="52"/>
  <c r="AS193" i="52"/>
  <c r="AA199" i="52"/>
  <c r="AV39" i="52"/>
  <c r="AV40" i="52" s="1"/>
  <c r="AW40" i="52" s="1"/>
  <c r="AX40" i="52" s="1"/>
  <c r="E535" i="52"/>
  <c r="Y535" i="52" s="1"/>
  <c r="AS192" i="52"/>
  <c r="AL192" i="52"/>
  <c r="AF344" i="52"/>
  <c r="BN344" i="52" s="1"/>
  <c r="AZ39" i="52"/>
  <c r="BP121" i="52"/>
  <c r="CA121" i="52"/>
  <c r="BS121" i="52"/>
  <c r="BU121" i="52"/>
  <c r="BX121" i="52"/>
  <c r="BY121" i="52"/>
  <c r="BR121" i="52"/>
  <c r="BT121" i="52"/>
  <c r="BQ121" i="52"/>
  <c r="BZ121" i="52"/>
  <c r="BW121" i="52"/>
  <c r="BV121" i="52"/>
  <c r="BM343" i="52"/>
  <c r="AH446" i="52"/>
  <c r="AI446" i="52" s="1"/>
  <c r="AH447" i="52" s="1"/>
  <c r="AI447" i="52" s="1"/>
  <c r="AH448" i="52" s="1"/>
  <c r="AI448" i="52" s="1"/>
  <c r="AH449" i="52" s="1"/>
  <c r="AI449" i="52" s="1"/>
  <c r="AH450" i="52" s="1"/>
  <c r="AI450" i="52" s="1"/>
  <c r="AH453" i="52" s="1"/>
  <c r="AI453" i="52" s="1"/>
  <c r="P510" i="52" s="1"/>
  <c r="AD123" i="52"/>
  <c r="B123" i="52" s="1"/>
  <c r="Z41" i="52"/>
  <c r="BL191" i="52"/>
  <c r="BB39" i="52"/>
  <c r="X273" i="52"/>
  <c r="AM273" i="52" s="1"/>
  <c r="X274" i="52"/>
  <c r="AM274" i="52" s="1"/>
  <c r="AS272" i="52"/>
  <c r="X272" i="52"/>
  <c r="AM272" i="52" s="1"/>
  <c r="AL272" i="52"/>
  <c r="AF198" i="52"/>
  <c r="AS273" i="52"/>
  <c r="AL273" i="52"/>
  <c r="AE274" i="52"/>
  <c r="X191" i="52"/>
  <c r="AM191" i="52" s="1"/>
  <c r="AL191" i="52"/>
  <c r="AF191" i="52"/>
  <c r="BN191" i="52" s="1"/>
  <c r="AS191" i="52"/>
  <c r="X192" i="52"/>
  <c r="AM192" i="52" s="1"/>
  <c r="X193" i="52"/>
  <c r="AM193" i="52" s="1"/>
  <c r="E551" i="54"/>
  <c r="AF342" i="54"/>
  <c r="AH446" i="54"/>
  <c r="AI446" i="54" s="1"/>
  <c r="AH447" i="54" s="1"/>
  <c r="AI447" i="54" s="1"/>
  <c r="AH448" i="54" s="1"/>
  <c r="AI448" i="54" s="1"/>
  <c r="AH449" i="54" s="1"/>
  <c r="AI449" i="54" s="1"/>
  <c r="AH450" i="54" s="1"/>
  <c r="AI450" i="54" s="1"/>
  <c r="AH453" i="54" s="1"/>
  <c r="AI453" i="54" s="1"/>
  <c r="P510" i="54" s="1"/>
  <c r="E605" i="54" s="1"/>
  <c r="Y605" i="54" s="1"/>
  <c r="AN60" i="44" l="1"/>
  <c r="AO60" i="44" s="1"/>
  <c r="AP65" i="44" s="1"/>
  <c r="S146" i="37"/>
  <c r="T146" i="37" s="1"/>
  <c r="P144" i="37" s="1"/>
  <c r="U94" i="34"/>
  <c r="U92" i="34"/>
  <c r="U96" i="34"/>
  <c r="U91" i="34"/>
  <c r="U97" i="34"/>
  <c r="U95" i="34"/>
  <c r="U98" i="34"/>
  <c r="U93" i="34"/>
  <c r="AV60" i="44"/>
  <c r="AW60" i="44" s="1"/>
  <c r="AV61" i="44" s="1"/>
  <c r="AW61" i="44" s="1"/>
  <c r="AV62" i="44" s="1"/>
  <c r="AW62" i="44" s="1"/>
  <c r="AV63" i="44" s="1"/>
  <c r="AW63" i="44" s="1"/>
  <c r="AV64" i="44" s="1"/>
  <c r="AW64" i="44" s="1"/>
  <c r="AV65" i="44" s="1"/>
  <c r="AW65" i="44" s="1"/>
  <c r="Z67" i="44" s="1"/>
  <c r="O226" i="50"/>
  <c r="R229" i="50"/>
  <c r="E114" i="48"/>
  <c r="AA138" i="50"/>
  <c r="AB138" i="50" s="1"/>
  <c r="AA133" i="50" s="1"/>
  <c r="P139" i="50" s="1"/>
  <c r="L157" i="50" s="1"/>
  <c r="AV35" i="54"/>
  <c r="AW35" i="54" s="1"/>
  <c r="AA270" i="54"/>
  <c r="BM349" i="54"/>
  <c r="AC350" i="54"/>
  <c r="AD350" i="54" s="1"/>
  <c r="B350" i="54" s="1"/>
  <c r="AY39" i="54"/>
  <c r="AZ39" i="54"/>
  <c r="BB39" i="54"/>
  <c r="AX39" i="54"/>
  <c r="AV39" i="54"/>
  <c r="BA39" i="54"/>
  <c r="BC39" i="54"/>
  <c r="AW39" i="54"/>
  <c r="AF343" i="54"/>
  <c r="AF116" i="54"/>
  <c r="BN116" i="54" s="1"/>
  <c r="BT116" i="54" s="1"/>
  <c r="AF349" i="54"/>
  <c r="BN349" i="54" s="1"/>
  <c r="BN191" i="54"/>
  <c r="AA194" i="54"/>
  <c r="BM116" i="54"/>
  <c r="BU116" i="54" s="1"/>
  <c r="J453" i="48"/>
  <c r="S453" i="48" s="1"/>
  <c r="J467" i="48"/>
  <c r="S467" i="48" s="1"/>
  <c r="J469" i="48"/>
  <c r="S469" i="48" s="1"/>
  <c r="J464" i="48"/>
  <c r="S464" i="48" s="1"/>
  <c r="J451" i="48"/>
  <c r="S451" i="48" s="1"/>
  <c r="J362" i="48"/>
  <c r="S362" i="48" s="1"/>
  <c r="J364" i="48"/>
  <c r="S364" i="48" s="1"/>
  <c r="J357" i="48"/>
  <c r="S357" i="48" s="1"/>
  <c r="J354" i="48"/>
  <c r="S354" i="48" s="1"/>
  <c r="J468" i="48"/>
  <c r="S468" i="48" s="1"/>
  <c r="J356" i="48"/>
  <c r="S356" i="48" s="1"/>
  <c r="J465" i="48"/>
  <c r="S465" i="48" s="1"/>
  <c r="J466" i="48"/>
  <c r="S466" i="48" s="1"/>
  <c r="AA177" i="48"/>
  <c r="AB177" i="48" s="1"/>
  <c r="AA178" i="48" s="1"/>
  <c r="AB178" i="48" s="1"/>
  <c r="AA173" i="48" s="1"/>
  <c r="P179" i="48" s="1"/>
  <c r="L197" i="48" s="1"/>
  <c r="E74" i="48"/>
  <c r="S74" i="48" s="1"/>
  <c r="AH281" i="48"/>
  <c r="AI281" i="48" s="1"/>
  <c r="AH282" i="48" s="1"/>
  <c r="AI282" i="48" s="1"/>
  <c r="AH283" i="48" s="1"/>
  <c r="AI283" i="48" s="1"/>
  <c r="AH284" i="48" s="1"/>
  <c r="AI284" i="48" s="1"/>
  <c r="AH285" i="48" s="1"/>
  <c r="AI285" i="48" s="1"/>
  <c r="AH286" i="48" s="1"/>
  <c r="AI286" i="48" s="1"/>
  <c r="AH287" i="48" s="1"/>
  <c r="AI287" i="48" s="1"/>
  <c r="AH288" i="48" s="1"/>
  <c r="AI288" i="48" s="1"/>
  <c r="AH289" i="48" s="1"/>
  <c r="AI289" i="48" s="1"/>
  <c r="AH290" i="48" s="1"/>
  <c r="AI290" i="48" s="1"/>
  <c r="AH291" i="48" s="1"/>
  <c r="AI291" i="48" s="1"/>
  <c r="AH292" i="48" s="1"/>
  <c r="AI292" i="48" s="1"/>
  <c r="P338" i="48" s="1"/>
  <c r="E470" i="48" s="1"/>
  <c r="L117" i="50"/>
  <c r="K73" i="52"/>
  <c r="AA12" i="50"/>
  <c r="AC327" i="54"/>
  <c r="AD327" i="54" s="1"/>
  <c r="AC328" i="54" s="1"/>
  <c r="AD328" i="54" s="1"/>
  <c r="AD320" i="54" s="1"/>
  <c r="P316" i="54" s="1"/>
  <c r="K375" i="54" s="1"/>
  <c r="Y551" i="54"/>
  <c r="I551" i="54" s="1"/>
  <c r="BU530" i="54" s="1"/>
  <c r="U617" i="54"/>
  <c r="E66" i="52"/>
  <c r="V66" i="52" s="1"/>
  <c r="AC25" i="54"/>
  <c r="AD25" i="54" s="1"/>
  <c r="AC20" i="54" s="1"/>
  <c r="P16" i="54" s="1"/>
  <c r="V91" i="40"/>
  <c r="W91" i="40" s="1"/>
  <c r="V92" i="40" s="1"/>
  <c r="W92" i="40" s="1"/>
  <c r="V93" i="40" s="1"/>
  <c r="W93" i="40" s="1"/>
  <c r="V94" i="40" s="1"/>
  <c r="W94" i="40" s="1"/>
  <c r="V95" i="40" s="1"/>
  <c r="W95" i="40" s="1"/>
  <c r="V96" i="40" s="1"/>
  <c r="W96" i="40" s="1"/>
  <c r="V97" i="40" s="1"/>
  <c r="W97" i="40" s="1"/>
  <c r="P90" i="40" s="1"/>
  <c r="U34" i="27"/>
  <c r="U36" i="27"/>
  <c r="U35" i="27"/>
  <c r="U33" i="27"/>
  <c r="V34" i="41"/>
  <c r="W34" i="41" s="1"/>
  <c r="V35" i="41" s="1"/>
  <c r="W35" i="41" s="1"/>
  <c r="AP61" i="44"/>
  <c r="AP66" i="44"/>
  <c r="AP63" i="44"/>
  <c r="AP64" i="44"/>
  <c r="AP60" i="44"/>
  <c r="J453" i="50"/>
  <c r="S453" i="50" s="1"/>
  <c r="AC281" i="48"/>
  <c r="AD281" i="48" s="1"/>
  <c r="AC282" i="48" s="1"/>
  <c r="AD282" i="48" s="1"/>
  <c r="AC283" i="48" s="1"/>
  <c r="AD283" i="48" s="1"/>
  <c r="P337" i="48" s="1"/>
  <c r="W344" i="48" s="1"/>
  <c r="E35" i="48"/>
  <c r="S35" i="48" s="1"/>
  <c r="E353" i="48"/>
  <c r="W342" i="48"/>
  <c r="E154" i="48"/>
  <c r="J465" i="50"/>
  <c r="S465" i="50" s="1"/>
  <c r="J357" i="50"/>
  <c r="S357" i="50" s="1"/>
  <c r="J469" i="50"/>
  <c r="S469" i="50" s="1"/>
  <c r="J450" i="50"/>
  <c r="S450" i="50" s="1"/>
  <c r="J468" i="50"/>
  <c r="S468" i="50" s="1"/>
  <c r="J365" i="50"/>
  <c r="S365" i="50" s="1"/>
  <c r="J362" i="50"/>
  <c r="S362" i="50" s="1"/>
  <c r="J363" i="50"/>
  <c r="S363" i="50" s="1"/>
  <c r="J464" i="50"/>
  <c r="S464" i="50" s="1"/>
  <c r="J356" i="50"/>
  <c r="S356" i="50" s="1"/>
  <c r="J364" i="50"/>
  <c r="S364" i="50" s="1"/>
  <c r="J355" i="50"/>
  <c r="S355" i="50" s="1"/>
  <c r="J467" i="50"/>
  <c r="S467" i="50" s="1"/>
  <c r="J451" i="50"/>
  <c r="S451" i="50" s="1"/>
  <c r="J354" i="50"/>
  <c r="S354" i="50" s="1"/>
  <c r="J466" i="50"/>
  <c r="S466" i="50" s="1"/>
  <c r="J358" i="50"/>
  <c r="S358" i="50" s="1"/>
  <c r="AB118" i="52"/>
  <c r="AB345" i="52"/>
  <c r="AF269" i="52"/>
  <c r="BN269" i="52" s="1"/>
  <c r="AB270" i="52"/>
  <c r="AG291" i="50"/>
  <c r="AG288" i="50"/>
  <c r="AG285" i="50"/>
  <c r="AG283" i="50"/>
  <c r="AG281" i="50"/>
  <c r="AG293" i="50"/>
  <c r="AG286" i="50"/>
  <c r="AG287" i="50"/>
  <c r="AG292" i="50"/>
  <c r="AG290" i="50"/>
  <c r="AG284" i="50"/>
  <c r="AG289" i="50"/>
  <c r="AG282" i="50"/>
  <c r="AA282" i="50"/>
  <c r="AB282" i="50" s="1"/>
  <c r="AA281" i="50"/>
  <c r="AB281" i="50" s="1"/>
  <c r="AA283" i="50"/>
  <c r="AB283" i="50" s="1"/>
  <c r="AA284" i="50"/>
  <c r="AB284" i="50" s="1"/>
  <c r="E194" i="50"/>
  <c r="E114" i="50"/>
  <c r="AC350" i="52"/>
  <c r="AF347" i="52"/>
  <c r="AC118" i="52"/>
  <c r="BN117" i="52"/>
  <c r="BQ116" i="52" s="1"/>
  <c r="AC270" i="52"/>
  <c r="BT116" i="52"/>
  <c r="AY40" i="52"/>
  <c r="AZ40" i="52" s="1"/>
  <c r="BA40" i="52" s="1"/>
  <c r="BB40" i="52" s="1"/>
  <c r="P41" i="52" s="1"/>
  <c r="E68" i="52" s="1"/>
  <c r="AF274" i="52"/>
  <c r="BN274" i="52" s="1"/>
  <c r="AF348" i="52"/>
  <c r="AF267" i="52"/>
  <c r="AC118" i="54"/>
  <c r="AX35" i="54"/>
  <c r="AY35" i="54" s="1"/>
  <c r="AZ35" i="54" s="1"/>
  <c r="BA35" i="54" s="1"/>
  <c r="BB35" i="54" s="1"/>
  <c r="P36" i="54" s="1"/>
  <c r="E67" i="54" s="1"/>
  <c r="Y67" i="54" s="1"/>
  <c r="BV116" i="54"/>
  <c r="BS197" i="54"/>
  <c r="BU197" i="54"/>
  <c r="BW197" i="54"/>
  <c r="CA197" i="54"/>
  <c r="BX197" i="54"/>
  <c r="BY197" i="54"/>
  <c r="BQ197" i="54"/>
  <c r="BP197" i="54"/>
  <c r="BP198" i="54" s="1"/>
  <c r="BV197" i="54"/>
  <c r="BT197" i="54"/>
  <c r="BR197" i="54"/>
  <c r="BZ197" i="54"/>
  <c r="AF192" i="54"/>
  <c r="BN192" i="54" s="1"/>
  <c r="AC199" i="54"/>
  <c r="AD199" i="54" s="1"/>
  <c r="B199" i="54" s="1"/>
  <c r="BM192" i="54"/>
  <c r="AF268" i="54"/>
  <c r="CA273" i="54"/>
  <c r="BW273" i="54"/>
  <c r="BP273" i="54"/>
  <c r="BU273" i="54"/>
  <c r="BY273" i="54"/>
  <c r="BZ273" i="54"/>
  <c r="BX273" i="54"/>
  <c r="BT273" i="54"/>
  <c r="BR273" i="54"/>
  <c r="BQ273" i="54"/>
  <c r="BS273" i="54"/>
  <c r="BV273" i="54"/>
  <c r="K225" i="54"/>
  <c r="E551" i="52"/>
  <c r="K548" i="52"/>
  <c r="S518" i="54"/>
  <c r="E217" i="52"/>
  <c r="AA194" i="52"/>
  <c r="I550" i="52"/>
  <c r="BT530" i="52" s="1"/>
  <c r="I538" i="52"/>
  <c r="AV530" i="52" s="1"/>
  <c r="I552" i="52"/>
  <c r="BV530" i="52" s="1"/>
  <c r="I603" i="52"/>
  <c r="R603" i="52" s="1"/>
  <c r="I537" i="52"/>
  <c r="AU530" i="52" s="1"/>
  <c r="I596" i="52"/>
  <c r="R596" i="52" s="1"/>
  <c r="I607" i="52"/>
  <c r="R607" i="52" s="1"/>
  <c r="I535" i="52"/>
  <c r="AS530" i="52" s="1"/>
  <c r="I549" i="52"/>
  <c r="BS530" i="52" s="1"/>
  <c r="I539" i="52"/>
  <c r="AW530" i="52" s="1"/>
  <c r="I534" i="52"/>
  <c r="AR530" i="52" s="1"/>
  <c r="I604" i="52"/>
  <c r="R604" i="52" s="1"/>
  <c r="I536" i="52"/>
  <c r="AT530" i="52" s="1"/>
  <c r="I606" i="52"/>
  <c r="R606" i="52" s="1"/>
  <c r="BN197" i="52"/>
  <c r="AB199" i="52"/>
  <c r="AF273" i="52"/>
  <c r="BP122" i="52"/>
  <c r="BQ122" i="52" s="1"/>
  <c r="BR122" i="52" s="1"/>
  <c r="BS122" i="52" s="1"/>
  <c r="BT122" i="52" s="1"/>
  <c r="BU122" i="52" s="1"/>
  <c r="BV122" i="52" s="1"/>
  <c r="BW122" i="52" s="1"/>
  <c r="BX122" i="52" s="1"/>
  <c r="BY122" i="52" s="1"/>
  <c r="BZ122" i="52" s="1"/>
  <c r="P123" i="52" s="1"/>
  <c r="E146" i="52" s="1"/>
  <c r="AC345" i="52"/>
  <c r="BM274" i="52"/>
  <c r="AC275" i="52"/>
  <c r="AF272" i="52"/>
  <c r="AF192" i="52"/>
  <c r="BN198" i="52"/>
  <c r="AC199" i="52"/>
  <c r="AD199" i="52" s="1"/>
  <c r="B199" i="52" s="1"/>
  <c r="E605" i="52"/>
  <c r="K603" i="52"/>
  <c r="AF193" i="52"/>
  <c r="BN342" i="52"/>
  <c r="AA345" i="52"/>
  <c r="E140" i="52"/>
  <c r="K148" i="52"/>
  <c r="K300" i="52"/>
  <c r="E292" i="52"/>
  <c r="K375" i="52"/>
  <c r="E367" i="52"/>
  <c r="V146" i="54"/>
  <c r="I146" i="54"/>
  <c r="R146" i="54" s="1"/>
  <c r="BN342" i="54"/>
  <c r="AA345" i="54"/>
  <c r="I605" i="54"/>
  <c r="R605" i="54" s="1"/>
  <c r="E292" i="54"/>
  <c r="AP62" i="44" l="1"/>
  <c r="AY62" i="44"/>
  <c r="V91" i="34"/>
  <c r="W91" i="34" s="1"/>
  <c r="V92" i="34" s="1"/>
  <c r="W92" i="34" s="1"/>
  <c r="V93" i="34" s="1"/>
  <c r="W93" i="34" s="1"/>
  <c r="V94" i="34" s="1"/>
  <c r="W94" i="34" s="1"/>
  <c r="V95" i="34" s="1"/>
  <c r="W95" i="34" s="1"/>
  <c r="V96" i="34" s="1"/>
  <c r="W96" i="34" s="1"/>
  <c r="V97" i="34" s="1"/>
  <c r="W97" i="34" s="1"/>
  <c r="P90" i="34" s="1"/>
  <c r="C44" i="60" s="1"/>
  <c r="W453" i="48"/>
  <c r="W457" i="48" s="1"/>
  <c r="L466" i="48" s="1"/>
  <c r="Y470" i="48"/>
  <c r="J470" i="48" s="1"/>
  <c r="S470" i="48" s="1"/>
  <c r="BY116" i="54"/>
  <c r="BN343" i="54"/>
  <c r="AB345" i="54"/>
  <c r="AD345" i="54" s="1"/>
  <c r="B345" i="54" s="1"/>
  <c r="BQ116" i="54"/>
  <c r="BP117" i="54" s="1"/>
  <c r="BQ117" i="54" s="1"/>
  <c r="BR117" i="54" s="1"/>
  <c r="BS117" i="54" s="1"/>
  <c r="BT117" i="54" s="1"/>
  <c r="BU117" i="54" s="1"/>
  <c r="BV117" i="54" s="1"/>
  <c r="BW117" i="54" s="1"/>
  <c r="BX117" i="54" s="1"/>
  <c r="BY117" i="54" s="1"/>
  <c r="BZ117" i="54" s="1"/>
  <c r="P118" i="54" s="1"/>
  <c r="E145" i="54" s="1"/>
  <c r="Y145" i="54" s="1"/>
  <c r="I145" i="54" s="1"/>
  <c r="BR116" i="54"/>
  <c r="BS116" i="54"/>
  <c r="BX116" i="54"/>
  <c r="BW116" i="54"/>
  <c r="AB118" i="54"/>
  <c r="AD118" i="54" s="1"/>
  <c r="B118" i="54" s="1"/>
  <c r="BR348" i="54"/>
  <c r="BX348" i="54"/>
  <c r="BW348" i="54"/>
  <c r="CA348" i="54"/>
  <c r="BU348" i="54"/>
  <c r="BP348" i="54"/>
  <c r="BY348" i="54"/>
  <c r="BT348" i="54"/>
  <c r="BQ348" i="54"/>
  <c r="BZ348" i="54"/>
  <c r="BV348" i="54"/>
  <c r="BS348" i="54"/>
  <c r="CA116" i="54"/>
  <c r="BZ116" i="54"/>
  <c r="BP116" i="54"/>
  <c r="AV40" i="54"/>
  <c r="AW40" i="54" s="1"/>
  <c r="AX40" i="54" s="1"/>
  <c r="AY40" i="54" s="1"/>
  <c r="AZ40" i="54" s="1"/>
  <c r="BA40" i="54" s="1"/>
  <c r="BB40" i="54" s="1"/>
  <c r="P41" i="54" s="1"/>
  <c r="E68" i="54" s="1"/>
  <c r="P21" i="50"/>
  <c r="E35" i="50" s="1"/>
  <c r="S35" i="50" s="1"/>
  <c r="J450" i="48"/>
  <c r="S450" i="48" s="1"/>
  <c r="R271" i="48"/>
  <c r="E194" i="48"/>
  <c r="S194" i="48" s="1"/>
  <c r="E154" i="50"/>
  <c r="S154" i="50" s="1"/>
  <c r="T156" i="50" s="1"/>
  <c r="E367" i="54"/>
  <c r="R367" i="54" s="1"/>
  <c r="U617" i="52"/>
  <c r="Y605" i="52"/>
  <c r="U616" i="52"/>
  <c r="U618" i="52" s="1"/>
  <c r="Y551" i="52"/>
  <c r="R66" i="52"/>
  <c r="E217" i="54"/>
  <c r="V217" i="54" s="1"/>
  <c r="P88" i="54"/>
  <c r="K148" i="54" s="1"/>
  <c r="V217" i="52"/>
  <c r="R217" i="52"/>
  <c r="K73" i="54"/>
  <c r="AQ70" i="44"/>
  <c r="AQ60" i="44"/>
  <c r="AR60" i="44" s="1"/>
  <c r="AQ61" i="44" s="1"/>
  <c r="AR61" i="44" s="1"/>
  <c r="AQ62" i="44" s="1"/>
  <c r="AR62" i="44" s="1"/>
  <c r="AQ63" i="44" s="1"/>
  <c r="AR63" i="44" s="1"/>
  <c r="AQ64" i="44" s="1"/>
  <c r="AR64" i="44" s="1"/>
  <c r="AQ65" i="44" s="1"/>
  <c r="AR65" i="44" s="1"/>
  <c r="I67" i="44" s="1"/>
  <c r="C45" i="60"/>
  <c r="C35" i="39"/>
  <c r="S35" i="39" s="1"/>
  <c r="V33" i="27"/>
  <c r="W33" i="27" s="1"/>
  <c r="V34" i="27" s="1"/>
  <c r="W34" i="27" s="1"/>
  <c r="V35" i="27" s="1"/>
  <c r="W35" i="27" s="1"/>
  <c r="P32" i="27" s="1"/>
  <c r="C36" i="39" s="1"/>
  <c r="S36" i="39" s="1"/>
  <c r="P32" i="41"/>
  <c r="C37" i="39" s="1"/>
  <c r="S37" i="39" s="1"/>
  <c r="C38" i="39"/>
  <c r="S38" i="39" s="1"/>
  <c r="C48" i="60"/>
  <c r="E366" i="48"/>
  <c r="W348" i="48"/>
  <c r="L362" i="48" s="1"/>
  <c r="S154" i="48"/>
  <c r="S114" i="48"/>
  <c r="T75" i="48"/>
  <c r="T76" i="48"/>
  <c r="T77" i="48"/>
  <c r="T74" i="48"/>
  <c r="T80" i="48"/>
  <c r="T78" i="48"/>
  <c r="T73" i="48"/>
  <c r="T79" i="48"/>
  <c r="T40" i="48"/>
  <c r="T35" i="48"/>
  <c r="T39" i="48"/>
  <c r="T37" i="48"/>
  <c r="T38" i="48"/>
  <c r="T36" i="48"/>
  <c r="T34" i="48"/>
  <c r="AC281" i="50"/>
  <c r="AD281" i="50" s="1"/>
  <c r="AC282" i="50" s="1"/>
  <c r="AD282" i="50" s="1"/>
  <c r="AC283" i="50" s="1"/>
  <c r="AD283" i="50" s="1"/>
  <c r="P337" i="50" s="1"/>
  <c r="AD118" i="52"/>
  <c r="B118" i="52" s="1"/>
  <c r="AH281" i="50"/>
  <c r="AI281" i="50" s="1"/>
  <c r="AH282" i="50" s="1"/>
  <c r="AI282" i="50" s="1"/>
  <c r="AH283" i="50" s="1"/>
  <c r="AI283" i="50" s="1"/>
  <c r="AH284" i="50" s="1"/>
  <c r="AI284" i="50" s="1"/>
  <c r="AH285" i="50" s="1"/>
  <c r="AI285" i="50" s="1"/>
  <c r="AH286" i="50" s="1"/>
  <c r="AI286" i="50" s="1"/>
  <c r="AH287" i="50" s="1"/>
  <c r="AI287" i="50" s="1"/>
  <c r="AH288" i="50" s="1"/>
  <c r="AI288" i="50" s="1"/>
  <c r="AH289" i="50" s="1"/>
  <c r="AI289" i="50" s="1"/>
  <c r="AH290" i="50" s="1"/>
  <c r="AI290" i="50" s="1"/>
  <c r="AH291" i="50" s="1"/>
  <c r="AI291" i="50" s="1"/>
  <c r="AH292" i="50" s="1"/>
  <c r="AI292" i="50" s="1"/>
  <c r="P338" i="50" s="1"/>
  <c r="S114" i="50"/>
  <c r="S194" i="50"/>
  <c r="BP116" i="52"/>
  <c r="BP117" i="52" s="1"/>
  <c r="CA116" i="52"/>
  <c r="BY116" i="52"/>
  <c r="BW116" i="52"/>
  <c r="BU116" i="52"/>
  <c r="BN348" i="52"/>
  <c r="AB350" i="52"/>
  <c r="BZ116" i="52"/>
  <c r="BR116" i="52"/>
  <c r="BX116" i="52"/>
  <c r="BS116" i="52"/>
  <c r="BN347" i="52"/>
  <c r="AA350" i="52"/>
  <c r="AD345" i="52"/>
  <c r="B345" i="52" s="1"/>
  <c r="BN267" i="52"/>
  <c r="AA270" i="52"/>
  <c r="AD270" i="52" s="1"/>
  <c r="B270" i="52" s="1"/>
  <c r="BV116" i="52"/>
  <c r="BP274" i="54"/>
  <c r="BQ274" i="54" s="1"/>
  <c r="BR274" i="54" s="1"/>
  <c r="BS274" i="54" s="1"/>
  <c r="BT274" i="54" s="1"/>
  <c r="BU274" i="54" s="1"/>
  <c r="BV274" i="54" s="1"/>
  <c r="BW274" i="54" s="1"/>
  <c r="BX274" i="54" s="1"/>
  <c r="BY274" i="54" s="1"/>
  <c r="BZ274" i="54" s="1"/>
  <c r="P275" i="54" s="1"/>
  <c r="E298" i="54" s="1"/>
  <c r="Y298" i="54" s="1"/>
  <c r="I298" i="54" s="1"/>
  <c r="V67" i="54"/>
  <c r="I67" i="54"/>
  <c r="R67" i="54" s="1"/>
  <c r="BU192" i="54"/>
  <c r="BY192" i="54"/>
  <c r="BR192" i="54"/>
  <c r="BV192" i="54"/>
  <c r="BQ192" i="54"/>
  <c r="BP193" i="54" s="1"/>
  <c r="BQ193" i="54" s="1"/>
  <c r="BR193" i="54" s="1"/>
  <c r="BX192" i="54"/>
  <c r="BT192" i="54"/>
  <c r="BW192" i="54"/>
  <c r="CA192" i="54"/>
  <c r="BZ192" i="54"/>
  <c r="BS192" i="54"/>
  <c r="BP192" i="54"/>
  <c r="BN268" i="54"/>
  <c r="AB270" i="54"/>
  <c r="AD270" i="54" s="1"/>
  <c r="B270" i="54" s="1"/>
  <c r="BQ198" i="54"/>
  <c r="BR198" i="54" s="1"/>
  <c r="BS198" i="54" s="1"/>
  <c r="BT198" i="54" s="1"/>
  <c r="BU198" i="54" s="1"/>
  <c r="BV198" i="54" s="1"/>
  <c r="BW198" i="54" s="1"/>
  <c r="BX198" i="54" s="1"/>
  <c r="BY198" i="54" s="1"/>
  <c r="BZ198" i="54" s="1"/>
  <c r="P199" i="54" s="1"/>
  <c r="E223" i="54" s="1"/>
  <c r="Y223" i="54" s="1"/>
  <c r="I223" i="54" s="1"/>
  <c r="AB194" i="54"/>
  <c r="AD194" i="54" s="1"/>
  <c r="B194" i="54" s="1"/>
  <c r="I551" i="52"/>
  <c r="BU530" i="52" s="1"/>
  <c r="V146" i="52"/>
  <c r="I146" i="52"/>
  <c r="R146" i="52" s="1"/>
  <c r="BN272" i="52"/>
  <c r="AA275" i="52"/>
  <c r="V68" i="52"/>
  <c r="S518" i="52"/>
  <c r="BN273" i="52"/>
  <c r="AB275" i="52"/>
  <c r="I605" i="52"/>
  <c r="R605" i="52" s="1"/>
  <c r="BW343" i="52"/>
  <c r="BU343" i="52"/>
  <c r="BR343" i="52"/>
  <c r="BZ343" i="52"/>
  <c r="BS343" i="52"/>
  <c r="BX343" i="52"/>
  <c r="BP343" i="52"/>
  <c r="BT343" i="52"/>
  <c r="BQ343" i="52"/>
  <c r="BV343" i="52"/>
  <c r="CA343" i="52"/>
  <c r="BY343" i="52"/>
  <c r="BN193" i="52"/>
  <c r="AC194" i="52"/>
  <c r="BN192" i="52"/>
  <c r="AB194" i="52"/>
  <c r="BT197" i="52"/>
  <c r="CA197" i="52"/>
  <c r="BX197" i="52"/>
  <c r="BQ197" i="52"/>
  <c r="BU197" i="52"/>
  <c r="BR197" i="52"/>
  <c r="BV197" i="52"/>
  <c r="BW197" i="52"/>
  <c r="BS197" i="52"/>
  <c r="BP197" i="52"/>
  <c r="BY197" i="52"/>
  <c r="BZ197" i="52"/>
  <c r="R140" i="52"/>
  <c r="R367" i="52"/>
  <c r="R292" i="52"/>
  <c r="V367" i="52"/>
  <c r="V140" i="52"/>
  <c r="V292" i="52"/>
  <c r="V292" i="54"/>
  <c r="CA343" i="54"/>
  <c r="BX343" i="54"/>
  <c r="BW343" i="54"/>
  <c r="BR343" i="54"/>
  <c r="BV343" i="54"/>
  <c r="BS343" i="54"/>
  <c r="BP343" i="54"/>
  <c r="BQ343" i="54"/>
  <c r="BT343" i="54"/>
  <c r="BZ343" i="54"/>
  <c r="BU343" i="54"/>
  <c r="BY343" i="54"/>
  <c r="R292" i="54"/>
  <c r="I72" i="44" l="1"/>
  <c r="Q72" i="44" s="1"/>
  <c r="Y90" i="44"/>
  <c r="M86" i="44"/>
  <c r="S89" i="44"/>
  <c r="AE89" i="44" s="1"/>
  <c r="S90" i="44" s="1"/>
  <c r="AE90" i="44" s="1"/>
  <c r="S91" i="44" s="1"/>
  <c r="AE91" i="44" s="1"/>
  <c r="M94" i="44" s="1"/>
  <c r="V94" i="44" s="1"/>
  <c r="AE94" i="44" s="1"/>
  <c r="C34" i="39"/>
  <c r="S34" i="39" s="1"/>
  <c r="T159" i="50"/>
  <c r="T158" i="50"/>
  <c r="T157" i="50"/>
  <c r="T154" i="50"/>
  <c r="V367" i="54"/>
  <c r="R217" i="54"/>
  <c r="BS193" i="54"/>
  <c r="BT193" i="54" s="1"/>
  <c r="BU193" i="54" s="1"/>
  <c r="BV193" i="54" s="1"/>
  <c r="BW193" i="54" s="1"/>
  <c r="BX193" i="54" s="1"/>
  <c r="BY193" i="54" s="1"/>
  <c r="BZ193" i="54" s="1"/>
  <c r="Y68" i="54"/>
  <c r="I68" i="54" s="1"/>
  <c r="R68" i="54" s="1"/>
  <c r="V68" i="54"/>
  <c r="BP349" i="54"/>
  <c r="BQ349" i="54" s="1"/>
  <c r="BR349" i="54" s="1"/>
  <c r="BS349" i="54" s="1"/>
  <c r="BT349" i="54" s="1"/>
  <c r="BU349" i="54" s="1"/>
  <c r="BV349" i="54" s="1"/>
  <c r="BW349" i="54" s="1"/>
  <c r="BX349" i="54" s="1"/>
  <c r="BY349" i="54" s="1"/>
  <c r="BZ349" i="54" s="1"/>
  <c r="P350" i="54" s="1"/>
  <c r="E373" i="54" s="1"/>
  <c r="L37" i="50"/>
  <c r="T160" i="50"/>
  <c r="Y366" i="48"/>
  <c r="J366" i="48" s="1"/>
  <c r="S366" i="48" s="1"/>
  <c r="T155" i="50"/>
  <c r="E140" i="54"/>
  <c r="T153" i="50"/>
  <c r="E66" i="54"/>
  <c r="V66" i="54" s="1"/>
  <c r="AP70" i="44"/>
  <c r="I71" i="44" s="1"/>
  <c r="Q71" i="44" s="1"/>
  <c r="C47" i="60"/>
  <c r="T50" i="60" s="1"/>
  <c r="C46" i="60"/>
  <c r="R270" i="48"/>
  <c r="U34" i="48"/>
  <c r="V34" i="48" s="1"/>
  <c r="U35" i="48" s="1"/>
  <c r="V35" i="48" s="1"/>
  <c r="U36" i="48" s="1"/>
  <c r="V36" i="48" s="1"/>
  <c r="U37" i="48" s="1"/>
  <c r="V37" i="48" s="1"/>
  <c r="U38" i="48" s="1"/>
  <c r="V38" i="48" s="1"/>
  <c r="U39" i="48" s="1"/>
  <c r="V39" i="48" s="1"/>
  <c r="S353" i="48"/>
  <c r="T196" i="48"/>
  <c r="T197" i="48"/>
  <c r="T199" i="48"/>
  <c r="T195" i="48"/>
  <c r="T198" i="48"/>
  <c r="T194" i="48"/>
  <c r="T200" i="48"/>
  <c r="T193" i="48"/>
  <c r="T158" i="48"/>
  <c r="T154" i="48"/>
  <c r="T157" i="48"/>
  <c r="T156" i="48"/>
  <c r="T155" i="48"/>
  <c r="T159" i="48"/>
  <c r="T153" i="48"/>
  <c r="T160" i="48"/>
  <c r="T116" i="48"/>
  <c r="T114" i="48"/>
  <c r="T113" i="48"/>
  <c r="T118" i="48"/>
  <c r="T120" i="48"/>
  <c r="T119" i="48"/>
  <c r="T115" i="48"/>
  <c r="T117" i="48"/>
  <c r="U73" i="48"/>
  <c r="V73" i="48" s="1"/>
  <c r="U74" i="48" s="1"/>
  <c r="V74" i="48" s="1"/>
  <c r="U75" i="48" s="1"/>
  <c r="V75" i="48" s="1"/>
  <c r="U76" i="48" s="1"/>
  <c r="V76" i="48" s="1"/>
  <c r="U77" i="48" s="1"/>
  <c r="V77" i="48" s="1"/>
  <c r="U78" i="48" s="1"/>
  <c r="V78" i="48" s="1"/>
  <c r="U79" i="48" s="1"/>
  <c r="V79" i="48" s="1"/>
  <c r="AD194" i="52"/>
  <c r="B194" i="52" s="1"/>
  <c r="W344" i="50"/>
  <c r="E366" i="50"/>
  <c r="Y366" i="50" s="1"/>
  <c r="W453" i="50"/>
  <c r="W457" i="50" s="1"/>
  <c r="L466" i="50" s="1"/>
  <c r="E470" i="50"/>
  <c r="Y470" i="50" s="1"/>
  <c r="T113" i="50"/>
  <c r="T118" i="50"/>
  <c r="T120" i="50"/>
  <c r="T115" i="50"/>
  <c r="T119" i="50"/>
  <c r="T117" i="50"/>
  <c r="T114" i="50"/>
  <c r="T116" i="50"/>
  <c r="T39" i="50"/>
  <c r="T37" i="50"/>
  <c r="T34" i="50"/>
  <c r="T36" i="50"/>
  <c r="T35" i="50"/>
  <c r="T38" i="50"/>
  <c r="T40" i="50"/>
  <c r="T193" i="50"/>
  <c r="T200" i="50"/>
  <c r="T195" i="50"/>
  <c r="T196" i="50"/>
  <c r="T197" i="50"/>
  <c r="T194" i="50"/>
  <c r="T199" i="50"/>
  <c r="T198" i="50"/>
  <c r="AD350" i="52"/>
  <c r="B350" i="52" s="1"/>
  <c r="BX348" i="52"/>
  <c r="BY348" i="52"/>
  <c r="BZ348" i="52"/>
  <c r="BW348" i="52"/>
  <c r="BV348" i="52"/>
  <c r="BS348" i="52"/>
  <c r="BU348" i="52"/>
  <c r="BT348" i="52"/>
  <c r="CA348" i="52"/>
  <c r="BR348" i="52"/>
  <c r="BQ348" i="52"/>
  <c r="BP348" i="52"/>
  <c r="BP349" i="52" s="1"/>
  <c r="BQ349" i="52" s="1"/>
  <c r="BP268" i="52"/>
  <c r="CA268" i="52"/>
  <c r="BW268" i="52"/>
  <c r="BT268" i="52"/>
  <c r="BS268" i="52"/>
  <c r="BY268" i="52"/>
  <c r="BZ268" i="52"/>
  <c r="BU268" i="52"/>
  <c r="BR268" i="52"/>
  <c r="BV268" i="52"/>
  <c r="BQ268" i="52"/>
  <c r="BX268" i="52"/>
  <c r="BQ117" i="52"/>
  <c r="BR117" i="52" s="1"/>
  <c r="BS117" i="52" s="1"/>
  <c r="BT117" i="52" s="1"/>
  <c r="BU117" i="52" s="1"/>
  <c r="BV117" i="52" s="1"/>
  <c r="BW117" i="52" s="1"/>
  <c r="BX117" i="52" s="1"/>
  <c r="BY117" i="52" s="1"/>
  <c r="BZ117" i="52" s="1"/>
  <c r="P118" i="52" s="1"/>
  <c r="E145" i="52" s="1"/>
  <c r="P194" i="54"/>
  <c r="E222" i="54" s="1"/>
  <c r="Y222" i="54" s="1"/>
  <c r="I222" i="54" s="1"/>
  <c r="CA268" i="54"/>
  <c r="BV268" i="54"/>
  <c r="BY268" i="54"/>
  <c r="BZ268" i="54"/>
  <c r="BQ268" i="54"/>
  <c r="BP268" i="54"/>
  <c r="BR268" i="54"/>
  <c r="BU268" i="54"/>
  <c r="BT268" i="54"/>
  <c r="BW268" i="54"/>
  <c r="BS268" i="54"/>
  <c r="BX268" i="54"/>
  <c r="V145" i="54"/>
  <c r="R145" i="54"/>
  <c r="V223" i="54"/>
  <c r="R223" i="54"/>
  <c r="V298" i="54"/>
  <c r="R298" i="54"/>
  <c r="I68" i="52"/>
  <c r="R68" i="52" s="1"/>
  <c r="BZ192" i="52"/>
  <c r="BV192" i="52"/>
  <c r="BT192" i="52"/>
  <c r="CA192" i="52"/>
  <c r="BP192" i="52"/>
  <c r="BQ192" i="52"/>
  <c r="BY192" i="52"/>
  <c r="BW192" i="52"/>
  <c r="BX192" i="52"/>
  <c r="BS192" i="52"/>
  <c r="BU192" i="52"/>
  <c r="BR192" i="52"/>
  <c r="BP344" i="52"/>
  <c r="BQ344" i="52" s="1"/>
  <c r="BR344" i="52" s="1"/>
  <c r="BS344" i="52" s="1"/>
  <c r="BT344" i="52" s="1"/>
  <c r="BU344" i="52" s="1"/>
  <c r="BV344" i="52" s="1"/>
  <c r="BW344" i="52" s="1"/>
  <c r="BX344" i="52" s="1"/>
  <c r="BY344" i="52" s="1"/>
  <c r="BZ344" i="52" s="1"/>
  <c r="P345" i="52" s="1"/>
  <c r="E372" i="52" s="1"/>
  <c r="W61" i="52"/>
  <c r="W62" i="52"/>
  <c r="AD275" i="52"/>
  <c r="B275" i="52" s="1"/>
  <c r="BP273" i="52"/>
  <c r="BR273" i="52"/>
  <c r="BS273" i="52"/>
  <c r="BV273" i="52"/>
  <c r="BZ273" i="52"/>
  <c r="BU273" i="52"/>
  <c r="CA273" i="52"/>
  <c r="BW273" i="52"/>
  <c r="BT273" i="52"/>
  <c r="BY273" i="52"/>
  <c r="BX273" i="52"/>
  <c r="BQ273" i="52"/>
  <c r="BP198" i="52"/>
  <c r="BQ198" i="52" s="1"/>
  <c r="BR198" i="52" s="1"/>
  <c r="BS198" i="52" s="1"/>
  <c r="BT198" i="52" s="1"/>
  <c r="BU198" i="52" s="1"/>
  <c r="BV198" i="52" s="1"/>
  <c r="BW198" i="52" s="1"/>
  <c r="BX198" i="52" s="1"/>
  <c r="BY198" i="52" s="1"/>
  <c r="BZ198" i="52" s="1"/>
  <c r="P199" i="52" s="1"/>
  <c r="E223" i="52" s="1"/>
  <c r="BP344" i="54"/>
  <c r="BQ344" i="54" s="1"/>
  <c r="BR344" i="54" s="1"/>
  <c r="BS344" i="54" s="1"/>
  <c r="BT344" i="54" s="1"/>
  <c r="BU344" i="54" s="1"/>
  <c r="BV344" i="54" s="1"/>
  <c r="BW344" i="54" s="1"/>
  <c r="BX344" i="54" s="1"/>
  <c r="BY344" i="54" s="1"/>
  <c r="BZ344" i="54" s="1"/>
  <c r="P345" i="54" s="1"/>
  <c r="E372" i="54" s="1"/>
  <c r="Y372" i="54" s="1"/>
  <c r="AL71" i="44" l="1"/>
  <c r="AM71" i="44" s="1"/>
  <c r="AE86" i="44"/>
  <c r="AE87" i="44" s="1"/>
  <c r="AE95" i="44" s="1"/>
  <c r="B95" i="44" s="1"/>
  <c r="AL95" i="44" s="1"/>
  <c r="T37" i="60" s="1"/>
  <c r="C38" i="60"/>
  <c r="V86" i="44"/>
  <c r="T53" i="60"/>
  <c r="T44" i="60"/>
  <c r="T60" i="60"/>
  <c r="T57" i="60"/>
  <c r="T47" i="60"/>
  <c r="T46" i="60"/>
  <c r="T58" i="60"/>
  <c r="T56" i="60"/>
  <c r="T49" i="60"/>
  <c r="T51" i="60"/>
  <c r="T54" i="60"/>
  <c r="T62" i="60"/>
  <c r="T55" i="60"/>
  <c r="T45" i="60"/>
  <c r="T59" i="60"/>
  <c r="T61" i="60"/>
  <c r="T52" i="60"/>
  <c r="T48" i="60"/>
  <c r="U153" i="50"/>
  <c r="V153" i="50" s="1"/>
  <c r="U154" i="50" s="1"/>
  <c r="V154" i="50" s="1"/>
  <c r="U155" i="50" s="1"/>
  <c r="V155" i="50" s="1"/>
  <c r="U156" i="50" s="1"/>
  <c r="V156" i="50" s="1"/>
  <c r="U157" i="50" s="1"/>
  <c r="V157" i="50" s="1"/>
  <c r="U158" i="50" s="1"/>
  <c r="V158" i="50" s="1"/>
  <c r="U159" i="50" s="1"/>
  <c r="V159" i="50" s="1"/>
  <c r="Y373" i="54"/>
  <c r="I373" i="54" s="1"/>
  <c r="R373" i="54" s="1"/>
  <c r="V373" i="54"/>
  <c r="R66" i="54"/>
  <c r="S61" i="54" s="1"/>
  <c r="V140" i="54"/>
  <c r="W138" i="54" s="1"/>
  <c r="R140" i="54"/>
  <c r="S145" i="54" s="1"/>
  <c r="W62" i="54"/>
  <c r="W61" i="54"/>
  <c r="S75" i="44"/>
  <c r="AL72" i="44"/>
  <c r="AM72" i="44" s="1"/>
  <c r="B73" i="44"/>
  <c r="U193" i="48"/>
  <c r="V193" i="48" s="1"/>
  <c r="U194" i="48" s="1"/>
  <c r="V194" i="48" s="1"/>
  <c r="U195" i="48" s="1"/>
  <c r="V195" i="48" s="1"/>
  <c r="U196" i="48" s="1"/>
  <c r="V196" i="48" s="1"/>
  <c r="U197" i="48" s="1"/>
  <c r="V197" i="48" s="1"/>
  <c r="U198" i="48" s="1"/>
  <c r="V198" i="48" s="1"/>
  <c r="U199" i="48" s="1"/>
  <c r="V199" i="48" s="1"/>
  <c r="U153" i="48"/>
  <c r="V153" i="48" s="1"/>
  <c r="U154" i="48" s="1"/>
  <c r="V154" i="48" s="1"/>
  <c r="U155" i="48" s="1"/>
  <c r="V155" i="48" s="1"/>
  <c r="U156" i="48" s="1"/>
  <c r="V156" i="48" s="1"/>
  <c r="U157" i="48" s="1"/>
  <c r="V157" i="48" s="1"/>
  <c r="U158" i="48" s="1"/>
  <c r="V158" i="48" s="1"/>
  <c r="U159" i="48" s="1"/>
  <c r="V159" i="48" s="1"/>
  <c r="U113" i="48"/>
  <c r="V113" i="48" s="1"/>
  <c r="U114" i="48" s="1"/>
  <c r="V114" i="48" s="1"/>
  <c r="U115" i="48" s="1"/>
  <c r="V115" i="48" s="1"/>
  <c r="U116" i="48" s="1"/>
  <c r="V116" i="48" s="1"/>
  <c r="U117" i="48" s="1"/>
  <c r="V117" i="48" s="1"/>
  <c r="U118" i="48" s="1"/>
  <c r="V118" i="48" s="1"/>
  <c r="U119" i="48" s="1"/>
  <c r="V119" i="48" s="1"/>
  <c r="P72" i="48"/>
  <c r="C271" i="48" s="1"/>
  <c r="AR49" i="51" s="1"/>
  <c r="AS49" i="51" s="1"/>
  <c r="AT49" i="51" s="1"/>
  <c r="L271" i="48" s="1"/>
  <c r="R271" i="50"/>
  <c r="J366" i="50"/>
  <c r="S366" i="50" s="1"/>
  <c r="U193" i="50"/>
  <c r="V193" i="50" s="1"/>
  <c r="U194" i="50" s="1"/>
  <c r="V194" i="50" s="1"/>
  <c r="U195" i="50" s="1"/>
  <c r="V195" i="50" s="1"/>
  <c r="U196" i="50" s="1"/>
  <c r="V196" i="50" s="1"/>
  <c r="U197" i="50" s="1"/>
  <c r="V197" i="50" s="1"/>
  <c r="U198" i="50" s="1"/>
  <c r="V198" i="50" s="1"/>
  <c r="U199" i="50" s="1"/>
  <c r="V199" i="50" s="1"/>
  <c r="U34" i="50"/>
  <c r="V34" i="50" s="1"/>
  <c r="U35" i="50" s="1"/>
  <c r="V35" i="50" s="1"/>
  <c r="U36" i="50" s="1"/>
  <c r="V36" i="50" s="1"/>
  <c r="U37" i="50" s="1"/>
  <c r="V37" i="50" s="1"/>
  <c r="U38" i="50" s="1"/>
  <c r="V38" i="50" s="1"/>
  <c r="U39" i="50" s="1"/>
  <c r="V39" i="50" s="1"/>
  <c r="P33" i="50" s="1"/>
  <c r="U113" i="50"/>
  <c r="V113" i="50" s="1"/>
  <c r="U114" i="50" s="1"/>
  <c r="V114" i="50" s="1"/>
  <c r="U115" i="50" s="1"/>
  <c r="V115" i="50" s="1"/>
  <c r="U116" i="50" s="1"/>
  <c r="V116" i="50" s="1"/>
  <c r="U117" i="50" s="1"/>
  <c r="V117" i="50" s="1"/>
  <c r="U118" i="50" s="1"/>
  <c r="V118" i="50" s="1"/>
  <c r="U119" i="50" s="1"/>
  <c r="V119" i="50" s="1"/>
  <c r="BP193" i="52"/>
  <c r="BQ193" i="52" s="1"/>
  <c r="BR193" i="52" s="1"/>
  <c r="BS193" i="52" s="1"/>
  <c r="BT193" i="52" s="1"/>
  <c r="BU193" i="52" s="1"/>
  <c r="BV193" i="52" s="1"/>
  <c r="BW193" i="52" s="1"/>
  <c r="BX193" i="52" s="1"/>
  <c r="BY193" i="52" s="1"/>
  <c r="BZ193" i="52" s="1"/>
  <c r="P194" i="52" s="1"/>
  <c r="E222" i="52" s="1"/>
  <c r="BP269" i="52"/>
  <c r="BQ269" i="52" s="1"/>
  <c r="BR269" i="52" s="1"/>
  <c r="BS269" i="52" s="1"/>
  <c r="BT269" i="52" s="1"/>
  <c r="BU269" i="52" s="1"/>
  <c r="BV269" i="52" s="1"/>
  <c r="BW269" i="52" s="1"/>
  <c r="BX269" i="52" s="1"/>
  <c r="BY269" i="52" s="1"/>
  <c r="BZ269" i="52" s="1"/>
  <c r="P270" i="52" s="1"/>
  <c r="E297" i="52" s="1"/>
  <c r="BR349" i="52"/>
  <c r="BS349" i="52" s="1"/>
  <c r="BT349" i="52" s="1"/>
  <c r="BU349" i="52" s="1"/>
  <c r="BV349" i="52" s="1"/>
  <c r="BW349" i="52" s="1"/>
  <c r="BX349" i="52" s="1"/>
  <c r="BY349" i="52" s="1"/>
  <c r="BZ349" i="52" s="1"/>
  <c r="P350" i="52" s="1"/>
  <c r="E373" i="52" s="1"/>
  <c r="V145" i="52"/>
  <c r="BP269" i="54"/>
  <c r="BQ269" i="54" s="1"/>
  <c r="BR269" i="54" s="1"/>
  <c r="BS269" i="54" s="1"/>
  <c r="BT269" i="54" s="1"/>
  <c r="BU269" i="54" s="1"/>
  <c r="BV269" i="54" s="1"/>
  <c r="BW269" i="54" s="1"/>
  <c r="BX269" i="54" s="1"/>
  <c r="BY269" i="54" s="1"/>
  <c r="BZ269" i="54" s="1"/>
  <c r="P270" i="54" s="1"/>
  <c r="E297" i="54" s="1"/>
  <c r="Y297" i="54" s="1"/>
  <c r="I297" i="54" s="1"/>
  <c r="V222" i="54"/>
  <c r="R222" i="54"/>
  <c r="X61" i="52"/>
  <c r="R518" i="52" s="1"/>
  <c r="V223" i="52"/>
  <c r="I223" i="52"/>
  <c r="R223" i="52" s="1"/>
  <c r="V372" i="52"/>
  <c r="S72" i="52"/>
  <c r="S73" i="52"/>
  <c r="S74" i="52"/>
  <c r="S64" i="52"/>
  <c r="S61" i="52"/>
  <c r="S66" i="52"/>
  <c r="S75" i="52"/>
  <c r="S67" i="52"/>
  <c r="S76" i="52"/>
  <c r="S68" i="52"/>
  <c r="S70" i="52"/>
  <c r="S77" i="52"/>
  <c r="S63" i="52"/>
  <c r="S62" i="52"/>
  <c r="S71" i="52"/>
  <c r="S69" i="52"/>
  <c r="S65" i="52"/>
  <c r="BP274" i="52"/>
  <c r="BQ274" i="52" s="1"/>
  <c r="BR274" i="52" s="1"/>
  <c r="BS274" i="52" s="1"/>
  <c r="BT274" i="52" s="1"/>
  <c r="BU274" i="52" s="1"/>
  <c r="BV274" i="52" s="1"/>
  <c r="BW274" i="52" s="1"/>
  <c r="BX274" i="52" s="1"/>
  <c r="BY274" i="52" s="1"/>
  <c r="BZ274" i="52" s="1"/>
  <c r="P275" i="52" s="1"/>
  <c r="E298" i="52" s="1"/>
  <c r="V372" i="54"/>
  <c r="AN71" i="44" l="1"/>
  <c r="AN72" i="44" s="1"/>
  <c r="Q73" i="44" s="1"/>
  <c r="N38" i="60"/>
  <c r="K38" i="60"/>
  <c r="C39" i="60"/>
  <c r="Q37" i="60"/>
  <c r="S64" i="54"/>
  <c r="S66" i="54"/>
  <c r="U44" i="60"/>
  <c r="V44" i="60" s="1"/>
  <c r="U45" i="60" s="1"/>
  <c r="V45" i="60" s="1"/>
  <c r="U46" i="60" s="1"/>
  <c r="V46" i="60" s="1"/>
  <c r="U47" i="60" s="1"/>
  <c r="V47" i="60" s="1"/>
  <c r="U48" i="60" s="1"/>
  <c r="V48" i="60" s="1"/>
  <c r="U49" i="60" s="1"/>
  <c r="V49" i="60" s="1"/>
  <c r="U50" i="60" s="1"/>
  <c r="V50" i="60" s="1"/>
  <c r="U51" i="60" s="1"/>
  <c r="V51" i="60" s="1"/>
  <c r="U52" i="60" s="1"/>
  <c r="V52" i="60" s="1"/>
  <c r="U53" i="60" s="1"/>
  <c r="V53" i="60" s="1"/>
  <c r="U54" i="60" s="1"/>
  <c r="V54" i="60" s="1"/>
  <c r="U55" i="60" s="1"/>
  <c r="V55" i="60" s="1"/>
  <c r="U56" i="60" s="1"/>
  <c r="V56" i="60" s="1"/>
  <c r="U57" i="60" s="1"/>
  <c r="V57" i="60" s="1"/>
  <c r="U58" i="60" s="1"/>
  <c r="V58" i="60" s="1"/>
  <c r="U59" i="60" s="1"/>
  <c r="V59" i="60" s="1"/>
  <c r="U60" i="60" s="1"/>
  <c r="V60" i="60" s="1"/>
  <c r="U61" i="60" s="1"/>
  <c r="V61" i="60" s="1"/>
  <c r="C63" i="60" s="1"/>
  <c r="AE75" i="44"/>
  <c r="S76" i="44" s="1"/>
  <c r="AE73" i="44"/>
  <c r="S63" i="54"/>
  <c r="S76" i="54"/>
  <c r="S65" i="54"/>
  <c r="S77" i="54"/>
  <c r="S75" i="54"/>
  <c r="S74" i="54"/>
  <c r="S73" i="54"/>
  <c r="S72" i="54"/>
  <c r="S143" i="54"/>
  <c r="S69" i="54"/>
  <c r="S62" i="54"/>
  <c r="T61" i="54" s="1"/>
  <c r="U61" i="54" s="1"/>
  <c r="S138" i="54"/>
  <c r="T138" i="54" s="1"/>
  <c r="U138" i="54" s="1"/>
  <c r="T139" i="54" s="1"/>
  <c r="U139" i="54" s="1"/>
  <c r="S151" i="54"/>
  <c r="S147" i="54"/>
  <c r="S70" i="54"/>
  <c r="S67" i="54"/>
  <c r="S140" i="54"/>
  <c r="S149" i="54"/>
  <c r="S142" i="54"/>
  <c r="S152" i="54"/>
  <c r="S141" i="54"/>
  <c r="W139" i="54"/>
  <c r="X138" i="54" s="1"/>
  <c r="R519" i="54" s="1"/>
  <c r="S148" i="54"/>
  <c r="S150" i="54"/>
  <c r="S146" i="54"/>
  <c r="S144" i="54"/>
  <c r="S139" i="54"/>
  <c r="S71" i="54"/>
  <c r="S68" i="54"/>
  <c r="P33" i="48"/>
  <c r="C270" i="48" s="1"/>
  <c r="AR48" i="51" s="1"/>
  <c r="AS48" i="51" s="1"/>
  <c r="AT48" i="51" s="1"/>
  <c r="L270" i="48" s="1"/>
  <c r="X61" i="54"/>
  <c r="R518" i="54" s="1"/>
  <c r="Y76" i="44"/>
  <c r="P192" i="48"/>
  <c r="C274" i="48" s="1"/>
  <c r="AR52" i="51" s="1"/>
  <c r="AS52" i="51" s="1"/>
  <c r="AT52" i="51" s="1"/>
  <c r="L274" i="48" s="1"/>
  <c r="C480" i="48"/>
  <c r="C494" i="48"/>
  <c r="P152" i="50"/>
  <c r="C482" i="50" s="1"/>
  <c r="V222" i="52"/>
  <c r="J470" i="50"/>
  <c r="S470" i="50" s="1"/>
  <c r="I145" i="52"/>
  <c r="R145" i="52" s="1"/>
  <c r="W138" i="52"/>
  <c r="W139" i="52"/>
  <c r="I373" i="52"/>
  <c r="R373" i="52" s="1"/>
  <c r="V373" i="52"/>
  <c r="W365" i="52" s="1"/>
  <c r="V297" i="52"/>
  <c r="I297" i="52"/>
  <c r="R297" i="52" s="1"/>
  <c r="S217" i="54"/>
  <c r="S223" i="54"/>
  <c r="S229" i="54"/>
  <c r="S222" i="54"/>
  <c r="S225" i="54"/>
  <c r="S226" i="54"/>
  <c r="S220" i="54"/>
  <c r="S228" i="54"/>
  <c r="S216" i="54"/>
  <c r="S219" i="54"/>
  <c r="S218" i="54"/>
  <c r="S221" i="54"/>
  <c r="S224" i="54"/>
  <c r="S227" i="54"/>
  <c r="S215" i="54"/>
  <c r="V297" i="54"/>
  <c r="R297" i="54"/>
  <c r="W216" i="54"/>
  <c r="W215" i="54"/>
  <c r="T61" i="52"/>
  <c r="U61" i="52" s="1"/>
  <c r="T62" i="52" s="1"/>
  <c r="U62" i="52" s="1"/>
  <c r="T63" i="52" s="1"/>
  <c r="U63" i="52" s="1"/>
  <c r="T64" i="52" s="1"/>
  <c r="U64" i="52" s="1"/>
  <c r="T65" i="52" s="1"/>
  <c r="U65" i="52" s="1"/>
  <c r="T66" i="52" s="1"/>
  <c r="U66" i="52" s="1"/>
  <c r="T67" i="52" s="1"/>
  <c r="U67" i="52" s="1"/>
  <c r="T68" i="52" s="1"/>
  <c r="U68" i="52" s="1"/>
  <c r="T69" i="52" s="1"/>
  <c r="U69" i="52" s="1"/>
  <c r="T70" i="52" s="1"/>
  <c r="U70" i="52" s="1"/>
  <c r="T71" i="52" s="1"/>
  <c r="U71" i="52" s="1"/>
  <c r="T72" i="52" s="1"/>
  <c r="U72" i="52" s="1"/>
  <c r="T73" i="52" s="1"/>
  <c r="U73" i="52" s="1"/>
  <c r="T74" i="52" s="1"/>
  <c r="U74" i="52" s="1"/>
  <c r="T75" i="52" s="1"/>
  <c r="U75" i="52" s="1"/>
  <c r="T76" i="52" s="1"/>
  <c r="U76" i="52" s="1"/>
  <c r="P60" i="52" s="1"/>
  <c r="I372" i="52"/>
  <c r="R372" i="52" s="1"/>
  <c r="V298" i="52"/>
  <c r="I222" i="52"/>
  <c r="R222" i="52" s="1"/>
  <c r="W216" i="52"/>
  <c r="W215" i="52"/>
  <c r="I372" i="54"/>
  <c r="R372" i="54" s="1"/>
  <c r="W365" i="54"/>
  <c r="W366" i="54"/>
  <c r="Q38" i="60" l="1"/>
  <c r="Q66" i="60"/>
  <c r="G65" i="60" s="1"/>
  <c r="Q69" i="60"/>
  <c r="N39" i="60"/>
  <c r="K39" i="60"/>
  <c r="G60" i="60"/>
  <c r="AE76" i="44"/>
  <c r="S77" i="44" s="1"/>
  <c r="AE77" i="44" s="1"/>
  <c r="S78" i="44" s="1"/>
  <c r="AE78" i="44" s="1"/>
  <c r="S79" i="44" s="1"/>
  <c r="AE79" i="44" s="1"/>
  <c r="AE80" i="44" s="1"/>
  <c r="T62" i="54"/>
  <c r="U62" i="54" s="1"/>
  <c r="T63" i="54" s="1"/>
  <c r="U63" i="54" s="1"/>
  <c r="T64" i="54" s="1"/>
  <c r="U64" i="54" s="1"/>
  <c r="T65" i="54" s="1"/>
  <c r="U65" i="54" s="1"/>
  <c r="T66" i="54" s="1"/>
  <c r="U66" i="54" s="1"/>
  <c r="T67" i="54" s="1"/>
  <c r="U67" i="54" s="1"/>
  <c r="T68" i="54" s="1"/>
  <c r="U68" i="54" s="1"/>
  <c r="T69" i="54" s="1"/>
  <c r="U69" i="54" s="1"/>
  <c r="T70" i="54" s="1"/>
  <c r="U70" i="54" s="1"/>
  <c r="T71" i="54" s="1"/>
  <c r="U71" i="54" s="1"/>
  <c r="T72" i="54" s="1"/>
  <c r="U72" i="54" s="1"/>
  <c r="T73" i="54" s="1"/>
  <c r="U73" i="54" s="1"/>
  <c r="T74" i="54" s="1"/>
  <c r="U74" i="54" s="1"/>
  <c r="T75" i="54" s="1"/>
  <c r="U75" i="54" s="1"/>
  <c r="T76" i="54" s="1"/>
  <c r="U76" i="54" s="1"/>
  <c r="P60" i="54" s="1"/>
  <c r="C630" i="54" s="1"/>
  <c r="T140" i="54"/>
  <c r="U140" i="54" s="1"/>
  <c r="T141" i="54" s="1"/>
  <c r="U141" i="54" s="1"/>
  <c r="T142" i="54" s="1"/>
  <c r="U142" i="54" s="1"/>
  <c r="T143" i="54" s="1"/>
  <c r="U143" i="54" s="1"/>
  <c r="T144" i="54" s="1"/>
  <c r="U144" i="54" s="1"/>
  <c r="T145" i="54" s="1"/>
  <c r="U145" i="54" s="1"/>
  <c r="T146" i="54" s="1"/>
  <c r="U146" i="54" s="1"/>
  <c r="T147" i="54" s="1"/>
  <c r="U147" i="54" s="1"/>
  <c r="T148" i="54" s="1"/>
  <c r="U148" i="54" s="1"/>
  <c r="T149" i="54" s="1"/>
  <c r="U149" i="54" s="1"/>
  <c r="T150" i="54" s="1"/>
  <c r="U150" i="54" s="1"/>
  <c r="T151" i="54" s="1"/>
  <c r="U151" i="54" s="1"/>
  <c r="P137" i="54" s="1"/>
  <c r="C617" i="54" s="1"/>
  <c r="C493" i="48"/>
  <c r="H493" i="48" s="1"/>
  <c r="P112" i="48"/>
  <c r="C272" i="48" s="1"/>
  <c r="AR50" i="51" s="1"/>
  <c r="AS50" i="51" s="1"/>
  <c r="AT50" i="51" s="1"/>
  <c r="L272" i="48" s="1"/>
  <c r="P152" i="48"/>
  <c r="C273" i="48" s="1"/>
  <c r="AR51" i="51" s="1"/>
  <c r="AS51" i="51" s="1"/>
  <c r="AT51" i="51" s="1"/>
  <c r="L273" i="48" s="1"/>
  <c r="C479" i="48"/>
  <c r="S479" i="48" s="1"/>
  <c r="T479" i="48" s="1"/>
  <c r="C497" i="48"/>
  <c r="C483" i="48"/>
  <c r="R494" i="48"/>
  <c r="C30" i="60" s="1"/>
  <c r="H494" i="48"/>
  <c r="S480" i="48"/>
  <c r="T480" i="48" s="1"/>
  <c r="R493" i="48"/>
  <c r="C29" i="60" s="1"/>
  <c r="C496" i="50"/>
  <c r="P112" i="50"/>
  <c r="P192" i="50"/>
  <c r="S482" i="50"/>
  <c r="T482" i="50" s="1"/>
  <c r="X138" i="52"/>
  <c r="R519" i="52" s="1"/>
  <c r="W366" i="52"/>
  <c r="X365" i="52" s="1"/>
  <c r="R522" i="52" s="1"/>
  <c r="S152" i="52"/>
  <c r="S150" i="52"/>
  <c r="S143" i="52"/>
  <c r="S145" i="52"/>
  <c r="S151" i="52"/>
  <c r="S146" i="52"/>
  <c r="S149" i="52"/>
  <c r="S140" i="52"/>
  <c r="S141" i="52"/>
  <c r="S138" i="52"/>
  <c r="S139" i="52"/>
  <c r="S148" i="52"/>
  <c r="S142" i="52"/>
  <c r="S147" i="52"/>
  <c r="S144" i="52"/>
  <c r="X215" i="54"/>
  <c r="R520" i="54" s="1"/>
  <c r="T215" i="54"/>
  <c r="U215" i="54" s="1"/>
  <c r="T216" i="54" s="1"/>
  <c r="U216" i="54" s="1"/>
  <c r="T217" i="54" s="1"/>
  <c r="U217" i="54" s="1"/>
  <c r="T218" i="54" s="1"/>
  <c r="U218" i="54" s="1"/>
  <c r="T219" i="54" s="1"/>
  <c r="U219" i="54" s="1"/>
  <c r="T220" i="54" s="1"/>
  <c r="U220" i="54" s="1"/>
  <c r="T221" i="54" s="1"/>
  <c r="U221" i="54" s="1"/>
  <c r="T222" i="54" s="1"/>
  <c r="U222" i="54" s="1"/>
  <c r="T223" i="54" s="1"/>
  <c r="U223" i="54" s="1"/>
  <c r="T224" i="54" s="1"/>
  <c r="U224" i="54" s="1"/>
  <c r="T225" i="54" s="1"/>
  <c r="U225" i="54" s="1"/>
  <c r="T226" i="54" s="1"/>
  <c r="U226" i="54" s="1"/>
  <c r="T227" i="54" s="1"/>
  <c r="U227" i="54" s="1"/>
  <c r="T228" i="54" s="1"/>
  <c r="U228" i="54" s="1"/>
  <c r="P214" i="54" s="1"/>
  <c r="W290" i="54"/>
  <c r="W291" i="54"/>
  <c r="S297" i="54"/>
  <c r="S298" i="54"/>
  <c r="S300" i="54"/>
  <c r="S293" i="54"/>
  <c r="S299" i="54"/>
  <c r="S290" i="54"/>
  <c r="S294" i="54"/>
  <c r="S292" i="54"/>
  <c r="S295" i="54"/>
  <c r="S291" i="54"/>
  <c r="S303" i="54"/>
  <c r="S302" i="54"/>
  <c r="S301" i="54"/>
  <c r="S304" i="54"/>
  <c r="S296" i="54"/>
  <c r="X215" i="52"/>
  <c r="R520" i="52" s="1"/>
  <c r="I298" i="52"/>
  <c r="R298" i="52" s="1"/>
  <c r="W291" i="52"/>
  <c r="W290" i="52"/>
  <c r="S229" i="52"/>
  <c r="S217" i="52"/>
  <c r="S226" i="52"/>
  <c r="S224" i="52"/>
  <c r="S216" i="52"/>
  <c r="S225" i="52"/>
  <c r="S228" i="52"/>
  <c r="S221" i="52"/>
  <c r="S220" i="52"/>
  <c r="S218" i="52"/>
  <c r="S215" i="52"/>
  <c r="S222" i="52"/>
  <c r="S223" i="52"/>
  <c r="S227" i="52"/>
  <c r="S219" i="52"/>
  <c r="S375" i="52"/>
  <c r="S373" i="52"/>
  <c r="S379" i="52"/>
  <c r="S369" i="52"/>
  <c r="S376" i="52"/>
  <c r="S371" i="52"/>
  <c r="S370" i="52"/>
  <c r="S377" i="52"/>
  <c r="S366" i="52"/>
  <c r="S367" i="52"/>
  <c r="S374" i="52"/>
  <c r="S365" i="52"/>
  <c r="S378" i="52"/>
  <c r="S372" i="52"/>
  <c r="S368" i="52"/>
  <c r="X365" i="54"/>
  <c r="R522" i="54" s="1"/>
  <c r="S376" i="54"/>
  <c r="S371" i="54"/>
  <c r="S368" i="54"/>
  <c r="S372" i="54"/>
  <c r="S378" i="54"/>
  <c r="S366" i="54"/>
  <c r="S375" i="54"/>
  <c r="S374" i="54"/>
  <c r="S377" i="54"/>
  <c r="S379" i="54"/>
  <c r="S369" i="54"/>
  <c r="S367" i="54"/>
  <c r="S373" i="54"/>
  <c r="S365" i="54"/>
  <c r="S370" i="54"/>
  <c r="G64" i="60" l="1"/>
  <c r="G62" i="60"/>
  <c r="G55" i="60"/>
  <c r="G59" i="60"/>
  <c r="Q39" i="60"/>
  <c r="N59" i="60"/>
  <c r="Q63" i="60" s="1"/>
  <c r="G57" i="60"/>
  <c r="G61" i="60"/>
  <c r="Q48" i="60"/>
  <c r="G56" i="60"/>
  <c r="G63" i="60"/>
  <c r="AL69" i="44"/>
  <c r="C33" i="39" s="1"/>
  <c r="S33" i="39" s="1"/>
  <c r="AM75" i="44"/>
  <c r="R33" i="39" s="1"/>
  <c r="B80" i="44"/>
  <c r="C481" i="48"/>
  <c r="C495" i="48"/>
  <c r="H495" i="48" s="1"/>
  <c r="P270" i="48"/>
  <c r="E367" i="48" s="1"/>
  <c r="U479" i="48" s="1"/>
  <c r="C496" i="48"/>
  <c r="R496" i="48" s="1"/>
  <c r="C32" i="60" s="1"/>
  <c r="C482" i="48"/>
  <c r="N482" i="48" s="1"/>
  <c r="C518" i="54"/>
  <c r="V518" i="54" s="1"/>
  <c r="C616" i="54"/>
  <c r="S616" i="54" s="1"/>
  <c r="T616" i="54" s="1"/>
  <c r="S483" i="48"/>
  <c r="T483" i="48" s="1"/>
  <c r="R497" i="48"/>
  <c r="C33" i="60" s="1"/>
  <c r="H497" i="48"/>
  <c r="S481" i="48"/>
  <c r="T481" i="48" s="1"/>
  <c r="N30" i="60"/>
  <c r="K30" i="60"/>
  <c r="N29" i="60"/>
  <c r="K29" i="60"/>
  <c r="H496" i="50"/>
  <c r="C497" i="50"/>
  <c r="C483" i="50"/>
  <c r="S483" i="50" s="1"/>
  <c r="T483" i="50" s="1"/>
  <c r="C481" i="50"/>
  <c r="C495" i="50"/>
  <c r="C479" i="50"/>
  <c r="S479" i="50" s="1"/>
  <c r="T479" i="50" s="1"/>
  <c r="C493" i="50"/>
  <c r="T138" i="52"/>
  <c r="U138" i="52" s="1"/>
  <c r="T139" i="52" s="1"/>
  <c r="U139" i="52" s="1"/>
  <c r="T140" i="52" s="1"/>
  <c r="U140" i="52" s="1"/>
  <c r="T141" i="52" s="1"/>
  <c r="U141" i="52" s="1"/>
  <c r="T142" i="52" s="1"/>
  <c r="U142" i="52" s="1"/>
  <c r="T143" i="52" s="1"/>
  <c r="U143" i="52" s="1"/>
  <c r="T144" i="52" s="1"/>
  <c r="U144" i="52" s="1"/>
  <c r="T145" i="52" s="1"/>
  <c r="U145" i="52" s="1"/>
  <c r="T146" i="52" s="1"/>
  <c r="U146" i="52" s="1"/>
  <c r="T147" i="52" s="1"/>
  <c r="U147" i="52" s="1"/>
  <c r="T148" i="52" s="1"/>
  <c r="U148" i="52" s="1"/>
  <c r="T149" i="52" s="1"/>
  <c r="U149" i="52" s="1"/>
  <c r="T150" i="52" s="1"/>
  <c r="U150" i="52" s="1"/>
  <c r="T151" i="52" s="1"/>
  <c r="U151" i="52" s="1"/>
  <c r="P137" i="52" s="1"/>
  <c r="T290" i="54"/>
  <c r="U290" i="54" s="1"/>
  <c r="T291" i="54" s="1"/>
  <c r="U291" i="54" s="1"/>
  <c r="T292" i="54" s="1"/>
  <c r="U292" i="54" s="1"/>
  <c r="T293" i="54" s="1"/>
  <c r="U293" i="54" s="1"/>
  <c r="T294" i="54" s="1"/>
  <c r="U294" i="54" s="1"/>
  <c r="T295" i="54" s="1"/>
  <c r="U295" i="54" s="1"/>
  <c r="T296" i="54" s="1"/>
  <c r="U296" i="54" s="1"/>
  <c r="T297" i="54" s="1"/>
  <c r="U297" i="54" s="1"/>
  <c r="T298" i="54" s="1"/>
  <c r="U298" i="54" s="1"/>
  <c r="T299" i="54" s="1"/>
  <c r="U299" i="54" s="1"/>
  <c r="T300" i="54" s="1"/>
  <c r="U300" i="54" s="1"/>
  <c r="T301" i="54" s="1"/>
  <c r="U301" i="54" s="1"/>
  <c r="T302" i="54" s="1"/>
  <c r="U302" i="54" s="1"/>
  <c r="T303" i="54" s="1"/>
  <c r="U303" i="54" s="1"/>
  <c r="P289" i="54" s="1"/>
  <c r="X290" i="54"/>
  <c r="R521" i="54" s="1"/>
  <c r="R524" i="54" s="1"/>
  <c r="T215" i="52"/>
  <c r="U215" i="52" s="1"/>
  <c r="T216" i="52" s="1"/>
  <c r="U216" i="52" s="1"/>
  <c r="T217" i="52" s="1"/>
  <c r="U217" i="52" s="1"/>
  <c r="T218" i="52" s="1"/>
  <c r="U218" i="52" s="1"/>
  <c r="T219" i="52" s="1"/>
  <c r="U219" i="52" s="1"/>
  <c r="T220" i="52" s="1"/>
  <c r="U220" i="52" s="1"/>
  <c r="T221" i="52" s="1"/>
  <c r="U221" i="52" s="1"/>
  <c r="T222" i="52" s="1"/>
  <c r="U222" i="52" s="1"/>
  <c r="T223" i="52" s="1"/>
  <c r="U223" i="52" s="1"/>
  <c r="T224" i="52" s="1"/>
  <c r="U224" i="52" s="1"/>
  <c r="T225" i="52" s="1"/>
  <c r="U225" i="52" s="1"/>
  <c r="T226" i="52" s="1"/>
  <c r="U226" i="52" s="1"/>
  <c r="T227" i="52" s="1"/>
  <c r="U227" i="52" s="1"/>
  <c r="T228" i="52" s="1"/>
  <c r="U228" i="52" s="1"/>
  <c r="P214" i="52" s="1"/>
  <c r="X290" i="52"/>
  <c r="R521" i="52" s="1"/>
  <c r="R523" i="52" s="1"/>
  <c r="C616" i="52"/>
  <c r="S616" i="52" s="1"/>
  <c r="T616" i="52" s="1"/>
  <c r="C630" i="52"/>
  <c r="H630" i="52" s="1"/>
  <c r="C518" i="52"/>
  <c r="T365" i="52"/>
  <c r="U365" i="52" s="1"/>
  <c r="T366" i="52" s="1"/>
  <c r="U366" i="52" s="1"/>
  <c r="T367" i="52" s="1"/>
  <c r="U367" i="52" s="1"/>
  <c r="T368" i="52" s="1"/>
  <c r="U368" i="52" s="1"/>
  <c r="T369" i="52" s="1"/>
  <c r="U369" i="52" s="1"/>
  <c r="T370" i="52" s="1"/>
  <c r="U370" i="52" s="1"/>
  <c r="T371" i="52" s="1"/>
  <c r="U371" i="52" s="1"/>
  <c r="T372" i="52" s="1"/>
  <c r="U372" i="52" s="1"/>
  <c r="T373" i="52" s="1"/>
  <c r="U373" i="52" s="1"/>
  <c r="T374" i="52" s="1"/>
  <c r="U374" i="52" s="1"/>
  <c r="T375" i="52" s="1"/>
  <c r="U375" i="52" s="1"/>
  <c r="T376" i="52" s="1"/>
  <c r="U376" i="52" s="1"/>
  <c r="T377" i="52" s="1"/>
  <c r="U377" i="52" s="1"/>
  <c r="T378" i="52" s="1"/>
  <c r="U378" i="52" s="1"/>
  <c r="P364" i="52" s="1"/>
  <c r="S304" i="52"/>
  <c r="S290" i="52"/>
  <c r="S299" i="52"/>
  <c r="S291" i="52"/>
  <c r="S292" i="52"/>
  <c r="S298" i="52"/>
  <c r="S301" i="52"/>
  <c r="S302" i="52"/>
  <c r="S300" i="52"/>
  <c r="S297" i="52"/>
  <c r="S295" i="52"/>
  <c r="S294" i="52"/>
  <c r="S293" i="52"/>
  <c r="S303" i="52"/>
  <c r="S296" i="52"/>
  <c r="C631" i="54"/>
  <c r="H631" i="54" s="1"/>
  <c r="C519" i="54"/>
  <c r="T365" i="54"/>
  <c r="U365" i="54" s="1"/>
  <c r="T366" i="54" s="1"/>
  <c r="U366" i="54" s="1"/>
  <c r="T367" i="54" s="1"/>
  <c r="U367" i="54" s="1"/>
  <c r="T368" i="54" s="1"/>
  <c r="U368" i="54" s="1"/>
  <c r="T369" i="54" s="1"/>
  <c r="U369" i="54" s="1"/>
  <c r="T370" i="54" s="1"/>
  <c r="U370" i="54" s="1"/>
  <c r="T371" i="54" s="1"/>
  <c r="U371" i="54" s="1"/>
  <c r="T372" i="54" s="1"/>
  <c r="U372" i="54" s="1"/>
  <c r="T373" i="54" s="1"/>
  <c r="U373" i="54" s="1"/>
  <c r="T374" i="54" s="1"/>
  <c r="U374" i="54" s="1"/>
  <c r="T375" i="54" s="1"/>
  <c r="U375" i="54" s="1"/>
  <c r="T376" i="54" s="1"/>
  <c r="U376" i="54" s="1"/>
  <c r="T377" i="54" s="1"/>
  <c r="U377" i="54" s="1"/>
  <c r="T378" i="54" s="1"/>
  <c r="U378" i="54" s="1"/>
  <c r="P364" i="54" s="1"/>
  <c r="H630" i="54"/>
  <c r="S617" i="54"/>
  <c r="T617" i="54" s="1"/>
  <c r="AL75" i="44" l="1"/>
  <c r="R34" i="39" s="1"/>
  <c r="B33" i="39" s="1"/>
  <c r="N481" i="48"/>
  <c r="R495" i="48"/>
  <c r="C31" i="60" s="1"/>
  <c r="K31" i="60" s="1"/>
  <c r="N483" i="48"/>
  <c r="J483" i="48"/>
  <c r="C31" i="39" s="1"/>
  <c r="S31" i="39" s="1"/>
  <c r="J481" i="48"/>
  <c r="C29" i="39" s="1"/>
  <c r="S29" i="39" s="1"/>
  <c r="N480" i="48"/>
  <c r="N479" i="48"/>
  <c r="J480" i="48"/>
  <c r="C28" i="39" s="1"/>
  <c r="S28" i="39" s="1"/>
  <c r="J479" i="48"/>
  <c r="C27" i="39" s="1"/>
  <c r="S27" i="39" s="1"/>
  <c r="H496" i="48"/>
  <c r="S367" i="48"/>
  <c r="T367" i="48" s="1"/>
  <c r="S482" i="48"/>
  <c r="T482" i="48" s="1"/>
  <c r="J482" i="48" s="1"/>
  <c r="C30" i="39" s="1"/>
  <c r="S30" i="39" s="1"/>
  <c r="AT90" i="55"/>
  <c r="AU90" i="55" s="1"/>
  <c r="AV90" i="55" s="1"/>
  <c r="L518" i="54" s="1"/>
  <c r="U518" i="54" s="1"/>
  <c r="T518" i="54"/>
  <c r="Q29" i="60"/>
  <c r="N33" i="60"/>
  <c r="K33" i="60"/>
  <c r="N32" i="60"/>
  <c r="K32" i="60"/>
  <c r="Q30" i="60"/>
  <c r="H495" i="50"/>
  <c r="H497" i="50"/>
  <c r="H493" i="50"/>
  <c r="S481" i="50"/>
  <c r="T481" i="50" s="1"/>
  <c r="R523" i="54"/>
  <c r="C632" i="54"/>
  <c r="H632" i="54" s="1"/>
  <c r="C520" i="54"/>
  <c r="C618" i="54"/>
  <c r="S618" i="54" s="1"/>
  <c r="T618" i="54" s="1"/>
  <c r="R524" i="52"/>
  <c r="V518" i="52"/>
  <c r="BD90" i="55"/>
  <c r="BE90" i="55" s="1"/>
  <c r="BF90" i="55" s="1"/>
  <c r="L518" i="52" s="1"/>
  <c r="U518" i="52" s="1"/>
  <c r="T518" i="52"/>
  <c r="T290" i="52"/>
  <c r="U290" i="52" s="1"/>
  <c r="T291" i="52" s="1"/>
  <c r="U291" i="52" s="1"/>
  <c r="T292" i="52" s="1"/>
  <c r="U292" i="52" s="1"/>
  <c r="T293" i="52" s="1"/>
  <c r="U293" i="52" s="1"/>
  <c r="T294" i="52" s="1"/>
  <c r="U294" i="52" s="1"/>
  <c r="T295" i="52" s="1"/>
  <c r="U295" i="52" s="1"/>
  <c r="T296" i="52" s="1"/>
  <c r="U296" i="52" s="1"/>
  <c r="T297" i="52" s="1"/>
  <c r="U297" i="52" s="1"/>
  <c r="T298" i="52" s="1"/>
  <c r="U298" i="52" s="1"/>
  <c r="T299" i="52" s="1"/>
  <c r="U299" i="52" s="1"/>
  <c r="T300" i="52" s="1"/>
  <c r="U300" i="52" s="1"/>
  <c r="T301" i="52" s="1"/>
  <c r="U301" i="52" s="1"/>
  <c r="T302" i="52" s="1"/>
  <c r="U302" i="52" s="1"/>
  <c r="T303" i="52" s="1"/>
  <c r="U303" i="52" s="1"/>
  <c r="P289" i="52" s="1"/>
  <c r="T519" i="54"/>
  <c r="V519" i="54"/>
  <c r="AT91" i="55"/>
  <c r="AU91" i="55" s="1"/>
  <c r="AV91" i="55" s="1"/>
  <c r="L519" i="54" s="1"/>
  <c r="U519" i="54" s="1"/>
  <c r="N31" i="60" l="1"/>
  <c r="Q31" i="60" s="1"/>
  <c r="T356" i="48"/>
  <c r="T358" i="48"/>
  <c r="T365" i="48"/>
  <c r="T346" i="48"/>
  <c r="T348" i="48"/>
  <c r="T345" i="48"/>
  <c r="T364" i="48"/>
  <c r="T360" i="48"/>
  <c r="T357" i="48"/>
  <c r="T351" i="48"/>
  <c r="T362" i="48"/>
  <c r="T349" i="48"/>
  <c r="T350" i="48"/>
  <c r="T363" i="48"/>
  <c r="T344" i="48"/>
  <c r="T359" i="48"/>
  <c r="T352" i="48"/>
  <c r="T347" i="48"/>
  <c r="T353" i="48"/>
  <c r="T342" i="48"/>
  <c r="T366" i="48"/>
  <c r="T354" i="48"/>
  <c r="T355" i="48"/>
  <c r="T343" i="48"/>
  <c r="T361" i="48"/>
  <c r="Q32" i="60"/>
  <c r="Q33" i="60"/>
  <c r="C632" i="52"/>
  <c r="H632" i="52" s="1"/>
  <c r="C634" i="52"/>
  <c r="H634" i="52" s="1"/>
  <c r="C617" i="52"/>
  <c r="S617" i="52" s="1"/>
  <c r="T617" i="52" s="1"/>
  <c r="T520" i="54"/>
  <c r="AT92" i="55"/>
  <c r="AU92" i="55" s="1"/>
  <c r="AV92" i="55" s="1"/>
  <c r="L520" i="54" s="1"/>
  <c r="U520" i="54" s="1"/>
  <c r="V520" i="54"/>
  <c r="C633" i="54"/>
  <c r="H633" i="54" s="1"/>
  <c r="C521" i="54"/>
  <c r="C619" i="54"/>
  <c r="S619" i="54" s="1"/>
  <c r="T619" i="54" s="1"/>
  <c r="C620" i="54"/>
  <c r="S620" i="54" s="1"/>
  <c r="T620" i="54" s="1"/>
  <c r="U342" i="48" l="1"/>
  <c r="V342" i="48" s="1"/>
  <c r="U343" i="48" s="1"/>
  <c r="V343" i="48" s="1"/>
  <c r="U344" i="48" s="1"/>
  <c r="V344" i="48" s="1"/>
  <c r="U345" i="48" s="1"/>
  <c r="V345" i="48" s="1"/>
  <c r="U346" i="48" s="1"/>
  <c r="V346" i="48" s="1"/>
  <c r="U347" i="48" s="1"/>
  <c r="V347" i="48" s="1"/>
  <c r="U348" i="48" s="1"/>
  <c r="V348" i="48" s="1"/>
  <c r="U349" i="48" s="1"/>
  <c r="V349" i="48" s="1"/>
  <c r="U350" i="48" s="1"/>
  <c r="V350" i="48" s="1"/>
  <c r="U351" i="48" s="1"/>
  <c r="V351" i="48" s="1"/>
  <c r="U352" i="48" s="1"/>
  <c r="V352" i="48" s="1"/>
  <c r="U353" i="48" s="1"/>
  <c r="V353" i="48" s="1"/>
  <c r="U354" i="48" s="1"/>
  <c r="V354" i="48" s="1"/>
  <c r="U355" i="48" s="1"/>
  <c r="V355" i="48" s="1"/>
  <c r="U356" i="48" s="1"/>
  <c r="V356" i="48" s="1"/>
  <c r="U357" i="48" s="1"/>
  <c r="V357" i="48" s="1"/>
  <c r="U358" i="48" s="1"/>
  <c r="V358" i="48" s="1"/>
  <c r="U359" i="48" s="1"/>
  <c r="V359" i="48" s="1"/>
  <c r="U360" i="48" s="1"/>
  <c r="V360" i="48" s="1"/>
  <c r="U361" i="48" s="1"/>
  <c r="V361" i="48" s="1"/>
  <c r="U362" i="48" s="1"/>
  <c r="V362" i="48" s="1"/>
  <c r="U363" i="48" s="1"/>
  <c r="V363" i="48" s="1"/>
  <c r="U364" i="48" s="1"/>
  <c r="V364" i="48" s="1"/>
  <c r="U365" i="48" s="1"/>
  <c r="V365" i="48" s="1"/>
  <c r="U366" i="48" s="1"/>
  <c r="V366" i="48" s="1"/>
  <c r="P341" i="48" s="1"/>
  <c r="C446" i="48" s="1"/>
  <c r="AR68" i="51" s="1"/>
  <c r="AS68" i="51" s="1"/>
  <c r="AT68" i="51" s="1"/>
  <c r="L446" i="48" s="1"/>
  <c r="P446" i="48" s="1"/>
  <c r="E471" i="48" s="1"/>
  <c r="C631" i="52"/>
  <c r="H631" i="52" s="1"/>
  <c r="C519" i="52"/>
  <c r="BD91" i="55" s="1"/>
  <c r="BE91" i="55" s="1"/>
  <c r="BF91" i="55" s="1"/>
  <c r="L519" i="52" s="1"/>
  <c r="U519" i="52" s="1"/>
  <c r="C520" i="52"/>
  <c r="BD92" i="55" s="1"/>
  <c r="BE92" i="55" s="1"/>
  <c r="BF92" i="55" s="1"/>
  <c r="L520" i="52" s="1"/>
  <c r="C618" i="52"/>
  <c r="S618" i="52" s="1"/>
  <c r="T618" i="52" s="1"/>
  <c r="C620" i="52"/>
  <c r="S620" i="52" s="1"/>
  <c r="T620" i="52" s="1"/>
  <c r="C522" i="52"/>
  <c r="T522" i="52" s="1"/>
  <c r="C633" i="52"/>
  <c r="H633" i="52" s="1"/>
  <c r="V521" i="54"/>
  <c r="AT93" i="55"/>
  <c r="AU93" i="55" s="1"/>
  <c r="AV93" i="55" s="1"/>
  <c r="L521" i="54" s="1"/>
  <c r="U521" i="54" s="1"/>
  <c r="T521" i="54"/>
  <c r="C634" i="54"/>
  <c r="H634" i="54" s="1"/>
  <c r="C522" i="54"/>
  <c r="V522" i="54" s="1"/>
  <c r="U480" i="48" l="1"/>
  <c r="U481" i="48" s="1"/>
  <c r="C484" i="48"/>
  <c r="C498" i="48"/>
  <c r="V520" i="52"/>
  <c r="T520" i="52"/>
  <c r="T519" i="52"/>
  <c r="C521" i="52"/>
  <c r="T524" i="52" s="1"/>
  <c r="C619" i="52"/>
  <c r="S619" i="52" s="1"/>
  <c r="T619" i="52" s="1"/>
  <c r="V519" i="52"/>
  <c r="V522" i="52"/>
  <c r="BD94" i="55"/>
  <c r="BE94" i="55" s="1"/>
  <c r="BF94" i="55" s="1"/>
  <c r="L522" i="52" s="1"/>
  <c r="U522" i="52" s="1"/>
  <c r="Z521" i="54"/>
  <c r="Z522" i="54"/>
  <c r="Z518" i="54"/>
  <c r="Z520" i="54"/>
  <c r="Z519" i="54"/>
  <c r="AT94" i="55"/>
  <c r="AU94" i="55" s="1"/>
  <c r="AV94" i="55" s="1"/>
  <c r="L522" i="54" s="1"/>
  <c r="U522" i="54" s="1"/>
  <c r="U523" i="54" s="1"/>
  <c r="T522" i="54"/>
  <c r="T523" i="54" s="1"/>
  <c r="T524" i="54"/>
  <c r="U520" i="52"/>
  <c r="S471" i="48" l="1"/>
  <c r="R498" i="48"/>
  <c r="C28" i="60" s="1"/>
  <c r="H498" i="48"/>
  <c r="S484" i="48"/>
  <c r="T484" i="48" s="1"/>
  <c r="N484" i="48"/>
  <c r="V521" i="52"/>
  <c r="Z522" i="52" s="1"/>
  <c r="T521" i="52"/>
  <c r="T523" i="52" s="1"/>
  <c r="BD93" i="55"/>
  <c r="BE93" i="55" s="1"/>
  <c r="BF93" i="55" s="1"/>
  <c r="L521" i="52" s="1"/>
  <c r="U521" i="52" s="1"/>
  <c r="U523" i="52" s="1"/>
  <c r="AA518" i="54"/>
  <c r="AB518" i="54" s="1"/>
  <c r="AA519" i="54" s="1"/>
  <c r="AB519" i="54" s="1"/>
  <c r="AA520" i="54" s="1"/>
  <c r="AB520" i="54" s="1"/>
  <c r="AA521" i="54" s="1"/>
  <c r="AB521" i="54" s="1"/>
  <c r="V523" i="54" s="1"/>
  <c r="W518" i="54"/>
  <c r="T461" i="48" l="1"/>
  <c r="T450" i="48"/>
  <c r="T456" i="48"/>
  <c r="T458" i="48"/>
  <c r="T455" i="48"/>
  <c r="T454" i="48"/>
  <c r="T465" i="48"/>
  <c r="T466" i="48"/>
  <c r="T463" i="48"/>
  <c r="T460" i="48"/>
  <c r="T467" i="48"/>
  <c r="T462" i="48"/>
  <c r="T451" i="48"/>
  <c r="T464" i="48"/>
  <c r="T468" i="48"/>
  <c r="T453" i="48"/>
  <c r="T469" i="48"/>
  <c r="T449" i="48"/>
  <c r="T459" i="48"/>
  <c r="T457" i="48"/>
  <c r="T471" i="48"/>
  <c r="T452" i="48"/>
  <c r="T470" i="48"/>
  <c r="N28" i="60"/>
  <c r="K28" i="60"/>
  <c r="Z518" i="52"/>
  <c r="Z520" i="52"/>
  <c r="Z519" i="52"/>
  <c r="W518" i="52"/>
  <c r="Z521" i="52"/>
  <c r="U524" i="54"/>
  <c r="B524" i="54" s="1"/>
  <c r="P518" i="54" s="1"/>
  <c r="I618" i="54" s="1"/>
  <c r="C8" i="39" s="1"/>
  <c r="S8" i="39" s="1"/>
  <c r="M618" i="54" l="1"/>
  <c r="U449" i="48"/>
  <c r="V449" i="48" s="1"/>
  <c r="U450" i="48" s="1"/>
  <c r="V450" i="48" s="1"/>
  <c r="U451" i="48" s="1"/>
  <c r="V451" i="48" s="1"/>
  <c r="U452" i="48" s="1"/>
  <c r="V452" i="48" s="1"/>
  <c r="U453" i="48" s="1"/>
  <c r="V453" i="48" s="1"/>
  <c r="U454" i="48" s="1"/>
  <c r="V454" i="48" s="1"/>
  <c r="U455" i="48" s="1"/>
  <c r="V455" i="48" s="1"/>
  <c r="U456" i="48" s="1"/>
  <c r="V456" i="48" s="1"/>
  <c r="U457" i="48" s="1"/>
  <c r="V457" i="48" s="1"/>
  <c r="U458" i="48" s="1"/>
  <c r="V458" i="48" s="1"/>
  <c r="U459" i="48" s="1"/>
  <c r="V459" i="48" s="1"/>
  <c r="U460" i="48" s="1"/>
  <c r="V460" i="48" s="1"/>
  <c r="U461" i="48" s="1"/>
  <c r="V461" i="48" s="1"/>
  <c r="U462" i="48" s="1"/>
  <c r="V462" i="48" s="1"/>
  <c r="U463" i="48" s="1"/>
  <c r="V463" i="48" s="1"/>
  <c r="U464" i="48" s="1"/>
  <c r="V464" i="48" s="1"/>
  <c r="U465" i="48" s="1"/>
  <c r="V465" i="48" s="1"/>
  <c r="U466" i="48" s="1"/>
  <c r="V466" i="48" s="1"/>
  <c r="U467" i="48" s="1"/>
  <c r="V467" i="48" s="1"/>
  <c r="U468" i="48" s="1"/>
  <c r="V468" i="48" s="1"/>
  <c r="U469" i="48" s="1"/>
  <c r="V469" i="48" s="1"/>
  <c r="U470" i="48" s="1"/>
  <c r="Q28" i="60"/>
  <c r="O633" i="54"/>
  <c r="R633" i="54" s="1"/>
  <c r="C11" i="60" s="1"/>
  <c r="K11" i="60" s="1"/>
  <c r="O632" i="54"/>
  <c r="R632" i="54" s="1"/>
  <c r="C10" i="60" s="1"/>
  <c r="N10" i="60" s="1"/>
  <c r="O631" i="54"/>
  <c r="R631" i="54" s="1"/>
  <c r="C9" i="60" s="1"/>
  <c r="K9" i="60" s="1"/>
  <c r="O634" i="54"/>
  <c r="R634" i="54" s="1"/>
  <c r="C12" i="60" s="1"/>
  <c r="N12" i="60" s="1"/>
  <c r="O630" i="54"/>
  <c r="R630" i="54" s="1"/>
  <c r="C8" i="60" s="1"/>
  <c r="N8" i="60" s="1"/>
  <c r="AA518" i="52"/>
  <c r="AB518" i="52" s="1"/>
  <c r="AA519" i="52" s="1"/>
  <c r="AB519" i="52" s="1"/>
  <c r="AA520" i="52" s="1"/>
  <c r="AB520" i="52" s="1"/>
  <c r="AA521" i="52" s="1"/>
  <c r="AB521" i="52" s="1"/>
  <c r="V523" i="52" s="1"/>
  <c r="U524" i="52" s="1"/>
  <c r="B524" i="52" s="1"/>
  <c r="P518" i="52" s="1"/>
  <c r="M617" i="54"/>
  <c r="I616" i="54"/>
  <c r="C6" i="39" s="1"/>
  <c r="S6" i="39" s="1"/>
  <c r="M616" i="54"/>
  <c r="I617" i="54"/>
  <c r="C7" i="39" s="1"/>
  <c r="S7" i="39" s="1"/>
  <c r="I619" i="54"/>
  <c r="C9" i="39" s="1"/>
  <c r="S9" i="39" s="1"/>
  <c r="M619" i="54"/>
  <c r="M620" i="54"/>
  <c r="E553" i="54"/>
  <c r="U616" i="54" s="1"/>
  <c r="U618" i="54" s="1"/>
  <c r="I620" i="54"/>
  <c r="C10" i="39" s="1"/>
  <c r="S10" i="39" s="1"/>
  <c r="M617" i="52" l="1"/>
  <c r="M620" i="52"/>
  <c r="N11" i="60"/>
  <c r="Q11" i="60" s="1"/>
  <c r="K12" i="60"/>
  <c r="Q12" i="60" s="1"/>
  <c r="K10" i="60"/>
  <c r="Q10" i="60" s="1"/>
  <c r="K8" i="60"/>
  <c r="Q8" i="60" s="1"/>
  <c r="V470" i="48"/>
  <c r="BW530" i="54"/>
  <c r="N9" i="60"/>
  <c r="Q9" i="60" s="1"/>
  <c r="M618" i="52"/>
  <c r="O634" i="52"/>
  <c r="R634" i="52" s="1"/>
  <c r="C19" i="60" s="1"/>
  <c r="O630" i="52"/>
  <c r="R630" i="52" s="1"/>
  <c r="C15" i="60" s="1"/>
  <c r="O631" i="52"/>
  <c r="R631" i="52" s="1"/>
  <c r="C16" i="60" s="1"/>
  <c r="O632" i="52"/>
  <c r="R632" i="52" s="1"/>
  <c r="C17" i="60" s="1"/>
  <c r="O633" i="52"/>
  <c r="R633" i="52" s="1"/>
  <c r="C18" i="60" s="1"/>
  <c r="I617" i="52"/>
  <c r="C14" i="39" s="1"/>
  <c r="S14" i="39" s="1"/>
  <c r="M619" i="52"/>
  <c r="M616" i="52"/>
  <c r="I618" i="52"/>
  <c r="C15" i="39" s="1"/>
  <c r="S15" i="39" s="1"/>
  <c r="I619" i="52"/>
  <c r="C16" i="39" s="1"/>
  <c r="S16" i="39" s="1"/>
  <c r="I620" i="52"/>
  <c r="C17" i="39" s="1"/>
  <c r="S17" i="39" s="1"/>
  <c r="E553" i="52"/>
  <c r="BW530" i="52" s="1"/>
  <c r="AN531" i="52" s="1"/>
  <c r="I616" i="52"/>
  <c r="C13" i="39" s="1"/>
  <c r="S13" i="39" s="1"/>
  <c r="P448" i="48" l="1"/>
  <c r="R491" i="48"/>
  <c r="K18" i="60"/>
  <c r="N18" i="60"/>
  <c r="N17" i="60"/>
  <c r="K17" i="60"/>
  <c r="K16" i="60"/>
  <c r="N16" i="60"/>
  <c r="N15" i="60"/>
  <c r="K15" i="60"/>
  <c r="N19" i="60"/>
  <c r="K19" i="60"/>
  <c r="AR531" i="52"/>
  <c r="BH531" i="52"/>
  <c r="BK531" i="52"/>
  <c r="BL531" i="52"/>
  <c r="AM531" i="52"/>
  <c r="BE531" i="52"/>
  <c r="BU531" i="52"/>
  <c r="AL531" i="52"/>
  <c r="AW531" i="52"/>
  <c r="BJ531" i="52"/>
  <c r="BP531" i="52"/>
  <c r="AY531" i="52"/>
  <c r="BC531" i="52"/>
  <c r="BR531" i="52"/>
  <c r="BT531" i="52"/>
  <c r="BV531" i="52"/>
  <c r="AX531" i="52"/>
  <c r="BG531" i="52"/>
  <c r="BI531" i="52"/>
  <c r="BW531" i="52"/>
  <c r="BA531" i="52"/>
  <c r="BB531" i="52"/>
  <c r="AS531" i="52"/>
  <c r="BS531" i="52"/>
  <c r="BN531" i="52"/>
  <c r="BO531" i="52"/>
  <c r="BQ531" i="52"/>
  <c r="AO531" i="52"/>
  <c r="AQ531" i="52"/>
  <c r="BD531" i="52"/>
  <c r="AV531" i="52"/>
  <c r="AZ531" i="52"/>
  <c r="AT531" i="52"/>
  <c r="BF531" i="52"/>
  <c r="AU531" i="52"/>
  <c r="BM531" i="52"/>
  <c r="AP531" i="52"/>
  <c r="AL531" i="54"/>
  <c r="AY531" i="54"/>
  <c r="AR531" i="54"/>
  <c r="BK531" i="54"/>
  <c r="BS531" i="54"/>
  <c r="AV531" i="54"/>
  <c r="BV531" i="54"/>
  <c r="BQ531" i="54"/>
  <c r="AQ531" i="54"/>
  <c r="BC531" i="54"/>
  <c r="BR531" i="54"/>
  <c r="BM531" i="54"/>
  <c r="BT531" i="54"/>
  <c r="BE531" i="54"/>
  <c r="BO531" i="54"/>
  <c r="BD531" i="54"/>
  <c r="BA531" i="54"/>
  <c r="BG531" i="54"/>
  <c r="AX531" i="54"/>
  <c r="AT531" i="54"/>
  <c r="AS531" i="54"/>
  <c r="AU531" i="54"/>
  <c r="BJ531" i="54"/>
  <c r="BP531" i="54"/>
  <c r="BN531" i="54"/>
  <c r="AP531" i="54"/>
  <c r="BB531" i="54"/>
  <c r="BW531" i="54"/>
  <c r="AO531" i="54"/>
  <c r="BU531" i="54"/>
  <c r="AW531" i="54"/>
  <c r="AM531" i="54"/>
  <c r="AZ531" i="54"/>
  <c r="BF531" i="54"/>
  <c r="BI531" i="54"/>
  <c r="AN531" i="54"/>
  <c r="BH531" i="54"/>
  <c r="BL531" i="54"/>
  <c r="C485" i="48" l="1"/>
  <c r="C499" i="48"/>
  <c r="Q17" i="60"/>
  <c r="Q16" i="60"/>
  <c r="Q19" i="60"/>
  <c r="Q18" i="60"/>
  <c r="Q15" i="60"/>
  <c r="AL532" i="52"/>
  <c r="AL533" i="52" s="1"/>
  <c r="AM532" i="52" s="1"/>
  <c r="AM533" i="52" s="1"/>
  <c r="AN532" i="52" s="1"/>
  <c r="AN533" i="52" s="1"/>
  <c r="AO532" i="52" s="1"/>
  <c r="AO533" i="52" s="1"/>
  <c r="AP532" i="52" s="1"/>
  <c r="AP533" i="52" s="1"/>
  <c r="AQ532" i="52" s="1"/>
  <c r="AQ533" i="52" s="1"/>
  <c r="AR532" i="52" s="1"/>
  <c r="AR533" i="52" s="1"/>
  <c r="AS532" i="52" s="1"/>
  <c r="AS533" i="52" s="1"/>
  <c r="AT532" i="52" s="1"/>
  <c r="AT533" i="52" s="1"/>
  <c r="AU532" i="52" s="1"/>
  <c r="AU533" i="52" s="1"/>
  <c r="AV532" i="52" s="1"/>
  <c r="AV533" i="52" s="1"/>
  <c r="AW532" i="52" s="1"/>
  <c r="AW533" i="52" s="1"/>
  <c r="AX532" i="52" s="1"/>
  <c r="AX533" i="52" s="1"/>
  <c r="AY532" i="52" s="1"/>
  <c r="AY533" i="52" s="1"/>
  <c r="AZ532" i="52" s="1"/>
  <c r="AZ533" i="52" s="1"/>
  <c r="BA532" i="52" s="1"/>
  <c r="BA533" i="52" s="1"/>
  <c r="BB532" i="52" s="1"/>
  <c r="BB533" i="52" s="1"/>
  <c r="BC532" i="52" s="1"/>
  <c r="BC533" i="52" s="1"/>
  <c r="BD532" i="52" s="1"/>
  <c r="BD533" i="52" s="1"/>
  <c r="BE532" i="52" s="1"/>
  <c r="BE533" i="52" s="1"/>
  <c r="BF532" i="52" s="1"/>
  <c r="BF533" i="52" s="1"/>
  <c r="BG532" i="52" s="1"/>
  <c r="BG533" i="52" s="1"/>
  <c r="BH532" i="52" s="1"/>
  <c r="BH533" i="52" s="1"/>
  <c r="BI532" i="52" s="1"/>
  <c r="BI533" i="52" s="1"/>
  <c r="BJ532" i="52" s="1"/>
  <c r="BJ533" i="52" s="1"/>
  <c r="BK532" i="52" s="1"/>
  <c r="BK533" i="52" s="1"/>
  <c r="BL532" i="52" s="1"/>
  <c r="BL533" i="52" s="1"/>
  <c r="BM532" i="52" s="1"/>
  <c r="BM533" i="52" s="1"/>
  <c r="BN532" i="52" s="1"/>
  <c r="BN533" i="52" s="1"/>
  <c r="BO532" i="52" s="1"/>
  <c r="BO533" i="52" s="1"/>
  <c r="BP532" i="52" s="1"/>
  <c r="BP533" i="52" s="1"/>
  <c r="BQ532" i="52" s="1"/>
  <c r="BQ533" i="52" s="1"/>
  <c r="BR532" i="52" s="1"/>
  <c r="BR533" i="52" s="1"/>
  <c r="BS532" i="52" s="1"/>
  <c r="BS533" i="52" s="1"/>
  <c r="BT532" i="52" s="1"/>
  <c r="BT533" i="52" s="1"/>
  <c r="BU532" i="52" s="1"/>
  <c r="BU533" i="52" s="1"/>
  <c r="BV532" i="52" s="1"/>
  <c r="BV533" i="52" s="1"/>
  <c r="P527" i="52" s="1"/>
  <c r="AL532" i="54"/>
  <c r="AL533" i="54" s="1"/>
  <c r="AM532" i="54" s="1"/>
  <c r="AM533" i="54" s="1"/>
  <c r="AN532" i="54" s="1"/>
  <c r="AN533" i="54" s="1"/>
  <c r="AO532" i="54" s="1"/>
  <c r="AO533" i="54" s="1"/>
  <c r="AP532" i="54" s="1"/>
  <c r="AP533" i="54" s="1"/>
  <c r="AQ532" i="54" s="1"/>
  <c r="AQ533" i="54" s="1"/>
  <c r="AR532" i="54" s="1"/>
  <c r="AR533" i="54" s="1"/>
  <c r="AS532" i="54" s="1"/>
  <c r="AS533" i="54" s="1"/>
  <c r="AT532" i="54" s="1"/>
  <c r="AT533" i="54" s="1"/>
  <c r="AU532" i="54" s="1"/>
  <c r="AU533" i="54" s="1"/>
  <c r="AV532" i="54" s="1"/>
  <c r="AV533" i="54" s="1"/>
  <c r="AW532" i="54" s="1"/>
  <c r="AW533" i="54" s="1"/>
  <c r="AX532" i="54" s="1"/>
  <c r="AX533" i="54" s="1"/>
  <c r="AY532" i="54" s="1"/>
  <c r="AY533" i="54" s="1"/>
  <c r="AZ532" i="54" s="1"/>
  <c r="AZ533" i="54" s="1"/>
  <c r="BA532" i="54" s="1"/>
  <c r="BA533" i="54" s="1"/>
  <c r="BB532" i="54" s="1"/>
  <c r="BB533" i="54" s="1"/>
  <c r="BC532" i="54" s="1"/>
  <c r="BC533" i="54" s="1"/>
  <c r="BD532" i="54" s="1"/>
  <c r="BD533" i="54" s="1"/>
  <c r="BE532" i="54" s="1"/>
  <c r="BE533" i="54" s="1"/>
  <c r="BF532" i="54" s="1"/>
  <c r="BF533" i="54" s="1"/>
  <c r="BG532" i="54" s="1"/>
  <c r="BG533" i="54" s="1"/>
  <c r="BH532" i="54" s="1"/>
  <c r="BH533" i="54" s="1"/>
  <c r="BI532" i="54" s="1"/>
  <c r="BI533" i="54" s="1"/>
  <c r="BJ532" i="54" s="1"/>
  <c r="BJ533" i="54" s="1"/>
  <c r="BK532" i="54" s="1"/>
  <c r="BK533" i="54" s="1"/>
  <c r="BL532" i="54" s="1"/>
  <c r="BL533" i="54" s="1"/>
  <c r="BM532" i="54" s="1"/>
  <c r="BM533" i="54" s="1"/>
  <c r="BN532" i="54" s="1"/>
  <c r="BN533" i="54" s="1"/>
  <c r="BO532" i="54" s="1"/>
  <c r="BO533" i="54" s="1"/>
  <c r="BP532" i="54" s="1"/>
  <c r="BP533" i="54" s="1"/>
  <c r="BQ532" i="54" s="1"/>
  <c r="BQ533" i="54" s="1"/>
  <c r="BR532" i="54" s="1"/>
  <c r="BR533" i="54" s="1"/>
  <c r="BS532" i="54" s="1"/>
  <c r="BS533" i="54" s="1"/>
  <c r="BT532" i="54" s="1"/>
  <c r="BT533" i="54" s="1"/>
  <c r="BU532" i="54" s="1"/>
  <c r="BU533" i="54" s="1"/>
  <c r="L13" i="46" l="1"/>
  <c r="H10" i="47"/>
  <c r="H499" i="48"/>
  <c r="R499" i="48"/>
  <c r="C27" i="60" s="1"/>
  <c r="S485" i="48"/>
  <c r="T485" i="48" s="1"/>
  <c r="J485" i="48" s="1"/>
  <c r="C25" i="39" s="1"/>
  <c r="S25" i="39" s="1"/>
  <c r="J484" i="48"/>
  <c r="C26" i="39" s="1"/>
  <c r="S26" i="39" s="1"/>
  <c r="BV532" i="54"/>
  <c r="BV533" i="54" s="1"/>
  <c r="P527" i="54" s="1"/>
  <c r="G10" i="47" l="1"/>
  <c r="I22" i="46"/>
  <c r="I23" i="46" s="1"/>
  <c r="I24" i="46" s="1"/>
  <c r="B5" i="47" s="1"/>
  <c r="B6" i="47" s="1"/>
  <c r="I25" i="46" s="1"/>
  <c r="L22" i="46"/>
  <c r="L23" i="46" s="1"/>
  <c r="L24" i="46" s="1"/>
  <c r="C5" i="47" s="1"/>
  <c r="C6" i="47" s="1"/>
  <c r="L25" i="46" s="1"/>
  <c r="F13" i="46"/>
  <c r="Q54" i="60"/>
  <c r="Q64" i="60" s="1"/>
  <c r="Q65" i="60" s="1"/>
  <c r="Q67" i="60" s="1"/>
  <c r="Q68" i="60" s="1"/>
  <c r="N27" i="60"/>
  <c r="K27" i="60"/>
  <c r="O494" i="50"/>
  <c r="O496" i="50"/>
  <c r="R496" i="50" s="1"/>
  <c r="C25" i="60" s="1"/>
  <c r="O497" i="50"/>
  <c r="R497" i="50" s="1"/>
  <c r="C26" i="60" s="1"/>
  <c r="O495" i="50"/>
  <c r="R495" i="50" s="1"/>
  <c r="C24" i="60" s="1"/>
  <c r="O493" i="50"/>
  <c r="R493" i="50" s="1"/>
  <c r="C22" i="60" s="1"/>
  <c r="C621" i="54"/>
  <c r="F22" i="46" l="1"/>
  <c r="F23" i="46" s="1"/>
  <c r="F24" i="46" s="1"/>
  <c r="C2" i="47" s="1"/>
  <c r="C3" i="47" s="1"/>
  <c r="F25" i="46" s="1"/>
  <c r="S31" i="46" s="1"/>
  <c r="C22" i="46"/>
  <c r="C23" i="46" s="1"/>
  <c r="C24" i="46" s="1"/>
  <c r="B2" i="47" s="1"/>
  <c r="B3" i="47" s="1"/>
  <c r="C25" i="46" s="1"/>
  <c r="S30" i="46" s="1"/>
  <c r="B66" i="60"/>
  <c r="C70" i="60"/>
  <c r="K70" i="60" s="1"/>
  <c r="C621" i="52"/>
  <c r="Q27" i="60"/>
  <c r="N22" i="60"/>
  <c r="K22" i="60"/>
  <c r="K25" i="60"/>
  <c r="N25" i="60"/>
  <c r="O499" i="50"/>
  <c r="O498" i="50"/>
  <c r="N24" i="60"/>
  <c r="K24" i="60"/>
  <c r="N26" i="60"/>
  <c r="K26" i="60"/>
  <c r="AT97" i="55"/>
  <c r="AU97" i="55" s="1"/>
  <c r="AV97" i="55" s="1"/>
  <c r="E608" i="54" s="1"/>
  <c r="C635" i="54"/>
  <c r="H635" i="54" s="1"/>
  <c r="M621" i="54"/>
  <c r="S621" i="54"/>
  <c r="T621" i="54" s="1"/>
  <c r="C30" i="46" l="1"/>
  <c r="J30" i="46" s="1"/>
  <c r="C44" i="46"/>
  <c r="I48" i="46"/>
  <c r="C31" i="46"/>
  <c r="J31" i="46" s="1"/>
  <c r="C45" i="46"/>
  <c r="R608" i="54"/>
  <c r="BD97" i="55"/>
  <c r="BE97" i="55" s="1"/>
  <c r="BF97" i="55" s="1"/>
  <c r="E608" i="52" s="1"/>
  <c r="R608" i="52" s="1"/>
  <c r="I35" i="46"/>
  <c r="G72" i="60"/>
  <c r="N72" i="60" s="1"/>
  <c r="G73" i="60"/>
  <c r="N73" i="60" s="1"/>
  <c r="G74" i="60"/>
  <c r="N74" i="60" s="1"/>
  <c r="C635" i="52"/>
  <c r="H635" i="52" s="1"/>
  <c r="Q25" i="60"/>
  <c r="Q24" i="60"/>
  <c r="Q26" i="60"/>
  <c r="Q22" i="60"/>
  <c r="M621" i="52"/>
  <c r="S621" i="52"/>
  <c r="T621" i="52" s="1"/>
  <c r="C35" i="60" l="1"/>
  <c r="J45" i="46"/>
  <c r="P45" i="46" s="1"/>
  <c r="C34" i="60"/>
  <c r="J44" i="46"/>
  <c r="P44" i="46" s="1"/>
  <c r="P46" i="46" s="1"/>
  <c r="U31" i="46"/>
  <c r="V31" i="46" s="1"/>
  <c r="I49" i="46"/>
  <c r="P48" i="46"/>
  <c r="B32" i="46"/>
  <c r="P35" i="46"/>
  <c r="I36" i="46"/>
  <c r="U30" i="46"/>
  <c r="V30" i="46" s="1"/>
  <c r="Q75" i="60"/>
  <c r="S601" i="54"/>
  <c r="S602" i="54"/>
  <c r="S607" i="54"/>
  <c r="S598" i="54"/>
  <c r="S603" i="54"/>
  <c r="S596" i="54"/>
  <c r="S608" i="54"/>
  <c r="S606" i="54"/>
  <c r="S595" i="54"/>
  <c r="S597" i="54"/>
  <c r="S599" i="54"/>
  <c r="S600" i="54"/>
  <c r="S604" i="54"/>
  <c r="S605" i="54"/>
  <c r="S597" i="52"/>
  <c r="S605" i="52"/>
  <c r="S604" i="52"/>
  <c r="S607" i="52"/>
  <c r="S596" i="52"/>
  <c r="S598" i="52"/>
  <c r="S595" i="52"/>
  <c r="S602" i="52"/>
  <c r="S600" i="52"/>
  <c r="S601" i="52"/>
  <c r="S608" i="52"/>
  <c r="S606" i="52"/>
  <c r="S603" i="52"/>
  <c r="S599" i="52"/>
  <c r="P49" i="46" l="1"/>
  <c r="I50" i="46" s="1"/>
  <c r="W30" i="46"/>
  <c r="X30" i="46" s="1"/>
  <c r="J32" i="46" s="1"/>
  <c r="P32" i="46" s="1"/>
  <c r="P50" i="46"/>
  <c r="C52" i="46" s="1"/>
  <c r="J52" i="46" s="1"/>
  <c r="P52" i="46" s="1"/>
  <c r="P53" i="46" s="1"/>
  <c r="B53" i="46" s="1"/>
  <c r="S50" i="46" s="1"/>
  <c r="T34" i="60" s="1"/>
  <c r="K34" i="60"/>
  <c r="N34" i="60"/>
  <c r="K35" i="60"/>
  <c r="N35" i="60"/>
  <c r="P36" i="46"/>
  <c r="I37" i="46" s="1"/>
  <c r="T595" i="54"/>
  <c r="U595" i="54" s="1"/>
  <c r="T596" i="54" s="1"/>
  <c r="U596" i="54" s="1"/>
  <c r="T597" i="54" s="1"/>
  <c r="U597" i="54" s="1"/>
  <c r="T598" i="54" s="1"/>
  <c r="U598" i="54" s="1"/>
  <c r="T599" i="54" s="1"/>
  <c r="U599" i="54" s="1"/>
  <c r="T600" i="54" s="1"/>
  <c r="U600" i="54" s="1"/>
  <c r="T601" i="54" s="1"/>
  <c r="U601" i="54" s="1"/>
  <c r="T602" i="54" s="1"/>
  <c r="U602" i="54" s="1"/>
  <c r="T603" i="54" s="1"/>
  <c r="U603" i="54" s="1"/>
  <c r="T604" i="54" s="1"/>
  <c r="U604" i="54" s="1"/>
  <c r="T605" i="54" s="1"/>
  <c r="U605" i="54" s="1"/>
  <c r="T606" i="54" s="1"/>
  <c r="U606" i="54" s="1"/>
  <c r="T607" i="54" s="1"/>
  <c r="U607" i="54" s="1"/>
  <c r="T595" i="52"/>
  <c r="U595" i="52" s="1"/>
  <c r="T596" i="52" s="1"/>
  <c r="U596" i="52" s="1"/>
  <c r="T597" i="52" s="1"/>
  <c r="U597" i="52" s="1"/>
  <c r="T598" i="52" s="1"/>
  <c r="U598" i="52" s="1"/>
  <c r="T599" i="52" s="1"/>
  <c r="U599" i="52" s="1"/>
  <c r="T600" i="52" s="1"/>
  <c r="U600" i="52" s="1"/>
  <c r="T601" i="52" s="1"/>
  <c r="U601" i="52" s="1"/>
  <c r="T602" i="52" s="1"/>
  <c r="U602" i="52" s="1"/>
  <c r="T603" i="52" s="1"/>
  <c r="U603" i="52" s="1"/>
  <c r="T604" i="52" s="1"/>
  <c r="U604" i="52" s="1"/>
  <c r="T605" i="52" s="1"/>
  <c r="U605" i="52" s="1"/>
  <c r="T606" i="52" s="1"/>
  <c r="U606" i="52" s="1"/>
  <c r="T607" i="52" s="1"/>
  <c r="U607" i="52" s="1"/>
  <c r="P594" i="52" s="1"/>
  <c r="C636" i="52" s="1"/>
  <c r="O635" i="52" s="1"/>
  <c r="R635" i="52" s="1"/>
  <c r="C14" i="60" s="1"/>
  <c r="C36" i="60" l="1"/>
  <c r="Q35" i="60"/>
  <c r="Q34" i="60"/>
  <c r="P594" i="54"/>
  <c r="C636" i="54" s="1"/>
  <c r="O635" i="54" s="1"/>
  <c r="R635" i="54" s="1"/>
  <c r="C7" i="60" s="1"/>
  <c r="P37" i="46"/>
  <c r="I38" i="46" s="1"/>
  <c r="P38" i="46" s="1"/>
  <c r="I39" i="46" s="1"/>
  <c r="P39" i="46" s="1"/>
  <c r="C622" i="52"/>
  <c r="S622" i="52" s="1"/>
  <c r="T622" i="52" s="1"/>
  <c r="I622" i="52" s="1"/>
  <c r="C11" i="39" s="1"/>
  <c r="S11" i="39" s="1"/>
  <c r="N14" i="60"/>
  <c r="K14" i="60"/>
  <c r="H636" i="52"/>
  <c r="O636" i="52" s="1"/>
  <c r="R636" i="52"/>
  <c r="C13" i="60" s="1"/>
  <c r="N36" i="60" l="1"/>
  <c r="K36" i="60"/>
  <c r="I621" i="52"/>
  <c r="C12" i="39" s="1"/>
  <c r="S12" i="39" s="1"/>
  <c r="S34" i="46"/>
  <c r="C32" i="39" s="1"/>
  <c r="S32" i="39" s="1"/>
  <c r="S35" i="46"/>
  <c r="R35" i="46" s="1"/>
  <c r="R32" i="39" s="1"/>
  <c r="S38" i="46"/>
  <c r="B40" i="46" s="1"/>
  <c r="P40" i="46"/>
  <c r="Q14" i="60"/>
  <c r="C622" i="54"/>
  <c r="S622" i="54" s="1"/>
  <c r="T622" i="54" s="1"/>
  <c r="I622" i="54" s="1"/>
  <c r="C4" i="39" s="1"/>
  <c r="S4" i="39" s="1"/>
  <c r="K13" i="60"/>
  <c r="N13" i="60"/>
  <c r="K7" i="60"/>
  <c r="N7" i="60"/>
  <c r="H636" i="54"/>
  <c r="O636" i="54" s="1"/>
  <c r="R636" i="54" s="1"/>
  <c r="C6" i="60" s="1"/>
  <c r="Q36" i="60" l="1"/>
  <c r="R31" i="39"/>
  <c r="B32" i="39" s="1"/>
  <c r="I621" i="54"/>
  <c r="C5" i="39" s="1"/>
  <c r="S5" i="39" s="1"/>
  <c r="Q13" i="60"/>
  <c r="Q7" i="60"/>
  <c r="N6" i="60"/>
  <c r="K6" i="60"/>
  <c r="Q6" i="60" l="1"/>
  <c r="Z58" i="50" l="1"/>
  <c r="Z59" i="50" l="1"/>
  <c r="Z57" i="50"/>
  <c r="AA57" i="50" s="1"/>
  <c r="AB57" i="50" s="1"/>
  <c r="AA58" i="50" l="1"/>
  <c r="AB58" i="50" s="1"/>
  <c r="AA53" i="50" s="1"/>
  <c r="P59" i="50" s="1"/>
  <c r="E74" i="50" l="1"/>
  <c r="S74" i="50" s="1"/>
  <c r="L77" i="50"/>
  <c r="T74" i="50" l="1"/>
  <c r="T73" i="50"/>
  <c r="T77" i="50"/>
  <c r="T80" i="50"/>
  <c r="T79" i="50"/>
  <c r="T75" i="50"/>
  <c r="T76" i="50"/>
  <c r="T78" i="50"/>
  <c r="U73" i="50" l="1"/>
  <c r="V73" i="50" s="1"/>
  <c r="U74" i="50" s="1"/>
  <c r="V74" i="50" s="1"/>
  <c r="U75" i="50" s="1"/>
  <c r="V75" i="50" s="1"/>
  <c r="U76" i="50" s="1"/>
  <c r="V76" i="50" s="1"/>
  <c r="U77" i="50" s="1"/>
  <c r="V77" i="50" s="1"/>
  <c r="U78" i="50" s="1"/>
  <c r="V78" i="50" s="1"/>
  <c r="U79" i="50" s="1"/>
  <c r="V79" i="50" s="1"/>
  <c r="P72" i="50" s="1"/>
  <c r="C494" i="50" l="1"/>
  <c r="C480" i="50"/>
  <c r="S480" i="50" l="1"/>
  <c r="T480" i="50" s="1"/>
  <c r="N480" i="50"/>
  <c r="R494" i="50"/>
  <c r="C23" i="60" s="1"/>
  <c r="H494" i="50"/>
  <c r="N481" i="50"/>
  <c r="N483" i="50"/>
  <c r="N482" i="50"/>
  <c r="N23" i="60" l="1"/>
  <c r="K23" i="60"/>
  <c r="Q23" i="60" l="1"/>
  <c r="P234" i="50" l="1"/>
  <c r="E353" i="50" s="1"/>
  <c r="S353" i="50" l="1"/>
  <c r="R270" i="50"/>
  <c r="W342" i="50"/>
  <c r="W348" i="50" s="1"/>
  <c r="L362" i="50" s="1"/>
  <c r="C271" i="50" l="1"/>
  <c r="AH49" i="51" s="1"/>
  <c r="AI49" i="51" s="1"/>
  <c r="AJ49" i="51" s="1"/>
  <c r="L271" i="50" s="1"/>
  <c r="C273" i="50"/>
  <c r="AH51" i="51" s="1"/>
  <c r="AI51" i="51" s="1"/>
  <c r="AJ51" i="51" s="1"/>
  <c r="L273" i="50" s="1"/>
  <c r="C272" i="50"/>
  <c r="AH50" i="51" s="1"/>
  <c r="AI50" i="51" s="1"/>
  <c r="AJ50" i="51" s="1"/>
  <c r="L272" i="50" s="1"/>
  <c r="C274" i="50"/>
  <c r="AH52" i="51" s="1"/>
  <c r="AI52" i="51" s="1"/>
  <c r="AJ52" i="51" s="1"/>
  <c r="L274" i="50" s="1"/>
  <c r="C270" i="50"/>
  <c r="AH48" i="51" s="1"/>
  <c r="AI48" i="51" s="1"/>
  <c r="AJ48" i="51" s="1"/>
  <c r="L270" i="50" s="1"/>
  <c r="P270" i="50" l="1"/>
  <c r="J483" i="50" l="1"/>
  <c r="C24" i="39" s="1"/>
  <c r="S24" i="39" s="1"/>
  <c r="N479" i="50"/>
  <c r="J479" i="50"/>
  <c r="C20" i="39" s="1"/>
  <c r="S20" i="39" s="1"/>
  <c r="J482" i="50"/>
  <c r="C23" i="39" s="1"/>
  <c r="S23" i="39" s="1"/>
  <c r="J480" i="50"/>
  <c r="C21" i="39" s="1"/>
  <c r="S21" i="39" s="1"/>
  <c r="J481" i="50"/>
  <c r="C22" i="39" s="1"/>
  <c r="S22" i="39" s="1"/>
  <c r="E367" i="50"/>
  <c r="U479" i="50" s="1"/>
  <c r="S367" i="50" l="1"/>
  <c r="T367" i="50"/>
  <c r="T347" i="50"/>
  <c r="T357" i="50"/>
  <c r="T364" i="50"/>
  <c r="T346" i="50"/>
  <c r="T365" i="50"/>
  <c r="T358" i="50"/>
  <c r="T363" i="50"/>
  <c r="T352" i="50"/>
  <c r="T361" i="50"/>
  <c r="T355" i="50"/>
  <c r="T354" i="50"/>
  <c r="T359" i="50"/>
  <c r="T343" i="50"/>
  <c r="T342" i="50"/>
  <c r="T353" i="50"/>
  <c r="T366" i="50"/>
  <c r="T348" i="50"/>
  <c r="T351" i="50"/>
  <c r="T360" i="50"/>
  <c r="T345" i="50"/>
  <c r="T350" i="50"/>
  <c r="T349" i="50"/>
  <c r="T356" i="50"/>
  <c r="T362" i="50"/>
  <c r="T344" i="50"/>
  <c r="U342" i="50" l="1"/>
  <c r="V342" i="50" s="1"/>
  <c r="U343" i="50" s="1"/>
  <c r="V343" i="50" s="1"/>
  <c r="U344" i="50" s="1"/>
  <c r="V344" i="50" s="1"/>
  <c r="U345" i="50" s="1"/>
  <c r="V345" i="50" s="1"/>
  <c r="U346" i="50" s="1"/>
  <c r="V346" i="50" s="1"/>
  <c r="U347" i="50" s="1"/>
  <c r="V347" i="50" s="1"/>
  <c r="U348" i="50" s="1"/>
  <c r="V348" i="50" s="1"/>
  <c r="U349" i="50" s="1"/>
  <c r="V349" i="50" s="1"/>
  <c r="U350" i="50" s="1"/>
  <c r="V350" i="50" s="1"/>
  <c r="U351" i="50" s="1"/>
  <c r="V351" i="50" s="1"/>
  <c r="U352" i="50" s="1"/>
  <c r="V352" i="50" s="1"/>
  <c r="U353" i="50" s="1"/>
  <c r="V353" i="50" s="1"/>
  <c r="U354" i="50" s="1"/>
  <c r="V354" i="50" s="1"/>
  <c r="U355" i="50" s="1"/>
  <c r="V355" i="50" s="1"/>
  <c r="U356" i="50" s="1"/>
  <c r="V356" i="50" s="1"/>
  <c r="U357" i="50" s="1"/>
  <c r="V357" i="50" s="1"/>
  <c r="U358" i="50" s="1"/>
  <c r="V358" i="50" s="1"/>
  <c r="U359" i="50" s="1"/>
  <c r="V359" i="50" s="1"/>
  <c r="U360" i="50" s="1"/>
  <c r="V360" i="50" s="1"/>
  <c r="U361" i="50" s="1"/>
  <c r="V361" i="50" s="1"/>
  <c r="U362" i="50" s="1"/>
  <c r="V362" i="50" s="1"/>
  <c r="U363" i="50" s="1"/>
  <c r="V363" i="50" s="1"/>
  <c r="U364" i="50" s="1"/>
  <c r="V364" i="50" s="1"/>
  <c r="U365" i="50" s="1"/>
  <c r="V365" i="50" s="1"/>
  <c r="U366" i="50" s="1"/>
  <c r="V366" i="50" s="1"/>
  <c r="P341" i="50" s="1"/>
  <c r="C446" i="50" s="1"/>
  <c r="AH68" i="51" s="1"/>
  <c r="AI68" i="51" s="1"/>
  <c r="AJ68" i="51" s="1"/>
  <c r="L446" i="50" s="1"/>
  <c r="P446" i="50" s="1"/>
  <c r="E471" i="50" s="1"/>
  <c r="U480" i="50" l="1"/>
  <c r="U481" i="50" s="1"/>
  <c r="S471" i="50"/>
  <c r="C498" i="50"/>
  <c r="C484" i="50"/>
  <c r="T451" i="50" l="1"/>
  <c r="T461" i="50"/>
  <c r="T452" i="50"/>
  <c r="T467" i="50"/>
  <c r="T460" i="50"/>
  <c r="T455" i="50"/>
  <c r="T457" i="50"/>
  <c r="T453" i="50"/>
  <c r="T459" i="50"/>
  <c r="T462" i="50"/>
  <c r="T465" i="50"/>
  <c r="T456" i="50"/>
  <c r="T454" i="50"/>
  <c r="T449" i="50"/>
  <c r="T463" i="50"/>
  <c r="T471" i="50"/>
  <c r="T450" i="50"/>
  <c r="T464" i="50"/>
  <c r="T470" i="50"/>
  <c r="T458" i="50"/>
  <c r="T468" i="50"/>
  <c r="T469" i="50"/>
  <c r="T466" i="50"/>
  <c r="S484" i="50"/>
  <c r="T484" i="50" s="1"/>
  <c r="N484" i="50"/>
  <c r="R498" i="50"/>
  <c r="C21" i="60" s="1"/>
  <c r="H498" i="50"/>
  <c r="U449" i="50" l="1"/>
  <c r="V449" i="50" s="1"/>
  <c r="U450" i="50" s="1"/>
  <c r="V450" i="50" s="1"/>
  <c r="U451" i="50" s="1"/>
  <c r="V451" i="50" s="1"/>
  <c r="U452" i="50" s="1"/>
  <c r="V452" i="50" s="1"/>
  <c r="U453" i="50" s="1"/>
  <c r="V453" i="50" s="1"/>
  <c r="U454" i="50" s="1"/>
  <c r="V454" i="50" s="1"/>
  <c r="U455" i="50" s="1"/>
  <c r="V455" i="50" s="1"/>
  <c r="U456" i="50" s="1"/>
  <c r="V456" i="50" s="1"/>
  <c r="U457" i="50" s="1"/>
  <c r="V457" i="50" s="1"/>
  <c r="U458" i="50" s="1"/>
  <c r="V458" i="50" s="1"/>
  <c r="U459" i="50" s="1"/>
  <c r="V459" i="50" s="1"/>
  <c r="U460" i="50" s="1"/>
  <c r="V460" i="50" s="1"/>
  <c r="U461" i="50" s="1"/>
  <c r="V461" i="50" s="1"/>
  <c r="U462" i="50" s="1"/>
  <c r="V462" i="50" s="1"/>
  <c r="U463" i="50" s="1"/>
  <c r="V463" i="50" s="1"/>
  <c r="U464" i="50" s="1"/>
  <c r="V464" i="50" s="1"/>
  <c r="U465" i="50" s="1"/>
  <c r="V465" i="50" s="1"/>
  <c r="U466" i="50" s="1"/>
  <c r="V466" i="50" s="1"/>
  <c r="U467" i="50" s="1"/>
  <c r="V467" i="50" s="1"/>
  <c r="U468" i="50" s="1"/>
  <c r="V468" i="50" s="1"/>
  <c r="U469" i="50" s="1"/>
  <c r="V469" i="50" s="1"/>
  <c r="U470" i="50" s="1"/>
  <c r="V470" i="50" s="1"/>
  <c r="K21" i="60"/>
  <c r="N21" i="60"/>
  <c r="P448" i="50" l="1"/>
  <c r="R491" i="50"/>
  <c r="Q21" i="60"/>
  <c r="C485" i="50" l="1"/>
  <c r="C499" i="50"/>
  <c r="H499" i="50" l="1"/>
  <c r="R499" i="50"/>
  <c r="C20" i="60" s="1"/>
  <c r="S485" i="50"/>
  <c r="T485" i="50" s="1"/>
  <c r="J485" i="50" s="1"/>
  <c r="C18" i="39" s="1"/>
  <c r="S18" i="39" s="1"/>
  <c r="J484" i="50"/>
  <c r="C19" i="39" s="1"/>
  <c r="S19" i="39" s="1"/>
  <c r="T23" i="39" l="1"/>
  <c r="T15" i="39"/>
  <c r="T12" i="39"/>
  <c r="T18" i="39"/>
  <c r="T28" i="39"/>
  <c r="T32" i="39"/>
  <c r="T11" i="39"/>
  <c r="T17" i="39"/>
  <c r="T7" i="39"/>
  <c r="T14" i="39"/>
  <c r="T6" i="39"/>
  <c r="T22" i="39"/>
  <c r="T16" i="39"/>
  <c r="T4" i="39"/>
  <c r="T9" i="39"/>
  <c r="T8" i="39"/>
  <c r="T19" i="39"/>
  <c r="T25" i="39"/>
  <c r="T33" i="39"/>
  <c r="T37" i="39"/>
  <c r="T48" i="39"/>
  <c r="T10" i="39"/>
  <c r="T45" i="39"/>
  <c r="T35" i="39"/>
  <c r="T40" i="39"/>
  <c r="T20" i="39"/>
  <c r="T41" i="39"/>
  <c r="T30" i="39"/>
  <c r="T52" i="39"/>
  <c r="T27" i="39"/>
  <c r="T5" i="39"/>
  <c r="T24" i="39"/>
  <c r="T46" i="39"/>
  <c r="T29" i="39"/>
  <c r="T21" i="39"/>
  <c r="T43" i="39"/>
  <c r="T39" i="39"/>
  <c r="T38" i="39"/>
  <c r="T51" i="39"/>
  <c r="T44" i="39"/>
  <c r="T26" i="39"/>
  <c r="T13" i="39"/>
  <c r="T49" i="39"/>
  <c r="T47" i="39"/>
  <c r="T31" i="39"/>
  <c r="T36" i="39"/>
  <c r="T50" i="39"/>
  <c r="T42" i="39"/>
  <c r="T34" i="39"/>
  <c r="N20" i="60"/>
  <c r="K20" i="60"/>
  <c r="Q20" i="60" l="1"/>
  <c r="Q40" i="60" s="1"/>
  <c r="Q76" i="60" s="1"/>
  <c r="U4" i="39"/>
  <c r="V4" i="39" s="1"/>
  <c r="U5" i="39" s="1"/>
  <c r="V5" i="39" s="1"/>
  <c r="U6" i="39" s="1"/>
  <c r="V6" i="39" s="1"/>
  <c r="U7" i="39" s="1"/>
  <c r="V7" i="39" s="1"/>
  <c r="U8" i="39" s="1"/>
  <c r="V8" i="39" s="1"/>
  <c r="U9" i="39" s="1"/>
  <c r="V9" i="39" s="1"/>
  <c r="U10" i="39" s="1"/>
  <c r="V10" i="39" s="1"/>
  <c r="U11" i="39" s="1"/>
  <c r="V11" i="39" s="1"/>
  <c r="U12" i="39" s="1"/>
  <c r="V12" i="39" s="1"/>
  <c r="U13" i="39" s="1"/>
  <c r="V13" i="39" s="1"/>
  <c r="U14" i="39" s="1"/>
  <c r="V14" i="39" s="1"/>
  <c r="U15" i="39" s="1"/>
  <c r="V15" i="39" s="1"/>
  <c r="U16" i="39" s="1"/>
  <c r="V16" i="39" s="1"/>
  <c r="U17" i="39" s="1"/>
  <c r="V17" i="39" s="1"/>
  <c r="U18" i="39" s="1"/>
  <c r="V18" i="39" s="1"/>
  <c r="U19" i="39" s="1"/>
  <c r="V19" i="39" s="1"/>
  <c r="U20" i="39" s="1"/>
  <c r="V20" i="39" s="1"/>
  <c r="U21" i="39" s="1"/>
  <c r="V21" i="39" s="1"/>
  <c r="U22" i="39" s="1"/>
  <c r="V22" i="39" s="1"/>
  <c r="U23" i="39" s="1"/>
  <c r="V23" i="39" s="1"/>
  <c r="U24" i="39" s="1"/>
  <c r="V24" i="39" s="1"/>
  <c r="U25" i="39" s="1"/>
  <c r="V25" i="39" s="1"/>
  <c r="U26" i="39" s="1"/>
  <c r="V26" i="39" s="1"/>
  <c r="U27" i="39" s="1"/>
  <c r="V27" i="39" s="1"/>
  <c r="U28" i="39" s="1"/>
  <c r="V28" i="39" s="1"/>
  <c r="U29" i="39" s="1"/>
  <c r="V29" i="39" s="1"/>
  <c r="U30" i="39" s="1"/>
  <c r="V30" i="39" s="1"/>
  <c r="U31" i="39" s="1"/>
  <c r="V31" i="39" s="1"/>
  <c r="U32" i="39" s="1"/>
  <c r="V32" i="39" s="1"/>
  <c r="U33" i="39" s="1"/>
  <c r="V33" i="39" s="1"/>
  <c r="U34" i="39" s="1"/>
  <c r="V34" i="39" s="1"/>
  <c r="U35" i="39" s="1"/>
  <c r="V35" i="39" s="1"/>
  <c r="U36" i="39" s="1"/>
  <c r="V36" i="39" s="1"/>
  <c r="U37" i="39" s="1"/>
  <c r="V37" i="39" s="1"/>
  <c r="U38" i="39" s="1"/>
  <c r="V38" i="39" s="1"/>
  <c r="U39" i="39" s="1"/>
  <c r="V39" i="39" s="1"/>
  <c r="U40" i="39" s="1"/>
  <c r="V40" i="39" s="1"/>
  <c r="U41" i="39" s="1"/>
  <c r="V41" i="39" s="1"/>
  <c r="U42" i="39" s="1"/>
  <c r="V42" i="39" s="1"/>
  <c r="U43" i="39" s="1"/>
  <c r="V43" i="39" s="1"/>
  <c r="U44" i="39" s="1"/>
  <c r="V44" i="39" s="1"/>
  <c r="U45" i="39" s="1"/>
  <c r="V45" i="39" s="1"/>
  <c r="U46" i="39" s="1"/>
  <c r="V46" i="39" s="1"/>
  <c r="U47" i="39" s="1"/>
  <c r="V47" i="39" s="1"/>
  <c r="U48" i="39" s="1"/>
  <c r="V48" i="39" s="1"/>
  <c r="U49" i="39" s="1"/>
  <c r="V49" i="39" s="1"/>
  <c r="U50" i="39" s="1"/>
  <c r="V50" i="39" s="1"/>
  <c r="U51" i="39" s="1"/>
  <c r="V51" i="39" s="1"/>
  <c r="C53" i="39" s="1"/>
  <c r="G15" i="39" l="1"/>
  <c r="N23" i="39"/>
  <c r="N20" i="39"/>
  <c r="P16" i="39"/>
  <c r="P15" i="39"/>
  <c r="G33" i="39"/>
  <c r="G21" i="39"/>
  <c r="G20" i="39"/>
  <c r="G16" i="39"/>
  <c r="G22" i="39"/>
  <c r="P33" i="39"/>
  <c r="P14" i="39"/>
  <c r="G27" i="39"/>
  <c r="N39" i="39"/>
  <c r="P40" i="39" s="1"/>
  <c r="P24" i="39" l="1"/>
  <c r="P25" i="39"/>
  <c r="P26" i="39" l="1"/>
  <c r="P31" i="39" s="1"/>
  <c r="P36" i="39" s="1"/>
  <c r="P41" i="3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Y2" authorId="0" shapeId="0" xr:uid="{00000000-0006-0000-0100-000001000000}">
      <text>
        <r>
          <rPr>
            <b/>
            <sz val="9"/>
            <color indexed="81"/>
            <rFont val="Tahoma"/>
            <family val="2"/>
          </rPr>
          <t>Fred Bruyns:</t>
        </r>
        <r>
          <rPr>
            <sz val="9"/>
            <color indexed="81"/>
            <rFont val="Tahoma"/>
            <family val="2"/>
          </rPr>
          <t xml:space="preserve">
Programming note: Error message for missing date of injury on "Start here" worksheet.</t>
        </r>
      </text>
    </comment>
    <comment ref="B3" authorId="0" shapeId="0" xr:uid="{00000000-0006-0000-0100-000002000000}">
      <text>
        <r>
          <rPr>
            <b/>
            <sz val="9"/>
            <color indexed="81"/>
            <rFont val="Tahoma"/>
            <family val="2"/>
          </rPr>
          <t>Fred Bruyns:</t>
        </r>
        <r>
          <rPr>
            <sz val="9"/>
            <color indexed="81"/>
            <rFont val="Tahoma"/>
            <family val="2"/>
          </rPr>
          <t xml:space="preserve">
Programming note: The correct title of the sheet displays unless the date of injury is missing on the "Start here" worksheet or the date of injury is before 2005.</t>
        </r>
      </text>
    </comment>
    <comment ref="R3" authorId="0" shapeId="0" xr:uid="{00000000-0006-0000-0100-000003000000}">
      <text>
        <r>
          <rPr>
            <b/>
            <sz val="9"/>
            <color indexed="81"/>
            <rFont val="Tahoma"/>
            <family val="2"/>
          </rPr>
          <t>Fred Bruyns:</t>
        </r>
        <r>
          <rPr>
            <sz val="9"/>
            <color indexed="81"/>
            <rFont val="Tahoma"/>
            <family val="2"/>
          </rPr>
          <t xml:space="preserve">
This date is used in a formula to determine what return / release-to-work questions to ask. The questions for dates of injury in 2005 are different from questions asked for dates of injury on and after 1/1/2006. See Enrolled House Bill 2408 (2005).</t>
        </r>
      </text>
    </comment>
    <comment ref="S3" authorId="0" shapeId="0" xr:uid="{00000000-0006-0000-0100-000004000000}">
      <text>
        <r>
          <rPr>
            <b/>
            <sz val="9"/>
            <color indexed="81"/>
            <rFont val="Tahoma"/>
            <family val="2"/>
          </rPr>
          <t>Fred Bruyns:</t>
        </r>
        <r>
          <rPr>
            <sz val="9"/>
            <color indexed="81"/>
            <rFont val="Tahoma"/>
            <family val="2"/>
          </rPr>
          <t xml:space="preserve">
Programming note: This column has impairment values carried in from column C.</t>
        </r>
      </text>
    </comment>
    <comment ref="T3" authorId="0" shapeId="0" xr:uid="{00000000-0006-0000-0100-000005000000}">
      <text>
        <r>
          <rPr>
            <b/>
            <sz val="9"/>
            <color indexed="81"/>
            <rFont val="Tahoma"/>
            <family val="2"/>
          </rPr>
          <t>Fred Bruyns:</t>
        </r>
        <r>
          <rPr>
            <sz val="9"/>
            <color indexed="81"/>
            <rFont val="Tahoma"/>
            <family val="2"/>
          </rPr>
          <t xml:space="preserve">
Programming note: Formulas in this column sort the impairment values from largest to smallest.</t>
        </r>
      </text>
    </comment>
    <comment ref="U3" authorId="0" shapeId="0" xr:uid="{00000000-0006-0000-0100-000006000000}">
      <text>
        <r>
          <rPr>
            <b/>
            <sz val="9"/>
            <color indexed="81"/>
            <rFont val="Tahoma"/>
            <family val="2"/>
          </rPr>
          <t>Fred Bruyns:</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 authorId="0" shapeId="0" xr:uid="{00000000-0006-0000-0100-000007000000}">
      <text>
        <r>
          <rPr>
            <b/>
            <sz val="9"/>
            <color indexed="81"/>
            <rFont val="Tahoma"/>
            <family val="2"/>
          </rPr>
          <t>Fred Bruyns:</t>
        </r>
        <r>
          <rPr>
            <sz val="9"/>
            <color indexed="81"/>
            <rFont val="Tahoma"/>
            <family val="2"/>
          </rPr>
          <t xml:space="preserve">
Programming note: Combined values at left are rounded in this column. The value at the bottom of the column is the total impairment value.</t>
        </r>
      </text>
    </comment>
    <comment ref="Y3" authorId="0" shapeId="0" xr:uid="{00000000-0006-0000-0100-000008000000}">
      <text>
        <r>
          <rPr>
            <b/>
            <sz val="9"/>
            <color indexed="81"/>
            <rFont val="Tahoma"/>
            <family val="2"/>
          </rPr>
          <t>Fred Bruyns:</t>
        </r>
        <r>
          <rPr>
            <sz val="9"/>
            <color indexed="81"/>
            <rFont val="Tahoma"/>
            <family val="2"/>
          </rPr>
          <t xml:space="preserve">
Programming note: This title will display if date of injury is on "Start here" worksheet and is on or after 1/1/2005.</t>
        </r>
      </text>
    </comment>
    <comment ref="R4" authorId="0" shapeId="0" xr:uid="{00000000-0006-0000-0100-000009000000}">
      <text>
        <r>
          <rPr>
            <b/>
            <sz val="9"/>
            <color indexed="81"/>
            <rFont val="Tahoma"/>
            <family val="2"/>
          </rPr>
          <t>Fred Bruyns:</t>
        </r>
        <r>
          <rPr>
            <sz val="9"/>
            <color indexed="81"/>
            <rFont val="Tahoma"/>
            <family val="2"/>
          </rPr>
          <t xml:space="preserve">
This date, 1/1/2005, is used in a formula to determine which title to print on this sheet. If the date of injury is before this date, users should complete "PPD DOI before 2005."</t>
        </r>
      </text>
    </comment>
    <comment ref="Y4" authorId="0" shapeId="0" xr:uid="{00000000-0006-0000-0100-00000A000000}">
      <text>
        <r>
          <rPr>
            <b/>
            <sz val="9"/>
            <color indexed="81"/>
            <rFont val="Tahoma"/>
            <family val="2"/>
          </rPr>
          <t>Fred Bruyns:</t>
        </r>
        <r>
          <rPr>
            <sz val="9"/>
            <color indexed="81"/>
            <rFont val="Tahoma"/>
            <family val="2"/>
          </rPr>
          <t xml:space="preserve">
Programming note: This will display as title if date of injury on "Start here" worksheet is before 1/1/2005.</t>
        </r>
      </text>
    </comment>
    <comment ref="H5" authorId="0" shapeId="0" xr:uid="{00000000-0006-0000-0100-00000B000000}">
      <text>
        <r>
          <rPr>
            <b/>
            <sz val="9"/>
            <color indexed="81"/>
            <rFont val="Tahoma"/>
            <family val="2"/>
          </rPr>
          <t>Fred Bruyns:</t>
        </r>
        <r>
          <rPr>
            <sz val="9"/>
            <color indexed="81"/>
            <rFont val="Tahoma"/>
            <family val="2"/>
          </rPr>
          <t xml:space="preserve">
Programming note: Programming note: These return &amp; release to work statements are different for dates of injury before and after 1/1/2006. A statute change was effective 1/1/2006 - see Enrolled House Bill 2408 (2005).</t>
        </r>
      </text>
    </comment>
    <comment ref="R5" authorId="0" shapeId="0" xr:uid="{00000000-0006-0000-0100-00000C000000}">
      <text>
        <r>
          <rPr>
            <b/>
            <sz val="9"/>
            <color indexed="81"/>
            <rFont val="Tahoma"/>
            <family val="2"/>
          </rPr>
          <t>Fred Bruyns:</t>
        </r>
        <r>
          <rPr>
            <sz val="9"/>
            <color indexed="81"/>
            <rFont val="Tahoma"/>
            <family val="2"/>
          </rPr>
          <t xml:space="preserve">
TRUE if checkbox is checked; FALSE if not checked.</t>
        </r>
      </text>
    </comment>
    <comment ref="Y5" authorId="0" shapeId="0" xr:uid="{00000000-0006-0000-0100-00000D000000}">
      <text>
        <r>
          <rPr>
            <b/>
            <sz val="9"/>
            <color indexed="81"/>
            <rFont val="Tahoma"/>
            <family val="2"/>
          </rPr>
          <t>Fred Bruyns:</t>
        </r>
        <r>
          <rPr>
            <sz val="9"/>
            <color indexed="81"/>
            <rFont val="Tahoma"/>
            <family val="2"/>
          </rPr>
          <t xml:space="preserve">
Programming note: This message will display with social/vocational data if the date of injury is not entered on the "Start here" worksheet.</t>
        </r>
      </text>
    </comment>
    <comment ref="R6" authorId="0" shapeId="0" xr:uid="{00000000-0006-0000-0100-00000E000000}">
      <text>
        <r>
          <rPr>
            <b/>
            <sz val="9"/>
            <color indexed="81"/>
            <rFont val="Tahoma"/>
            <family val="2"/>
          </rPr>
          <t>Fred Bruyns:</t>
        </r>
        <r>
          <rPr>
            <sz val="9"/>
            <color indexed="81"/>
            <rFont val="Tahoma"/>
            <family val="2"/>
          </rPr>
          <t xml:space="preserve">
TRUE if checkbox is checked; FALSE if not checked.</t>
        </r>
      </text>
    </comment>
    <comment ref="Y6" authorId="0" shapeId="0" xr:uid="{00000000-0006-0000-0100-00000F000000}">
      <text>
        <r>
          <rPr>
            <b/>
            <sz val="9"/>
            <color indexed="81"/>
            <rFont val="Tahoma"/>
            <family val="2"/>
          </rPr>
          <t>Fred Bruyns:</t>
        </r>
        <r>
          <rPr>
            <sz val="9"/>
            <color indexed="81"/>
            <rFont val="Tahoma"/>
            <family val="2"/>
          </rPr>
          <t xml:space="preserve">
Programming note: This message will display with social/vocational data if the date of issuance on the "Start here" worksheet precedes the date of injury there.</t>
        </r>
      </text>
    </comment>
    <comment ref="R7" authorId="0" shapeId="0" xr:uid="{00000000-0006-0000-0100-000010000000}">
      <text>
        <r>
          <rPr>
            <b/>
            <sz val="9"/>
            <color indexed="81"/>
            <rFont val="Tahoma"/>
            <family val="2"/>
          </rPr>
          <t>Fred Bruyns:</t>
        </r>
        <r>
          <rPr>
            <sz val="9"/>
            <color indexed="81"/>
            <rFont val="Tahoma"/>
            <family val="2"/>
          </rPr>
          <t xml:space="preserve">
TRUE if checkbox is checked; FALSE if not checked.</t>
        </r>
      </text>
    </comment>
    <comment ref="Y7" authorId="0" shapeId="0" xr:uid="{00000000-0006-0000-0100-000011000000}">
      <text>
        <r>
          <rPr>
            <b/>
            <sz val="9"/>
            <color indexed="81"/>
            <rFont val="Tahoma"/>
            <family val="2"/>
          </rPr>
          <t>Fred Bruyns:</t>
        </r>
        <r>
          <rPr>
            <sz val="9"/>
            <color indexed="81"/>
            <rFont val="Tahoma"/>
            <family val="2"/>
          </rPr>
          <t xml:space="preserve">
Programming note: This message is displayed below the return/release section of the sheet if the box is checked next to "The worker was not released and has not returned to regular work at the job held at the tiime of injury."</t>
        </r>
      </text>
    </comment>
    <comment ref="R8" authorId="0" shapeId="0" xr:uid="{00000000-0006-0000-0100-000012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8" authorId="0" shapeId="0" xr:uid="{00000000-0006-0000-0100-000013000000}">
      <text>
        <r>
          <rPr>
            <b/>
            <sz val="9"/>
            <color indexed="81"/>
            <rFont val="Tahoma"/>
            <family val="2"/>
          </rPr>
          <t>Fred Bruyns:</t>
        </r>
        <r>
          <rPr>
            <sz val="9"/>
            <color indexed="81"/>
            <rFont val="Tahoma"/>
            <family val="2"/>
          </rPr>
          <t xml:space="preserve">
Programming note: This message is displayed below the return to work section of the sheet if either box is checked for "The worker was released to regular work" or "The worker returned to regular work at the job held at the time of injury."</t>
        </r>
      </text>
    </comment>
    <comment ref="G9" authorId="0" shapeId="0" xr:uid="{00000000-0006-0000-0100-000014000000}">
      <text>
        <r>
          <rPr>
            <b/>
            <sz val="9"/>
            <color indexed="81"/>
            <rFont val="Tahoma"/>
            <family val="2"/>
          </rPr>
          <t>Fred Bruyns:</t>
        </r>
        <r>
          <rPr>
            <sz val="9"/>
            <color indexed="81"/>
            <rFont val="Tahoma"/>
            <family val="2"/>
          </rPr>
          <t xml:space="preserve">
Programming note: Different messages display about missing release/return data, conflicting data, or the effects of the types of release or return to work shown - see notes about display text in hidden columns at the right.</t>
        </r>
      </text>
    </comment>
    <comment ref="R9" authorId="0" shapeId="0" xr:uid="{00000000-0006-0000-0100-000015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9" authorId="0" shapeId="0" xr:uid="{00000000-0006-0000-0100-000016000000}">
      <text>
        <r>
          <rPr>
            <b/>
            <sz val="9"/>
            <color indexed="81"/>
            <rFont val="Tahoma"/>
            <family val="2"/>
          </rPr>
          <t>Fred Bruyns:</t>
        </r>
        <r>
          <rPr>
            <sz val="9"/>
            <color indexed="81"/>
            <rFont val="Tahoma"/>
            <family val="2"/>
          </rPr>
          <t xml:space="preserve">
Programming note: This message will display with the social/vocational data if the worker is not released to and has not returned to regular work.</t>
        </r>
      </text>
    </comment>
    <comment ref="R10" authorId="0" shapeId="0" xr:uid="{00000000-0006-0000-0100-000017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Y10" authorId="0" shapeId="0" xr:uid="{00000000-0006-0000-0100-000018000000}">
      <text>
        <r>
          <rPr>
            <b/>
            <sz val="9"/>
            <color indexed="81"/>
            <rFont val="Tahoma"/>
            <family val="2"/>
          </rPr>
          <t>Fred Bruyns:</t>
        </r>
        <r>
          <rPr>
            <sz val="9"/>
            <color indexed="81"/>
            <rFont val="Tahoma"/>
            <family val="2"/>
          </rPr>
          <t xml:space="preserve">
Programming note: These return &amp; release to work statements are applicable for dates of injury 1/1/2005 through 12/31/2005. A statute change was effective 1/1/2006.</t>
        </r>
      </text>
    </comment>
    <comment ref="R11" authorId="0" shapeId="0" xr:uid="{00000000-0006-0000-0100-000019000000}">
      <text>
        <r>
          <rPr>
            <b/>
            <sz val="9"/>
            <color indexed="81"/>
            <rFont val="Tahoma"/>
            <family val="2"/>
          </rPr>
          <t>Fred Bruyns:</t>
        </r>
        <r>
          <rPr>
            <sz val="9"/>
            <color indexed="81"/>
            <rFont val="Tahoma"/>
            <family val="2"/>
          </rPr>
          <t xml:space="preserve">
"1" (or more) means at least one of the return/release checkboxes is checked (the worker has returned or is released to regular work).</t>
        </r>
      </text>
    </comment>
    <comment ref="Y11" authorId="0" shapeId="0" xr:uid="{00000000-0006-0000-0100-00001A000000}">
      <text>
        <r>
          <rPr>
            <b/>
            <sz val="9"/>
            <color indexed="81"/>
            <rFont val="Tahoma"/>
            <family val="2"/>
          </rPr>
          <t>Fred Bruyns:</t>
        </r>
        <r>
          <rPr>
            <sz val="9"/>
            <color indexed="81"/>
            <rFont val="Tahoma"/>
            <family val="2"/>
          </rPr>
          <t xml:space="preserve">
Programming note: These return &amp; release to work statements are applicable for dates of injury or or after 1/1/2006.</t>
        </r>
      </text>
    </comment>
    <comment ref="N14" authorId="0" shapeId="0" xr:uid="{00000000-0006-0000-0100-00001B000000}">
      <text>
        <r>
          <rPr>
            <b/>
            <sz val="9"/>
            <color indexed="81"/>
            <rFont val="Tahoma"/>
            <family val="2"/>
          </rPr>
          <t>Fred Bruyns:</t>
        </r>
        <r>
          <rPr>
            <sz val="9"/>
            <color indexed="81"/>
            <rFont val="Tahoma"/>
            <family val="2"/>
          </rPr>
          <t xml:space="preserve">
Programming note: Displays age if worker is not released and has not returned to regular work, but only if either age or date of birth are entered on "Start here" worksheet. If date of birth (only) is entered, date of issuance must be entered on "Start here" for calculation of age at issuance.</t>
        </r>
      </text>
    </comment>
    <comment ref="P14" authorId="0" shapeId="0" xr:uid="{00000000-0006-0000-0100-00001C000000}">
      <text>
        <r>
          <rPr>
            <b/>
            <sz val="9"/>
            <color indexed="81"/>
            <rFont val="Tahoma"/>
            <family val="2"/>
          </rPr>
          <t>Fred Bruyns:</t>
        </r>
        <r>
          <rPr>
            <sz val="9"/>
            <color indexed="81"/>
            <rFont val="Tahoma"/>
            <family val="2"/>
          </rPr>
          <t xml:space="preserve">
Programming note: Displays social/vocational value of "1" if the worker is age 40 or above. Will not display if worker has returned or has been released to regular work, if age field to left does not display age, or if worker has no PPD.</t>
        </r>
      </text>
    </comment>
    <comment ref="Y14" authorId="0" shapeId="0" xr:uid="{00000000-0006-0000-0100-00001D000000}">
      <text>
        <r>
          <rPr>
            <b/>
            <sz val="9"/>
            <color indexed="81"/>
            <rFont val="Tahoma"/>
            <family val="2"/>
          </rPr>
          <t>Fred Bruyns:</t>
        </r>
        <r>
          <rPr>
            <sz val="9"/>
            <color indexed="81"/>
            <rFont val="Tahoma"/>
            <family val="2"/>
          </rPr>
          <t xml:space="preserve">
Programming note: This formula results in "1" if boxes are checked indicating the worker was released or returned to regular work and also that the worker was not released or returned to regular work. "1" results in an error message - see below.</t>
        </r>
      </text>
    </comment>
    <comment ref="P15" authorId="0" shapeId="0" xr:uid="{00000000-0006-0000-0100-00001E000000}">
      <text>
        <r>
          <rPr>
            <b/>
            <sz val="9"/>
            <color indexed="81"/>
            <rFont val="Tahoma"/>
            <family val="2"/>
          </rPr>
          <t>Fred Bruyns:</t>
        </r>
        <r>
          <rPr>
            <sz val="9"/>
            <color indexed="81"/>
            <rFont val="Tahoma"/>
            <family val="2"/>
          </rPr>
          <t xml:space="preserve">
Programming note: Displays social/vocational value of "1" if the formal education is entered (at left) as "No HS Diploma/GED." Will not display if worker has been released or has returned to regular work or if worker has no PPD.</t>
        </r>
      </text>
    </comment>
    <comment ref="Y15" authorId="0" shapeId="0" xr:uid="{00000000-0006-0000-0100-00001F000000}">
      <text>
        <r>
          <rPr>
            <b/>
            <sz val="9"/>
            <color indexed="81"/>
            <rFont val="Tahoma"/>
            <family val="2"/>
          </rPr>
          <t>Fred Bruyns:</t>
        </r>
        <r>
          <rPr>
            <sz val="9"/>
            <color indexed="81"/>
            <rFont val="Tahoma"/>
            <family val="2"/>
          </rPr>
          <t xml:space="preserve">
Programming note: This error message displays below the return-to-work / release-to-work check boxes if the checkboxes are in conflict.</t>
        </r>
      </text>
    </comment>
    <comment ref="P16" authorId="0" shapeId="0" xr:uid="{00000000-0006-0000-0100-000020000000}">
      <text>
        <r>
          <rPr>
            <b/>
            <sz val="9"/>
            <color indexed="81"/>
            <rFont val="Tahoma"/>
            <family val="2"/>
          </rPr>
          <t>Fred Bruyns:</t>
        </r>
        <r>
          <rPr>
            <sz val="9"/>
            <color indexed="81"/>
            <rFont val="Tahoma"/>
            <family val="2"/>
          </rPr>
          <t xml:space="preserve">
Programming note: Based on entry at left, using chart (hidden) below sheet, displays 1, 2, 3, or 4. Will not display if the worker has been released or has returned to regular work of if there is no PPD.</t>
        </r>
      </text>
    </comment>
    <comment ref="Y16" authorId="0" shapeId="0" xr:uid="{00000000-0006-0000-0100-000021000000}">
      <text>
        <r>
          <rPr>
            <b/>
            <sz val="9"/>
            <color indexed="81"/>
            <rFont val="Tahoma"/>
            <family val="2"/>
          </rPr>
          <t>Fred Bruyns:</t>
        </r>
        <r>
          <rPr>
            <sz val="9"/>
            <color indexed="81"/>
            <rFont val="Tahoma"/>
            <family val="2"/>
          </rPr>
          <t xml:space="preserve">
Programming note: "1" means no return-to-work or release-to-work checkboxes have been checked. See error messages below.</t>
        </r>
      </text>
    </comment>
    <comment ref="G17" authorId="0" shapeId="0" xr:uid="{00000000-0006-0000-0100-000022000000}">
      <text>
        <r>
          <rPr>
            <b/>
            <sz val="9"/>
            <color indexed="81"/>
            <rFont val="Tahoma"/>
            <family val="2"/>
          </rPr>
          <t>Fred Bruyns:</t>
        </r>
        <r>
          <rPr>
            <sz val="9"/>
            <color indexed="81"/>
            <rFont val="Tahoma"/>
            <family val="2"/>
          </rPr>
          <t xml:space="preserve">
Programming note: Displays instructions to compare adaptability information unless release/return to work data is missing or if the worker is released or has returned to regular work.  See notes about display text in hidden columns at the right.</t>
        </r>
      </text>
    </comment>
    <comment ref="Y17" authorId="0" shapeId="0" xr:uid="{00000000-0006-0000-0100-000023000000}">
      <text>
        <r>
          <rPr>
            <b/>
            <sz val="9"/>
            <color indexed="81"/>
            <rFont val="Tahoma"/>
            <family val="2"/>
          </rPr>
          <t>Fred Bruyns:</t>
        </r>
        <r>
          <rPr>
            <sz val="9"/>
            <color indexed="81"/>
            <rFont val="Tahoma"/>
            <family val="2"/>
          </rPr>
          <t xml:space="preserve">
Programming note: This message displays below the release-to-work / return-to-work checkboxes if no boxes are checked.</t>
        </r>
      </text>
    </comment>
    <comment ref="Y18" authorId="0" shapeId="0" xr:uid="{00000000-0006-0000-0100-000024000000}">
      <text>
        <r>
          <rPr>
            <b/>
            <sz val="9"/>
            <color indexed="81"/>
            <rFont val="Tahoma"/>
            <family val="2"/>
          </rPr>
          <t>Fred Bruyns:</t>
        </r>
        <r>
          <rPr>
            <sz val="9"/>
            <color indexed="81"/>
            <rFont val="Tahoma"/>
            <family val="2"/>
          </rPr>
          <t xml:space="preserve">
Programming note: This message displays in many fields if no checkboxes are checked in the return-to-work / release-to-work section.</t>
        </r>
      </text>
    </comment>
    <comment ref="N20" authorId="0" shapeId="0" xr:uid="{00000000-0006-0000-0100-000025000000}">
      <text>
        <r>
          <rPr>
            <b/>
            <sz val="9"/>
            <color indexed="81"/>
            <rFont val="Tahoma"/>
            <family val="2"/>
          </rPr>
          <t>Fred Bruyns:</t>
        </r>
        <r>
          <rPr>
            <sz val="9"/>
            <color indexed="81"/>
            <rFont val="Tahoma"/>
            <family val="2"/>
          </rPr>
          <t xml:space="preserve">
Programming note: Based on amount of impairment, using chart (hidden) below sheet, displays value from 1 through 7. Will not display if the worker has been released or has returned to regular work of if there is no PPD.</t>
        </r>
      </text>
    </comment>
    <comment ref="R21" authorId="0" shapeId="0" xr:uid="{00000000-0006-0000-0100-000026000000}">
      <text>
        <r>
          <rPr>
            <b/>
            <sz val="9"/>
            <color indexed="81"/>
            <rFont val="Tahoma"/>
            <family val="2"/>
          </rPr>
          <t>Fred Bruyns:</t>
        </r>
        <r>
          <rPr>
            <sz val="9"/>
            <color indexed="81"/>
            <rFont val="Tahoma"/>
            <family val="2"/>
          </rPr>
          <t xml:space="preserve">
Programming note: This formula concatenates base functional capacity and residual functional capacity so the resulting value can be matched with adaptability values in (hidden) chart below this sheet.</t>
        </r>
      </text>
    </comment>
    <comment ref="N23" authorId="0" shapeId="0" xr:uid="{00000000-0006-0000-0100-000027000000}">
      <text>
        <r>
          <rPr>
            <b/>
            <sz val="9"/>
            <color indexed="81"/>
            <rFont val="Tahoma"/>
            <family val="2"/>
          </rPr>
          <t>Fred Bruyns:</t>
        </r>
        <r>
          <rPr>
            <sz val="9"/>
            <color indexed="81"/>
            <rFont val="Tahoma"/>
            <family val="2"/>
          </rPr>
          <t xml:space="preserve">
Programming note: Based on ratio of base functional capacity to residual functional capacity, and using chart (hidden) below sheet, displays value from 1 through 7. Will not display if the worker has been released or has returned to regular work of if there is no PPD.</t>
        </r>
      </text>
    </comment>
    <comment ref="P24" authorId="0" shapeId="0" xr:uid="{00000000-0006-0000-0100-000028000000}">
      <text>
        <r>
          <rPr>
            <b/>
            <sz val="9"/>
            <color indexed="81"/>
            <rFont val="Tahoma"/>
            <family val="2"/>
          </rPr>
          <t>Fred Bruyns:</t>
        </r>
        <r>
          <rPr>
            <sz val="9"/>
            <color indexed="81"/>
            <rFont val="Tahoma"/>
            <family val="2"/>
          </rPr>
          <t xml:space="preserve">
Programming note: The higher of two adaptability factors displays here, or displays blank cell if there is no impairment or if the worker was released or returned to regular work.</t>
        </r>
      </text>
    </comment>
    <comment ref="P25" authorId="0" shapeId="0" xr:uid="{00000000-0006-0000-0100-000029000000}">
      <text>
        <r>
          <rPr>
            <b/>
            <sz val="9"/>
            <color indexed="81"/>
            <rFont val="Tahoma"/>
            <family val="2"/>
          </rPr>
          <t>Fred Bruyns:</t>
        </r>
        <r>
          <rPr>
            <sz val="9"/>
            <color indexed="81"/>
            <rFont val="Tahoma"/>
            <family val="2"/>
          </rPr>
          <t xml:space="preserve">
Programming note: The sum of the values for age, education, and social-vocational preparation displays here, or displays blank cell if there is no impairment or if the worker was released or returned to regular work.</t>
        </r>
      </text>
    </comment>
    <comment ref="P26" authorId="0" shapeId="0" xr:uid="{00000000-0006-0000-0100-00002A000000}">
      <text>
        <r>
          <rPr>
            <b/>
            <sz val="9"/>
            <color indexed="81"/>
            <rFont val="Tahoma"/>
            <family val="2"/>
          </rPr>
          <t>Fred Bruyns:</t>
        </r>
        <r>
          <rPr>
            <sz val="9"/>
            <color indexed="81"/>
            <rFont val="Tahoma"/>
            <family val="2"/>
          </rPr>
          <t xml:space="preserve">
Programming note: This number will be added to the total impairment.</t>
        </r>
      </text>
    </comment>
    <comment ref="G27" authorId="0" shapeId="0" xr:uid="{00000000-0006-0000-0100-00002B000000}">
      <text>
        <r>
          <rPr>
            <b/>
            <sz val="9"/>
            <color indexed="81"/>
            <rFont val="Tahoma"/>
            <family val="2"/>
          </rPr>
          <t>Fred Bruyns:</t>
        </r>
        <r>
          <rPr>
            <sz val="9"/>
            <color indexed="81"/>
            <rFont val="Tahoma"/>
            <family val="2"/>
          </rPr>
          <t xml:space="preserve">
Programming note: Displays requests for missing social vocational data or notes that date of injury is missing or is later than the date of issuance. See notes about display text in hidden columns at the right. Displays nothing if required data is entered and is logical or if the override checkbox is clicked - see below.</t>
        </r>
      </text>
    </comment>
    <comment ref="P31" authorId="0" shapeId="0" xr:uid="{00000000-0006-0000-0100-00002C000000}">
      <text>
        <r>
          <rPr>
            <b/>
            <sz val="9"/>
            <color indexed="81"/>
            <rFont val="Tahoma"/>
            <family val="2"/>
          </rPr>
          <t>Fred Bruyns:</t>
        </r>
        <r>
          <rPr>
            <sz val="9"/>
            <color indexed="81"/>
            <rFont val="Tahoma"/>
            <family val="2"/>
          </rPr>
          <t xml:space="preserve">
Programming note: The total social/vocational factor has been added to the total impairment. It has been divided by 100 to convert it to a percentage.</t>
        </r>
      </text>
    </comment>
    <comment ref="R31" authorId="0" shapeId="0" xr:uid="{00000000-0006-0000-0100-00002D000000}">
      <text>
        <r>
          <rPr>
            <b/>
            <sz val="9"/>
            <color indexed="81"/>
            <rFont val="Tahoma"/>
            <family val="2"/>
          </rPr>
          <t>Fred Bruyns:</t>
        </r>
        <r>
          <rPr>
            <sz val="9"/>
            <color indexed="81"/>
            <rFont val="Tahoma"/>
            <family val="2"/>
          </rPr>
          <t xml:space="preserve">
Programming note: Copied in from hearing worksheet and used to determine appropriate label (monaural, binaural, L/R) for hearing in list of body parts and systems at left of sheet.</t>
        </r>
      </text>
    </comment>
    <comment ref="R32" authorId="0" shapeId="0" xr:uid="{00000000-0006-0000-0100-00002E000000}">
      <text>
        <r>
          <rPr>
            <b/>
            <sz val="9"/>
            <color indexed="81"/>
            <rFont val="Tahoma"/>
            <family val="2"/>
          </rPr>
          <t>Fred Bruyns:</t>
        </r>
        <r>
          <rPr>
            <sz val="9"/>
            <color indexed="81"/>
            <rFont val="Tahoma"/>
            <family val="2"/>
          </rPr>
          <t xml:space="preserve">
Programming note: Copied in from hearing worksheet and used to determine appropriate label (monaural, binaural, L/R) for hearing in list of body parts and systems at left of sheet.</t>
        </r>
      </text>
    </comment>
    <comment ref="R33" authorId="0" shapeId="0" xr:uid="{00000000-0006-0000-0100-00002F000000}">
      <text>
        <r>
          <rPr>
            <b/>
            <sz val="9"/>
            <color indexed="81"/>
            <rFont val="Tahoma"/>
            <family val="2"/>
          </rPr>
          <t>Fred Bruyns:</t>
        </r>
        <r>
          <rPr>
            <sz val="9"/>
            <color indexed="81"/>
            <rFont val="Tahoma"/>
            <family val="2"/>
          </rPr>
          <t xml:space="preserve">
Programming note: Copied in from visiion worksheet and used to determine appropriate label for vision (binocular, monocular, L/R) in list of body parts and systems at left of sheet.</t>
        </r>
      </text>
    </comment>
    <comment ref="R34" authorId="0" shapeId="0" xr:uid="{00000000-0006-0000-0100-000030000000}">
      <text>
        <r>
          <rPr>
            <b/>
            <sz val="9"/>
            <color indexed="81"/>
            <rFont val="Tahoma"/>
            <family val="2"/>
          </rPr>
          <t>Fred Bruyns:</t>
        </r>
        <r>
          <rPr>
            <sz val="9"/>
            <color indexed="81"/>
            <rFont val="Tahoma"/>
            <family val="2"/>
          </rPr>
          <t xml:space="preserve">
Programming note: Copied in from visiion worksheet and used to determine appropriate label for vision (binocular, monocular, L/R) in list of body parts and systems at left of sheet.</t>
        </r>
      </text>
    </comment>
    <comment ref="V51" authorId="0" shapeId="0" xr:uid="{00000000-0006-0000-0100-000031000000}">
      <text>
        <r>
          <rPr>
            <b/>
            <sz val="9"/>
            <color indexed="81"/>
            <rFont val="Tahoma"/>
            <family val="2"/>
          </rPr>
          <t>Fred Bruyns:</t>
        </r>
        <r>
          <rPr>
            <sz val="9"/>
            <color indexed="81"/>
            <rFont val="Tahoma"/>
            <family val="2"/>
          </rPr>
          <t xml:space="preserve">
Programming note: This is the total impairment value before addition of any social-vocational factor.</t>
        </r>
      </text>
    </comment>
    <comment ref="C53" authorId="0" shapeId="0" xr:uid="{00000000-0006-0000-0100-000032000000}">
      <text>
        <r>
          <rPr>
            <b/>
            <sz val="9"/>
            <color indexed="81"/>
            <rFont val="Tahoma"/>
            <family val="2"/>
          </rPr>
          <t>Fred Bruyns:</t>
        </r>
        <r>
          <rPr>
            <sz val="9"/>
            <color indexed="81"/>
            <rFont val="Tahoma"/>
            <family val="2"/>
          </rPr>
          <t xml:space="preserve">
Programming note: This is the total impairment value.</t>
        </r>
      </text>
    </comment>
    <comment ref="B56" authorId="0" shapeId="0" xr:uid="{00000000-0006-0000-0100-000033000000}">
      <text>
        <r>
          <rPr>
            <b/>
            <sz val="9"/>
            <color indexed="81"/>
            <rFont val="Tahoma"/>
            <family val="2"/>
          </rPr>
          <t>Fred Bruyns:</t>
        </r>
        <r>
          <rPr>
            <sz val="9"/>
            <color indexed="81"/>
            <rFont val="Tahoma"/>
            <family val="2"/>
          </rPr>
          <t xml:space="preserve">
Programming note: This text is used in pull-down menu in worksheet.</t>
        </r>
      </text>
    </comment>
    <comment ref="C56" authorId="0" shapeId="0" xr:uid="{00000000-0006-0000-0100-000034000000}">
      <text>
        <r>
          <rPr>
            <b/>
            <sz val="9"/>
            <color indexed="81"/>
            <rFont val="Tahoma"/>
            <family val="2"/>
          </rPr>
          <t>Fred Bruyns:</t>
        </r>
        <r>
          <rPr>
            <sz val="9"/>
            <color indexed="81"/>
            <rFont val="Tahoma"/>
            <family val="2"/>
          </rPr>
          <t xml:space="preserve">
Programming note: This text is used in pull-down menu in worksheet.</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68A77937-22CB-44D6-B96A-90041221DA6C}">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3B3D92FD-B797-4247-B1FF-C81BFD34DFE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F3AF51C3-ECA1-4AF3-85D1-EAFDA83D8573}">
      <text>
        <r>
          <rPr>
            <b/>
            <sz val="9"/>
            <color indexed="81"/>
            <rFont val="Tahoma"/>
            <family val="2"/>
          </rPr>
          <t>Bruyns Fred H:</t>
        </r>
        <r>
          <rPr>
            <sz val="9"/>
            <color indexed="81"/>
            <rFont val="Tahoma"/>
            <family val="2"/>
          </rPr>
          <t xml:space="preserve">
Programming note: 180 degrees of forward elevation (flexion) of the shoulder is considered normal - no impairment. See OAR 436-035-0330.</t>
        </r>
      </text>
    </comment>
    <comment ref="T7" authorId="1" shapeId="0" xr:uid="{B716C0AF-0AA4-4DDB-AC43-4FCD142BEA5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7" authorId="1" shapeId="0" xr:uid="{8F65C7E3-DFB5-4EE3-8869-F951FF5C3B2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7" authorId="1" shapeId="0" xr:uid="{8671112F-BE08-45E2-98A7-ED09F266DA4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7" authorId="1" shapeId="0" xr:uid="{B8BCCB7B-7EE3-475B-9B6F-930B3E2BDF1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X7" authorId="1" shapeId="0" xr:uid="{6D7B2F4F-9FB3-400B-82C4-62750EFDB356}">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8" authorId="1" shapeId="0" xr:uid="{8241AB6F-FC23-48EA-92EA-E9F22D1D464E}">
      <text>
        <r>
          <rPr>
            <b/>
            <sz val="9"/>
            <color indexed="81"/>
            <rFont val="Tahoma"/>
            <family val="2"/>
          </rPr>
          <t>Bruyns Fred H:</t>
        </r>
        <r>
          <rPr>
            <sz val="9"/>
            <color indexed="81"/>
            <rFont val="Tahoma"/>
            <family val="2"/>
          </rPr>
          <t xml:space="preserve">
Programming note: Forward elevation (flexion) ankylosis - see OAR 436-035-0330.</t>
        </r>
      </text>
    </comment>
    <comment ref="T8" authorId="1" shapeId="0" xr:uid="{133EC8D3-E073-4366-B65A-AA81AC5BA64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A8457100-C187-4523-8068-77DEC15F9983}">
      <text>
        <r>
          <rPr>
            <b/>
            <sz val="9"/>
            <color indexed="81"/>
            <rFont val="Tahoma"/>
            <family val="2"/>
          </rPr>
          <t>Bruyns Fred H:</t>
        </r>
        <r>
          <rPr>
            <sz val="9"/>
            <color indexed="81"/>
            <rFont val="Tahoma"/>
            <family val="2"/>
          </rPr>
          <t xml:space="preserve">
Programming note: 50 degrees of backward elevation (extension) of the shoulder is considered normal - no impairment. See OAR 436-035-0330.</t>
        </r>
      </text>
    </comment>
    <comment ref="T9" authorId="1" shapeId="0" xr:uid="{D0633DE8-C8A3-41B3-ADE1-CC649A2561C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 authorId="1" shapeId="0" xr:uid="{4B772737-8DC2-4C4F-B953-02251AEABF8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 authorId="1" shapeId="0" xr:uid="{5149237C-283C-460B-97C7-0DB1D825C9AE}">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9" authorId="1" shapeId="0" xr:uid="{71BF2AA2-B007-445F-9616-0104B906655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X9" authorId="1" shapeId="0" xr:uid="{659C7584-ABC2-4AB4-90EC-CCCA37F67CAE}">
      <text>
        <r>
          <rPr>
            <b/>
            <sz val="9"/>
            <color indexed="81"/>
            <rFont val="Tahoma"/>
            <family val="2"/>
          </rPr>
          <t>Bruyns Fred H:</t>
        </r>
        <r>
          <rPr>
            <sz val="9"/>
            <color indexed="81"/>
            <rFont val="Tahoma"/>
            <family val="2"/>
          </rPr>
          <t xml:space="preserve">
Programming note: Under OAR 436-035-0330, "When two or more ankylosis positions are documented, select the one direction representing the largest impairment." </t>
        </r>
      </text>
    </comment>
    <comment ref="S10" authorId="1" shapeId="0" xr:uid="{BD163919-208A-4758-BDFF-F5CC9DC1449E}">
      <text>
        <r>
          <rPr>
            <b/>
            <sz val="9"/>
            <color indexed="81"/>
            <rFont val="Tahoma"/>
            <family val="2"/>
          </rPr>
          <t>Bruyns Fred H:</t>
        </r>
        <r>
          <rPr>
            <sz val="9"/>
            <color indexed="81"/>
            <rFont val="Tahoma"/>
            <family val="2"/>
          </rPr>
          <t xml:space="preserve">
Programming note: Backward elevation (extension) ankylosis - see OAR 436-035-0330.</t>
        </r>
      </text>
    </comment>
    <comment ref="T10" authorId="1" shapeId="0" xr:uid="{3D0EB8BA-5944-4CDD-917D-1F4D8B406A1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1" authorId="1" shapeId="0" xr:uid="{AB468D77-284B-44D6-9885-76BD14AB28A7}">
      <text>
        <r>
          <rPr>
            <b/>
            <sz val="9"/>
            <color indexed="81"/>
            <rFont val="Tahoma"/>
            <family val="2"/>
          </rPr>
          <t>Bruyns Fred H:</t>
        </r>
        <r>
          <rPr>
            <sz val="9"/>
            <color indexed="81"/>
            <rFont val="Tahoma"/>
            <family val="2"/>
          </rPr>
          <t xml:space="preserve">
Programming note: 170 to 180 degrees of abduction of the shoulder is considered normal - no impairment. See OAR 436-035-0330.</t>
        </r>
      </text>
    </comment>
    <comment ref="T11" authorId="1" shapeId="0" xr:uid="{552E459B-5831-4CF4-B95C-4ED14B2AAA9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1" authorId="1" shapeId="0" xr:uid="{801D555A-937A-45F2-801C-333B5086847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1" authorId="1" shapeId="0" xr:uid="{F30F8572-0B09-4E87-9A03-5BF720B2C7A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1" authorId="1" shapeId="0" xr:uid="{2E169000-3779-4AE0-9A82-B3E5BFB13E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S12" authorId="1" shapeId="0" xr:uid="{9005FB8E-426A-446E-8167-CF4937D04963}">
      <text>
        <r>
          <rPr>
            <b/>
            <sz val="9"/>
            <color indexed="81"/>
            <rFont val="Tahoma"/>
            <family val="2"/>
          </rPr>
          <t>Bruyns Fred H:</t>
        </r>
        <r>
          <rPr>
            <sz val="9"/>
            <color indexed="81"/>
            <rFont val="Tahoma"/>
            <family val="2"/>
          </rPr>
          <t xml:space="preserve">
Programming note: Abduction ankylosis - see OAR 436-035-0330.</t>
        </r>
      </text>
    </comment>
    <comment ref="T12" authorId="1" shapeId="0" xr:uid="{B6702F3D-4A70-4241-AD35-8420EF35F7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 authorId="1" shapeId="0" xr:uid="{214E0751-B3F5-4778-8631-B2192A4762C8}">
      <text>
        <r>
          <rPr>
            <b/>
            <sz val="9"/>
            <color indexed="81"/>
            <rFont val="Tahoma"/>
            <family val="2"/>
          </rPr>
          <t>Bruyns Fred H:</t>
        </r>
        <r>
          <rPr>
            <sz val="9"/>
            <color indexed="81"/>
            <rFont val="Tahoma"/>
            <family val="2"/>
          </rPr>
          <t xml:space="preserve">
Programming note: 40 to 50 degrees of adduction of the shoulder is considered normal - no impairment. See OAR 436-035-0330.</t>
        </r>
      </text>
    </comment>
    <comment ref="T13" authorId="1" shapeId="0" xr:uid="{BA2DC2C4-745C-4D48-B446-64C2467844B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54E9ADB8-F658-4269-96D0-B2D5D7FCA29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4CA59CDD-0C83-4A79-BE37-B23E7E0411CB}">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3" authorId="1" shapeId="0" xr:uid="{875A3D38-7FB7-4A49-95AF-484C5FA14FC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14" authorId="1" shapeId="0" xr:uid="{0D66AB77-F507-4C0A-9127-26A30FD178FE}">
      <text>
        <r>
          <rPr>
            <b/>
            <sz val="9"/>
            <color indexed="81"/>
            <rFont val="Tahoma"/>
            <family val="2"/>
          </rPr>
          <t>Bruyns Fred H:</t>
        </r>
        <r>
          <rPr>
            <sz val="9"/>
            <color indexed="81"/>
            <rFont val="Tahoma"/>
            <family val="2"/>
          </rPr>
          <t xml:space="preserve">
Programming note: Adduction ankylosis - see OAR 436-035-0330.</t>
        </r>
      </text>
    </comment>
    <comment ref="T14" authorId="1" shapeId="0" xr:uid="{0B0F736D-2130-45C5-A738-F104265CC79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5" authorId="1" shapeId="0" xr:uid="{E54B2D41-D9DE-4426-A09E-FE0E50823D9C}">
      <text>
        <r>
          <rPr>
            <b/>
            <sz val="9"/>
            <color indexed="81"/>
            <rFont val="Tahoma"/>
            <family val="2"/>
          </rPr>
          <t>Bruyns Fred H:</t>
        </r>
        <r>
          <rPr>
            <sz val="9"/>
            <color indexed="81"/>
            <rFont val="Tahoma"/>
            <family val="2"/>
          </rPr>
          <t xml:space="preserve">
Programming note: 80 to 90 degrees of internal rotation of the shoulder is considered normal - no impairment. See OAR 436-035-0330.</t>
        </r>
      </text>
    </comment>
    <comment ref="T15" authorId="1" shapeId="0" xr:uid="{C2B51171-DE00-47BA-BA7C-10966AF669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5" authorId="1" shapeId="0" xr:uid="{9EBD22F9-0A5B-41BE-BFDE-89099079020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5" authorId="1" shapeId="0" xr:uid="{112C167A-F42A-420E-99F7-41EF8B429CBE}">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5" authorId="1" shapeId="0" xr:uid="{A9042619-5C5F-4C3F-AD88-0973D75D607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6" authorId="1" shapeId="0" xr:uid="{0E540758-4BFA-4334-B29B-2526FA97BE01}">
      <text>
        <r>
          <rPr>
            <b/>
            <sz val="9"/>
            <color indexed="81"/>
            <rFont val="Tahoma"/>
            <family val="2"/>
          </rPr>
          <t>Bruyns Fred H:</t>
        </r>
        <r>
          <rPr>
            <sz val="9"/>
            <color indexed="81"/>
            <rFont val="Tahoma"/>
            <family val="2"/>
          </rPr>
          <t xml:space="preserve">
Programming note: Internal rotation ankylosis - see OAR 436-035-0330.</t>
        </r>
      </text>
    </comment>
    <comment ref="T16" authorId="1" shapeId="0" xr:uid="{BF8E6A17-7C67-47BF-A36F-6ADF9C769D2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 authorId="1" shapeId="0" xr:uid="{78DACDCE-BFC4-42EE-86B2-F7CB80E54F3E}">
      <text>
        <r>
          <rPr>
            <b/>
            <sz val="9"/>
            <color indexed="81"/>
            <rFont val="Tahoma"/>
            <family val="2"/>
          </rPr>
          <t>Bruyns Fred H:</t>
        </r>
        <r>
          <rPr>
            <sz val="9"/>
            <color indexed="81"/>
            <rFont val="Tahoma"/>
            <family val="2"/>
          </rPr>
          <t xml:space="preserve">
Programming note: 60 to 90 degrees of external rotation of the shoulder is considered normal - no impairment. See OAR 436-035-0330.</t>
        </r>
      </text>
    </comment>
    <comment ref="T17" authorId="1" shapeId="0" xr:uid="{9580F2C4-2E4C-419D-BEB4-1433C6278AA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 authorId="1" shapeId="0" xr:uid="{0C1954FD-765B-4C58-9E0B-D4703E5A1A4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 authorId="1" shapeId="0" xr:uid="{85BD422D-AD94-4A4C-B8B3-BC1F5D2B8189}">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7" authorId="1" shapeId="0" xr:uid="{F7B370F0-D4AB-42CC-94B3-07EDDEF287C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8" authorId="1" shapeId="0" xr:uid="{132E9FA2-7BA8-4AA2-9F69-250DD9CB5013}">
      <text>
        <r>
          <rPr>
            <b/>
            <sz val="9"/>
            <color indexed="81"/>
            <rFont val="Tahoma"/>
            <family val="2"/>
          </rPr>
          <t>Bruyns Fred H:</t>
        </r>
        <r>
          <rPr>
            <sz val="9"/>
            <color indexed="81"/>
            <rFont val="Tahoma"/>
            <family val="2"/>
          </rPr>
          <t xml:space="preserve">
Programming note: External rotation ankylosis - see OAR 436-035-0330.</t>
        </r>
      </text>
    </comment>
    <comment ref="T18" authorId="1" shapeId="0" xr:uid="{DA8AB216-D349-404E-8422-F251346465A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18" authorId="1" shapeId="0" xr:uid="{571A34BF-900F-4065-9635-D7F75EAA6ABA}">
      <text>
        <r>
          <rPr>
            <b/>
            <sz val="9"/>
            <color indexed="81"/>
            <rFont val="Tahoma"/>
            <family val="2"/>
          </rPr>
          <t>Bruyns Fred H:</t>
        </r>
        <r>
          <rPr>
            <sz val="9"/>
            <color indexed="81"/>
            <rFont val="Tahoma"/>
            <family val="2"/>
          </rPr>
          <t xml:space="preserve">
Programming note: Formula returns "1" if any ROM values are entered.</t>
        </r>
      </text>
    </comment>
    <comment ref="Z18" authorId="1" shapeId="0" xr:uid="{D4A546CB-E11D-4729-B99C-112470F83EF1}">
      <text>
        <r>
          <rPr>
            <b/>
            <sz val="9"/>
            <color indexed="81"/>
            <rFont val="Tahoma"/>
            <family val="2"/>
          </rPr>
          <t>Bruyns Fred H:</t>
        </r>
        <r>
          <rPr>
            <sz val="9"/>
            <color indexed="81"/>
            <rFont val="Tahoma"/>
            <family val="2"/>
          </rPr>
          <t xml:space="preserve">
Programming note: Formula returns "1" if any ankylosis values are entered.</t>
        </r>
      </text>
    </comment>
    <comment ref="S46" authorId="1" shapeId="0" xr:uid="{F51BB619-4109-4E14-8F8F-B3E52A0FA710}">
      <text>
        <r>
          <rPr>
            <b/>
            <sz val="9"/>
            <color indexed="81"/>
            <rFont val="Tahoma"/>
            <family val="2"/>
          </rPr>
          <t>Bruyns Fred H:</t>
        </r>
        <r>
          <rPr>
            <sz val="9"/>
            <color indexed="81"/>
            <rFont val="Tahoma"/>
            <family val="2"/>
          </rPr>
          <t xml:space="preserve">
Programming note: Impairment values are transferred from chart and rounded.</t>
        </r>
      </text>
    </comment>
    <comment ref="T46" authorId="1" shapeId="0" xr:uid="{E08A2125-1C85-45E8-BEB1-420D10310DB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6" authorId="1" shapeId="0" xr:uid="{3E91AD24-6C3B-44AA-9663-6E8BB63E67D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6" authorId="1" shapeId="0" xr:uid="{588EFB54-7BC2-4D43-8DA2-856ACAFC29A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t>
        </r>
      </text>
    </comment>
    <comment ref="T90" authorId="1" shapeId="0" xr:uid="{2E05308A-7D92-4927-A943-A67A19AE0718}">
      <text>
        <r>
          <rPr>
            <b/>
            <sz val="9"/>
            <color indexed="81"/>
            <rFont val="Tahoma"/>
            <family val="2"/>
          </rPr>
          <t>Bruyns Fred H:</t>
        </r>
        <r>
          <rPr>
            <sz val="9"/>
            <color indexed="81"/>
            <rFont val="Tahoma"/>
            <family val="2"/>
          </rPr>
          <t xml:space="preserve">
Programming note: Values are transferred in from the chart to the left. </t>
        </r>
      </text>
    </comment>
    <comment ref="U90" authorId="1" shapeId="0" xr:uid="{DD56B187-CDEF-4292-BDB4-E7CC48A2C3EA}">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90" authorId="1" shapeId="0" xr:uid="{8D80415A-50DF-45BD-808D-545CCDC9833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W90" authorId="1" shapeId="0" xr:uid="{A25F9CF7-6B50-4539-B5CC-337D8A5AD8F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G91" authorId="1" shapeId="0" xr:uid="{B5893C4A-CF21-46F0-9458-A14DC9E9DE3A}">
      <text>
        <r>
          <rPr>
            <b/>
            <sz val="9"/>
            <color indexed="81"/>
            <rFont val="Tahoma"/>
            <family val="2"/>
          </rPr>
          <t>Bruyns Fred H:</t>
        </r>
        <r>
          <rPr>
            <sz val="9"/>
            <color indexed="81"/>
            <rFont val="Tahoma"/>
            <family val="2"/>
          </rPr>
          <t xml:space="preserve">
If ankylosis is present in the shoulder, apportionment field is greyed out.</t>
        </r>
      </text>
    </comment>
    <comment ref="I91" authorId="1" shapeId="0" xr:uid="{6119C562-3D56-4C86-829F-3EECECB2F62E}">
      <text>
        <r>
          <rPr>
            <b/>
            <sz val="9"/>
            <color indexed="81"/>
            <rFont val="Tahoma"/>
            <family val="2"/>
          </rPr>
          <t>Bruyns Fred H:</t>
        </r>
        <r>
          <rPr>
            <sz val="9"/>
            <color indexed="81"/>
            <rFont val="Tahoma"/>
            <family val="2"/>
          </rPr>
          <t xml:space="preserve">
Programming note: The formula first checks to see if the value in column S is greater than zero but less than one. If so, it returns "1" percent. Otherwise, the formula returns a rounded value from column 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U1" authorId="0" shapeId="0" xr:uid="{889CFCC5-BE25-42E7-BA6E-902A6625AA3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V1" authorId="0" shapeId="0" xr:uid="{2A423BA1-D9D1-46DD-A369-DF2A0A34ED4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8" authorId="1" shapeId="0" xr:uid="{B14C49CE-0B2B-48AD-B2DA-1C7E5E45B11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8DB86202-B7C3-4CD8-A19A-EAA9E9BC8649}">
      <text>
        <r>
          <rPr>
            <b/>
            <sz val="9"/>
            <color indexed="81"/>
            <rFont val="Tahoma"/>
            <family val="2"/>
          </rPr>
          <t>Bruyns Fred H:</t>
        </r>
        <r>
          <rPr>
            <sz val="9"/>
            <color indexed="81"/>
            <rFont val="Tahoma"/>
            <family val="2"/>
          </rPr>
          <t xml:space="preserve">
Programming note: 100 degrees of forward flexion in the hip is considered maximum normal. See OAR 436-035-0340.</t>
        </r>
      </text>
    </comment>
    <comment ref="V9" authorId="1" shapeId="0" xr:uid="{7F876042-B5E7-4EDF-BC6F-0A0017A2C921}">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9" authorId="1" shapeId="0" xr:uid="{A039DD3D-D282-4C67-9441-D8B627F949A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X9" authorId="1" shapeId="0" xr:uid="{27D7D6E6-E474-42DF-92C0-E2AD1D96C94A}">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10" authorId="1" shapeId="0" xr:uid="{9725899D-2D9F-431F-BFF8-8FDBC9B3CDEB}">
      <text>
        <r>
          <rPr>
            <b/>
            <sz val="9"/>
            <color indexed="81"/>
            <rFont val="Tahoma"/>
            <family val="2"/>
          </rPr>
          <t>Bruyns Fred H:</t>
        </r>
        <r>
          <rPr>
            <sz val="9"/>
            <color indexed="81"/>
            <rFont val="Tahoma"/>
            <family val="2"/>
          </rPr>
          <t xml:space="preserve">
Programming note: Forward flexion ankylosis - see OAR 436-035-0340.</t>
        </r>
      </text>
    </comment>
    <comment ref="S11" authorId="1" shapeId="0" xr:uid="{D50F562F-4835-4C10-9256-32DE0EE7775E}">
      <text>
        <r>
          <rPr>
            <b/>
            <sz val="9"/>
            <color indexed="81"/>
            <rFont val="Tahoma"/>
            <family val="2"/>
          </rPr>
          <t>Bruyns Fred H:</t>
        </r>
        <r>
          <rPr>
            <sz val="9"/>
            <color indexed="81"/>
            <rFont val="Tahoma"/>
            <family val="2"/>
          </rPr>
          <t xml:space="preserve">
Programming note: 30 degrees of backward extension of the hip is considered maximum normal. See OAR 436-035-0340.</t>
        </r>
      </text>
    </comment>
    <comment ref="V11" authorId="1" shapeId="0" xr:uid="{58FBEEB4-C77A-41E0-A097-4F9728EC217C}">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1" authorId="1" shapeId="0" xr:uid="{551FC55C-4121-4B09-9F1E-85047729B38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X11" authorId="1" shapeId="0" xr:uid="{7C9D17A7-9149-4D07-A8D4-A757DD84E275}">
      <text>
        <r>
          <rPr>
            <b/>
            <sz val="9"/>
            <color indexed="81"/>
            <rFont val="Tahoma"/>
            <family val="2"/>
          </rPr>
          <t>Bruyns Fred H:</t>
        </r>
        <r>
          <rPr>
            <sz val="9"/>
            <color indexed="81"/>
            <rFont val="Tahoma"/>
            <family val="2"/>
          </rPr>
          <t xml:space="preserve">
Programming note: Under OAR 436-035-0340, "When two or more ankylosis positions are documented, select the one direction representing the largest impairment." </t>
        </r>
      </text>
    </comment>
    <comment ref="S12" authorId="1" shapeId="0" xr:uid="{3AD6DF11-DD25-424F-980F-6920793A548D}">
      <text>
        <r>
          <rPr>
            <b/>
            <sz val="9"/>
            <color indexed="81"/>
            <rFont val="Tahoma"/>
            <family val="2"/>
          </rPr>
          <t>Bruyns Fred H:</t>
        </r>
        <r>
          <rPr>
            <sz val="9"/>
            <color indexed="81"/>
            <rFont val="Tahoma"/>
            <family val="2"/>
          </rPr>
          <t xml:space="preserve">
Programming note: Backward extension ankylosis - see OAR 436-035-0340.</t>
        </r>
      </text>
    </comment>
    <comment ref="V13" authorId="1" shapeId="0" xr:uid="{9EC3F9FC-4CA0-4BD4-81D1-9543B5A39B00}">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3" authorId="1" shapeId="0" xr:uid="{5ED2ECFB-3307-48B6-B856-071C0CA02DF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4" authorId="1" shapeId="0" xr:uid="{5130A3CE-AE8F-48F6-8CFF-BCCD2CF09C80}">
      <text>
        <r>
          <rPr>
            <b/>
            <sz val="9"/>
            <color indexed="81"/>
            <rFont val="Tahoma"/>
            <family val="2"/>
          </rPr>
          <t>Bruyns Fred H:</t>
        </r>
        <r>
          <rPr>
            <sz val="9"/>
            <color indexed="81"/>
            <rFont val="Tahoma"/>
            <family val="2"/>
          </rPr>
          <t xml:space="preserve">
Programming note: Abduction ankylosis - see OAR 436-035-0340.</t>
        </r>
      </text>
    </comment>
    <comment ref="V15" authorId="1" shapeId="0" xr:uid="{F0B1DD84-CE0E-4FC7-89B0-0AE2BC4D21E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5" authorId="1" shapeId="0" xr:uid="{1451B76C-ABA7-4FB1-97D1-F68F663DC93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16" authorId="1" shapeId="0" xr:uid="{30A8C8AF-0528-4674-9BB2-4762125E6215}">
      <text>
        <r>
          <rPr>
            <b/>
            <sz val="9"/>
            <color indexed="81"/>
            <rFont val="Tahoma"/>
            <family val="2"/>
          </rPr>
          <t>Bruyns Fred H:</t>
        </r>
        <r>
          <rPr>
            <sz val="9"/>
            <color indexed="81"/>
            <rFont val="Tahoma"/>
            <family val="2"/>
          </rPr>
          <t xml:space="preserve">
Programming note: Adduction ankylosis - see OAR 436-035-0340.</t>
        </r>
      </text>
    </comment>
    <comment ref="V17" authorId="1" shapeId="0" xr:uid="{A31C0338-4474-49BD-816F-1826064CF9A0}">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7" authorId="1" shapeId="0" xr:uid="{2FBCD2B3-C1EF-4F7D-8D62-4AFA57FAF9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8" authorId="1" shapeId="0" xr:uid="{2A3B0F3B-4501-4A05-8304-3DFC72C8EBBE}">
      <text>
        <r>
          <rPr>
            <b/>
            <sz val="9"/>
            <color indexed="81"/>
            <rFont val="Tahoma"/>
            <family val="2"/>
          </rPr>
          <t>Bruyns Fred H:</t>
        </r>
        <r>
          <rPr>
            <sz val="9"/>
            <color indexed="81"/>
            <rFont val="Tahoma"/>
            <family val="2"/>
          </rPr>
          <t xml:space="preserve">
Programming note: Internal rotation ankylosis - see OAR 436-035-0340.</t>
        </r>
      </text>
    </comment>
    <comment ref="V19" authorId="1" shapeId="0" xr:uid="{8357DFA3-A562-40F2-B838-F2E9326CBEB3}">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9" authorId="1" shapeId="0" xr:uid="{26485FEC-E115-494D-BA56-74F95CCC728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20" authorId="1" shapeId="0" xr:uid="{C017FB3B-AB77-4217-91DB-CB26814A95E0}">
      <text>
        <r>
          <rPr>
            <b/>
            <sz val="9"/>
            <color indexed="81"/>
            <rFont val="Tahoma"/>
            <family val="2"/>
          </rPr>
          <t>Bruyns Fred H:</t>
        </r>
        <r>
          <rPr>
            <sz val="9"/>
            <color indexed="81"/>
            <rFont val="Tahoma"/>
            <family val="2"/>
          </rPr>
          <t xml:space="preserve">
Programming note: External rotation ankylosis - see OAR 436-035-0340.</t>
        </r>
      </text>
    </comment>
    <comment ref="Y20" authorId="1" shapeId="0" xr:uid="{3697B996-18DB-4ED2-90FC-4B2B8824010F}">
      <text>
        <r>
          <rPr>
            <b/>
            <sz val="9"/>
            <color indexed="81"/>
            <rFont val="Tahoma"/>
            <family val="2"/>
          </rPr>
          <t>Bruyns Fred H:</t>
        </r>
        <r>
          <rPr>
            <sz val="9"/>
            <color indexed="81"/>
            <rFont val="Tahoma"/>
            <family val="2"/>
          </rPr>
          <t xml:space="preserve">
Programming note: Formula returns "1" if any ROM values are entered.</t>
        </r>
      </text>
    </comment>
    <comment ref="Z20" authorId="1" shapeId="0" xr:uid="{32E8E87A-0975-439E-B357-C94E8437DADB}">
      <text>
        <r>
          <rPr>
            <b/>
            <sz val="9"/>
            <color indexed="81"/>
            <rFont val="Tahoma"/>
            <family val="2"/>
          </rPr>
          <t>Bruyns Fred H:</t>
        </r>
        <r>
          <rPr>
            <sz val="9"/>
            <color indexed="81"/>
            <rFont val="Tahoma"/>
            <family val="2"/>
          </rPr>
          <t xml:space="preserve">
Programming note: Formula returns "1" if any ankylosis values are entered.</t>
        </r>
      </text>
    </comment>
    <comment ref="T32" authorId="1" shapeId="0" xr:uid="{94BE309C-3BF5-41EE-8DFA-29D92A50C365}">
      <text>
        <r>
          <rPr>
            <b/>
            <sz val="9"/>
            <color indexed="81"/>
            <rFont val="Tahoma"/>
            <family val="2"/>
          </rPr>
          <t>Bruyns Fred H:</t>
        </r>
        <r>
          <rPr>
            <sz val="9"/>
            <color indexed="81"/>
            <rFont val="Tahoma"/>
            <family val="2"/>
          </rPr>
          <t xml:space="preserve">
Programming note: Values are transferred in from the chart to the left. </t>
        </r>
      </text>
    </comment>
    <comment ref="U32" authorId="1" shapeId="0" xr:uid="{5635BAD4-1711-48FB-9941-FB971575A9DD}">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32" authorId="1" shapeId="0" xr:uid="{EFD90419-BD50-4ADD-80D1-6CBE0F6B9CE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W32" authorId="1" shapeId="0" xr:uid="{3C89B96A-BF6D-4E0E-9244-229F980E013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F33" authorId="1" shapeId="0" xr:uid="{926D05C8-4FD6-4F6D-A8DC-959BF184054E}">
      <text>
        <r>
          <rPr>
            <b/>
            <sz val="9"/>
            <color indexed="81"/>
            <rFont val="Tahoma"/>
            <family val="2"/>
          </rPr>
          <t>Bruyns Fred H:</t>
        </r>
        <r>
          <rPr>
            <sz val="9"/>
            <color indexed="81"/>
            <rFont val="Tahoma"/>
            <family val="2"/>
          </rPr>
          <t xml:space="preserve">
If ankylosis is present in the hip, apportionment field is greyed out.</t>
        </r>
      </text>
    </comment>
    <comment ref="H33" authorId="1" shapeId="0" xr:uid="{ED95EA63-7276-4908-8F7C-71BA7D39FED5}">
      <text>
        <r>
          <rPr>
            <b/>
            <sz val="9"/>
            <color indexed="81"/>
            <rFont val="Tahoma"/>
            <family val="2"/>
          </rPr>
          <t>Bruyns Fred H:</t>
        </r>
        <r>
          <rPr>
            <sz val="9"/>
            <color indexed="81"/>
            <rFont val="Tahoma"/>
            <family val="2"/>
          </rPr>
          <t xml:space="preserve">
Programming note: The formula first checks to see if the value in column S is greater than zero but less than one. If so, it returns "1" percent. Otherwise, the formula returns a rounded value from column 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U1" authorId="0" shapeId="0" xr:uid="{F503BC70-B0A6-4A62-9A93-1259E11EA75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V1" authorId="0" shapeId="0" xr:uid="{A3B3D230-0A52-46A0-9BA2-F0ED0C22978C}">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8" authorId="1" shapeId="0" xr:uid="{6E77A1A4-2ED0-49C8-9578-7824A4E9D2F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3ADC9D64-15E2-4758-9737-8A26ADF30151}">
      <text>
        <r>
          <rPr>
            <b/>
            <sz val="9"/>
            <color indexed="81"/>
            <rFont val="Tahoma"/>
            <family val="2"/>
          </rPr>
          <t>Bruyns Fred H:</t>
        </r>
        <r>
          <rPr>
            <sz val="9"/>
            <color indexed="81"/>
            <rFont val="Tahoma"/>
            <family val="2"/>
          </rPr>
          <t xml:space="preserve">
Programming note: 100 degrees of forward flexion in the hip is considered maximum normal. See OAR 436-035-0340.</t>
        </r>
      </text>
    </comment>
    <comment ref="V9" authorId="1" shapeId="0" xr:uid="{5E4295AC-385E-4B4D-9A7E-13F800D21AB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9" authorId="1" shapeId="0" xr:uid="{4994E3E2-9E45-4A4D-B0EF-4A636B0E1EE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X9" authorId="1" shapeId="0" xr:uid="{E4F8A412-BD28-44C8-96D9-95E534B77C11}">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10" authorId="1" shapeId="0" xr:uid="{937BEDB8-5439-4F6D-9E5D-FBE7CAC7607A}">
      <text>
        <r>
          <rPr>
            <b/>
            <sz val="9"/>
            <color indexed="81"/>
            <rFont val="Tahoma"/>
            <family val="2"/>
          </rPr>
          <t>Bruyns Fred H:</t>
        </r>
        <r>
          <rPr>
            <sz val="9"/>
            <color indexed="81"/>
            <rFont val="Tahoma"/>
            <family val="2"/>
          </rPr>
          <t xml:space="preserve">
Programming note: Forward flexion ankylosis - see OAR 436-035-0340.</t>
        </r>
      </text>
    </comment>
    <comment ref="S11" authorId="1" shapeId="0" xr:uid="{DBD8BCB1-05E9-4B3C-A7C3-95E86CCAC0E6}">
      <text>
        <r>
          <rPr>
            <b/>
            <sz val="9"/>
            <color indexed="81"/>
            <rFont val="Tahoma"/>
            <family val="2"/>
          </rPr>
          <t>Bruyns Fred H:</t>
        </r>
        <r>
          <rPr>
            <sz val="9"/>
            <color indexed="81"/>
            <rFont val="Tahoma"/>
            <family val="2"/>
          </rPr>
          <t xml:space="preserve">
Programming note: 30 degrees of backward extension of the hip is considered maximum normal. See OAR 436-035-0340.</t>
        </r>
      </text>
    </comment>
    <comment ref="V11" authorId="1" shapeId="0" xr:uid="{03F7E0B7-63BC-4B14-88B1-929C67DE85BB}">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1" authorId="1" shapeId="0" xr:uid="{A74216ED-824C-4854-B25E-0F28D36D8EF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X11" authorId="1" shapeId="0" xr:uid="{BA9D0618-EEF3-4EF6-952E-F0300A58C998}">
      <text>
        <r>
          <rPr>
            <b/>
            <sz val="9"/>
            <color indexed="81"/>
            <rFont val="Tahoma"/>
            <family val="2"/>
          </rPr>
          <t>Bruyns Fred H:</t>
        </r>
        <r>
          <rPr>
            <sz val="9"/>
            <color indexed="81"/>
            <rFont val="Tahoma"/>
            <family val="2"/>
          </rPr>
          <t xml:space="preserve">
Programming note: Under OAR 436-035-0340, "When two or more ankylosis positions are documented, select the one direction representing the largest impairment." </t>
        </r>
      </text>
    </comment>
    <comment ref="S12" authorId="1" shapeId="0" xr:uid="{2F977A7C-F53A-45A4-9B3F-ED1B2C926BD7}">
      <text>
        <r>
          <rPr>
            <b/>
            <sz val="9"/>
            <color indexed="81"/>
            <rFont val="Tahoma"/>
            <family val="2"/>
          </rPr>
          <t>Bruyns Fred H:</t>
        </r>
        <r>
          <rPr>
            <sz val="9"/>
            <color indexed="81"/>
            <rFont val="Tahoma"/>
            <family val="2"/>
          </rPr>
          <t xml:space="preserve">
Programming note: Backward extension ankylosis - see OAR 436-035-0340.</t>
        </r>
      </text>
    </comment>
    <comment ref="V13" authorId="1" shapeId="0" xr:uid="{776FCE92-2D64-4220-9197-9A3868F37CCE}">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3" authorId="1" shapeId="0" xr:uid="{8CCF04B7-0E89-4E41-9E0A-6E322B09FE9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4" authorId="1" shapeId="0" xr:uid="{A6AB99F8-D71D-4568-9CA4-90FF57DD0E9F}">
      <text>
        <r>
          <rPr>
            <b/>
            <sz val="9"/>
            <color indexed="81"/>
            <rFont val="Tahoma"/>
            <family val="2"/>
          </rPr>
          <t>Bruyns Fred H:</t>
        </r>
        <r>
          <rPr>
            <sz val="9"/>
            <color indexed="81"/>
            <rFont val="Tahoma"/>
            <family val="2"/>
          </rPr>
          <t xml:space="preserve">
Programming note: Abduction ankylosis - see OAR 436-035-0340.</t>
        </r>
      </text>
    </comment>
    <comment ref="V15" authorId="1" shapeId="0" xr:uid="{FF077073-F79D-485F-ADA0-15BE79F0468B}">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5" authorId="1" shapeId="0" xr:uid="{A0CE493A-B197-4363-9137-D1325DCE740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16" authorId="1" shapeId="0" xr:uid="{5837EF6A-5D63-4197-AABE-A80E9057EAA8}">
      <text>
        <r>
          <rPr>
            <b/>
            <sz val="9"/>
            <color indexed="81"/>
            <rFont val="Tahoma"/>
            <family val="2"/>
          </rPr>
          <t>Bruyns Fred H:</t>
        </r>
        <r>
          <rPr>
            <sz val="9"/>
            <color indexed="81"/>
            <rFont val="Tahoma"/>
            <family val="2"/>
          </rPr>
          <t xml:space="preserve">
Programming note: Adduction ankylosis - see OAR 436-035-0340.</t>
        </r>
      </text>
    </comment>
    <comment ref="V17" authorId="1" shapeId="0" xr:uid="{015D99A1-7789-4845-B2AA-C133E94E206D}">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7" authorId="1" shapeId="0" xr:uid="{59A8C9C6-866F-47ED-9D0B-79AC023BB93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18" authorId="1" shapeId="0" xr:uid="{8443DD14-325D-470D-AFB1-25F26E72E353}">
      <text>
        <r>
          <rPr>
            <b/>
            <sz val="9"/>
            <color indexed="81"/>
            <rFont val="Tahoma"/>
            <family val="2"/>
          </rPr>
          <t>Bruyns Fred H:</t>
        </r>
        <r>
          <rPr>
            <sz val="9"/>
            <color indexed="81"/>
            <rFont val="Tahoma"/>
            <family val="2"/>
          </rPr>
          <t xml:space="preserve">
Programming note: Internal rotation ankylosis - see OAR 436-035-0340.</t>
        </r>
      </text>
    </comment>
    <comment ref="V19" authorId="1" shapeId="0" xr:uid="{6639C8EF-AC94-4D25-B487-0ACADFE1D09F}">
      <text>
        <r>
          <rPr>
            <b/>
            <sz val="9"/>
            <color indexed="81"/>
            <rFont val="Tahoma"/>
            <family val="2"/>
          </rPr>
          <t>Bruyns Fred H:</t>
        </r>
        <r>
          <rPr>
            <sz val="9"/>
            <color indexed="81"/>
            <rFont val="Tahoma"/>
            <family val="2"/>
          </rPr>
          <t xml:space="preserve">
Programming note: This rounded value is carried into the "H-Table" and used for lookup there.</t>
        </r>
      </text>
    </comment>
    <comment ref="W19" authorId="1" shapeId="0" xr:uid="{F2FE4CC5-FDE0-4B3F-B16F-058CF0A781A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20" authorId="1" shapeId="0" xr:uid="{8AE26756-A865-4B0D-923A-878993E22F63}">
      <text>
        <r>
          <rPr>
            <b/>
            <sz val="9"/>
            <color indexed="81"/>
            <rFont val="Tahoma"/>
            <family val="2"/>
          </rPr>
          <t>Bruyns Fred H:</t>
        </r>
        <r>
          <rPr>
            <sz val="9"/>
            <color indexed="81"/>
            <rFont val="Tahoma"/>
            <family val="2"/>
          </rPr>
          <t xml:space="preserve">
Programming note: External rotation ankylosis - see OAR 436-035-0340.</t>
        </r>
      </text>
    </comment>
    <comment ref="Y20" authorId="1" shapeId="0" xr:uid="{DF8FAEE0-A48B-4041-A143-98A63401F7C6}">
      <text>
        <r>
          <rPr>
            <b/>
            <sz val="9"/>
            <color indexed="81"/>
            <rFont val="Tahoma"/>
            <family val="2"/>
          </rPr>
          <t>Bruyns Fred H:</t>
        </r>
        <r>
          <rPr>
            <sz val="9"/>
            <color indexed="81"/>
            <rFont val="Tahoma"/>
            <family val="2"/>
          </rPr>
          <t xml:space="preserve">
Programming note: Formula returns "1" if any ROM values are entered.</t>
        </r>
      </text>
    </comment>
    <comment ref="Z20" authorId="1" shapeId="0" xr:uid="{1FBD2F45-5B17-4680-8AEF-9A2EB73EFC76}">
      <text>
        <r>
          <rPr>
            <b/>
            <sz val="9"/>
            <color indexed="81"/>
            <rFont val="Tahoma"/>
            <family val="2"/>
          </rPr>
          <t>Bruyns Fred H:</t>
        </r>
        <r>
          <rPr>
            <sz val="9"/>
            <color indexed="81"/>
            <rFont val="Tahoma"/>
            <family val="2"/>
          </rPr>
          <t xml:space="preserve">
Programming note: Formula returns "1" if any ankylosis values are entered.</t>
        </r>
      </text>
    </comment>
    <comment ref="T32" authorId="1" shapeId="0" xr:uid="{2DAFF293-7D00-47D2-9F12-E90EFFB96D27}">
      <text>
        <r>
          <rPr>
            <b/>
            <sz val="9"/>
            <color indexed="81"/>
            <rFont val="Tahoma"/>
            <family val="2"/>
          </rPr>
          <t>Bruyns Fred H:</t>
        </r>
        <r>
          <rPr>
            <sz val="9"/>
            <color indexed="81"/>
            <rFont val="Tahoma"/>
            <family val="2"/>
          </rPr>
          <t xml:space="preserve">
Programming note: Values are transferred in from the chart to the left. </t>
        </r>
      </text>
    </comment>
    <comment ref="U32" authorId="1" shapeId="0" xr:uid="{A7F3D452-3862-4866-B52A-A7AB67EFE9C5}">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32" authorId="1" shapeId="0" xr:uid="{2541C0F5-1D2C-4D7A-BD5A-C0950562CB0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W32" authorId="1" shapeId="0" xr:uid="{9030AF8C-3CBD-48AC-A159-ADF07772897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F33" authorId="1" shapeId="0" xr:uid="{A6A0CF2C-1FC5-44E0-8496-12D1BAB25302}">
      <text>
        <r>
          <rPr>
            <b/>
            <sz val="9"/>
            <color indexed="81"/>
            <rFont val="Tahoma"/>
            <family val="2"/>
          </rPr>
          <t>Bruyns Fred H:</t>
        </r>
        <r>
          <rPr>
            <sz val="9"/>
            <color indexed="81"/>
            <rFont val="Tahoma"/>
            <family val="2"/>
          </rPr>
          <t xml:space="preserve">
If ankylosis is present in the hip, apportionment field is greyed out.</t>
        </r>
      </text>
    </comment>
    <comment ref="H33" authorId="1" shapeId="0" xr:uid="{76BC8D87-E4A9-49C5-8747-623B27C3A3B0}">
      <text>
        <r>
          <rPr>
            <b/>
            <sz val="9"/>
            <color indexed="81"/>
            <rFont val="Tahoma"/>
            <family val="2"/>
          </rPr>
          <t>Bruyns Fred H:</t>
        </r>
        <r>
          <rPr>
            <sz val="9"/>
            <color indexed="81"/>
            <rFont val="Tahoma"/>
            <family val="2"/>
          </rPr>
          <t xml:space="preserve">
Programming note: The formula first checks to see if the value in column S is greater than zero but less than one. If so, it returns "1" percent. Otherwise, the formula returns a rounded value from column S.</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F5136F25-E364-4D05-AD5D-F755B5CB4C4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55C6ABE3-1ABD-4408-A8A3-F6297FC0719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4E5AEBB9-EB59-46F4-83E6-E3BC3AF3E2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4" authorId="1" shapeId="0" xr:uid="{47152CA9-6F8D-41E3-BB63-2F6C831E6516}">
      <text>
        <r>
          <rPr>
            <b/>
            <sz val="9"/>
            <color indexed="81"/>
            <rFont val="Tahoma"/>
            <family val="2"/>
          </rPr>
          <t>Bruyns Fred H:</t>
        </r>
        <r>
          <rPr>
            <sz val="9"/>
            <color indexed="81"/>
            <rFont val="Tahoma"/>
            <family val="2"/>
          </rPr>
          <t xml:space="preserve">
Programming note: Impairment values for multiple ranges of motion are summed. If sum is greater than zero but less than 1, the amount is adjusted to 1. The final result is rounded.</t>
        </r>
      </text>
    </comment>
    <comment ref="S6" authorId="1" shapeId="0" xr:uid="{5E13D687-10B5-4757-9F79-33411AEB4168}">
      <text>
        <r>
          <rPr>
            <b/>
            <sz val="9"/>
            <color indexed="81"/>
            <rFont val="Tahoma"/>
            <family val="2"/>
          </rPr>
          <t>Bruyns Fred H:</t>
        </r>
        <r>
          <rPr>
            <sz val="9"/>
            <color indexed="81"/>
            <rFont val="Tahoma"/>
            <family val="2"/>
          </rPr>
          <t xml:space="preserve">
Programming note:60 degrees is maximum normal for flexion of the cervical spine.</t>
        </r>
      </text>
    </comment>
    <comment ref="S7" authorId="1" shapeId="0" xr:uid="{30B42CA4-EF51-40C4-B0FF-97D22BADEEE4}">
      <text>
        <r>
          <rPr>
            <b/>
            <sz val="9"/>
            <color indexed="81"/>
            <rFont val="Tahoma"/>
            <family val="2"/>
          </rPr>
          <t>Bruyns Fred H:</t>
        </r>
        <r>
          <rPr>
            <sz val="9"/>
            <color indexed="81"/>
            <rFont val="Tahoma"/>
            <family val="2"/>
          </rPr>
          <t xml:space="preserve">
Programming note: 75 degrees is maximum normal for extension of the cervical spine.</t>
        </r>
      </text>
    </comment>
    <comment ref="S8" authorId="1" shapeId="0" xr:uid="{8B19BCF8-B7A0-4572-9152-5B142EC57484}">
      <text>
        <r>
          <rPr>
            <b/>
            <sz val="9"/>
            <color indexed="81"/>
            <rFont val="Tahoma"/>
            <family val="2"/>
          </rPr>
          <t>Bruyns Fred H:</t>
        </r>
        <r>
          <rPr>
            <sz val="9"/>
            <color indexed="81"/>
            <rFont val="Tahoma"/>
            <family val="2"/>
          </rPr>
          <t xml:space="preserve">
Programming note: 45 degrees is maximum normal for right lateral flexion of the cervical spine.</t>
        </r>
      </text>
    </comment>
    <comment ref="S9" authorId="1" shapeId="0" xr:uid="{437BE01C-1D4B-4388-B9AA-5015F9C7C19F}">
      <text>
        <r>
          <rPr>
            <b/>
            <sz val="9"/>
            <color indexed="81"/>
            <rFont val="Tahoma"/>
            <family val="2"/>
          </rPr>
          <t>Bruyns Fred H:</t>
        </r>
        <r>
          <rPr>
            <sz val="9"/>
            <color indexed="81"/>
            <rFont val="Tahoma"/>
            <family val="2"/>
          </rPr>
          <t xml:space="preserve">
Programming note: 45 degrees is maximum normal for left lateral flexion of the cervical spine.</t>
        </r>
      </text>
    </comment>
    <comment ref="S10" authorId="1" shapeId="0" xr:uid="{AFAE101F-6988-4D3C-977B-2ED11A0CC112}">
      <text>
        <r>
          <rPr>
            <b/>
            <sz val="9"/>
            <color indexed="81"/>
            <rFont val="Tahoma"/>
            <family val="2"/>
          </rPr>
          <t>Bruyns Fred H:</t>
        </r>
        <r>
          <rPr>
            <sz val="9"/>
            <color indexed="81"/>
            <rFont val="Tahoma"/>
            <family val="2"/>
          </rPr>
          <t xml:space="preserve">
Programming note: 80 degrees is maximum normal for right rotation of the cervical spine.</t>
        </r>
      </text>
    </comment>
    <comment ref="S11" authorId="1" shapeId="0" xr:uid="{96E8BAFC-3DEC-4A8B-84C4-44382B6CC3F4}">
      <text>
        <r>
          <rPr>
            <b/>
            <sz val="9"/>
            <color indexed="81"/>
            <rFont val="Tahoma"/>
            <family val="2"/>
          </rPr>
          <t>Bruyns Fred H:</t>
        </r>
        <r>
          <rPr>
            <sz val="9"/>
            <color indexed="81"/>
            <rFont val="Tahoma"/>
            <family val="2"/>
          </rPr>
          <t xml:space="preserve">
Programming note: 80 degrees is maximum normal for left rotation of the cervical spine.</t>
        </r>
      </text>
    </comment>
    <comment ref="R39" authorId="1" shapeId="0" xr:uid="{BC9BB65C-A441-44B4-9128-03E7FDCD29EA}">
      <text>
        <r>
          <rPr>
            <b/>
            <sz val="9"/>
            <color indexed="81"/>
            <rFont val="Tahoma"/>
            <family val="2"/>
          </rPr>
          <t>Bruyns Fred H:</t>
        </r>
        <r>
          <rPr>
            <sz val="9"/>
            <color indexed="81"/>
            <rFont val="Tahoma"/>
            <family val="2"/>
          </rPr>
          <t xml:space="preserve">
Programming note: Values are transferred in from the chart to the left. </t>
        </r>
      </text>
    </comment>
    <comment ref="R40" authorId="1" shapeId="0" xr:uid="{8FC76CE7-133D-47F9-B0B4-7B51D6583E29}">
      <text>
        <r>
          <rPr>
            <b/>
            <sz val="9"/>
            <color indexed="81"/>
            <rFont val="Tahoma"/>
            <family val="2"/>
          </rPr>
          <t>Bruyns Fred H:</t>
        </r>
        <r>
          <rPr>
            <sz val="9"/>
            <color indexed="81"/>
            <rFont val="Tahoma"/>
            <family val="2"/>
          </rPr>
          <t xml:space="preserve">
Programming note: Trasnsferred values are sorted in this row, from largest to smallest.</t>
        </r>
      </text>
    </comment>
    <comment ref="R41" authorId="1" shapeId="0" xr:uid="{4D35C56F-78A5-427C-898F-D8193ACC0A2D}">
      <text>
        <r>
          <rPr>
            <b/>
            <sz val="9"/>
            <color indexed="81"/>
            <rFont val="Tahoma"/>
            <family val="2"/>
          </rPr>
          <t>Bruyns Fred H:</t>
        </r>
        <r>
          <rPr>
            <sz val="9"/>
            <color indexed="81"/>
            <rFont val="Tahoma"/>
            <family val="2"/>
          </rPr>
          <t xml:space="preserve">
Programming note: Sorted values to the left are combined in this row. Combining is explained in OAR 436-035-0011.</t>
        </r>
      </text>
    </comment>
    <comment ref="R42" authorId="1" shapeId="0" xr:uid="{95679371-58AB-4DE3-A789-2BFE5406270E}">
      <text>
        <r>
          <rPr>
            <b/>
            <sz val="9"/>
            <color indexed="81"/>
            <rFont val="Tahoma"/>
            <family val="2"/>
          </rPr>
          <t>Bruyns Fred H:</t>
        </r>
        <r>
          <rPr>
            <sz val="9"/>
            <color indexed="81"/>
            <rFont val="Tahoma"/>
            <family val="2"/>
          </rPr>
          <t xml:space="preserve">
Programming note: Combined values above are rounded in this row. The value at the end of the row is the total impairment value for body part.</t>
        </r>
      </text>
    </comment>
    <comment ref="T49" authorId="1" shapeId="0" xr:uid="{B339C11E-40D0-4D85-A69D-208CBDF41DD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0" authorId="1" shapeId="0" xr:uid="{9103ADDC-FBE9-48D4-9177-6C6F3C19D0EE}">
      <text>
        <r>
          <rPr>
            <b/>
            <sz val="9"/>
            <color indexed="81"/>
            <rFont val="Tahoma"/>
            <family val="2"/>
          </rPr>
          <t>Bruyns Fred H:</t>
        </r>
        <r>
          <rPr>
            <sz val="9"/>
            <color indexed="81"/>
            <rFont val="Tahoma"/>
            <family val="2"/>
          </rPr>
          <t xml:space="preserve">
Programming note: Impairment values for multiple ranges of motion are summed. If sum is greater than zero but less than 1, the amount is adjusted to 1. The final result is rounded.</t>
        </r>
      </text>
    </comment>
    <comment ref="R87" authorId="1" shapeId="0" xr:uid="{4CEC86B5-E584-47A8-91B6-69D4E2F7EA46}">
      <text>
        <r>
          <rPr>
            <b/>
            <sz val="9"/>
            <color indexed="81"/>
            <rFont val="Tahoma"/>
            <family val="2"/>
          </rPr>
          <t>Bruyns Fred H:</t>
        </r>
        <r>
          <rPr>
            <sz val="9"/>
            <color indexed="81"/>
            <rFont val="Tahoma"/>
            <family val="2"/>
          </rPr>
          <t xml:space="preserve">
Programming note: Values are transferred in from the chart to the left. </t>
        </r>
      </text>
    </comment>
    <comment ref="R88" authorId="1" shapeId="0" xr:uid="{0A878D38-3A74-4327-A670-9BAA22D4C1E6}">
      <text>
        <r>
          <rPr>
            <b/>
            <sz val="9"/>
            <color indexed="81"/>
            <rFont val="Tahoma"/>
            <family val="2"/>
          </rPr>
          <t>Bruyns Fred H:</t>
        </r>
        <r>
          <rPr>
            <sz val="9"/>
            <color indexed="81"/>
            <rFont val="Tahoma"/>
            <family val="2"/>
          </rPr>
          <t xml:space="preserve">
Programming note: Trasnsferred values are sorted in this row, from largest to smallest.</t>
        </r>
      </text>
    </comment>
    <comment ref="R89" authorId="1" shapeId="0" xr:uid="{BA4931A5-C73C-49F2-8A22-B6A8273D05DA}">
      <text>
        <r>
          <rPr>
            <b/>
            <sz val="9"/>
            <color indexed="81"/>
            <rFont val="Tahoma"/>
            <family val="2"/>
          </rPr>
          <t>Bruyns Fred H:</t>
        </r>
        <r>
          <rPr>
            <sz val="9"/>
            <color indexed="81"/>
            <rFont val="Tahoma"/>
            <family val="2"/>
          </rPr>
          <t xml:space="preserve">
Programming note: Sorted values to the left are combined in this row. Combining is explained in OAR 436-035-0011.</t>
        </r>
      </text>
    </comment>
    <comment ref="R90" authorId="1" shapeId="0" xr:uid="{09B98B4D-9808-47E8-82CC-5E68756CA085}">
      <text>
        <r>
          <rPr>
            <b/>
            <sz val="9"/>
            <color indexed="81"/>
            <rFont val="Tahoma"/>
            <family val="2"/>
          </rPr>
          <t>Bruyns Fred H:</t>
        </r>
        <r>
          <rPr>
            <sz val="9"/>
            <color indexed="81"/>
            <rFont val="Tahoma"/>
            <family val="2"/>
          </rPr>
          <t xml:space="preserve">
Programming note: Combined values above are rounded in this row. The value at the end of the row is the total impairment value for body part.</t>
        </r>
      </text>
    </comment>
    <comment ref="R132" authorId="1" shapeId="0" xr:uid="{0F6FECBB-9ED6-4B33-8CB0-EE6D6D50F4D9}">
      <text>
        <r>
          <rPr>
            <b/>
            <sz val="9"/>
            <color indexed="81"/>
            <rFont val="Tahoma"/>
            <family val="2"/>
          </rPr>
          <t>Bruyns Fred H:</t>
        </r>
        <r>
          <rPr>
            <sz val="9"/>
            <color indexed="81"/>
            <rFont val="Tahoma"/>
            <family val="2"/>
          </rPr>
          <t xml:space="preserve">
Programming note: Values are transferred in from the chart to the left. </t>
        </r>
      </text>
    </comment>
    <comment ref="R133" authorId="1" shapeId="0" xr:uid="{07D7F1FD-BC71-48EE-9FD9-F8779ADBCCA6}">
      <text>
        <r>
          <rPr>
            <b/>
            <sz val="9"/>
            <color indexed="81"/>
            <rFont val="Tahoma"/>
            <family val="2"/>
          </rPr>
          <t>Bruyns Fred H:</t>
        </r>
        <r>
          <rPr>
            <sz val="9"/>
            <color indexed="81"/>
            <rFont val="Tahoma"/>
            <family val="2"/>
          </rPr>
          <t xml:space="preserve">
Programming note: Trasnsferred values are sorted in this row, from largest to smallest.</t>
        </r>
      </text>
    </comment>
    <comment ref="R134" authorId="1" shapeId="0" xr:uid="{99FDFE07-A4F8-4643-AF9E-BD382BBD5572}">
      <text>
        <r>
          <rPr>
            <b/>
            <sz val="9"/>
            <color indexed="81"/>
            <rFont val="Tahoma"/>
            <family val="2"/>
          </rPr>
          <t>Bruyns Fred H:</t>
        </r>
        <r>
          <rPr>
            <sz val="9"/>
            <color indexed="81"/>
            <rFont val="Tahoma"/>
            <family val="2"/>
          </rPr>
          <t xml:space="preserve">
Programming note: Sorted values to the left are combined in this row. Combining is explained in OAR 436-035-0011.</t>
        </r>
      </text>
    </comment>
    <comment ref="R135" authorId="1" shapeId="0" xr:uid="{5CCD416C-B3B8-4025-8EE9-B86C1C7F7410}">
      <text>
        <r>
          <rPr>
            <b/>
            <sz val="9"/>
            <color indexed="81"/>
            <rFont val="Tahoma"/>
            <family val="2"/>
          </rPr>
          <t>Bruyns Fred H:</t>
        </r>
        <r>
          <rPr>
            <sz val="9"/>
            <color indexed="81"/>
            <rFont val="Tahoma"/>
            <family val="2"/>
          </rPr>
          <t xml:space="preserve">
Programming note: Combined values above are rounded in this row. The value at the end of the row is the total impairment value for body part.</t>
        </r>
      </text>
    </comment>
    <comment ref="R144" authorId="1" shapeId="0" xr:uid="{079E09FE-6179-4180-BB7A-8ACE9D9F81C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S144" authorId="1" shapeId="0" xr:uid="{6A3B8365-7523-44B1-A7F6-A7EAD1A4E53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T144" authorId="1" shapeId="0" xr:uid="{F49C1A49-6AA0-473F-82D9-27C6C64CE30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D8C09AA0-A15B-4588-A831-EDF4507114B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57FDBB96-D58A-40CA-975E-F29D845371A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5" authorId="1" shapeId="0" xr:uid="{7193F976-6DBE-4F11-A9FD-2E088AF7FC6E}">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5" authorId="1" shapeId="0" xr:uid="{686B3518-36A3-4640-B93A-59871F21635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5" authorId="1" shapeId="0" xr:uid="{AE5D63CF-4808-44BD-A410-1A907A757B2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D775500C-3974-4C98-88A1-7A9D4A7BB79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237D34F-800B-40A6-A651-C37D239BF7B6}">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4F9FF67B-3EEA-434E-B6EB-C2D699E5EB9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CA5DF32-7EF3-40E5-893E-9208C8D99D5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A2F3855B-B590-4C91-A45D-A5B930FECF0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B2F6376-4768-4087-8DBE-1CB94D06984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0AB58383-CD0B-4FF5-A765-E055C0CB7F57}">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4" authorId="1" shapeId="0" xr:uid="{DAF37B11-5E73-4AAE-A8AC-884418C1237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 authorId="1" shapeId="0" xr:uid="{337424BE-F7F4-4EEC-AB65-7F24FDF6510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398935E-6171-4A03-8D21-1EBFBC5ECC86}">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578B727-493A-420D-97E4-ABB3D956C0B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 authorId="1" shapeId="0" xr:uid="{7254CDE3-7EFF-44A9-9FDA-9231A59E1C2D}">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4" authorId="1" shapeId="0" xr:uid="{5394BB61-90F4-414A-A8ED-3D8CC6A012B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 authorId="1" shapeId="0" xr:uid="{0FE14C42-AA3E-440D-BDA9-3F4018C7732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0B71771-6B82-4978-89A9-170D11C6A7B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4A3239AC-2DA5-4B2C-9BA5-682B34EF012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40" authorId="1" shapeId="0" xr:uid="{318E0FE0-73FF-4B32-AE74-43B087EDE65A}">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T40" authorId="1" shapeId="0" xr:uid="{9CF0A187-8C76-408E-8015-9116BEAD11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40" authorId="1" shapeId="0" xr:uid="{F3D65112-A102-44F5-A7D5-6475974A98E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B3" authorId="0" shapeId="0" xr:uid="{00000000-0006-0000-0200-000001000000}">
      <text>
        <r>
          <rPr>
            <b/>
            <sz val="9"/>
            <color indexed="81"/>
            <rFont val="Tahoma"/>
            <family val="2"/>
          </rPr>
          <t>Fred Bruyns:</t>
        </r>
        <r>
          <rPr>
            <sz val="9"/>
            <color indexed="81"/>
            <rFont val="Tahoma"/>
            <family val="2"/>
          </rPr>
          <t xml:space="preserve">
Programming note: Formula displays the title or, if date of injury is on or after 1/1/2006, displays note about date of injury and direction to use PPD worksheet for "PPD DOI on or after 1/1/2005."</t>
        </r>
      </text>
    </comment>
    <comment ref="T3" authorId="0" shapeId="0" xr:uid="{00000000-0006-0000-0200-000002000000}">
      <text>
        <r>
          <rPr>
            <b/>
            <sz val="9"/>
            <color indexed="81"/>
            <rFont val="Tahoma"/>
            <family val="2"/>
          </rPr>
          <t>Fred Bruyns:</t>
        </r>
        <r>
          <rPr>
            <sz val="9"/>
            <color indexed="81"/>
            <rFont val="Tahoma"/>
            <family val="2"/>
          </rPr>
          <t xml:space="preserve">
Programming note: Message displays in title of worksheet if date of injury is before 1/1/2005.</t>
        </r>
      </text>
    </comment>
    <comment ref="T4" authorId="0" shapeId="0" xr:uid="{00000000-0006-0000-0200-000003000000}">
      <text>
        <r>
          <rPr>
            <b/>
            <sz val="9"/>
            <color indexed="81"/>
            <rFont val="Tahoma"/>
            <family val="2"/>
          </rPr>
          <t>Fred Bruyns:</t>
        </r>
        <r>
          <rPr>
            <sz val="9"/>
            <color indexed="81"/>
            <rFont val="Tahoma"/>
            <family val="2"/>
          </rPr>
          <t xml:space="preserve">
Programming note: Message displays in worksheet title field if date of injury is on or after 1/1/2005.</t>
        </r>
      </text>
    </comment>
    <comment ref="T6" authorId="0" shapeId="0" xr:uid="{00000000-0006-0000-0200-000004000000}">
      <text>
        <r>
          <rPr>
            <b/>
            <sz val="9"/>
            <color indexed="81"/>
            <rFont val="Tahoma"/>
            <family val="2"/>
          </rPr>
          <t>Fred Bruyns:</t>
        </r>
        <r>
          <rPr>
            <sz val="9"/>
            <color indexed="81"/>
            <rFont val="Tahoma"/>
            <family val="2"/>
          </rPr>
          <t xml:space="preserve">
Programming note: Error message for cell Q48 - if date of injury is not entered on "Start here" worksheet.</t>
        </r>
      </text>
    </comment>
    <comment ref="T7" authorId="0" shapeId="0" xr:uid="{00000000-0006-0000-0200-000005000000}">
      <text>
        <r>
          <rPr>
            <b/>
            <sz val="9"/>
            <color indexed="81"/>
            <rFont val="Tahoma"/>
            <family val="2"/>
          </rPr>
          <t>Fred Bruyns:</t>
        </r>
        <r>
          <rPr>
            <sz val="9"/>
            <color indexed="81"/>
            <rFont val="Tahoma"/>
            <family val="2"/>
          </rPr>
          <t xml:space="preserve">
Programming note: Error message if date of issuance precedes date of injury - on "Start here" worksheet.</t>
        </r>
      </text>
    </comment>
    <comment ref="T8" authorId="0" shapeId="0" xr:uid="{00000000-0006-0000-0200-000006000000}">
      <text>
        <r>
          <rPr>
            <b/>
            <sz val="9"/>
            <color indexed="81"/>
            <rFont val="Tahoma"/>
            <family val="2"/>
          </rPr>
          <t>Fred Bruyns:</t>
        </r>
        <r>
          <rPr>
            <sz val="9"/>
            <color indexed="81"/>
            <rFont val="Tahoma"/>
            <family val="2"/>
          </rPr>
          <t xml:space="preserve">
Programming note: Message displays below release / return-to-work section if the 4th checkbox is checked.</t>
        </r>
      </text>
    </comment>
    <comment ref="T9" authorId="0" shapeId="0" xr:uid="{00000000-0006-0000-0200-000007000000}">
      <text>
        <r>
          <rPr>
            <b/>
            <sz val="9"/>
            <color indexed="81"/>
            <rFont val="Tahoma"/>
            <family val="2"/>
          </rPr>
          <t>Fred Bruyns:</t>
        </r>
        <r>
          <rPr>
            <sz val="9"/>
            <color indexed="81"/>
            <rFont val="Tahoma"/>
            <family val="2"/>
          </rPr>
          <t xml:space="preserve">
Programming note: Programming note: Message displays below release / return-to-work section if one of the first three checkboxes is checked.</t>
        </r>
      </text>
    </comment>
    <comment ref="T10" authorId="0" shapeId="0" xr:uid="{00000000-0006-0000-0200-000008000000}">
      <text>
        <r>
          <rPr>
            <b/>
            <sz val="9"/>
            <color indexed="81"/>
            <rFont val="Tahoma"/>
            <family val="2"/>
          </rPr>
          <t>Fred Bruyns:</t>
        </r>
        <r>
          <rPr>
            <sz val="9"/>
            <color indexed="81"/>
            <rFont val="Tahoma"/>
            <family val="2"/>
          </rPr>
          <t xml:space="preserve">
Programming note: Message to remind user to enter social-vocational data.</t>
        </r>
      </text>
    </comment>
    <comment ref="T12" authorId="0" shapeId="0" xr:uid="{00000000-0006-0000-0200-000009000000}">
      <text>
        <r>
          <rPr>
            <b/>
            <sz val="9"/>
            <color indexed="81"/>
            <rFont val="Tahoma"/>
            <family val="2"/>
          </rPr>
          <t>Fred Bruyns:</t>
        </r>
        <r>
          <rPr>
            <sz val="9"/>
            <color indexed="81"/>
            <rFont val="Tahoma"/>
            <family val="2"/>
          </rPr>
          <t xml:space="preserve">
Programming note: Message displays if release / return-to-work checkboxes are in conflict (any of first three plus the 4th box will cause error).</t>
        </r>
      </text>
    </comment>
    <comment ref="T13" authorId="0" shapeId="0" xr:uid="{00000000-0006-0000-0200-00000A000000}">
      <text>
        <r>
          <rPr>
            <b/>
            <sz val="9"/>
            <color indexed="81"/>
            <rFont val="Tahoma"/>
            <family val="2"/>
          </rPr>
          <t>Fred Bruyns:</t>
        </r>
        <r>
          <rPr>
            <sz val="9"/>
            <color indexed="81"/>
            <rFont val="Tahoma"/>
            <family val="2"/>
          </rPr>
          <t xml:space="preserve">
Programming note: Message displays if no release / return-to-work data is entered.</t>
        </r>
      </text>
    </comment>
    <comment ref="T34" authorId="0" shapeId="0" xr:uid="{00000000-0006-0000-0200-00000B000000}">
      <text>
        <r>
          <rPr>
            <b/>
            <sz val="9"/>
            <color indexed="81"/>
            <rFont val="Tahoma"/>
            <family val="2"/>
          </rPr>
          <t>Fred Bruyns:</t>
        </r>
        <r>
          <rPr>
            <sz val="9"/>
            <color indexed="81"/>
            <rFont val="Tahoma"/>
            <family val="2"/>
          </rPr>
          <t xml:space="preserve">
Programming note: Value carred in from hearing loss worksheet. "4" is used to suppress results from left and right hearing loss or monaural rating of both in favor of the greater loss for binaural rating.</t>
        </r>
      </text>
    </comment>
    <comment ref="T37" authorId="0" shapeId="0" xr:uid="{00000000-0006-0000-0200-00000C000000}">
      <text>
        <r>
          <rPr>
            <b/>
            <sz val="9"/>
            <color indexed="81"/>
            <rFont val="Tahoma"/>
            <family val="2"/>
          </rPr>
          <t>Fred Bruyns:</t>
        </r>
        <r>
          <rPr>
            <sz val="9"/>
            <color indexed="81"/>
            <rFont val="Tahoma"/>
            <family val="2"/>
          </rPr>
          <t xml:space="preserve">
Programming note: Value carred in from vision loss worksheet. "4" is used to suppress results from left and right eye or monocular rating of both in favor of the greater loss for binaural rating.</t>
        </r>
      </text>
    </comment>
    <comment ref="T43" authorId="0" shapeId="0" xr:uid="{00000000-0006-0000-0200-00000D000000}">
      <text>
        <r>
          <rPr>
            <b/>
            <sz val="9"/>
            <color indexed="81"/>
            <rFont val="Tahoma"/>
            <family val="2"/>
          </rPr>
          <t>Fred Bruyns:</t>
        </r>
        <r>
          <rPr>
            <sz val="9"/>
            <color indexed="81"/>
            <rFont val="Tahoma"/>
            <family val="2"/>
          </rPr>
          <t xml:space="preserve">
Programming note: Formulas in this column sort the impairment values from largest to smallest.</t>
        </r>
      </text>
    </comment>
    <comment ref="V43" authorId="0" shapeId="0" xr:uid="{00000000-0006-0000-0200-00000E000000}">
      <text>
        <r>
          <rPr>
            <b/>
            <sz val="9"/>
            <color indexed="81"/>
            <rFont val="Tahoma"/>
            <family val="2"/>
          </rPr>
          <t>Fred Bruyns:</t>
        </r>
        <r>
          <rPr>
            <sz val="9"/>
            <color indexed="81"/>
            <rFont val="Tahoma"/>
            <family val="2"/>
          </rPr>
          <t xml:space="preserve">
Programming note: Combined values at left are rounded in this column. The value at the bottom of the column is the total unscheduled impairment value.</t>
        </r>
      </text>
    </comment>
    <comment ref="S44" authorId="0" shapeId="0" xr:uid="{00000000-0006-0000-0200-00000F000000}">
      <text>
        <r>
          <rPr>
            <b/>
            <sz val="9"/>
            <color indexed="81"/>
            <rFont val="Tahoma"/>
            <family val="2"/>
          </rPr>
          <t>Fred Bruyns:</t>
        </r>
        <r>
          <rPr>
            <sz val="9"/>
            <color indexed="81"/>
            <rFont val="Tahoma"/>
            <family val="2"/>
          </rPr>
          <t xml:space="preserve">
TRUE if checkbox is checked; FALSE if not checked.</t>
        </r>
      </text>
    </comment>
    <comment ref="S45" authorId="0" shapeId="0" xr:uid="{00000000-0006-0000-0200-000010000000}">
      <text>
        <r>
          <rPr>
            <b/>
            <sz val="9"/>
            <color indexed="81"/>
            <rFont val="Tahoma"/>
            <family val="2"/>
          </rPr>
          <t>Fred Bruyns:</t>
        </r>
        <r>
          <rPr>
            <sz val="9"/>
            <color indexed="81"/>
            <rFont val="Tahoma"/>
            <family val="2"/>
          </rPr>
          <t xml:space="preserve">
TRUE if checkbox is checked; FALSE if not checked.</t>
        </r>
      </text>
    </comment>
    <comment ref="S46" authorId="0" shapeId="0" xr:uid="{00000000-0006-0000-0200-000011000000}">
      <text>
        <r>
          <rPr>
            <b/>
            <sz val="9"/>
            <color indexed="81"/>
            <rFont val="Tahoma"/>
            <family val="2"/>
          </rPr>
          <t>Fred Bruyns:</t>
        </r>
        <r>
          <rPr>
            <sz val="9"/>
            <color indexed="81"/>
            <rFont val="Tahoma"/>
            <family val="2"/>
          </rPr>
          <t xml:space="preserve">
TRUE if checkbox is checked; FALSE if not checked.</t>
        </r>
      </text>
    </comment>
    <comment ref="S47" authorId="0" shapeId="0" xr:uid="{00000000-0006-0000-0200-000012000000}">
      <text>
        <r>
          <rPr>
            <b/>
            <sz val="9"/>
            <color indexed="81"/>
            <rFont val="Tahoma"/>
            <family val="2"/>
          </rPr>
          <t>Fred Bruyns:</t>
        </r>
        <r>
          <rPr>
            <sz val="9"/>
            <color indexed="81"/>
            <rFont val="Tahoma"/>
            <family val="2"/>
          </rPr>
          <t xml:space="preserve">
TRUE if checkbox is checked; FALSE if not checked.</t>
        </r>
      </text>
    </comment>
    <comment ref="Q48" authorId="0" shapeId="0" xr:uid="{00000000-0006-0000-0200-000013000000}">
      <text>
        <r>
          <rPr>
            <b/>
            <sz val="9"/>
            <color indexed="81"/>
            <rFont val="Tahoma"/>
            <family val="2"/>
          </rPr>
          <t>Fred Bruyns:</t>
        </r>
        <r>
          <rPr>
            <sz val="9"/>
            <color indexed="81"/>
            <rFont val="Tahoma"/>
            <family val="2"/>
          </rPr>
          <t xml:space="preserve">
Programming note: Displays nothing if there is no unscheduled impairment or release/return-to-work status make the social-vocational factors unnecessary. Displays request for date of injury or date of issuance if these are missing. Displays error message if date of issuance is before date of injury. Displays note about missing social-vocational information if education, specific vocational preparation, or adaptability information are missing.</t>
        </r>
      </text>
    </comment>
    <comment ref="S48" authorId="0" shapeId="0" xr:uid="{00000000-0006-0000-0200-000014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49" authorId="0" shapeId="0" xr:uid="{00000000-0006-0000-0200-000015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0" authorId="0" shapeId="0" xr:uid="{00000000-0006-0000-0200-000016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1" authorId="0" shapeId="0" xr:uid="{00000000-0006-0000-0200-000017000000}">
      <text>
        <r>
          <rPr>
            <b/>
            <sz val="9"/>
            <color indexed="81"/>
            <rFont val="Tahoma"/>
            <family val="2"/>
          </rPr>
          <t>Fred Bruyns:</t>
        </r>
        <r>
          <rPr>
            <sz val="9"/>
            <color indexed="81"/>
            <rFont val="Tahoma"/>
            <family val="2"/>
          </rPr>
          <t xml:space="preserve">
Programming note: This simple formula converts "TRUE" or "FALSE" above to a number 1 or 0.</t>
        </r>
      </text>
    </comment>
    <comment ref="S52" authorId="0" shapeId="0" xr:uid="{00000000-0006-0000-0200-000018000000}">
      <text>
        <r>
          <rPr>
            <b/>
            <sz val="9"/>
            <color indexed="81"/>
            <rFont val="Tahoma"/>
            <family val="2"/>
          </rPr>
          <t>Fred Bruyns:</t>
        </r>
        <r>
          <rPr>
            <sz val="9"/>
            <color indexed="81"/>
            <rFont val="Tahoma"/>
            <family val="2"/>
          </rPr>
          <t xml:space="preserve">
"1" (or more) means at least one of the return/release checkboxes is checked (the worker has returned or is released to regular work).</t>
        </r>
      </text>
    </comment>
    <comment ref="N54" authorId="0" shapeId="0" xr:uid="{00000000-0006-0000-0200-000019000000}">
      <text>
        <r>
          <rPr>
            <b/>
            <sz val="9"/>
            <color indexed="81"/>
            <rFont val="Tahoma"/>
            <family val="2"/>
          </rPr>
          <t>Fred Bruyns:</t>
        </r>
        <r>
          <rPr>
            <sz val="9"/>
            <color indexed="81"/>
            <rFont val="Tahoma"/>
            <family val="2"/>
          </rPr>
          <t xml:space="preserve">
Programming note: Displays age if worker is not released and has not returned to regular work, but only if either age or date of birth are entered on "Start here" worksheet. If date of birth (only) is entered, date of issuance must be entered on "Start here" for calculation of age at issuance.</t>
        </r>
      </text>
    </comment>
    <comment ref="Q54" authorId="0" shapeId="0" xr:uid="{00000000-0006-0000-0200-00001A000000}">
      <text>
        <r>
          <rPr>
            <b/>
            <sz val="9"/>
            <color indexed="81"/>
            <rFont val="Tahoma"/>
            <family val="2"/>
          </rPr>
          <t>Fred Bruyns:</t>
        </r>
        <r>
          <rPr>
            <sz val="9"/>
            <color indexed="81"/>
            <rFont val="Tahoma"/>
            <family val="2"/>
          </rPr>
          <t xml:space="preserve">
Programming note: Displays social/vocational value of "1" if the worker is age 40 or above. Will not display if worker has returned or has been released to regular work  (if one of the first three checkboxes above has been checked).</t>
        </r>
      </text>
    </comment>
    <comment ref="Q55" authorId="0" shapeId="0" xr:uid="{00000000-0006-0000-0200-00001B000000}">
      <text>
        <r>
          <rPr>
            <b/>
            <sz val="9"/>
            <color indexed="81"/>
            <rFont val="Tahoma"/>
            <family val="2"/>
          </rPr>
          <t>Fred Bruyns:</t>
        </r>
        <r>
          <rPr>
            <sz val="9"/>
            <color indexed="81"/>
            <rFont val="Tahoma"/>
            <family val="2"/>
          </rPr>
          <t xml:space="preserve">
Programming note: Displays social/vocational value of "1" if the formal education is entered (at left) as "No HS Diploma/GED." Will not display if worker has been released or has returned to regular work (if one of the first three checkboxes above has been checked).</t>
        </r>
      </text>
    </comment>
    <comment ref="Q56" authorId="0" shapeId="0" xr:uid="{00000000-0006-0000-0200-00001C000000}">
      <text>
        <r>
          <rPr>
            <b/>
            <sz val="9"/>
            <color indexed="81"/>
            <rFont val="Tahoma"/>
            <family val="2"/>
          </rPr>
          <t>Fred Bruyns:</t>
        </r>
        <r>
          <rPr>
            <sz val="9"/>
            <color indexed="81"/>
            <rFont val="Tahoma"/>
            <family val="2"/>
          </rPr>
          <t xml:space="preserve">
Programming note: Based on entry at left, using chart (hidden) below sheet, displays 1, 2, 3, or 4. Will not display if the worker has been released or has returned to regular work (if one of the first three checkboxes above is checked).</t>
        </r>
      </text>
    </comment>
    <comment ref="N59" authorId="0" shapeId="0" xr:uid="{00000000-0006-0000-0200-00001D000000}">
      <text>
        <r>
          <rPr>
            <b/>
            <sz val="9"/>
            <color indexed="81"/>
            <rFont val="Tahoma"/>
            <family val="2"/>
          </rPr>
          <t>Fred Bruyns:</t>
        </r>
        <r>
          <rPr>
            <sz val="9"/>
            <color indexed="81"/>
            <rFont val="Tahoma"/>
            <family val="2"/>
          </rPr>
          <t xml:space="preserve">
Programming note: Based on amount of impairment, using chart (hidden) below sheet, displays value from 1 through 7. Will not display if the worker has been released or has not returned to regular work (if one of the first three checkboxes above are checked).</t>
        </r>
      </text>
    </comment>
    <comment ref="V61" authorId="0" shapeId="0" xr:uid="{00000000-0006-0000-0200-00001E000000}">
      <text>
        <r>
          <rPr>
            <b/>
            <sz val="9"/>
            <color indexed="81"/>
            <rFont val="Tahoma"/>
            <family val="2"/>
          </rPr>
          <t>Fred Bruyns:</t>
        </r>
        <r>
          <rPr>
            <sz val="9"/>
            <color indexed="81"/>
            <rFont val="Tahoma"/>
            <family val="2"/>
          </rPr>
          <t xml:space="preserve">
Programming note: This is the total unscheduled iimpairment value before addition of any social-vocational factor.</t>
        </r>
      </text>
    </comment>
    <comment ref="N62" authorId="0" shapeId="0" xr:uid="{00000000-0006-0000-0200-00001F000000}">
      <text>
        <r>
          <rPr>
            <b/>
            <sz val="9"/>
            <color indexed="81"/>
            <rFont val="Tahoma"/>
            <family val="2"/>
          </rPr>
          <t>Fred Bruyns:</t>
        </r>
        <r>
          <rPr>
            <sz val="9"/>
            <color indexed="81"/>
            <rFont val="Tahoma"/>
            <family val="2"/>
          </rPr>
          <t xml:space="preserve">
Programming note: Based on ratio of base functional capacity to residual functional capacity, and using chart (hidden) below sheet, displays value from 1 through 7. Will not display if the worker has been released or has returned to regular work (if one of the first three checkboxes above are checked).</t>
        </r>
      </text>
    </comment>
    <comment ref="Q63" authorId="0" shapeId="0" xr:uid="{00000000-0006-0000-0200-000020000000}">
      <text>
        <r>
          <rPr>
            <b/>
            <sz val="9"/>
            <color indexed="81"/>
            <rFont val="Tahoma"/>
            <family val="2"/>
          </rPr>
          <t>Fred Bruyns:</t>
        </r>
        <r>
          <rPr>
            <sz val="9"/>
            <color indexed="81"/>
            <rFont val="Tahoma"/>
            <family val="2"/>
          </rPr>
          <t xml:space="preserve">
Programming note: The higher of two adaptability factors displays here, or displays blank celll if the worker was released or returned to regular work (if one of the first three checkboxes above are checked).</t>
        </r>
      </text>
    </comment>
    <comment ref="T63" authorId="0" shapeId="0" xr:uid="{00000000-0006-0000-0200-000021000000}">
      <text>
        <r>
          <rPr>
            <b/>
            <sz val="9"/>
            <color indexed="81"/>
            <rFont val="Tahoma"/>
            <family val="2"/>
          </rPr>
          <t>Fred Bruyns:</t>
        </r>
        <r>
          <rPr>
            <sz val="9"/>
            <color indexed="81"/>
            <rFont val="Tahoma"/>
            <family val="2"/>
          </rPr>
          <t xml:space="preserve">
Programming note: This formula concatenates base functional capacity and residual functional capacity so the resulting value can be matched with adaptability values in (hidden) chart below this sheet.</t>
        </r>
      </text>
    </comment>
    <comment ref="Q64" authorId="0" shapeId="0" xr:uid="{00000000-0006-0000-0200-000022000000}">
      <text>
        <r>
          <rPr>
            <b/>
            <sz val="9"/>
            <color indexed="81"/>
            <rFont val="Tahoma"/>
            <family val="2"/>
          </rPr>
          <t>Fred Bruyns:</t>
        </r>
        <r>
          <rPr>
            <sz val="9"/>
            <color indexed="81"/>
            <rFont val="Tahoma"/>
            <family val="2"/>
          </rPr>
          <t xml:space="preserve">
Programming note: The sum of the values for age, education, and social-vocational preparation is displayed here, or displays blank cell if the worker was released or returned to regular work (if one of first three checkboxes above are checked).</t>
        </r>
      </text>
    </comment>
    <comment ref="Q65" authorId="0" shapeId="0" xr:uid="{00000000-0006-0000-0200-000023000000}">
      <text>
        <r>
          <rPr>
            <b/>
            <sz val="9"/>
            <color indexed="81"/>
            <rFont val="Tahoma"/>
            <family val="2"/>
          </rPr>
          <t>Fred Bruyns:</t>
        </r>
        <r>
          <rPr>
            <sz val="9"/>
            <color indexed="81"/>
            <rFont val="Tahoma"/>
            <family val="2"/>
          </rPr>
          <t xml:space="preserve">
Programming note: This product of the two values above will be added to the total unscheduled impairment. It is divided by 100 to conert to a percentage.</t>
        </r>
      </text>
    </comment>
    <comment ref="Q67" authorId="0" shapeId="0" xr:uid="{00000000-0006-0000-0200-000024000000}">
      <text>
        <r>
          <rPr>
            <b/>
            <sz val="9"/>
            <color indexed="81"/>
            <rFont val="Tahoma"/>
            <family val="2"/>
          </rPr>
          <t>Fred Bruyns:</t>
        </r>
        <r>
          <rPr>
            <sz val="9"/>
            <color indexed="81"/>
            <rFont val="Tahoma"/>
            <family val="2"/>
          </rPr>
          <t xml:space="preserve">
Programming note: This formula caps the total at 100%.</t>
        </r>
      </text>
    </comment>
    <comment ref="Q68" authorId="0" shapeId="0" xr:uid="{00000000-0006-0000-0200-000025000000}">
      <text>
        <r>
          <rPr>
            <b/>
            <sz val="9"/>
            <color indexed="81"/>
            <rFont val="Tahoma"/>
            <family val="2"/>
          </rPr>
          <t>Fred Bruyns:</t>
        </r>
        <r>
          <rPr>
            <sz val="9"/>
            <color indexed="81"/>
            <rFont val="Tahoma"/>
            <family val="2"/>
          </rPr>
          <t xml:space="preserve">
Programming note: Formula will display total unscheduled PPD only if there is PPD, the worker is not released or returned to regular work (4th checkbox above is checked), and there are no error messages in cell Q48 above.</t>
        </r>
      </text>
    </comment>
    <comment ref="C72" authorId="0" shapeId="0" xr:uid="{00000000-0006-0000-0200-000027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2" authorId="0" shapeId="0" xr:uid="{00000000-0006-0000-0200-000028000000}">
      <text>
        <r>
          <rPr>
            <b/>
            <sz val="9"/>
            <color indexed="81"/>
            <rFont val="Tahoma"/>
            <family val="2"/>
          </rPr>
          <t>Fred Bruyns:</t>
        </r>
        <r>
          <rPr>
            <sz val="9"/>
            <color indexed="81"/>
            <rFont val="Tahoma"/>
            <family val="2"/>
          </rPr>
          <t xml:space="preserve">
Programming note: Formula displays the amount of Tier 1 degrees or total degrees of PPD, whichever is less.</t>
        </r>
      </text>
    </comment>
    <comment ref="T72" authorId="0" shapeId="0" xr:uid="{00000000-0006-0000-0200-000029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C73" authorId="0" shapeId="0" xr:uid="{00000000-0006-0000-0200-00002A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3" authorId="0" shapeId="0" xr:uid="{00000000-0006-0000-0200-00002B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T73" authorId="0" shapeId="0" xr:uid="{00000000-0006-0000-0200-00002C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C74" authorId="0" shapeId="0" xr:uid="{00000000-0006-0000-0200-00002D000000}">
      <text>
        <r>
          <rPr>
            <b/>
            <sz val="9"/>
            <color indexed="81"/>
            <rFont val="Tahoma"/>
            <family val="2"/>
          </rPr>
          <t>Fred Bruyns:</t>
        </r>
        <r>
          <rPr>
            <sz val="9"/>
            <color indexed="81"/>
            <rFont val="Tahoma"/>
            <family val="2"/>
          </rPr>
          <t xml:space="preserve">
Programming note: Formula displays the full amount of Tier 2 degrees or a lesser amount to sum, with Tier 1, to the total degrees of PPD awarded.</t>
        </r>
      </text>
    </comment>
    <comment ref="G74" authorId="0" shapeId="0" xr:uid="{00000000-0006-0000-0200-00002E000000}">
      <text>
        <r>
          <rPr>
            <b/>
            <sz val="9"/>
            <color indexed="81"/>
            <rFont val="Tahoma"/>
            <family val="2"/>
          </rPr>
          <t>Fred Bruyns:</t>
        </r>
        <r>
          <rPr>
            <sz val="9"/>
            <color indexed="81"/>
            <rFont val="Tahoma"/>
            <family val="2"/>
          </rPr>
          <t xml:space="preserve">
Programming note: Formula displays the full amount of Tier 3 degrees or a lesser amount to sum, with Tiers 1 and 2, to the total degrees of PPD awarded.</t>
        </r>
      </text>
    </comment>
    <comment ref="T74" authorId="0" shapeId="0" xr:uid="{00000000-0006-0000-0200-00002F000000}">
      <text>
        <r>
          <rPr>
            <b/>
            <sz val="9"/>
            <color indexed="81"/>
            <rFont val="Tahoma"/>
            <family val="2"/>
          </rPr>
          <t>Fred Bruyns:</t>
        </r>
        <r>
          <rPr>
            <sz val="9"/>
            <color indexed="81"/>
            <rFont val="Tahoma"/>
            <family val="2"/>
          </rPr>
          <t xml:space="preserve">
Programming note: Based on date of injury (if present), formula selects the correct tier.</t>
        </r>
      </text>
    </comment>
    <comment ref="B79" authorId="0" shapeId="0" xr:uid="{00000000-0006-0000-0200-000030000000}">
      <text>
        <r>
          <rPr>
            <b/>
            <sz val="9"/>
            <color indexed="81"/>
            <rFont val="Tahoma"/>
            <family val="2"/>
          </rPr>
          <t>Fred Bruyns:</t>
        </r>
        <r>
          <rPr>
            <sz val="9"/>
            <color indexed="81"/>
            <rFont val="Tahoma"/>
            <family val="2"/>
          </rPr>
          <t xml:space="preserve">
Programming note: This text is used in pull-down menu in worksheet.</t>
        </r>
      </text>
    </comment>
    <comment ref="C79" authorId="0" shapeId="0" xr:uid="{00000000-0006-0000-0200-000031000000}">
      <text>
        <r>
          <rPr>
            <b/>
            <sz val="9"/>
            <color indexed="81"/>
            <rFont val="Tahoma"/>
            <family val="2"/>
          </rPr>
          <t>Fred Bruyns:</t>
        </r>
        <r>
          <rPr>
            <sz val="9"/>
            <color indexed="81"/>
            <rFont val="Tahoma"/>
            <family val="2"/>
          </rPr>
          <t xml:space="preserve">
Programming note: This text is used in pull-down menu in worksheet.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D84734D5-4C10-41C6-BA9F-18209C33C76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7A1ACD3A-3CD1-47F9-943E-CD2CEEC2266D}">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0D787EAB-C6F2-4AC0-954B-2E878209879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0BB53B02-88B2-4027-8568-40589981EBD1}">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16" authorId="1" shapeId="0" xr:uid="{85F5ABD8-8798-429B-8B27-811B02260F03}">
      <text>
        <r>
          <rPr>
            <b/>
            <sz val="9"/>
            <color indexed="81"/>
            <rFont val="Tahoma"/>
            <family val="2"/>
          </rPr>
          <t>Bruyns Fred H:</t>
        </r>
        <r>
          <rPr>
            <sz val="9"/>
            <color indexed="81"/>
            <rFont val="Tahoma"/>
            <family val="2"/>
          </rPr>
          <t xml:space="preserve">
Programming note: Impairment values from chart are transferred to this column.</t>
        </r>
      </text>
    </comment>
    <comment ref="T16" authorId="1" shapeId="0" xr:uid="{CBEA42A2-2DC9-4FF4-ABD6-BAD34E8B06B0}">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16" authorId="1" shapeId="0" xr:uid="{1DA798A4-D68B-4139-9B83-6B169134FB8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6" authorId="1" shapeId="0" xr:uid="{B562C419-B267-477A-9C73-9EEA03F46A4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7CA0C7F0-AE8E-43C9-8E1E-848A841DEC1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0136505-9AE2-4A43-B1D6-AD6C1BBF62A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18" authorId="1" shapeId="0" xr:uid="{1A0FD267-541E-466C-8F1C-22651380205C}">
      <text>
        <r>
          <rPr>
            <b/>
            <sz val="9"/>
            <color indexed="81"/>
            <rFont val="Tahoma"/>
            <family val="2"/>
          </rPr>
          <t>Bruyns Fred H:</t>
        </r>
        <r>
          <rPr>
            <sz val="9"/>
            <color indexed="81"/>
            <rFont val="Tahoma"/>
            <family val="2"/>
          </rPr>
          <t xml:space="preserve">
Programming note: Impairment values from chart are transferred to this column.</t>
        </r>
      </text>
    </comment>
    <comment ref="U18" authorId="1" shapeId="0" xr:uid="{31E969FA-46F3-4D9C-B770-6792158A688F}">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18" authorId="1" shapeId="0" xr:uid="{C0FABD5C-7D06-4AC6-8AEC-2A1E4D88DEC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18" authorId="1" shapeId="0" xr:uid="{78D125D6-05C0-4A29-9285-74870C223A64}">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33377FFC-5210-4126-AEED-E3EB460D156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64790FE2-9D87-4B20-8C23-3F5788833ED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64" authorId="1" shapeId="0" xr:uid="{2D741B89-C13F-4ED8-9D1D-49A0BB292065}">
      <text>
        <r>
          <rPr>
            <b/>
            <sz val="9"/>
            <color indexed="81"/>
            <rFont val="Tahoma"/>
            <family val="2"/>
          </rPr>
          <t>Bruyns Fred H:</t>
        </r>
        <r>
          <rPr>
            <sz val="9"/>
            <color indexed="81"/>
            <rFont val="Tahoma"/>
            <family val="2"/>
          </rPr>
          <t xml:space="preserve">
Programming note: Impairment values from chart are transferred to this column.</t>
        </r>
      </text>
    </comment>
    <comment ref="T64" authorId="1" shapeId="0" xr:uid="{002C2BAB-364C-4763-9BDD-558DDA1A0CD5}">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64" authorId="1" shapeId="0" xr:uid="{6618DF1D-075B-4445-A0B5-2E58A05CC27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64" authorId="1" shapeId="0" xr:uid="{6B9E4F7C-6EDD-4518-9076-9650F42406B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5F3A0475-E904-4783-A9A3-42556DB7B2FB}">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67CB3CE2-50CA-4425-B3C9-17B1350797D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T42" authorId="1" shapeId="0" xr:uid="{8429A17C-0093-4093-8109-AD2DA993683D}">
      <text>
        <r>
          <rPr>
            <b/>
            <sz val="9"/>
            <color indexed="81"/>
            <rFont val="Tahoma"/>
            <family val="2"/>
          </rPr>
          <t>Bruyns Fred H:</t>
        </r>
        <r>
          <rPr>
            <sz val="9"/>
            <color indexed="81"/>
            <rFont val="Tahoma"/>
            <family val="2"/>
          </rPr>
          <t xml:space="preserve">
Programming note: Impairment values from chart are transferred to this column.</t>
        </r>
      </text>
    </comment>
    <comment ref="U42" authorId="1" shapeId="0" xr:uid="{532B45B9-BBD4-49B3-BAA7-6174F6D98C43}">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42" authorId="1" shapeId="0" xr:uid="{C6C8E465-BC1B-49F1-A160-283772C470B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2" authorId="1" shapeId="0" xr:uid="{4E15481C-4FA4-4170-AF10-11BBFDF71EA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BDE1DAAD-DAD4-47BD-89B1-E8DBBE88A75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D42EFB89-E693-48CE-A440-6D16EF3AF48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18" authorId="1" shapeId="0" xr:uid="{AD98CE90-B5E1-4DB6-B349-190125B35F0C}">
      <text>
        <r>
          <rPr>
            <b/>
            <sz val="9"/>
            <color indexed="81"/>
            <rFont val="Tahoma"/>
            <family val="2"/>
          </rPr>
          <t>Bruyns Fred H:</t>
        </r>
        <r>
          <rPr>
            <sz val="9"/>
            <color indexed="81"/>
            <rFont val="Tahoma"/>
            <family val="2"/>
          </rPr>
          <t xml:space="preserve">
Programming note: Impairment values from chart are transferred to this column.</t>
        </r>
      </text>
    </comment>
    <comment ref="T18" authorId="1" shapeId="0" xr:uid="{166C92F9-5493-4EAA-8578-EF5C223B044C}">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U18" authorId="1" shapeId="0" xr:uid="{3262F02B-078F-4962-B7CC-A0768CAE821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8" authorId="1" shapeId="0" xr:uid="{A094A471-43E2-4583-B355-A733122EF40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 or system.</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Fred Bruyns</author>
  </authors>
  <commentList>
    <comment ref="T1" authorId="0" shapeId="0" xr:uid="{C10AB2AA-C9E2-40B1-9EDB-EA5D03FD71B8}">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110F650D-AB9B-406E-AE15-63DB09C6C2A5}">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3FFB038B-E99B-44C5-B8F2-34E0CB7C1F39}">
      <text>
        <r>
          <rPr>
            <b/>
            <sz val="9"/>
            <color indexed="81"/>
            <rFont val="Tahoma"/>
            <family val="2"/>
          </rPr>
          <t>Bruyns Fred H:</t>
        </r>
        <r>
          <rPr>
            <sz val="9"/>
            <color indexed="81"/>
            <rFont val="Tahoma"/>
            <family val="2"/>
          </rPr>
          <t xml:space="preserve">
The table in this worksheet has the percentages of impairment for the retained degrees of motion for joints in the upper extremity - all exactly as published in OAR 436-035, Disability Rating Standards.</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F99E07E5-667B-4A49-ADE7-6A61284BB4D9}">
      <text>
        <r>
          <rPr>
            <b/>
            <sz val="9"/>
            <color indexed="81"/>
            <rFont val="Tahoma"/>
            <family val="2"/>
          </rPr>
          <t>Bruyns Fred H:</t>
        </r>
        <r>
          <rPr>
            <sz val="9"/>
            <color indexed="81"/>
            <rFont val="Tahoma"/>
            <family val="2"/>
          </rPr>
          <t xml:space="preserve">
The table in this worksheet has the percentages of impairment for the retained degrees of motion for joints in the lower extremity - all exactly as published in OAR 436-035, Disability Rating Standards.</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9" authorId="0" shapeId="0" xr:uid="{557F0739-776D-46C1-99AA-5A8608045DAD}">
      <text>
        <r>
          <rPr>
            <b/>
            <sz val="9"/>
            <color indexed="81"/>
            <rFont val="Tahoma"/>
            <family val="2"/>
          </rPr>
          <t>Bruyns Fred H:</t>
        </r>
        <r>
          <rPr>
            <sz val="9"/>
            <color indexed="81"/>
            <rFont val="Tahoma"/>
            <family val="2"/>
          </rPr>
          <t xml:space="preserve">
Programming note: See table in OAR 43l6-035-0250.</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R1" authorId="0" shapeId="0" xr:uid="{00000000-0006-0000-0400-000001000000}">
      <text>
        <r>
          <rPr>
            <b/>
            <sz val="9"/>
            <color indexed="81"/>
            <rFont val="Tahoma"/>
            <family val="2"/>
          </rPr>
          <t>Fred Bruyns:</t>
        </r>
        <r>
          <rPr>
            <sz val="9"/>
            <color indexed="81"/>
            <rFont val="Tahoma"/>
            <family val="2"/>
          </rPr>
          <t xml:space="preserve">
If the date of injury is earlier than this date, 1/1/2005, different calcuation methods are used near the bottom of this worksheet. Use the "Trace Dependents" option under "Formulas" and "Formula Auditing" on the ribbon to find dependent cells/formulas.</t>
        </r>
      </text>
    </comment>
    <comment ref="S1" authorId="0" shapeId="0" xr:uid="{00000000-0006-0000-0400-00000200000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R2" authorId="0" shapeId="0" xr:uid="{00000000-0006-0000-0400-000003000000}">
      <text>
        <r>
          <rPr>
            <b/>
            <sz val="9"/>
            <color indexed="81"/>
            <rFont val="Tahoma"/>
            <family val="2"/>
          </rPr>
          <t>Fred Bruyns:</t>
        </r>
        <r>
          <rPr>
            <sz val="9"/>
            <color indexed="81"/>
            <rFont val="Tahoma"/>
            <family val="2"/>
          </rPr>
          <t xml:space="preserve">
This is the date of injury from the "Start here" worksheet.</t>
        </r>
      </text>
    </comment>
    <comment ref="S2" authorId="0" shapeId="0" xr:uid="{00000000-0006-0000-0400-000004000000}">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P6" authorId="1" shapeId="0" xr:uid="{00000000-0006-0000-0400-000005000000}">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T6" authorId="0" shapeId="0" xr:uid="{00000000-0006-0000-0400-000006000000}">
      <text>
        <r>
          <rPr>
            <b/>
            <sz val="9"/>
            <color indexed="81"/>
            <rFont val="Tahoma"/>
            <family val="2"/>
          </rPr>
          <t xml:space="preserve">Fred Bruyns:
</t>
        </r>
        <r>
          <rPr>
            <sz val="9"/>
            <color indexed="81"/>
            <rFont val="Tahoma"/>
            <family val="2"/>
          </rPr>
          <t>Descriptions in the chart to the right are used in a pull-down menu below "Thumb amputation or resection without reattachment (or shortening of digit)." The percentages correspond to the extent of amputation per OAR 436-035-0030.</t>
        </r>
      </text>
    </comment>
    <comment ref="P11" authorId="1" shapeId="0" xr:uid="{00000000-0006-0000-0400-000007000000}">
      <text>
        <r>
          <rPr>
            <b/>
            <sz val="9"/>
            <color indexed="81"/>
            <rFont val="Tahoma"/>
            <family val="2"/>
          </rPr>
          <t>Bruyns Fred H:</t>
        </r>
        <r>
          <rPr>
            <sz val="9"/>
            <color indexed="81"/>
            <rFont val="Tahoma"/>
            <family val="2"/>
          </rPr>
          <t xml:space="preserve">
Programming note: This cell will be greater than 0 percent only if index finger amputation results in loss of opposition with the thumb.</t>
        </r>
      </text>
    </comment>
    <comment ref="U11" authorId="1" shapeId="0" xr:uid="{00000000-0006-0000-0400-000008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index finger opposition loss associated with the thumb amputation level. NOTE: This percentage, if any, will display with index finger values, not with the thumb.</t>
        </r>
      </text>
    </comment>
    <comment ref="V11" authorId="1" shapeId="0" xr:uid="{00000000-0006-0000-0400-000009000000}">
      <text>
        <r>
          <rPr>
            <b/>
            <sz val="9"/>
            <color indexed="81"/>
            <rFont val="Tahoma"/>
            <family val="2"/>
          </rPr>
          <t>Bruyns Fred H:</t>
        </r>
        <r>
          <rPr>
            <sz val="9"/>
            <color indexed="81"/>
            <rFont val="Tahoma"/>
            <family val="2"/>
          </rPr>
          <t xml:space="preserve">
Programming note: The amputation levels listed to the right are used in a pull-down menu to the left.</t>
        </r>
      </text>
    </comment>
    <comment ref="P12" authorId="1" shapeId="0" xr:uid="{00000000-0006-0000-0400-00000A000000}">
      <text>
        <r>
          <rPr>
            <b/>
            <sz val="9"/>
            <color indexed="81"/>
            <rFont val="Tahoma"/>
            <family val="2"/>
          </rPr>
          <t>Bruyns Fred H:</t>
        </r>
        <r>
          <rPr>
            <sz val="9"/>
            <color indexed="81"/>
            <rFont val="Tahoma"/>
            <family val="2"/>
          </rPr>
          <t xml:space="preserve">
Programming note: This cell will be greater than 0 percent only if middle finger amputation results in loss of opposition with the thumb.</t>
        </r>
      </text>
    </comment>
    <comment ref="U12" authorId="1" shapeId="0" xr:uid="{00000000-0006-0000-0400-00000B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middle finger opposition loss associated with the thumb amputation level.  This value will display in the middle finger chart, not with the thumb.</t>
        </r>
      </text>
    </comment>
    <comment ref="P13" authorId="1" shapeId="0" xr:uid="{00000000-0006-0000-0400-00000C000000}">
      <text>
        <r>
          <rPr>
            <b/>
            <sz val="9"/>
            <color indexed="81"/>
            <rFont val="Tahoma"/>
            <family val="2"/>
          </rPr>
          <t>Bruyns Fred H:</t>
        </r>
        <r>
          <rPr>
            <sz val="9"/>
            <color indexed="81"/>
            <rFont val="Tahoma"/>
            <family val="2"/>
          </rPr>
          <t xml:space="preserve">
Programming note: This cell will be greater than 0 percent only if ring finger amputation results in loss of opposition with the thumb.</t>
        </r>
      </text>
    </comment>
    <comment ref="U13" authorId="1" shapeId="0" xr:uid="{00000000-0006-0000-0400-00000D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ring finger opposition loss associated with the thumb amputation level.  This value will display in the ring finger chart, not with the thumb.</t>
        </r>
      </text>
    </comment>
    <comment ref="P14" authorId="1" shapeId="0" xr:uid="{00000000-0006-0000-0400-00000E000000}">
      <text>
        <r>
          <rPr>
            <b/>
            <sz val="9"/>
            <color indexed="81"/>
            <rFont val="Tahoma"/>
            <family val="2"/>
          </rPr>
          <t>Bruyns Fred H:</t>
        </r>
        <r>
          <rPr>
            <sz val="9"/>
            <color indexed="81"/>
            <rFont val="Tahoma"/>
            <family val="2"/>
          </rPr>
          <t xml:space="preserve">
Programming note: This cell will be greater than 0 percent only if little finger amputation results in loss of opposition with the thumb.</t>
        </r>
      </text>
    </comment>
    <comment ref="U14" authorId="1" shapeId="0" xr:uid="{00000000-0006-0000-0400-00000F000000}">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little finger opposition loss associated with the thumb amputation level.  This value will display in the little finger chart, not with the thumb.</t>
        </r>
      </text>
    </comment>
    <comment ref="S18" authorId="1" shapeId="0" xr:uid="{00000000-0006-0000-0400-000010000000}">
      <text>
        <r>
          <rPr>
            <b/>
            <sz val="9"/>
            <color indexed="81"/>
            <rFont val="Tahoma"/>
            <family val="2"/>
          </rPr>
          <t>Bruyns Fred H:</t>
        </r>
        <r>
          <rPr>
            <sz val="9"/>
            <color indexed="81"/>
            <rFont val="Tahoma"/>
            <family val="2"/>
          </rPr>
          <t xml:space="preserve">
Programming note: 80 degrees of flexion of IP joint is considered normal - no impairment. See OAR 436-035-0050.</t>
        </r>
      </text>
    </comment>
    <comment ref="T18" authorId="1" shapeId="0" xr:uid="{00000000-0006-0000-0400-000011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00000000-0006-0000-0400-000012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00000000-0006-0000-0400-000013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8" authorId="1" shapeId="0" xr:uid="{00000000-0006-0000-0400-00001400000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19" authorId="1" shapeId="0" xr:uid="{00000000-0006-0000-0400-000015000000}">
      <text>
        <r>
          <rPr>
            <b/>
            <sz val="9"/>
            <color indexed="81"/>
            <rFont val="Tahoma"/>
            <family val="2"/>
          </rPr>
          <t>Bruyns Fred H:</t>
        </r>
        <r>
          <rPr>
            <sz val="9"/>
            <color indexed="81"/>
            <rFont val="Tahoma"/>
            <family val="2"/>
          </rPr>
          <t xml:space="preserve">
Programming note: 80 degrees of extension of IP joint is considered maximum loss. See OAR 436-035-0050.</t>
        </r>
      </text>
    </comment>
    <comment ref="T19" authorId="1" shapeId="0" xr:uid="{00000000-0006-0000-0400-00001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9" authorId="1" shapeId="0" xr:uid="{00000000-0006-0000-0400-000017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9" authorId="1" shapeId="0" xr:uid="{00000000-0006-0000-0400-000018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9" authorId="1" shapeId="0" xr:uid="{00000000-0006-0000-0400-00001900000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9" authorId="1" shapeId="0" xr:uid="{00000000-0006-0000-0400-00001A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9" authorId="1" shapeId="0" xr:uid="{00000000-0006-0000-0400-00001B00000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80 (max/normal). The value of "X" is then subtracted from the 80 (max/normal). See instructions for this formula under OAR 436-035-0011.</t>
        </r>
      </text>
    </comment>
    <comment ref="S20" authorId="1" shapeId="0" xr:uid="{00000000-0006-0000-0400-00001C000000}">
      <text>
        <r>
          <rPr>
            <b/>
            <sz val="9"/>
            <color indexed="81"/>
            <rFont val="Tahoma"/>
            <family val="2"/>
          </rPr>
          <t>Bruyns Fred H:</t>
        </r>
        <r>
          <rPr>
            <sz val="9"/>
            <color indexed="81"/>
            <rFont val="Tahoma"/>
            <family val="2"/>
          </rPr>
          <t xml:space="preserve">
Programming note: 80 degrees of ankylosis of IP joint is considered maximum loss. See OAR 436-035-0050.</t>
        </r>
      </text>
    </comment>
    <comment ref="T20" authorId="1" shapeId="0" xr:uid="{00000000-0006-0000-0400-00001D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0" authorId="1" shapeId="0" xr:uid="{3FA4671E-2A00-4BC8-BC9C-9BA6B863400F}">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20" authorId="1" shapeId="0" xr:uid="{B744197A-8FB5-41E6-951B-C54CE9ED49E3}">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20" authorId="1" shapeId="0" xr:uid="{D5BE6FAF-F35D-421B-A5FA-1950A1753D31}">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D20" authorId="1" shapeId="0" xr:uid="{97BE1A09-1126-4B96-8C38-4FF6B4F5BD10}">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21" authorId="1" shapeId="0" xr:uid="{00000000-0006-0000-0400-00001E00000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3" authorId="1" shapeId="0" xr:uid="{00000000-0006-0000-0400-000023000000}">
      <text>
        <r>
          <rPr>
            <b/>
            <sz val="9"/>
            <color indexed="81"/>
            <rFont val="Tahoma"/>
            <family val="2"/>
          </rPr>
          <t>Bruyns Fred H:</t>
        </r>
        <r>
          <rPr>
            <sz val="9"/>
            <color indexed="81"/>
            <rFont val="Tahoma"/>
            <family val="2"/>
          </rPr>
          <t xml:space="preserve">
Programming note: 60 degrees of flexion of MP joint is considered normal - no impairment. See OAR 436-035-0050.</t>
        </r>
      </text>
    </comment>
    <comment ref="T23" authorId="1" shapeId="0" xr:uid="{00000000-0006-0000-0400-000024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3" authorId="1" shapeId="0" xr:uid="{00000000-0006-0000-0400-000025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 authorId="1" shapeId="0" xr:uid="{00000000-0006-0000-0400-000026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3" authorId="1" shapeId="0" xr:uid="{00000000-0006-0000-0400-00002700000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24" authorId="1" shapeId="0" xr:uid="{00000000-0006-0000-0400-000029000000}">
      <text>
        <r>
          <rPr>
            <b/>
            <sz val="9"/>
            <color indexed="81"/>
            <rFont val="Tahoma"/>
            <family val="2"/>
          </rPr>
          <t>Bruyns Fred H:</t>
        </r>
        <r>
          <rPr>
            <sz val="9"/>
            <color indexed="81"/>
            <rFont val="Tahoma"/>
            <family val="2"/>
          </rPr>
          <t xml:space="preserve">
Programming note: 60 degrees of extension of MP joint is considered maximum loss. See OAR 436-035-0050.</t>
        </r>
      </text>
    </comment>
    <comment ref="T24" authorId="1" shapeId="0" xr:uid="{00000000-0006-0000-0400-00002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 authorId="1" shapeId="0" xr:uid="{00000000-0006-0000-0400-00002B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 authorId="1" shapeId="0" xr:uid="{00000000-0006-0000-0400-00002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 authorId="1" shapeId="0" xr:uid="{00000000-0006-0000-0400-00002D00000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 authorId="1" shapeId="0" xr:uid="{00000000-0006-0000-0400-00002E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 authorId="1" shapeId="0" xr:uid="{00000000-0006-0000-0400-00002F00000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60 (max/normal). The value of "X" is then subtracted from the 60 (max/normal). See instructions for this formula under OAR 436-035-0011.</t>
        </r>
      </text>
    </comment>
    <comment ref="AB24" authorId="1" shapeId="0" xr:uid="{00000000-0006-0000-0400-000031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4" authorId="1" shapeId="0" xr:uid="{00000000-0006-0000-0400-000032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4" authorId="1" shapeId="0" xr:uid="{00000000-0006-0000-0400-000033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25" authorId="1" shapeId="0" xr:uid="{00000000-0006-0000-0400-00003400000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 authorId="1" shapeId="0" xr:uid="{00000000-0006-0000-0400-000035000000}">
      <text>
        <r>
          <rPr>
            <b/>
            <sz val="9"/>
            <color indexed="81"/>
            <rFont val="Tahoma"/>
            <family val="2"/>
          </rPr>
          <t>Bruyns Fred H:</t>
        </r>
        <r>
          <rPr>
            <sz val="9"/>
            <color indexed="81"/>
            <rFont val="Tahoma"/>
            <family val="2"/>
          </rPr>
          <t xml:space="preserve">
Programming note: 60 degrees of ankylosis of MP joint is considered maximum loss. See OAR 436-035-0050.</t>
        </r>
      </text>
    </comment>
    <comment ref="T25" authorId="1" shapeId="0" xr:uid="{00000000-0006-0000-0400-00003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27" authorId="1" shapeId="0" xr:uid="{F20750CC-F1B5-4E22-B96C-30AA8F9B4FA8}">
      <text>
        <r>
          <rPr>
            <b/>
            <sz val="9"/>
            <color indexed="81"/>
            <rFont val="Tahoma"/>
            <family val="2"/>
          </rPr>
          <t>Bruyns Fred H:</t>
        </r>
        <r>
          <rPr>
            <sz val="9"/>
            <color indexed="81"/>
            <rFont val="Tahoma"/>
            <family val="2"/>
          </rPr>
          <t xml:space="preserve">
Programming note: Formula returns "1' if "ERROR" is present in one or both "Joint total" fields.</t>
        </r>
      </text>
    </comment>
    <comment ref="AH31" authorId="1" shapeId="0" xr:uid="{00000000-0006-0000-0400-000038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I31" authorId="1" shapeId="0" xr:uid="{00000000-0006-0000-0400-000039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J31" authorId="1" shapeId="0" xr:uid="{00000000-0006-0000-0400-00003A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K31" authorId="1" shapeId="0" xr:uid="{00000000-0006-0000-0400-00003B000000}">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S32" authorId="1" shapeId="0" xr:uid="{00000000-0006-0000-0400-00003C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X32" authorId="1" shapeId="0" xr:uid="{00000000-0006-0000-0400-00003D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thumb, this chart will only display 1 in the left-most cell. </t>
        </r>
      </text>
    </comment>
    <comment ref="AC32" authorId="1" shapeId="0" xr:uid="{00000000-0006-0000-0400-00003E000000}">
      <text>
        <r>
          <rPr>
            <b/>
            <sz val="9"/>
            <color indexed="81"/>
            <rFont val="Tahoma"/>
            <family val="2"/>
          </rPr>
          <t>Bruyns Fred H:</t>
        </r>
        <r>
          <rPr>
            <sz val="9"/>
            <color indexed="81"/>
            <rFont val="Tahoma"/>
            <family val="2"/>
          </rPr>
          <t xml:space="preserve">
Programming note: Formula enters grade for loss at each level of the thumb for the grades entered. See OAR 436-035-0110.</t>
        </r>
      </text>
    </comment>
    <comment ref="AH32" authorId="1" shapeId="0" xr:uid="{00000000-0006-0000-0400-00003F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thumb at MP joint has a grade 3 loss, this loss is applied to 1/2 the proximal phalanx. This allows for subtracting more proximal parts of the thumb if their grades of loss is different.</t>
        </r>
      </text>
    </comment>
    <comment ref="AL32" authorId="1" shapeId="0" xr:uid="{00000000-0006-0000-0400-000040000000}">
      <text>
        <r>
          <rPr>
            <b/>
            <sz val="9"/>
            <color indexed="81"/>
            <rFont val="Tahoma"/>
            <family val="2"/>
          </rPr>
          <t>Bruyns Fred H:</t>
        </r>
        <r>
          <rPr>
            <sz val="9"/>
            <color indexed="81"/>
            <rFont val="Tahoma"/>
            <family val="2"/>
          </rPr>
          <t xml:space="preserve">
Programming note: Formula displays grade percentage values that are two or three levels more distal - two or three columns to the right. For example, if entire thumb at MP joint has a grade 3 loss, this loss is applied to 1/2 digit / IP joint and also to 1/2 distal phalanx. This allows for subtracting more distal parts of the thumb if their grade of loss is different.</t>
        </r>
      </text>
    </comment>
    <comment ref="AQ32" authorId="1" shapeId="0" xr:uid="{00000000-0006-0000-0400-000041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(thumb IP joint)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AX33" authorId="1" shapeId="0" xr:uid="{00000000-0006-0000-0400-000042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eight values. </t>
        </r>
      </text>
    </comment>
    <comment ref="X36" authorId="1" shapeId="0" xr:uid="{00000000-0006-0000-0400-000043000000}">
      <text>
        <r>
          <rPr>
            <b/>
            <sz val="9"/>
            <color indexed="81"/>
            <rFont val="Tahoma"/>
            <family val="2"/>
          </rPr>
          <t>Bruyns Fred H:</t>
        </r>
        <r>
          <rPr>
            <sz val="9"/>
            <color indexed="81"/>
            <rFont val="Tahoma"/>
            <family val="2"/>
          </rPr>
          <t xml:space="preserve">
Programming note: A value greater than zero means the thumb has sensation loss - both sides.</t>
        </r>
      </text>
    </comment>
    <comment ref="Y36" authorId="1" shapeId="0" xr:uid="{00000000-0006-0000-0400-000044000000}">
      <text>
        <r>
          <rPr>
            <b/>
            <sz val="9"/>
            <color indexed="81"/>
            <rFont val="Tahoma"/>
            <family val="2"/>
          </rPr>
          <t>Bruyns Fred H:</t>
        </r>
        <r>
          <rPr>
            <sz val="9"/>
            <color indexed="81"/>
            <rFont val="Tahoma"/>
            <family val="2"/>
          </rPr>
          <t xml:space="preserve">
Programming note: A value greater than zero means the thumb has sensation loss - radial side.</t>
        </r>
      </text>
    </comment>
    <comment ref="Z36" authorId="1" shapeId="0" xr:uid="{00000000-0006-0000-0400-000045000000}">
      <text>
        <r>
          <rPr>
            <b/>
            <sz val="9"/>
            <color indexed="81"/>
            <rFont val="Tahoma"/>
            <family val="2"/>
          </rPr>
          <t>Bruyns Fred H:</t>
        </r>
        <r>
          <rPr>
            <sz val="9"/>
            <color indexed="81"/>
            <rFont val="Tahoma"/>
            <family val="2"/>
          </rPr>
          <t xml:space="preserve">
Programming note: A value greater than zero means the thumb has sensation loss - ulnar side.</t>
        </r>
      </text>
    </comment>
    <comment ref="AA36" authorId="1" shapeId="0" xr:uid="{00000000-0006-0000-0400-000046000000}">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X41" authorId="1" shapeId="0" xr:uid="{00000000-0006-0000-0400-000048000000}">
      <text>
        <r>
          <rPr>
            <b/>
            <sz val="9"/>
            <color indexed="81"/>
            <rFont val="Tahoma"/>
            <family val="2"/>
          </rPr>
          <t>Bruyns Fred H:</t>
        </r>
        <r>
          <rPr>
            <sz val="9"/>
            <color indexed="81"/>
            <rFont val="Tahoma"/>
            <family val="2"/>
          </rPr>
          <t xml:space="preserve">
Programming note: A value greater than zero means the thumb has hypersensitivity loss - both sides.</t>
        </r>
      </text>
    </comment>
    <comment ref="Y41" authorId="1" shapeId="0" xr:uid="{00000000-0006-0000-0400-000049000000}">
      <text>
        <r>
          <rPr>
            <b/>
            <sz val="9"/>
            <color indexed="81"/>
            <rFont val="Tahoma"/>
            <family val="2"/>
          </rPr>
          <t>Bruyns Fred H:</t>
        </r>
        <r>
          <rPr>
            <sz val="9"/>
            <color indexed="81"/>
            <rFont val="Tahoma"/>
            <family val="2"/>
          </rPr>
          <t xml:space="preserve">
Programming note: A value greater than zero means the thumb has hypersensitivity loss - radial side.</t>
        </r>
      </text>
    </comment>
    <comment ref="Z41" authorId="1" shapeId="0" xr:uid="{00000000-0006-0000-0400-00004A000000}">
      <text>
        <r>
          <rPr>
            <b/>
            <sz val="9"/>
            <color indexed="81"/>
            <rFont val="Tahoma"/>
            <family val="2"/>
          </rPr>
          <t>Bruyns Fred H:</t>
        </r>
        <r>
          <rPr>
            <sz val="9"/>
            <color indexed="81"/>
            <rFont val="Tahoma"/>
            <family val="2"/>
          </rPr>
          <t xml:space="preserve">
Programming note: A value greater than zero means the thumb has hpyersensitivity loss - ulnar side.</t>
        </r>
      </text>
    </comment>
    <comment ref="AA41" authorId="1" shapeId="0" xr:uid="{00000000-0006-0000-0400-00004B000000}">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S43" authorId="1" shapeId="0" xr:uid="{00000000-0006-0000-0400-00004C000000}">
      <text>
        <r>
          <rPr>
            <b/>
            <sz val="9"/>
            <color indexed="81"/>
            <rFont val="Tahoma"/>
            <family val="2"/>
          </rPr>
          <t>Bruyns Fred H:</t>
        </r>
        <r>
          <rPr>
            <sz val="9"/>
            <color indexed="81"/>
            <rFont val="Tahoma"/>
            <family val="2"/>
          </rPr>
          <t xml:space="preserve">
"TRUE" or "FALSE" are output from checkboxes for deformity of movement.</t>
        </r>
      </text>
    </comment>
    <comment ref="T50" authorId="1" shapeId="0" xr:uid="{1DFB0D9E-EC51-4CA0-BE41-B5C3157B2A0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50" authorId="1" shapeId="0" xr:uid="{6CACD8D1-3E6B-4B65-BF00-38CD38D47984}">
      <text>
        <r>
          <rPr>
            <b/>
            <sz val="9"/>
            <color indexed="81"/>
            <rFont val="Tahoma"/>
            <family val="2"/>
          </rPr>
          <t>Bruyns Fred H:</t>
        </r>
        <r>
          <rPr>
            <sz val="9"/>
            <color indexed="81"/>
            <rFont val="Tahoma"/>
            <family val="2"/>
          </rPr>
          <t xml:space="preserve">
Programming note: Sorted values to the left are combined and rounded in this column. Combining is explained in OAR 436-035-0011.</t>
        </r>
      </text>
    </comment>
    <comment ref="W50" authorId="1" shapeId="0" xr:uid="{00000000-0006-0000-0400-00004D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51" authorId="1" shapeId="0" xr:uid="{00000000-0006-0000-0400-00004E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1" authorId="1" shapeId="0" xr:uid="{00000000-0006-0000-0400-00004F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51" authorId="1" shapeId="0" xr:uid="{00000000-0006-0000-0400-000050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52" authorId="1" shapeId="0" xr:uid="{00000000-0006-0000-0400-000051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2" authorId="1" shapeId="0" xr:uid="{00000000-0006-0000-0400-000052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 </t>
        </r>
      </text>
    </comment>
    <comment ref="S52" authorId="1" shapeId="0" xr:uid="{00000000-0006-0000-0400-000053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U52" authorId="1" shapeId="0" xr:uid="{00000000-0006-0000-0400-000054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R54" authorId="1" shapeId="0" xr:uid="{00000000-0006-0000-0400-000055000000}">
      <text>
        <r>
          <rPr>
            <b/>
            <sz val="9"/>
            <color indexed="81"/>
            <rFont val="Tahoma"/>
            <family val="2"/>
          </rPr>
          <t>Bruyns Fred H:</t>
        </r>
        <r>
          <rPr>
            <sz val="9"/>
            <color indexed="81"/>
            <rFont val="Tahoma"/>
            <family val="2"/>
          </rPr>
          <t xml:space="preserve">
"TRUE" or "FALSE" are output from checkboxes for deformity of movement.</t>
        </r>
      </text>
    </comment>
    <comment ref="R57" authorId="1" shapeId="0" xr:uid="{00000000-0006-0000-0400-000056000000}">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60" authorId="1" shapeId="0" xr:uid="{00000000-0006-0000-0400-00005700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60" authorId="1" shapeId="0" xr:uid="{00000000-0006-0000-0400-000058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 authorId="1" shapeId="0" xr:uid="{00000000-0006-0000-0400-000059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60" authorId="1" shapeId="0" xr:uid="{00000000-0006-0000-0400-00005A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60" authorId="1" shapeId="0" xr:uid="{00000000-0006-0000-0400-00005B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61" authorId="1" shapeId="0" xr:uid="{00000000-0006-0000-0400-00005C000000}">
      <text>
        <r>
          <rPr>
            <b/>
            <sz val="9"/>
            <color indexed="81"/>
            <rFont val="Tahoma"/>
            <family val="2"/>
          </rPr>
          <t>Bruyns Fred H:</t>
        </r>
        <r>
          <rPr>
            <sz val="9"/>
            <color indexed="81"/>
            <rFont val="Tahoma"/>
            <family val="2"/>
          </rPr>
          <t xml:space="preserve">
Programming note: Formula returns "1" if only opposition loss is present in the diigit. "2" means there are other losses. If two digits are affected by the injury only because there is opposition loss in one of the digits, the digit values are not converted to a hand value unless the hand/forearm or arm also have losses due to the injury.</t>
        </r>
      </text>
    </comment>
    <comment ref="E66" authorId="1" shapeId="0" xr:uid="{00000000-0006-0000-0400-000063000000}">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P81" authorId="1" shapeId="0" xr:uid="{00000000-0006-0000-0400-000069000000}">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R81" authorId="1" shapeId="0" xr:uid="{00000000-0006-0000-0400-00006A000000}">
      <text>
        <r>
          <rPr>
            <b/>
            <sz val="9"/>
            <color indexed="81"/>
            <rFont val="Tahoma"/>
            <family val="2"/>
          </rPr>
          <t>Bruyns Fred H:</t>
        </r>
        <r>
          <rPr>
            <sz val="9"/>
            <color indexed="81"/>
            <rFont val="Tahoma"/>
            <family val="2"/>
          </rPr>
          <t xml:space="preserve">
Descriptions in the chart to the right are used in a pull-down menu below "Index finger, amputation or resection without reattachment (or shortening of digit)." The percentages correspond to the extent of amputation per OAR 436-035-0030.</t>
        </r>
      </text>
    </comment>
    <comment ref="P84" authorId="1" shapeId="0" xr:uid="{00000000-0006-0000-0400-00006B000000}">
      <text>
        <r>
          <rPr>
            <b/>
            <sz val="9"/>
            <color indexed="81"/>
            <rFont val="Tahoma"/>
            <family val="2"/>
          </rPr>
          <t>Bruyns Fred H:</t>
        </r>
        <r>
          <rPr>
            <sz val="9"/>
            <color indexed="81"/>
            <rFont val="Tahoma"/>
            <family val="2"/>
          </rPr>
          <t xml:space="preserve">
Programming note: This cell will be greater than 0 percent only if thumb amputation results in loss of opposition with the index finger.</t>
        </r>
      </text>
    </comment>
    <comment ref="R84" authorId="1" shapeId="0" xr:uid="{00000000-0006-0000-0400-00006C000000}">
      <text>
        <r>
          <rPr>
            <b/>
            <sz val="9"/>
            <color indexed="81"/>
            <rFont val="Tahoma"/>
            <family val="2"/>
          </rPr>
          <t>Bruyns Fred H:</t>
        </r>
        <r>
          <rPr>
            <sz val="9"/>
            <color indexed="81"/>
            <rFont val="Tahoma"/>
            <family val="2"/>
          </rPr>
          <t xml:space="preserve">
Programming note: This formula finds a match between the selected index finger amputation level in Cell B85 with the amputation levels listed in the table to the right, and then the formula returns the percentage of thumb opposition loss associated with the index finger amputation level. NOTE: This percentage, if any, will display for the thumb, not for the index finger.</t>
        </r>
      </text>
    </comment>
    <comment ref="S91" authorId="1" shapeId="0" xr:uid="{00000000-0006-0000-0400-00006D000000}">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91" authorId="1" shapeId="0" xr:uid="{00000000-0006-0000-0400-00006E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1" authorId="1" shapeId="0" xr:uid="{72B642CB-A0CC-443A-A09A-F5B6F4B7A67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1" authorId="1" shapeId="0" xr:uid="{00000000-0006-0000-0400-000070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1" authorId="1" shapeId="0" xr:uid="{F6EF2557-6894-4A02-91AF-FEBCAE4E8C9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92" authorId="1" shapeId="0" xr:uid="{00000000-0006-0000-0400-000071000000}">
      <text>
        <r>
          <rPr>
            <b/>
            <sz val="9"/>
            <color indexed="81"/>
            <rFont val="Tahoma"/>
            <family val="2"/>
          </rPr>
          <t>Bruyns Fred H:</t>
        </r>
        <r>
          <rPr>
            <sz val="9"/>
            <color indexed="81"/>
            <rFont val="Tahoma"/>
            <family val="2"/>
          </rPr>
          <t xml:space="preserve">
Programming note: 70 degrees of extension of DIP joint is maximum loss.</t>
        </r>
      </text>
    </comment>
    <comment ref="T92" authorId="1" shapeId="0" xr:uid="{00000000-0006-0000-0400-000072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2" authorId="1" shapeId="0" xr:uid="{BB6EEF5D-107B-4A5A-9720-E35EDF6FFD5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2" authorId="1" shapeId="0" xr:uid="{00000000-0006-0000-0400-000074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2" authorId="1" shapeId="0" xr:uid="{00000000-0006-0000-0400-000075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2" authorId="1" shapeId="0" xr:uid="{00000000-0006-0000-0400-000076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2" authorId="1" shapeId="0" xr:uid="{AAFEDA3F-8659-4047-B42D-6ECC89214B1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92" authorId="1" shapeId="0" xr:uid="{A208B642-17FD-4FA0-B282-0E26A7F79954}">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92" authorId="1" shapeId="0" xr:uid="{31695FB6-1DF4-4595-B2D5-EDA798BA3820}">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92" authorId="1" shapeId="0" xr:uid="{5D73C0EC-58AF-4A9C-B008-B1050EA879D0}">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92" authorId="1" shapeId="0" xr:uid="{0944BB3C-1C20-4BD6-B6A1-42C9CA6C5940}">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92" authorId="1" shapeId="0" xr:uid="{004F3BBE-CEBD-4867-BA63-CFC2052060C1}">
      <text>
        <r>
          <rPr>
            <b/>
            <sz val="9"/>
            <color indexed="81"/>
            <rFont val="Tahoma"/>
            <family val="2"/>
          </rPr>
          <t>Bruyns Fred H:</t>
        </r>
        <r>
          <rPr>
            <sz val="9"/>
            <color indexed="81"/>
            <rFont val="Tahoma"/>
            <family val="2"/>
          </rPr>
          <t xml:space="preserve">
Programming note: Formula returns "1" if any of the joints are ankylosed.</t>
        </r>
      </text>
    </comment>
    <comment ref="E93" authorId="1" shapeId="0" xr:uid="{DC7007D4-D625-4953-A447-6E1351F7B44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3" authorId="1" shapeId="0" xr:uid="{00000000-0006-0000-0400-000077000000}">
      <text>
        <r>
          <rPr>
            <b/>
            <sz val="9"/>
            <color indexed="81"/>
            <rFont val="Tahoma"/>
            <family val="2"/>
          </rPr>
          <t>Bruyns Fred H:</t>
        </r>
        <r>
          <rPr>
            <sz val="9"/>
            <color indexed="81"/>
            <rFont val="Tahoma"/>
            <family val="2"/>
          </rPr>
          <t xml:space="preserve">
Programming note: 70 degrees of ankylosis of DIP joint is maximum loss.</t>
        </r>
      </text>
    </comment>
    <comment ref="T93" authorId="1" shapeId="0" xr:uid="{00000000-0006-0000-0400-000078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5" authorId="1" shapeId="0" xr:uid="{00000000-0006-0000-0400-000079000000}">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95" authorId="1" shapeId="0" xr:uid="{00000000-0006-0000-0400-00007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5" authorId="1" shapeId="0" xr:uid="{7DF0D46B-99F2-455E-9A92-7B8F0155F7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5" authorId="1" shapeId="0" xr:uid="{00000000-0006-0000-0400-00007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5" authorId="1" shapeId="0" xr:uid="{E18031B7-6CC5-4C0B-BE4F-9A4827ECAE8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96" authorId="1" shapeId="0" xr:uid="{00000000-0006-0000-0400-00007D000000}">
      <text>
        <r>
          <rPr>
            <b/>
            <sz val="9"/>
            <color indexed="81"/>
            <rFont val="Tahoma"/>
            <family val="2"/>
          </rPr>
          <t>Bruyns Fred H:</t>
        </r>
        <r>
          <rPr>
            <sz val="9"/>
            <color indexed="81"/>
            <rFont val="Tahoma"/>
            <family val="2"/>
          </rPr>
          <t xml:space="preserve">
Programming note: 100 degrees of extension of PIP joint is maximum loss.</t>
        </r>
      </text>
    </comment>
    <comment ref="T96" authorId="1" shapeId="0" xr:uid="{00000000-0006-0000-0400-00007E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D241CB95-080F-4927-ACA0-B6A4D020958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00000000-0006-0000-0400-000080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6" authorId="1" shapeId="0" xr:uid="{00000000-0006-0000-0400-000081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6" authorId="1" shapeId="0" xr:uid="{00000000-0006-0000-0400-000082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6" authorId="1" shapeId="0" xr:uid="{30363CE1-8D29-4863-8B1C-32CA45504A83}">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E97" authorId="1" shapeId="0" xr:uid="{865D8CB2-6125-4374-B690-4D8F5F53D39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00000000-0006-0000-0400-000083000000}">
      <text>
        <r>
          <rPr>
            <b/>
            <sz val="9"/>
            <color indexed="81"/>
            <rFont val="Tahoma"/>
            <family val="2"/>
          </rPr>
          <t>Bruyns Fred H:</t>
        </r>
        <r>
          <rPr>
            <sz val="9"/>
            <color indexed="81"/>
            <rFont val="Tahoma"/>
            <family val="2"/>
          </rPr>
          <t xml:space="preserve">
Programming note: 100 degrees of ankylosis of PIP joint is maximum loss.</t>
        </r>
      </text>
    </comment>
    <comment ref="T97" authorId="1" shapeId="0" xr:uid="{00000000-0006-0000-0400-000084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98" authorId="1" shapeId="0" xr:uid="{E6D74FA8-4B18-480F-941D-7E31DC0314DB}">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98" authorId="1" shapeId="0" xr:uid="{3AB1B9F1-A28A-44D1-872E-13E61307FB5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98" authorId="1" shapeId="0" xr:uid="{E3DA8543-8E5A-4318-986C-573617A1157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98" authorId="1" shapeId="0" xr:uid="{D559239F-FA64-4CCD-BA9A-EE13E6757C0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99" authorId="1" shapeId="0" xr:uid="{00000000-0006-0000-0400-000085000000}">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99" authorId="1" shapeId="0" xr:uid="{00000000-0006-0000-0400-000086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9" authorId="1" shapeId="0" xr:uid="{00000000-0006-0000-0400-000087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9" authorId="1" shapeId="0" xr:uid="{00000000-0006-0000-0400-000088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9" authorId="1" shapeId="0" xr:uid="{84ED3417-75E3-4EAD-983D-4690D6C704F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00" authorId="1" shapeId="0" xr:uid="{00000000-0006-0000-0400-000089000000}">
      <text>
        <r>
          <rPr>
            <b/>
            <sz val="9"/>
            <color indexed="81"/>
            <rFont val="Tahoma"/>
            <family val="2"/>
          </rPr>
          <t>Bruyns Fred H:</t>
        </r>
        <r>
          <rPr>
            <sz val="9"/>
            <color indexed="81"/>
            <rFont val="Tahoma"/>
            <family val="2"/>
          </rPr>
          <t xml:space="preserve">
Programming note: 90 degrees of extension of MP joint is maximum loss.</t>
        </r>
      </text>
    </comment>
    <comment ref="T100" authorId="1" shapeId="0" xr:uid="{00000000-0006-0000-0400-00008A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00" authorId="1" shapeId="0" xr:uid="{00000000-0006-0000-0400-00008B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00" authorId="1" shapeId="0" xr:uid="{00000000-0006-0000-0400-00008C00000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00" authorId="1" shapeId="0" xr:uid="{00000000-0006-0000-0400-00008D000000}">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100" authorId="1" shapeId="0" xr:uid="{00000000-0006-0000-0400-00008E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00" authorId="1" shapeId="0" xr:uid="{50CFF5C9-C242-4D34-AAC1-6724577BEBD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101" authorId="1" shapeId="0" xr:uid="{4DDA73B7-442A-4C2D-9DB0-E4B46244163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101" authorId="1" shapeId="0" xr:uid="{EA34C7FB-29CD-4169-8E75-322ABFF7E237}">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01" authorId="1" shapeId="0" xr:uid="{00000000-0006-0000-0400-00008F000000}">
      <text>
        <r>
          <rPr>
            <b/>
            <sz val="9"/>
            <color indexed="81"/>
            <rFont val="Tahoma"/>
            <family val="2"/>
          </rPr>
          <t>Bruyns Fred H:</t>
        </r>
        <r>
          <rPr>
            <sz val="9"/>
            <color indexed="81"/>
            <rFont val="Tahoma"/>
            <family val="2"/>
          </rPr>
          <t xml:space="preserve">
Programming note: 90 degrees of ankylosis of MP joint is maximum loss.</t>
        </r>
      </text>
    </comment>
    <comment ref="T101" authorId="1" shapeId="0" xr:uid="{00000000-0006-0000-0400-0000900000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05" authorId="1" shapeId="0" xr:uid="{00000000-0006-0000-0400-000091000000}">
      <text>
        <r>
          <rPr>
            <b/>
            <sz val="9"/>
            <color indexed="81"/>
            <rFont val="Tahoma"/>
            <family val="2"/>
          </rPr>
          <t>Bruyns Fred H:</t>
        </r>
        <r>
          <rPr>
            <sz val="9"/>
            <color indexed="81"/>
            <rFont val="Tahoma"/>
            <family val="2"/>
          </rPr>
          <t xml:space="preserve">
"TRUE" or "FALSE" are output from checkboxes for deformity of movement.</t>
        </r>
      </text>
    </comment>
    <comment ref="AH113" authorId="1" shapeId="0" xr:uid="{00000000-0006-0000-0400-000092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13" authorId="1" shapeId="0" xr:uid="{00000000-0006-0000-0400-000093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13" authorId="1" shapeId="0" xr:uid="{00000000-0006-0000-0400-000094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13" authorId="1" shapeId="0" xr:uid="{00000000-0006-0000-0400-000095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14" authorId="1" shapeId="0" xr:uid="{00000000-0006-0000-0400-000096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14" authorId="1" shapeId="0" xr:uid="{00000000-0006-0000-0400-000097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14" authorId="1" shapeId="0" xr:uid="{00000000-0006-0000-0400-000098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14" authorId="1" shapeId="0" xr:uid="{00000000-0006-0000-0400-000099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14" authorId="1" shapeId="0" xr:uid="{00000000-0006-0000-0400-00009A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14" authorId="1" shapeId="0" xr:uid="{00000000-0006-0000-0400-00009B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14" authorId="1" shapeId="0" xr:uid="{00000000-0006-0000-0400-00009C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15" authorId="1" shapeId="0" xr:uid="{00000000-0006-0000-0400-00009D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18" authorId="1" shapeId="0" xr:uid="{00000000-0006-0000-0400-00009E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18" authorId="1" shapeId="0" xr:uid="{00000000-0006-0000-0400-00009F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18" authorId="1" shapeId="0" xr:uid="{00000000-0006-0000-0400-0000A0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18" authorId="1" shapeId="0" xr:uid="{00000000-0006-0000-0400-0000A1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23" authorId="1" shapeId="0" xr:uid="{00000000-0006-0000-0400-0000A2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23" authorId="1" shapeId="0" xr:uid="{00000000-0006-0000-0400-0000A3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23" authorId="1" shapeId="0" xr:uid="{00000000-0006-0000-0400-0000A4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23" authorId="1" shapeId="0" xr:uid="{00000000-0006-0000-0400-0000A5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125" authorId="1" shapeId="0" xr:uid="{A2F97CE0-57E7-4F38-B07A-CD47F4BE955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25" authorId="1" shapeId="0" xr:uid="{6646CF2E-475C-44C3-BC46-5B9AE9CFC78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25" authorId="1" shapeId="0" xr:uid="{3514F196-F2C9-4739-8690-ED2F5C36BF8C}">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W125" authorId="1" shapeId="0" xr:uid="{00000000-0006-0000-0400-0000A6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126" authorId="1" shapeId="0" xr:uid="{00000000-0006-0000-0400-0000A7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6" authorId="1" shapeId="0" xr:uid="{00000000-0006-0000-0400-0000A8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6" authorId="1" shapeId="0" xr:uid="{00000000-0006-0000-0400-0000A9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127" authorId="1" shapeId="0" xr:uid="{00000000-0006-0000-0400-0000AA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7" authorId="1" shapeId="0" xr:uid="{00000000-0006-0000-0400-0000AB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7" authorId="1" shapeId="0" xr:uid="{00000000-0006-0000-0400-0000AC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127" authorId="1" shapeId="0" xr:uid="{00000000-0006-0000-0400-0000AD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128" authorId="1" shapeId="0" xr:uid="{00000000-0006-0000-0400-0000AE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8" authorId="1" shapeId="0" xr:uid="{00000000-0006-0000-0400-0000AF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8" authorId="1" shapeId="0" xr:uid="{00000000-0006-0000-0400-0000B0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130" authorId="1" shapeId="0" xr:uid="{ACBD1D5C-5E1E-4513-A2A1-3805958D9E1A}">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134" authorId="1" shapeId="0" xr:uid="{4D78798C-1989-4946-AEEF-C5FA8614029B}">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137" authorId="1" shapeId="0" xr:uid="{00000000-0006-0000-0400-0000B1000000}">
      <text>
        <r>
          <rPr>
            <b/>
            <sz val="9"/>
            <color indexed="81"/>
            <rFont val="Tahoma"/>
            <family val="2"/>
          </rPr>
          <t>Bruyns Fred H:</t>
        </r>
        <r>
          <rPr>
            <sz val="9"/>
            <color indexed="81"/>
            <rFont val="Tahoma"/>
            <family val="2"/>
          </rPr>
          <t xml:space="preserve">
Programming note: Formula returns an apportioned value, if present; otherwise the value in Column E.</t>
        </r>
      </text>
    </comment>
    <comment ref="S137" authorId="1" shapeId="0" xr:uid="{00000000-0006-0000-0400-0000B2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137" authorId="1" shapeId="0" xr:uid="{00000000-0006-0000-0400-0000B3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137" authorId="1" shapeId="0" xr:uid="{00000000-0006-0000-0400-0000B4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137" authorId="1" shapeId="0" xr:uid="{00000000-0006-0000-0400-0000B5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their are findings in the hand/forearm or arm), but the exception is when two digits are affected only due to loss of opposition following amputation of part or all of a digit.</t>
        </r>
      </text>
    </comment>
    <comment ref="X138" authorId="1" shapeId="0" xr:uid="{00000000-0006-0000-0400-0000B600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140" authorId="1" shapeId="0" xr:uid="{EC60FB3E-8561-4753-BFDB-3B4E8E941745}">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157" authorId="1" shapeId="0" xr:uid="{00000000-0006-0000-0400-0000B7000000}">
      <text>
        <r>
          <rPr>
            <b/>
            <sz val="9"/>
            <color indexed="81"/>
            <rFont val="Tahoma"/>
            <family val="2"/>
          </rPr>
          <t>Bruyns Fred H:</t>
        </r>
        <r>
          <rPr>
            <sz val="9"/>
            <color indexed="81"/>
            <rFont val="Tahoma"/>
            <family val="2"/>
          </rPr>
          <t xml:space="preserve">
Descriptions in the chart to the right are used in a pull-down menu below "Middle finger, amputation or resection without reattachment (or shortening of digit)." The percentages correspond to the extent of amputation per OAR 436-035-0030.</t>
        </r>
      </text>
    </comment>
    <comment ref="R160" authorId="1" shapeId="0" xr:uid="{00000000-0006-0000-0400-0000B8000000}">
      <text>
        <r>
          <rPr>
            <b/>
            <sz val="9"/>
            <color indexed="81"/>
            <rFont val="Tahoma"/>
            <family val="2"/>
          </rPr>
          <t>Bruyns Fred H:</t>
        </r>
        <r>
          <rPr>
            <sz val="9"/>
            <color indexed="81"/>
            <rFont val="Tahoma"/>
            <family val="2"/>
          </rPr>
          <t xml:space="preserve">
Programming note: This formula finds a match between the selected middle finger amputation level in Cell B161 with the amputation levels listed in the table to the right, and then the formula returns the percentage of thumb opposition loss associated with the middle finger amputation level. NOTE: This percentage, if any, will display for the thumb, not for the middle finger.</t>
        </r>
      </text>
    </comment>
    <comment ref="S168" authorId="1" shapeId="0" xr:uid="{287469C8-B6D6-47F9-8CE8-A5B32F55C5BB}">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168" authorId="1" shapeId="0" xr:uid="{8CAF97E5-0C00-48AE-AB5E-4BFA1DE8E03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8" authorId="1" shapeId="0" xr:uid="{FBC5B266-8641-4A21-BEB8-1C1009EAE56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8" authorId="1" shapeId="0" xr:uid="{A3973095-DB8A-40B2-84BF-8795C5BA47F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68" authorId="1" shapeId="0" xr:uid="{79A1AE36-9944-47F7-B43F-EBAF01DA362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168" authorId="1" shapeId="0" xr:uid="{C4BBC608-BC63-4DD8-87B7-B3A520B0D160}">
      <text>
        <r>
          <rPr>
            <b/>
            <sz val="9"/>
            <color indexed="81"/>
            <rFont val="Tahoma"/>
            <family val="2"/>
          </rPr>
          <t>Bruyns Fred H:</t>
        </r>
        <r>
          <rPr>
            <sz val="9"/>
            <color indexed="81"/>
            <rFont val="Tahoma"/>
            <family val="2"/>
          </rPr>
          <t xml:space="preserve">
Programming note: Formula returns "1" if any of the joints are ankylosed.</t>
        </r>
      </text>
    </comment>
    <comment ref="S169" authorId="1" shapeId="0" xr:uid="{A09EB131-D880-4A96-8999-75A5C1CD9228}">
      <text>
        <r>
          <rPr>
            <b/>
            <sz val="9"/>
            <color indexed="81"/>
            <rFont val="Tahoma"/>
            <family val="2"/>
          </rPr>
          <t>Bruyns Fred H:</t>
        </r>
        <r>
          <rPr>
            <sz val="9"/>
            <color indexed="81"/>
            <rFont val="Tahoma"/>
            <family val="2"/>
          </rPr>
          <t xml:space="preserve">
Programming note: 70 degrees of extension of DIP joint is maximum loss.</t>
        </r>
      </text>
    </comment>
    <comment ref="T169" authorId="1" shapeId="0" xr:uid="{DF20681F-123D-4B71-AF7B-6FCD265BC1D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9" authorId="1" shapeId="0" xr:uid="{26FCD812-1109-417D-A17A-43F0FACC42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9" authorId="1" shapeId="0" xr:uid="{9E668EFA-104E-442F-882F-96F423E567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69" authorId="1" shapeId="0" xr:uid="{570B1C0A-20A6-41EB-8B07-78220A9B682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69" authorId="1" shapeId="0" xr:uid="{00000000-0006-0000-0400-0000B9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69" authorId="1" shapeId="0" xr:uid="{522C04B5-E2CB-4E8E-B50D-5BEDFA55300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169" authorId="1" shapeId="0" xr:uid="{FE760279-5863-40D6-8EF8-78E3A91D9D66}">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169" authorId="1" shapeId="0" xr:uid="{2B2693E6-DD44-4152-9094-CA5FF98A4558}">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169" authorId="1" shapeId="0" xr:uid="{55239553-1CB4-4BCE-94DC-38A05FF9E675}">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169" authorId="1" shapeId="0" xr:uid="{93D6FBC5-A00A-4F35-9602-79A987DF065A}">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169" authorId="1" shapeId="0" xr:uid="{2F697F79-79D1-47A7-A531-046BED9E9B50}">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170" authorId="1" shapeId="0" xr:uid="{9A7BFB9F-238A-4C60-953F-326C28E1ACD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0" authorId="1" shapeId="0" xr:uid="{25FE74B8-7787-459C-8AB2-0DE5B219DA53}">
      <text>
        <r>
          <rPr>
            <b/>
            <sz val="9"/>
            <color indexed="81"/>
            <rFont val="Tahoma"/>
            <family val="2"/>
          </rPr>
          <t>Bruyns Fred H:</t>
        </r>
        <r>
          <rPr>
            <sz val="9"/>
            <color indexed="81"/>
            <rFont val="Tahoma"/>
            <family val="2"/>
          </rPr>
          <t xml:space="preserve">
Programming note: 70 degrees of ankylosis of DIP joint is maximum loss.</t>
        </r>
      </text>
    </comment>
    <comment ref="T170" authorId="1" shapeId="0" xr:uid="{32246072-019E-41B0-A3D3-DE3ABACC57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2" authorId="1" shapeId="0" xr:uid="{96C7EFF9-BAD6-43D4-B22A-4070909A57AF}">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172" authorId="1" shapeId="0" xr:uid="{ACF13598-6CE9-446E-800E-C7592CB4928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2" authorId="1" shapeId="0" xr:uid="{B393E238-A344-488E-BC69-D55A20BC5B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2" authorId="1" shapeId="0" xr:uid="{5121B331-CE52-4480-ACD2-6DDA6A8E84E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2" authorId="1" shapeId="0" xr:uid="{827D556C-79BA-4B0A-AD25-C63B9426C14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172" authorId="1" shapeId="0" xr:uid="{DBAC1E93-295F-4FB9-8DC8-A7AD5235BE26}">
      <text>
        <r>
          <rPr>
            <b/>
            <sz val="9"/>
            <color indexed="81"/>
            <rFont val="Tahoma"/>
            <family val="2"/>
          </rPr>
          <t>Bruyns Fred H:</t>
        </r>
        <r>
          <rPr>
            <sz val="9"/>
            <color indexed="81"/>
            <rFont val="Tahoma"/>
            <family val="2"/>
          </rPr>
          <t xml:space="preserve">
Programming note: Formula counts ankylosed joints in the digit.</t>
        </r>
      </text>
    </comment>
    <comment ref="S173" authorId="1" shapeId="0" xr:uid="{8F2067EC-2E89-4BE4-BB79-18F85DCCBEE7}">
      <text>
        <r>
          <rPr>
            <b/>
            <sz val="9"/>
            <color indexed="81"/>
            <rFont val="Tahoma"/>
            <family val="2"/>
          </rPr>
          <t>Bruyns Fred H:</t>
        </r>
        <r>
          <rPr>
            <sz val="9"/>
            <color indexed="81"/>
            <rFont val="Tahoma"/>
            <family val="2"/>
          </rPr>
          <t xml:space="preserve">
Programming note: 100 degrees of extension of PIP joint is maximum loss.</t>
        </r>
      </text>
    </comment>
    <comment ref="T173" authorId="1" shapeId="0" xr:uid="{759FC423-B0AD-4452-B84A-9BC9FF0B35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3" authorId="1" shapeId="0" xr:uid="{63A951F3-AAF1-4CB4-9B14-B97FDAF4E53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3" authorId="1" shapeId="0" xr:uid="{8F0B9782-2DDF-4999-B7FD-1F6D352DEE8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3" authorId="1" shapeId="0" xr:uid="{3E78E508-FDE0-47D1-BD43-C481EF02FB0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3" authorId="1" shapeId="0" xr:uid="{00000000-0006-0000-0400-0000BA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3" authorId="1" shapeId="0" xr:uid="{84DC9D80-275A-4F9C-84BE-273C2B745192}">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173" authorId="1" shapeId="0" xr:uid="{5D603DC3-22ED-4043-9EE2-A2F91D4C88A9}">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E174" authorId="1" shapeId="0" xr:uid="{10624756-3702-4269-9C88-31904DF27CF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4" authorId="1" shapeId="0" xr:uid="{E8DFBD95-AB51-4CBE-BA02-788C558BA698}">
      <text>
        <r>
          <rPr>
            <b/>
            <sz val="9"/>
            <color indexed="81"/>
            <rFont val="Tahoma"/>
            <family val="2"/>
          </rPr>
          <t>Bruyns Fred H:</t>
        </r>
        <r>
          <rPr>
            <sz val="9"/>
            <color indexed="81"/>
            <rFont val="Tahoma"/>
            <family val="2"/>
          </rPr>
          <t xml:space="preserve">
Programming note: 100 degrees of ankylosis of PIP joint is maximum loss.</t>
        </r>
      </text>
    </comment>
    <comment ref="T174" authorId="1" shapeId="0" xr:uid="{452722BE-9902-403E-B7A3-A801B3D9F25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175" authorId="1" shapeId="0" xr:uid="{8883ED88-10F0-4B1F-AFC7-37A2B7523FBA}">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175" authorId="1" shapeId="0" xr:uid="{BE3F35B9-6215-4D31-B092-86749FF615F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175" authorId="1" shapeId="0" xr:uid="{CB0792AB-08B3-45FC-9C89-D74FD5B0B98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175" authorId="1" shapeId="0" xr:uid="{1A950E16-F7FD-48FB-B33F-378838A619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176" authorId="1" shapeId="0" xr:uid="{DE8CA4E2-6D43-47B0-B1C0-AD21EE1B73B7}">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176" authorId="1" shapeId="0" xr:uid="{933519DB-B26F-4454-9FCE-FFACE66FB9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EABF3896-4EFF-488C-BDE7-03E16349C7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EBCF6550-C84C-4B7A-8EF3-BE6B1B3B496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6" authorId="1" shapeId="0" xr:uid="{0E1455DD-6128-496E-81AF-C5D5C29496A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77" authorId="1" shapeId="0" xr:uid="{6E35E584-B622-49C3-9611-3335D7E99C8C}">
      <text>
        <r>
          <rPr>
            <b/>
            <sz val="9"/>
            <color indexed="81"/>
            <rFont val="Tahoma"/>
            <family val="2"/>
          </rPr>
          <t>Bruyns Fred H:</t>
        </r>
        <r>
          <rPr>
            <sz val="9"/>
            <color indexed="81"/>
            <rFont val="Tahoma"/>
            <family val="2"/>
          </rPr>
          <t xml:space="preserve">
Programming note: 90 degrees of extension of MP joint is maximum loss.</t>
        </r>
      </text>
    </comment>
    <comment ref="T177" authorId="1" shapeId="0" xr:uid="{DB1B925B-099A-4F24-8394-AD07CDADE63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7" authorId="1" shapeId="0" xr:uid="{ADCAF913-B89A-4846-90F0-F351B8B0762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7" authorId="1" shapeId="0" xr:uid="{14B2A87E-F28C-42E1-A0B9-9EC11933F2C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7" authorId="1" shapeId="0" xr:uid="{F4EBB2AA-FFCD-4E37-B852-63F343DE6DF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7" authorId="1" shapeId="0" xr:uid="{00000000-0006-0000-0400-0000BB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7" authorId="1" shapeId="0" xr:uid="{0A2BA257-3519-4A36-A69F-EDD446975E63}">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178" authorId="1" shapeId="0" xr:uid="{6693983B-685F-4B48-9FB4-01792C5506F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178" authorId="1" shapeId="0" xr:uid="{74BB325F-B2BA-496D-8278-78F07E46D5D1}">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78" authorId="1" shapeId="0" xr:uid="{721509E0-DF47-4AA8-B6F7-07B746A2C3AE}">
      <text>
        <r>
          <rPr>
            <b/>
            <sz val="9"/>
            <color indexed="81"/>
            <rFont val="Tahoma"/>
            <family val="2"/>
          </rPr>
          <t>Bruyns Fred H:</t>
        </r>
        <r>
          <rPr>
            <sz val="9"/>
            <color indexed="81"/>
            <rFont val="Tahoma"/>
            <family val="2"/>
          </rPr>
          <t xml:space="preserve">
Programming note: 90 degrees of ankylosis of MP joint is maximum loss.</t>
        </r>
      </text>
    </comment>
    <comment ref="T178" authorId="1" shapeId="0" xr:uid="{F81F001A-2A7B-4B07-89BA-8D2BDA82455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1" authorId="1" shapeId="0" xr:uid="{00000000-0006-0000-0400-0000BC000000}">
      <text>
        <r>
          <rPr>
            <b/>
            <sz val="9"/>
            <color indexed="81"/>
            <rFont val="Tahoma"/>
            <family val="2"/>
          </rPr>
          <t>Bruyns Fred H:</t>
        </r>
        <r>
          <rPr>
            <sz val="9"/>
            <color indexed="81"/>
            <rFont val="Tahoma"/>
            <family val="2"/>
          </rPr>
          <t xml:space="preserve">
"TRUE" or "FALSE" are output from checkboxes for deformity of movement.</t>
        </r>
      </text>
    </comment>
    <comment ref="AH189" authorId="1" shapeId="0" xr:uid="{00000000-0006-0000-0400-0000BD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89" authorId="1" shapeId="0" xr:uid="{00000000-0006-0000-0400-0000BE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89" authorId="1" shapeId="0" xr:uid="{00000000-0006-0000-0400-0000BF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89" authorId="1" shapeId="0" xr:uid="{00000000-0006-0000-0400-0000C0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90" authorId="1" shapeId="0" xr:uid="{00000000-0006-0000-0400-0000C1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90" authorId="1" shapeId="0" xr:uid="{00000000-0006-0000-0400-0000C2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90" authorId="1" shapeId="0" xr:uid="{00000000-0006-0000-0400-0000C3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90" authorId="1" shapeId="0" xr:uid="{00000000-0006-0000-0400-0000C4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90" authorId="1" shapeId="0" xr:uid="{00000000-0006-0000-0400-0000C5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90" authorId="1" shapeId="0" xr:uid="{00000000-0006-0000-0400-0000C6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90" authorId="1" shapeId="0" xr:uid="{00000000-0006-0000-0400-0000C7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91" authorId="1" shapeId="0" xr:uid="{00000000-0006-0000-0400-0000C8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94" authorId="1" shapeId="0" xr:uid="{00000000-0006-0000-0400-0000C9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94" authorId="1" shapeId="0" xr:uid="{00000000-0006-0000-0400-0000CA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94" authorId="1" shapeId="0" xr:uid="{00000000-0006-0000-0400-0000CB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94" authorId="1" shapeId="0" xr:uid="{00000000-0006-0000-0400-0000CC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99" authorId="1" shapeId="0" xr:uid="{00000000-0006-0000-0400-0000CD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99" authorId="1" shapeId="0" xr:uid="{00000000-0006-0000-0400-0000CE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99" authorId="1" shapeId="0" xr:uid="{00000000-0006-0000-0400-0000CF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99" authorId="1" shapeId="0" xr:uid="{00000000-0006-0000-0400-0000D0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201" authorId="1" shapeId="0" xr:uid="{54E45864-491D-4023-AD62-6A10D0395E6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201" authorId="1" shapeId="0" xr:uid="{BCC1AD48-7A87-427D-9040-4C52941CCE6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201" authorId="1" shapeId="0" xr:uid="{B142FFC2-CAC0-4283-B3C8-F761B206CCA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202" authorId="1" shapeId="0" xr:uid="{00000000-0006-0000-0400-0000D2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2" authorId="1" shapeId="0" xr:uid="{00000000-0006-0000-0400-0000D3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2" authorId="1" shapeId="0" xr:uid="{00000000-0006-0000-0400-0000D4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02" authorId="1" shapeId="0" xr:uid="{00000000-0006-0000-0400-0000D1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03" authorId="1" shapeId="0" xr:uid="{00000000-0006-0000-0400-0000D5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3" authorId="1" shapeId="0" xr:uid="{00000000-0006-0000-0400-0000D6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3" authorId="1" shapeId="0" xr:uid="{00000000-0006-0000-0400-0000D7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03" authorId="1" shapeId="0" xr:uid="{00000000-0006-0000-0400-0000D800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204" authorId="1" shapeId="0" xr:uid="{00000000-0006-0000-0400-0000D9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4" authorId="1" shapeId="0" xr:uid="{00000000-0006-0000-0400-0000DA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04" authorId="1" shapeId="0" xr:uid="{00000000-0006-0000-0400-0000DB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06" authorId="1" shapeId="0" xr:uid="{7AC09A70-2ACE-433B-9A0D-2A2E5EE7D1EC}">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10" authorId="1" shapeId="0" xr:uid="{0F2DA3AE-1FB8-4D38-8B3E-66FBEDC1AA7D}">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14" authorId="1" shapeId="0" xr:uid="{00000000-0006-0000-0400-0000DC00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14" authorId="1" shapeId="0" xr:uid="{00000000-0006-0000-0400-0000DD00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14" authorId="1" shapeId="0" xr:uid="{00000000-0006-0000-0400-0000DE00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14" authorId="1" shapeId="0" xr:uid="{00000000-0006-0000-0400-0000DF00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14" authorId="1" shapeId="0" xr:uid="{00000000-0006-0000-0400-0000E000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15" authorId="1" shapeId="0" xr:uid="{00000000-0006-0000-0400-0000E100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17" authorId="1" shapeId="0" xr:uid="{43EEFCA9-5EFE-49F4-91E7-4EEC349F273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234" authorId="1" shapeId="0" xr:uid="{00000000-0006-0000-0400-0000E2000000}">
      <text>
        <r>
          <rPr>
            <b/>
            <sz val="9"/>
            <color indexed="81"/>
            <rFont val="Tahoma"/>
            <family val="2"/>
          </rPr>
          <t>Bruyns Fred H:</t>
        </r>
        <r>
          <rPr>
            <sz val="9"/>
            <color indexed="81"/>
            <rFont val="Tahoma"/>
            <family val="2"/>
          </rPr>
          <t xml:space="preserve">
Descriptions in the chart to the right are used in a pull-down menu below "Ring finger, amputation or resection without reattachment (or shortening of digit)." The percentages correspond to the extent of amputation per OAR 436-035-0030.</t>
        </r>
      </text>
    </comment>
    <comment ref="R237" authorId="1" shapeId="0" xr:uid="{00000000-0006-0000-0400-0000E3000000}">
      <text>
        <r>
          <rPr>
            <b/>
            <sz val="9"/>
            <color indexed="81"/>
            <rFont val="Tahoma"/>
            <family val="2"/>
          </rPr>
          <t>Bruyns Fred H:</t>
        </r>
        <r>
          <rPr>
            <sz val="9"/>
            <color indexed="81"/>
            <rFont val="Tahoma"/>
            <family val="2"/>
          </rPr>
          <t xml:space="preserve">
Programming note: This formula finds a match between the selected ring finger amputation level in Cell B238 with the amputation levels listed in the table to the right, and then the formula returns the percentage of thumb opposition loss associated with the ring finger amputation level. NOTE: This percentage, if any, will display for the thumb, not for the ring finger.</t>
        </r>
      </text>
    </comment>
    <comment ref="S244" authorId="1" shapeId="0" xr:uid="{3A9FFCE2-5F4B-4453-8FF9-F77563E1D5F6}">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244" authorId="1" shapeId="0" xr:uid="{DDBC3D09-C15D-411E-90C7-E98212D596D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4" authorId="1" shapeId="0" xr:uid="{494B5F0B-606C-4FA2-AC5B-8944DEBF4B4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4" authorId="1" shapeId="0" xr:uid="{15FC57FC-17E4-44E0-9E50-93A3C07E74B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4" authorId="1" shapeId="0" xr:uid="{2E918202-B8C2-45EC-80D8-0F9F83FC88F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244" authorId="1" shapeId="0" xr:uid="{F715EE26-0AC2-457A-9F16-74841387B1C8}">
      <text>
        <r>
          <rPr>
            <b/>
            <sz val="9"/>
            <color indexed="81"/>
            <rFont val="Tahoma"/>
            <family val="2"/>
          </rPr>
          <t>Bruyns Fred H:</t>
        </r>
        <r>
          <rPr>
            <sz val="9"/>
            <color indexed="81"/>
            <rFont val="Tahoma"/>
            <family val="2"/>
          </rPr>
          <t xml:space="preserve">
Programming note: Formula returns "1" if any of the joints are ankylosed.</t>
        </r>
      </text>
    </comment>
    <comment ref="S245" authorId="1" shapeId="0" xr:uid="{C8C9D9A9-5427-4EC5-9D9E-12EE41A3609A}">
      <text>
        <r>
          <rPr>
            <b/>
            <sz val="9"/>
            <color indexed="81"/>
            <rFont val="Tahoma"/>
            <family val="2"/>
          </rPr>
          <t>Bruyns Fred H:</t>
        </r>
        <r>
          <rPr>
            <sz val="9"/>
            <color indexed="81"/>
            <rFont val="Tahoma"/>
            <family val="2"/>
          </rPr>
          <t xml:space="preserve">
Programming note: 70 degrees of extension of DIP joint is maximum loss.</t>
        </r>
      </text>
    </comment>
    <comment ref="T245" authorId="1" shapeId="0" xr:uid="{8B74FB0F-4293-440D-93F7-C8E66FED860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5" authorId="1" shapeId="0" xr:uid="{4CD66213-8AFD-4EA3-85FE-B29025BFF70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5" authorId="1" shapeId="0" xr:uid="{1D9191C5-F0B3-46BB-9922-3F4F3612D3C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5" authorId="1" shapeId="0" xr:uid="{D0D4F243-3419-4D74-9BD3-9E4622A4120E}">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5" authorId="1" shapeId="0" xr:uid="{00000000-0006-0000-0400-0000E4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5" authorId="1" shapeId="0" xr:uid="{6E29A623-51B9-454D-8AC6-4AF33697C17F}">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245" authorId="1" shapeId="0" xr:uid="{9BE8ED58-D22E-43B2-B121-D27B5F0AE301}">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245" authorId="1" shapeId="0" xr:uid="{E7369D08-043E-412F-96EC-1EEC5CB390A4}">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245" authorId="1" shapeId="0" xr:uid="{4329CB7B-F1CA-4A66-8CA0-C20F6915364A}">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245" authorId="1" shapeId="0" xr:uid="{026E198E-3370-419D-B390-D5361C05C5DC}">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245" authorId="1" shapeId="0" xr:uid="{74866C28-DB81-4BD4-860E-672BEC9573CC}">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246" authorId="1" shapeId="0" xr:uid="{9B20E39A-C003-42DC-91FD-30A48AC63DE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46" authorId="1" shapeId="0" xr:uid="{D65D6AB6-493A-4383-81F0-BA74448E9B07}">
      <text>
        <r>
          <rPr>
            <b/>
            <sz val="9"/>
            <color indexed="81"/>
            <rFont val="Tahoma"/>
            <family val="2"/>
          </rPr>
          <t>Bruyns Fred H:</t>
        </r>
        <r>
          <rPr>
            <sz val="9"/>
            <color indexed="81"/>
            <rFont val="Tahoma"/>
            <family val="2"/>
          </rPr>
          <t xml:space="preserve">
Programming note: 70 degrees of ankylosis of DIP joint is maximum loss.</t>
        </r>
      </text>
    </comment>
    <comment ref="T246" authorId="1" shapeId="0" xr:uid="{E5CCD017-96D5-4C5F-9B28-C6381FA6306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48" authorId="1" shapeId="0" xr:uid="{C0A0BCE2-EC09-4BBA-8A3A-99EB2599364D}">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248" authorId="1" shapeId="0" xr:uid="{A7979187-91FE-473F-A857-B4A98D82793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8" authorId="1" shapeId="0" xr:uid="{0F35E7E3-AF03-4F18-BE52-7FC48260487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8" authorId="1" shapeId="0" xr:uid="{FD2E7054-8252-44EC-B3C5-3E5CCA06C72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8" authorId="1" shapeId="0" xr:uid="{5CD69B1B-CB2B-4166-B1E2-210941873B6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248" authorId="1" shapeId="0" xr:uid="{DCBD46FE-BEA2-4ACC-A235-080E25436B0C}">
      <text>
        <r>
          <rPr>
            <b/>
            <sz val="9"/>
            <color indexed="81"/>
            <rFont val="Tahoma"/>
            <family val="2"/>
          </rPr>
          <t>Bruyns Fred H:</t>
        </r>
        <r>
          <rPr>
            <sz val="9"/>
            <color indexed="81"/>
            <rFont val="Tahoma"/>
            <family val="2"/>
          </rPr>
          <t xml:space="preserve">
Programming note: Formula counts ankylosed joints in the digit.</t>
        </r>
      </text>
    </comment>
    <comment ref="S249" authorId="1" shapeId="0" xr:uid="{B57C22E6-EF26-48AA-A1A4-47B3AB5F8C32}">
      <text>
        <r>
          <rPr>
            <b/>
            <sz val="9"/>
            <color indexed="81"/>
            <rFont val="Tahoma"/>
            <family val="2"/>
          </rPr>
          <t>Bruyns Fred H:</t>
        </r>
        <r>
          <rPr>
            <sz val="9"/>
            <color indexed="81"/>
            <rFont val="Tahoma"/>
            <family val="2"/>
          </rPr>
          <t xml:space="preserve">
Programming note: 100 degrees of extension of PIP joint is maximum loss.</t>
        </r>
      </text>
    </comment>
    <comment ref="T249" authorId="1" shapeId="0" xr:uid="{57B82C28-BF93-478B-B909-0D7E61EE1B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9" authorId="1" shapeId="0" xr:uid="{B24D0E10-A4B5-4448-9C5C-02501E7497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9" authorId="1" shapeId="0" xr:uid="{F9488DB5-8AF9-4405-92A6-6E2518E94FC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9" authorId="1" shapeId="0" xr:uid="{F581200E-F239-4373-942D-BCF57874DAE2}">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9" authorId="1" shapeId="0" xr:uid="{00000000-0006-0000-0400-0000E5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9" authorId="1" shapeId="0" xr:uid="{6493CF62-776F-4C3F-B4FE-C6A085869A7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249" authorId="1" shapeId="0" xr:uid="{6614EABC-6CF5-4D9B-ABF1-561805B20745}">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E250" authorId="1" shapeId="0" xr:uid="{F7C22CA3-FCD2-4534-98F3-2642612D69B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0" authorId="1" shapeId="0" xr:uid="{63949DDB-C2A1-4385-85EF-E28BE49EDC54}">
      <text>
        <r>
          <rPr>
            <b/>
            <sz val="9"/>
            <color indexed="81"/>
            <rFont val="Tahoma"/>
            <family val="2"/>
          </rPr>
          <t>Bruyns Fred H:</t>
        </r>
        <r>
          <rPr>
            <sz val="9"/>
            <color indexed="81"/>
            <rFont val="Tahoma"/>
            <family val="2"/>
          </rPr>
          <t xml:space="preserve">
Programming note: 100 degrees of ankylosis of PIP joint is maximum loss.</t>
        </r>
      </text>
    </comment>
    <comment ref="T250" authorId="1" shapeId="0" xr:uid="{731AEB5D-D874-499C-AD03-56F45F3C06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51" authorId="1" shapeId="0" xr:uid="{F843C5F8-3F48-44E7-8F6B-359E3CEEAF09}">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251" authorId="1" shapeId="0" xr:uid="{31292E43-8789-4E3F-8CBC-915CCE63DF2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51" authorId="1" shapeId="0" xr:uid="{1368829F-42D4-408A-BB5F-62EF31D5D6A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51" authorId="1" shapeId="0" xr:uid="{49655B98-5BE5-498B-AF36-6927982E7BC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252" authorId="1" shapeId="0" xr:uid="{D624EF4F-E6EA-46B7-9AB5-D9881E08BCA3}">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252" authorId="1" shapeId="0" xr:uid="{43504F18-8AFC-450D-83D6-F81A22B18B7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2" authorId="1" shapeId="0" xr:uid="{0A0C5EDB-BE03-4005-9F81-AE46402FE7F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2" authorId="1" shapeId="0" xr:uid="{08934B86-7B1D-438E-9E47-F0D186D74D4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52" authorId="1" shapeId="0" xr:uid="{61299551-6861-41C3-8CCC-C9A48C07177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253" authorId="1" shapeId="0" xr:uid="{54CC93CF-0B13-4406-818E-13F92B23E2B5}">
      <text>
        <r>
          <rPr>
            <b/>
            <sz val="9"/>
            <color indexed="81"/>
            <rFont val="Tahoma"/>
            <family val="2"/>
          </rPr>
          <t>Bruyns Fred H:</t>
        </r>
        <r>
          <rPr>
            <sz val="9"/>
            <color indexed="81"/>
            <rFont val="Tahoma"/>
            <family val="2"/>
          </rPr>
          <t xml:space="preserve">
Programming note: 90 degrees of extension of MP joint is maximum loss.</t>
        </r>
      </text>
    </comment>
    <comment ref="T253" authorId="1" shapeId="0" xr:uid="{AE49C88D-8862-4C6F-B5B1-A3E67A87CC3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3" authorId="1" shapeId="0" xr:uid="{DC3AA1C1-0800-405E-82C5-C97F7E4BD67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3" authorId="1" shapeId="0" xr:uid="{7A996CB8-2078-4429-9CCD-804B5F3EEF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53" authorId="1" shapeId="0" xr:uid="{4A4D41A0-3ECE-4FBF-BF9F-54F448D8EA7F}">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53" authorId="1" shapeId="0" xr:uid="{00000000-0006-0000-0400-0000E600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53" authorId="1" shapeId="0" xr:uid="{5DCF997A-DBCB-4BA4-B60E-F138C36E65B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254" authorId="1" shapeId="0" xr:uid="{F3A321E6-D416-4F10-ABA2-63ED9A9A27C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254" authorId="1" shapeId="0" xr:uid="{2E05652E-7257-4F5D-9B55-96C1020895D2}">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254" authorId="1" shapeId="0" xr:uid="{950454A0-8F37-4372-9EEE-E460FC3BEF51}">
      <text>
        <r>
          <rPr>
            <b/>
            <sz val="9"/>
            <color indexed="81"/>
            <rFont val="Tahoma"/>
            <family val="2"/>
          </rPr>
          <t>Bruyns Fred H:</t>
        </r>
        <r>
          <rPr>
            <sz val="9"/>
            <color indexed="81"/>
            <rFont val="Tahoma"/>
            <family val="2"/>
          </rPr>
          <t xml:space="preserve">
Programming note: 90 degrees of ankylosis of MP joint is maximum loss.</t>
        </r>
      </text>
    </comment>
    <comment ref="T254" authorId="1" shapeId="0" xr:uid="{75B7732B-0AD7-4C46-A865-30203195EE9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57" authorId="1" shapeId="0" xr:uid="{00000000-0006-0000-0400-0000E7000000}">
      <text>
        <r>
          <rPr>
            <b/>
            <sz val="9"/>
            <color indexed="81"/>
            <rFont val="Tahoma"/>
            <family val="2"/>
          </rPr>
          <t>Bruyns Fred H:</t>
        </r>
        <r>
          <rPr>
            <sz val="9"/>
            <color indexed="81"/>
            <rFont val="Tahoma"/>
            <family val="2"/>
          </rPr>
          <t xml:space="preserve">
"TRUE" or "FALSE" are output from checkboxes for deformity of movement.</t>
        </r>
      </text>
    </comment>
    <comment ref="AH265" authorId="1" shapeId="0" xr:uid="{00000000-0006-0000-0400-0000E8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265" authorId="1" shapeId="0" xr:uid="{00000000-0006-0000-0400-0000E9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265" authorId="1" shapeId="0" xr:uid="{00000000-0006-0000-0400-0000EA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265" authorId="1" shapeId="0" xr:uid="{00000000-0006-0000-0400-0000EB00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266" authorId="1" shapeId="0" xr:uid="{00000000-0006-0000-0400-0000EC00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266" authorId="1" shapeId="0" xr:uid="{00000000-0006-0000-0400-0000ED00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266" authorId="1" shapeId="0" xr:uid="{00000000-0006-0000-0400-0000EE00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266" authorId="1" shapeId="0" xr:uid="{00000000-0006-0000-0400-0000EF00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266" authorId="1" shapeId="0" xr:uid="{00000000-0006-0000-0400-0000F000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266" authorId="1" shapeId="0" xr:uid="{00000000-0006-0000-0400-0000F100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266" authorId="1" shapeId="0" xr:uid="{00000000-0006-0000-0400-0000F200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267" authorId="1" shapeId="0" xr:uid="{00000000-0006-0000-0400-0000F300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270" authorId="1" shapeId="0" xr:uid="{00000000-0006-0000-0400-0000F400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270" authorId="1" shapeId="0" xr:uid="{00000000-0006-0000-0400-0000F500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270" authorId="1" shapeId="0" xr:uid="{00000000-0006-0000-0400-0000F600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270" authorId="1" shapeId="0" xr:uid="{00000000-0006-0000-0400-0000F700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275" authorId="1" shapeId="0" xr:uid="{00000000-0006-0000-0400-0000F800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275" authorId="1" shapeId="0" xr:uid="{00000000-0006-0000-0400-0000F900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275" authorId="1" shapeId="0" xr:uid="{00000000-0006-0000-0400-0000FA00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275" authorId="1" shapeId="0" xr:uid="{00000000-0006-0000-0400-0000FB00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277" authorId="1" shapeId="0" xr:uid="{5165DD92-0586-489C-8E1B-AF740339431C}">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277" authorId="1" shapeId="0" xr:uid="{0039B3C0-8AC1-4670-A803-1576B16AE2F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277" authorId="1" shapeId="0" xr:uid="{29B3F2E8-2C99-4212-A433-772E00B8E44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278" authorId="1" shapeId="0" xr:uid="{00000000-0006-0000-0400-0000FD00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8" authorId="1" shapeId="0" xr:uid="{00000000-0006-0000-0400-0000FE00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8" authorId="1" shapeId="0" xr:uid="{00000000-0006-0000-0400-0000FF00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78" authorId="1" shapeId="0" xr:uid="{00000000-0006-0000-0400-0000FC00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79" authorId="1" shapeId="0" xr:uid="{00000000-0006-0000-0400-000000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9" authorId="1" shapeId="0" xr:uid="{00000000-0006-0000-0400-000001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9" authorId="1" shapeId="0" xr:uid="{00000000-0006-0000-0400-000002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79" authorId="1" shapeId="0" xr:uid="{00000000-0006-0000-0400-000003010000}">
      <text>
        <r>
          <rPr>
            <b/>
            <sz val="9"/>
            <color indexed="81"/>
            <rFont val="Tahoma"/>
            <family val="2"/>
          </rPr>
          <t>Bruyns Fred H:</t>
        </r>
        <r>
          <rPr>
            <sz val="9"/>
            <color indexed="81"/>
            <rFont val="Tahoma"/>
            <family val="2"/>
          </rPr>
          <t xml:space="preserve">
Programming note: This value will be displayed as the total percentage for joint instability.</t>
        </r>
      </text>
    </comment>
    <comment ref="H280" authorId="1" shapeId="0" xr:uid="{00000000-0006-0000-0400-000004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80" authorId="1" shapeId="0" xr:uid="{00000000-0006-0000-0400-000005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80" authorId="1" shapeId="0" xr:uid="{00000000-0006-0000-0400-000006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82" authorId="1" shapeId="0" xr:uid="{A0EE622E-9927-44BF-BE13-74305C6B96CC}">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86" authorId="1" shapeId="0" xr:uid="{4072870E-A6D8-450C-903D-44F5890B8DBD}">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89" authorId="1" shapeId="0" xr:uid="{00000000-0006-0000-0400-00000701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89" authorId="1" shapeId="0" xr:uid="{00000000-0006-0000-0400-00000801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89" authorId="1" shapeId="0" xr:uid="{00000000-0006-0000-0400-00000901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89" authorId="1" shapeId="0" xr:uid="{00000000-0006-0000-0400-00000A01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89" authorId="1" shapeId="0" xr:uid="{00000000-0006-0000-0400-00000B01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90" authorId="1" shapeId="0" xr:uid="{00000000-0006-0000-0400-00000C01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92" authorId="1" shapeId="0" xr:uid="{EE0CF054-39E4-4161-90D1-CD2DA9561A86}">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09" authorId="1" shapeId="0" xr:uid="{00000000-0006-0000-0400-00000D010000}">
      <text>
        <r>
          <rPr>
            <b/>
            <sz val="9"/>
            <color indexed="81"/>
            <rFont val="Tahoma"/>
            <family val="2"/>
          </rPr>
          <t>Bruyns Fred H:</t>
        </r>
        <r>
          <rPr>
            <sz val="9"/>
            <color indexed="81"/>
            <rFont val="Tahoma"/>
            <family val="2"/>
          </rPr>
          <t xml:space="preserve">
Descriptions in the chart to the right are used in a pull-down menu below "Little finger, amputation or resection without reattachment (or shortening of digit)." The percentages correspond to the extent of amputation per OAR 436-035-0030.</t>
        </r>
      </text>
    </comment>
    <comment ref="R312" authorId="1" shapeId="0" xr:uid="{00000000-0006-0000-0400-00000E010000}">
      <text>
        <r>
          <rPr>
            <b/>
            <sz val="9"/>
            <color indexed="81"/>
            <rFont val="Tahoma"/>
            <family val="2"/>
          </rPr>
          <t>Bruyns Fred H:</t>
        </r>
        <r>
          <rPr>
            <sz val="9"/>
            <color indexed="81"/>
            <rFont val="Tahoma"/>
            <family val="2"/>
          </rPr>
          <t xml:space="preserve">
Programming note: This formula finds a match between the selected little finger amputation level in Cell B313 with the amputation levels listed in the table to the right, and then the formula returns the percentage of thumb opposition loss associated with the little finger amputation level. NOTE: This percentage, if any, will display for the thumb, not for the little finger.</t>
        </r>
      </text>
    </comment>
    <comment ref="S319" authorId="1" shapeId="0" xr:uid="{3AF63565-CCDB-40F2-B8C3-30B981F4EE6E}">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319" authorId="1" shapeId="0" xr:uid="{DF54A0A6-7EAA-4E13-A15A-2E207E4FB69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19" authorId="1" shapeId="0" xr:uid="{CDFAEF1D-2D5D-4318-8D41-88E0F8140AA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19" authorId="1" shapeId="0" xr:uid="{1B6ED8C2-6A0F-4CF5-85B5-1A97B6F3246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19" authorId="1" shapeId="0" xr:uid="{5FF1F360-D275-4614-9C93-E7A397A7D7C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319" authorId="1" shapeId="0" xr:uid="{84DB544B-4F49-4BA9-8397-922438320D31}">
      <text>
        <r>
          <rPr>
            <b/>
            <sz val="9"/>
            <color indexed="81"/>
            <rFont val="Tahoma"/>
            <family val="2"/>
          </rPr>
          <t>Bruyns Fred H:</t>
        </r>
        <r>
          <rPr>
            <sz val="9"/>
            <color indexed="81"/>
            <rFont val="Tahoma"/>
            <family val="2"/>
          </rPr>
          <t xml:space="preserve">
Programming note: Formula returns "1" if any of the joints are ankylosed.</t>
        </r>
      </text>
    </comment>
    <comment ref="S320" authorId="1" shapeId="0" xr:uid="{D3143562-C7DA-4C66-B931-5483198A457B}">
      <text>
        <r>
          <rPr>
            <b/>
            <sz val="9"/>
            <color indexed="81"/>
            <rFont val="Tahoma"/>
            <family val="2"/>
          </rPr>
          <t>Bruyns Fred H:</t>
        </r>
        <r>
          <rPr>
            <sz val="9"/>
            <color indexed="81"/>
            <rFont val="Tahoma"/>
            <family val="2"/>
          </rPr>
          <t xml:space="preserve">
Programming note: 70 degrees of extension of DIP joint is maximum loss.</t>
        </r>
      </text>
    </comment>
    <comment ref="T320" authorId="1" shapeId="0" xr:uid="{381C8741-83D2-42AD-A2AA-A80BA8704E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0" authorId="1" shapeId="0" xr:uid="{47ADD897-6095-44BB-BC33-F21BE920222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0" authorId="1" shapeId="0" xr:uid="{446E4D74-6E76-4AA1-99EE-BAD1F0FE9FF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0" authorId="1" shapeId="0" xr:uid="{61229B23-B55E-49AF-888B-BC0068D1EAC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0" authorId="1" shapeId="0" xr:uid="{00000000-0006-0000-0400-00000F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0" authorId="1" shapeId="0" xr:uid="{28CB0FC2-2CCB-4A17-9FC5-0BCD1C49F6A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320" authorId="1" shapeId="0" xr:uid="{EB4220ED-C276-4FB6-8823-823FB37D254E}">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320" authorId="1" shapeId="0" xr:uid="{054C3DBF-84C1-47A0-9BD2-C95EFA22E0A8}">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320" authorId="1" shapeId="0" xr:uid="{F36E9B02-4A0B-467C-B4AA-5D640E2886D3}">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320" authorId="1" shapeId="0" xr:uid="{35D2C125-BF14-47B7-8CEA-D54395849DAD}">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320" authorId="1" shapeId="0" xr:uid="{E6ABD8FF-AF95-4DAE-9260-6B4B7E9CD657}">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321" authorId="1" shapeId="0" xr:uid="{4CF57A42-1088-4768-90F9-FBC30A8B9630}">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321" authorId="1" shapeId="0" xr:uid="{4EBDCCA8-0FE3-4E0D-96F1-333F94C2B991}">
      <text>
        <r>
          <rPr>
            <b/>
            <sz val="9"/>
            <color indexed="81"/>
            <rFont val="Tahoma"/>
            <family val="2"/>
          </rPr>
          <t>Bruyns Fred H:</t>
        </r>
        <r>
          <rPr>
            <sz val="9"/>
            <color indexed="81"/>
            <rFont val="Tahoma"/>
            <family val="2"/>
          </rPr>
          <t xml:space="preserve">
Programming note: 70 degrees of ankylosis of DIP joint is maximum loss.</t>
        </r>
      </text>
    </comment>
    <comment ref="T321" authorId="1" shapeId="0" xr:uid="{5B52B073-5B46-4EE5-AB7E-4D0B8B87FA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23" authorId="1" shapeId="0" xr:uid="{6A0277A1-A7B1-4DEA-B89C-41741ED16109}">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323" authorId="1" shapeId="0" xr:uid="{741147FF-BE08-4E08-A2EB-9CFB9E3E432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3" authorId="1" shapeId="0" xr:uid="{2C8CC480-188D-4BB7-BA4C-F078B72EB37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3" authorId="1" shapeId="0" xr:uid="{D1DF6D44-2CB2-4A9A-98EA-3EC6B79628E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3" authorId="1" shapeId="0" xr:uid="{138537C7-223D-4601-9EB5-B8F1BBA1B24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323" authorId="1" shapeId="0" xr:uid="{2872D1B4-E2E8-4C4C-85F0-7A5EDB0FB968}">
      <text>
        <r>
          <rPr>
            <b/>
            <sz val="9"/>
            <color indexed="81"/>
            <rFont val="Tahoma"/>
            <family val="2"/>
          </rPr>
          <t>Bruyns Fred H:</t>
        </r>
        <r>
          <rPr>
            <sz val="9"/>
            <color indexed="81"/>
            <rFont val="Tahoma"/>
            <family val="2"/>
          </rPr>
          <t xml:space="preserve">
Programming note: Formula counts ankylosed joints in the digit.</t>
        </r>
      </text>
    </comment>
    <comment ref="S324" authorId="1" shapeId="0" xr:uid="{69CD6E31-C9D4-4048-81B7-636A440818D3}">
      <text>
        <r>
          <rPr>
            <b/>
            <sz val="9"/>
            <color indexed="81"/>
            <rFont val="Tahoma"/>
            <family val="2"/>
          </rPr>
          <t>Bruyns Fred H:</t>
        </r>
        <r>
          <rPr>
            <sz val="9"/>
            <color indexed="81"/>
            <rFont val="Tahoma"/>
            <family val="2"/>
          </rPr>
          <t xml:space="preserve">
Programming note: 100 degrees of extension of PIP joint is maximum loss.</t>
        </r>
      </text>
    </comment>
    <comment ref="T324" authorId="1" shapeId="0" xr:uid="{B90DC6A3-1ACF-4239-A406-0171A1A346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4" authorId="1" shapeId="0" xr:uid="{8A0AA3FD-EA5E-4C55-92A1-B4FB877C80C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4" authorId="1" shapeId="0" xr:uid="{4A97D8ED-92B5-494E-B587-D5E761370C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4" authorId="1" shapeId="0" xr:uid="{4B2CA4F9-54E4-4FA9-AB68-7D98AEEEC228}">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4" authorId="1" shapeId="0" xr:uid="{00000000-0006-0000-0400-000010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4" authorId="1" shapeId="0" xr:uid="{295CF782-8FDC-4BB7-88CE-2A21A1FC5C0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324" authorId="1" shapeId="0" xr:uid="{70073DDD-B3E4-4E2F-A834-1D51499E8744}">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E325" authorId="1" shapeId="0" xr:uid="{183337F3-E121-4CB7-A6F7-6ADA4EEBC6B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325" authorId="1" shapeId="0" xr:uid="{AE8426EC-C71A-4512-A805-92D7759B8427}">
      <text>
        <r>
          <rPr>
            <b/>
            <sz val="9"/>
            <color indexed="81"/>
            <rFont val="Tahoma"/>
            <family val="2"/>
          </rPr>
          <t>Bruyns Fred H:</t>
        </r>
        <r>
          <rPr>
            <sz val="9"/>
            <color indexed="81"/>
            <rFont val="Tahoma"/>
            <family val="2"/>
          </rPr>
          <t xml:space="preserve">
Programming note: 100 degrees of ankylosis of PIP joint is maximum loss.</t>
        </r>
      </text>
    </comment>
    <comment ref="T325" authorId="1" shapeId="0" xr:uid="{31805632-AFEC-4411-B9F5-FFD63657449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326" authorId="1" shapeId="0" xr:uid="{D9EC2A71-3EAD-4CDF-8F7C-12BAA4834C6D}">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326" authorId="1" shapeId="0" xr:uid="{C401C9B1-1FF6-4EC2-B5C4-A8B6CC525EA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326" authorId="1" shapeId="0" xr:uid="{D2124BD3-23A4-49D9-8B71-67026E74C65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326" authorId="1" shapeId="0" xr:uid="{4476A5B7-9321-46B2-B40D-8E2E38ED4E0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327" authorId="1" shapeId="0" xr:uid="{A932A155-A4A4-43C7-A7FC-0CA4B95DDFBF}">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327" authorId="1" shapeId="0" xr:uid="{F321A636-C584-488E-9A93-B16EB7B22D3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7" authorId="1" shapeId="0" xr:uid="{54C878AE-CCB2-4B42-8675-127C6C5F64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7" authorId="1" shapeId="0" xr:uid="{1D698452-69DD-4806-B227-557EC455F073}">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7" authorId="1" shapeId="0" xr:uid="{8C3B3C67-3CE5-44D2-A20B-A2BCF0B681F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328" authorId="1" shapeId="0" xr:uid="{87134B7D-6101-4FE1-9157-6FFFC9C98137}">
      <text>
        <r>
          <rPr>
            <b/>
            <sz val="9"/>
            <color indexed="81"/>
            <rFont val="Tahoma"/>
            <family val="2"/>
          </rPr>
          <t>Bruyns Fred H:</t>
        </r>
        <r>
          <rPr>
            <sz val="9"/>
            <color indexed="81"/>
            <rFont val="Tahoma"/>
            <family val="2"/>
          </rPr>
          <t xml:space="preserve">
Programming note: 90 degrees of extension of MP joint is maximum loss.</t>
        </r>
      </text>
    </comment>
    <comment ref="T328" authorId="1" shapeId="0" xr:uid="{AFE7AFFD-4DB4-486D-B028-F54F1135574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8" authorId="1" shapeId="0" xr:uid="{3D646FC8-6B70-4083-8E2C-E395E6AA608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8" authorId="1" shapeId="0" xr:uid="{F2256888-195E-4559-ADB7-C1EC52083C6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8" authorId="1" shapeId="0" xr:uid="{E9D0A8A4-477F-4FBF-B3F1-B5170A51508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8" authorId="1" shapeId="0" xr:uid="{00000000-0006-0000-0400-00001101000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8" authorId="1" shapeId="0" xr:uid="{70705C7A-4039-4FBD-96C2-7CC453EC2D2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E329" authorId="1" shapeId="0" xr:uid="{7E9263AB-97F1-4647-A48E-B6D3CBA76689}">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R329" authorId="1" shapeId="0" xr:uid="{6AC40E4A-3420-4132-90D8-B3742483D5BD}">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329" authorId="1" shapeId="0" xr:uid="{00153791-2547-4E52-997C-EF0DCAB15F3D}">
      <text>
        <r>
          <rPr>
            <b/>
            <sz val="9"/>
            <color indexed="81"/>
            <rFont val="Tahoma"/>
            <family val="2"/>
          </rPr>
          <t>Bruyns Fred H:</t>
        </r>
        <r>
          <rPr>
            <sz val="9"/>
            <color indexed="81"/>
            <rFont val="Tahoma"/>
            <family val="2"/>
          </rPr>
          <t xml:space="preserve">
Programming note: 90 degrees of ankylosis of MP joint is maximum loss.</t>
        </r>
      </text>
    </comment>
    <comment ref="T329" authorId="1" shapeId="0" xr:uid="{518D0FBE-1DAB-40D6-9391-6F69C05657D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32" authorId="1" shapeId="0" xr:uid="{00000000-0006-0000-0400-000012010000}">
      <text>
        <r>
          <rPr>
            <b/>
            <sz val="9"/>
            <color indexed="81"/>
            <rFont val="Tahoma"/>
            <family val="2"/>
          </rPr>
          <t>Bruyns Fred H:</t>
        </r>
        <r>
          <rPr>
            <sz val="9"/>
            <color indexed="81"/>
            <rFont val="Tahoma"/>
            <family val="2"/>
          </rPr>
          <t xml:space="preserve">
"TRUE" or "FALSE" are output from checkboxes for deformity of movement.</t>
        </r>
      </text>
    </comment>
    <comment ref="AH340" authorId="1" shapeId="0" xr:uid="{00000000-0006-0000-0400-000013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340" authorId="1" shapeId="0" xr:uid="{00000000-0006-0000-0400-000014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340" authorId="1" shapeId="0" xr:uid="{00000000-0006-0000-0400-000015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340" authorId="1" shapeId="0" xr:uid="{00000000-0006-0000-0400-00001601000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341" authorId="1" shapeId="0" xr:uid="{00000000-0006-0000-0400-0000170100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341" authorId="1" shapeId="0" xr:uid="{00000000-0006-0000-0400-00001801000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341" authorId="1" shapeId="0" xr:uid="{00000000-0006-0000-0400-000019010000}">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341" authorId="1" shapeId="0" xr:uid="{00000000-0006-0000-0400-00001A01000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341" authorId="1" shapeId="0" xr:uid="{00000000-0006-0000-0400-00001B010000}">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341" authorId="1" shapeId="0" xr:uid="{00000000-0006-0000-0400-00001C010000}">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341" authorId="1" shapeId="0" xr:uid="{00000000-0006-0000-0400-00001D010000}">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342" authorId="1" shapeId="0" xr:uid="{00000000-0006-0000-0400-00001E010000}">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345" authorId="1" shapeId="0" xr:uid="{00000000-0006-0000-0400-00001F010000}">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345" authorId="1" shapeId="0" xr:uid="{00000000-0006-0000-0400-000020010000}">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345" authorId="1" shapeId="0" xr:uid="{00000000-0006-0000-0400-00002101000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345" authorId="1" shapeId="0" xr:uid="{00000000-0006-0000-0400-00002201000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350" authorId="1" shapeId="0" xr:uid="{00000000-0006-0000-0400-000023010000}">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350" authorId="1" shapeId="0" xr:uid="{00000000-0006-0000-0400-000024010000}">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350" authorId="1" shapeId="0" xr:uid="{00000000-0006-0000-0400-000025010000}">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350" authorId="1" shapeId="0" xr:uid="{00000000-0006-0000-0400-000026010000}">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T352" authorId="1" shapeId="0" xr:uid="{AD140CC5-4868-4CB2-85E4-FE51D7DE056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52" authorId="1" shapeId="0" xr:uid="{1E518986-3011-42FD-AAAE-0EA9972D90C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52" authorId="1" shapeId="0" xr:uid="{154F74A3-C083-4BAC-AF5E-23CEC4B46F8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H353" authorId="1" shapeId="0" xr:uid="{00000000-0006-0000-0400-000028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3" authorId="1" shapeId="0" xr:uid="{00000000-0006-0000-0400-000029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3" authorId="1" shapeId="0" xr:uid="{00000000-0006-0000-0400-00002A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353" authorId="1" shapeId="0" xr:uid="{00000000-0006-0000-0400-000027010000}">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354" authorId="1" shapeId="0" xr:uid="{00000000-0006-0000-0400-00002B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4" authorId="1" shapeId="0" xr:uid="{00000000-0006-0000-0400-00002C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4" authorId="1" shapeId="0" xr:uid="{00000000-0006-0000-0400-00002D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354" authorId="1" shapeId="0" xr:uid="{00000000-0006-0000-0400-00002E01000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355" authorId="1" shapeId="0" xr:uid="{00000000-0006-0000-0400-00002F01000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5" authorId="1" shapeId="0" xr:uid="{00000000-0006-0000-0400-000030010000}">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5" authorId="1" shapeId="0" xr:uid="{00000000-0006-0000-0400-000031010000}">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357" authorId="1" shapeId="0" xr:uid="{843953E6-DEEB-4A40-A20F-B97CF3CEBCED}">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361" authorId="1" shapeId="0" xr:uid="{B29D78A2-460B-4E06-A8DF-C10ECF8FE3D2}">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364" authorId="1" shapeId="0" xr:uid="{00000000-0006-0000-0400-0000320100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364" authorId="1" shapeId="0" xr:uid="{00000000-0006-0000-0400-00003301000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364" authorId="1" shapeId="0" xr:uid="{00000000-0006-0000-0400-00003401000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364" authorId="1" shapeId="0" xr:uid="{00000000-0006-0000-0400-00003501000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364" authorId="1" shapeId="0" xr:uid="{00000000-0006-0000-0400-000036010000}">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365" authorId="1" shapeId="0" xr:uid="{00000000-0006-0000-0400-000037010000}">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367" authorId="1" shapeId="0" xr:uid="{E19FEA5A-411E-49E2-9683-64F87DFBC497}">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85" authorId="1" shapeId="0" xr:uid="{3E0C4C77-EE46-4EE4-B640-8EA2115C4C2C}">
      <text>
        <r>
          <rPr>
            <b/>
            <sz val="9"/>
            <color indexed="81"/>
            <rFont val="Tahoma"/>
            <family val="2"/>
          </rPr>
          <t>Bruyns Fred H:</t>
        </r>
        <r>
          <rPr>
            <sz val="9"/>
            <color indexed="81"/>
            <rFont val="Tahoma"/>
            <family val="2"/>
          </rPr>
          <t xml:space="preserve">
Programming note: Output from options buttons, 1, 2, or 3. 1=NA.</t>
        </r>
      </text>
    </comment>
    <comment ref="R386" authorId="1" shapeId="0" xr:uid="{0C0CC0AB-13D6-43EC-9CAE-D1E37C1CD168}">
      <text>
        <r>
          <rPr>
            <b/>
            <sz val="9"/>
            <color indexed="81"/>
            <rFont val="Tahoma"/>
            <family val="2"/>
          </rPr>
          <t>Bruyns Fred H:</t>
        </r>
        <r>
          <rPr>
            <sz val="9"/>
            <color indexed="81"/>
            <rFont val="Tahoma"/>
            <family val="2"/>
          </rPr>
          <t xml:space="preserve">
Programming note: "TRUE" or "FALSE" are output from checkboxes for metacarpal losses.</t>
        </r>
      </text>
    </comment>
    <comment ref="R387" authorId="1" shapeId="0" xr:uid="{87A29096-FE21-4679-A6A7-D32EB6C7740A}">
      <text>
        <r>
          <rPr>
            <b/>
            <sz val="9"/>
            <color indexed="81"/>
            <rFont val="Tahoma"/>
            <family val="2"/>
          </rPr>
          <t>Bruyns Fred H:</t>
        </r>
        <r>
          <rPr>
            <sz val="9"/>
            <color indexed="81"/>
            <rFont val="Tahoma"/>
            <family val="2"/>
          </rPr>
          <t xml:space="preserve">
Programming note: "TRUE" or "FALSE" are output from checkboxes for metacarpal losses.</t>
        </r>
      </text>
    </comment>
    <comment ref="R388" authorId="1" shapeId="0" xr:uid="{DAE2F53B-08C6-45CF-B66D-96213510F211}">
      <text>
        <r>
          <rPr>
            <b/>
            <sz val="9"/>
            <color indexed="81"/>
            <rFont val="Tahoma"/>
            <family val="2"/>
          </rPr>
          <t>Bruyns Fred H:</t>
        </r>
        <r>
          <rPr>
            <sz val="9"/>
            <color indexed="81"/>
            <rFont val="Tahoma"/>
            <family val="2"/>
          </rPr>
          <t xml:space="preserve">
Programming note: "TRUE" or "FALSE" are output from checkboxes for metacarpal losses.</t>
        </r>
      </text>
    </comment>
    <comment ref="R389" authorId="1" shapeId="0" xr:uid="{13914709-1898-4988-9EB1-BDF1191406E9}">
      <text>
        <r>
          <rPr>
            <b/>
            <sz val="9"/>
            <color indexed="81"/>
            <rFont val="Tahoma"/>
            <family val="2"/>
          </rPr>
          <t>Bruyns Fred H:</t>
        </r>
        <r>
          <rPr>
            <sz val="9"/>
            <color indexed="81"/>
            <rFont val="Tahoma"/>
            <family val="2"/>
          </rPr>
          <t xml:space="preserve">
Programming note: "TRUE" or "FALSE" are output from checkboxes for metacarpal losses.</t>
        </r>
      </text>
    </comment>
    <comment ref="R390" authorId="1" shapeId="0" xr:uid="{0282F8E3-0456-4C07-96D3-945C50F9D7EA}">
      <text>
        <r>
          <rPr>
            <b/>
            <sz val="9"/>
            <color indexed="81"/>
            <rFont val="Tahoma"/>
            <family val="2"/>
          </rPr>
          <t>Bruyns Fred H:</t>
        </r>
        <r>
          <rPr>
            <sz val="9"/>
            <color indexed="81"/>
            <rFont val="Tahoma"/>
            <family val="2"/>
          </rPr>
          <t xml:space="preserve">
Programming note: "TRUE" or "FALSE" are output from checkboxes for metacarpal losses.</t>
        </r>
      </text>
    </comment>
    <comment ref="S394" authorId="1" shapeId="0" xr:uid="{9A814C6E-05F4-4CF9-B139-640D04BD2F1F}">
      <text>
        <r>
          <rPr>
            <b/>
            <sz val="9"/>
            <color indexed="81"/>
            <rFont val="Tahoma"/>
            <family val="2"/>
          </rPr>
          <t>Bruyns Fred H:</t>
        </r>
        <r>
          <rPr>
            <sz val="9"/>
            <color indexed="81"/>
            <rFont val="Tahoma"/>
            <family val="2"/>
          </rPr>
          <t xml:space="preserve">
Programming note: 15 degrees of flexion of CMC joint is considered normal - no impairment.</t>
        </r>
      </text>
    </comment>
    <comment ref="V394" authorId="1" shapeId="0" xr:uid="{847065B7-7905-4BDE-959E-76ECA2CE95F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4" authorId="1" shapeId="0" xr:uid="{EF90DDBA-6FCA-4807-BD5B-1DE684F9EBB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 (max/normal). See instructions for this formula under OAR 436-035-0011. </t>
        </r>
      </text>
    </comment>
    <comment ref="S395" authorId="1" shapeId="0" xr:uid="{5A4242F4-0BDD-4649-9382-943B46F12919}">
      <text>
        <r>
          <rPr>
            <b/>
            <sz val="9"/>
            <color indexed="81"/>
            <rFont val="Tahoma"/>
            <family val="2"/>
          </rPr>
          <t>Bruyns Fred H:</t>
        </r>
        <r>
          <rPr>
            <sz val="9"/>
            <color indexed="81"/>
            <rFont val="Tahoma"/>
            <family val="2"/>
          </rPr>
          <t xml:space="preserve">
Programming note: 30 degrees of extension of CMC joint is considered normal - no impairment.</t>
        </r>
      </text>
    </comment>
    <comment ref="V395" authorId="1" shapeId="0" xr:uid="{D2DC24A5-27FD-4156-81C6-DAF12C6E2E8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5" authorId="1" shapeId="0" xr:uid="{379B83A2-7790-4C67-B8A7-E22917A23ED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96" authorId="1" shapeId="0" xr:uid="{BF717A44-8353-46E3-A2B1-3836192134DC}">
      <text>
        <r>
          <rPr>
            <b/>
            <sz val="9"/>
            <color indexed="81"/>
            <rFont val="Tahoma"/>
            <family val="2"/>
          </rPr>
          <t>Bruyns Fred H:</t>
        </r>
        <r>
          <rPr>
            <sz val="9"/>
            <color indexed="81"/>
            <rFont val="Tahoma"/>
            <family val="2"/>
          </rPr>
          <t xml:space="preserve">
Programming note: ankylsosis at 15 degrees of flexion of CMC joint is maximum loss.</t>
        </r>
      </text>
    </comment>
    <comment ref="S397" authorId="1" shapeId="0" xr:uid="{D2256723-FD01-4179-8A90-C1BE4F429686}">
      <text>
        <r>
          <rPr>
            <b/>
            <sz val="9"/>
            <color indexed="81"/>
            <rFont val="Tahoma"/>
            <family val="2"/>
          </rPr>
          <t>Bruyns Fred H:</t>
        </r>
        <r>
          <rPr>
            <sz val="9"/>
            <color indexed="81"/>
            <rFont val="Tahoma"/>
            <family val="2"/>
          </rPr>
          <t xml:space="preserve">
Programming note: ankylsosis at 30 degrees of extension of CMC joint is maximum loss.</t>
        </r>
      </text>
    </comment>
    <comment ref="S400" authorId="1" shapeId="0" xr:uid="{03046997-AC46-4D46-91F3-B23C6CF53659}">
      <text>
        <r>
          <rPr>
            <b/>
            <sz val="9"/>
            <color indexed="81"/>
            <rFont val="Tahoma"/>
            <family val="2"/>
          </rPr>
          <t>Bruyns Fred H:</t>
        </r>
        <r>
          <rPr>
            <sz val="9"/>
            <color indexed="81"/>
            <rFont val="Tahoma"/>
            <family val="2"/>
          </rPr>
          <t xml:space="preserve">
Programming note: 60 degrees of extension of wrist joint is considered normal - no impairment.</t>
        </r>
      </text>
    </comment>
    <comment ref="V400" authorId="1" shapeId="0" xr:uid="{11B1DA2F-E0AF-41C5-BB88-D777D6BD4EB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0" authorId="1" shapeId="0" xr:uid="{426B57CB-53F2-4ADB-A796-CBDB5CC78A6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401" authorId="1" shapeId="0" xr:uid="{93BF4833-A5BA-4175-A7FA-0EAB307EF43D}">
      <text>
        <r>
          <rPr>
            <b/>
            <sz val="9"/>
            <color indexed="81"/>
            <rFont val="Tahoma"/>
            <family val="2"/>
          </rPr>
          <t>Bruyns Fred H:</t>
        </r>
        <r>
          <rPr>
            <sz val="9"/>
            <color indexed="81"/>
            <rFont val="Tahoma"/>
            <family val="2"/>
          </rPr>
          <t xml:space="preserve">
Programming note: 60 degrees of extension ankylosis of wrist joint is maximum loss.</t>
        </r>
      </text>
    </comment>
    <comment ref="S402" authorId="1" shapeId="0" xr:uid="{60D3F686-AC19-4009-93DF-518FF7F081AF}">
      <text>
        <r>
          <rPr>
            <b/>
            <sz val="9"/>
            <color indexed="81"/>
            <rFont val="Tahoma"/>
            <family val="2"/>
          </rPr>
          <t>Bruyns Fred H:</t>
        </r>
        <r>
          <rPr>
            <sz val="9"/>
            <color indexed="81"/>
            <rFont val="Tahoma"/>
            <family val="2"/>
          </rPr>
          <t xml:space="preserve">
Programming note: 70 degrees of flexion (palmar) of wrist joint is considered normal - no impairment.</t>
        </r>
      </text>
    </comment>
    <comment ref="V402" authorId="1" shapeId="0" xr:uid="{15474970-2355-4045-BC7D-FD57B98123FE}">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2" authorId="1" shapeId="0" xr:uid="{7BE33E7E-6BA9-498A-A738-5CE762D54F3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403" authorId="1" shapeId="0" xr:uid="{202ECBFE-5E3A-4C8A-8B04-D5A4F11062CC}">
      <text>
        <r>
          <rPr>
            <b/>
            <sz val="9"/>
            <color indexed="81"/>
            <rFont val="Tahoma"/>
            <family val="2"/>
          </rPr>
          <t>Bruyns Fred H:</t>
        </r>
        <r>
          <rPr>
            <sz val="9"/>
            <color indexed="81"/>
            <rFont val="Tahoma"/>
            <family val="2"/>
          </rPr>
          <t xml:space="preserve">
Programming note: 70 degrees of ankylosis of wrist joint is maximum loss.</t>
        </r>
      </text>
    </comment>
    <comment ref="S404" authorId="1" shapeId="0" xr:uid="{4A0C8969-0582-4EAA-8F70-50951EC730FE}">
      <text>
        <r>
          <rPr>
            <b/>
            <sz val="9"/>
            <color indexed="81"/>
            <rFont val="Tahoma"/>
            <family val="2"/>
          </rPr>
          <t>Bruyns Fred H:</t>
        </r>
        <r>
          <rPr>
            <sz val="9"/>
            <color indexed="81"/>
            <rFont val="Tahoma"/>
            <family val="2"/>
          </rPr>
          <t xml:space="preserve">
Programming note: 20 degrees of radial deviation is considered normal - no impairment.</t>
        </r>
      </text>
    </comment>
    <comment ref="V404" authorId="1" shapeId="0" xr:uid="{7854117E-C8CC-45A2-8B73-DE4ECDBFDBA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4" authorId="1" shapeId="0" xr:uid="{0AAEAF84-58B4-4C9D-B25C-02A59E924C0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405" authorId="1" shapeId="0" xr:uid="{4468B739-6D27-410E-B74B-7063444B1971}">
      <text>
        <r>
          <rPr>
            <b/>
            <sz val="9"/>
            <color indexed="81"/>
            <rFont val="Tahoma"/>
            <family val="2"/>
          </rPr>
          <t>Bruyns Fred H:</t>
        </r>
        <r>
          <rPr>
            <sz val="9"/>
            <color indexed="81"/>
            <rFont val="Tahoma"/>
            <family val="2"/>
          </rPr>
          <t xml:space="preserve">
Programming note: 20 degrees of radial deviation ankylosis is maximum loss.</t>
        </r>
      </text>
    </comment>
    <comment ref="S406" authorId="1" shapeId="0" xr:uid="{08DEFBEF-3C9F-4666-8410-AEF0E08CB1F4}">
      <text>
        <r>
          <rPr>
            <b/>
            <sz val="9"/>
            <color indexed="81"/>
            <rFont val="Tahoma"/>
            <family val="2"/>
          </rPr>
          <t>Bruyns Fred H:</t>
        </r>
        <r>
          <rPr>
            <sz val="9"/>
            <color indexed="81"/>
            <rFont val="Tahoma"/>
            <family val="2"/>
          </rPr>
          <t xml:space="preserve">
Programming note: 30 degrees of ulnar deviation is considered normal - no impairment.</t>
        </r>
      </text>
    </comment>
    <comment ref="V406" authorId="1" shapeId="0" xr:uid="{8E17AF3A-C125-47ED-9A60-6BD5832B950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6" authorId="1" shapeId="0" xr:uid="{DC6BCF89-BD08-4A67-9178-7A543AE53FB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407" authorId="1" shapeId="0" xr:uid="{4E051B88-0C20-4C50-BFBA-BF1B90A20CB2}">
      <text>
        <r>
          <rPr>
            <b/>
            <sz val="9"/>
            <color indexed="81"/>
            <rFont val="Tahoma"/>
            <family val="2"/>
          </rPr>
          <t>Bruyns Fred H:</t>
        </r>
        <r>
          <rPr>
            <sz val="9"/>
            <color indexed="81"/>
            <rFont val="Tahoma"/>
            <family val="2"/>
          </rPr>
          <t xml:space="preserve">
Programming note: 30 degrees of ulnar deviation ankylosis is maximum loss.</t>
        </r>
      </text>
    </comment>
    <comment ref="U411" authorId="1" shapeId="0" xr:uid="{7EB6D161-DD47-4C36-B619-7B0116EF6F3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V411" authorId="1" shapeId="0" xr:uid="{32005BCB-CE5A-4726-BF55-E8284870E15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11" authorId="1" shapeId="0" xr:uid="{8A1A067E-2942-4A13-994E-C6A2E2DFB7D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U418" authorId="1" shapeId="0" xr:uid="{18B58F02-4442-4EB6-A88F-0951747DC25E}">
      <text>
        <r>
          <rPr>
            <b/>
            <sz val="9"/>
            <color indexed="81"/>
            <rFont val="Tahoma"/>
            <family val="2"/>
          </rPr>
          <t>Bruyns Fred H:</t>
        </r>
        <r>
          <rPr>
            <sz val="9"/>
            <color indexed="81"/>
            <rFont val="Tahoma"/>
            <family val="2"/>
          </rPr>
          <t xml:space="preserve">
Programming note: The lists below are used for pull-down menus for injured joint and contralateral joint, and also for formulas.</t>
        </r>
      </text>
    </comment>
    <comment ref="O419" authorId="1" shapeId="0" xr:uid="{2894B8FC-8210-473E-BF8F-3CFA720550FC}">
      <text>
        <r>
          <rPr>
            <b/>
            <sz val="9"/>
            <color indexed="81"/>
            <rFont val="Tahoma"/>
            <family val="2"/>
          </rPr>
          <t>Bruyns Fred H:</t>
        </r>
        <r>
          <rPr>
            <sz val="9"/>
            <color indexed="81"/>
            <rFont val="Tahoma"/>
            <family val="2"/>
          </rPr>
          <t xml:space="preserve">
Programming note: If contralateral impairment is equal to or less than injured part impairment, it is subtracted from the percentage for the injured part, and the adjusted percentage is displayed here.</t>
        </r>
      </text>
    </comment>
    <comment ref="O420" authorId="1" shapeId="0" xr:uid="{518C8A4F-7EA0-429F-9B43-D540A94E980F}">
      <text>
        <r>
          <rPr>
            <b/>
            <sz val="9"/>
            <color indexed="81"/>
            <rFont val="Tahoma"/>
            <family val="2"/>
          </rPr>
          <t>Bruyns Fred H:</t>
        </r>
        <r>
          <rPr>
            <sz val="9"/>
            <color indexed="81"/>
            <rFont val="Tahoma"/>
            <family val="2"/>
          </rPr>
          <t xml:space="preserve">
Programming note: If contralateral impairment is equal to or less than injured part impairment, it is subtracted from the percentage for the injured part, and the adjusted percentage is displayed here.</t>
        </r>
      </text>
    </comment>
    <comment ref="R422" authorId="1" shapeId="0" xr:uid="{C6DFE110-1E57-4CAC-814E-CDAA5D670936}">
      <text>
        <r>
          <rPr>
            <b/>
            <sz val="9"/>
            <color indexed="81"/>
            <rFont val="Tahoma"/>
            <family val="2"/>
          </rPr>
          <t>Bruyns Fred H:</t>
        </r>
        <r>
          <rPr>
            <sz val="9"/>
            <color indexed="81"/>
            <rFont val="Tahoma"/>
            <family val="2"/>
          </rPr>
          <t xml:space="preserve">
Programming note: "TRUE" or "FALSE" are output from the checkboxes to the left.</t>
        </r>
      </text>
    </comment>
    <comment ref="S426" authorId="1" shapeId="0" xr:uid="{DE35571F-FDFA-4D88-B45A-4353977683A3}">
      <text>
        <r>
          <rPr>
            <b/>
            <sz val="9"/>
            <color indexed="81"/>
            <rFont val="Tahoma"/>
            <family val="2"/>
          </rPr>
          <t>Bruyns Fred H:</t>
        </r>
        <r>
          <rPr>
            <sz val="9"/>
            <color indexed="81"/>
            <rFont val="Tahoma"/>
            <family val="2"/>
          </rPr>
          <t xml:space="preserve">
Programming note: Number list to the right is used for a pull-down menu for carpal bone fusions.</t>
        </r>
      </text>
    </comment>
    <comment ref="S427" authorId="1" shapeId="0" xr:uid="{84932266-2E91-430C-B06D-4B3C29298C87}">
      <text>
        <r>
          <rPr>
            <b/>
            <sz val="9"/>
            <color indexed="81"/>
            <rFont val="Tahoma"/>
            <family val="2"/>
          </rPr>
          <t>Bruyns Fred H:</t>
        </r>
        <r>
          <rPr>
            <sz val="9"/>
            <color indexed="81"/>
            <rFont val="Tahoma"/>
            <family val="2"/>
          </rPr>
          <t xml:space="preserve">
Programming note: Number list to the right is used for a pull-down menu for carpal bone replacements.</t>
        </r>
      </text>
    </comment>
    <comment ref="S428" authorId="1" shapeId="0" xr:uid="{F944FD8B-89A1-433E-A4B6-BCFCAB5CF4CE}">
      <text>
        <r>
          <rPr>
            <b/>
            <sz val="9"/>
            <color indexed="81"/>
            <rFont val="Tahoma"/>
            <family val="2"/>
          </rPr>
          <t>Bruyns Fred H:</t>
        </r>
        <r>
          <rPr>
            <sz val="9"/>
            <color indexed="81"/>
            <rFont val="Tahoma"/>
            <family val="2"/>
          </rPr>
          <t xml:space="preserve">
Programming note: Number list to the right is used for a pull-down menu for carpal bone removals with replacements.</t>
        </r>
      </text>
    </comment>
    <comment ref="R431" authorId="1" shapeId="0" xr:uid="{5F2B4913-2545-4D13-8596-C393D168EC04}">
      <text>
        <r>
          <rPr>
            <b/>
            <sz val="9"/>
            <color indexed="81"/>
            <rFont val="Tahoma"/>
            <family val="2"/>
          </rPr>
          <t>Bruyns Fred H:</t>
        </r>
        <r>
          <rPr>
            <sz val="9"/>
            <color indexed="81"/>
            <rFont val="Tahoma"/>
            <family val="2"/>
          </rPr>
          <t xml:space="preserve">
Programming note: Short lists to the right are used for pull-down menus in chart to the left.</t>
        </r>
      </text>
    </comment>
    <comment ref="R444" authorId="1" shapeId="0" xr:uid="{AC3385C3-4CA2-451B-A6C9-929A736A68A4}">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445" authorId="1" shapeId="0" xr:uid="{E792D3F6-A586-4624-8DBD-34BF210FE99C}">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T445" authorId="1" shapeId="0" xr:uid="{3083E7D8-4000-4496-BE9C-D631661C0CFA}">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45" authorId="1" shapeId="0" xr:uid="{95F17BF1-50FB-4658-82F1-83FD379A29CF}">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45" authorId="1" shapeId="0" xr:uid="{AAD31DB0-A740-4B8B-A245-5213DCFB2D78}">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45" authorId="1" shapeId="0" xr:uid="{3A74AFD8-51AB-4D75-B3DD-7DEB46716D9F}">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45" authorId="1" shapeId="0" xr:uid="{3C256DD7-3F9A-4CBB-BF19-A7D6A963EC40}">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45" authorId="1" shapeId="0" xr:uid="{9B0570BC-BB54-420F-9290-803B40491A9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445" authorId="1" shapeId="0" xr:uid="{0EFAB935-88D7-4335-85E8-81CA5EC0CAE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445" authorId="1" shapeId="0" xr:uid="{E65E3D60-29C9-4370-BCDA-73520D9A29D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445" authorId="1" shapeId="0" xr:uid="{EBEC7E34-07B4-489C-8EC7-59746B29C0B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445" authorId="1" shapeId="0" xr:uid="{E1026F95-5F6D-41AD-BC7D-DED26CBFAC5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445" authorId="1" shapeId="0" xr:uid="{65041099-41E7-41BB-A7B1-D6F71C448426}">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Z446" authorId="1" shapeId="0" xr:uid="{DE4626C7-A551-48CA-8EA2-BAD3E4B2097A}">
      <text>
        <r>
          <rPr>
            <b/>
            <sz val="9"/>
            <color indexed="81"/>
            <rFont val="Tahoma"/>
            <family val="2"/>
          </rPr>
          <t>Bruyns Fred H:</t>
        </r>
        <r>
          <rPr>
            <sz val="9"/>
            <color indexed="81"/>
            <rFont val="Tahoma"/>
            <family val="2"/>
          </rPr>
          <t xml:space="preserve">
Programming note: This value is for the radial nerve.</t>
        </r>
      </text>
    </comment>
    <comment ref="AE446" authorId="1" shapeId="0" xr:uid="{5DD93303-3E0A-49D3-86C5-26CA149AE054}">
      <text>
        <r>
          <rPr>
            <b/>
            <sz val="9"/>
            <color indexed="81"/>
            <rFont val="Tahoma"/>
            <family val="2"/>
          </rPr>
          <t>Bruyns Fred H:</t>
        </r>
        <r>
          <rPr>
            <sz val="9"/>
            <color indexed="81"/>
            <rFont val="Tahoma"/>
            <family val="2"/>
          </rPr>
          <t xml:space="preserve">
Programming note: This value is for the C-5 spinal nerve root.</t>
        </r>
      </text>
    </comment>
    <comment ref="Z447" authorId="1" shapeId="0" xr:uid="{EAF04428-C133-4D9B-809C-8D69683CF87C}">
      <text>
        <r>
          <rPr>
            <b/>
            <sz val="9"/>
            <color indexed="81"/>
            <rFont val="Tahoma"/>
            <family val="2"/>
          </rPr>
          <t>Bruyns Fred H:</t>
        </r>
        <r>
          <rPr>
            <sz val="9"/>
            <color indexed="81"/>
            <rFont val="Tahoma"/>
            <family val="2"/>
          </rPr>
          <t xml:space="preserve">
Programming note: This value is for the median nerve.</t>
        </r>
      </text>
    </comment>
    <comment ref="AE447" authorId="1" shapeId="0" xr:uid="{B131E36A-F63B-4EB4-8731-5940E9AAB0B0}">
      <text>
        <r>
          <rPr>
            <b/>
            <sz val="9"/>
            <color indexed="81"/>
            <rFont val="Tahoma"/>
            <family val="2"/>
          </rPr>
          <t>Bruyns Fred H:</t>
        </r>
        <r>
          <rPr>
            <sz val="9"/>
            <color indexed="81"/>
            <rFont val="Tahoma"/>
            <family val="2"/>
          </rPr>
          <t xml:space="preserve">
Programming note: This value is for the C-6 spinal nerve root.</t>
        </r>
      </text>
    </comment>
    <comment ref="Z448" authorId="1" shapeId="0" xr:uid="{DEE958D0-9EFB-4C36-A668-C32A97ECF42B}">
      <text>
        <r>
          <rPr>
            <b/>
            <sz val="9"/>
            <color indexed="81"/>
            <rFont val="Tahoma"/>
            <family val="2"/>
          </rPr>
          <t>Bruyns Fred H:</t>
        </r>
        <r>
          <rPr>
            <sz val="9"/>
            <color indexed="81"/>
            <rFont val="Tahoma"/>
            <family val="2"/>
          </rPr>
          <t xml:space="preserve">
Programming note: This value is for the ulnar nerve.</t>
        </r>
      </text>
    </comment>
    <comment ref="AE448" authorId="1" shapeId="0" xr:uid="{324EB5D5-A1E8-436A-AE4D-C26AF8436305}">
      <text>
        <r>
          <rPr>
            <b/>
            <sz val="9"/>
            <color indexed="81"/>
            <rFont val="Tahoma"/>
            <family val="2"/>
          </rPr>
          <t>Bruyns Fred H:</t>
        </r>
        <r>
          <rPr>
            <sz val="9"/>
            <color indexed="81"/>
            <rFont val="Tahoma"/>
            <family val="2"/>
          </rPr>
          <t xml:space="preserve">
Programming note: This value is for the C-7 spinal nerve root.</t>
        </r>
      </text>
    </comment>
    <comment ref="AE449" authorId="1" shapeId="0" xr:uid="{5D79B2F7-3C1C-408C-A4BA-CEB99F12FE18}">
      <text>
        <r>
          <rPr>
            <b/>
            <sz val="9"/>
            <color indexed="81"/>
            <rFont val="Tahoma"/>
            <family val="2"/>
          </rPr>
          <t>Bruyns Fred H:</t>
        </r>
        <r>
          <rPr>
            <sz val="9"/>
            <color indexed="81"/>
            <rFont val="Tahoma"/>
            <family val="2"/>
          </rPr>
          <t xml:space="preserve">
Programming note: This value is for the C-8 spinal nerve root.</t>
        </r>
      </text>
    </comment>
    <comment ref="AE450" authorId="1" shapeId="0" xr:uid="{81A73FBF-3072-4C95-8DBC-BF242A81F8E1}">
      <text>
        <r>
          <rPr>
            <b/>
            <sz val="9"/>
            <color indexed="81"/>
            <rFont val="Tahoma"/>
            <family val="2"/>
          </rPr>
          <t>Bruyns Fred H:</t>
        </r>
        <r>
          <rPr>
            <sz val="9"/>
            <color indexed="81"/>
            <rFont val="Tahoma"/>
            <family val="2"/>
          </rPr>
          <t xml:space="preserve">
Programming note: This value is for the T-1 spinal nerve root.</t>
        </r>
      </text>
    </comment>
    <comment ref="T453" authorId="1" shapeId="0" xr:uid="{A5DEE0BE-E7F1-46CB-AF90-6AC221C4689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3" authorId="1" shapeId="0" xr:uid="{04857CB3-745C-4BFC-86FA-13848C2FF48C}">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3" authorId="1" shapeId="0" xr:uid="{31A8B59A-B937-4CFE-9D77-31124D304CDD}">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3" authorId="1" shapeId="0" xr:uid="{ED4FA9A7-BDD1-47C1-97C3-3281548B8BE5}">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3" authorId="1" shapeId="0" xr:uid="{99E17A9B-4924-4375-B2DC-582F37837CFF}">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E453" authorId="1" shapeId="0" xr:uid="{43FF337D-CE72-4C13-8C1E-634BF776B7B4}">
      <text>
        <r>
          <rPr>
            <b/>
            <sz val="9"/>
            <color indexed="81"/>
            <rFont val="Tahoma"/>
            <family val="2"/>
          </rPr>
          <t>Bruyns Fred H:</t>
        </r>
        <r>
          <rPr>
            <sz val="9"/>
            <color indexed="81"/>
            <rFont val="Tahoma"/>
            <family val="2"/>
          </rPr>
          <t xml:space="preserve">
Programming note: This value is for the musculocutaneous nerve.</t>
        </r>
      </text>
    </comment>
    <comment ref="AE454" authorId="1" shapeId="0" xr:uid="{6FD01C4B-8159-46B2-B31A-881E033AC05C}">
      <text>
        <r>
          <rPr>
            <b/>
            <sz val="9"/>
            <color indexed="81"/>
            <rFont val="Tahoma"/>
            <family val="2"/>
          </rPr>
          <t>Bruyns Fred H:</t>
        </r>
        <r>
          <rPr>
            <sz val="9"/>
            <color indexed="81"/>
            <rFont val="Tahoma"/>
            <family val="2"/>
          </rPr>
          <t xml:space="preserve">
Programming note: This value is for the radial nerve - arm portion.</t>
        </r>
      </text>
    </comment>
    <comment ref="T459" authorId="1" shapeId="0" xr:uid="{81705FDE-98F1-486B-AB93-948651FED3AC}">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9" authorId="1" shapeId="0" xr:uid="{F6829B68-989A-4CF8-9269-BBA795D8CB68}">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9" authorId="1" shapeId="0" xr:uid="{7B6D0752-8A6E-44FD-8BE9-B4C425ADF0AA}">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9" authorId="1" shapeId="0" xr:uid="{CDFA6125-A7A9-469D-866E-E5005B152F4B}">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9" authorId="1" shapeId="0" xr:uid="{F18AEAC5-9E19-4391-AF61-5CA127B6841D}">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60" authorId="1" shapeId="0" xr:uid="{C93B73C7-30FD-4CD8-870E-E86A3AD7DAD8}">
      <text>
        <r>
          <rPr>
            <b/>
            <sz val="9"/>
            <color indexed="81"/>
            <rFont val="Tahoma"/>
            <family val="2"/>
          </rPr>
          <t>Bruyns Fred H:</t>
        </r>
        <r>
          <rPr>
            <sz val="9"/>
            <color indexed="81"/>
            <rFont val="Tahoma"/>
            <family val="2"/>
          </rPr>
          <t xml:space="preserve">
Programming note: 1=NA, 2=upper arm with loss of triceps; 3=triceps only</t>
        </r>
      </text>
    </comment>
    <comment ref="P461" authorId="1" shapeId="0" xr:uid="{F41B081C-958F-4959-AB99-DEFC3B1C9BB1}">
      <text>
        <r>
          <rPr>
            <b/>
            <sz val="9"/>
            <color indexed="81"/>
            <rFont val="Tahoma"/>
            <family val="2"/>
          </rPr>
          <t>Bruyns Fred H:</t>
        </r>
        <r>
          <rPr>
            <sz val="9"/>
            <color indexed="81"/>
            <rFont val="Tahoma"/>
            <family val="2"/>
          </rPr>
          <t xml:space="preserve">
Programming note: If only triceps is checked for the upper arm, and a strength grade is entered - formula returns "ERROR" for this cell. 
In another cell, user is reminded to check box for "Triceps only," which is equal to 25% of the arm.</t>
        </r>
      </text>
    </comment>
    <comment ref="B465" authorId="1" shapeId="0" xr:uid="{209FE887-F105-4411-B51D-97B5BAD4F22F}">
      <text>
        <r>
          <rPr>
            <b/>
            <sz val="9"/>
            <color indexed="81"/>
            <rFont val="Tahoma"/>
            <family val="2"/>
          </rPr>
          <t>Bruyns Fred H:</t>
        </r>
        <r>
          <rPr>
            <sz val="9"/>
            <color indexed="81"/>
            <rFont val="Tahoma"/>
            <family val="2"/>
          </rPr>
          <t xml:space="preserve">
Programming note: If "ERROR" is present in the cell for adjusted triceps strength, formula reminds user to check the box for "Triceps only." </t>
        </r>
      </text>
    </comment>
    <comment ref="T466" authorId="1" shapeId="0" xr:uid="{4645BB5D-9C1A-42D6-BF71-660C09FE2AA7}">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66" authorId="1" shapeId="0" xr:uid="{BFA4ADBC-5BF6-45F2-A9AD-5982A282B351}">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66" authorId="1" shapeId="0" xr:uid="{EC0A37F6-C5A8-4670-9124-6CDFBD3FC117}">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66" authorId="1" shapeId="0" xr:uid="{AC176D1F-D93C-402B-83B4-FBCEE1F9E54B}">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66" authorId="1" shapeId="0" xr:uid="{293F7AE4-F8AF-439B-A211-40C78AAB107D}">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78" authorId="1" shapeId="0" xr:uid="{081A8A48-CDC1-4515-A165-1E21B715F94E}">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78" authorId="1" shapeId="0" xr:uid="{B7FA393C-DDD7-4263-888D-FFEA0E02BFDF}">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78" authorId="1" shapeId="0" xr:uid="{E07796BD-48A6-40C9-8B77-4B4757DEB99C}">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78" authorId="1" shapeId="0" xr:uid="{7DB39637-F6C2-4F32-82FD-BCA4D2906A78}">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78" authorId="1" shapeId="0" xr:uid="{66EC3DEB-EB2A-48B7-9ED9-17E15DEB6D23}">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94" authorId="1" shapeId="0" xr:uid="{80DBBF05-0328-4724-9EDE-DA7D703D5FE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94" authorId="1" shapeId="0" xr:uid="{5F14B851-DAE6-4FD1-A715-2AB73DDA47D6}">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94" authorId="1" shapeId="0" xr:uid="{93A6DF0C-B1EE-4EBF-A146-8D9AD9123B6C}">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94" authorId="1" shapeId="0" xr:uid="{A7ABAE84-A1F5-4368-B239-464CCA0F57A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94" authorId="1" shapeId="0" xr:uid="{FF9400F4-1852-417D-B241-C1EF73ECB588}">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517" authorId="1" shapeId="0" xr:uid="{0C439CE2-F74C-4F3C-9807-7F53AD239F0C}">
      <text>
        <r>
          <rPr>
            <b/>
            <sz val="9"/>
            <color indexed="81"/>
            <rFont val="Tahoma"/>
            <family val="2"/>
          </rPr>
          <t>Bruyns Fred H:</t>
        </r>
        <r>
          <rPr>
            <sz val="9"/>
            <color indexed="81"/>
            <rFont val="Tahoma"/>
            <family val="2"/>
          </rPr>
          <t xml:space="preserve">
Programming note: Digit values are multiplied by maximum degree values for each digit - 48 for thumb, 24 for index, 22 for middle, 10 for ring, and 6 degrees for little finger.</t>
        </r>
      </text>
    </comment>
    <comment ref="U517" authorId="1" shapeId="0" xr:uid="{F8685E56-83B1-4E15-A3C3-000A37D01AB2}">
      <text>
        <r>
          <rPr>
            <b/>
            <sz val="9"/>
            <color indexed="81"/>
            <rFont val="Tahoma"/>
            <family val="2"/>
          </rPr>
          <t>Bruyns Fred H:</t>
        </r>
        <r>
          <rPr>
            <sz val="9"/>
            <color indexed="81"/>
            <rFont val="Tahoma"/>
            <family val="2"/>
          </rPr>
          <t xml:space="preserve">
Programming note: Converted digit-to-hand values are multiplied by maximum degree value for the hand - 150 degrees.</t>
        </r>
      </text>
    </comment>
    <comment ref="V517" authorId="1" shapeId="0" xr:uid="{294AB8D0-8B7F-4B74-BA61-D2BA85EE5CF4}">
      <text>
        <r>
          <rPr>
            <b/>
            <sz val="9"/>
            <color indexed="81"/>
            <rFont val="Tahoma"/>
            <family val="2"/>
          </rPr>
          <t>Bruyns Fred H:</t>
        </r>
        <r>
          <rPr>
            <sz val="9"/>
            <color indexed="81"/>
            <rFont val="Tahoma"/>
            <family val="2"/>
          </rPr>
          <t xml:space="preserve">
Programming note: Digit values are multiplied by maximum whole-person values for each digit, 15% for thumb, 8% for index, 7% for middle, 3% for ring, and 2% for little finger. The minimum whole-person value is 1%.</t>
        </r>
      </text>
    </comment>
    <comment ref="W517" authorId="1" shapeId="0" xr:uid="{9832B507-B455-4DB5-AE9E-9FA604F4DCB1}">
      <text>
        <r>
          <rPr>
            <b/>
            <sz val="9"/>
            <color indexed="81"/>
            <rFont val="Tahoma"/>
            <family val="2"/>
          </rPr>
          <t>Bruyns Fred H:</t>
        </r>
        <r>
          <rPr>
            <sz val="9"/>
            <color indexed="81"/>
            <rFont val="Tahoma"/>
            <family val="2"/>
          </rPr>
          <t xml:space="preserve">
Programming note: The sum of converted digit-to-hand values is multiplied by the whole-person value for the hand - 47%.</t>
        </r>
      </text>
    </comment>
    <comment ref="Z517" authorId="1" shapeId="0" xr:uid="{48800791-42A9-4961-87BB-FCF1B21DE31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17" authorId="1" shapeId="0" xr:uid="{64B1B5A9-F4F0-44E9-AB44-88055D7BF09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B517" authorId="1" shapeId="0" xr:uid="{4A9E9A94-BCD0-4846-8FFE-3CE900DA947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T523" authorId="1" shapeId="0" xr:uid="{688F620F-1C69-4669-ABB7-FF636D8311EB}">
      <text>
        <r>
          <rPr>
            <b/>
            <sz val="9"/>
            <color indexed="81"/>
            <rFont val="Tahoma"/>
            <family val="2"/>
          </rPr>
          <t>Bruyns Fred H:</t>
        </r>
        <r>
          <rPr>
            <sz val="9"/>
            <color indexed="81"/>
            <rFont val="Tahoma"/>
            <family val="2"/>
          </rPr>
          <t xml:space="preserve">
Programming note: Sum of digit values.</t>
        </r>
      </text>
    </comment>
    <comment ref="U523" authorId="1" shapeId="0" xr:uid="{FE353374-21A4-418C-B028-A3EFAB7C2487}">
      <text>
        <r>
          <rPr>
            <b/>
            <sz val="9"/>
            <color indexed="81"/>
            <rFont val="Tahoma"/>
            <family val="2"/>
          </rPr>
          <t>Bruyns Fred H:</t>
        </r>
        <r>
          <rPr>
            <sz val="9"/>
            <color indexed="81"/>
            <rFont val="Tahoma"/>
            <family val="2"/>
          </rPr>
          <t xml:space="preserve">
Programming note: Sum of converted digit-to-hand values.</t>
        </r>
      </text>
    </comment>
    <comment ref="V523" authorId="1" shapeId="0" xr:uid="{ECA01F8F-CBC8-4958-AC7A-65A894AB2283}">
      <text>
        <r>
          <rPr>
            <b/>
            <sz val="9"/>
            <color indexed="81"/>
            <rFont val="Tahoma"/>
            <family val="2"/>
          </rPr>
          <t>Bruyns Fred H:</t>
        </r>
        <r>
          <rPr>
            <sz val="9"/>
            <color indexed="81"/>
            <rFont val="Tahoma"/>
            <family val="2"/>
          </rPr>
          <t xml:space="preserve">
Programming note: The digit values are combined.</t>
        </r>
      </text>
    </comment>
    <comment ref="B524" authorId="1" shapeId="0" xr:uid="{28D899E2-929E-4D27-8CA1-7A58AA608530}">
      <text>
        <r>
          <rPr>
            <b/>
            <sz val="9"/>
            <color indexed="81"/>
            <rFont val="Tahoma"/>
            <family val="2"/>
          </rPr>
          <t>Bruyns Fred H:</t>
        </r>
        <r>
          <rPr>
            <sz val="9"/>
            <color indexed="81"/>
            <rFont val="Tahoma"/>
            <family val="2"/>
          </rPr>
          <t xml:space="preserve">
Programming note: If there are any digit impairment values, this area wiill display an appropriate message about whether conversion of digits to a hand value is necessary.</t>
        </r>
      </text>
    </comment>
    <comment ref="AK531" authorId="1" shapeId="0" xr:uid="{B5A88FD7-D0AA-4D0B-8D60-034E0A81AEB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K532" authorId="1" shapeId="0" xr:uid="{F5827F02-EDF4-47DF-8E03-2DD58EEC2B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K533" authorId="1" shapeId="0" xr:uid="{7999E2DA-D9EC-4D32-AE11-20284A4E68A9}">
      <text>
        <r>
          <rPr>
            <b/>
            <sz val="9"/>
            <color indexed="81"/>
            <rFont val="Tahoma"/>
            <family val="2"/>
          </rPr>
          <t>Bruyns Fred H:</t>
        </r>
        <r>
          <rPr>
            <sz val="9"/>
            <color indexed="81"/>
            <rFont val="Tahoma"/>
            <family val="2"/>
          </rPr>
          <t xml:space="preserve">
Programming note: Combined values above are rounded in this row. The value at the end of the row is the total impairment value for the hand.</t>
        </r>
      </text>
    </comment>
    <comment ref="E534" authorId="1" shapeId="0" xr:uid="{80CA6606-3F13-4AF5-BE57-BF707B55E4E3}">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34" authorId="1" shapeId="0" xr:uid="{58095C29-B3CB-4E2F-8D35-81183105AF94}">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hand, ROM apportionment is greyed out for the hand.</t>
        </r>
      </text>
    </comment>
    <comment ref="Y534" authorId="1" shapeId="0" xr:uid="{D38DEA70-4C72-418B-A457-F3629D5373AB}">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calculation is the ROM times the apportionmant percentage, if any.</t>
        </r>
      </text>
    </comment>
    <comment ref="AA534" authorId="1" shapeId="0" xr:uid="{8DA5CD27-9B6A-45B1-8363-8AC3443AC33F}">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535" authorId="1" shapeId="0" xr:uid="{6C0FCF32-7B10-4F69-AA03-5F54971AE66E}">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Y535" authorId="1" shapeId="0" xr:uid="{72C67753-205F-4059-BC0A-AB72EB11EA71}">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calculation is the ROM times the apportionmant percentage, if any.</t>
        </r>
      </text>
    </comment>
    <comment ref="AA535" authorId="1" shapeId="0" xr:uid="{DC2EAB01-E00E-4767-90EE-0335749304CA}">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551" authorId="1" shapeId="0" xr:uid="{408B7EB0-A6D1-477D-88D6-847DE2EF780A}">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552" authorId="1" shapeId="0" xr:uid="{04BA8005-9B8D-486C-9CBC-4C4611AC77D1}">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R558" authorId="1" shapeId="0" xr:uid="{1757DCC2-E227-4AA1-9A82-B2BEE5D9EC43}">
      <text>
        <r>
          <rPr>
            <b/>
            <sz val="9"/>
            <color indexed="81"/>
            <rFont val="Tahoma"/>
            <family val="2"/>
          </rPr>
          <t>Bruyns Fred H:</t>
        </r>
        <r>
          <rPr>
            <sz val="9"/>
            <color indexed="81"/>
            <rFont val="Tahoma"/>
            <family val="2"/>
          </rPr>
          <t xml:space="preserve">
Programming note: Output from option buttons for amputation</t>
        </r>
      </text>
    </comment>
    <comment ref="S562" authorId="1" shapeId="0" xr:uid="{62FAC780-57E0-4722-BF29-169D96D8AFE1}">
      <text>
        <r>
          <rPr>
            <b/>
            <sz val="9"/>
            <color indexed="81"/>
            <rFont val="Tahoma"/>
            <family val="2"/>
          </rPr>
          <t>Bruyns Fred H:</t>
        </r>
        <r>
          <rPr>
            <sz val="9"/>
            <color indexed="81"/>
            <rFont val="Tahoma"/>
            <family val="2"/>
          </rPr>
          <t xml:space="preserve">
Programming note: 150 degrees of flexion of elbow joint is considered maximum normal. See OAR 436-035-0100.</t>
        </r>
      </text>
    </comment>
    <comment ref="V562" authorId="1" shapeId="0" xr:uid="{CF031E5D-AFCD-4604-A8FF-F3BE11B5C49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2" authorId="1" shapeId="0" xr:uid="{B766FAC2-8143-4AF7-AD74-6CF6EC2920C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563" authorId="1" shapeId="0" xr:uid="{1707494E-48B7-4F0D-A58C-EF5FA6A12B9B}">
      <text>
        <r>
          <rPr>
            <b/>
            <sz val="9"/>
            <color indexed="81"/>
            <rFont val="Tahoma"/>
            <family val="2"/>
          </rPr>
          <t>Bruyns Fred H:</t>
        </r>
        <r>
          <rPr>
            <sz val="9"/>
            <color indexed="81"/>
            <rFont val="Tahoma"/>
            <family val="2"/>
          </rPr>
          <t xml:space="preserve">
Programming note: 150 degrees of flexion ankylosis of the elbow joint is considered maximum loss. See OAR 436-035-0100.</t>
        </r>
      </text>
    </comment>
    <comment ref="S564" authorId="1" shapeId="0" xr:uid="{90B8E877-3BB5-4F42-8830-2E1B89E50723}">
      <text>
        <r>
          <rPr>
            <b/>
            <sz val="9"/>
            <color indexed="81"/>
            <rFont val="Tahoma"/>
            <family val="2"/>
          </rPr>
          <t>Bruyns Fred H:</t>
        </r>
        <r>
          <rPr>
            <sz val="9"/>
            <color indexed="81"/>
            <rFont val="Tahoma"/>
            <family val="2"/>
          </rPr>
          <t xml:space="preserve">
Programming note: 150 degrees of extension of elbow joint is considered maximum loss. See OAR 436-035-0100.</t>
        </r>
      </text>
    </comment>
    <comment ref="V564" authorId="1" shapeId="0" xr:uid="{CCC113B6-E97C-40E6-A4D9-E2B6AAC32AB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564" authorId="1" shapeId="0" xr:uid="{AA92533F-F106-423A-A24E-F93EEA834FA1}">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564" authorId="1" shapeId="0" xr:uid="{B7DBAC5F-62B3-4BB8-9C86-92B8CFEE1C79}">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564" authorId="1" shapeId="0" xr:uid="{BD66406C-67FB-4ACC-85B2-DF4717865CA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S565" authorId="1" shapeId="0" xr:uid="{BAFC5878-AF39-4585-9ED8-A5B521A29038}">
      <text>
        <r>
          <rPr>
            <b/>
            <sz val="9"/>
            <color indexed="81"/>
            <rFont val="Tahoma"/>
            <family val="2"/>
          </rPr>
          <t>Bruyns Fred H:</t>
        </r>
        <r>
          <rPr>
            <sz val="9"/>
            <color indexed="81"/>
            <rFont val="Tahoma"/>
            <family val="2"/>
          </rPr>
          <t xml:space="preserve">
Programming note: 150 degrees of extension ankylosis of the elbow joint is considered maximum loss. See OAR 436-035-0100.</t>
        </r>
      </text>
    </comment>
    <comment ref="S566" authorId="1" shapeId="0" xr:uid="{29879D20-2272-458B-8B54-E2BA08B3D0B9}">
      <text>
        <r>
          <rPr>
            <b/>
            <sz val="9"/>
            <color indexed="81"/>
            <rFont val="Tahoma"/>
            <family val="2"/>
          </rPr>
          <t>Bruyns Fred H:</t>
        </r>
        <r>
          <rPr>
            <sz val="9"/>
            <color indexed="81"/>
            <rFont val="Tahoma"/>
            <family val="2"/>
          </rPr>
          <t xml:space="preserve">
Programming note: 80 degrees of supination of elbow joint is considered maximum normal. See OAR 436-035-0100.</t>
        </r>
      </text>
    </comment>
    <comment ref="V566" authorId="1" shapeId="0" xr:uid="{5283F2B1-3E49-4A5F-A803-6E4379F5E8D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6" authorId="1" shapeId="0" xr:uid="{17C79DAF-8915-442C-9D3C-F84D4A01099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67" authorId="1" shapeId="0" xr:uid="{DD2F88D3-7F47-46BD-9A99-5AD90D5BD926}">
      <text>
        <r>
          <rPr>
            <b/>
            <sz val="9"/>
            <color indexed="81"/>
            <rFont val="Tahoma"/>
            <family val="2"/>
          </rPr>
          <t>Bruyns Fred H:</t>
        </r>
        <r>
          <rPr>
            <sz val="9"/>
            <color indexed="81"/>
            <rFont val="Tahoma"/>
            <family val="2"/>
          </rPr>
          <t xml:space="preserve">
Programming note: 80 degrees of supination ankylosis of the elbow joint is considered maximum loss. See OAR 436-035-0100.</t>
        </r>
      </text>
    </comment>
    <comment ref="S568" authorId="1" shapeId="0" xr:uid="{65711C05-CE6E-4B35-A500-93C99B4024B2}">
      <text>
        <r>
          <rPr>
            <b/>
            <sz val="9"/>
            <color indexed="81"/>
            <rFont val="Tahoma"/>
            <family val="2"/>
          </rPr>
          <t>Bruyns Fred H:</t>
        </r>
        <r>
          <rPr>
            <sz val="9"/>
            <color indexed="81"/>
            <rFont val="Tahoma"/>
            <family val="2"/>
          </rPr>
          <t xml:space="preserve">
Programming note: 80 degrees of pronation of elbow joint is considered maximum normal. See OAR 436-035-0100.</t>
        </r>
      </text>
    </comment>
    <comment ref="V568" authorId="1" shapeId="0" xr:uid="{0A1F6D8E-7B76-4A5E-9C28-7B72A1EEBB7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8" authorId="1" shapeId="0" xr:uid="{E72BA2A4-3404-4406-A7BF-2125DB34CD8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69" authorId="1" shapeId="0" xr:uid="{4F800FBD-D62F-468A-9704-D69B67606070}">
      <text>
        <r>
          <rPr>
            <b/>
            <sz val="9"/>
            <color indexed="81"/>
            <rFont val="Tahoma"/>
            <family val="2"/>
          </rPr>
          <t>Bruyns Fred H:</t>
        </r>
        <r>
          <rPr>
            <sz val="9"/>
            <color indexed="81"/>
            <rFont val="Tahoma"/>
            <family val="2"/>
          </rPr>
          <t xml:space="preserve">
Programming note: 80 degrees of pronation ankylosis of the elbow joint is considered maximum loss. See OAR 436-035-0100.</t>
        </r>
      </text>
    </comment>
    <comment ref="S594" authorId="1" shapeId="0" xr:uid="{9DEB6D20-AEEC-4FCA-AB0A-5EB12B9F188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594" authorId="1" shapeId="0" xr:uid="{5EA4CECD-98C2-4E87-BE51-BA03A4913D9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U594" authorId="1" shapeId="0" xr:uid="{8E529000-01CC-4F30-BA52-BDF8F45F25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E596" authorId="1" shapeId="0" xr:uid="{9DF71FE4-7D9E-4583-9A32-96746F76668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96" authorId="1" shapeId="0" xr:uid="{B3C1EB38-206A-4639-A52C-C395D1911363}">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arm, ROM apportionment is greyed out for the arm.</t>
        </r>
      </text>
    </comment>
    <comment ref="Y596" authorId="1" shapeId="0" xr:uid="{7053CD6E-5F4D-4B41-B8E6-AE2871174853}">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formula returns the product of the ROM value times the apportionment percentage, if any. </t>
        </r>
      </text>
    </comment>
    <comment ref="AA597" authorId="1" shapeId="0" xr:uid="{4D625FE2-A047-4331-AA28-FD21C74D8FBD}">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605" authorId="1" shapeId="0" xr:uid="{19D06C9A-FE10-4069-961E-77DE6D2FC666}">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606" authorId="1" shapeId="0" xr:uid="{BC78A546-FDA4-4362-B166-064CE91B165E}">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U618" authorId="1" shapeId="0" xr:uid="{A9308838-4008-459B-BFFC-EC7B2275722E}">
      <text>
        <r>
          <rPr>
            <b/>
            <sz val="9"/>
            <color indexed="81"/>
            <rFont val="Tahoma"/>
            <family val="2"/>
          </rPr>
          <t>Bruyns Fred H:</t>
        </r>
        <r>
          <rPr>
            <sz val="9"/>
            <color indexed="81"/>
            <rFont val="Tahoma"/>
            <family val="2"/>
          </rPr>
          <t xml:space="preserve">
programming note: Only if arm impairment is present is the hand/forearm value converted to an arm value.</t>
        </r>
      </text>
    </comment>
    <comment ref="C626" authorId="1" shapeId="0" xr:uid="{A3B3FA05-902C-410F-BD73-ED754CE62772}">
      <text>
        <r>
          <rPr>
            <b/>
            <sz val="9"/>
            <color indexed="81"/>
            <rFont val="Tahoma"/>
            <family val="2"/>
          </rPr>
          <t>Bruyns Fred H:</t>
        </r>
        <r>
          <rPr>
            <sz val="9"/>
            <color indexed="81"/>
            <rFont val="Tahoma"/>
            <family val="2"/>
          </rPr>
          <t xml:space="preserve">
Programming note: This date is copied in from the "Start here" worksheet.</t>
        </r>
      </text>
    </comment>
    <comment ref="R628" authorId="1" shapeId="0" xr:uid="{1F5435AD-1BAB-477A-96E7-AC604DDC1C49}">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28F58CA6-DC31-48EB-99A4-12D305BDAA36}">
      <text>
        <r>
          <rPr>
            <b/>
            <sz val="9"/>
            <color indexed="81"/>
            <rFont val="Tahoma"/>
            <family val="2"/>
          </rPr>
          <t>Bruyns Fred H:</t>
        </r>
        <r>
          <rPr>
            <sz val="9"/>
            <color indexed="81"/>
            <rFont val="Tahoma"/>
            <family val="2"/>
          </rPr>
          <t xml:space="preserve">
Programming note: See table in OAR 436-035-0260.</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5F3AD4D1-5B79-4B00-8CA3-EE30BC2B5989}">
      <text>
        <r>
          <rPr>
            <b/>
            <sz val="9"/>
            <color indexed="81"/>
            <rFont val="Tahoma"/>
            <family val="2"/>
          </rPr>
          <t>Bruyns Fred H:</t>
        </r>
        <r>
          <rPr>
            <sz val="9"/>
            <color indexed="81"/>
            <rFont val="Tahoma"/>
            <family val="2"/>
          </rPr>
          <t xml:space="preserve">
The table in this worksheet has the percentages of impairment for the retained degrees of motion in the shoulder - as published in OAR 436-035, Disability Rating Standards.</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141FE13C-8D3F-4BEC-8306-AC80AB0ED8C8}">
      <text>
        <r>
          <rPr>
            <b/>
            <sz val="9"/>
            <color indexed="81"/>
            <rFont val="Tahoma"/>
            <family val="2"/>
          </rPr>
          <t>Bruyns Fred H:</t>
        </r>
        <r>
          <rPr>
            <sz val="9"/>
            <color indexed="81"/>
            <rFont val="Tahoma"/>
            <family val="2"/>
          </rPr>
          <t xml:space="preserve">
The table in this worksheet has the percentages of impairment for the retained degrees of motion in the hip - as published in OAR 436-035, Disability Rating Standards.</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Bruyns Fred H</author>
  </authors>
  <commentList>
    <comment ref="A1" authorId="0" shapeId="0" xr:uid="{A7005F90-60AD-4E44-AC70-CC2627FA75D6}">
      <text>
        <r>
          <rPr>
            <b/>
            <sz val="9"/>
            <color indexed="81"/>
            <rFont val="Tahoma"/>
            <family val="2"/>
          </rPr>
          <t>Bruyns Fred H:</t>
        </r>
        <r>
          <rPr>
            <sz val="9"/>
            <color indexed="81"/>
            <rFont val="Tahoma"/>
            <family val="2"/>
          </rPr>
          <t xml:space="preserve">
The table in this worksheet has the percentages of impairment for the retained degrees of motion in the spine - as published in OAR 436-035, Disability Rating Standards.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R1" authorId="0" shapeId="0" xr:uid="{5F29F652-B387-40B5-958F-59158C4A23E4}">
      <text>
        <r>
          <rPr>
            <b/>
            <sz val="9"/>
            <color indexed="81"/>
            <rFont val="Tahoma"/>
            <family val="2"/>
          </rPr>
          <t>Fred Bruyns:</t>
        </r>
        <r>
          <rPr>
            <sz val="9"/>
            <color indexed="81"/>
            <rFont val="Tahoma"/>
            <family val="2"/>
          </rPr>
          <t xml:space="preserve">
If the date of injury is earlier than this date, 1/1/2005, different calcuation methods are used near the bottom of this worksheet. Use the "Trace Dependents" option under "Formulas" and "Formula Auditing" on the ribbon to find dependent cells/formulas.</t>
        </r>
      </text>
    </comment>
    <comment ref="S1" authorId="0" shapeId="0" xr:uid="{6C5DCFCC-0548-4985-8D09-8D94425F708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R2" authorId="0" shapeId="0" xr:uid="{598CAF3D-68E1-43A2-80D2-DB9EEBABF2FF}">
      <text>
        <r>
          <rPr>
            <b/>
            <sz val="9"/>
            <color indexed="81"/>
            <rFont val="Tahoma"/>
            <family val="2"/>
          </rPr>
          <t>Fred Bruyns:</t>
        </r>
        <r>
          <rPr>
            <sz val="9"/>
            <color indexed="81"/>
            <rFont val="Tahoma"/>
            <family val="2"/>
          </rPr>
          <t xml:space="preserve">
This is the date of injury from the "Start here" worksheet.</t>
        </r>
      </text>
    </comment>
    <comment ref="S2" authorId="0" shapeId="0" xr:uid="{9D8635BB-0348-4960-8D4C-2BA3106733C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P6" authorId="1" shapeId="0" xr:uid="{98DBE8B2-B3E2-4684-A016-23EFBE2FE692}">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T6" authorId="0" shapeId="0" xr:uid="{950515C1-F873-4D43-93B2-330DDF89FE3D}">
      <text>
        <r>
          <rPr>
            <b/>
            <sz val="9"/>
            <color indexed="81"/>
            <rFont val="Tahoma"/>
            <family val="2"/>
          </rPr>
          <t xml:space="preserve">Fred Bruyns:
</t>
        </r>
        <r>
          <rPr>
            <sz val="9"/>
            <color indexed="81"/>
            <rFont val="Tahoma"/>
            <family val="2"/>
          </rPr>
          <t>Descriptions in the chart to the right are used in a pull-down menu below "Thumb amputation or resection without reattachment (or shortening of digit)." The percentages correspond to the extent of amputation per OAR 436-035-0030.</t>
        </r>
      </text>
    </comment>
    <comment ref="P11" authorId="1" shapeId="0" xr:uid="{E8F4B06D-4E54-4A71-9472-134B3953F5CA}">
      <text>
        <r>
          <rPr>
            <b/>
            <sz val="9"/>
            <color indexed="81"/>
            <rFont val="Tahoma"/>
            <family val="2"/>
          </rPr>
          <t>Bruyns Fred H:</t>
        </r>
        <r>
          <rPr>
            <sz val="9"/>
            <color indexed="81"/>
            <rFont val="Tahoma"/>
            <family val="2"/>
          </rPr>
          <t xml:space="preserve">
Programming note: This cell will be greater than 0 percent only if index finger amputation results in loss of opposition with the thumb.</t>
        </r>
      </text>
    </comment>
    <comment ref="U11" authorId="1" shapeId="0" xr:uid="{9BEABA6D-5E68-4C5C-BB34-FC8D5E2877F3}">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index finger opposition loss associated with the thumb amputation level. NOTE: This percentage, if any, will display with index finger values, not with the thumb.</t>
        </r>
      </text>
    </comment>
    <comment ref="V11" authorId="1" shapeId="0" xr:uid="{CEFE2EF5-9696-4351-829C-819524913AE8}">
      <text>
        <r>
          <rPr>
            <b/>
            <sz val="9"/>
            <color indexed="81"/>
            <rFont val="Tahoma"/>
            <family val="2"/>
          </rPr>
          <t>Bruyns Fred H:</t>
        </r>
        <r>
          <rPr>
            <sz val="9"/>
            <color indexed="81"/>
            <rFont val="Tahoma"/>
            <family val="2"/>
          </rPr>
          <t xml:space="preserve">
Programming note: The amputation levels listed to the right are used in a pull-down menu to the left.</t>
        </r>
      </text>
    </comment>
    <comment ref="P12" authorId="1" shapeId="0" xr:uid="{7F0C185F-4910-4CCD-AD96-D9CBE0BD1539}">
      <text>
        <r>
          <rPr>
            <b/>
            <sz val="9"/>
            <color indexed="81"/>
            <rFont val="Tahoma"/>
            <family val="2"/>
          </rPr>
          <t>Bruyns Fred H:</t>
        </r>
        <r>
          <rPr>
            <sz val="9"/>
            <color indexed="81"/>
            <rFont val="Tahoma"/>
            <family val="2"/>
          </rPr>
          <t xml:space="preserve">
Programming note: This cell will be greater than 0 percent only if middle finger amputation results in loss of opposition with the thumb.</t>
        </r>
      </text>
    </comment>
    <comment ref="U12" authorId="1" shapeId="0" xr:uid="{86005BAC-69B1-4811-80E0-33543C605C65}">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middle finger opposition loss associated with the thumb amputation level.  This value will display in the middle finger chart, not with the thumb.</t>
        </r>
      </text>
    </comment>
    <comment ref="P13" authorId="1" shapeId="0" xr:uid="{9CEF51B7-1903-4F72-A0D2-7A89DAE39839}">
      <text>
        <r>
          <rPr>
            <b/>
            <sz val="9"/>
            <color indexed="81"/>
            <rFont val="Tahoma"/>
            <family val="2"/>
          </rPr>
          <t>Bruyns Fred H:</t>
        </r>
        <r>
          <rPr>
            <sz val="9"/>
            <color indexed="81"/>
            <rFont val="Tahoma"/>
            <family val="2"/>
          </rPr>
          <t xml:space="preserve">
Programming note: This cell will be greater than 0 percent only if ring finger amputation results in loss of opposition with the thumb.</t>
        </r>
      </text>
    </comment>
    <comment ref="U13" authorId="1" shapeId="0" xr:uid="{54811EA2-DAA9-45B7-B49A-EA71C0F1F87C}">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ring finger opposition loss associated with the thumb amputation level.  This value will display in the ring finger chart, not with the thumb.</t>
        </r>
      </text>
    </comment>
    <comment ref="P14" authorId="1" shapeId="0" xr:uid="{0791CAB5-D08A-4663-AEE7-86FADA039C4F}">
      <text>
        <r>
          <rPr>
            <b/>
            <sz val="9"/>
            <color indexed="81"/>
            <rFont val="Tahoma"/>
            <family val="2"/>
          </rPr>
          <t>Bruyns Fred H:</t>
        </r>
        <r>
          <rPr>
            <sz val="9"/>
            <color indexed="81"/>
            <rFont val="Tahoma"/>
            <family val="2"/>
          </rPr>
          <t xml:space="preserve">
Programming note: This cell will be greater than 0 percent only if little finger amputation results in loss of opposition with the thumb.</t>
        </r>
      </text>
    </comment>
    <comment ref="U14" authorId="1" shapeId="0" xr:uid="{3FC47080-8248-4113-B88A-EF4071B1DBA8}">
      <text>
        <r>
          <rPr>
            <b/>
            <sz val="9"/>
            <color indexed="81"/>
            <rFont val="Tahoma"/>
            <family val="2"/>
          </rPr>
          <t>Bruyns Fred H:</t>
        </r>
        <r>
          <rPr>
            <sz val="9"/>
            <color indexed="81"/>
            <rFont val="Tahoma"/>
            <family val="2"/>
          </rPr>
          <t xml:space="preserve">
Programming note: This formula finds a match between the selected thumb amputation level and the amputation levels listed in the table to the right, and then the formula returns the percentage of little finger opposition loss associated with the thumb amputation level.  This value will display in the little finger chart, not with the thumb.</t>
        </r>
      </text>
    </comment>
    <comment ref="S18" authorId="1" shapeId="0" xr:uid="{6DB4F5A4-D25A-46F1-9FBD-389939AB986B}">
      <text>
        <r>
          <rPr>
            <b/>
            <sz val="9"/>
            <color indexed="81"/>
            <rFont val="Tahoma"/>
            <family val="2"/>
          </rPr>
          <t>Bruyns Fred H:</t>
        </r>
        <r>
          <rPr>
            <sz val="9"/>
            <color indexed="81"/>
            <rFont val="Tahoma"/>
            <family val="2"/>
          </rPr>
          <t xml:space="preserve">
Programming note: 80 degrees of flexion of IP joint is considered normal - no impairment. See OAR 436-035-0050.</t>
        </r>
      </text>
    </comment>
    <comment ref="T18" authorId="1" shapeId="0" xr:uid="{088BA340-2243-49C2-A5E7-FDC445DF134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271D99AB-0C69-4DC7-A1B5-8F3A05C4A89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D5012629-2D16-4365-B5CE-392BCA774A7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8" authorId="1" shapeId="0" xr:uid="{83306D40-28C1-4923-9819-D3CCBCE1B6D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19" authorId="1" shapeId="0" xr:uid="{BB6A2627-1653-4270-86AC-9D1990FBD837}">
      <text>
        <r>
          <rPr>
            <b/>
            <sz val="9"/>
            <color indexed="81"/>
            <rFont val="Tahoma"/>
            <family val="2"/>
          </rPr>
          <t>Bruyns Fred H:</t>
        </r>
        <r>
          <rPr>
            <sz val="9"/>
            <color indexed="81"/>
            <rFont val="Tahoma"/>
            <family val="2"/>
          </rPr>
          <t xml:space="preserve">
Programming note: 80 degrees of extension of IP joint is considered maximum loss. See OAR 436-035-0050.</t>
        </r>
      </text>
    </comment>
    <comment ref="T19" authorId="1" shapeId="0" xr:uid="{86D8F8E2-1CD1-4C06-9E6C-B99C885054D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9" authorId="1" shapeId="0" xr:uid="{31C18C0F-B63F-4D11-B004-9A1D5CB618E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9" authorId="1" shapeId="0" xr:uid="{E518E573-0436-4A7A-85B5-FD5C74C1575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9" authorId="1" shapeId="0" xr:uid="{E1136DEC-901C-4AFA-A20F-646B6AAF91F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9" authorId="1" shapeId="0" xr:uid="{E169BA57-A424-47A2-BC9E-F7F0E57E890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9" authorId="1" shapeId="0" xr:uid="{53227BEA-D2C6-49C5-BA01-D1B6C72964E5}">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80 (max/normal). The value of "X" is then subtracted from the 80 (max/normal). See instructions for this formula under OAR 436-035-0011.</t>
        </r>
      </text>
    </comment>
    <comment ref="S20" authorId="1" shapeId="0" xr:uid="{2976BC9D-C6AA-4D1B-ADF7-F07E1123AB80}">
      <text>
        <r>
          <rPr>
            <b/>
            <sz val="9"/>
            <color indexed="81"/>
            <rFont val="Tahoma"/>
            <family val="2"/>
          </rPr>
          <t>Bruyns Fred H:</t>
        </r>
        <r>
          <rPr>
            <sz val="9"/>
            <color indexed="81"/>
            <rFont val="Tahoma"/>
            <family val="2"/>
          </rPr>
          <t xml:space="preserve">
Programming note: 80 degrees of ankylosis of IP joint is considered maximum loss. See OAR 436-035-0050.</t>
        </r>
      </text>
    </comment>
    <comment ref="T20" authorId="1" shapeId="0" xr:uid="{C503CABA-EEB1-45DF-8FEE-4E5944FD9E3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0" authorId="1" shapeId="0" xr:uid="{E2FF8DCC-BE79-4E14-990A-CD5E73A05582}">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20" authorId="1" shapeId="0" xr:uid="{319FFE68-71C4-46F3-8FBB-E261B3E37ED8}">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20" authorId="1" shapeId="0" xr:uid="{2AA3D21B-028A-47F4-A5F6-DB87AF5692E4}">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D20" authorId="1" shapeId="0" xr:uid="{54A6405C-C850-4EEE-A2F4-7157DA857CFE}">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E21" authorId="1" shapeId="0" xr:uid="{A639B22B-1747-4945-A2C8-8561317791D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3" authorId="1" shapeId="0" xr:uid="{CF989824-35A0-4EB9-9C05-C7B81B18775E}">
      <text>
        <r>
          <rPr>
            <b/>
            <sz val="9"/>
            <color indexed="81"/>
            <rFont val="Tahoma"/>
            <family val="2"/>
          </rPr>
          <t>Bruyns Fred H:</t>
        </r>
        <r>
          <rPr>
            <sz val="9"/>
            <color indexed="81"/>
            <rFont val="Tahoma"/>
            <family val="2"/>
          </rPr>
          <t xml:space="preserve">
Programming note: 60 degrees of flexion of MP joint is considered normal - no impairment. See OAR 436-035-0050.</t>
        </r>
      </text>
    </comment>
    <comment ref="T23" authorId="1" shapeId="0" xr:uid="{354CFB82-4DCA-427C-9C0B-7F3A0A105EE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3" authorId="1" shapeId="0" xr:uid="{50B9B532-E3BC-4516-B9E8-6D50A4A766B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 authorId="1" shapeId="0" xr:uid="{358E19A9-7413-46D4-A068-73422BAEFDF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3" authorId="1" shapeId="0" xr:uid="{FED21D7D-14B2-46B1-BBA4-D6EB55B303A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24" authorId="1" shapeId="0" xr:uid="{F91AA9C4-1FC7-4297-B057-CD5A257D44BD}">
      <text>
        <r>
          <rPr>
            <b/>
            <sz val="9"/>
            <color indexed="81"/>
            <rFont val="Tahoma"/>
            <family val="2"/>
          </rPr>
          <t>Bruyns Fred H:</t>
        </r>
        <r>
          <rPr>
            <sz val="9"/>
            <color indexed="81"/>
            <rFont val="Tahoma"/>
            <family val="2"/>
          </rPr>
          <t xml:space="preserve">
Programming note: 60 degrees of extension of MP joint is considered maximum loss. See OAR 436-035-0050.</t>
        </r>
      </text>
    </comment>
    <comment ref="T24" authorId="1" shapeId="0" xr:uid="{4F134A59-8D7B-46F8-8E12-C24748AEA1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 authorId="1" shapeId="0" xr:uid="{D8170F2B-AB35-4389-938C-A287BC2E9D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 authorId="1" shapeId="0" xr:uid="{37AB3950-1B1D-4E0E-B327-A287EC1727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 authorId="1" shapeId="0" xr:uid="{339E2694-74E6-497E-82A6-96A5D1521385}">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 authorId="1" shapeId="0" xr:uid="{29FDAF6D-2497-44D6-8C6C-FD447A3B5FB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 authorId="1" shapeId="0" xr:uid="{5BE660A7-49B2-4B19-BC11-8E02CE847DF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60 (max/normal). The value of "X" is then subtracted from the 60 (max/normal). See instructions for this formula under OAR 436-035-0011.</t>
        </r>
      </text>
    </comment>
    <comment ref="AA24" authorId="1" shapeId="0" xr:uid="{5D12EDF3-C16B-40B9-8987-7784796AA7A0}">
      <text>
        <r>
          <rPr>
            <b/>
            <sz val="9"/>
            <color indexed="81"/>
            <rFont val="Tahoma"/>
            <family val="2"/>
          </rPr>
          <t>Bruyns Fred H:</t>
        </r>
        <r>
          <rPr>
            <sz val="9"/>
            <color indexed="81"/>
            <rFont val="Tahoma"/>
            <family val="2"/>
          </rPr>
          <t xml:space="preserve">
Programming note: These impairment values are carred in from joint totals in Column O.</t>
        </r>
      </text>
    </comment>
    <comment ref="AB24" authorId="1" shapeId="0" xr:uid="{0CF74185-90AE-46CE-9B7E-3C1703DE991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4" authorId="1" shapeId="0" xr:uid="{A7775427-E5B3-421E-AEBF-6C03579F084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4" authorId="1" shapeId="0" xr:uid="{DEADD63A-F0E8-4628-B910-4D8CFD6DFC2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25" authorId="1" shapeId="0" xr:uid="{9CFD96A6-49AB-49A8-B7E6-3A88B96E869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25" authorId="1" shapeId="0" xr:uid="{E34BB21B-71E0-4FBC-B477-D8B0575FFC06}">
      <text>
        <r>
          <rPr>
            <b/>
            <sz val="9"/>
            <color indexed="81"/>
            <rFont val="Tahoma"/>
            <family val="2"/>
          </rPr>
          <t>Bruyns Fred H:</t>
        </r>
        <r>
          <rPr>
            <sz val="9"/>
            <color indexed="81"/>
            <rFont val="Tahoma"/>
            <family val="2"/>
          </rPr>
          <t xml:space="preserve">
Programming note: 60 degrees of ankylosis of MP joint is considered maximum loss. See OAR 436-035-0050.</t>
        </r>
      </text>
    </comment>
    <comment ref="T25" authorId="1" shapeId="0" xr:uid="{64770E20-9B72-4BD7-8D7C-E4D2F200D99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27" authorId="1" shapeId="0" xr:uid="{5F965975-1EBB-470D-81DF-D6C9CB0206E2}">
      <text>
        <r>
          <rPr>
            <b/>
            <sz val="9"/>
            <color indexed="81"/>
            <rFont val="Tahoma"/>
            <family val="2"/>
          </rPr>
          <t>Bruyns Fred H:</t>
        </r>
        <r>
          <rPr>
            <sz val="9"/>
            <color indexed="81"/>
            <rFont val="Tahoma"/>
            <family val="2"/>
          </rPr>
          <t xml:space="preserve">
Programming note: Formula returns "1' if "ERROR" is present in one or both "Joint total" fields.</t>
        </r>
      </text>
    </comment>
    <comment ref="AH31" authorId="1" shapeId="0" xr:uid="{31DF4B4E-5EC9-41C6-B668-F4171CC7893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I31" authorId="1" shapeId="0" xr:uid="{B5245C65-B3AC-4134-8EEE-626CB3FA44F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J31" authorId="1" shapeId="0" xr:uid="{38E73FAE-0DEA-4F78-BB42-5F67E693DB0D}">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AK31" authorId="1" shapeId="0" xr:uid="{77EAAD52-C3CC-4119-82C3-7FBDF867BAD2}">
      <text>
        <r>
          <rPr>
            <b/>
            <sz val="9"/>
            <color indexed="81"/>
            <rFont val="Tahoma"/>
            <family val="2"/>
          </rPr>
          <t>Bruyns Fred H:</t>
        </r>
        <r>
          <rPr>
            <sz val="9"/>
            <color indexed="81"/>
            <rFont val="Tahoma"/>
            <family val="2"/>
          </rPr>
          <t xml:space="preserve">
Programming note: Values 1 through 4 are used for pull-down menus for levels of sensitivity loss / hypersensitivity.</t>
        </r>
      </text>
    </comment>
    <comment ref="S32" authorId="1" shapeId="0" xr:uid="{400DB635-64DF-4F00-82C9-908831CFA900}">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X32" authorId="1" shapeId="0" xr:uid="{51211DF4-49B9-4EE5-80E4-71062C56195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thumb, this chart will only display 1 in the left-most cell. </t>
        </r>
      </text>
    </comment>
    <comment ref="AC32" authorId="1" shapeId="0" xr:uid="{36B5141A-F81E-4877-B8B3-BB5C74D5FFAF}">
      <text>
        <r>
          <rPr>
            <b/>
            <sz val="9"/>
            <color indexed="81"/>
            <rFont val="Tahoma"/>
            <family val="2"/>
          </rPr>
          <t>Bruyns Fred H:</t>
        </r>
        <r>
          <rPr>
            <sz val="9"/>
            <color indexed="81"/>
            <rFont val="Tahoma"/>
            <family val="2"/>
          </rPr>
          <t xml:space="preserve">
Programming note: Formula enters grade for loss at each level of the thumb for the grades entered. See OAR 436-035-0110.</t>
        </r>
      </text>
    </comment>
    <comment ref="AH32" authorId="1" shapeId="0" xr:uid="{ECA23D17-813B-4886-8123-81EE1C947A73}">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thumb at MP joint has a grade 3 loss, this loss is applied to 1/2 the proximal phalanx. This allows for subtracting more proximal parts of the thumb if their grades of loss is different.</t>
        </r>
      </text>
    </comment>
    <comment ref="AL32" authorId="1" shapeId="0" xr:uid="{CF1D8040-3EE1-4F57-8632-E0A3050D5026}">
      <text>
        <r>
          <rPr>
            <b/>
            <sz val="9"/>
            <color indexed="81"/>
            <rFont val="Tahoma"/>
            <family val="2"/>
          </rPr>
          <t>Bruyns Fred H:</t>
        </r>
        <r>
          <rPr>
            <sz val="9"/>
            <color indexed="81"/>
            <rFont val="Tahoma"/>
            <family val="2"/>
          </rPr>
          <t xml:space="preserve">
Programming note: Formula displays grade percentage values that are two or three levels more distal - two or three columns to the right. For example, if entire thumb at MP joint has a grade 3 loss, this loss is applied to 1/2 digit / IP joint and also to 1/2 distal phalanx. This allows for subtracting more distal parts of the thumb if their grade of loss is different.</t>
        </r>
      </text>
    </comment>
    <comment ref="AQ32" authorId="1" shapeId="0" xr:uid="{161391EF-E8A3-403A-98C2-182FDB6F9B7D}">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(thumb IP joint)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AX33" authorId="1" shapeId="0" xr:uid="{ADA32C29-C003-43EB-B2D1-39F5239405E5}">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eight values. </t>
        </r>
      </text>
    </comment>
    <comment ref="X36" authorId="1" shapeId="0" xr:uid="{BAC71998-16BA-4CBF-9B6C-7640FB6B1CDE}">
      <text>
        <r>
          <rPr>
            <b/>
            <sz val="9"/>
            <color indexed="81"/>
            <rFont val="Tahoma"/>
            <family val="2"/>
          </rPr>
          <t>Bruyns Fred H:</t>
        </r>
        <r>
          <rPr>
            <sz val="9"/>
            <color indexed="81"/>
            <rFont val="Tahoma"/>
            <family val="2"/>
          </rPr>
          <t xml:space="preserve">
Programming note: A value greater than zero means the thumb has sensation loss - both sides.</t>
        </r>
      </text>
    </comment>
    <comment ref="Y36" authorId="1" shapeId="0" xr:uid="{DFA5217C-6C40-44BA-B95C-7F88388A99FA}">
      <text>
        <r>
          <rPr>
            <b/>
            <sz val="9"/>
            <color indexed="81"/>
            <rFont val="Tahoma"/>
            <family val="2"/>
          </rPr>
          <t>Bruyns Fred H:</t>
        </r>
        <r>
          <rPr>
            <sz val="9"/>
            <color indexed="81"/>
            <rFont val="Tahoma"/>
            <family val="2"/>
          </rPr>
          <t xml:space="preserve">
Programming note: A value greater than zero means the thumb has sensation loss - radial side.</t>
        </r>
      </text>
    </comment>
    <comment ref="Z36" authorId="1" shapeId="0" xr:uid="{6F813ABC-2506-4E33-BA4E-40AC69BEFD3E}">
      <text>
        <r>
          <rPr>
            <b/>
            <sz val="9"/>
            <color indexed="81"/>
            <rFont val="Tahoma"/>
            <family val="2"/>
          </rPr>
          <t>Bruyns Fred H:</t>
        </r>
        <r>
          <rPr>
            <sz val="9"/>
            <color indexed="81"/>
            <rFont val="Tahoma"/>
            <family val="2"/>
          </rPr>
          <t xml:space="preserve">
Programming note: A value greater than zero means the thumb has sensation loss - ulnar side.</t>
        </r>
      </text>
    </comment>
    <comment ref="AA36" authorId="1" shapeId="0" xr:uid="{24F1AE51-281D-428C-806C-D53EBBCE0123}">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X41" authorId="1" shapeId="0" xr:uid="{359A0A33-14F7-4E5F-A60D-F680341B62F1}">
      <text>
        <r>
          <rPr>
            <b/>
            <sz val="9"/>
            <color indexed="81"/>
            <rFont val="Tahoma"/>
            <family val="2"/>
          </rPr>
          <t>Bruyns Fred H:</t>
        </r>
        <r>
          <rPr>
            <sz val="9"/>
            <color indexed="81"/>
            <rFont val="Tahoma"/>
            <family val="2"/>
          </rPr>
          <t xml:space="preserve">
Programming note: A value greater than zero means the thumb has hypersensitivity loss - both sides.</t>
        </r>
      </text>
    </comment>
    <comment ref="Y41" authorId="1" shapeId="0" xr:uid="{79C6DAA4-0C71-4DC0-86F0-4AD454CA66BB}">
      <text>
        <r>
          <rPr>
            <b/>
            <sz val="9"/>
            <color indexed="81"/>
            <rFont val="Tahoma"/>
            <family val="2"/>
          </rPr>
          <t>Bruyns Fred H:</t>
        </r>
        <r>
          <rPr>
            <sz val="9"/>
            <color indexed="81"/>
            <rFont val="Tahoma"/>
            <family val="2"/>
          </rPr>
          <t xml:space="preserve">
Programming note: A value greater than zero means the thumb has hypersensitivity loss - radial side.</t>
        </r>
      </text>
    </comment>
    <comment ref="Z41" authorId="1" shapeId="0" xr:uid="{2BAD6B52-C455-4F73-A8A1-9F62FA904D82}">
      <text>
        <r>
          <rPr>
            <b/>
            <sz val="9"/>
            <color indexed="81"/>
            <rFont val="Tahoma"/>
            <family val="2"/>
          </rPr>
          <t>Bruyns Fred H:</t>
        </r>
        <r>
          <rPr>
            <sz val="9"/>
            <color indexed="81"/>
            <rFont val="Tahoma"/>
            <family val="2"/>
          </rPr>
          <t xml:space="preserve">
Programming note: A value greater than zero means the thumb has hpyersensitivity loss - ulnar side.</t>
        </r>
      </text>
    </comment>
    <comment ref="AA41" authorId="1" shapeId="0" xr:uid="{8C560A9C-87FD-43E1-92BB-C6B5F549907C}">
      <text>
        <r>
          <rPr>
            <b/>
            <sz val="9"/>
            <color indexed="81"/>
            <rFont val="Tahoma"/>
            <family val="2"/>
          </rPr>
          <t>Bruyns Fred H:</t>
        </r>
        <r>
          <rPr>
            <sz val="9"/>
            <color indexed="81"/>
            <rFont val="Tahoma"/>
            <family val="2"/>
          </rPr>
          <t xml:space="preserve">
Programming note: A value of "1" means sensation loss has been entered for the thumb (both sides), plus either the ulnar side, radial side, or both. This will trigger the error message below the main chart.</t>
        </r>
      </text>
    </comment>
    <comment ref="S43" authorId="1" shapeId="0" xr:uid="{A3D51022-BF8C-470D-BDD5-9105F670B35C}">
      <text>
        <r>
          <rPr>
            <b/>
            <sz val="9"/>
            <color indexed="81"/>
            <rFont val="Tahoma"/>
            <family val="2"/>
          </rPr>
          <t>Bruyns Fred H:</t>
        </r>
        <r>
          <rPr>
            <sz val="9"/>
            <color indexed="81"/>
            <rFont val="Tahoma"/>
            <family val="2"/>
          </rPr>
          <t xml:space="preserve">
"TRUE" or "FALSE" are output from checkboxes for deformity of movement.</t>
        </r>
      </text>
    </comment>
    <comment ref="W50" authorId="1" shapeId="0" xr:uid="{3CCB7C37-F04A-43EE-87F2-8B7504A4293D}">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51" authorId="1" shapeId="0" xr:uid="{E0DEF88E-2886-4EBE-B176-795181E19E2E}">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1" authorId="1" shapeId="0" xr:uid="{57ECF625-A641-4881-9F72-B93C0B58EC16}">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51" authorId="1" shapeId="0" xr:uid="{65679A19-7628-4A3E-9F2F-00A8D9905D5A}">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H52" authorId="1" shapeId="0" xr:uid="{31504310-A2F2-4C2E-83C9-158B73534D0A}">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52" authorId="1" shapeId="0" xr:uid="{5D7AA03A-D648-45E2-AAA3-DC99CC3289E3}">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 </t>
        </r>
      </text>
    </comment>
    <comment ref="S52" authorId="1" shapeId="0" xr:uid="{B212EF2C-58C0-46FC-A527-848C9DA02CAF}">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U52" authorId="1" shapeId="0" xr:uid="{7C1AD1FC-A37B-4032-8D6B-B25ADED5C3E2}">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R54" authorId="1" shapeId="0" xr:uid="{1A16D7DF-0C7E-4A2E-83E8-0C130C481642}">
      <text>
        <r>
          <rPr>
            <b/>
            <sz val="9"/>
            <color indexed="81"/>
            <rFont val="Tahoma"/>
            <family val="2"/>
          </rPr>
          <t>Bruyns Fred H:</t>
        </r>
        <r>
          <rPr>
            <sz val="9"/>
            <color indexed="81"/>
            <rFont val="Tahoma"/>
            <family val="2"/>
          </rPr>
          <t xml:space="preserve">
"TRUE" or "FALSE" are output from checkboxes for deformity of movement.</t>
        </r>
      </text>
    </comment>
    <comment ref="R57" authorId="1" shapeId="0" xr:uid="{6ED175DF-5464-4F3D-BC10-27AA417EEE8A}">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60" authorId="1" shapeId="0" xr:uid="{3F6E77F9-58E2-4D7D-B669-ECDDCC711528}">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60" authorId="1" shapeId="0" xr:uid="{52731E95-F52E-4D6C-B3DB-501F5A10615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60" authorId="1" shapeId="0" xr:uid="{726020BF-B98F-459F-B56C-B0298416A0C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60" authorId="1" shapeId="0" xr:uid="{DE6B0132-55A3-446C-BAC3-E51B426971D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60" authorId="1" shapeId="0" xr:uid="{EC7EE7EB-0B73-4C42-A849-538569FBBFD2}">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61" authorId="1" shapeId="0" xr:uid="{3B996690-CA62-4868-BC53-9D3E468EAD2C}">
      <text>
        <r>
          <rPr>
            <b/>
            <sz val="9"/>
            <color indexed="81"/>
            <rFont val="Tahoma"/>
            <family val="2"/>
          </rPr>
          <t>Bruyns Fred H:</t>
        </r>
        <r>
          <rPr>
            <sz val="9"/>
            <color indexed="81"/>
            <rFont val="Tahoma"/>
            <family val="2"/>
          </rPr>
          <t xml:space="preserve">
Programming note: Formula returns "1" if only opposition loss is present in the diigit. "2" means there are other losses. If two digits are affected by the injury only because there is opposition loss in one of the digits, the digit values are not converted to a hand value unless the hand/forearm or arm also have losses due to the injury.</t>
        </r>
      </text>
    </comment>
    <comment ref="E66" authorId="1" shapeId="0" xr:uid="{22162D97-DCF0-4825-9A8B-FBAFEDDFF3B1}">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P81" authorId="1" shapeId="0" xr:uid="{8E28CEB4-89BA-44DD-BB3C-267634F82F63}">
      <text>
        <r>
          <rPr>
            <b/>
            <sz val="9"/>
            <color indexed="81"/>
            <rFont val="Tahoma"/>
            <family val="2"/>
          </rPr>
          <t>Bruyns Fred H:</t>
        </r>
        <r>
          <rPr>
            <sz val="9"/>
            <color indexed="81"/>
            <rFont val="Tahoma"/>
            <family val="2"/>
          </rPr>
          <t xml:space="preserve">
Programming note: The selected level of shortening - at left - is matched to a corresponding percentage of loss in a table (hidden) to the right. </t>
        </r>
      </text>
    </comment>
    <comment ref="R81" authorId="1" shapeId="0" xr:uid="{F035D792-F8F8-48BA-9173-A98799594777}">
      <text>
        <r>
          <rPr>
            <b/>
            <sz val="9"/>
            <color indexed="81"/>
            <rFont val="Tahoma"/>
            <family val="2"/>
          </rPr>
          <t>Bruyns Fred H:</t>
        </r>
        <r>
          <rPr>
            <sz val="9"/>
            <color indexed="81"/>
            <rFont val="Tahoma"/>
            <family val="2"/>
          </rPr>
          <t xml:space="preserve">
Descriptions in the chart to the right are used in a pull-down menu below "Index finger, amputation or resection without reattachment (or shortening of digit)." The percentages correspond to the extent of amputation per OAR 436-035-0030.</t>
        </r>
      </text>
    </comment>
    <comment ref="P84" authorId="1" shapeId="0" xr:uid="{76646AAA-49E1-45E0-9A8E-82CE03643AE9}">
      <text>
        <r>
          <rPr>
            <b/>
            <sz val="9"/>
            <color indexed="81"/>
            <rFont val="Tahoma"/>
            <family val="2"/>
          </rPr>
          <t>Bruyns Fred H:</t>
        </r>
        <r>
          <rPr>
            <sz val="9"/>
            <color indexed="81"/>
            <rFont val="Tahoma"/>
            <family val="2"/>
          </rPr>
          <t xml:space="preserve">
Programming note: This cell will be greater than 0 percent only if thumb amputation results in loss of opposition with the index finger.</t>
        </r>
      </text>
    </comment>
    <comment ref="R84" authorId="1" shapeId="0" xr:uid="{CD1090C9-8A56-4238-92F7-6051B0855169}">
      <text>
        <r>
          <rPr>
            <b/>
            <sz val="9"/>
            <color indexed="81"/>
            <rFont val="Tahoma"/>
            <family val="2"/>
          </rPr>
          <t>Bruyns Fred H:</t>
        </r>
        <r>
          <rPr>
            <sz val="9"/>
            <color indexed="81"/>
            <rFont val="Tahoma"/>
            <family val="2"/>
          </rPr>
          <t xml:space="preserve">
Programming note: This formula finds a match between the selected index finger amputation level in Cell B85 with the amputation levels listed in the table to the right, and then the formula returns the percentage of thumb opposition loss associated with the index finger amputation level. NOTE: This percentage, if any, will display for the thumb, not for the index finger.</t>
        </r>
      </text>
    </comment>
    <comment ref="S91" authorId="1" shapeId="0" xr:uid="{B855426D-7BC2-4E99-BED5-59951BBEA012}">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91" authorId="1" shapeId="0" xr:uid="{75489693-BDE8-451E-921A-6D8F902F43A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1" authorId="1" shapeId="0" xr:uid="{A2BADF4E-7E42-41F3-AB4E-56581B9419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1" authorId="1" shapeId="0" xr:uid="{DC6A2661-3CCE-47A8-81A1-E0EAF9360C05}">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1" authorId="1" shapeId="0" xr:uid="{8EBB71E1-287C-4D4F-A6F5-6567C290531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91" authorId="1" shapeId="0" xr:uid="{C389CF55-DC5C-47BF-9369-D2A83D25E416}">
      <text>
        <r>
          <rPr>
            <b/>
            <sz val="9"/>
            <color indexed="81"/>
            <rFont val="Tahoma"/>
            <family val="2"/>
          </rPr>
          <t>Bruyns Fred H:</t>
        </r>
        <r>
          <rPr>
            <sz val="9"/>
            <color indexed="81"/>
            <rFont val="Tahoma"/>
            <family val="2"/>
          </rPr>
          <t xml:space="preserve">
Programming note: Formula returns "1" if any of the joints are ankylosed.</t>
        </r>
      </text>
    </comment>
    <comment ref="S92" authorId="1" shapeId="0" xr:uid="{C0322EF0-F195-4B02-B0E4-F5265326AF95}">
      <text>
        <r>
          <rPr>
            <b/>
            <sz val="9"/>
            <color indexed="81"/>
            <rFont val="Tahoma"/>
            <family val="2"/>
          </rPr>
          <t>Bruyns Fred H:</t>
        </r>
        <r>
          <rPr>
            <sz val="9"/>
            <color indexed="81"/>
            <rFont val="Tahoma"/>
            <family val="2"/>
          </rPr>
          <t xml:space="preserve">
Programming note: 70 degrees of extension of DIP joint is maximum loss.</t>
        </r>
      </text>
    </comment>
    <comment ref="T92" authorId="1" shapeId="0" xr:uid="{77137EF5-40C8-465A-825A-0112EE98A2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2" authorId="1" shapeId="0" xr:uid="{C9DA86A0-7FD5-47C7-BB0D-E30B9FCB10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2" authorId="1" shapeId="0" xr:uid="{C061B8ED-7B09-4409-8DE7-E5A26FD71B5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2" authorId="1" shapeId="0" xr:uid="{17E2F76C-CCDA-4961-BB75-73D123BE9DEB}">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2" authorId="1" shapeId="0" xr:uid="{47495A15-348C-4043-83EA-8230E39F6B53}">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2" authorId="1" shapeId="0" xr:uid="{98F2C053-C7B8-4EA6-9784-D60377557B10}">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92" authorId="1" shapeId="0" xr:uid="{45B31597-E0BD-49D5-91A8-46421B1D2AE2}">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92" authorId="1" shapeId="0" xr:uid="{5418411E-5971-4DA8-8448-B1F3F3526853}">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92" authorId="1" shapeId="0" xr:uid="{F8F63A7E-ADE6-4018-A571-1A1AAC028C30}">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92" authorId="1" shapeId="0" xr:uid="{8AFBDC0B-E77B-4557-AE4A-15AB56412800}">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92" authorId="1" shapeId="0" xr:uid="{D69EA451-4321-41EF-B278-DDCD5DDF865D}">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93" authorId="1" shapeId="0" xr:uid="{8EA9482E-4374-418A-9B29-08C72DEE7118}">
      <text>
        <r>
          <rPr>
            <b/>
            <sz val="9"/>
            <color indexed="81"/>
            <rFont val="Tahoma"/>
            <family val="2"/>
          </rPr>
          <t>Bruyns Fred H:</t>
        </r>
        <r>
          <rPr>
            <sz val="9"/>
            <color indexed="81"/>
            <rFont val="Tahoma"/>
            <family val="2"/>
          </rPr>
          <t xml:space="preserve">
Programming note: 70 degrees of ankylosis of DIP joint is maximum loss.</t>
        </r>
      </text>
    </comment>
    <comment ref="T93" authorId="1" shapeId="0" xr:uid="{535134D2-2D38-47A3-9C2F-11F70E3FE33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5" authorId="1" shapeId="0" xr:uid="{6908EFF1-E1CB-4E1F-B593-D17429028FC6}">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95" authorId="1" shapeId="0" xr:uid="{EA9D6CFC-3D7B-4C8B-8E88-9D0A52A48F3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5" authorId="1" shapeId="0" xr:uid="{9BA94D62-B6DF-4105-A4C8-9ECA5C1FFC8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5" authorId="1" shapeId="0" xr:uid="{BEF28FFF-6ECC-4C00-A1E4-3207042ABE8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5" authorId="1" shapeId="0" xr:uid="{1949ADDD-8B33-4612-B4FF-46039203CA6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95" authorId="1" shapeId="0" xr:uid="{0D49315A-9E66-4120-AA9C-9FCF8C229F05}">
      <text>
        <r>
          <rPr>
            <b/>
            <sz val="9"/>
            <color indexed="81"/>
            <rFont val="Tahoma"/>
            <family val="2"/>
          </rPr>
          <t>Bruyns Fred H:</t>
        </r>
        <r>
          <rPr>
            <sz val="9"/>
            <color indexed="81"/>
            <rFont val="Tahoma"/>
            <family val="2"/>
          </rPr>
          <t xml:space="preserve">
Programming note: Formula counts ankylosed joints in the digit.</t>
        </r>
      </text>
    </comment>
    <comment ref="S96" authorId="1" shapeId="0" xr:uid="{F3E3153A-B834-42DD-B476-27D65C7FC72E}">
      <text>
        <r>
          <rPr>
            <b/>
            <sz val="9"/>
            <color indexed="81"/>
            <rFont val="Tahoma"/>
            <family val="2"/>
          </rPr>
          <t>Bruyns Fred H:</t>
        </r>
        <r>
          <rPr>
            <sz val="9"/>
            <color indexed="81"/>
            <rFont val="Tahoma"/>
            <family val="2"/>
          </rPr>
          <t xml:space="preserve">
Programming note: 100 degrees of extension of PIP joint is maximum loss.</t>
        </r>
      </text>
    </comment>
    <comment ref="T96" authorId="1" shapeId="0" xr:uid="{7202CD43-6E99-4CCA-9D9C-4CC0B32637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2D66E02A-061E-4DB6-9007-57EFDAF1293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2ECDE4A8-6B74-4B15-8DBF-FA4607A0E03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96" authorId="1" shapeId="0" xr:uid="{8680A8A3-3F7D-49E5-9D0B-C0C761001D54}">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96" authorId="1" shapeId="0" xr:uid="{DD9AF662-8AD2-42DE-A0CB-5A2C88A835F4}">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96" authorId="1" shapeId="0" xr:uid="{AEC3617E-6B96-4198-8002-607DA0A40141}">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96" authorId="1" shapeId="0" xr:uid="{3DBA32AF-7F86-4892-8CCE-6C3E2E16FAF2}">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S97" authorId="1" shapeId="0" xr:uid="{4DC27C15-FB18-4782-83CE-9C28350DCC92}">
      <text>
        <r>
          <rPr>
            <b/>
            <sz val="9"/>
            <color indexed="81"/>
            <rFont val="Tahoma"/>
            <family val="2"/>
          </rPr>
          <t>Bruyns Fred H:</t>
        </r>
        <r>
          <rPr>
            <sz val="9"/>
            <color indexed="81"/>
            <rFont val="Tahoma"/>
            <family val="2"/>
          </rPr>
          <t xml:space="preserve">
Programming note: 100 degrees of ankylosis of PIP joint is maximum loss.</t>
        </r>
      </text>
    </comment>
    <comment ref="T97" authorId="1" shapeId="0" xr:uid="{7D1FDA16-5989-49F5-A377-58DC83F097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98" authorId="1" shapeId="0" xr:uid="{7579A45C-807E-4481-82F7-599D32646703}">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98" authorId="1" shapeId="0" xr:uid="{35A08525-1271-41E2-BFAA-EBF961278D6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98" authorId="1" shapeId="0" xr:uid="{3865EC31-E330-4A6E-82E3-38DD351DAD5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98" authorId="1" shapeId="0" xr:uid="{C7FA14D8-4ADB-4CC3-B132-5B7BE14EF11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99" authorId="1" shapeId="0" xr:uid="{3281E69E-4594-4543-9BCC-C8B8848AA161}">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99" authorId="1" shapeId="0" xr:uid="{7C4812E6-1C8E-4E33-8CEF-BCCA35E2FE7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9" authorId="1" shapeId="0" xr:uid="{9FEE3CF7-BD14-4EBA-AAD4-5D73231BCF6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9" authorId="1" shapeId="0" xr:uid="{861CF6D8-3937-4F63-9D74-2E3B2DE4061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99" authorId="1" shapeId="0" xr:uid="{0D71EBB3-EF44-4D98-9BF0-90D410B4B5C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00" authorId="1" shapeId="0" xr:uid="{9B16F5D4-B704-4AA0-8F60-FE9CE621E6BE}">
      <text>
        <r>
          <rPr>
            <b/>
            <sz val="9"/>
            <color indexed="81"/>
            <rFont val="Tahoma"/>
            <family val="2"/>
          </rPr>
          <t>Bruyns Fred H:</t>
        </r>
        <r>
          <rPr>
            <sz val="9"/>
            <color indexed="81"/>
            <rFont val="Tahoma"/>
            <family val="2"/>
          </rPr>
          <t xml:space="preserve">
Programming note: 90 degrees of extension of MP joint is maximum loss.</t>
        </r>
      </text>
    </comment>
    <comment ref="T100" authorId="1" shapeId="0" xr:uid="{53F9CAF9-886B-4E78-9A76-CA52C401C4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00" authorId="1" shapeId="0" xr:uid="{98CBBE8D-1AA2-43AC-9470-435383C44D5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00" authorId="1" shapeId="0" xr:uid="{9783B02B-BB75-48F3-B152-5B0E737153B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00" authorId="1" shapeId="0" xr:uid="{4DBE6FA5-6BC7-4737-86E3-3073E51C030E}">
      <text>
        <r>
          <rPr>
            <b/>
            <sz val="9"/>
            <color indexed="81"/>
            <rFont val="Tahoma"/>
            <family val="2"/>
          </rPr>
          <t>Bruyns Fred H:</t>
        </r>
        <r>
          <rPr>
            <sz val="9"/>
            <color indexed="81"/>
            <rFont val="Tahoma"/>
            <family val="2"/>
          </rPr>
          <t xml:space="preserve">
Complement is retained ROM in injured joint subtracted from the maximum ROM. See contralateral comparison instructions in OAR 436-035-0011.</t>
        </r>
      </text>
    </comment>
    <comment ref="X100" authorId="1" shapeId="0" xr:uid="{E4696BA1-6762-4E92-992E-C63BF4896DA4}">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00" authorId="1" shapeId="0" xr:uid="{AEB0A9F2-CBA1-4C99-B2B1-5575ED21FD35}">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101" authorId="1" shapeId="0" xr:uid="{759FB653-B222-4761-80DB-0D9725971925}">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01" authorId="1" shapeId="0" xr:uid="{504E35E5-9021-463A-9514-A1BF3F7FED11}">
      <text>
        <r>
          <rPr>
            <b/>
            <sz val="9"/>
            <color indexed="81"/>
            <rFont val="Tahoma"/>
            <family val="2"/>
          </rPr>
          <t>Bruyns Fred H:</t>
        </r>
        <r>
          <rPr>
            <sz val="9"/>
            <color indexed="81"/>
            <rFont val="Tahoma"/>
            <family val="2"/>
          </rPr>
          <t xml:space="preserve">
Programming note: 90 degrees of ankylosis of MP joint is maximum loss.</t>
        </r>
      </text>
    </comment>
    <comment ref="T101" authorId="1" shapeId="0" xr:uid="{F164A633-295A-4A0C-8329-3AC747760D3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05" authorId="1" shapeId="0" xr:uid="{710F3227-A192-4FDE-8474-5634F2A706F4}">
      <text>
        <r>
          <rPr>
            <b/>
            <sz val="9"/>
            <color indexed="81"/>
            <rFont val="Tahoma"/>
            <family val="2"/>
          </rPr>
          <t>Bruyns Fred H:</t>
        </r>
        <r>
          <rPr>
            <sz val="9"/>
            <color indexed="81"/>
            <rFont val="Tahoma"/>
            <family val="2"/>
          </rPr>
          <t xml:space="preserve">
"TRUE" or "FALSE" are output from checkboxes for deformity of movement.</t>
        </r>
      </text>
    </comment>
    <comment ref="AH113" authorId="1" shapeId="0" xr:uid="{2FC0DBAA-48BA-4062-84F5-90A684D23625}">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13" authorId="1" shapeId="0" xr:uid="{765F279E-F209-427D-912A-7CF29D361A77}">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13" authorId="1" shapeId="0" xr:uid="{6CC3AB53-6837-40F4-AEEE-D58DE078FB64}">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13" authorId="1" shapeId="0" xr:uid="{3957CCF3-543B-4230-8415-43BE5BFE1910}">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14" authorId="1" shapeId="0" xr:uid="{85191ED8-DD3D-4E11-BF0E-0073C194097B}">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14" authorId="1" shapeId="0" xr:uid="{B852639D-5B1C-4EAC-8420-4DB550580833}">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14" authorId="1" shapeId="0" xr:uid="{31CD9B1C-EBCA-496F-ACF9-4D196EF8CAB3}">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14" authorId="1" shapeId="0" xr:uid="{78532585-4535-4FC5-A5BB-37622F3FFAF0}">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14" authorId="1" shapeId="0" xr:uid="{FED03C80-1AF9-41A6-BAB7-BBE4EE1D337E}">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14" authorId="1" shapeId="0" xr:uid="{84CCC97F-2628-4BAB-8357-EC85356DECF6}">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14" authorId="1" shapeId="0" xr:uid="{FE0B4845-8F1A-4051-BCA6-426983B106C3}">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15" authorId="1" shapeId="0" xr:uid="{B6ECC2A3-26E4-481B-BAFF-3EEFD62D5FB2}">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18" authorId="1" shapeId="0" xr:uid="{A2C1FA20-FF92-4343-AC72-E9E15BED3997}">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18" authorId="1" shapeId="0" xr:uid="{7AA16B8F-28AB-497B-A21F-9A7AF9214847}">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18" authorId="1" shapeId="0" xr:uid="{06308461-E8B5-4176-98E4-6604B28BA55E}">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18" authorId="1" shapeId="0" xr:uid="{DFBDD386-0F5D-413A-8E68-0B71AAD42B10}">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23" authorId="1" shapeId="0" xr:uid="{9BD1C195-7B47-43DD-9056-8A6631F5DAEC}">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23" authorId="1" shapeId="0" xr:uid="{829616D6-AD30-4189-B19C-D3A938EE1FE1}">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23" authorId="1" shapeId="0" xr:uid="{34DB86DB-4ABC-43B3-8214-3A8ED001BC2B}">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23" authorId="1" shapeId="0" xr:uid="{D3A3A280-364F-4CE4-B98D-0F5E1C3F80A1}">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126" authorId="1" shapeId="0" xr:uid="{619F2B4C-EEAC-48A6-9686-B804FA9EFEAF}">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6" authorId="1" shapeId="0" xr:uid="{559585A4-0DB8-4C2F-B5E4-444E240D9688}">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6" authorId="1" shapeId="0" xr:uid="{95815CDC-4733-4C0E-B7E2-9156E91A7B71}">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126" authorId="1" shapeId="0" xr:uid="{2B01D59A-B066-4DA2-8A0B-8E9A677E6932}">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127" authorId="1" shapeId="0" xr:uid="{6CD6B607-F48B-4CA9-BFF2-54334F46D60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7" authorId="1" shapeId="0" xr:uid="{D8DA71CA-ACFF-4C2A-B807-74629D2BA7A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7" authorId="1" shapeId="0" xr:uid="{EAF788AC-0009-49C3-8CE9-6B0C5E722C4E}">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127" authorId="1" shapeId="0" xr:uid="{61BC9276-2FC1-4503-AB95-3E65F8456278}">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128" authorId="1" shapeId="0" xr:uid="{14FA1A8F-A151-42B0-BD5C-FCE93E720EFF}">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128" authorId="1" shapeId="0" xr:uid="{C039CF21-1B96-4E00-9C6B-42368604B4C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128" authorId="1" shapeId="0" xr:uid="{755A4629-6EDD-490B-9A04-A318613672C9}">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130" authorId="1" shapeId="0" xr:uid="{AA37B0FF-B643-4CD3-A34F-61A8E2A4F68E}">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134" authorId="1" shapeId="0" xr:uid="{97F8558A-8155-4E3E-B740-E072BC8D3269}">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137" authorId="1" shapeId="0" xr:uid="{AD63A3EA-32DA-4C64-BE78-5DF37A369E5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137" authorId="1" shapeId="0" xr:uid="{47AC994B-A42A-49AA-A6EC-895AB38E0E5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137" authorId="1" shapeId="0" xr:uid="{C99420CF-34D1-408C-A6DD-4177B73E85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137" authorId="1" shapeId="0" xr:uid="{55A8FFAC-432C-422D-BA95-FA6A5B97FC5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137" authorId="1" shapeId="0" xr:uid="{EF8BD079-4DAF-4B7B-91BC-F090B081AF52}">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their are findings in the hand/forearm or arm), but the exception is when two digits are affected only due to loss of opposition following amputation of part or all of a digit.</t>
        </r>
      </text>
    </comment>
    <comment ref="X138" authorId="1" shapeId="0" xr:uid="{2A614C00-2157-4CD3-A511-4F33076839CD}">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140" authorId="1" shapeId="0" xr:uid="{EA58E805-7DAF-4249-AB15-8E6A1FCFE309}">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157" authorId="1" shapeId="0" xr:uid="{D5D3E68C-6B72-4344-8EED-42C447A72DD9}">
      <text>
        <r>
          <rPr>
            <b/>
            <sz val="9"/>
            <color indexed="81"/>
            <rFont val="Tahoma"/>
            <family val="2"/>
          </rPr>
          <t>Bruyns Fred H:</t>
        </r>
        <r>
          <rPr>
            <sz val="9"/>
            <color indexed="81"/>
            <rFont val="Tahoma"/>
            <family val="2"/>
          </rPr>
          <t xml:space="preserve">
Descriptions in the chart to the right are used in a pull-down menu below "Middle finger, amputation or resection without reattachment (or shortening of digit)." The percentages correspond to the extent of amputation per OAR 436-035-0030.</t>
        </r>
      </text>
    </comment>
    <comment ref="R160" authorId="1" shapeId="0" xr:uid="{825393A6-DA8D-478C-963F-374651265CC7}">
      <text>
        <r>
          <rPr>
            <b/>
            <sz val="9"/>
            <color indexed="81"/>
            <rFont val="Tahoma"/>
            <family val="2"/>
          </rPr>
          <t>Bruyns Fred H:</t>
        </r>
        <r>
          <rPr>
            <sz val="9"/>
            <color indexed="81"/>
            <rFont val="Tahoma"/>
            <family val="2"/>
          </rPr>
          <t xml:space="preserve">
Programming note: This formula finds a match between the selected middle finger amputation level in Cell B161 with the amputation levels listed in the table to the right, and then the formula returns the percentage of thumb opposition loss associated with the middle finger amputation level. NOTE: This percentage, if any, will display for the thumb, not for the middle finger.</t>
        </r>
      </text>
    </comment>
    <comment ref="S168" authorId="1" shapeId="0" xr:uid="{39DE470A-6FCC-42EA-B36D-8C842BBD896B}">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168" authorId="1" shapeId="0" xr:uid="{DACE01C9-EE38-44F2-82C4-0E10594F542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8" authorId="1" shapeId="0" xr:uid="{9C4AB5DA-B299-409C-8C49-F9EA9825760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8" authorId="1" shapeId="0" xr:uid="{FDED51DD-08FA-4C8A-84F3-B531D2A0BFB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68" authorId="1" shapeId="0" xr:uid="{FAB41935-B72A-46B8-A23D-DABF4D5B12E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168" authorId="1" shapeId="0" xr:uid="{0832A403-829B-457B-9AE6-C0C18AF0F2EF}">
      <text>
        <r>
          <rPr>
            <b/>
            <sz val="9"/>
            <color indexed="81"/>
            <rFont val="Tahoma"/>
            <family val="2"/>
          </rPr>
          <t>Bruyns Fred H:</t>
        </r>
        <r>
          <rPr>
            <sz val="9"/>
            <color indexed="81"/>
            <rFont val="Tahoma"/>
            <family val="2"/>
          </rPr>
          <t xml:space="preserve">
Programming note: Formula returns "1" if any of the joints are ankylosed.</t>
        </r>
      </text>
    </comment>
    <comment ref="S169" authorId="1" shapeId="0" xr:uid="{031B1197-6906-48D1-B7E9-0F31A3F55CBD}">
      <text>
        <r>
          <rPr>
            <b/>
            <sz val="9"/>
            <color indexed="81"/>
            <rFont val="Tahoma"/>
            <family val="2"/>
          </rPr>
          <t>Bruyns Fred H:</t>
        </r>
        <r>
          <rPr>
            <sz val="9"/>
            <color indexed="81"/>
            <rFont val="Tahoma"/>
            <family val="2"/>
          </rPr>
          <t xml:space="preserve">
Programming note: 70 degrees of extension of DIP joint is maximum loss.</t>
        </r>
      </text>
    </comment>
    <comment ref="T169" authorId="1" shapeId="0" xr:uid="{98868AF8-F405-484B-BE78-AD8DCD12000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9" authorId="1" shapeId="0" xr:uid="{1891FA8C-D2CF-4768-9520-9B7009D067A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9" authorId="1" shapeId="0" xr:uid="{DD1D4369-F887-4F04-AAB7-25E7DB04DC5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69" authorId="1" shapeId="0" xr:uid="{6C899688-C190-459D-A1FE-156FBBCBDF3D}">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69" authorId="1" shapeId="0" xr:uid="{01E10964-296B-438C-96D0-F8A7BCECDA0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69" authorId="1" shapeId="0" xr:uid="{073BB5BB-CF1B-48B1-BC95-300925E98241}">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169" authorId="1" shapeId="0" xr:uid="{21412356-6DE8-4769-8261-550C44B9A691}">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169" authorId="1" shapeId="0" xr:uid="{7F45B057-8960-437B-9E99-1EF8643F267F}">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169" authorId="1" shapeId="0" xr:uid="{BCC7181E-43F9-430C-AFD3-4B0E930C3551}">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169" authorId="1" shapeId="0" xr:uid="{7EFDFE92-BCD9-4A73-93B0-EEFC9A734C91}">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169" authorId="1" shapeId="0" xr:uid="{B1001C99-B080-49DB-9037-93E4FDE2702C}">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170" authorId="1" shapeId="0" xr:uid="{D64A3BAA-DD28-4372-8DDD-3B87CD03B8B2}">
      <text>
        <r>
          <rPr>
            <b/>
            <sz val="9"/>
            <color indexed="81"/>
            <rFont val="Tahoma"/>
            <family val="2"/>
          </rPr>
          <t>Bruyns Fred H:</t>
        </r>
        <r>
          <rPr>
            <sz val="9"/>
            <color indexed="81"/>
            <rFont val="Tahoma"/>
            <family val="2"/>
          </rPr>
          <t xml:space="preserve">
Programming note: 70 degrees of ankylosis of DIP joint is maximum loss.</t>
        </r>
      </text>
    </comment>
    <comment ref="T170" authorId="1" shapeId="0" xr:uid="{9446A883-B33B-4075-AF81-3317FAC4E4D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2" authorId="1" shapeId="0" xr:uid="{3502D560-F7D1-4D68-A547-5F8E4714A233}">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172" authorId="1" shapeId="0" xr:uid="{5AFA590A-DA7F-4E53-ADA1-842253F0FD7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2" authorId="1" shapeId="0" xr:uid="{1033A4F1-EA9A-4B21-9655-DBAC75FD92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2" authorId="1" shapeId="0" xr:uid="{E5446ED4-A393-44C4-B911-80EC5CAC7CAB}">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2" authorId="1" shapeId="0" xr:uid="{4C0E8D7C-5642-45BC-97D4-0FD9CE17DA8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172" authorId="1" shapeId="0" xr:uid="{C3950419-4184-4E24-B2A9-8F1C3A33E8DE}">
      <text>
        <r>
          <rPr>
            <b/>
            <sz val="9"/>
            <color indexed="81"/>
            <rFont val="Tahoma"/>
            <family val="2"/>
          </rPr>
          <t>Bruyns Fred H:</t>
        </r>
        <r>
          <rPr>
            <sz val="9"/>
            <color indexed="81"/>
            <rFont val="Tahoma"/>
            <family val="2"/>
          </rPr>
          <t xml:space="preserve">
Programming note: Formula counts ankylosed joints in the digit.</t>
        </r>
      </text>
    </comment>
    <comment ref="S173" authorId="1" shapeId="0" xr:uid="{F5B7BA37-D701-4652-B0DB-FCD31A052559}">
      <text>
        <r>
          <rPr>
            <b/>
            <sz val="9"/>
            <color indexed="81"/>
            <rFont val="Tahoma"/>
            <family val="2"/>
          </rPr>
          <t>Bruyns Fred H:</t>
        </r>
        <r>
          <rPr>
            <sz val="9"/>
            <color indexed="81"/>
            <rFont val="Tahoma"/>
            <family val="2"/>
          </rPr>
          <t xml:space="preserve">
Programming note: 100 degrees of extension of PIP joint is maximum loss.</t>
        </r>
      </text>
    </comment>
    <comment ref="T173" authorId="1" shapeId="0" xr:uid="{11EFEC93-6013-42D0-AC21-873CC0D45AC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3" authorId="1" shapeId="0" xr:uid="{E8857659-F3C5-4AD1-9547-176223A709D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3" authorId="1" shapeId="0" xr:uid="{EC312309-0D9C-4EDD-BF7B-CE9B7D4C441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3" authorId="1" shapeId="0" xr:uid="{EB9F8C27-B748-4E8D-A498-8CF896A3EF07}">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3" authorId="1" shapeId="0" xr:uid="{10266B9C-F366-4B79-9C85-D5814DBBA355}">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3" authorId="1" shapeId="0" xr:uid="{2177F036-B5E7-4B14-AC63-73A4EDD661EF}">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173" authorId="1" shapeId="0" xr:uid="{33E4FF5A-A65C-4002-A20A-F30524E01732}">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S174" authorId="1" shapeId="0" xr:uid="{1CE046DF-F710-4E8C-A31A-A8DA72BDDF5C}">
      <text>
        <r>
          <rPr>
            <b/>
            <sz val="9"/>
            <color indexed="81"/>
            <rFont val="Tahoma"/>
            <family val="2"/>
          </rPr>
          <t>Bruyns Fred H:</t>
        </r>
        <r>
          <rPr>
            <sz val="9"/>
            <color indexed="81"/>
            <rFont val="Tahoma"/>
            <family val="2"/>
          </rPr>
          <t xml:space="preserve">
Programming note: 100 degrees of ankylosis of PIP joint is maximum loss.</t>
        </r>
      </text>
    </comment>
    <comment ref="T174" authorId="1" shapeId="0" xr:uid="{EA121950-2272-44B5-A83D-1C79ED2B2DE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175" authorId="1" shapeId="0" xr:uid="{3AAB5E64-194C-4246-A0C5-9A1B776DEE72}">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175" authorId="1" shapeId="0" xr:uid="{93990417-FE6D-44C0-9948-6A6C512E3D3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175" authorId="1" shapeId="0" xr:uid="{EB67613F-ECE4-407C-8A88-EDDE0D8AD0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175" authorId="1" shapeId="0" xr:uid="{AF8125DF-80E7-47C5-B0C7-77473FDAFBD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176" authorId="1" shapeId="0" xr:uid="{AD716D2F-5998-41F4-8F7A-C0810350A2F3}">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176" authorId="1" shapeId="0" xr:uid="{F49A668E-68B8-49A7-9583-90C158C699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276E8250-53A7-4B6F-B207-AC30CC1A432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1C17DB39-34BC-4B59-A869-B8D7CB9135A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176" authorId="1" shapeId="0" xr:uid="{4DBB9686-6CD0-429C-8CBB-0CCE457CB35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77" authorId="1" shapeId="0" xr:uid="{823D8C37-E58F-47E0-8771-7953D87291C8}">
      <text>
        <r>
          <rPr>
            <b/>
            <sz val="9"/>
            <color indexed="81"/>
            <rFont val="Tahoma"/>
            <family val="2"/>
          </rPr>
          <t>Bruyns Fred H:</t>
        </r>
        <r>
          <rPr>
            <sz val="9"/>
            <color indexed="81"/>
            <rFont val="Tahoma"/>
            <family val="2"/>
          </rPr>
          <t xml:space="preserve">
Programming note: 90 degrees of extension of MP joint is maximum loss.</t>
        </r>
      </text>
    </comment>
    <comment ref="T177" authorId="1" shapeId="0" xr:uid="{B2899AB7-1DED-4238-B98C-F9BC2A6AFA8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7" authorId="1" shapeId="0" xr:uid="{0292819B-70BB-4954-AEB5-181ABC091E5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7" authorId="1" shapeId="0" xr:uid="{C3705F2D-0309-486E-ACE8-8C7A5518163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177" authorId="1" shapeId="0" xr:uid="{118695AC-E3BE-444D-B37F-05B33FC50F1A}">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177" authorId="1" shapeId="0" xr:uid="{AF1E20A4-B625-4DCE-BEA6-B5CEBB4B11B2}">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177" authorId="1" shapeId="0" xr:uid="{6958B233-9340-4E38-8A85-63806140567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178" authorId="1" shapeId="0" xr:uid="{E23A9FD7-8958-4874-9ABB-6E28F6254118}">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178" authorId="1" shapeId="0" xr:uid="{B4D200F4-E9AB-4493-B444-287A8E66E646}">
      <text>
        <r>
          <rPr>
            <b/>
            <sz val="9"/>
            <color indexed="81"/>
            <rFont val="Tahoma"/>
            <family val="2"/>
          </rPr>
          <t>Bruyns Fred H:</t>
        </r>
        <r>
          <rPr>
            <sz val="9"/>
            <color indexed="81"/>
            <rFont val="Tahoma"/>
            <family val="2"/>
          </rPr>
          <t xml:space="preserve">
Programming note: 90 degrees of ankylosis of MP joint is maximum loss.</t>
        </r>
      </text>
    </comment>
    <comment ref="T178" authorId="1" shapeId="0" xr:uid="{DA3D65CC-2D59-43AE-A9A9-79404A7CC2C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1" authorId="1" shapeId="0" xr:uid="{7D6A46CE-1D4C-4A76-9AC6-080910E86C16}">
      <text>
        <r>
          <rPr>
            <b/>
            <sz val="9"/>
            <color indexed="81"/>
            <rFont val="Tahoma"/>
            <family val="2"/>
          </rPr>
          <t>Bruyns Fred H:</t>
        </r>
        <r>
          <rPr>
            <sz val="9"/>
            <color indexed="81"/>
            <rFont val="Tahoma"/>
            <family val="2"/>
          </rPr>
          <t xml:space="preserve">
"TRUE" or "FALSE" are output from checkboxes for deformity of movement.</t>
        </r>
      </text>
    </comment>
    <comment ref="AH189" authorId="1" shapeId="0" xr:uid="{1621B9CF-DFFF-4BD8-B0B6-FD381BE94262}">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189" authorId="1" shapeId="0" xr:uid="{8E3FAEF0-8F72-4895-B4B8-34FA67B9300B}">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189" authorId="1" shapeId="0" xr:uid="{EF553F26-B4B4-4F99-9B73-D546035A88E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189" authorId="1" shapeId="0" xr:uid="{3419EDED-A713-48C4-AABD-E84B0E5C5B86}">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190" authorId="1" shapeId="0" xr:uid="{DC20B5B0-DDBC-423B-A00F-21C26BDA1786}">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190" authorId="1" shapeId="0" xr:uid="{9F825D1F-A397-4987-A708-FA8A7ACC507A}">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190" authorId="1" shapeId="0" xr:uid="{A8C9D3A1-1318-4EB7-9533-0B5CCD38DE3F}">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190" authorId="1" shapeId="0" xr:uid="{205EC9FB-8AE1-437B-A620-DD2225EA6C72}">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190" authorId="1" shapeId="0" xr:uid="{E06F5EA2-5604-4135-9927-F4CF3AFE9C77}">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190" authorId="1" shapeId="0" xr:uid="{84D2214D-F99C-48AF-92D2-6B6DF459C512}">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190" authorId="1" shapeId="0" xr:uid="{A753D8FC-6F7F-417D-9027-469FDA20D804}">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191" authorId="1" shapeId="0" xr:uid="{69BE499B-0F65-4BBA-B7A7-CFB6B5187332}">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194" authorId="1" shapeId="0" xr:uid="{7E380FBB-F068-48E3-9B09-762F1C4D8036}">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194" authorId="1" shapeId="0" xr:uid="{2B915048-8F90-4095-9A2C-B1C13F22FE89}">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194" authorId="1" shapeId="0" xr:uid="{9369C692-AAA2-4D5B-8340-E58DA7231B86}">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194" authorId="1" shapeId="0" xr:uid="{4C3DD47A-5B69-46D2-B7F7-333A96B44E2D}">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199" authorId="1" shapeId="0" xr:uid="{BCE04400-0840-4CFB-8C1E-477AC45BE047}">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199" authorId="1" shapeId="0" xr:uid="{56907A70-6A42-4A05-9C15-F9E648DD3378}">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199" authorId="1" shapeId="0" xr:uid="{6891E722-5FE8-4CB2-AFD3-4E3F9C299482}">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199" authorId="1" shapeId="0" xr:uid="{59EE620C-3F7C-4D63-982F-9CFAB40A79F5}">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202" authorId="1" shapeId="0" xr:uid="{99A1F3D7-A2EC-4235-A6E9-F9005A0A56C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2" authorId="1" shapeId="0" xr:uid="{B83EC551-D768-4C90-BE43-23C6C5E73114}">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W202" authorId="1" shapeId="0" xr:uid="{204C44E3-1EE5-4DD5-9806-80B11D7262F2}">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03" authorId="1" shapeId="0" xr:uid="{03BE3D5F-9B96-48D3-8A97-C39DCF93DF56}">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3" authorId="1" shapeId="0" xr:uid="{BC6920D3-61CC-40DB-8A19-A4B3EFAC05BF}">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H204" authorId="1" shapeId="0" xr:uid="{4C020F5D-0FB3-44FD-AECA-28F9D1AC9C58}">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04" authorId="1" shapeId="0" xr:uid="{53A9E1A1-FB0A-44FC-84A5-D8FB48D8AD5B}">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R206" authorId="1" shapeId="0" xr:uid="{562D799A-9406-465D-A024-EFB238878D11}">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10" authorId="1" shapeId="0" xr:uid="{969A577B-B302-4F9B-AB2D-94A03D5D50F3}">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14" authorId="1" shapeId="0" xr:uid="{8247CFDF-E2A9-460E-8070-1DB2DD5B5C0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14" authorId="1" shapeId="0" xr:uid="{030B2CC5-512C-4C28-A854-EE4455901BD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14" authorId="1" shapeId="0" xr:uid="{B10EF6E7-BA2B-4A18-9C11-A2C4BD5F78B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14" authorId="1" shapeId="0" xr:uid="{5143A0FD-4E8D-4079-9AA5-C0B1C7E8DA36}">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14" authorId="1" shapeId="0" xr:uid="{9CE88557-6D85-4B00-9B53-967071D7247D}">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15" authorId="1" shapeId="0" xr:uid="{8EB65135-8C34-42C9-824D-C818816CDB6B}">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17" authorId="1" shapeId="0" xr:uid="{1E5B70E6-12FA-4819-8701-28F2B25FF9FE}">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234" authorId="1" shapeId="0" xr:uid="{4F057A53-0DC3-49E1-8462-798F25E41909}">
      <text>
        <r>
          <rPr>
            <b/>
            <sz val="9"/>
            <color indexed="81"/>
            <rFont val="Tahoma"/>
            <family val="2"/>
          </rPr>
          <t>Bruyns Fred H:</t>
        </r>
        <r>
          <rPr>
            <sz val="9"/>
            <color indexed="81"/>
            <rFont val="Tahoma"/>
            <family val="2"/>
          </rPr>
          <t xml:space="preserve">
Descriptions in the chart to the right are used in a pull-down menu below "Ring finger, amputation or resection without reattachment (or shortening of digit)." The percentages correspond to the extent of amputation per OAR 436-035-0030.</t>
        </r>
      </text>
    </comment>
    <comment ref="R237" authorId="1" shapeId="0" xr:uid="{B5927ECB-AD62-4E55-86C4-4854764A1C54}">
      <text>
        <r>
          <rPr>
            <b/>
            <sz val="9"/>
            <color indexed="81"/>
            <rFont val="Tahoma"/>
            <family val="2"/>
          </rPr>
          <t>Bruyns Fred H:</t>
        </r>
        <r>
          <rPr>
            <sz val="9"/>
            <color indexed="81"/>
            <rFont val="Tahoma"/>
            <family val="2"/>
          </rPr>
          <t xml:space="preserve">
Programming note: This formula finds a match between the selected ring finger amputation level in Cell B238 with the amputation levels listed in the table to the right, and then the formula returns the percentage of thumb opposition loss associated with the ring finger amputation level. NOTE: This percentage, if any, will display for the thumb, not for the ring finger.</t>
        </r>
      </text>
    </comment>
    <comment ref="S244" authorId="1" shapeId="0" xr:uid="{3BE1D7B2-4B6F-4BF3-91A2-4EAFBA34F22F}">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244" authorId="1" shapeId="0" xr:uid="{F3D2CF4E-4E5F-4CC2-ADCF-B5036E2CBF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4" authorId="1" shapeId="0" xr:uid="{A37528AD-8956-47FE-9D43-927CF15C74E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4" authorId="1" shapeId="0" xr:uid="{83B1B921-83AD-4A95-8AFC-BF8A487A10F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4" authorId="1" shapeId="0" xr:uid="{213A2E97-27A1-4B04-B42A-46A065075DE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244" authorId="1" shapeId="0" xr:uid="{74AC0D4D-818D-4E2E-9ED9-AC302D0F85E3}">
      <text>
        <r>
          <rPr>
            <b/>
            <sz val="9"/>
            <color indexed="81"/>
            <rFont val="Tahoma"/>
            <family val="2"/>
          </rPr>
          <t>Bruyns Fred H:</t>
        </r>
        <r>
          <rPr>
            <sz val="9"/>
            <color indexed="81"/>
            <rFont val="Tahoma"/>
            <family val="2"/>
          </rPr>
          <t xml:space="preserve">
Programming note: Formula returns "1" if any of the joints are ankylosed.</t>
        </r>
      </text>
    </comment>
    <comment ref="S245" authorId="1" shapeId="0" xr:uid="{74770CFE-E08B-48EC-BC83-0C6DD64DF85B}">
      <text>
        <r>
          <rPr>
            <b/>
            <sz val="9"/>
            <color indexed="81"/>
            <rFont val="Tahoma"/>
            <family val="2"/>
          </rPr>
          <t>Bruyns Fred H:</t>
        </r>
        <r>
          <rPr>
            <sz val="9"/>
            <color indexed="81"/>
            <rFont val="Tahoma"/>
            <family val="2"/>
          </rPr>
          <t xml:space="preserve">
Programming note: 70 degrees of extension of DIP joint is maximum loss.</t>
        </r>
      </text>
    </comment>
    <comment ref="T245" authorId="1" shapeId="0" xr:uid="{859721FA-E714-4EFE-B13C-8F7DA6A1480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5" authorId="1" shapeId="0" xr:uid="{56121650-77D5-405C-812C-6AB750D43EF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5" authorId="1" shapeId="0" xr:uid="{08897C96-85CD-4331-A2D6-9E4F8CC6C2B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5" authorId="1" shapeId="0" xr:uid="{A76F6244-9370-4C07-9BA7-555C2062B65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5" authorId="1" shapeId="0" xr:uid="{EB09A89C-650B-440E-89F5-5663B9C2BF2D}">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5" authorId="1" shapeId="0" xr:uid="{839595D6-80E5-4D7C-91EB-371798FA69E7}">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245" authorId="1" shapeId="0" xr:uid="{50E6B40E-D13D-4BCD-9355-E2BA8C68B407}">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245" authorId="1" shapeId="0" xr:uid="{5E45F434-99B7-47BC-9259-983F178AAC5F}">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245" authorId="1" shapeId="0" xr:uid="{5C8ECF13-6A2D-4887-8CF5-27D7CBAD5DA4}">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245" authorId="1" shapeId="0" xr:uid="{A52D575B-1D60-44C4-9012-E2BF5F6E2147}">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245" authorId="1" shapeId="0" xr:uid="{53EC4DA7-890A-45C3-B418-A484A716A465}">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246" authorId="1" shapeId="0" xr:uid="{44476E35-5EE2-49A7-B0BE-3918083152F6}">
      <text>
        <r>
          <rPr>
            <b/>
            <sz val="9"/>
            <color indexed="81"/>
            <rFont val="Tahoma"/>
            <family val="2"/>
          </rPr>
          <t>Bruyns Fred H:</t>
        </r>
        <r>
          <rPr>
            <sz val="9"/>
            <color indexed="81"/>
            <rFont val="Tahoma"/>
            <family val="2"/>
          </rPr>
          <t xml:space="preserve">
Programming note: 70 degrees of ankylosis of DIP joint is maximum loss.</t>
        </r>
      </text>
    </comment>
    <comment ref="T246" authorId="1" shapeId="0" xr:uid="{20287EB6-DF1B-4324-BBA3-8838723C9A1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48" authorId="1" shapeId="0" xr:uid="{7D58E445-25C4-4CB2-8CFB-EB346DF20308}">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248" authorId="1" shapeId="0" xr:uid="{0DE6EF83-4979-4998-997E-CA8C9114DD2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8" authorId="1" shapeId="0" xr:uid="{20EEE092-2FEE-4D4B-8656-B2A5208E51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8" authorId="1" shapeId="0" xr:uid="{4C79BD41-3C8E-4511-93B0-C5C85EFBDA5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48" authorId="1" shapeId="0" xr:uid="{11C950A5-1985-44EF-BDB7-C3B0F381432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248" authorId="1" shapeId="0" xr:uid="{31EA65E3-5B3E-4942-8438-5BD2F5DE8629}">
      <text>
        <r>
          <rPr>
            <b/>
            <sz val="9"/>
            <color indexed="81"/>
            <rFont val="Tahoma"/>
            <family val="2"/>
          </rPr>
          <t>Bruyns Fred H:</t>
        </r>
        <r>
          <rPr>
            <sz val="9"/>
            <color indexed="81"/>
            <rFont val="Tahoma"/>
            <family val="2"/>
          </rPr>
          <t xml:space="preserve">
Programming note: Formula counts ankylosed joints in the digit.</t>
        </r>
      </text>
    </comment>
    <comment ref="S249" authorId="1" shapeId="0" xr:uid="{B58DC06F-EFC7-45E5-B997-448D63CDCEB6}">
      <text>
        <r>
          <rPr>
            <b/>
            <sz val="9"/>
            <color indexed="81"/>
            <rFont val="Tahoma"/>
            <family val="2"/>
          </rPr>
          <t>Bruyns Fred H:</t>
        </r>
        <r>
          <rPr>
            <sz val="9"/>
            <color indexed="81"/>
            <rFont val="Tahoma"/>
            <family val="2"/>
          </rPr>
          <t xml:space="preserve">
Programming note: 100 degrees of extension of PIP joint is maximum loss.</t>
        </r>
      </text>
    </comment>
    <comment ref="T249" authorId="1" shapeId="0" xr:uid="{69E0F02A-65D0-4B50-9946-378B18BE13F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49" authorId="1" shapeId="0" xr:uid="{52CC15EF-C4B2-482B-BE5D-6C7ED6E27DD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49" authorId="1" shapeId="0" xr:uid="{2D6EA252-343E-481F-A984-248F2FCA0AE0}">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49" authorId="1" shapeId="0" xr:uid="{7BF5A79D-6FD0-49E7-958F-093F3650BB2D}">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49" authorId="1" shapeId="0" xr:uid="{EC81EBFD-5CE3-44B8-AC73-1C5066224566}">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49" authorId="1" shapeId="0" xr:uid="{F8555ACD-942B-4AEA-BF7F-9C19C12C8E2E}">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249" authorId="1" shapeId="0" xr:uid="{0BB72674-6867-4ED9-9F09-3E46BBE0571F}">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S250" authorId="1" shapeId="0" xr:uid="{8C82CF0C-002B-4C61-A042-BAC82B13EEEA}">
      <text>
        <r>
          <rPr>
            <b/>
            <sz val="9"/>
            <color indexed="81"/>
            <rFont val="Tahoma"/>
            <family val="2"/>
          </rPr>
          <t>Bruyns Fred H:</t>
        </r>
        <r>
          <rPr>
            <sz val="9"/>
            <color indexed="81"/>
            <rFont val="Tahoma"/>
            <family val="2"/>
          </rPr>
          <t xml:space="preserve">
Programming note: 100 degrees of ankylosis of PIP joint is maximum loss.</t>
        </r>
      </text>
    </comment>
    <comment ref="T250" authorId="1" shapeId="0" xr:uid="{2716BF3E-235E-49FF-AAE5-0AAAA595E2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251" authorId="1" shapeId="0" xr:uid="{B53C0474-5529-47D6-BB03-7888AC890975}">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251" authorId="1" shapeId="0" xr:uid="{F299C09B-108E-497C-9B7F-E99D5068EC9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51" authorId="1" shapeId="0" xr:uid="{0F0F7368-E93B-43F0-9F95-B82437D5249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251" authorId="1" shapeId="0" xr:uid="{FCE4612E-D5B1-443B-81E6-A4EC1DDF243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252" authorId="1" shapeId="0" xr:uid="{F323058D-D1E6-4980-B4B3-691EB3E5D7F8}">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252" authorId="1" shapeId="0" xr:uid="{DA1DFAE4-CC7A-47CC-8552-CBA7F557721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2" authorId="1" shapeId="0" xr:uid="{3967FBDF-3F45-4D77-8B44-7D87F37C362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2" authorId="1" shapeId="0" xr:uid="{CB62E12B-CD49-4B5E-9D30-C83951F1280D}">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252" authorId="1" shapeId="0" xr:uid="{A0B8B26C-BAF9-4478-B300-067C2862A07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253" authorId="1" shapeId="0" xr:uid="{A9EB0334-DA49-4359-A439-B1ED99D2E118}">
      <text>
        <r>
          <rPr>
            <b/>
            <sz val="9"/>
            <color indexed="81"/>
            <rFont val="Tahoma"/>
            <family val="2"/>
          </rPr>
          <t>Bruyns Fred H:</t>
        </r>
        <r>
          <rPr>
            <sz val="9"/>
            <color indexed="81"/>
            <rFont val="Tahoma"/>
            <family val="2"/>
          </rPr>
          <t xml:space="preserve">
Programming note: 90 degrees of extension of MP joint is maximum loss.</t>
        </r>
      </text>
    </comment>
    <comment ref="T253" authorId="1" shapeId="0" xr:uid="{7CD52518-7A72-4AE3-91CD-799208299E6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53" authorId="1" shapeId="0" xr:uid="{E0922E66-15D1-4A1A-9FBA-698D714BCC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53" authorId="1" shapeId="0" xr:uid="{0AA4C505-1EB8-4AA8-B6DA-C790DD39C7EA}">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253" authorId="1" shapeId="0" xr:uid="{DA8FE5BA-824B-4D0E-AB71-E64F8F52599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253" authorId="1" shapeId="0" xr:uid="{D5DD38F5-DD06-4D2C-AD79-0EA50679D3FE}">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253" authorId="1" shapeId="0" xr:uid="{20880B77-32E0-480D-B8D2-534B36322C1C}">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254" authorId="1" shapeId="0" xr:uid="{53450F33-EF1A-4CB0-A28A-9F52F985B626}">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254" authorId="1" shapeId="0" xr:uid="{C1408008-34A2-4620-931E-DC09BBB56CA6}">
      <text>
        <r>
          <rPr>
            <b/>
            <sz val="9"/>
            <color indexed="81"/>
            <rFont val="Tahoma"/>
            <family val="2"/>
          </rPr>
          <t>Bruyns Fred H:</t>
        </r>
        <r>
          <rPr>
            <sz val="9"/>
            <color indexed="81"/>
            <rFont val="Tahoma"/>
            <family val="2"/>
          </rPr>
          <t xml:space="preserve">
Programming note: 90 degrees of ankylosis of MP joint is maximum loss.</t>
        </r>
      </text>
    </comment>
    <comment ref="T254" authorId="1" shapeId="0" xr:uid="{B86362D9-464A-4B8A-A902-61F708B1B5F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57" authorId="1" shapeId="0" xr:uid="{BDB0C7CA-FBDB-4AC8-8536-F5902582D76C}">
      <text>
        <r>
          <rPr>
            <b/>
            <sz val="9"/>
            <color indexed="81"/>
            <rFont val="Tahoma"/>
            <family val="2"/>
          </rPr>
          <t>Bruyns Fred H:</t>
        </r>
        <r>
          <rPr>
            <sz val="9"/>
            <color indexed="81"/>
            <rFont val="Tahoma"/>
            <family val="2"/>
          </rPr>
          <t xml:space="preserve">
"TRUE" or "FALSE" are output from checkboxes for deformity of movement.</t>
        </r>
      </text>
    </comment>
    <comment ref="AH265" authorId="1" shapeId="0" xr:uid="{E231A949-69C0-4CB8-8223-4CCD9823D214}">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265" authorId="1" shapeId="0" xr:uid="{5668505E-891D-4146-9246-448B9514442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265" authorId="1" shapeId="0" xr:uid="{0899BA15-EBBC-4E78-9A43-6FD25CB73289}">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265" authorId="1" shapeId="0" xr:uid="{2D902E8C-B93E-40EC-96BC-64958C01057D}">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266" authorId="1" shapeId="0" xr:uid="{7E07B956-CBD2-4333-A9B5-DE12ADD39A68}">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266" authorId="1" shapeId="0" xr:uid="{A9464F38-F34B-4B3C-9839-42B8C1A1DD43}">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266" authorId="1" shapeId="0" xr:uid="{FDBC63BB-8CC7-4454-BF1F-EC068B8EB268}">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266" authorId="1" shapeId="0" xr:uid="{B4F369B5-0A50-419A-A68D-F0E079DE3893}">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266" authorId="1" shapeId="0" xr:uid="{3655ABCC-3531-4DBA-ADB8-DD4F695993F8}">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266" authorId="1" shapeId="0" xr:uid="{D71BC14C-5DB5-4842-A42B-A707980F9F6B}">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266" authorId="1" shapeId="0" xr:uid="{41AD7907-AB4A-4498-8600-BCA642918124}">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267" authorId="1" shapeId="0" xr:uid="{B80E50D0-878A-4678-A12F-226DB80A4A1D}">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270" authorId="1" shapeId="0" xr:uid="{2BA3F556-85E8-434C-BD3E-C215FFFAD955}">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270" authorId="1" shapeId="0" xr:uid="{619B636D-837C-42F2-A85B-BC07D31F1D64}">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270" authorId="1" shapeId="0" xr:uid="{3B6EAD7F-CA43-4A6A-BBDF-B6873FD925A0}">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270" authorId="1" shapeId="0" xr:uid="{02B1381C-BBCD-40C1-82E7-178808929DE3}">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275" authorId="1" shapeId="0" xr:uid="{8BA61E79-7128-4028-9FBD-8986FB98C3D5}">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275" authorId="1" shapeId="0" xr:uid="{79F8CF6E-6761-478D-BF8C-028E807881C1}">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275" authorId="1" shapeId="0" xr:uid="{C2F4B920-FAA1-4693-A3B5-97E10F1E9DBA}">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275" authorId="1" shapeId="0" xr:uid="{2825F436-340A-4A8E-8997-B0AE615E41D5}">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278" authorId="1" shapeId="0" xr:uid="{2232BF72-70E9-40CC-992F-AEF484A578D7}">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8" authorId="1" shapeId="0" xr:uid="{8C5406B4-8991-4681-9C18-62625C27FDC2}">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8" authorId="1" shapeId="0" xr:uid="{244346E6-6483-47D5-94B9-0A2F8B2B1E1D}">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278" authorId="1" shapeId="0" xr:uid="{C9C86476-BDE3-4144-AD64-EB26CDC458ED}">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279" authorId="1" shapeId="0" xr:uid="{D8A72D44-96BC-4082-84BA-B14DC0F313DA}">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79" authorId="1" shapeId="0" xr:uid="{B79DF8FC-FE1B-4F7C-8C8F-D5065B590D08}">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79" authorId="1" shapeId="0" xr:uid="{8E298D57-C1E4-4A23-A4CF-E4BD29F89225}">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279" authorId="1" shapeId="0" xr:uid="{46CE64CD-2E73-49BC-B71E-6F675F7B98AC}">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280" authorId="1" shapeId="0" xr:uid="{734DC4EB-F433-40C0-A439-254046C806C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280" authorId="1" shapeId="0" xr:uid="{699DB697-7620-446A-842F-F63118D27E11}">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280" authorId="1" shapeId="0" xr:uid="{2CB110B3-AE92-4F5D-AAB1-389E65AC9D79}">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282" authorId="1" shapeId="0" xr:uid="{DF5E2829-0478-4580-856E-37FF042DDC24}">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286" authorId="1" shapeId="0" xr:uid="{4E2E140E-8307-4624-975C-F45D381AF512}">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289" authorId="1" shapeId="0" xr:uid="{19F5D5E0-C753-46EF-BCEA-FECFCC8EEE46}">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289" authorId="1" shapeId="0" xr:uid="{22F20FE5-A9D5-44FE-80E5-26A3B058330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289" authorId="1" shapeId="0" xr:uid="{D3FCC48C-B765-4848-BAA2-8DC275917A2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289" authorId="1" shapeId="0" xr:uid="{5EA27EF4-3CC1-4DBC-8939-4310CAEE7BF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289" authorId="1" shapeId="0" xr:uid="{0521D14C-26E4-43C1-BF12-2AA4C714D469}">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290" authorId="1" shapeId="0" xr:uid="{44BA4A38-60DD-47F1-87F6-EDD49ABF67B3}">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292" authorId="1" shapeId="0" xr:uid="{B01637CC-F93F-47B4-906B-82A030F7AAAD}">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09" authorId="1" shapeId="0" xr:uid="{FCEF547E-57BE-4DB7-A795-C2D2FEF6D9A0}">
      <text>
        <r>
          <rPr>
            <b/>
            <sz val="9"/>
            <color indexed="81"/>
            <rFont val="Tahoma"/>
            <family val="2"/>
          </rPr>
          <t>Bruyns Fred H:</t>
        </r>
        <r>
          <rPr>
            <sz val="9"/>
            <color indexed="81"/>
            <rFont val="Tahoma"/>
            <family val="2"/>
          </rPr>
          <t xml:space="preserve">
Descriptions in the chart to the right are used in a pull-down menu below "Little finger, amputation or resection without reattachment (or shortening of digit)." The percentages correspond to the extent of amputation per OAR 436-035-0030.</t>
        </r>
      </text>
    </comment>
    <comment ref="R312" authorId="1" shapeId="0" xr:uid="{3E53DA02-A265-462E-8548-EB665F7C63B3}">
      <text>
        <r>
          <rPr>
            <b/>
            <sz val="9"/>
            <color indexed="81"/>
            <rFont val="Tahoma"/>
            <family val="2"/>
          </rPr>
          <t>Bruyns Fred H:</t>
        </r>
        <r>
          <rPr>
            <sz val="9"/>
            <color indexed="81"/>
            <rFont val="Tahoma"/>
            <family val="2"/>
          </rPr>
          <t xml:space="preserve">
Programming note: This formula finds a match between the selected little finger amputation level in Cell B313 with the amputation levels listed in the table to the right, and then the formula returns the percentage of thumb opposition loss associated with the little finger amputation level. NOTE: This percentage, if any, will display for the thumb, not for the little finger.</t>
        </r>
      </text>
    </comment>
    <comment ref="S319" authorId="1" shapeId="0" xr:uid="{0836F681-11CF-46C7-A3E7-5E7AD9464932}">
      <text>
        <r>
          <rPr>
            <b/>
            <sz val="9"/>
            <color indexed="81"/>
            <rFont val="Tahoma"/>
            <family val="2"/>
          </rPr>
          <t>Bruyns Fred H:</t>
        </r>
        <r>
          <rPr>
            <sz val="9"/>
            <color indexed="81"/>
            <rFont val="Tahoma"/>
            <family val="2"/>
          </rPr>
          <t xml:space="preserve">
Programming note: 70 degrees of flexion of DIP joint is considered normal - no impairment.</t>
        </r>
      </text>
    </comment>
    <comment ref="T319" authorId="1" shapeId="0" xr:uid="{9CBBC010-A702-4C74-9E3C-DB6C739D370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19" authorId="1" shapeId="0" xr:uid="{CB4EE9D3-82A4-41D3-AB6F-635509D45A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19" authorId="1" shapeId="0" xr:uid="{0CDD9746-625D-4CBB-B269-B1D02DCE6AD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19" authorId="1" shapeId="0" xr:uid="{B29E1493-BCDC-47E4-849A-4221832F66D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AE319" authorId="1" shapeId="0" xr:uid="{34D97F9B-FB3E-46A1-B22E-08F117BD7BFA}">
      <text>
        <r>
          <rPr>
            <b/>
            <sz val="9"/>
            <color indexed="81"/>
            <rFont val="Tahoma"/>
            <family val="2"/>
          </rPr>
          <t>Bruyns Fred H:</t>
        </r>
        <r>
          <rPr>
            <sz val="9"/>
            <color indexed="81"/>
            <rFont val="Tahoma"/>
            <family val="2"/>
          </rPr>
          <t xml:space="preserve">
Programming note: Formula returns "1" if any of the joints are ankylosed.</t>
        </r>
      </text>
    </comment>
    <comment ref="S320" authorId="1" shapeId="0" xr:uid="{A5067116-AD6B-4C4D-A164-281F51AC79E3}">
      <text>
        <r>
          <rPr>
            <b/>
            <sz val="9"/>
            <color indexed="81"/>
            <rFont val="Tahoma"/>
            <family val="2"/>
          </rPr>
          <t>Bruyns Fred H:</t>
        </r>
        <r>
          <rPr>
            <sz val="9"/>
            <color indexed="81"/>
            <rFont val="Tahoma"/>
            <family val="2"/>
          </rPr>
          <t xml:space="preserve">
Programming note: 70 degrees of extension of DIP joint is maximum loss.</t>
        </r>
      </text>
    </comment>
    <comment ref="T320" authorId="1" shapeId="0" xr:uid="{F6F3B7C3-873E-4FEF-B3B6-D5F0FA6F06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0" authorId="1" shapeId="0" xr:uid="{D9BF8B55-6342-4D2D-AA57-2B4B0D80EA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0" authorId="1" shapeId="0" xr:uid="{CFACEF50-0E32-4D68-A4CC-0820127A070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0" authorId="1" shapeId="0" xr:uid="{9A45FB2C-DC3F-480B-8136-24B75754B540}">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0" authorId="1" shapeId="0" xr:uid="{8049BF5C-B0DF-4248-811F-00A2669186E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0" authorId="1" shapeId="0" xr:uid="{BF2BE965-3EE9-4C01-996E-D70A4529FC9D}">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70 (max/normal). The value of "X" is then subtracted from the 70 (max/normal). See instructions for this formula under OAR 436-035-0011.</t>
        </r>
      </text>
    </comment>
    <comment ref="AA320" authorId="1" shapeId="0" xr:uid="{72B3E138-E422-4991-9677-4ECB973C0967}">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B320" authorId="1" shapeId="0" xr:uid="{9C60EF39-D56C-4744-85E2-97F3B092D58E}">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C320" authorId="1" shapeId="0" xr:uid="{61ED1FB1-8947-4892-8FC7-89643DAC1752}">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joint(s) in the digit are ankylosed.</t>
        </r>
      </text>
    </comment>
    <comment ref="AD320" authorId="1" shapeId="0" xr:uid="{DA246A58-B877-45B0-9871-3F7CFCBE557D}">
      <text>
        <r>
          <rPr>
            <b/>
            <sz val="9"/>
            <color indexed="81"/>
            <rFont val="Tahoma"/>
            <family val="2"/>
          </rPr>
          <t>Bruyns Fred H:</t>
        </r>
        <r>
          <rPr>
            <sz val="9"/>
            <color indexed="81"/>
            <rFont val="Tahoma"/>
            <family val="2"/>
          </rPr>
          <t xml:space="preserve">
Programming note: Formula applies apportionment after combining if ankylosis is not present in the digit.</t>
        </r>
      </text>
    </comment>
    <comment ref="AE320" authorId="1" shapeId="0" xr:uid="{B5FCF885-0EF0-4AB0-A475-C6ECE195BB20}">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321" authorId="1" shapeId="0" xr:uid="{0B8E86EC-DDEB-4BA3-8F03-F9BBB715EC73}">
      <text>
        <r>
          <rPr>
            <b/>
            <sz val="9"/>
            <color indexed="81"/>
            <rFont val="Tahoma"/>
            <family val="2"/>
          </rPr>
          <t>Bruyns Fred H:</t>
        </r>
        <r>
          <rPr>
            <sz val="9"/>
            <color indexed="81"/>
            <rFont val="Tahoma"/>
            <family val="2"/>
          </rPr>
          <t xml:space="preserve">
Programming note: 70 degrees of ankylosis of DIP joint is maximum loss.</t>
        </r>
      </text>
    </comment>
    <comment ref="T321" authorId="1" shapeId="0" xr:uid="{48CF20E3-4036-4241-A506-9A924179ED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23" authorId="1" shapeId="0" xr:uid="{36F306BF-538F-49E6-9AA2-68A3966D5043}">
      <text>
        <r>
          <rPr>
            <b/>
            <sz val="9"/>
            <color indexed="81"/>
            <rFont val="Tahoma"/>
            <family val="2"/>
          </rPr>
          <t>Bruyns Fred H:</t>
        </r>
        <r>
          <rPr>
            <sz val="9"/>
            <color indexed="81"/>
            <rFont val="Tahoma"/>
            <family val="2"/>
          </rPr>
          <t xml:space="preserve">
Programming note: 100 degrees of flexion of PIP joint is considered normal - no impairment.</t>
        </r>
      </text>
    </comment>
    <comment ref="T323" authorId="1" shapeId="0" xr:uid="{6B7F4EBE-B742-47EF-9005-6153A86B90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3" authorId="1" shapeId="0" xr:uid="{2CFC1B47-CDAB-46A2-A690-3F011E72E16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3" authorId="1" shapeId="0" xr:uid="{54302060-CDDC-4E8A-8B90-36190E00033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3" authorId="1" shapeId="0" xr:uid="{EFE5CA5A-5CEE-492A-9166-30BA6C7A37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AD323" authorId="1" shapeId="0" xr:uid="{195C2221-58C9-49AB-9E0E-0F1C2252D499}">
      <text>
        <r>
          <rPr>
            <b/>
            <sz val="9"/>
            <color indexed="81"/>
            <rFont val="Tahoma"/>
            <family val="2"/>
          </rPr>
          <t>Bruyns Fred H:</t>
        </r>
        <r>
          <rPr>
            <sz val="9"/>
            <color indexed="81"/>
            <rFont val="Tahoma"/>
            <family val="2"/>
          </rPr>
          <t xml:space="preserve">
Programming note: Formula counts ankylosed joints in the digit.</t>
        </r>
      </text>
    </comment>
    <comment ref="S324" authorId="1" shapeId="0" xr:uid="{0C91C6E8-68EA-41FF-9F02-514045633829}">
      <text>
        <r>
          <rPr>
            <b/>
            <sz val="9"/>
            <color indexed="81"/>
            <rFont val="Tahoma"/>
            <family val="2"/>
          </rPr>
          <t>Bruyns Fred H:</t>
        </r>
        <r>
          <rPr>
            <sz val="9"/>
            <color indexed="81"/>
            <rFont val="Tahoma"/>
            <family val="2"/>
          </rPr>
          <t xml:space="preserve">
Programming note: 100 degrees of extension of PIP joint is maximum loss.</t>
        </r>
      </text>
    </comment>
    <comment ref="T324" authorId="1" shapeId="0" xr:uid="{89DCF008-B2D1-434F-9B35-FA0F539F5F4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4" authorId="1" shapeId="0" xr:uid="{5133A510-F267-4987-955D-920662839D1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4" authorId="1" shapeId="0" xr:uid="{BD176F6D-17A1-48D1-AB75-521F5E7253E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4" authorId="1" shapeId="0" xr:uid="{59DF95E7-C8C1-473F-A7D5-796B683D13CC}">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4" authorId="1" shapeId="0" xr:uid="{446961D8-F56A-4F71-ABC0-0B422748F811}">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4" authorId="1" shapeId="0" xr:uid="{AE97611E-CA96-4DD6-9422-7CF3A4437BE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100 (max/normal). The value of "X" is then subtracted from the 100 (max/normal). See instructions for this formula under OAR 436-035-0011.</t>
        </r>
      </text>
    </comment>
    <comment ref="AD324" authorId="1" shapeId="0" xr:uid="{CB2961A7-977D-4B8C-92A3-E3519E47BF51}">
      <text>
        <r>
          <rPr>
            <b/>
            <sz val="9"/>
            <color indexed="81"/>
            <rFont val="Tahoma"/>
            <family val="2"/>
          </rPr>
          <t>Bruyns Fred H:</t>
        </r>
        <r>
          <rPr>
            <sz val="9"/>
            <color indexed="81"/>
            <rFont val="Tahoma"/>
            <family val="2"/>
          </rPr>
          <t xml:space="preserve">
Programming note: Formula counts ROM findings in the digit - for comparison with number of ankylosis findings.</t>
        </r>
      </text>
    </comment>
    <comment ref="S325" authorId="1" shapeId="0" xr:uid="{9BD1FAA3-8247-4750-B581-927423AC7586}">
      <text>
        <r>
          <rPr>
            <b/>
            <sz val="9"/>
            <color indexed="81"/>
            <rFont val="Tahoma"/>
            <family val="2"/>
          </rPr>
          <t>Bruyns Fred H:</t>
        </r>
        <r>
          <rPr>
            <sz val="9"/>
            <color indexed="81"/>
            <rFont val="Tahoma"/>
            <family val="2"/>
          </rPr>
          <t xml:space="preserve">
Programming note: 100 degrees of ankylosis of PIP joint is maximum loss.</t>
        </r>
      </text>
    </comment>
    <comment ref="T325" authorId="1" shapeId="0" xr:uid="{5FAC9E3F-9FBA-4EA7-8A51-67CB4B3E251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AA326" authorId="1" shapeId="0" xr:uid="{2E98E575-1127-477E-B345-DFF5F74E6655}">
      <text>
        <r>
          <rPr>
            <b/>
            <sz val="9"/>
            <color indexed="81"/>
            <rFont val="Tahoma"/>
            <family val="2"/>
          </rPr>
          <t>Bruyns Fred H:</t>
        </r>
        <r>
          <rPr>
            <sz val="9"/>
            <color indexed="81"/>
            <rFont val="Tahoma"/>
            <family val="2"/>
          </rPr>
          <t xml:space="preserve">
Programming note: These impairment values are carried in from joint totals in Column O.</t>
        </r>
      </text>
    </comment>
    <comment ref="AB326" authorId="1" shapeId="0" xr:uid="{94481B9C-A701-4164-AE3E-407E4AE5FC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326" authorId="1" shapeId="0" xr:uid="{0182A8CF-4FCE-4983-AEF9-6A382F5EBDA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D326" authorId="1" shapeId="0" xr:uid="{9285214D-C135-420A-951C-D20D779D1D1D}">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S327" authorId="1" shapeId="0" xr:uid="{B4EF9501-3FCE-416E-89B2-40BB61C1B17C}">
      <text>
        <r>
          <rPr>
            <b/>
            <sz val="9"/>
            <color indexed="81"/>
            <rFont val="Tahoma"/>
            <family val="2"/>
          </rPr>
          <t>Bruyns Fred H:</t>
        </r>
        <r>
          <rPr>
            <sz val="9"/>
            <color indexed="81"/>
            <rFont val="Tahoma"/>
            <family val="2"/>
          </rPr>
          <t xml:space="preserve">
Programming note: 90 degrees of flexion of MP joint is considered normal - no impairment.</t>
        </r>
      </text>
    </comment>
    <comment ref="T327" authorId="1" shapeId="0" xr:uid="{27391CB8-56F1-47DC-90C9-62BF412F7C1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7" authorId="1" shapeId="0" xr:uid="{715F442A-1E8A-48C0-9A10-EE1DDBC4BBA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7" authorId="1" shapeId="0" xr:uid="{044B0188-4388-4A4A-BBF6-6A52B803A6EF}">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27" authorId="1" shapeId="0" xr:uid="{F1B50D90-61E8-44FA-ABFB-992DB7D774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328" authorId="1" shapeId="0" xr:uid="{4F3F4206-7507-4323-80AE-7C2AF1BA762A}">
      <text>
        <r>
          <rPr>
            <b/>
            <sz val="9"/>
            <color indexed="81"/>
            <rFont val="Tahoma"/>
            <family val="2"/>
          </rPr>
          <t>Bruyns Fred H:</t>
        </r>
        <r>
          <rPr>
            <sz val="9"/>
            <color indexed="81"/>
            <rFont val="Tahoma"/>
            <family val="2"/>
          </rPr>
          <t xml:space="preserve">
Programming note: 90 degrees of extension of MP joint is maximum loss.</t>
        </r>
      </text>
    </comment>
    <comment ref="T328" authorId="1" shapeId="0" xr:uid="{1B754438-09A4-40BD-A807-8ACADA05E1B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28" authorId="1" shapeId="0" xr:uid="{0647ACD6-52B3-4071-9C77-8F1CDED3B7F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28" authorId="1" shapeId="0" xr:uid="{C9422F75-B2D2-4590-AE6F-7FA1B553C411}">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328" authorId="1" shapeId="0" xr:uid="{54B3ADC2-CF7A-4C85-BC67-5E0FAFCC76A3}">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28" authorId="1" shapeId="0" xr:uid="{8E783B8A-1CD8-4327-8E6A-3650AA6F6758}">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28" authorId="1" shapeId="0" xr:uid="{98B0E3D3-C351-48E4-8BC5-7E40FB64E384}">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90 (max/normal). The value of "X" is then subtracted from the 90 (max/normal). See instructions for this formula under OAR 436-035-0011.</t>
        </r>
      </text>
    </comment>
    <comment ref="R329" authorId="1" shapeId="0" xr:uid="{8E49F474-1798-4A41-A0CB-A2A1D3DAC6D5}">
      <text>
        <r>
          <rPr>
            <b/>
            <sz val="9"/>
            <color indexed="81"/>
            <rFont val="Tahoma"/>
            <family val="2"/>
          </rPr>
          <t>Bruyns Fred H:</t>
        </r>
        <r>
          <rPr>
            <sz val="9"/>
            <color indexed="81"/>
            <rFont val="Tahoma"/>
            <family val="2"/>
          </rPr>
          <t xml:space="preserve">
Programming note: Formula returns "1' if "ERROR" is present in one or more "Joint total" fields.</t>
        </r>
      </text>
    </comment>
    <comment ref="S329" authorId="1" shapeId="0" xr:uid="{AEC3007B-0238-4837-AF3C-8B3140CF858F}">
      <text>
        <r>
          <rPr>
            <b/>
            <sz val="9"/>
            <color indexed="81"/>
            <rFont val="Tahoma"/>
            <family val="2"/>
          </rPr>
          <t>Bruyns Fred H:</t>
        </r>
        <r>
          <rPr>
            <sz val="9"/>
            <color indexed="81"/>
            <rFont val="Tahoma"/>
            <family val="2"/>
          </rPr>
          <t xml:space="preserve">
Programming note: 90 degrees of ankylosis of MP joint is maximum loss.</t>
        </r>
      </text>
    </comment>
    <comment ref="T329" authorId="1" shapeId="0" xr:uid="{E7ABD6E0-525B-43C4-A461-1646BB343F3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32" authorId="1" shapeId="0" xr:uid="{1DA827F4-2206-4FDA-B6B2-3EF8CD107EF3}">
      <text>
        <r>
          <rPr>
            <b/>
            <sz val="9"/>
            <color indexed="81"/>
            <rFont val="Tahoma"/>
            <family val="2"/>
          </rPr>
          <t>Bruyns Fred H:</t>
        </r>
        <r>
          <rPr>
            <sz val="9"/>
            <color indexed="81"/>
            <rFont val="Tahoma"/>
            <family val="2"/>
          </rPr>
          <t xml:space="preserve">
"TRUE" or "FALSE" are output from checkboxes for deformity of movement.</t>
        </r>
      </text>
    </comment>
    <comment ref="AH340" authorId="1" shapeId="0" xr:uid="{93C85EF3-44B5-4421-BE3B-073F5346FABB}">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I340" authorId="1" shapeId="0" xr:uid="{D0121281-BE17-496D-B3ED-81762B5A2463}">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J340" authorId="1" shapeId="0" xr:uid="{A9C02643-9B1C-4EAA-AA56-5F8170FA1168}">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AK340" authorId="1" shapeId="0" xr:uid="{768ECB30-E61A-4BD9-86DA-BB2C83ACC84E}">
      <text>
        <r>
          <rPr>
            <b/>
            <sz val="9"/>
            <color indexed="81"/>
            <rFont val="Tahoma"/>
            <family val="2"/>
          </rPr>
          <t>Bruyns Fred H:</t>
        </r>
        <r>
          <rPr>
            <sz val="9"/>
            <color indexed="81"/>
            <rFont val="Tahoma"/>
            <family val="2"/>
          </rPr>
          <t xml:space="preserve">
Programming note: Values 1 through 4 are used for pull-down menus for levels of sensation loss / hypersensitivity.</t>
        </r>
      </text>
    </comment>
    <comment ref="S341" authorId="1" shapeId="0" xr:uid="{A3A2980C-D892-47D3-AD88-B6D597AA55F2}">
      <text>
        <r>
          <rPr>
            <b/>
            <sz val="9"/>
            <color indexed="81"/>
            <rFont val="Tahoma"/>
            <family val="2"/>
          </rPr>
          <t>Bruyns Fred H:</t>
        </r>
        <r>
          <rPr>
            <sz val="9"/>
            <color indexed="81"/>
            <rFont val="Tahoma"/>
            <family val="2"/>
          </rPr>
          <t xml:space="preserve">
Programming note: Values from the main chart are carried over to the charts below, but blank grades are replaced with more proximal grades if present. For example, if "4" is entered at the whole-digit level only, "4" will display here for each grade level of the digit.</t>
        </r>
      </text>
    </comment>
    <comment ref="AA341" authorId="1" shapeId="0" xr:uid="{5F941F15-34D9-48B8-A88C-5F617C960780}">
      <text>
        <r>
          <rPr>
            <b/>
            <sz val="9"/>
            <color indexed="81"/>
            <rFont val="Tahoma"/>
            <family val="2"/>
          </rPr>
          <t>Bruyns Fred H:</t>
        </r>
        <r>
          <rPr>
            <sz val="9"/>
            <color indexed="81"/>
            <rFont val="Tahoma"/>
            <family val="2"/>
          </rPr>
          <t xml:space="preserve">
Programming note: In the charts below (except the last row in each), "1" means the corresponding cell in the chart to the left has a grade greater than 1 and is different from the next most proximal value, if any. For example, if the sensation loss / hypersensitivity grade chart has grade "4" entered for each level of the digit, this chart will only display 1 in the left-most cell. </t>
        </r>
      </text>
    </comment>
    <comment ref="AH341" authorId="1" shapeId="0" xr:uid="{28DB565D-4040-4A51-8FD6-E0C538CFCD19}">
      <text>
        <r>
          <rPr>
            <b/>
            <sz val="9"/>
            <color indexed="81"/>
            <rFont val="Tahoma"/>
            <family val="2"/>
          </rPr>
          <t>Bruyns Fred H:</t>
        </r>
        <r>
          <rPr>
            <sz val="9"/>
            <color indexed="81"/>
            <rFont val="Tahoma"/>
            <family val="2"/>
          </rPr>
          <t xml:space="preserve">
Programming note: Formula enters grade for loss at each level of the digit for the grades entered. See OAR 436-035-0110.</t>
        </r>
      </text>
    </comment>
    <comment ref="AO341" authorId="1" shapeId="0" xr:uid="{F4664605-D7E9-439A-92A1-E10F4CF3F139}">
      <text>
        <r>
          <rPr>
            <b/>
            <sz val="9"/>
            <color indexed="81"/>
            <rFont val="Tahoma"/>
            <family val="2"/>
          </rPr>
          <t>Bruyns Fred H:</t>
        </r>
        <r>
          <rPr>
            <sz val="9"/>
            <color indexed="81"/>
            <rFont val="Tahoma"/>
            <family val="2"/>
          </rPr>
          <t xml:space="preserve">
Programming note: Formula displays grade percentage value that is next most distal - one column to the right. For example, if entire digit at MP joint has a grade 3 loss, this loss is applied to 1/2 the proximal phalanx. This allows for subtracting more proximal parts of the digit if their grades of loss are different.</t>
        </r>
      </text>
    </comment>
    <comment ref="AU341" authorId="1" shapeId="0" xr:uid="{CF0B853D-5D59-4F51-AF2A-60B011F83489}">
      <text>
        <r>
          <rPr>
            <b/>
            <sz val="9"/>
            <color indexed="81"/>
            <rFont val="Tahoma"/>
            <family val="2"/>
          </rPr>
          <t>Bruyns Fred H:</t>
        </r>
        <r>
          <rPr>
            <sz val="9"/>
            <color indexed="81"/>
            <rFont val="Tahoma"/>
            <family val="2"/>
          </rPr>
          <t xml:space="preserve">
Programming note: Formula displays grade percentage value that is two levels more distal - two columns to the right. For example, if entire digit at MP joint has a grade 3 loss, this loss is applied to the PIP joint level. This allows for subtracting more proximal parts of the digit if their grades of loss are different.</t>
        </r>
      </text>
    </comment>
    <comment ref="AZ341" authorId="1" shapeId="0" xr:uid="{F1140E45-1168-4A40-98E3-F2BBDC971E78}">
      <text>
        <r>
          <rPr>
            <b/>
            <sz val="9"/>
            <color indexed="81"/>
            <rFont val="Tahoma"/>
            <family val="2"/>
          </rPr>
          <t>Bruyns Fred H:</t>
        </r>
        <r>
          <rPr>
            <sz val="9"/>
            <color indexed="81"/>
            <rFont val="Tahoma"/>
            <family val="2"/>
          </rPr>
          <t xml:space="preserve">
Programming note: Formula displays grade percentage values that are 3 to 5 levels more distal - 3 to 5 columns to the right. For example, if entire digit at MP joint has a grade 3 loss, this loss is applied to the IP joint, DIP joint, and 1/2 distal phalanx levels. This allows for subtracting more proximal parts of the digit if their grades of loss are different.</t>
        </r>
      </text>
    </comment>
    <comment ref="BI341" authorId="1" shapeId="0" xr:uid="{0491DF26-CEAE-4802-9EE0-B73586D2AF0C}">
      <text>
        <r>
          <rPr>
            <b/>
            <sz val="9"/>
            <color indexed="81"/>
            <rFont val="Tahoma"/>
            <family val="2"/>
          </rPr>
          <t>Bruyns Fred H:</t>
        </r>
        <r>
          <rPr>
            <sz val="9"/>
            <color indexed="81"/>
            <rFont val="Tahoma"/>
            <family val="2"/>
          </rPr>
          <t xml:space="preserve">
Programming note: These formulas subtract more proximal values when the grade of loss changes, while preserving the more distal levels of loss. For example: If the whole diigit has a Grade 2 loss, and 1/2 the digit has a Grade 3 loss, a formula subtracts a 1/2 digit Grade 2 loss from the whole digit Grade 2 loss. This leaves the percent of loss for the proximal half of the digit. Then a formula returns the percentage for a 1/2 digit Grade 3 loss. These percentages are later combined. </t>
        </r>
      </text>
    </comment>
    <comment ref="BR342" authorId="1" shapeId="0" xr:uid="{BDBD6293-BFA0-40AE-865B-B4A047E9BF69}">
      <text>
        <r>
          <rPr>
            <b/>
            <sz val="9"/>
            <color indexed="81"/>
            <rFont val="Tahoma"/>
            <family val="2"/>
          </rPr>
          <t>Bruyns Fred H:</t>
        </r>
        <r>
          <rPr>
            <sz val="9"/>
            <color indexed="81"/>
            <rFont val="Tahoma"/>
            <family val="2"/>
          </rPr>
          <t xml:space="preserve">
Programming note: These values (top row) are copied in from the chart at the left and (in the bottom row) combined. There will never be more than twelve values.</t>
        </r>
      </text>
    </comment>
    <comment ref="AA345" authorId="1" shapeId="0" xr:uid="{FA16B0F3-1F07-489E-B420-9C36F2412E82}">
      <text>
        <r>
          <rPr>
            <b/>
            <sz val="9"/>
            <color indexed="81"/>
            <rFont val="Tahoma"/>
            <family val="2"/>
          </rPr>
          <t>Bruyns Fred H:</t>
        </r>
        <r>
          <rPr>
            <sz val="9"/>
            <color indexed="81"/>
            <rFont val="Tahoma"/>
            <family val="2"/>
          </rPr>
          <t xml:space="preserve">
Programming note: A value greater than zero means the digit has sensation loss - both sides.</t>
        </r>
      </text>
    </comment>
    <comment ref="AB345" authorId="1" shapeId="0" xr:uid="{EF5E1ABD-5EE6-460E-8AFC-A71B07784D49}">
      <text>
        <r>
          <rPr>
            <b/>
            <sz val="9"/>
            <color indexed="81"/>
            <rFont val="Tahoma"/>
            <family val="2"/>
          </rPr>
          <t>Bruyns Fred H:</t>
        </r>
        <r>
          <rPr>
            <sz val="9"/>
            <color indexed="81"/>
            <rFont val="Tahoma"/>
            <family val="2"/>
          </rPr>
          <t xml:space="preserve">
Programming note: A value greater than zero means the digit has sensation loss - radial side.</t>
        </r>
      </text>
    </comment>
    <comment ref="AC345" authorId="1" shapeId="0" xr:uid="{B6BAA855-E8F8-4AA2-A093-474417DD54EC}">
      <text>
        <r>
          <rPr>
            <b/>
            <sz val="9"/>
            <color indexed="81"/>
            <rFont val="Tahoma"/>
            <family val="2"/>
          </rPr>
          <t>Bruyns Fred H:</t>
        </r>
        <r>
          <rPr>
            <sz val="9"/>
            <color indexed="81"/>
            <rFont val="Tahoma"/>
            <family val="2"/>
          </rPr>
          <t xml:space="preserve">
Programming note: A value greater than zero means the digit has sensation loss - ulnar side.</t>
        </r>
      </text>
    </comment>
    <comment ref="AD345" authorId="1" shapeId="0" xr:uid="{F9ECB2BB-2615-4CEC-82D2-E2D259CC6818}">
      <text>
        <r>
          <rPr>
            <b/>
            <sz val="9"/>
            <color indexed="81"/>
            <rFont val="Tahoma"/>
            <family val="2"/>
          </rPr>
          <t>Bruyns Fred H:</t>
        </r>
        <r>
          <rPr>
            <sz val="9"/>
            <color indexed="81"/>
            <rFont val="Tahoma"/>
            <family val="2"/>
          </rPr>
          <t xml:space="preserve">
Programming note: A value of "1" means sensation loss has been entered for the digit (both sides), plus either the ulnar side, radial side, or both. This will trigger the error message below the main chart.</t>
        </r>
      </text>
    </comment>
    <comment ref="AA350" authorId="1" shapeId="0" xr:uid="{191E95CC-6310-40A2-9A12-9A14FE1197BD}">
      <text>
        <r>
          <rPr>
            <b/>
            <sz val="9"/>
            <color indexed="81"/>
            <rFont val="Tahoma"/>
            <family val="2"/>
          </rPr>
          <t>Bruyns Fred H:</t>
        </r>
        <r>
          <rPr>
            <sz val="9"/>
            <color indexed="81"/>
            <rFont val="Tahoma"/>
            <family val="2"/>
          </rPr>
          <t xml:space="preserve">
Programming note: A value greater than zero means the digit has hypersensitivity - both sides.</t>
        </r>
      </text>
    </comment>
    <comment ref="AB350" authorId="1" shapeId="0" xr:uid="{B91ACCF9-A059-4DA6-85AB-7E67E217E589}">
      <text>
        <r>
          <rPr>
            <b/>
            <sz val="9"/>
            <color indexed="81"/>
            <rFont val="Tahoma"/>
            <family val="2"/>
          </rPr>
          <t>Bruyns Fred H:</t>
        </r>
        <r>
          <rPr>
            <sz val="9"/>
            <color indexed="81"/>
            <rFont val="Tahoma"/>
            <family val="2"/>
          </rPr>
          <t xml:space="preserve">
Programming note: A value greater than zero means the digit has hypersensitivity - radial side.</t>
        </r>
      </text>
    </comment>
    <comment ref="AC350" authorId="1" shapeId="0" xr:uid="{B5696221-668B-4F22-886F-B99CC4597339}">
      <text>
        <r>
          <rPr>
            <b/>
            <sz val="9"/>
            <color indexed="81"/>
            <rFont val="Tahoma"/>
            <family val="2"/>
          </rPr>
          <t>Bruyns Fred H:</t>
        </r>
        <r>
          <rPr>
            <sz val="9"/>
            <color indexed="81"/>
            <rFont val="Tahoma"/>
            <family val="2"/>
          </rPr>
          <t xml:space="preserve">
Programming note: A value greater than zero means the digit has hypersensitivity - ulnar side.</t>
        </r>
      </text>
    </comment>
    <comment ref="AD350" authorId="1" shapeId="0" xr:uid="{2D557C61-ED5A-406E-8158-CFB52F164BA3}">
      <text>
        <r>
          <rPr>
            <b/>
            <sz val="9"/>
            <color indexed="81"/>
            <rFont val="Tahoma"/>
            <family val="2"/>
          </rPr>
          <t>Bruyns Fred H:</t>
        </r>
        <r>
          <rPr>
            <sz val="9"/>
            <color indexed="81"/>
            <rFont val="Tahoma"/>
            <family val="2"/>
          </rPr>
          <t xml:space="preserve">
Programming note: A value of "1" means hypersensitiviy grades have been entered for the digit (both sides), plus either the ulnar side, radial side, or both. This will trigger the error message below the main chart.</t>
        </r>
      </text>
    </comment>
    <comment ref="H353" authorId="1" shapeId="0" xr:uid="{52B17FBE-B54A-4777-9D0D-0C4B4DCF15B0}">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3" authorId="1" shapeId="0" xr:uid="{7569C5AB-09C6-40A4-A39E-903F5C913AE4}">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3" authorId="1" shapeId="0" xr:uid="{7DD129BF-FB20-491E-914B-76E988ED0DFA}">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W353" authorId="1" shapeId="0" xr:uid="{C674FB54-3EBA-487E-AA4C-52C5CB22DFEC}">
      <text>
        <r>
          <rPr>
            <b/>
            <sz val="9"/>
            <color indexed="81"/>
            <rFont val="Tahoma"/>
            <family val="2"/>
          </rPr>
          <t>Bruyns Fred H:</t>
        </r>
        <r>
          <rPr>
            <sz val="9"/>
            <color indexed="81"/>
            <rFont val="Tahoma"/>
            <family val="2"/>
          </rPr>
          <t xml:space="preserve">
Programming note: The joint instability descriptors are used in pull-down menus in the chart.</t>
        </r>
      </text>
    </comment>
    <comment ref="H354" authorId="1" shapeId="0" xr:uid="{5FF1C7A6-98C7-45A0-ABB3-7F03B15A6799}">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4" authorId="1" shapeId="0" xr:uid="{257DA868-D435-46B8-9679-E873AF96C6E7}">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4" authorId="1" shapeId="0" xr:uid="{5CB52059-83C6-4F57-9F5C-05B84A2CACAC}">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V354" authorId="1" shapeId="0" xr:uid="{3198BA6E-2A0E-4B4C-B778-4550D51AB030}">
      <text>
        <r>
          <rPr>
            <b/>
            <sz val="9"/>
            <color indexed="81"/>
            <rFont val="Tahoma"/>
            <family val="2"/>
          </rPr>
          <t>Bruyns Fred H:</t>
        </r>
        <r>
          <rPr>
            <sz val="9"/>
            <color indexed="81"/>
            <rFont val="Tahoma"/>
            <family val="2"/>
          </rPr>
          <t xml:space="preserve">
Programming note: This value will be displayed as the total percentage for joint deformity.</t>
        </r>
      </text>
    </comment>
    <comment ref="H355" authorId="1" shapeId="0" xr:uid="{D51A43A7-F5AE-41CC-A56D-82D9E60345B5}">
      <text>
        <r>
          <rPr>
            <b/>
            <sz val="9"/>
            <color indexed="81"/>
            <rFont val="Tahoma"/>
            <family val="2"/>
          </rPr>
          <t>Bruyns Fred H:</t>
        </r>
        <r>
          <rPr>
            <sz val="9"/>
            <color indexed="81"/>
            <rFont val="Tahoma"/>
            <family val="2"/>
          </rPr>
          <t xml:space="preserve">
Programming note: This formula compares the instability value entered with the (hidden) chart to the right. If equal, the appropriate percentage is displayed.</t>
        </r>
      </text>
    </comment>
    <comment ref="O355" authorId="1" shapeId="0" xr:uid="{A4FE1F42-BFC5-4E9E-86D3-B4693521983F}">
      <text>
        <r>
          <rPr>
            <b/>
            <sz val="9"/>
            <color indexed="81"/>
            <rFont val="Tahoma"/>
            <family val="2"/>
          </rPr>
          <t>Bruyns Fred H:</t>
        </r>
        <r>
          <rPr>
            <sz val="9"/>
            <color indexed="81"/>
            <rFont val="Tahoma"/>
            <family val="2"/>
          </rPr>
          <t xml:space="preserve">
Programming note: This formula subtracts the percent value for deformity in the contralateral joint from the deformity value for the injured joint.</t>
        </r>
      </text>
    </comment>
    <comment ref="S355" authorId="1" shapeId="0" xr:uid="{F52BA43C-D080-45C0-8EBE-4DAD2E47213D}">
      <text>
        <r>
          <rPr>
            <b/>
            <sz val="9"/>
            <color indexed="81"/>
            <rFont val="Tahoma"/>
            <family val="2"/>
          </rPr>
          <t>Bruyns Fred H:</t>
        </r>
        <r>
          <rPr>
            <sz val="9"/>
            <color indexed="81"/>
            <rFont val="Tahoma"/>
            <family val="2"/>
          </rPr>
          <t xml:space="preserve">
Programming note: This formula compares the contralateral instability value entered with the chart at the right and displays the appropriate percentage.</t>
        </r>
      </text>
    </comment>
    <comment ref="R357" authorId="1" shapeId="0" xr:uid="{8C0C2F5A-A4B2-4664-98F8-690F89DFD592}">
      <text>
        <r>
          <rPr>
            <b/>
            <sz val="9"/>
            <color indexed="81"/>
            <rFont val="Tahoma"/>
            <family val="2"/>
          </rPr>
          <t>Bruyns Fred H:</t>
        </r>
        <r>
          <rPr>
            <sz val="9"/>
            <color indexed="81"/>
            <rFont val="Tahoma"/>
            <family val="2"/>
          </rPr>
          <t xml:space="preserve">
Programming note: "TRUE" or "FALSE" are output from the checkboxes iin the chart at left.</t>
        </r>
      </text>
    </comment>
    <comment ref="R361" authorId="1" shapeId="0" xr:uid="{749579EE-153A-48E3-AD47-C0AE70A9EE7C}">
      <text>
        <r>
          <rPr>
            <b/>
            <sz val="9"/>
            <color indexed="81"/>
            <rFont val="Tahoma"/>
            <family val="2"/>
          </rPr>
          <t>Bruyns Fred H:</t>
        </r>
        <r>
          <rPr>
            <sz val="9"/>
            <color indexed="81"/>
            <rFont val="Tahoma"/>
            <family val="2"/>
          </rPr>
          <t xml:space="preserve">
Programming note: Classes are for pull-down menus and have corresponding percent values.</t>
        </r>
      </text>
    </comment>
    <comment ref="R364" authorId="1" shapeId="0" xr:uid="{E1E36095-9DC1-43B3-9CA7-C6B5CEB05FD8}">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S364" authorId="1" shapeId="0" xr:uid="{491FA843-7F1B-42AB-BEFD-74B08B8A52B4}">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364" authorId="1" shapeId="0" xr:uid="{CC8E8C1B-8E0A-4E0F-BD30-1B7189C54BA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364" authorId="1" shapeId="0" xr:uid="{C42F79B9-2D8B-43EC-A2CB-A8E02AD9E15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V364" authorId="1" shapeId="0" xr:uid="{118CC8A8-1F96-47AD-B50E-CFBAF284FFFF}">
      <text>
        <r>
          <rPr>
            <b/>
            <sz val="9"/>
            <color indexed="81"/>
            <rFont val="Tahoma"/>
            <family val="2"/>
          </rPr>
          <t>Bruyns Fred H:</t>
        </r>
        <r>
          <rPr>
            <sz val="9"/>
            <color indexed="81"/>
            <rFont val="Tahoma"/>
            <family val="2"/>
          </rPr>
          <t xml:space="preserve">
Programming note: These counts are used in determining whether to convert digit values to hand value. If two or more digits are impaired, conversion is done if doing so results in more PPD (or if there are findings in the hand/forearm or arm), but the exception is when two digits are affected only due to loss of opposition following amputation of part or all of a digit.</t>
        </r>
      </text>
    </comment>
    <comment ref="X365" authorId="1" shapeId="0" xr:uid="{8D3BA736-669A-4675-ABE6-FC87EEC4FDFD}">
      <text>
        <r>
          <rPr>
            <b/>
            <sz val="9"/>
            <color indexed="81"/>
            <rFont val="Tahoma"/>
            <family val="2"/>
          </rPr>
          <t>Bruyns Fred H:</t>
        </r>
        <r>
          <rPr>
            <sz val="9"/>
            <color indexed="81"/>
            <rFont val="Tahoma"/>
            <family val="2"/>
          </rPr>
          <t xml:space="preserve">
Programming note: Formula returns "1" if only lopposition loss is present in the diigit. "2" means there are other losses.</t>
        </r>
      </text>
    </comment>
    <comment ref="E367" authorId="1" shapeId="0" xr:uid="{3C4250DF-37C8-429D-B79B-36563A9ACE92}">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R385" authorId="1" shapeId="0" xr:uid="{AD2B083A-0625-49CE-AE0C-E49451596D2D}">
      <text>
        <r>
          <rPr>
            <b/>
            <sz val="9"/>
            <color indexed="81"/>
            <rFont val="Tahoma"/>
            <family val="2"/>
          </rPr>
          <t>Bruyns Fred H:</t>
        </r>
        <r>
          <rPr>
            <sz val="9"/>
            <color indexed="81"/>
            <rFont val="Tahoma"/>
            <family val="2"/>
          </rPr>
          <t xml:space="preserve">
Programming note: Output from options buttons, 1, 2, or 3. 1=NA.</t>
        </r>
      </text>
    </comment>
    <comment ref="R386" authorId="1" shapeId="0" xr:uid="{3AFE823A-14D0-454E-8789-655C75BA2DB6}">
      <text>
        <r>
          <rPr>
            <b/>
            <sz val="9"/>
            <color indexed="81"/>
            <rFont val="Tahoma"/>
            <family val="2"/>
          </rPr>
          <t>Bruyns Fred H:</t>
        </r>
        <r>
          <rPr>
            <sz val="9"/>
            <color indexed="81"/>
            <rFont val="Tahoma"/>
            <family val="2"/>
          </rPr>
          <t xml:space="preserve">
Programming note: "TRUE" or "FALSE" are output from checkboxes for metacarpal losses.</t>
        </r>
      </text>
    </comment>
    <comment ref="R387" authorId="1" shapeId="0" xr:uid="{C79CDE21-7478-4A06-81AC-CA6C674596A9}">
      <text>
        <r>
          <rPr>
            <b/>
            <sz val="9"/>
            <color indexed="81"/>
            <rFont val="Tahoma"/>
            <family val="2"/>
          </rPr>
          <t>Bruyns Fred H:</t>
        </r>
        <r>
          <rPr>
            <sz val="9"/>
            <color indexed="81"/>
            <rFont val="Tahoma"/>
            <family val="2"/>
          </rPr>
          <t xml:space="preserve">
Programming note: "TRUE" or "FALSE" are output from checkboxes for metacarpal losses.</t>
        </r>
      </text>
    </comment>
    <comment ref="R388" authorId="1" shapeId="0" xr:uid="{1905EF9A-60E5-4F2D-BCD0-6206E067C7F1}">
      <text>
        <r>
          <rPr>
            <b/>
            <sz val="9"/>
            <color indexed="81"/>
            <rFont val="Tahoma"/>
            <family val="2"/>
          </rPr>
          <t>Bruyns Fred H:</t>
        </r>
        <r>
          <rPr>
            <sz val="9"/>
            <color indexed="81"/>
            <rFont val="Tahoma"/>
            <family val="2"/>
          </rPr>
          <t xml:space="preserve">
Programming note: "TRUE" or "FALSE" are output from checkboxes for metacarpal losses.</t>
        </r>
      </text>
    </comment>
    <comment ref="R389" authorId="1" shapeId="0" xr:uid="{493A436B-6C73-4522-B31A-5339588A0B38}">
      <text>
        <r>
          <rPr>
            <b/>
            <sz val="9"/>
            <color indexed="81"/>
            <rFont val="Tahoma"/>
            <family val="2"/>
          </rPr>
          <t>Bruyns Fred H:</t>
        </r>
        <r>
          <rPr>
            <sz val="9"/>
            <color indexed="81"/>
            <rFont val="Tahoma"/>
            <family val="2"/>
          </rPr>
          <t xml:space="preserve">
Programming note: "TRUE" or "FALSE" are output from checkboxes for metacarpal losses.</t>
        </r>
      </text>
    </comment>
    <comment ref="R390" authorId="1" shapeId="0" xr:uid="{D0155917-3868-4D2B-8771-47BE09F0E9C3}">
      <text>
        <r>
          <rPr>
            <b/>
            <sz val="9"/>
            <color indexed="81"/>
            <rFont val="Tahoma"/>
            <family val="2"/>
          </rPr>
          <t>Bruyns Fred H:</t>
        </r>
        <r>
          <rPr>
            <sz val="9"/>
            <color indexed="81"/>
            <rFont val="Tahoma"/>
            <family val="2"/>
          </rPr>
          <t xml:space="preserve">
Programming note: "TRUE" or "FALSE" are output from checkboxes for metacarpal losses.</t>
        </r>
      </text>
    </comment>
    <comment ref="S394" authorId="1" shapeId="0" xr:uid="{951353BC-CBA5-4151-84F7-61F006572A2F}">
      <text>
        <r>
          <rPr>
            <b/>
            <sz val="9"/>
            <color indexed="81"/>
            <rFont val="Tahoma"/>
            <family val="2"/>
          </rPr>
          <t>Bruyns Fred H:</t>
        </r>
        <r>
          <rPr>
            <sz val="9"/>
            <color indexed="81"/>
            <rFont val="Tahoma"/>
            <family val="2"/>
          </rPr>
          <t xml:space="preserve">
Programming note: 15 degrees of flexion of CMC joint is considered normal - no impairment.</t>
        </r>
      </text>
    </comment>
    <comment ref="V394" authorId="1" shapeId="0" xr:uid="{5BC0F29D-BB90-4D57-8812-710021B316CE}">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4" authorId="1" shapeId="0" xr:uid="{D4B00229-BF01-425E-A7FF-D531107DC60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 (max/normal). See instructions for this formula under OAR 436-035-0011. </t>
        </r>
      </text>
    </comment>
    <comment ref="S395" authorId="1" shapeId="0" xr:uid="{2CA1EE75-F852-45A0-BB2D-7C5B9AD59D5E}">
      <text>
        <r>
          <rPr>
            <b/>
            <sz val="9"/>
            <color indexed="81"/>
            <rFont val="Tahoma"/>
            <family val="2"/>
          </rPr>
          <t>Bruyns Fred H:</t>
        </r>
        <r>
          <rPr>
            <sz val="9"/>
            <color indexed="81"/>
            <rFont val="Tahoma"/>
            <family val="2"/>
          </rPr>
          <t xml:space="preserve">
Programming note: 30 degrees of extension of CMC joint is considered normal - no impairment.</t>
        </r>
      </text>
    </comment>
    <comment ref="V395" authorId="1" shapeId="0" xr:uid="{E1DB98D7-83CF-4FDF-9BC4-3284774DDD6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395" authorId="1" shapeId="0" xr:uid="{4770029F-48C0-417F-909C-89C48C29DAA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96" authorId="1" shapeId="0" xr:uid="{35F47F34-9D64-4146-AB1B-AF3979CDBE74}">
      <text>
        <r>
          <rPr>
            <b/>
            <sz val="9"/>
            <color indexed="81"/>
            <rFont val="Tahoma"/>
            <family val="2"/>
          </rPr>
          <t>Bruyns Fred H:</t>
        </r>
        <r>
          <rPr>
            <sz val="9"/>
            <color indexed="81"/>
            <rFont val="Tahoma"/>
            <family val="2"/>
          </rPr>
          <t xml:space="preserve">
Programming note: ankylsosis at 15 degrees of flexion of CMC joint is maximum loss.</t>
        </r>
      </text>
    </comment>
    <comment ref="S397" authorId="1" shapeId="0" xr:uid="{62164022-A899-4FE3-BBB3-3D3286B39A5E}">
      <text>
        <r>
          <rPr>
            <b/>
            <sz val="9"/>
            <color indexed="81"/>
            <rFont val="Tahoma"/>
            <family val="2"/>
          </rPr>
          <t>Bruyns Fred H:</t>
        </r>
        <r>
          <rPr>
            <sz val="9"/>
            <color indexed="81"/>
            <rFont val="Tahoma"/>
            <family val="2"/>
          </rPr>
          <t xml:space="preserve">
Programming note: ankylsosis at 30 degrees of extension of CMC joint is maximum loss.</t>
        </r>
      </text>
    </comment>
    <comment ref="S400" authorId="1" shapeId="0" xr:uid="{2C2BDABB-3A34-480E-B49B-22BB328999C3}">
      <text>
        <r>
          <rPr>
            <b/>
            <sz val="9"/>
            <color indexed="81"/>
            <rFont val="Tahoma"/>
            <family val="2"/>
          </rPr>
          <t>Bruyns Fred H:</t>
        </r>
        <r>
          <rPr>
            <sz val="9"/>
            <color indexed="81"/>
            <rFont val="Tahoma"/>
            <family val="2"/>
          </rPr>
          <t xml:space="preserve">
Programming note: 60 degrees of extension of wrist joint is considered normal - no impairment.</t>
        </r>
      </text>
    </comment>
    <comment ref="V400" authorId="1" shapeId="0" xr:uid="{47A464E8-8BA9-4BAB-972F-2FA344587A99}">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0" authorId="1" shapeId="0" xr:uid="{124FA3BB-408D-450B-A893-AA4AC6A7D72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60 (max/normal). See instructions for this formula under OAR 436-035-0011. </t>
        </r>
      </text>
    </comment>
    <comment ref="S401" authorId="1" shapeId="0" xr:uid="{50B64F7C-683F-4E7F-B7F0-A483563A912C}">
      <text>
        <r>
          <rPr>
            <b/>
            <sz val="9"/>
            <color indexed="81"/>
            <rFont val="Tahoma"/>
            <family val="2"/>
          </rPr>
          <t>Bruyns Fred H:</t>
        </r>
        <r>
          <rPr>
            <sz val="9"/>
            <color indexed="81"/>
            <rFont val="Tahoma"/>
            <family val="2"/>
          </rPr>
          <t xml:space="preserve">
Programming note: 60 degrees of extension ankylosis of wrist joint is maximum loss.</t>
        </r>
      </text>
    </comment>
    <comment ref="S402" authorId="1" shapeId="0" xr:uid="{CBEA8567-04C1-4A72-87EE-DA7A2ED8B53F}">
      <text>
        <r>
          <rPr>
            <b/>
            <sz val="9"/>
            <color indexed="81"/>
            <rFont val="Tahoma"/>
            <family val="2"/>
          </rPr>
          <t>Bruyns Fred H:</t>
        </r>
        <r>
          <rPr>
            <sz val="9"/>
            <color indexed="81"/>
            <rFont val="Tahoma"/>
            <family val="2"/>
          </rPr>
          <t xml:space="preserve">
Programming note: 70 degrees of flexion (palmar) of wrist joint is considered normal - no impairment.</t>
        </r>
      </text>
    </comment>
    <comment ref="V402" authorId="1" shapeId="0" xr:uid="{671BBFA5-2ABA-4FAA-8BFD-51F5A0FE7F6C}">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2" authorId="1" shapeId="0" xr:uid="{99BD9C7C-6830-45AF-883B-11C69B4C6D6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70 (max/normal). See instructions for this formula under OAR 436-035-0011. </t>
        </r>
      </text>
    </comment>
    <comment ref="S403" authorId="1" shapeId="0" xr:uid="{77538AC8-CCA3-47F9-976C-4409D89378F0}">
      <text>
        <r>
          <rPr>
            <b/>
            <sz val="9"/>
            <color indexed="81"/>
            <rFont val="Tahoma"/>
            <family val="2"/>
          </rPr>
          <t>Bruyns Fred H:</t>
        </r>
        <r>
          <rPr>
            <sz val="9"/>
            <color indexed="81"/>
            <rFont val="Tahoma"/>
            <family val="2"/>
          </rPr>
          <t xml:space="preserve">
Programming note: 70 degrees of ankylosis of wrist joint is maximum loss.</t>
        </r>
      </text>
    </comment>
    <comment ref="S404" authorId="1" shapeId="0" xr:uid="{2FD244DA-5CBD-4345-A357-6114E5F2FB90}">
      <text>
        <r>
          <rPr>
            <b/>
            <sz val="9"/>
            <color indexed="81"/>
            <rFont val="Tahoma"/>
            <family val="2"/>
          </rPr>
          <t>Bruyns Fred H:</t>
        </r>
        <r>
          <rPr>
            <sz val="9"/>
            <color indexed="81"/>
            <rFont val="Tahoma"/>
            <family val="2"/>
          </rPr>
          <t xml:space="preserve">
Programming note: 20 degrees of radial deviation is considered normal - no impairment.</t>
        </r>
      </text>
    </comment>
    <comment ref="V404" authorId="1" shapeId="0" xr:uid="{5F8CE535-F4D9-471B-8303-F9C7F11372A8}">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4" authorId="1" shapeId="0" xr:uid="{118E8218-01BC-4CCB-9B16-5E37B0BA001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405" authorId="1" shapeId="0" xr:uid="{9FE35BE5-5AEE-47D4-996E-456ABFECA294}">
      <text>
        <r>
          <rPr>
            <b/>
            <sz val="9"/>
            <color indexed="81"/>
            <rFont val="Tahoma"/>
            <family val="2"/>
          </rPr>
          <t>Bruyns Fred H:</t>
        </r>
        <r>
          <rPr>
            <sz val="9"/>
            <color indexed="81"/>
            <rFont val="Tahoma"/>
            <family val="2"/>
          </rPr>
          <t xml:space="preserve">
Programming note: 20 degrees of radial deviation ankylosis is maximum loss.</t>
        </r>
      </text>
    </comment>
    <comment ref="S406" authorId="1" shapeId="0" xr:uid="{2AEF53C9-DAB0-468D-8AED-8DC6F4749FF0}">
      <text>
        <r>
          <rPr>
            <b/>
            <sz val="9"/>
            <color indexed="81"/>
            <rFont val="Tahoma"/>
            <family val="2"/>
          </rPr>
          <t>Bruyns Fred H:</t>
        </r>
        <r>
          <rPr>
            <sz val="9"/>
            <color indexed="81"/>
            <rFont val="Tahoma"/>
            <family val="2"/>
          </rPr>
          <t xml:space="preserve">
Programming note: 30 degrees of ulnar deviation is considered normal - no impairment.</t>
        </r>
      </text>
    </comment>
    <comment ref="V406" authorId="1" shapeId="0" xr:uid="{D70FADC0-F50E-4CF9-9660-56A9F863A7C4}">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406" authorId="1" shapeId="0" xr:uid="{2AC55C61-B5BB-471A-A9CE-66E1AF1B253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U411" authorId="1" shapeId="0" xr:uid="{C7D44893-DF33-406C-90DF-12A34BA4C54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V411" authorId="1" shapeId="0" xr:uid="{38A2735F-0E66-4796-A75D-A574A262AE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W411" authorId="1" shapeId="0" xr:uid="{13A2BF62-0298-4087-B7FD-7086A6309FB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U418" authorId="1" shapeId="0" xr:uid="{B2FC5A4D-A363-4671-A69C-C605BF294970}">
      <text>
        <r>
          <rPr>
            <b/>
            <sz val="9"/>
            <color indexed="81"/>
            <rFont val="Tahoma"/>
            <family val="2"/>
          </rPr>
          <t>Bruyns Fred H:</t>
        </r>
        <r>
          <rPr>
            <sz val="9"/>
            <color indexed="81"/>
            <rFont val="Tahoma"/>
            <family val="2"/>
          </rPr>
          <t xml:space="preserve">
Programming note: The lists below are used for pull-down menus for injured joint and contralateral joint, and also for formulas.</t>
        </r>
      </text>
    </comment>
    <comment ref="R422" authorId="1" shapeId="0" xr:uid="{FC927C6D-C085-4D6F-B86B-F917FAFDFDE5}">
      <text>
        <r>
          <rPr>
            <b/>
            <sz val="9"/>
            <color indexed="81"/>
            <rFont val="Tahoma"/>
            <family val="2"/>
          </rPr>
          <t>Bruyns Fred H:</t>
        </r>
        <r>
          <rPr>
            <sz val="9"/>
            <color indexed="81"/>
            <rFont val="Tahoma"/>
            <family val="2"/>
          </rPr>
          <t xml:space="preserve">
Programming note: "TRUE" or "FALSE" are output from the checkboxes to the left.</t>
        </r>
      </text>
    </comment>
    <comment ref="S426" authorId="1" shapeId="0" xr:uid="{D1696F23-6BA5-4B11-A063-766E5DA71165}">
      <text>
        <r>
          <rPr>
            <b/>
            <sz val="9"/>
            <color indexed="81"/>
            <rFont val="Tahoma"/>
            <family val="2"/>
          </rPr>
          <t>Bruyns Fred H:</t>
        </r>
        <r>
          <rPr>
            <sz val="9"/>
            <color indexed="81"/>
            <rFont val="Tahoma"/>
            <family val="2"/>
          </rPr>
          <t xml:space="preserve">
Programming note: Number list to the right is used for a pull-down menu for carpal bone fusions.</t>
        </r>
      </text>
    </comment>
    <comment ref="S427" authorId="1" shapeId="0" xr:uid="{2BC031A4-A9CE-417E-822F-A82ACF31309B}">
      <text>
        <r>
          <rPr>
            <b/>
            <sz val="9"/>
            <color indexed="81"/>
            <rFont val="Tahoma"/>
            <family val="2"/>
          </rPr>
          <t>Bruyns Fred H:</t>
        </r>
        <r>
          <rPr>
            <sz val="9"/>
            <color indexed="81"/>
            <rFont val="Tahoma"/>
            <family val="2"/>
          </rPr>
          <t xml:space="preserve">
Programming note: Number list to the right is used for a pull-down menu for carpal bone replacements.</t>
        </r>
      </text>
    </comment>
    <comment ref="S428" authorId="1" shapeId="0" xr:uid="{B44EC05A-A5F7-4B18-ACF6-182763612012}">
      <text>
        <r>
          <rPr>
            <b/>
            <sz val="9"/>
            <color indexed="81"/>
            <rFont val="Tahoma"/>
            <family val="2"/>
          </rPr>
          <t>Bruyns Fred H:</t>
        </r>
        <r>
          <rPr>
            <sz val="9"/>
            <color indexed="81"/>
            <rFont val="Tahoma"/>
            <family val="2"/>
          </rPr>
          <t xml:space="preserve">
Programming note: Number list to the right is used for a pull-down menu for carpal bone removals with replacements.</t>
        </r>
      </text>
    </comment>
    <comment ref="R431" authorId="1" shapeId="0" xr:uid="{A2613FE6-7783-4201-92AD-1D35EBD4A294}">
      <text>
        <r>
          <rPr>
            <b/>
            <sz val="9"/>
            <color indexed="81"/>
            <rFont val="Tahoma"/>
            <family val="2"/>
          </rPr>
          <t>Bruyns Fred H:</t>
        </r>
        <r>
          <rPr>
            <sz val="9"/>
            <color indexed="81"/>
            <rFont val="Tahoma"/>
            <family val="2"/>
          </rPr>
          <t xml:space="preserve">
Programming note: Short lists to the right are used for pull-down menus in chart to the left.</t>
        </r>
      </text>
    </comment>
    <comment ref="R444" authorId="1" shapeId="0" xr:uid="{60590D82-3E99-413D-9243-46D9F6562EA8}">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445" authorId="1" shapeId="0" xr:uid="{2EC0083C-CB85-4156-B8FE-FDD6CC1BE790}">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T445" authorId="1" shapeId="0" xr:uid="{9C60EB64-8E74-404B-9199-108386EAE334}">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45" authorId="1" shapeId="0" xr:uid="{6DDC8D3D-7D05-4B6F-A10B-EA4427C31CF0}">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45" authorId="1" shapeId="0" xr:uid="{01EA9EB3-B138-49ED-BB4D-AC1D81B8C257}">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45" authorId="1" shapeId="0" xr:uid="{2397B76E-8158-4BE1-8E20-C04EC95BECC9}">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45" authorId="1" shapeId="0" xr:uid="{9A9D4E65-5BB6-4B18-9D1D-07B61559FCE2}">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45" authorId="1" shapeId="0" xr:uid="{43A3F29D-C5DC-4024-8F57-0C431AF5463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445" authorId="1" shapeId="0" xr:uid="{EAF68D13-759D-4AD3-BE25-199E57EF9DC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445" authorId="1" shapeId="0" xr:uid="{95093154-6E67-467D-B297-374448516C9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445" authorId="1" shapeId="0" xr:uid="{402A27F0-AFD5-4FCC-BCBE-57EBA3810D1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445" authorId="1" shapeId="0" xr:uid="{6489C2B9-20D5-4740-B167-B7589182C9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445" authorId="1" shapeId="0" xr:uid="{99DFC7DE-2B01-4B9B-B8A2-CB6405423D65}">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Z446" authorId="1" shapeId="0" xr:uid="{78CBE977-A5FB-4621-A091-CD5BE0CA45DC}">
      <text>
        <r>
          <rPr>
            <b/>
            <sz val="9"/>
            <color indexed="81"/>
            <rFont val="Tahoma"/>
            <family val="2"/>
          </rPr>
          <t>Bruyns Fred H:</t>
        </r>
        <r>
          <rPr>
            <sz val="9"/>
            <color indexed="81"/>
            <rFont val="Tahoma"/>
            <family val="2"/>
          </rPr>
          <t xml:space="preserve">
Programming note: This value is for the radial nerve.</t>
        </r>
      </text>
    </comment>
    <comment ref="AE446" authorId="1" shapeId="0" xr:uid="{D02B0D05-28F4-4EFB-8434-BF63D0F3CB58}">
      <text>
        <r>
          <rPr>
            <b/>
            <sz val="9"/>
            <color indexed="81"/>
            <rFont val="Tahoma"/>
            <family val="2"/>
          </rPr>
          <t>Bruyns Fred H:</t>
        </r>
        <r>
          <rPr>
            <sz val="9"/>
            <color indexed="81"/>
            <rFont val="Tahoma"/>
            <family val="2"/>
          </rPr>
          <t xml:space="preserve">
Programming note: This value is for the C-5 spinal nerve root.</t>
        </r>
      </text>
    </comment>
    <comment ref="Z447" authorId="1" shapeId="0" xr:uid="{5CCC4ECB-0D86-4A61-AE7C-2DFFF37BDE18}">
      <text>
        <r>
          <rPr>
            <b/>
            <sz val="9"/>
            <color indexed="81"/>
            <rFont val="Tahoma"/>
            <family val="2"/>
          </rPr>
          <t>Bruyns Fred H:</t>
        </r>
        <r>
          <rPr>
            <sz val="9"/>
            <color indexed="81"/>
            <rFont val="Tahoma"/>
            <family val="2"/>
          </rPr>
          <t xml:space="preserve">
Programming note: This value is for the median nerve.</t>
        </r>
      </text>
    </comment>
    <comment ref="AE447" authorId="1" shapeId="0" xr:uid="{2F46D79C-5F30-4BC1-914B-44DE2421EAFA}">
      <text>
        <r>
          <rPr>
            <b/>
            <sz val="9"/>
            <color indexed="81"/>
            <rFont val="Tahoma"/>
            <family val="2"/>
          </rPr>
          <t>Bruyns Fred H:</t>
        </r>
        <r>
          <rPr>
            <sz val="9"/>
            <color indexed="81"/>
            <rFont val="Tahoma"/>
            <family val="2"/>
          </rPr>
          <t xml:space="preserve">
Programming note: This value is for the C-6 spinal nerve root.</t>
        </r>
      </text>
    </comment>
    <comment ref="Z448" authorId="1" shapeId="0" xr:uid="{D1A881FD-CCFD-431E-88FF-DFB1E0B1C3B7}">
      <text>
        <r>
          <rPr>
            <b/>
            <sz val="9"/>
            <color indexed="81"/>
            <rFont val="Tahoma"/>
            <family val="2"/>
          </rPr>
          <t>Bruyns Fred H:</t>
        </r>
        <r>
          <rPr>
            <sz val="9"/>
            <color indexed="81"/>
            <rFont val="Tahoma"/>
            <family val="2"/>
          </rPr>
          <t xml:space="preserve">
Programming note: This value is for the ulnar nerve.</t>
        </r>
      </text>
    </comment>
    <comment ref="AE448" authorId="1" shapeId="0" xr:uid="{475CBE60-125A-4401-8FFC-539266840550}">
      <text>
        <r>
          <rPr>
            <b/>
            <sz val="9"/>
            <color indexed="81"/>
            <rFont val="Tahoma"/>
            <family val="2"/>
          </rPr>
          <t>Bruyns Fred H:</t>
        </r>
        <r>
          <rPr>
            <sz val="9"/>
            <color indexed="81"/>
            <rFont val="Tahoma"/>
            <family val="2"/>
          </rPr>
          <t xml:space="preserve">
Programming note: This value is for the C-7 spinal nerve root.</t>
        </r>
      </text>
    </comment>
    <comment ref="AE449" authorId="1" shapeId="0" xr:uid="{BEB9B0E8-3CCD-419C-838F-1366B05F00D2}">
      <text>
        <r>
          <rPr>
            <b/>
            <sz val="9"/>
            <color indexed="81"/>
            <rFont val="Tahoma"/>
            <family val="2"/>
          </rPr>
          <t>Bruyns Fred H:</t>
        </r>
        <r>
          <rPr>
            <sz val="9"/>
            <color indexed="81"/>
            <rFont val="Tahoma"/>
            <family val="2"/>
          </rPr>
          <t xml:space="preserve">
Programming note: This value is for the C-8 spinal nerve root.</t>
        </r>
      </text>
    </comment>
    <comment ref="AE450" authorId="1" shapeId="0" xr:uid="{65ECFFD9-895C-4B87-ADA8-9CA3B1A785F2}">
      <text>
        <r>
          <rPr>
            <b/>
            <sz val="9"/>
            <color indexed="81"/>
            <rFont val="Tahoma"/>
            <family val="2"/>
          </rPr>
          <t>Bruyns Fred H:</t>
        </r>
        <r>
          <rPr>
            <sz val="9"/>
            <color indexed="81"/>
            <rFont val="Tahoma"/>
            <family val="2"/>
          </rPr>
          <t xml:space="preserve">
Programming note: This value is for the T-1 spinal nerve root.</t>
        </r>
      </text>
    </comment>
    <comment ref="T453" authorId="1" shapeId="0" xr:uid="{DC03C9B6-E5B8-4197-8146-4B4E85FF45B5}">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3" authorId="1" shapeId="0" xr:uid="{A30B5356-7E1C-4086-AFD4-0E3588C72E9B}">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3" authorId="1" shapeId="0" xr:uid="{29BF8146-173C-4A4A-8276-268198D560B6}">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3" authorId="1" shapeId="0" xr:uid="{71DBABE0-F77F-4F71-9840-42DD336EE09F}">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3" authorId="1" shapeId="0" xr:uid="{D9189BE3-8586-485A-9D54-8A7D89B781BB}">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E453" authorId="1" shapeId="0" xr:uid="{6B0C27D7-4CC2-41F3-845A-ACB1F1D5011E}">
      <text>
        <r>
          <rPr>
            <b/>
            <sz val="9"/>
            <color indexed="81"/>
            <rFont val="Tahoma"/>
            <family val="2"/>
          </rPr>
          <t>Bruyns Fred H:</t>
        </r>
        <r>
          <rPr>
            <sz val="9"/>
            <color indexed="81"/>
            <rFont val="Tahoma"/>
            <family val="2"/>
          </rPr>
          <t xml:space="preserve">
Programming note: This value is for the musculocutaneous nerve.</t>
        </r>
      </text>
    </comment>
    <comment ref="AE454" authorId="1" shapeId="0" xr:uid="{C4F405C4-FE38-4DEE-9115-3827420E6530}">
      <text>
        <r>
          <rPr>
            <b/>
            <sz val="9"/>
            <color indexed="81"/>
            <rFont val="Tahoma"/>
            <family val="2"/>
          </rPr>
          <t>Bruyns Fred H:</t>
        </r>
        <r>
          <rPr>
            <sz val="9"/>
            <color indexed="81"/>
            <rFont val="Tahoma"/>
            <family val="2"/>
          </rPr>
          <t xml:space="preserve">
Programming note: This value is for the radial nerve - arm portion.</t>
        </r>
      </text>
    </comment>
    <comment ref="T459" authorId="1" shapeId="0" xr:uid="{34A8F9C4-1E06-493F-899B-38B03EB01A06}">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59" authorId="1" shapeId="0" xr:uid="{D5A43EE9-2F81-40B0-A28B-0E4CDA8019E2}">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59" authorId="1" shapeId="0" xr:uid="{F5EE9C88-4C86-4432-ABCC-82AA3253BB78}">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59" authorId="1" shapeId="0" xr:uid="{BB9E1F85-0676-44D5-BDCF-83A6DBF9B71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59" authorId="1" shapeId="0" xr:uid="{37381797-2CF5-435B-A6DE-B8D0D4D7BDE4}">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AA460" authorId="1" shapeId="0" xr:uid="{C2EEED4E-6D19-445A-906F-85EF27866DE5}">
      <text>
        <r>
          <rPr>
            <b/>
            <sz val="9"/>
            <color indexed="81"/>
            <rFont val="Tahoma"/>
            <family val="2"/>
          </rPr>
          <t>Bruyns Fred H:</t>
        </r>
        <r>
          <rPr>
            <sz val="9"/>
            <color indexed="81"/>
            <rFont val="Tahoma"/>
            <family val="2"/>
          </rPr>
          <t xml:space="preserve">
Programming note: 1=NA, 2=upper arm with loss of triceps; 3=triceps only</t>
        </r>
      </text>
    </comment>
    <comment ref="P461" authorId="1" shapeId="0" xr:uid="{4AE7DCCE-E576-4971-BCEF-36E4775B4806}">
      <text>
        <r>
          <rPr>
            <b/>
            <sz val="9"/>
            <color indexed="81"/>
            <rFont val="Tahoma"/>
            <family val="2"/>
          </rPr>
          <t>Bruyns Fred H:</t>
        </r>
        <r>
          <rPr>
            <sz val="9"/>
            <color indexed="81"/>
            <rFont val="Tahoma"/>
            <family val="2"/>
          </rPr>
          <t xml:space="preserve">
Programming note: If only triceps is checked for the upper arm, and a strength grade is entered - formula returns "ERROR" for this cell. 
In another cell, user is reminded to check box for "Triceps only," which is equal to 25% of the arm.</t>
        </r>
      </text>
    </comment>
    <comment ref="B465" authorId="1" shapeId="0" xr:uid="{BF0FA31C-050F-4E34-911A-E082317BFE35}">
      <text>
        <r>
          <rPr>
            <b/>
            <sz val="9"/>
            <color indexed="81"/>
            <rFont val="Tahoma"/>
            <family val="2"/>
          </rPr>
          <t>Bruyns Fred H:</t>
        </r>
        <r>
          <rPr>
            <sz val="9"/>
            <color indexed="81"/>
            <rFont val="Tahoma"/>
            <family val="2"/>
          </rPr>
          <t xml:space="preserve">
Programming note: If "ERROR" is present in the cell for adjusted triceps strength, formula reminds user to check the box for "Triceps only." </t>
        </r>
      </text>
    </comment>
    <comment ref="T466" authorId="1" shapeId="0" xr:uid="{D6C5F186-1AFE-4217-BD40-9A8F08ECEDD5}">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66" authorId="1" shapeId="0" xr:uid="{A8DEBB4C-06F9-4E7E-ADE2-2DEBAC20118A}">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66" authorId="1" shapeId="0" xr:uid="{7051F08F-0EEE-401A-8F70-A7B5B4294D72}">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66" authorId="1" shapeId="0" xr:uid="{8D8B81CD-B787-471B-8EDC-01A400B12963}">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66" authorId="1" shapeId="0" xr:uid="{B5D41AE3-58C7-40A0-8A38-28810BCFD289}">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478" authorId="1" shapeId="0" xr:uid="{7DEC299C-7836-43BF-8A51-38A30483E769}">
      <text>
        <r>
          <rPr>
            <b/>
            <sz val="9"/>
            <color indexed="81"/>
            <rFont val="Tahoma"/>
            <family val="2"/>
          </rPr>
          <t>Bruyns Fred H:</t>
        </r>
        <r>
          <rPr>
            <sz val="9"/>
            <color indexed="81"/>
            <rFont val="Tahoma"/>
            <family val="2"/>
          </rPr>
          <t xml:space="preserve">
Programming note: The strength grade entered for the injured part is compared with the list above, and the formula returns the associated percentage of loss.</t>
        </r>
      </text>
    </comment>
    <comment ref="U478" authorId="1" shapeId="0" xr:uid="{B20237CD-0D86-47B3-8DAF-B7835148FFE4}">
      <text>
        <r>
          <rPr>
            <b/>
            <sz val="9"/>
            <color indexed="81"/>
            <rFont val="Tahoma"/>
            <family val="2"/>
          </rPr>
          <t>Bruyns Fred H:</t>
        </r>
        <r>
          <rPr>
            <sz val="9"/>
            <color indexed="81"/>
            <rFont val="Tahoma"/>
            <family val="2"/>
          </rPr>
          <t xml:space="preserve">
Programming note: The strength grade entered for the contralateral part is compared with the list above, and the formula returns the associated percentage of loss.</t>
        </r>
      </text>
    </comment>
    <comment ref="V478" authorId="1" shapeId="0" xr:uid="{DB3CCD22-B201-4F9D-B545-F4F09998950E}">
      <text>
        <r>
          <rPr>
            <b/>
            <sz val="9"/>
            <color indexed="81"/>
            <rFont val="Tahoma"/>
            <family val="2"/>
          </rPr>
          <t>Bruyns Fred H:</t>
        </r>
        <r>
          <rPr>
            <sz val="9"/>
            <color indexed="81"/>
            <rFont val="Tahoma"/>
            <family val="2"/>
          </rPr>
          <t xml:space="preserve">
Programming note: The "Max. Value" in the chart at left is multiplied by the percent of strength loss for the injured part, and the product is displayed in the column below.</t>
        </r>
      </text>
    </comment>
    <comment ref="W478" authorId="1" shapeId="0" xr:uid="{3663DE26-14CD-475C-BE4F-AA5283E8FC15}">
      <text>
        <r>
          <rPr>
            <b/>
            <sz val="9"/>
            <color indexed="81"/>
            <rFont val="Tahoma"/>
            <family val="2"/>
          </rPr>
          <t>Bruyns Fred H:</t>
        </r>
        <r>
          <rPr>
            <sz val="9"/>
            <color indexed="81"/>
            <rFont val="Tahoma"/>
            <family val="2"/>
          </rPr>
          <t xml:space="preserve">
Programming note: The "Max. Value" in the chart at left is multiplied by the percent of strength loss for the contralateral part, and the product is displayed in the column below.</t>
        </r>
      </text>
    </comment>
    <comment ref="X478" authorId="1" shapeId="0" xr:uid="{9148C12B-0AB6-4F95-B19A-D413C2369CA8}">
      <text>
        <r>
          <rPr>
            <b/>
            <sz val="9"/>
            <color indexed="81"/>
            <rFont val="Tahoma"/>
            <family val="2"/>
          </rPr>
          <t>Bruyns Fred H:</t>
        </r>
        <r>
          <rPr>
            <sz val="9"/>
            <color indexed="81"/>
            <rFont val="Tahoma"/>
            <family val="2"/>
          </rPr>
          <t xml:space="preserve">
Programming note: The contralateral loss is subtracted from the injured part loss and the difference is displayed in the column below.</t>
        </r>
      </text>
    </comment>
    <comment ref="T517" authorId="1" shapeId="0" xr:uid="{50A069F2-1BBD-4572-9C80-101A9EFA45C6}">
      <text>
        <r>
          <rPr>
            <b/>
            <sz val="9"/>
            <color indexed="81"/>
            <rFont val="Tahoma"/>
            <family val="2"/>
          </rPr>
          <t>Bruyns Fred H:</t>
        </r>
        <r>
          <rPr>
            <sz val="9"/>
            <color indexed="81"/>
            <rFont val="Tahoma"/>
            <family val="2"/>
          </rPr>
          <t xml:space="preserve">
Programming note: Digit values are multiplied by maximum degree values for each digit - 48 for thumb, 24 for index, 22 for middle, 10 for ring, and 6 degrees for little finger.</t>
        </r>
      </text>
    </comment>
    <comment ref="U517" authorId="1" shapeId="0" xr:uid="{F94AB90B-EF08-44BD-89D7-A283AF255D3B}">
      <text>
        <r>
          <rPr>
            <b/>
            <sz val="9"/>
            <color indexed="81"/>
            <rFont val="Tahoma"/>
            <family val="2"/>
          </rPr>
          <t>Bruyns Fred H:</t>
        </r>
        <r>
          <rPr>
            <sz val="9"/>
            <color indexed="81"/>
            <rFont val="Tahoma"/>
            <family val="2"/>
          </rPr>
          <t xml:space="preserve">
Programming note: Converted digit-to-hand values are multiplied by maximum degree value for the hand - 150 degrees.</t>
        </r>
      </text>
    </comment>
    <comment ref="V517" authorId="1" shapeId="0" xr:uid="{2CB95EA4-ACC9-4B0A-9E3A-D87F12FA0CB2}">
      <text>
        <r>
          <rPr>
            <b/>
            <sz val="9"/>
            <color indexed="81"/>
            <rFont val="Tahoma"/>
            <family val="2"/>
          </rPr>
          <t>Bruyns Fred H:</t>
        </r>
        <r>
          <rPr>
            <sz val="9"/>
            <color indexed="81"/>
            <rFont val="Tahoma"/>
            <family val="2"/>
          </rPr>
          <t xml:space="preserve">
Programming note: Digit values are multiplied by maximum whole-person values for each digit, 15% for thumb, 8% for index, 7% for middle, 3% for ring, and 2% for little finger. The minimum whole-person value is 1%.</t>
        </r>
      </text>
    </comment>
    <comment ref="W517" authorId="1" shapeId="0" xr:uid="{5D03BB9F-364B-4B59-B836-B52930BB638E}">
      <text>
        <r>
          <rPr>
            <b/>
            <sz val="9"/>
            <color indexed="81"/>
            <rFont val="Tahoma"/>
            <family val="2"/>
          </rPr>
          <t>Bruyns Fred H:</t>
        </r>
        <r>
          <rPr>
            <sz val="9"/>
            <color indexed="81"/>
            <rFont val="Tahoma"/>
            <family val="2"/>
          </rPr>
          <t xml:space="preserve">
Programming note: The sum of converted digit-to-hand values is multiplied by the whole-person value for the hand - 47%.</t>
        </r>
      </text>
    </comment>
    <comment ref="Z517" authorId="1" shapeId="0" xr:uid="{4DA46C60-57D9-408F-A3C1-BC5FA2A5097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17" authorId="1" shapeId="0" xr:uid="{BB635597-602B-40B9-B1C5-DB23151043F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t>
        </r>
      </text>
    </comment>
    <comment ref="AB517" authorId="1" shapeId="0" xr:uid="{8A0D48B3-5790-4397-8518-F17F5071DF5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T523" authorId="1" shapeId="0" xr:uid="{9ED7B28B-B748-44A2-B32F-045786E23C59}">
      <text>
        <r>
          <rPr>
            <b/>
            <sz val="9"/>
            <color indexed="81"/>
            <rFont val="Tahoma"/>
            <family val="2"/>
          </rPr>
          <t>Bruyns Fred H:</t>
        </r>
        <r>
          <rPr>
            <sz val="9"/>
            <color indexed="81"/>
            <rFont val="Tahoma"/>
            <family val="2"/>
          </rPr>
          <t xml:space="preserve">
Programming note: Sum of digit values.</t>
        </r>
      </text>
    </comment>
    <comment ref="U523" authorId="1" shapeId="0" xr:uid="{04E224BC-1557-4890-AACB-0893F00BBF0F}">
      <text>
        <r>
          <rPr>
            <b/>
            <sz val="9"/>
            <color indexed="81"/>
            <rFont val="Tahoma"/>
            <family val="2"/>
          </rPr>
          <t>Bruyns Fred H:</t>
        </r>
        <r>
          <rPr>
            <sz val="9"/>
            <color indexed="81"/>
            <rFont val="Tahoma"/>
            <family val="2"/>
          </rPr>
          <t xml:space="preserve">
Programming note: Sum of converted digit-to-hand values.</t>
        </r>
      </text>
    </comment>
    <comment ref="V523" authorId="1" shapeId="0" xr:uid="{27D0B870-BF09-4680-B3F2-B4DBE34E61E4}">
      <text>
        <r>
          <rPr>
            <b/>
            <sz val="9"/>
            <color indexed="81"/>
            <rFont val="Tahoma"/>
            <family val="2"/>
          </rPr>
          <t>Bruyns Fred H:</t>
        </r>
        <r>
          <rPr>
            <sz val="9"/>
            <color indexed="81"/>
            <rFont val="Tahoma"/>
            <family val="2"/>
          </rPr>
          <t xml:space="preserve">
Programming note: The digit values are combined.</t>
        </r>
      </text>
    </comment>
    <comment ref="B524" authorId="1" shapeId="0" xr:uid="{E466E4BF-F559-48F3-B3D1-9A340C5370AF}">
      <text>
        <r>
          <rPr>
            <b/>
            <sz val="9"/>
            <color indexed="81"/>
            <rFont val="Tahoma"/>
            <family val="2"/>
          </rPr>
          <t>Bruyns Fred H:</t>
        </r>
        <r>
          <rPr>
            <sz val="9"/>
            <color indexed="81"/>
            <rFont val="Tahoma"/>
            <family val="2"/>
          </rPr>
          <t xml:space="preserve">
Programming note: If there are any digit impairment values, this area wiill display an appropriate message about whether conversion of digits to a hand value is necessary.</t>
        </r>
      </text>
    </comment>
    <comment ref="E534" authorId="1" shapeId="0" xr:uid="{98D21A29-BE32-440A-BD2F-F748356656BD}">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34" authorId="1" shapeId="0" xr:uid="{2AC6D34F-0AA7-4E7E-88E0-952BE58596AC}">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hand, ROM apportionment is greyed out for the hand.</t>
        </r>
      </text>
    </comment>
    <comment ref="Y534" authorId="1" shapeId="0" xr:uid="{736AB982-2146-46DC-859E-9FFDE1BC85D3}">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calculation is the ROM times the apportionmant percentage, if any.</t>
        </r>
      </text>
    </comment>
    <comment ref="AA534" authorId="1" shapeId="0" xr:uid="{1934332B-55B5-44FB-9B52-7052CBE2399A}">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535" authorId="1" shapeId="0" xr:uid="{D6A046B2-13CF-4E0C-B912-9B92CCB81D94}">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35" authorId="1" shapeId="0" xr:uid="{55366041-E601-4294-B47D-B4A03A046931}">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hand, ROM apportionment is greyed out for the hand.</t>
        </r>
      </text>
    </comment>
    <comment ref="Y535" authorId="1" shapeId="0" xr:uid="{25D78C21-39FF-4655-8F02-B1BF1F62D537}">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calculation is the ROM times the apportionmant percentage, if any.</t>
        </r>
      </text>
    </comment>
    <comment ref="AA535" authorId="1" shapeId="0" xr:uid="{230D5789-21F1-45E6-B7DC-C154A2E0AA8C}">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551" authorId="1" shapeId="0" xr:uid="{BE0445AE-DC99-4FBE-B17A-E7C769784C03}">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552" authorId="1" shapeId="0" xr:uid="{DC13B50C-C19B-4B5A-9D33-E440A5D30F8C}">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S562" authorId="1" shapeId="0" xr:uid="{33CB7ED6-0BF9-4D0F-93A9-43EE36A0C758}">
      <text>
        <r>
          <rPr>
            <b/>
            <sz val="9"/>
            <color indexed="81"/>
            <rFont val="Tahoma"/>
            <family val="2"/>
          </rPr>
          <t>Bruyns Fred H:</t>
        </r>
        <r>
          <rPr>
            <sz val="9"/>
            <color indexed="81"/>
            <rFont val="Tahoma"/>
            <family val="2"/>
          </rPr>
          <t xml:space="preserve">
Programming note: 150 degrees of flexion of elbow joint is considered maximum normal. See OAR 436-035-0100.</t>
        </r>
      </text>
    </comment>
    <comment ref="V562" authorId="1" shapeId="0" xr:uid="{4A1EEF53-AF69-4431-86EA-783252CA6EA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2" authorId="1" shapeId="0" xr:uid="{69047205-42FD-4089-8873-805EAFCECCF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563" authorId="1" shapeId="0" xr:uid="{F626D079-52AD-4964-8D5B-94502C07CDED}">
      <text>
        <r>
          <rPr>
            <b/>
            <sz val="9"/>
            <color indexed="81"/>
            <rFont val="Tahoma"/>
            <family val="2"/>
          </rPr>
          <t>Bruyns Fred H:</t>
        </r>
        <r>
          <rPr>
            <sz val="9"/>
            <color indexed="81"/>
            <rFont val="Tahoma"/>
            <family val="2"/>
          </rPr>
          <t xml:space="preserve">
Programming note: 150 degrees of flexion ankylosis of the elbow joint is considered maximum loss. See OAR 436-035-0100.</t>
        </r>
      </text>
    </comment>
    <comment ref="S564" authorId="1" shapeId="0" xr:uid="{3FE45752-B53C-45FC-8809-602BB7602B83}">
      <text>
        <r>
          <rPr>
            <b/>
            <sz val="9"/>
            <color indexed="81"/>
            <rFont val="Tahoma"/>
            <family val="2"/>
          </rPr>
          <t>Bruyns Fred H:</t>
        </r>
        <r>
          <rPr>
            <sz val="9"/>
            <color indexed="81"/>
            <rFont val="Tahoma"/>
            <family val="2"/>
          </rPr>
          <t xml:space="preserve">
Programming note: 150 degrees of extension of elbow joint is considered maximum loss. See OAR 436-035-0100.</t>
        </r>
      </text>
    </comment>
    <comment ref="V564" authorId="1" shapeId="0" xr:uid="{2FC3B7F5-8DA6-4D3C-8E26-082BD1745627}">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W564" authorId="1" shapeId="0" xr:uid="{86C4B211-A019-4875-949B-3893D269EEBC}">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564" authorId="1" shapeId="0" xr:uid="{E52DA24A-129D-4873-AAF7-A328DF38C090}">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564" authorId="1" shapeId="0" xr:uid="{321CAE2E-8D6E-432C-A890-265D70DE60A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S565" authorId="1" shapeId="0" xr:uid="{C3FFA2A1-4E48-479E-936C-B6CE5AAAF0E8}">
      <text>
        <r>
          <rPr>
            <b/>
            <sz val="9"/>
            <color indexed="81"/>
            <rFont val="Tahoma"/>
            <family val="2"/>
          </rPr>
          <t>Bruyns Fred H:</t>
        </r>
        <r>
          <rPr>
            <sz val="9"/>
            <color indexed="81"/>
            <rFont val="Tahoma"/>
            <family val="2"/>
          </rPr>
          <t xml:space="preserve">
Programming note: 150 degrees of extension ankylosis of the elbow joint is considered maximum loss. See OAR 436-035-0100.</t>
        </r>
      </text>
    </comment>
    <comment ref="S566" authorId="1" shapeId="0" xr:uid="{BBCFD10E-73CA-47E3-A364-DA1201FCD666}">
      <text>
        <r>
          <rPr>
            <b/>
            <sz val="9"/>
            <color indexed="81"/>
            <rFont val="Tahoma"/>
            <family val="2"/>
          </rPr>
          <t>Bruyns Fred H:</t>
        </r>
        <r>
          <rPr>
            <sz val="9"/>
            <color indexed="81"/>
            <rFont val="Tahoma"/>
            <family val="2"/>
          </rPr>
          <t xml:space="preserve">
Programming note: 80 degrees of supination of elbow joint is considered maximum normal. See OAR 436-035-0100.</t>
        </r>
      </text>
    </comment>
    <comment ref="V566" authorId="1" shapeId="0" xr:uid="{35C4B915-1D0E-441C-8036-414ABBFD5ED2}">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6" authorId="1" shapeId="0" xr:uid="{7FE24B5B-9BB8-41EE-9F58-FBD4672DEEE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67" authorId="1" shapeId="0" xr:uid="{D3E031A1-D27F-403F-A315-447BD0712EE9}">
      <text>
        <r>
          <rPr>
            <b/>
            <sz val="9"/>
            <color indexed="81"/>
            <rFont val="Tahoma"/>
            <family val="2"/>
          </rPr>
          <t>Bruyns Fred H:</t>
        </r>
        <r>
          <rPr>
            <sz val="9"/>
            <color indexed="81"/>
            <rFont val="Tahoma"/>
            <family val="2"/>
          </rPr>
          <t xml:space="preserve">
Programming note: 80 degrees of supination ankylosis of the elbow joint is considered maximum loss. See OAR 436-035-0100.</t>
        </r>
      </text>
    </comment>
    <comment ref="S568" authorId="1" shapeId="0" xr:uid="{7A067965-5231-4729-A7EC-7F47E05DD3D2}">
      <text>
        <r>
          <rPr>
            <b/>
            <sz val="9"/>
            <color indexed="81"/>
            <rFont val="Tahoma"/>
            <family val="2"/>
          </rPr>
          <t>Bruyns Fred H:</t>
        </r>
        <r>
          <rPr>
            <sz val="9"/>
            <color indexed="81"/>
            <rFont val="Tahoma"/>
            <family val="2"/>
          </rPr>
          <t xml:space="preserve">
Programming note: 80 degrees of pronation of elbow joint is considered maximum normal. See OAR 436-035-0100.</t>
        </r>
      </text>
    </comment>
    <comment ref="V568" authorId="1" shapeId="0" xr:uid="{0F506347-9A5E-47FE-B71B-6ADD217B00B6}">
      <text>
        <r>
          <rPr>
            <b/>
            <sz val="9"/>
            <color indexed="81"/>
            <rFont val="Tahoma"/>
            <family val="2"/>
          </rPr>
          <t>Bruyns Fred H:</t>
        </r>
        <r>
          <rPr>
            <sz val="9"/>
            <color indexed="81"/>
            <rFont val="Tahoma"/>
            <family val="2"/>
          </rPr>
          <t xml:space="preserve">
Programming note: This rounded value is carried into the "UETable" and used for lookup there.</t>
        </r>
      </text>
    </comment>
    <comment ref="Y568" authorId="1" shapeId="0" xr:uid="{281262EC-528A-4555-9E58-532717DBD63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80 (max/normal). See instructions for this formula under OAR 436-035-0011. </t>
        </r>
      </text>
    </comment>
    <comment ref="S569" authorId="1" shapeId="0" xr:uid="{2AF48200-A630-43C4-A2B1-A8C6586B3BC0}">
      <text>
        <r>
          <rPr>
            <b/>
            <sz val="9"/>
            <color indexed="81"/>
            <rFont val="Tahoma"/>
            <family val="2"/>
          </rPr>
          <t>Bruyns Fred H:</t>
        </r>
        <r>
          <rPr>
            <sz val="9"/>
            <color indexed="81"/>
            <rFont val="Tahoma"/>
            <family val="2"/>
          </rPr>
          <t xml:space="preserve">
Programming note: 80 degrees of pronation ankylosis of the elbow joint is considered maximum loss. See OAR 436-035-0100.</t>
        </r>
      </text>
    </comment>
    <comment ref="S594" authorId="1" shapeId="0" xr:uid="{848DCECA-C13C-4181-BA7B-A16CE817D86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T594" authorId="1" shapeId="0" xr:uid="{12C8FB15-59B4-45A1-8386-A1D03719ADE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U594" authorId="1" shapeId="0" xr:uid="{8D4B5A85-AB7A-43F0-926B-CF3BD778617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E596" authorId="1" shapeId="0" xr:uid="{ECE054A1-4573-49FE-A302-ED87DFCB4650}">
      <text>
        <r>
          <rPr>
            <b/>
            <sz val="9"/>
            <color indexed="81"/>
            <rFont val="Tahoma"/>
            <family val="2"/>
          </rPr>
          <t>Bruyns Fred H:</t>
        </r>
        <r>
          <rPr>
            <sz val="9"/>
            <color indexed="81"/>
            <rFont val="Tahoma"/>
            <family val="2"/>
          </rPr>
          <t xml:space="preserve">
Programming note: Formula will return "0" if motor loss is entered for arm. ROM is not rated if the worker suffers motor loss.</t>
        </r>
      </text>
    </comment>
    <comment ref="I596" authorId="1" shapeId="0" xr:uid="{E5E7C50E-EED7-4756-A4CD-006C60271B99}">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arm, ROM apportionment is greyed out for the arm.</t>
        </r>
      </text>
    </comment>
    <comment ref="Y596" authorId="1" shapeId="0" xr:uid="{C933B86D-C187-4BBA-93CF-C44D0B63478A}">
      <text>
        <r>
          <rPr>
            <b/>
            <sz val="9"/>
            <color indexed="81"/>
            <rFont val="Tahoma"/>
            <family val="2"/>
          </rPr>
          <t>Bruyns Fred H:</t>
        </r>
        <r>
          <rPr>
            <sz val="9"/>
            <color indexed="81"/>
            <rFont val="Tahoma"/>
            <family val="2"/>
          </rPr>
          <t xml:space="preserve">
Programming note: The formula returns zero if ankylosis is present, because apportionment of ROM is not allowed if there are irreversible findings. Otherwise, the formula returns the product of the ROM value times the apportionment percentage, if any. </t>
        </r>
      </text>
    </comment>
    <comment ref="AA597" authorId="1" shapeId="0" xr:uid="{E02B739B-44FD-4907-8DC1-DCDAE03F8ECF}">
      <text>
        <r>
          <rPr>
            <b/>
            <sz val="9"/>
            <color indexed="81"/>
            <rFont val="Tahoma"/>
            <family val="2"/>
          </rPr>
          <t>Bruyns Fred H:</t>
        </r>
        <r>
          <rPr>
            <sz val="9"/>
            <color indexed="81"/>
            <rFont val="Tahoma"/>
            <family val="2"/>
          </rPr>
          <t xml:space="preserve">
Programming note: The formula checks first for motor loss rating in Cell P592. If motor loss is present, no award is given for loss of ROM. If motor loss is not present, formula displays "1" if ankylosis is present.</t>
        </r>
      </text>
    </comment>
    <comment ref="E605" authorId="1" shapeId="0" xr:uid="{3CCC9993-F36E-42A3-B18D-D870408C9888}">
      <text>
        <r>
          <rPr>
            <b/>
            <sz val="9"/>
            <color indexed="81"/>
            <rFont val="Tahoma"/>
            <family val="2"/>
          </rPr>
          <t>Bruyns Fred H:</t>
        </r>
        <r>
          <rPr>
            <sz val="9"/>
            <color indexed="81"/>
            <rFont val="Tahoma"/>
            <family val="2"/>
          </rPr>
          <t xml:space="preserve">
Programming note: Formula will return "0" if motor loss is entered for arm. Strength loss is not rated if the worker suffers motor loss.</t>
        </r>
      </text>
    </comment>
    <comment ref="E606" authorId="1" shapeId="0" xr:uid="{92D1BA0B-87BE-4C1D-B5EB-61AD64A3F984}">
      <text>
        <r>
          <rPr>
            <b/>
            <sz val="9"/>
            <color indexed="81"/>
            <rFont val="Tahoma"/>
            <family val="2"/>
          </rPr>
          <t>Bruyns Fred H:</t>
        </r>
        <r>
          <rPr>
            <sz val="9"/>
            <color indexed="81"/>
            <rFont val="Tahoma"/>
            <family val="2"/>
          </rPr>
          <t xml:space="preserve">
Programming note: Formula will return "0" if motor loss is entered for arm. Chronic condition is not rated if the worker suffers motor loss.</t>
        </r>
      </text>
    </comment>
    <comment ref="U618" authorId="1" shapeId="0" xr:uid="{72615EBF-2C75-4E00-A1B2-1FFC78C74190}">
      <text>
        <r>
          <rPr>
            <b/>
            <sz val="9"/>
            <color indexed="81"/>
            <rFont val="Tahoma"/>
            <family val="2"/>
          </rPr>
          <t>Bruyns Fred H:</t>
        </r>
        <r>
          <rPr>
            <sz val="9"/>
            <color indexed="81"/>
            <rFont val="Tahoma"/>
            <family val="2"/>
          </rPr>
          <t xml:space="preserve">
programming note: Only if arm impairment is present is the hand/forearm value converted to an arm value.</t>
        </r>
      </text>
    </comment>
    <comment ref="C626" authorId="1" shapeId="0" xr:uid="{E9F8FCED-F562-47EF-B1EA-A832299C7735}">
      <text>
        <r>
          <rPr>
            <b/>
            <sz val="9"/>
            <color indexed="81"/>
            <rFont val="Tahoma"/>
            <family val="2"/>
          </rPr>
          <t>Bruyns Fred H:</t>
        </r>
        <r>
          <rPr>
            <sz val="9"/>
            <color indexed="81"/>
            <rFont val="Tahoma"/>
            <family val="2"/>
          </rPr>
          <t xml:space="preserve">
Programming note: This date is copied in from the "Start here" worksheet.</t>
        </r>
      </text>
    </comment>
    <comment ref="R628" authorId="1" shapeId="0" xr:uid="{0BB4F7E5-1CCF-47CD-8A37-7E976333E4C2}">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1" authorId="0" shapeId="0" xr:uid="{5B48FBA3-C54D-44B1-B02D-B1287092988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S2" authorId="0" shapeId="0" xr:uid="{68391336-1505-48F3-8E7C-69CFAAF099C3}">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T7" authorId="0" shapeId="0" xr:uid="{8E2447D3-D1C6-4EB5-9D95-D691E426DB78}">
      <text>
        <r>
          <rPr>
            <b/>
            <sz val="9"/>
            <color indexed="81"/>
            <rFont val="Tahoma"/>
            <family val="2"/>
          </rPr>
          <t xml:space="preserve">Fred Bruyns:
</t>
        </r>
        <r>
          <rPr>
            <sz val="9"/>
            <color indexed="81"/>
            <rFont val="Tahoma"/>
            <family val="2"/>
          </rPr>
          <t>Descriptions in the chart to the right are used in a pull-down menu below "Great toe amputation." The percentages correspond to the extent of amputation per OAR 436-035-0140.</t>
        </r>
      </text>
    </comment>
    <comment ref="Y12" authorId="1" shapeId="0" xr:uid="{36AEE959-9F7E-4041-A6A9-2057A696A9E2}">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 in the toe is ankylosed.</t>
        </r>
      </text>
    </comment>
    <comment ref="Z12" authorId="1" shapeId="0" xr:uid="{26C6E12D-1F74-4B12-BFAD-11E9DC01DD69}">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 in the toe is ankylosed.</t>
        </r>
      </text>
    </comment>
    <comment ref="AA12" authorId="1" shapeId="0" xr:uid="{84738C19-68AA-405A-BB74-0213179E6297}">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B12" authorId="1" shapeId="0" xr:uid="{5F4314C0-B6B4-4FCD-9B87-352083AD0E84}">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13" authorId="1" shapeId="0" xr:uid="{5B12B95A-EE36-4CE0-B0B9-AD342C734698}">
      <text>
        <r>
          <rPr>
            <b/>
            <sz val="9"/>
            <color indexed="81"/>
            <rFont val="Tahoma"/>
            <family val="2"/>
          </rPr>
          <t>Bruyns Fred H:</t>
        </r>
        <r>
          <rPr>
            <sz val="9"/>
            <color indexed="81"/>
            <rFont val="Tahoma"/>
            <family val="2"/>
          </rPr>
          <t xml:space="preserve">
Programming note: 30 degrees of plantarflexion of IP joint is considered normal - no impairment. See OAR 436-035-0150.</t>
        </r>
      </text>
    </comment>
    <comment ref="T13" authorId="1" shapeId="0" xr:uid="{3A38377C-3E0B-468E-AC56-B65F6FDFDA7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63A4073C-352F-4A74-984B-5E946F0F65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A4F1F05C-5C02-425E-B6AE-58C3FFB1AC0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 authorId="1" shapeId="0" xr:uid="{52D19011-B446-4F3D-8BC3-83EA810F38D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E14" authorId="1" shapeId="0" xr:uid="{3B20D4C1-FC48-476A-AB27-FE9AEF470CE1}">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4" authorId="1" shapeId="0" xr:uid="{65D1C195-A6FA-462B-847D-69F487B573C2}">
      <text>
        <r>
          <rPr>
            <b/>
            <sz val="9"/>
            <color indexed="81"/>
            <rFont val="Tahoma"/>
            <family val="2"/>
          </rPr>
          <t>Bruyns Fred H:</t>
        </r>
        <r>
          <rPr>
            <sz val="9"/>
            <color indexed="81"/>
            <rFont val="Tahoma"/>
            <family val="2"/>
          </rPr>
          <t xml:space="preserve">
Programming note:30 degrees of ankylosis of IP joint is considered maximum loss. See OAR 436-035-0150.</t>
        </r>
      </text>
    </comment>
    <comment ref="T14" authorId="1" shapeId="0" xr:uid="{ABC8314B-37F3-48B1-836C-CA33B0DC91A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6" authorId="1" shapeId="0" xr:uid="{9314C339-20AF-40F3-A4A6-AC6589A2E9D3}">
      <text>
        <r>
          <rPr>
            <b/>
            <sz val="9"/>
            <color indexed="81"/>
            <rFont val="Tahoma"/>
            <family val="2"/>
          </rPr>
          <t>Bruyns Fred H:</t>
        </r>
        <r>
          <rPr>
            <sz val="9"/>
            <color indexed="81"/>
            <rFont val="Tahoma"/>
            <family val="2"/>
          </rPr>
          <t xml:space="preserve">
Programming note: 50 degrees of dorsiflexion of MP joint is considered normal - no impairment. See OAR 436-035-0150.</t>
        </r>
      </text>
    </comment>
    <comment ref="T16" authorId="1" shapeId="0" xr:uid="{3529C650-2307-4CD5-B6DC-65030CB5C39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 authorId="1" shapeId="0" xr:uid="{3DDB19B5-32F5-454C-95D8-774517958D3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 authorId="1" shapeId="0" xr:uid="{9A111E7A-D408-4F9C-85FE-2562D99CE83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6" authorId="1" shapeId="0" xr:uid="{3756E4FC-896B-42EC-B88C-71074B7B002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E17" authorId="1" shapeId="0" xr:uid="{89D4F77E-2EEF-4962-A641-19A995A556C2}">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 authorId="1" shapeId="0" xr:uid="{682E2F12-555B-4320-9456-EC289B9A738B}">
      <text>
        <r>
          <rPr>
            <b/>
            <sz val="9"/>
            <color indexed="81"/>
            <rFont val="Tahoma"/>
            <family val="2"/>
          </rPr>
          <t>Bruyns Fred H:</t>
        </r>
        <r>
          <rPr>
            <sz val="9"/>
            <color indexed="81"/>
            <rFont val="Tahoma"/>
            <family val="2"/>
          </rPr>
          <t xml:space="preserve">
Programming note: 50 degrees of dorsiflexion ankylosis of MP joint is considered maximum loss. See OAR 436-035-0150.</t>
        </r>
      </text>
    </comment>
    <comment ref="T17" authorId="1" shapeId="0" xr:uid="{B2B416E3-8781-40A2-AF7B-0AD5EE7CA26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 authorId="1" shapeId="0" xr:uid="{FEE418F5-9D21-45E2-864D-9370351510B0}">
      <text>
        <r>
          <rPr>
            <b/>
            <sz val="9"/>
            <color indexed="81"/>
            <rFont val="Tahoma"/>
            <family val="2"/>
          </rPr>
          <t>Bruyns Fred H:</t>
        </r>
        <r>
          <rPr>
            <sz val="9"/>
            <color indexed="81"/>
            <rFont val="Tahoma"/>
            <family val="2"/>
          </rPr>
          <t xml:space="preserve">
Programming note: 30 degrees of plantarflexion of MP joint is considered normal - no impairment. See OAR 436-035-0150.</t>
        </r>
      </text>
    </comment>
    <comment ref="T18" authorId="1" shapeId="0" xr:uid="{EE08A5A6-9AF2-4C9C-B0F6-488A365A5F5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28B2F865-6F38-45CE-962B-C14E368EC7F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FFD117C4-3FD6-495D-AAC9-D6E43AC3BE1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8" authorId="1" shapeId="0" xr:uid="{61B780EF-2519-49C4-801C-BAF6A6BDCD0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8" authorId="1" shapeId="0" xr:uid="{853F0C47-0236-419B-9AA3-00E57E0C7BB2}">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8" authorId="1" shapeId="0" xr:uid="{52A5184E-6FDD-4577-8E5B-27338185447B}">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8" authorId="1" shapeId="0" xr:uid="{6F46495E-9872-4328-AAA5-996E649087A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8" authorId="1" shapeId="0" xr:uid="{4CE316D5-35D7-4538-BCA8-0E5E689290C0}">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 authorId="1" shapeId="0" xr:uid="{BDABF006-B30C-47F9-9A88-2273F91A9475}">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9" authorId="1" shapeId="0" xr:uid="{B1976F86-6EB5-4C12-82C4-625CC6A4A5AC}">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436-035-0150.</t>
        </r>
      </text>
    </comment>
    <comment ref="T19" authorId="1" shapeId="0" xr:uid="{BDFB4CEE-C582-4324-ADD7-EC3177BC8F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20" authorId="1" shapeId="0" xr:uid="{B925ADBF-428D-47D5-B155-5528ED012BCF}">
      <text>
        <r>
          <rPr>
            <b/>
            <sz val="9"/>
            <color indexed="81"/>
            <rFont val="Tahoma"/>
            <family val="2"/>
          </rPr>
          <t>Bruyns Fred H:</t>
        </r>
        <r>
          <rPr>
            <sz val="9"/>
            <color indexed="81"/>
            <rFont val="Tahoma"/>
            <family val="2"/>
          </rPr>
          <t xml:space="preserve">
Programming note: If multiple ankylosis values, use the higher of the two.</t>
        </r>
      </text>
    </comment>
    <comment ref="S23" authorId="1" shapeId="0" xr:uid="{3B5D4403-498D-4E91-BD3B-1A0FB590C95B}">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28" authorId="1" shapeId="0" xr:uid="{7E51DBBD-E208-4717-909A-6F95F662176A}">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33" authorId="1" shapeId="0" xr:uid="{592BC210-567B-481E-BED0-BCEFEEE55279}">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3" authorId="1" shapeId="0" xr:uid="{C67A5A8F-9475-423E-A5A8-EB6589CEE33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3" authorId="1" shapeId="0" xr:uid="{C875D528-C0FE-40B6-8698-C0994DD9B98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33" authorId="1" shapeId="0" xr:uid="{B4CAADBE-5C7D-4311-9EE6-C006C3D0D1E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 authorId="1" shapeId="0" xr:uid="{AB8A4D4F-05EB-48C7-B4BA-7715DD101FF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45" authorId="0" shapeId="0" xr:uid="{01486752-5E6A-483D-9031-C0C4170F7BFA}">
      <text>
        <r>
          <rPr>
            <b/>
            <sz val="9"/>
            <color indexed="81"/>
            <rFont val="Tahoma"/>
            <family val="2"/>
          </rPr>
          <t xml:space="preserve">Fred Bruyns:
</t>
        </r>
        <r>
          <rPr>
            <sz val="9"/>
            <color indexed="81"/>
            <rFont val="Tahoma"/>
            <family val="2"/>
          </rPr>
          <t>Descriptions in the chart to the right are used in a pull-down menu below "Second toe amputation." The percentages correspond to the extent of amputation per OAR 436-035-0140.</t>
        </r>
      </text>
    </comment>
    <comment ref="R49" authorId="1" shapeId="0" xr:uid="{D0C1DB4B-912C-46FD-8EAF-C11B5918516E}">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53" authorId="1" shapeId="0" xr:uid="{A45925FD-AE7E-4846-BEAA-DC5AC85253C8}">
      <text>
        <r>
          <rPr>
            <b/>
            <sz val="9"/>
            <color indexed="81"/>
            <rFont val="Tahoma"/>
            <family val="2"/>
          </rPr>
          <t>Bruyns Fred H:</t>
        </r>
        <r>
          <rPr>
            <sz val="9"/>
            <color indexed="81"/>
            <rFont val="Tahoma"/>
            <family val="2"/>
          </rPr>
          <t xml:space="preserve">
Programming note: Formula returns "1" if ankylosis present in toe.</t>
        </r>
      </text>
    </comment>
    <comment ref="Z53" authorId="1" shapeId="0" xr:uid="{7617D033-D4A7-46CB-9376-FE9B3658A742}">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53" authorId="1" shapeId="0" xr:uid="{D3DC7AD2-EC93-474A-85FA-D6F970F7BF7B}">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54" authorId="1" shapeId="0" xr:uid="{867DB256-909D-48CD-8B32-02C933C0E95F}">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54" authorId="1" shapeId="0" xr:uid="{BB1EB34E-01B4-417E-869A-49C10A6E4D6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4" authorId="1" shapeId="0" xr:uid="{B0D0CAA4-DDD3-4F97-9D48-D780DE9E8AB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4" authorId="1" shapeId="0" xr:uid="{E8C113FD-C583-4EB2-A8E8-38F72B142CD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4" authorId="1" shapeId="0" xr:uid="{1CEFE266-70DF-4977-8546-047D6D9286A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55" authorId="1" shapeId="0" xr:uid="{F1217045-3A1D-44A9-820A-F46BFE4AA8C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5" authorId="1" shapeId="0" xr:uid="{20D3737B-95CD-41D1-AD01-63E012173702}">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55" authorId="1" shapeId="0" xr:uid="{CD5F366F-BB97-41C3-B15B-160890AB674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56" authorId="1" shapeId="0" xr:uid="{211D5204-71EF-4423-9D14-E6B6B18E47F1}">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56" authorId="1" shapeId="0" xr:uid="{BB0C7BED-09BA-46A3-B6EE-8311A8C3460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6" authorId="1" shapeId="0" xr:uid="{BDC8FA5A-4ADE-422C-97C1-564ADACD387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6" authorId="1" shapeId="0" xr:uid="{FA54E385-D6CE-4C6A-9BAD-7BB61BF4F84E}">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6" authorId="1" shapeId="0" xr:uid="{4DCCE062-9066-445B-A2C9-F611BEA9481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56" authorId="1" shapeId="0" xr:uid="{EB95BBA7-52E9-44B1-A1F9-44EF48FDF269}">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56" authorId="1" shapeId="0" xr:uid="{1D6464C1-CFFA-4411-A0C8-AB36C05F3B0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6" authorId="1" shapeId="0" xr:uid="{4CA0570B-AF2C-4E50-AE22-7A37BCDECE77}">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56" authorId="1" shapeId="0" xr:uid="{0A60185B-086B-4218-B3AE-B88D6491422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7" authorId="1" shapeId="0" xr:uid="{3BC52254-3175-4217-96DD-9E586DCDC966}">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7" authorId="1" shapeId="0" xr:uid="{6721269C-EF2A-4DB2-A879-5F05A0BD64B7}">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57" authorId="1" shapeId="0" xr:uid="{B982763A-6835-4B08-8168-1C03A45765F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58" authorId="1" shapeId="0" xr:uid="{1171653C-5D34-4968-B4AB-A589285FBF84}">
      <text>
        <r>
          <rPr>
            <b/>
            <sz val="9"/>
            <color indexed="81"/>
            <rFont val="Tahoma"/>
            <family val="2"/>
          </rPr>
          <t>Bruyns Fred H:</t>
        </r>
        <r>
          <rPr>
            <sz val="9"/>
            <color indexed="81"/>
            <rFont val="Tahoma"/>
            <family val="2"/>
          </rPr>
          <t xml:space="preserve">
Programming note: If multiple ankylosis values, use the higher of the two.</t>
        </r>
      </text>
    </comment>
    <comment ref="S61" authorId="1" shapeId="0" xr:uid="{48A77897-2E90-4C18-AEB0-183D57B7B66F}">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66" authorId="1" shapeId="0" xr:uid="{A00733A4-350A-4C8A-B0A8-6FAAE6723AF2}">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72" authorId="1" shapeId="0" xr:uid="{689F5289-CEE7-4700-870D-71D86F1F603B}">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72" authorId="1" shapeId="0" xr:uid="{303BB84B-5753-4661-A04F-062E4B57FE0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72" authorId="1" shapeId="0" xr:uid="{FA2C21B9-F071-4F3E-924F-2BFBDF683D7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72" authorId="1" shapeId="0" xr:uid="{29CE45BB-E8B6-44C8-9763-454006795A8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74" authorId="1" shapeId="0" xr:uid="{DA2B4DD6-B2E9-42A7-9532-E138667BC020}">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85" authorId="0" shapeId="0" xr:uid="{E71C08EC-FB9A-4B56-8DCD-FE9FFB67B8D7}">
      <text>
        <r>
          <rPr>
            <b/>
            <sz val="9"/>
            <color indexed="81"/>
            <rFont val="Tahoma"/>
            <family val="2"/>
          </rPr>
          <t xml:space="preserve">Fred Bruyns:
</t>
        </r>
        <r>
          <rPr>
            <sz val="9"/>
            <color indexed="81"/>
            <rFont val="Tahoma"/>
            <family val="2"/>
          </rPr>
          <t>Descriptions in the chart to the right are used in a pull-down menu below "Third toe amputation." The percentages correspond to the extent of amputation per OAR 436-035-0140.</t>
        </r>
      </text>
    </comment>
    <comment ref="R89" authorId="1" shapeId="0" xr:uid="{FB9D292B-1BFB-4095-9F5C-88155A699C5A}">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93" authorId="1" shapeId="0" xr:uid="{67B78EB3-A78B-4DD9-99D3-2B9C9CD26449}">
      <text>
        <r>
          <rPr>
            <b/>
            <sz val="9"/>
            <color indexed="81"/>
            <rFont val="Tahoma"/>
            <family val="2"/>
          </rPr>
          <t>Bruyns Fred H:</t>
        </r>
        <r>
          <rPr>
            <sz val="9"/>
            <color indexed="81"/>
            <rFont val="Tahoma"/>
            <family val="2"/>
          </rPr>
          <t xml:space="preserve">
Programming note: Formula returns "1" if ankylosis present in toe.</t>
        </r>
      </text>
    </comment>
    <comment ref="Z93" authorId="1" shapeId="0" xr:uid="{3EB85DFC-5F61-4AC5-B5DB-7480CB776656}">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93" authorId="1" shapeId="0" xr:uid="{932A363D-87BF-4887-A3B4-C7DB2A4B66A5}">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94" authorId="1" shapeId="0" xr:uid="{27947656-A3C1-45F1-969A-42FF536A3807}">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94" authorId="1" shapeId="0" xr:uid="{C8CC763F-5AB7-42D2-B4E2-8109192E4C3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4" authorId="1" shapeId="0" xr:uid="{995A6A28-6674-47CA-9913-3AB4F093894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4" authorId="1" shapeId="0" xr:uid="{8D5AEAF8-460D-4CD5-8265-1A7018827AC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4" authorId="1" shapeId="0" xr:uid="{4D2B7768-9B67-404E-B69F-194576D5C4D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95" authorId="1" shapeId="0" xr:uid="{115102B0-1C55-44E4-B237-19C4FEB2D42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5" authorId="1" shapeId="0" xr:uid="{3A302A12-7957-4661-8EC3-CEF05EAF86C7}">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95" authorId="1" shapeId="0" xr:uid="{84C6DA58-E1C2-43AE-99AC-8AC4B1FC92F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6" authorId="1" shapeId="0" xr:uid="{B9784FD4-D0F1-4C70-9E28-6E4B1CC407E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96" authorId="1" shapeId="0" xr:uid="{7E46142D-167E-4967-AA2D-24E9D90A10D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1C2DAB7C-4291-4BE7-803F-993AF79FF31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96B4524B-2991-4159-9C86-D760821CE73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6" authorId="1" shapeId="0" xr:uid="{92E341C9-7E27-45AD-B179-6024A4DB0B3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96" authorId="1" shapeId="0" xr:uid="{F272AF1C-DA04-41A5-8F6D-311F913BF4BE}">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96" authorId="1" shapeId="0" xr:uid="{61402193-A2C1-49C8-85EF-CAF2DBB6B43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96" authorId="1" shapeId="0" xr:uid="{E8446812-D584-4F93-BA09-EAA1FB627E6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96" authorId="1" shapeId="0" xr:uid="{1BC65348-C502-453E-B20A-F596F29AE48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97" authorId="1" shapeId="0" xr:uid="{742064F8-63A7-4FD1-B317-BFA4BDDFE2F5}">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C804C0B1-F9E8-4624-A929-67A575B688DB}">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97" authorId="1" shapeId="0" xr:uid="{A5D1381A-F85E-406C-8E7D-7EDFD702E82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98" authorId="1" shapeId="0" xr:uid="{A677451B-0D2C-4F4E-A667-71F5D4DFCDF7}">
      <text>
        <r>
          <rPr>
            <b/>
            <sz val="9"/>
            <color indexed="81"/>
            <rFont val="Tahoma"/>
            <family val="2"/>
          </rPr>
          <t>Bruyns Fred H:</t>
        </r>
        <r>
          <rPr>
            <sz val="9"/>
            <color indexed="81"/>
            <rFont val="Tahoma"/>
            <family val="2"/>
          </rPr>
          <t xml:space="preserve">
Programming note: This is sum of impairment for MP joint.</t>
        </r>
      </text>
    </comment>
    <comment ref="W98" authorId="1" shapeId="0" xr:uid="{7FB433B3-AFFE-4192-BEF5-D1715F974B88}">
      <text>
        <r>
          <rPr>
            <b/>
            <sz val="9"/>
            <color indexed="81"/>
            <rFont val="Tahoma"/>
            <family val="2"/>
          </rPr>
          <t>Bruyns Fred H:</t>
        </r>
        <r>
          <rPr>
            <sz val="9"/>
            <color indexed="81"/>
            <rFont val="Tahoma"/>
            <family val="2"/>
          </rPr>
          <t xml:space="preserve">
Programming note: If multiple ankylosis values, use the higher of the two.</t>
        </r>
      </text>
    </comment>
    <comment ref="S101" authorId="1" shapeId="0" xr:uid="{5F8C6072-BB63-47ED-89D1-92D043AE6D61}">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06" authorId="1" shapeId="0" xr:uid="{614D06A4-BA68-477D-AB38-CE30CD924568}">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12" authorId="1" shapeId="0" xr:uid="{01D16CD2-E6DC-48BB-8A7A-5043A56C33E6}">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12" authorId="1" shapeId="0" xr:uid="{A39D96F3-2D73-4D84-A812-697A13E945F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12" authorId="1" shapeId="0" xr:uid="{122B7533-3ED7-41B0-85B2-AB52302EBD9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12" authorId="1" shapeId="0" xr:uid="{3013E777-B400-493A-8F3A-A813B6EF009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14" authorId="1" shapeId="0" xr:uid="{3A8D920D-4BEF-4A48-96F4-347E2D7E1F22}">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25" authorId="0" shapeId="0" xr:uid="{9F8A3B38-12C7-4D6E-BCB5-8ABCAC59BAAB}">
      <text>
        <r>
          <rPr>
            <b/>
            <sz val="9"/>
            <color indexed="81"/>
            <rFont val="Tahoma"/>
            <family val="2"/>
          </rPr>
          <t xml:space="preserve">Fred Bruyns:
</t>
        </r>
        <r>
          <rPr>
            <sz val="9"/>
            <color indexed="81"/>
            <rFont val="Tahoma"/>
            <family val="2"/>
          </rPr>
          <t>Descriptions in the chart to the right are used in a pull-down menu below Fourth toe amputation." The percentages correspond to the extent of amputation per OAR 436-035-0140.</t>
        </r>
      </text>
    </comment>
    <comment ref="R129" authorId="1" shapeId="0" xr:uid="{2F166ABB-EB2B-4EB8-876E-A92916DE0849}">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133" authorId="1" shapeId="0" xr:uid="{BE8B8ABB-135D-437B-B2B3-F199C5A59A64}">
      <text>
        <r>
          <rPr>
            <b/>
            <sz val="9"/>
            <color indexed="81"/>
            <rFont val="Tahoma"/>
            <family val="2"/>
          </rPr>
          <t>Bruyns Fred H:</t>
        </r>
        <r>
          <rPr>
            <sz val="9"/>
            <color indexed="81"/>
            <rFont val="Tahoma"/>
            <family val="2"/>
          </rPr>
          <t xml:space="preserve">
Programming note: Formula returns "1" if ankylosis present in toe.</t>
        </r>
      </text>
    </comment>
    <comment ref="Z133" authorId="1" shapeId="0" xr:uid="{9AA8DE8D-D46F-4F62-AB3D-EF179EA4C28D}">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133" authorId="1" shapeId="0" xr:uid="{ECB4FDF6-BB33-44ED-A254-EF5AD39BA3A8}">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134" authorId="1" shapeId="0" xr:uid="{7A11A6A1-7116-464D-B2CC-01AEC25AD294}">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34" authorId="1" shapeId="0" xr:uid="{B40F683A-D919-4AA4-AEBB-43C15EB8D4C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4" authorId="1" shapeId="0" xr:uid="{016AF80A-F610-4921-9966-4D27DFA0F0E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4" authorId="1" shapeId="0" xr:uid="{BB1CBDF2-651A-43F1-A6E6-BC7DF10B076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4" authorId="1" shapeId="0" xr:uid="{95D1F632-83A1-4995-A9B6-2EB88C60BE8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35" authorId="1" shapeId="0" xr:uid="{927978FC-FA5F-45FA-BA9A-68911E0234A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5" authorId="1" shapeId="0" xr:uid="{25C28CE3-3801-4B7B-9DA5-31D601600DEB}">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35" authorId="1" shapeId="0" xr:uid="{DABC46B4-26D1-43E4-9A43-F3F429EFCD4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6" authorId="1" shapeId="0" xr:uid="{B85EE544-D9A7-4F88-A117-E401B155653F}">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36" authorId="1" shapeId="0" xr:uid="{0C062FBC-649D-484F-92C4-DB6F639CEC1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6" authorId="1" shapeId="0" xr:uid="{F201EBDF-018E-405C-8F72-2D66A6F5F36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6" authorId="1" shapeId="0" xr:uid="{AFA6A886-C93F-4843-9218-E44917A5C35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6" authorId="1" shapeId="0" xr:uid="{590BD009-3B57-4214-89FC-6BC043EC77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36" authorId="1" shapeId="0" xr:uid="{1C670F0E-2B50-4EBD-BFE0-9D283184A1BB}">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36" authorId="1" shapeId="0" xr:uid="{11D8FA3E-D08E-441E-B4E6-45AB7D75835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36" authorId="1" shapeId="0" xr:uid="{E68020CF-4176-4868-B42B-EB015624848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36" authorId="1" shapeId="0" xr:uid="{9559E730-8A97-4160-90BC-FBE7E0FC9D87}">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37" authorId="1" shapeId="0" xr:uid="{20694432-A650-433B-BD6A-F5F98FD787E3}">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7" authorId="1" shapeId="0" xr:uid="{1CDB0237-F9C9-4E8A-9748-9ADCF0D8E9EC}">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37" authorId="1" shapeId="0" xr:uid="{8B9C0E09-E914-4ACE-A0AC-D94BAA8A3D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138" authorId="1" shapeId="0" xr:uid="{688E62A9-E975-49A0-992F-42A5CC34BF3B}">
      <text>
        <r>
          <rPr>
            <b/>
            <sz val="9"/>
            <color indexed="81"/>
            <rFont val="Tahoma"/>
            <family val="2"/>
          </rPr>
          <t>Bruyns Fred H:</t>
        </r>
        <r>
          <rPr>
            <sz val="9"/>
            <color indexed="81"/>
            <rFont val="Tahoma"/>
            <family val="2"/>
          </rPr>
          <t xml:space="preserve">
Programming note: This is sum of impairment for MP joint.</t>
        </r>
      </text>
    </comment>
    <comment ref="W138" authorId="1" shapeId="0" xr:uid="{9D7C6610-085C-4827-A118-D83DBF707852}">
      <text>
        <r>
          <rPr>
            <b/>
            <sz val="9"/>
            <color indexed="81"/>
            <rFont val="Tahoma"/>
            <family val="2"/>
          </rPr>
          <t>Bruyns Fred H:</t>
        </r>
        <r>
          <rPr>
            <sz val="9"/>
            <color indexed="81"/>
            <rFont val="Tahoma"/>
            <family val="2"/>
          </rPr>
          <t xml:space="preserve">
Programming note: If multiple ankylosis values, use the higher of the two.</t>
        </r>
      </text>
    </comment>
    <comment ref="S141" authorId="1" shapeId="0" xr:uid="{A5028941-FA39-4AB4-B669-1E3280A7872B}">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46" authorId="1" shapeId="0" xr:uid="{F8F167A1-2FBE-40E4-9754-E329FF155962}">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52" authorId="1" shapeId="0" xr:uid="{055BC35E-94A8-4437-8D44-89A3EC09C02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52" authorId="1" shapeId="0" xr:uid="{79143F0A-F682-4BCD-BCA1-2188F1C7348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52" authorId="1" shapeId="0" xr:uid="{DF884B6B-2722-42E7-A262-51F478CD6F7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52" authorId="1" shapeId="0" xr:uid="{2201CFFF-141D-488D-8E57-FE488A1B59E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54" authorId="1" shapeId="0" xr:uid="{5D8F11B6-19E3-4E3F-ACFB-AABC4DB3FCC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65" authorId="0" shapeId="0" xr:uid="{934A8D23-CAF9-4F62-8DBB-D4D49E5CFA6F}">
      <text>
        <r>
          <rPr>
            <b/>
            <sz val="9"/>
            <color indexed="81"/>
            <rFont val="Tahoma"/>
            <family val="2"/>
          </rPr>
          <t xml:space="preserve">Fred Bruyns:
</t>
        </r>
        <r>
          <rPr>
            <sz val="9"/>
            <color indexed="81"/>
            <rFont val="Tahoma"/>
            <family val="2"/>
          </rPr>
          <t>Descriptions in the chart to the right are used in a pull-down menu below Fifth toe amputation." The percentages correspond to the extent of amputation per OAR 436-035-0140.</t>
        </r>
      </text>
    </comment>
    <comment ref="R169" authorId="1" shapeId="0" xr:uid="{630EBD5B-D0FC-468F-8056-044D0DA7EF0A}">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173" authorId="1" shapeId="0" xr:uid="{856AF409-2525-40CA-8903-91A66355EDFB}">
      <text>
        <r>
          <rPr>
            <b/>
            <sz val="9"/>
            <color indexed="81"/>
            <rFont val="Tahoma"/>
            <family val="2"/>
          </rPr>
          <t>Bruyns Fred H:</t>
        </r>
        <r>
          <rPr>
            <sz val="9"/>
            <color indexed="81"/>
            <rFont val="Tahoma"/>
            <family val="2"/>
          </rPr>
          <t xml:space="preserve">
Programming note: Formula returns "1" if ankylosis present in toe.</t>
        </r>
      </text>
    </comment>
    <comment ref="Z173" authorId="1" shapeId="0" xr:uid="{F3DD7D91-F94C-4F82-8AA9-67E7970589C2}">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173" authorId="1" shapeId="0" xr:uid="{FE74D6F9-6FAE-4938-B856-673A4A3953CD}">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174" authorId="1" shapeId="0" xr:uid="{24B74F50-C960-431C-A14D-0A42347EE48C}">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74" authorId="1" shapeId="0" xr:uid="{4A0F8A91-C3AE-4330-BEC0-D05E621904E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4" authorId="1" shapeId="0" xr:uid="{43B506F4-E547-4643-9153-DC11A5EC0A6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4" authorId="1" shapeId="0" xr:uid="{9A1BFADB-1DB3-4FF9-8988-46A91DB5E49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4" authorId="1" shapeId="0" xr:uid="{88DAE720-9BF9-4AF3-A02D-4E0D7887C23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75" authorId="1" shapeId="0" xr:uid="{D6ADAE60-ECDE-465A-8D89-EF1333ABFBBC}">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5" authorId="1" shapeId="0" xr:uid="{C8B55C77-9CA1-4A5C-9E3D-4A1146A9268C}">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75" authorId="1" shapeId="0" xr:uid="{49F49608-4ED5-413E-93AB-A42F78D9B8A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6" authorId="1" shapeId="0" xr:uid="{8D410849-F671-4442-96F0-A74315452D83}">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76" authorId="1" shapeId="0" xr:uid="{65423E48-3E2B-400B-A0CD-2C3BF6731F8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B21E8C9E-28B0-44D3-9C1E-DA86B3F8FAD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AD8E0F94-B9A4-4A2E-AB09-510ED1F2536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6" authorId="1" shapeId="0" xr:uid="{60C615D2-6BAB-4A39-88AB-116C71676FB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76" authorId="1" shapeId="0" xr:uid="{70EA6EC2-0527-448F-9C19-7263F77DE409}">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76" authorId="1" shapeId="0" xr:uid="{21D99ED1-F4AA-48C7-842C-F937FAB4470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76" authorId="1" shapeId="0" xr:uid="{6CC617FC-892C-4EA7-83B7-F3D3B1BBD7B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76" authorId="1" shapeId="0" xr:uid="{E2F35A7A-F0A1-4A40-A423-084E78DD422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77" authorId="1" shapeId="0" xr:uid="{0597C03D-E0DD-4155-BDA2-D8DDC0053FD7}">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7" authorId="1" shapeId="0" xr:uid="{FF1C6EEA-4731-4182-B675-9B85DA745D79}">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77" authorId="1" shapeId="0" xr:uid="{FA48AD65-562C-4002-9ECB-9BD04B009C2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178" authorId="1" shapeId="0" xr:uid="{E62C3955-31F9-4A4E-842D-5D38793F93F5}">
      <text>
        <r>
          <rPr>
            <b/>
            <sz val="9"/>
            <color indexed="81"/>
            <rFont val="Tahoma"/>
            <family val="2"/>
          </rPr>
          <t>Bruyns Fred H:</t>
        </r>
        <r>
          <rPr>
            <sz val="9"/>
            <color indexed="81"/>
            <rFont val="Tahoma"/>
            <family val="2"/>
          </rPr>
          <t xml:space="preserve">
Programming note: This is sum of impairment for MP joint.</t>
        </r>
      </text>
    </comment>
    <comment ref="W178" authorId="1" shapeId="0" xr:uid="{A27D4309-A45B-4952-B8AF-68710716084A}">
      <text>
        <r>
          <rPr>
            <b/>
            <sz val="9"/>
            <color indexed="81"/>
            <rFont val="Tahoma"/>
            <family val="2"/>
          </rPr>
          <t>Bruyns Fred H:</t>
        </r>
        <r>
          <rPr>
            <sz val="9"/>
            <color indexed="81"/>
            <rFont val="Tahoma"/>
            <family val="2"/>
          </rPr>
          <t xml:space="preserve">
Programming note: If multiple ankylosis values, use the higher of the two.</t>
        </r>
      </text>
    </comment>
    <comment ref="S181" authorId="1" shapeId="0" xr:uid="{5312BD5B-1771-4CEF-9F59-320A81687215}">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186" authorId="1" shapeId="0" xr:uid="{4AB9A041-181F-43CF-B322-7C626220A3C1}">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92" authorId="1" shapeId="0" xr:uid="{D1933D4D-9438-4DA0-8AA6-3F0578AE9577}">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92" authorId="1" shapeId="0" xr:uid="{A36C1609-5269-4CCA-B58E-447E521AD49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92" authorId="1" shapeId="0" xr:uid="{084E6A5F-66BA-4112-AE4A-26257525A8F5}">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92" authorId="1" shapeId="0" xr:uid="{93C484D2-44B8-4A23-814B-048A8A42F94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4" authorId="1" shapeId="0" xr:uid="{32C52488-0E50-47E2-A7FD-65994C587B5E}">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R207" authorId="1" shapeId="0" xr:uid="{3F746F41-92C6-4963-A48C-867DBE7CDAF1}">
      <text>
        <r>
          <rPr>
            <b/>
            <sz val="9"/>
            <color indexed="81"/>
            <rFont val="Tahoma"/>
            <family val="2"/>
          </rPr>
          <t>Bruyns Fred H:</t>
        </r>
        <r>
          <rPr>
            <sz val="9"/>
            <color indexed="81"/>
            <rFont val="Tahoma"/>
            <family val="2"/>
          </rPr>
          <t xml:space="preserve">
Programming note: The chart at the right is used for a pull-down menu under "Amputation of the right foot."</t>
        </r>
      </text>
    </comment>
    <comment ref="P208" authorId="1" shapeId="0" xr:uid="{38A271B7-9D6F-4DBE-A762-DB9DA36F04B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09" authorId="1" shapeId="0" xr:uid="{2A0556CA-A4DC-4C1F-9453-0A366985CE93}">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0" authorId="1" shapeId="0" xr:uid="{C2F08155-22AA-4310-B9CB-0BF9E3A5A4D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1" authorId="1" shapeId="0" xr:uid="{DEB9E5B9-8B00-4E64-B8C8-6AA902AC4B2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T211" authorId="1" shapeId="0" xr:uid="{F19BCF2A-CC48-4EF5-A5AE-8FC4CF93C5C1}">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metatarsal amputation data. </t>
        </r>
      </text>
    </comment>
    <comment ref="P212" authorId="1" shapeId="0" xr:uid="{6EB5CBB3-8F56-4AD5-B25F-13B127CBACB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5" authorId="1" shapeId="0" xr:uid="{BDEDB852-BC86-4A29-B057-A1944A158131}">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6" authorId="1" shapeId="0" xr:uid="{085E53C2-CC09-4505-AAF5-01B022C8976D}">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7" authorId="1" shapeId="0" xr:uid="{D29308DE-4B14-4EBA-8E72-CC3F73F3883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8" authorId="1" shapeId="0" xr:uid="{C5C997A2-2652-44D5-99D5-39451B3FD24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T218" authorId="1" shapeId="0" xr:uid="{E5BEE58F-7EB6-415F-97D9-FB56AD942507}">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tarsometatarsal amputation data. </t>
        </r>
      </text>
    </comment>
    <comment ref="P219" authorId="1" shapeId="0" xr:uid="{FBDBC8A2-D536-4355-9C42-B811E74FA7B6}">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Y221" authorId="1" shapeId="0" xr:uid="{FA40BF86-1D5E-4E2D-BE33-69712AFE598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1" authorId="1" shapeId="0" xr:uid="{4238E7D1-1C38-4CDE-B52F-5913656B6D4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R222" authorId="1" shapeId="0" xr:uid="{0F1468E6-258D-497A-90D1-6BE6E7FA7472}">
      <text>
        <r>
          <rPr>
            <b/>
            <sz val="9"/>
            <color indexed="81"/>
            <rFont val="Tahoma"/>
            <family val="2"/>
          </rPr>
          <t>Bruyns Fred H:</t>
        </r>
        <r>
          <rPr>
            <sz val="9"/>
            <color indexed="81"/>
            <rFont val="Tahoma"/>
            <family val="2"/>
          </rPr>
          <t xml:space="preserve">
Programming note: This is the sum of impairment for ROM loss in the riight foot.</t>
        </r>
      </text>
    </comment>
    <comment ref="S222" authorId="1" shapeId="0" xr:uid="{13447DDF-0BEC-4A67-9EAE-56A78BA272F5}">
      <text>
        <r>
          <rPr>
            <b/>
            <sz val="9"/>
            <color indexed="81"/>
            <rFont val="Tahoma"/>
            <family val="2"/>
          </rPr>
          <t>Bruyns Fred H:</t>
        </r>
        <r>
          <rPr>
            <sz val="9"/>
            <color indexed="81"/>
            <rFont val="Tahoma"/>
            <family val="2"/>
          </rPr>
          <t xml:space="preserve">
Programming note: 30 degrees of subtalar inversion of the foot is considered normal - no impairment. See OAR 436-035-0190.</t>
        </r>
      </text>
    </comment>
    <comment ref="T222" authorId="1" shapeId="0" xr:uid="{648BD31B-1028-41B3-B746-86C85643BB4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2" authorId="1" shapeId="0" xr:uid="{82B5CFAA-CF68-40CD-B4D2-D0E7D5DB21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2" authorId="1" shapeId="0" xr:uid="{D9F9DF90-7854-431F-964A-A3FDEFE81E16}">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2" authorId="1" shapeId="0" xr:uid="{5BC062D3-C239-4631-9BE9-9956CCE4D0FC}">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R223" authorId="1" shapeId="0" xr:uid="{162B20F1-025A-4FE3-AA4E-9551367E9D81}">
      <text>
        <r>
          <rPr>
            <b/>
            <sz val="9"/>
            <color indexed="81"/>
            <rFont val="Tahoma"/>
            <family val="2"/>
          </rPr>
          <t>Bruyns Fred H:</t>
        </r>
        <r>
          <rPr>
            <sz val="9"/>
            <color indexed="81"/>
            <rFont val="Tahoma"/>
            <family val="2"/>
          </rPr>
          <t xml:space="preserve">
Programming note: This formula prevents apportionment if there is ankylosis, because "hard findings," such as ankylosis, cannot be apportioned. If ankylosis of joint occurs, the full value of the loss is used.</t>
        </r>
      </text>
    </comment>
    <comment ref="S223" authorId="1" shapeId="0" xr:uid="{AE58ACBB-5A86-4065-92F4-DC4D33690D1C}">
      <text>
        <r>
          <rPr>
            <b/>
            <sz val="9"/>
            <color indexed="81"/>
            <rFont val="Tahoma"/>
            <family val="2"/>
          </rPr>
          <t>Bruyns Fred H:</t>
        </r>
        <r>
          <rPr>
            <sz val="9"/>
            <color indexed="81"/>
            <rFont val="Tahoma"/>
            <family val="2"/>
          </rPr>
          <t xml:space="preserve">
Programming note: 30 degrees of inversion ankylosis of the foot is considered maximum loss. See OAR 436-035-0190.</t>
        </r>
      </text>
    </comment>
    <comment ref="T223" authorId="1" shapeId="0" xr:uid="{99327EAA-19CE-4104-8F2D-1E9B6FF09DA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24" authorId="1" shapeId="0" xr:uid="{1C878134-6B99-43D3-A3E8-97857FC3CAE4}">
      <text>
        <r>
          <rPr>
            <b/>
            <sz val="9"/>
            <color indexed="81"/>
            <rFont val="Tahoma"/>
            <family val="2"/>
          </rPr>
          <t>Bruyns Fred H:</t>
        </r>
        <r>
          <rPr>
            <sz val="9"/>
            <color indexed="81"/>
            <rFont val="Tahoma"/>
            <family val="2"/>
          </rPr>
          <t xml:space="preserve">
Programming note: 20 degrees of subtalar eversion of the foot is considered normal - no impairment. See OAR 436-035-0190.</t>
        </r>
      </text>
    </comment>
    <comment ref="T224" authorId="1" shapeId="0" xr:uid="{C0C4C169-A43E-4BB8-AA04-543B68DCC5F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4" authorId="1" shapeId="0" xr:uid="{FE0CA981-7CAB-4A35-AA06-B6B040AA391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4" authorId="1" shapeId="0" xr:uid="{12281B8E-130E-4B63-8613-820E3DA98EC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4" authorId="1" shapeId="0" xr:uid="{249D1C10-77AF-4762-BA6D-4F0FF924F8B3}">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5" authorId="1" shapeId="0" xr:uid="{45C14A8B-B497-4648-978A-98B397D50301}">
      <text>
        <r>
          <rPr>
            <b/>
            <sz val="9"/>
            <color indexed="81"/>
            <rFont val="Tahoma"/>
            <family val="2"/>
          </rPr>
          <t>Bruyns Fred H:</t>
        </r>
        <r>
          <rPr>
            <sz val="9"/>
            <color indexed="81"/>
            <rFont val="Tahoma"/>
            <family val="2"/>
          </rPr>
          <t xml:space="preserve">
Programming note: 20 degrees of subtalar eversion of the foot is considered maximum loss. See OAR 436-035-0190.</t>
        </r>
      </text>
    </comment>
    <comment ref="T225" authorId="1" shapeId="0" xr:uid="{0CD43D9E-85B3-48E6-AF7E-9A1ABF59649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226" authorId="1" shapeId="0" xr:uid="{D7BBE847-7F89-485C-B181-A95AD14F589B}">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6" authorId="1" shapeId="0" xr:uid="{7E215592-8DE2-4642-B0EC-3EF4F52452AF}">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R227" authorId="1" shapeId="0" xr:uid="{013B1BC3-8023-4020-B185-03B8AB818D54}">
      <text>
        <r>
          <rPr>
            <b/>
            <sz val="9"/>
            <color indexed="81"/>
            <rFont val="Tahoma"/>
            <family val="2"/>
          </rPr>
          <t>Bruyns Fred H:</t>
        </r>
        <r>
          <rPr>
            <sz val="9"/>
            <color indexed="81"/>
            <rFont val="Tahoma"/>
            <family val="2"/>
          </rPr>
          <t xml:space="preserve">
Programming note: This is the sum of impairment for ROM loss in the riight ankle.</t>
        </r>
      </text>
    </comment>
    <comment ref="R228" authorId="1" shapeId="0" xr:uid="{4B184737-6D39-4273-A8DC-927AB99F9901}">
      <text>
        <r>
          <rPr>
            <b/>
            <sz val="9"/>
            <color indexed="81"/>
            <rFont val="Tahoma"/>
            <family val="2"/>
          </rPr>
          <t>Bruyns Fred H:</t>
        </r>
        <r>
          <rPr>
            <sz val="9"/>
            <color indexed="81"/>
            <rFont val="Tahoma"/>
            <family val="2"/>
          </rPr>
          <t xml:space="preserve">
Programming note: This formula prevents apportionment if there is ankylosis, because "hard findings," such as ankylosis, cannot be apportioned. If ankylosis of joint occurs, the full value of the loss is used.</t>
        </r>
      </text>
    </comment>
    <comment ref="S228" authorId="1" shapeId="0" xr:uid="{7747584F-7FA5-4FA2-870E-DC12B187389F}">
      <text>
        <r>
          <rPr>
            <b/>
            <sz val="9"/>
            <color indexed="81"/>
            <rFont val="Tahoma"/>
            <family val="2"/>
          </rPr>
          <t>Bruyns Fred H:</t>
        </r>
        <r>
          <rPr>
            <sz val="9"/>
            <color indexed="81"/>
            <rFont val="Tahoma"/>
            <family val="2"/>
          </rPr>
          <t xml:space="preserve">
Programming note: 20 degrees of dorsiflexion (extension) of the ankle is considered normal - no impairment. See OAR 436-035-0190.</t>
        </r>
      </text>
    </comment>
    <comment ref="U228" authorId="1" shapeId="0" xr:uid="{FB2D091B-ED17-41BC-9A58-4B0057C36F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8" authorId="1" shapeId="0" xr:uid="{170F230B-B3FF-406A-A1AC-B3FD086C554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8" authorId="1" shapeId="0" xr:uid="{895C3BB4-A677-43B7-8CFB-7E5D78B1AE6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229" authorId="1" shapeId="0" xr:uid="{9ABA4DC0-0713-4C8A-9DBF-6B16555A7A64}">
      <text>
        <r>
          <rPr>
            <b/>
            <sz val="9"/>
            <color indexed="81"/>
            <rFont val="Tahoma"/>
            <family val="2"/>
          </rPr>
          <t>Bruyns Fred H:</t>
        </r>
        <r>
          <rPr>
            <sz val="9"/>
            <color indexed="81"/>
            <rFont val="Tahoma"/>
            <family val="2"/>
          </rPr>
          <t xml:space="preserve">
Programming note: Sum of foot and ankle ROM impairment</t>
        </r>
      </text>
    </comment>
    <comment ref="S229" authorId="1" shapeId="0" xr:uid="{9F5E9D13-24C3-4335-B35B-17F463DCE9E2}">
      <text>
        <r>
          <rPr>
            <b/>
            <sz val="9"/>
            <color indexed="81"/>
            <rFont val="Tahoma"/>
            <family val="2"/>
          </rPr>
          <t>Bruyns Fred H:</t>
        </r>
        <r>
          <rPr>
            <sz val="9"/>
            <color indexed="81"/>
            <rFont val="Tahoma"/>
            <family val="2"/>
          </rPr>
          <t xml:space="preserve">
Programming note: 20 degrees of dorsiflexion ankylosis of the ankle is considered maximum loss. See OAR 436-035-0190.</t>
        </r>
      </text>
    </comment>
    <comment ref="S230" authorId="1" shapeId="0" xr:uid="{89865435-DDAC-48DE-BCD8-648F1A2AC19B}">
      <text>
        <r>
          <rPr>
            <b/>
            <sz val="9"/>
            <color indexed="81"/>
            <rFont val="Tahoma"/>
            <family val="2"/>
          </rPr>
          <t>Bruyns Fred H:</t>
        </r>
        <r>
          <rPr>
            <sz val="9"/>
            <color indexed="81"/>
            <rFont val="Tahoma"/>
            <family val="2"/>
          </rPr>
          <t xml:space="preserve">
Programming note: 40 degrees of plantar flexion of the ankle is considered normal - no impairment. See OAR 436-035-0190.</t>
        </r>
      </text>
    </comment>
    <comment ref="U230" authorId="1" shapeId="0" xr:uid="{B48BC5E4-C20A-4944-9563-962A7557710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0" authorId="1" shapeId="0" xr:uid="{9AC5230E-451C-4176-9DAF-BA2762D3ECBD}">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30" authorId="1" shapeId="0" xr:uid="{71B32F1B-5094-48D5-B4A9-D0B11D01325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231" authorId="1" shapeId="0" xr:uid="{C0E075E1-624A-438D-8BF8-4B74591F1A5D}">
      <text>
        <r>
          <rPr>
            <b/>
            <sz val="9"/>
            <color indexed="81"/>
            <rFont val="Tahoma"/>
            <family val="2"/>
          </rPr>
          <t>Bruyns Fred H:</t>
        </r>
        <r>
          <rPr>
            <sz val="9"/>
            <color indexed="81"/>
            <rFont val="Tahoma"/>
            <family val="2"/>
          </rPr>
          <t xml:space="preserve">
Programming note: 40 degrees of plantar flexion ankylosis of the ankle is considered maximum loss. See OAR 436-035-0190.</t>
        </r>
      </text>
    </comment>
    <comment ref="E232" authorId="1" shapeId="0" xr:uid="{8E6660C3-A0DE-4B85-BFCA-CD818A7C1A4D}">
      <text>
        <r>
          <rPr>
            <b/>
            <sz val="9"/>
            <color indexed="81"/>
            <rFont val="Tahoma"/>
            <family val="2"/>
          </rPr>
          <t>Bruyns Fred H:</t>
        </r>
        <r>
          <rPr>
            <sz val="9"/>
            <color indexed="81"/>
            <rFont val="Tahoma"/>
            <family val="2"/>
          </rPr>
          <t xml:space="preserve">
Programming note: Apportionment, if any, is applied after summing the foot and ankle ROM values unless ankylosis is present in one of the joints - then apportionment is applied to the non-ankylosed joint before summing.</t>
        </r>
      </text>
    </comment>
    <comment ref="R238" authorId="1" shapeId="0" xr:uid="{469468E7-EE76-402A-84B2-80318CF66674}">
      <text>
        <r>
          <rPr>
            <b/>
            <sz val="9"/>
            <color indexed="81"/>
            <rFont val="Tahoma"/>
            <family val="2"/>
          </rPr>
          <t>Bruyns Fred H:</t>
        </r>
        <r>
          <rPr>
            <sz val="9"/>
            <color indexed="81"/>
            <rFont val="Tahoma"/>
            <family val="2"/>
          </rPr>
          <t xml:space="preserve">
Programming note: The lists of values to the right are used in pull-down menus for loss of sensation and hypersensitivity.</t>
        </r>
      </text>
    </comment>
    <comment ref="W239" authorId="1" shapeId="0" xr:uid="{2D8B5746-3347-4182-948D-497CE6EFE2BD}">
      <text>
        <r>
          <rPr>
            <b/>
            <sz val="9"/>
            <color indexed="81"/>
            <rFont val="Tahoma"/>
            <family val="2"/>
          </rPr>
          <t>Bruyns Fred H:</t>
        </r>
        <r>
          <rPr>
            <sz val="9"/>
            <color indexed="81"/>
            <rFont val="Tahoma"/>
            <family val="2"/>
          </rPr>
          <t xml:space="preserve">
Programming note: If this value is greater than zero, formulas for sensation loss or hypersensitivity in the toes will suppress output of losses in the toes.</t>
        </r>
      </text>
    </comment>
    <comment ref="R242" authorId="1" shapeId="0" xr:uid="{7E2C1F69-3899-4FFE-A57D-E9151DF9A71C}">
      <text>
        <r>
          <rPr>
            <b/>
            <sz val="9"/>
            <color indexed="81"/>
            <rFont val="Tahoma"/>
            <family val="2"/>
          </rPr>
          <t>Bruyns Fred H:</t>
        </r>
        <r>
          <rPr>
            <sz val="9"/>
            <color indexed="81"/>
            <rFont val="Tahoma"/>
            <family val="2"/>
          </rPr>
          <t xml:space="preserve">
Programming note: The list of value to the right is used for pull-down menus for ankle instability to the left.</t>
        </r>
      </text>
    </comment>
    <comment ref="R279" authorId="1" shapeId="0" xr:uid="{0110A7EB-071D-4373-BF15-83B6B3721691}">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P280" authorId="1" shapeId="0" xr:uid="{3BC9216F-F4EF-4285-B5D9-83B83B93CA07}">
      <text>
        <r>
          <rPr>
            <b/>
            <sz val="9"/>
            <color indexed="81"/>
            <rFont val="Tahoma"/>
            <family val="2"/>
          </rPr>
          <t>Bruyns Fred H:</t>
        </r>
        <r>
          <rPr>
            <sz val="9"/>
            <color indexed="81"/>
            <rFont val="Tahoma"/>
            <family val="2"/>
          </rPr>
          <t xml:space="preserve">
Programming note: The losses in this column have been adjusted for contralateral losses, if any.</t>
        </r>
      </text>
    </comment>
    <comment ref="AA280" authorId="1" shapeId="0" xr:uid="{49095BBE-1510-4AFB-AEEE-5C86B88DB9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80" authorId="1" shapeId="0" xr:uid="{98C3105A-DBE5-4612-AC6B-2D13A6AAC5E9}">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80" authorId="1" shapeId="0" xr:uid="{75D4B8BF-B3B5-4D02-A9B9-83184B631B1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280" authorId="1" shapeId="0" xr:uid="{0FDFDDD8-DBF6-44BF-A3BF-FDD16F205B6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280" authorId="1" shapeId="0" xr:uid="{4BE56803-B58F-465F-9F54-B6C92E0ADDA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280" authorId="1" shapeId="0" xr:uid="{269048DC-98ED-48BA-A804-43026BECB33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N292" authorId="1" shapeId="0" xr:uid="{649EF7ED-2244-4F28-AC50-FFFB72F1FA2F}">
      <text>
        <r>
          <rPr>
            <b/>
            <sz val="9"/>
            <color indexed="81"/>
            <rFont val="Tahoma"/>
            <family val="2"/>
          </rPr>
          <t>Bruyns Fred H:</t>
        </r>
        <r>
          <rPr>
            <sz val="9"/>
            <color indexed="81"/>
            <rFont val="Tahoma"/>
            <family val="2"/>
          </rPr>
          <t xml:space="preserve">
Programming note: If the overall nerve is rated, "Total" displays her. If parts of the nerve are rated, the word "Average" displays here.</t>
        </r>
      </text>
    </comment>
    <comment ref="F299" authorId="1" shapeId="0" xr:uid="{D65CCCD5-BB07-472C-B201-7030E2A692F5}">
      <text>
        <r>
          <rPr>
            <b/>
            <sz val="9"/>
            <color indexed="81"/>
            <rFont val="Tahoma"/>
            <family val="2"/>
          </rPr>
          <t>Bruyns Fred H:</t>
        </r>
        <r>
          <rPr>
            <sz val="9"/>
            <color indexed="81"/>
            <rFont val="Tahoma"/>
            <family val="2"/>
          </rPr>
          <t xml:space="preserve">
Programming note: If 4th or 6th option button is selected, this message will display: "Total for peroneal except superficial; FOOT impairment."</t>
        </r>
      </text>
    </comment>
    <comment ref="B303" authorId="1" shapeId="0" xr:uid="{FF4A71F3-A274-435A-9D0B-944B33DA50C3}">
      <text>
        <r>
          <rPr>
            <b/>
            <sz val="9"/>
            <color indexed="81"/>
            <rFont val="Tahoma"/>
            <family val="2"/>
          </rPr>
          <t>Bruyns Fred H:</t>
        </r>
        <r>
          <rPr>
            <sz val="9"/>
            <color indexed="81"/>
            <rFont val="Tahoma"/>
            <family val="2"/>
          </rPr>
          <t xml:space="preserve">
Programming note: If the 2nd, 3rd, or 5th option button is selected, this is displayed: "Total for peroneal; FOOT impairment." If the 4th or 6th option button is selected, this will display: "Total for superficial peroneal; FOOT impairment."</t>
        </r>
      </text>
    </comment>
    <comment ref="F318" authorId="1" shapeId="0" xr:uid="{628398B3-AE95-41EC-B033-5C5A8D1FF652}">
      <text>
        <r>
          <rPr>
            <b/>
            <sz val="9"/>
            <color indexed="81"/>
            <rFont val="Tahoma"/>
            <family val="2"/>
          </rPr>
          <t>Bruyns Fred H:</t>
        </r>
        <r>
          <rPr>
            <sz val="9"/>
            <color indexed="81"/>
            <rFont val="Tahoma"/>
            <family val="2"/>
          </rPr>
          <t xml:space="preserve">
Programming note: If option 5 or 6 is selected, this will display: "Total for lateral plantar branch of the tibial nerve."</t>
        </r>
      </text>
    </comment>
    <comment ref="B320" authorId="1" shapeId="0" xr:uid="{B32E7AEB-304B-4C66-8E5A-90D93CC3FD74}">
      <text>
        <r>
          <rPr>
            <b/>
            <sz val="9"/>
            <color indexed="81"/>
            <rFont val="Tahoma"/>
            <family val="2"/>
          </rPr>
          <t>Bruyns Fred H:</t>
        </r>
        <r>
          <rPr>
            <sz val="9"/>
            <color indexed="81"/>
            <rFont val="Tahoma"/>
            <family val="2"/>
          </rPr>
          <t xml:space="preserve">
Programming note: The text displayed is based on which of the seven option buttons for the tibial nerve is selected. </t>
        </r>
      </text>
    </comment>
    <comment ref="B328" authorId="1" shapeId="0" xr:uid="{4BFC7952-DBBD-4E02-AF5B-277654803F25}">
      <text>
        <r>
          <rPr>
            <b/>
            <sz val="9"/>
            <color indexed="81"/>
            <rFont val="Tahoma"/>
            <family val="2"/>
          </rPr>
          <t>Bruyns Fred H:</t>
        </r>
        <r>
          <rPr>
            <sz val="9"/>
            <color indexed="81"/>
            <rFont val="Tahoma"/>
            <family val="2"/>
          </rPr>
          <t xml:space="preserve">
Programming note: If any part of the femoral nerve is rated, this will display: "Total for femoral nerve; LEG impairment."</t>
        </r>
      </text>
    </comment>
    <comment ref="B335" authorId="1" shapeId="0" xr:uid="{50F4DE12-25CD-4014-9F40-1E50537EAC33}">
      <text>
        <r>
          <rPr>
            <b/>
            <sz val="9"/>
            <color indexed="81"/>
            <rFont val="Tahoma"/>
            <family val="2"/>
          </rPr>
          <t>Bruyns Fred H:</t>
        </r>
        <r>
          <rPr>
            <sz val="9"/>
            <color indexed="81"/>
            <rFont val="Tahoma"/>
            <family val="2"/>
          </rPr>
          <t xml:space="preserve">
Programming note: If any part of the superior gluteal nerve is rated, this will display: "Total for superior gluteal; LEG impairment."</t>
        </r>
      </text>
    </comment>
    <comment ref="S341" authorId="1" shapeId="0" xr:uid="{76429C06-1694-413E-9A13-F1BB84479552}">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41" authorId="1" shapeId="0" xr:uid="{03725690-DFBC-4C21-864A-0D6086A1EDC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41" authorId="1" shapeId="0" xr:uid="{E384B2DC-2B2B-4839-ADB7-50CC34FD9488}">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41" authorId="1" shapeId="0" xr:uid="{1E17A597-02D8-4B8A-AF5D-8E4F2D99A10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W348" authorId="1" shapeId="0" xr:uid="{6F2B0359-1AB4-4AAB-97CF-9B0CB53DEB12}">
      <text>
        <r>
          <rPr>
            <b/>
            <sz val="9"/>
            <color indexed="81"/>
            <rFont val="Tahoma"/>
            <family val="2"/>
          </rPr>
          <t>Bruyns Fred H:</t>
        </r>
        <r>
          <rPr>
            <sz val="9"/>
            <color indexed="81"/>
            <rFont val="Tahoma"/>
            <family val="2"/>
          </rPr>
          <t xml:space="preserve">
Programming note: Formula checks ROM, Strength, and Chronic condition above, and if corresponding values add to greater than zero, a formula in the PPD chart for the foot displays a note that "The worker has motor loss impairment. Additional impairment values are not allowed for chronic condition, reduced range of motion, or strength loss."</t>
        </r>
      </text>
    </comment>
    <comment ref="E353" authorId="1" shapeId="0" xr:uid="{F26FA920-45F0-4BEB-B513-CAEC5C0D5143}">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365" authorId="1" shapeId="0" xr:uid="{942DF8D2-940E-4FB3-A969-F4561D2FFB67}">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366" authorId="1" shapeId="0" xr:uid="{55F531EB-27C3-4543-B6E6-7F3CF569D657}">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S377" authorId="1" shapeId="0" xr:uid="{74E1527C-AF45-4A0A-887E-AA09553858BB}">
      <text>
        <r>
          <rPr>
            <b/>
            <sz val="9"/>
            <color indexed="81"/>
            <rFont val="Tahoma"/>
            <family val="2"/>
          </rPr>
          <t>Bruyns Fred H:</t>
        </r>
        <r>
          <rPr>
            <sz val="9"/>
            <color indexed="81"/>
            <rFont val="Tahoma"/>
            <family val="2"/>
          </rPr>
          <t xml:space="preserve">
Programming note: 150 degrees of flexion of the knee is considered normal - no impairment. See OAR 436-035-0220.</t>
        </r>
      </text>
    </comment>
    <comment ref="T377" authorId="1" shapeId="0" xr:uid="{BC9997F8-4B08-4376-BC3F-9011B2B3FE8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7" authorId="1" shapeId="0" xr:uid="{0518BD67-7C23-46C5-83CA-D6DA0ED13AE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7" authorId="1" shapeId="0" xr:uid="{911980A5-0C06-49BE-8C90-524720FFDB7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77" authorId="1" shapeId="0" xr:uid="{CC4E8258-0A9D-44A1-A517-F33A0A60E53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378" authorId="1" shapeId="0" xr:uid="{DC71D565-7663-4248-A30D-843717441A4E}">
      <text>
        <r>
          <rPr>
            <b/>
            <sz val="9"/>
            <color indexed="81"/>
            <rFont val="Tahoma"/>
            <family val="2"/>
          </rPr>
          <t>Bruyns Fred H:</t>
        </r>
        <r>
          <rPr>
            <sz val="9"/>
            <color indexed="81"/>
            <rFont val="Tahoma"/>
            <family val="2"/>
          </rPr>
          <t xml:space="preserve">
Programming note: 50-150 degrees of flexion ankylosis of the knee is considered maximum loss. See OAR 436-035-0220.</t>
        </r>
      </text>
    </comment>
    <comment ref="T378" authorId="1" shapeId="0" xr:uid="{DEEDE586-E71B-4CD4-BF24-B161689576F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379" authorId="1" shapeId="0" xr:uid="{3550491A-33A3-4BCA-B99B-B242E7D71099}">
      <text>
        <r>
          <rPr>
            <b/>
            <sz val="9"/>
            <color indexed="81"/>
            <rFont val="Tahoma"/>
            <family val="2"/>
          </rPr>
          <t>Bruyns Fred H:</t>
        </r>
        <r>
          <rPr>
            <sz val="9"/>
            <color indexed="81"/>
            <rFont val="Tahoma"/>
            <family val="2"/>
          </rPr>
          <t xml:space="preserve">
Programming note: After checking for error flags, formula returns the sum of ROM impairment for the knee.</t>
        </r>
      </text>
    </comment>
    <comment ref="S379" authorId="1" shapeId="0" xr:uid="{DB8DF3B1-E4FC-48AC-99EC-75B408E487E4}">
      <text>
        <r>
          <rPr>
            <b/>
            <sz val="9"/>
            <color indexed="81"/>
            <rFont val="Tahoma"/>
            <family val="2"/>
          </rPr>
          <t>Bruyns Fred H:</t>
        </r>
        <r>
          <rPr>
            <sz val="9"/>
            <color indexed="81"/>
            <rFont val="Tahoma"/>
            <family val="2"/>
          </rPr>
          <t xml:space="preserve">
Programming note: 50-150 degrees of extension of the knee is considered maximum loss. See OAR 436-035-0220.</t>
        </r>
      </text>
    </comment>
    <comment ref="T379" authorId="1" shapeId="0" xr:uid="{181CF79B-97F8-4289-ACAF-832D60B8CA2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9" authorId="1" shapeId="0" xr:uid="{B34E7926-694C-46AF-881E-A347E5C1D5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9" authorId="1" shapeId="0" xr:uid="{16EEE850-6772-498A-93A9-A9D321B359D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379" authorId="1" shapeId="0" xr:uid="{4D4183DD-C1E3-4ADB-8AF8-D8F4427536C5}">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79" authorId="1" shapeId="0" xr:uid="{F5E47BC7-16CF-487C-A260-FF1094E7E96D}">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79" authorId="1" shapeId="0" xr:uid="{FB9BC5F1-211A-4FF4-AB99-0325E173683A}">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R380" authorId="1" shapeId="0" xr:uid="{BEB584A2-28E4-449C-9876-3767F4D7EE6F}">
      <text>
        <r>
          <rPr>
            <b/>
            <sz val="9"/>
            <color indexed="81"/>
            <rFont val="Tahoma"/>
            <family val="2"/>
          </rPr>
          <t>Bruyns Fred H:</t>
        </r>
        <r>
          <rPr>
            <sz val="9"/>
            <color indexed="81"/>
            <rFont val="Tahoma"/>
            <family val="2"/>
          </rPr>
          <t xml:space="preserve">
Programming note: After checking for error flag, formula checks if ROM impairment is greater than zero but less than 1, and if so adjusts to = 1. Otherwise, the formula rounds the ROM impairment from cell above.</t>
        </r>
      </text>
    </comment>
    <comment ref="S380" authorId="1" shapeId="0" xr:uid="{79678822-1087-4037-94CF-BBA7656FDDCE}">
      <text>
        <r>
          <rPr>
            <b/>
            <sz val="9"/>
            <color indexed="81"/>
            <rFont val="Tahoma"/>
            <family val="2"/>
          </rPr>
          <t>Bruyns Fred H:</t>
        </r>
        <r>
          <rPr>
            <sz val="9"/>
            <color indexed="81"/>
            <rFont val="Tahoma"/>
            <family val="2"/>
          </rPr>
          <t xml:space="preserve">
Programming note: 50-150 degrees of extension ankylosis of the knee is considered maximum loss. See OAR 436-035-0220.</t>
        </r>
      </text>
    </comment>
    <comment ref="T380" authorId="1" shapeId="0" xr:uid="{5F712CEB-B001-497E-A6D5-3CB453DA9E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82" authorId="1" shapeId="0" xr:uid="{FFA0A7EB-822B-4DAF-A5EB-B03A1BF7CC35}">
      <text>
        <r>
          <rPr>
            <b/>
            <sz val="9"/>
            <color indexed="81"/>
            <rFont val="Tahoma"/>
            <family val="2"/>
          </rPr>
          <t>Bruyns Fred H:</t>
        </r>
        <r>
          <rPr>
            <sz val="9"/>
            <color indexed="81"/>
            <rFont val="Tahoma"/>
            <family val="2"/>
          </rPr>
          <t xml:space="preserve">
Programming note: 100 degrees of forward flexion of the hip is considered normal - no impairment. See OAR 436-035-0220.</t>
        </r>
      </text>
    </comment>
    <comment ref="T382" authorId="1" shapeId="0" xr:uid="{B90D56C5-DFEF-4FA9-8CA2-C907E06161D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2" authorId="1" shapeId="0" xr:uid="{97CBA5E4-CAB5-4C0C-A938-511DB7A640A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2" authorId="1" shapeId="0" xr:uid="{BE851D2F-F1D6-475D-BB74-5CDB68FBFF8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2" authorId="1" shapeId="0" xr:uid="{41BBDA8D-9B22-4373-ACB0-95BDF9737FE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383" authorId="1" shapeId="0" xr:uid="{47C8DE01-0494-493E-917C-2B882EC91159}">
      <text>
        <r>
          <rPr>
            <b/>
            <sz val="9"/>
            <color indexed="81"/>
            <rFont val="Tahoma"/>
            <family val="2"/>
          </rPr>
          <t>Bruyns Fred H:</t>
        </r>
        <r>
          <rPr>
            <sz val="9"/>
            <color indexed="81"/>
            <rFont val="Tahoma"/>
            <family val="2"/>
          </rPr>
          <t xml:space="preserve">
Programming note: 30 degrees of backward extension of the hip is considered normal - no impairment. See OAR 436-035-0220.</t>
        </r>
      </text>
    </comment>
    <comment ref="T383" authorId="1" shapeId="0" xr:uid="{6067AA51-2D54-40D0-8FED-D2FB662422E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3" authorId="1" shapeId="0" xr:uid="{6CFC279C-FF77-4C3C-8749-3F91A924330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3" authorId="1" shapeId="0" xr:uid="{0C120F40-F8AD-4EF5-8C87-538F66B67E7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3" authorId="1" shapeId="0" xr:uid="{73FA248D-5080-41D2-AFE4-41CAC0A45F7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84" authorId="1" shapeId="0" xr:uid="{89F97B5A-04AB-4A0D-A63A-455F49410AB9}">
      <text>
        <r>
          <rPr>
            <b/>
            <sz val="9"/>
            <color indexed="81"/>
            <rFont val="Tahoma"/>
            <family val="2"/>
          </rPr>
          <t>Bruyns Fred H:</t>
        </r>
        <r>
          <rPr>
            <sz val="9"/>
            <color indexed="81"/>
            <rFont val="Tahoma"/>
            <family val="2"/>
          </rPr>
          <t xml:space="preserve">
Programming note: 40 degrees of abduction of the hip is considered normal - no impairment. See OAR 436-035-0220.</t>
        </r>
      </text>
    </comment>
    <comment ref="T384" authorId="1" shapeId="0" xr:uid="{3FD35254-9BE2-4773-8DF9-0A89E794FFE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4" authorId="1" shapeId="0" xr:uid="{618449F9-B9CF-431F-8334-F58D906AD48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4" authorId="1" shapeId="0" xr:uid="{6F8C8673-8E31-4D76-B993-AB1BBE115A7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4" authorId="1" shapeId="0" xr:uid="{639CFC57-D4A2-46A6-AE98-D39F90A3917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385" authorId="1" shapeId="0" xr:uid="{C065156A-D0B2-4BBE-BD54-F9B0DE9FBC5F}">
      <text>
        <r>
          <rPr>
            <b/>
            <sz val="9"/>
            <color indexed="81"/>
            <rFont val="Tahoma"/>
            <family val="2"/>
          </rPr>
          <t>Bruyns Fred H:</t>
        </r>
        <r>
          <rPr>
            <sz val="9"/>
            <color indexed="81"/>
            <rFont val="Tahoma"/>
            <family val="2"/>
          </rPr>
          <t xml:space="preserve">
Programming note: 20 degrees of adduction of the hip is considered normal - no impairment. See OAR 436-035-0220.</t>
        </r>
      </text>
    </comment>
    <comment ref="T385" authorId="1" shapeId="0" xr:uid="{5F84A2A2-75C7-4CFD-893B-176BAE5ADDE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5" authorId="1" shapeId="0" xr:uid="{8A31AA8A-55AF-44E9-9013-A87AFEBEA19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5" authorId="1" shapeId="0" xr:uid="{046A01EE-B82B-4E8E-9F81-F2F55D521FE2}">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5" authorId="1" shapeId="0" xr:uid="{3D7AB852-C9B6-4682-A25F-4B79AD77102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386" authorId="1" shapeId="0" xr:uid="{56D1A683-5325-4F64-93CE-DE6E2C0B6D66}">
      <text>
        <r>
          <rPr>
            <b/>
            <sz val="9"/>
            <color indexed="81"/>
            <rFont val="Tahoma"/>
            <family val="2"/>
          </rPr>
          <t>Bruyns Fred H:</t>
        </r>
        <r>
          <rPr>
            <sz val="9"/>
            <color indexed="81"/>
            <rFont val="Tahoma"/>
            <family val="2"/>
          </rPr>
          <t xml:space="preserve">
Programming note: Formula sums hip ROM impairment values.</t>
        </r>
      </text>
    </comment>
    <comment ref="S386" authorId="1" shapeId="0" xr:uid="{2991BC7B-D1AA-408E-941E-A829E58EA778}">
      <text>
        <r>
          <rPr>
            <b/>
            <sz val="9"/>
            <color indexed="81"/>
            <rFont val="Tahoma"/>
            <family val="2"/>
          </rPr>
          <t>Bruyns Fred H:</t>
        </r>
        <r>
          <rPr>
            <sz val="9"/>
            <color indexed="81"/>
            <rFont val="Tahoma"/>
            <family val="2"/>
          </rPr>
          <t xml:space="preserve">
Programming note: 40 degrees of internal rotation of the hip is considered normal - no impairment. See OAR 436-035-0220.</t>
        </r>
      </text>
    </comment>
    <comment ref="T386" authorId="1" shapeId="0" xr:uid="{EA0ACDF9-CC83-45F2-BB8F-7591D092CD1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6" authorId="1" shapeId="0" xr:uid="{D2C435CC-4C65-4865-91D7-3D3FA29BF71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6" authorId="1" shapeId="0" xr:uid="{FC875B5F-F252-45B9-BA92-AB1F9144E568}">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6" authorId="1" shapeId="0" xr:uid="{64CA329E-30CC-4C90-847B-BCF6A6EE38E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R387" authorId="1" shapeId="0" xr:uid="{DD60C2B6-5BEB-4E9E-A828-C33F657FE7E7}">
      <text>
        <r>
          <rPr>
            <b/>
            <sz val="9"/>
            <color indexed="81"/>
            <rFont val="Tahoma"/>
            <family val="2"/>
          </rPr>
          <t>Bruyns Fred H:</t>
        </r>
        <r>
          <rPr>
            <sz val="9"/>
            <color indexed="81"/>
            <rFont val="Tahoma"/>
            <family val="2"/>
          </rPr>
          <t xml:space="preserve">
Programming note: Formula checks if ROM impairment is greater than zero but less than 1, and if so adjusts to = 1. Otherwise, the formula rounds the ROM impairment from cell above.</t>
        </r>
      </text>
    </comment>
    <comment ref="S387" authorId="1" shapeId="0" xr:uid="{0283B510-45D2-48BC-8A3C-48387D994E8A}">
      <text>
        <r>
          <rPr>
            <b/>
            <sz val="9"/>
            <color indexed="81"/>
            <rFont val="Tahoma"/>
            <family val="2"/>
          </rPr>
          <t>Bruyns Fred H:</t>
        </r>
        <r>
          <rPr>
            <sz val="9"/>
            <color indexed="81"/>
            <rFont val="Tahoma"/>
            <family val="2"/>
          </rPr>
          <t xml:space="preserve">
Programming note: 50 degrees of external rotation of the hip is considered normal - no impairment. See OAR 436-035-0220.</t>
        </r>
      </text>
    </comment>
    <comment ref="T387" authorId="1" shapeId="0" xr:uid="{2C1CF650-EF21-465C-AC38-38098CE64DD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7" authorId="1" shapeId="0" xr:uid="{C9ECB09D-4A0C-4E33-B032-143AED4700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7" authorId="1" shapeId="0" xr:uid="{B5B609C8-638A-4112-8307-CE18504A538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7" authorId="1" shapeId="0" xr:uid="{A077469E-D597-414C-86EB-6672DDECCCE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R392" authorId="1" shapeId="0" xr:uid="{B2E00B4C-56EF-45AB-AC1F-7C620F202202}">
      <text>
        <r>
          <rPr>
            <b/>
            <sz val="9"/>
            <color indexed="81"/>
            <rFont val="Tahoma"/>
            <family val="2"/>
          </rPr>
          <t>Bruyns Fred H:</t>
        </r>
        <r>
          <rPr>
            <sz val="9"/>
            <color indexed="81"/>
            <rFont val="Tahoma"/>
            <family val="2"/>
          </rPr>
          <t xml:space="preserve">
Programming note: Length discrepancy descriptions to the right are used in pull-down menu to the left.</t>
        </r>
      </text>
    </comment>
    <comment ref="Y395" authorId="1" shapeId="0" xr:uid="{AE0C551E-45D0-43C1-9D2A-107F62931D5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Z395" authorId="1" shapeId="0" xr:uid="{223ED219-0248-41C5-8F6A-A237578435B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A395" authorId="1" shapeId="0" xr:uid="{7877230B-7655-4F4B-A541-05CFB77CECCF}">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O397" authorId="1" shapeId="0" xr:uid="{85B7B31B-4692-4D8B-A341-BCC798B43647}">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8" authorId="1" shapeId="0" xr:uid="{A4D16035-13F5-4DFA-8BD0-5DE488B3CD4A}">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9" authorId="1" shapeId="0" xr:uid="{8E067D7D-A92B-4538-B2FE-AE20505ABD4B}">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400" authorId="1" shapeId="0" xr:uid="{CAE1EDC5-E314-419D-9DA7-AC4B17430D2B}">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R401" authorId="1" shapeId="0" xr:uid="{5E8A35FD-DE9A-49CB-9BC6-C8CE7D13B7F1}">
      <text>
        <r>
          <rPr>
            <b/>
            <sz val="9"/>
            <color indexed="81"/>
            <rFont val="Tahoma"/>
            <family val="2"/>
          </rPr>
          <t>Bruyns Fred H:</t>
        </r>
        <r>
          <rPr>
            <sz val="9"/>
            <color indexed="81"/>
            <rFont val="Tahoma"/>
            <family val="2"/>
          </rPr>
          <t xml:space="preserve">
Programming note: If the value in this cell is greater than zero, one or more instances of Grade 1 joint instability have been entered.</t>
        </r>
      </text>
    </comment>
    <comment ref="R404" authorId="1" shapeId="0" xr:uid="{526044D9-A6A6-4C9B-B79B-965CDE88FFBA}">
      <text>
        <r>
          <rPr>
            <b/>
            <sz val="9"/>
            <color indexed="81"/>
            <rFont val="Tahoma"/>
            <family val="2"/>
          </rPr>
          <t>Bruyns Fred H:</t>
        </r>
        <r>
          <rPr>
            <sz val="9"/>
            <color indexed="81"/>
            <rFont val="Tahoma"/>
            <family val="2"/>
          </rPr>
          <t xml:space="preserve">
Option button output: 1, 2, or 3.</t>
        </r>
      </text>
    </comment>
    <comment ref="R406" authorId="1" shapeId="0" xr:uid="{6C06D234-B53B-4695-A1EC-9F397EEB8E2B}">
      <text>
        <r>
          <rPr>
            <b/>
            <sz val="9"/>
            <color indexed="81"/>
            <rFont val="Tahoma"/>
            <family val="2"/>
          </rPr>
          <t>Bruyns Fred H:</t>
        </r>
        <r>
          <rPr>
            <sz val="9"/>
            <color indexed="81"/>
            <rFont val="Tahoma"/>
            <family val="2"/>
          </rPr>
          <t xml:space="preserve">
Programming note: List of deformities to the right are used in a pull-down menu to the left.</t>
        </r>
      </text>
    </comment>
    <comment ref="R410" authorId="1" shapeId="0" xr:uid="{D84DB43B-68B2-4142-82B8-B858DC69C2FA}">
      <text>
        <r>
          <rPr>
            <b/>
            <sz val="9"/>
            <color indexed="81"/>
            <rFont val="Tahoma"/>
            <family val="2"/>
          </rPr>
          <t>Bruyns Fred H:</t>
        </r>
        <r>
          <rPr>
            <sz val="9"/>
            <color indexed="81"/>
            <rFont val="Tahoma"/>
            <family val="2"/>
          </rPr>
          <t xml:space="preserve">
Programming note: List of surgeries to the right are used in a pull-down menu to the left.</t>
        </r>
      </text>
    </comment>
    <comment ref="P411" authorId="1" shapeId="0" xr:uid="{B0697E50-5140-4A8D-9186-B13200D9453F}">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2" authorId="1" shapeId="0" xr:uid="{A2ED1ECD-383B-4AB0-A588-A1842BC05F0D}">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3" authorId="1" shapeId="0" xr:uid="{7B3EF6E3-B62C-4BF2-9699-731643B628CC}">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3" authorId="1" shapeId="0" xr:uid="{5CBB681A-BD18-49FF-B2F8-C1893A4D123F}">
      <text>
        <r>
          <rPr>
            <b/>
            <sz val="9"/>
            <color indexed="81"/>
            <rFont val="Tahoma"/>
            <family val="2"/>
          </rPr>
          <t>Bruyns Fred H:</t>
        </r>
        <r>
          <rPr>
            <sz val="9"/>
            <color indexed="81"/>
            <rFont val="Tahoma"/>
            <family val="2"/>
          </rPr>
          <t xml:space="preserve">
Option button output: 1, 2, 3, 4, or 5.</t>
        </r>
      </text>
    </comment>
    <comment ref="P414" authorId="1" shapeId="0" xr:uid="{1DA470DD-E54B-40A7-A2CF-4392626069E3}">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5" authorId="1" shapeId="0" xr:uid="{75869DF4-491B-4A07-870F-6DB5C051D16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6" authorId="1" shapeId="0" xr:uid="{36C77007-6F8A-4C4E-9807-2531757A479A}">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20" authorId="1" shapeId="0" xr:uid="{A4537EDF-F46F-48C3-B085-6EF9EC226436}">
      <text>
        <r>
          <rPr>
            <b/>
            <sz val="9"/>
            <color indexed="81"/>
            <rFont val="Tahoma"/>
            <family val="2"/>
          </rPr>
          <t>Bruyns Fred H:</t>
        </r>
        <r>
          <rPr>
            <sz val="9"/>
            <color indexed="81"/>
            <rFont val="Tahoma"/>
            <family val="2"/>
          </rPr>
          <t xml:space="preserve">
Programming note: The list of five classes to the right is used in a pull-down menu to the left.</t>
        </r>
      </text>
    </comment>
    <comment ref="R426" authorId="1" shapeId="0" xr:uid="{DF52D4F3-004D-4BC9-900E-1CA463911FEC}">
      <text>
        <r>
          <rPr>
            <b/>
            <sz val="9"/>
            <color indexed="81"/>
            <rFont val="Tahoma"/>
            <family val="2"/>
          </rPr>
          <t>Bruyns Fred H:</t>
        </r>
        <r>
          <rPr>
            <sz val="9"/>
            <color indexed="81"/>
            <rFont val="Tahoma"/>
            <family val="2"/>
          </rPr>
          <t xml:space="preserve">
Option button output: 1, 2, 3, 4, or 5.</t>
        </r>
      </text>
    </comment>
    <comment ref="U436" authorId="1" shapeId="0" xr:uid="{98ED0BC9-C90C-49FC-982E-FEA32E497636}">
      <text>
        <r>
          <rPr>
            <b/>
            <sz val="9"/>
            <color indexed="81"/>
            <rFont val="Tahoma"/>
            <family val="2"/>
          </rPr>
          <t>Bruyns Fred H:</t>
        </r>
        <r>
          <rPr>
            <sz val="9"/>
            <color indexed="81"/>
            <rFont val="Tahoma"/>
            <family val="2"/>
          </rPr>
          <t xml:space="preserve">
Programming note: If at least one box is checked of boxes 1 through 3 plus at least one box in boxes 4 through 7, 5% is awarded.</t>
        </r>
      </text>
    </comment>
    <comment ref="R439" authorId="1" shapeId="0" xr:uid="{532F23C9-BC20-4671-B4A6-893C1546ADD9}">
      <text>
        <r>
          <rPr>
            <b/>
            <sz val="9"/>
            <color indexed="81"/>
            <rFont val="Tahoma"/>
            <family val="2"/>
          </rPr>
          <t>Bruyns Fred H:</t>
        </r>
        <r>
          <rPr>
            <sz val="9"/>
            <color indexed="81"/>
            <rFont val="Tahoma"/>
            <family val="2"/>
          </rPr>
          <t xml:space="preserve">
Programming note: Option button output: 1 or 2.</t>
        </r>
      </text>
    </comment>
    <comment ref="R443" authorId="1" shapeId="0" xr:uid="{C38074D2-6724-49A6-B102-7B0E3721054D}">
      <text>
        <r>
          <rPr>
            <b/>
            <sz val="9"/>
            <color indexed="81"/>
            <rFont val="Tahoma"/>
            <family val="2"/>
          </rPr>
          <t>Bruyns Fred H:</t>
        </r>
        <r>
          <rPr>
            <sz val="9"/>
            <color indexed="81"/>
            <rFont val="Tahoma"/>
            <family val="2"/>
          </rPr>
          <t xml:space="preserve">
Programming note: Option button output: 1 or 2.</t>
        </r>
      </text>
    </comment>
    <comment ref="S448" authorId="1" shapeId="0" xr:uid="{D23E3850-53E5-4AF5-959F-5DAC93EA91F5}">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448" authorId="1" shapeId="0" xr:uid="{AAB29EEB-1AA4-40ED-A93F-3CBD10DF64D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48" authorId="1" shapeId="0" xr:uid="{00F83A74-2CA2-4C91-86C0-69B222260D21}">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48" authorId="1" shapeId="0" xr:uid="{8CE98981-10C9-4F6E-9BB8-3F371E21E4C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Y449" authorId="1" shapeId="0" xr:uid="{D54187CC-F9EB-4525-B7BA-3B27546A7BF7}">
      <text>
        <r>
          <rPr>
            <b/>
            <sz val="9"/>
            <color indexed="81"/>
            <rFont val="Tahoma"/>
            <family val="2"/>
          </rPr>
          <t>Bruyns Fred H:</t>
        </r>
        <r>
          <rPr>
            <sz val="9"/>
            <color indexed="81"/>
            <rFont val="Tahoma"/>
            <family val="2"/>
          </rPr>
          <t xml:space="preserve">
Programming note: The formula checks first for motor loss rating in Cell P423. If motor loss is present, no award is given for loss of ROM. If motor loss is not present, formula displays "1" if ankylosis is present.</t>
        </r>
      </text>
    </comment>
    <comment ref="E450" authorId="1" shapeId="0" xr:uid="{A359F130-EBA7-4467-B488-84709CE83F92}">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J450" authorId="1" shapeId="0" xr:uid="{2965F0BA-CC5F-4581-A5B0-EB12FEA3D0F6}">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knee, ROM apportionment is greyed out for the knee.</t>
        </r>
      </text>
    </comment>
    <comment ref="Y450" authorId="1" shapeId="0" xr:uid="{AF4247AF-3FE4-4942-89AD-E27DB49C5166}">
      <text>
        <r>
          <rPr>
            <b/>
            <sz val="9"/>
            <color indexed="81"/>
            <rFont val="Tahoma"/>
            <family val="2"/>
          </rPr>
          <t>Bruyns Fred H:</t>
        </r>
        <r>
          <rPr>
            <sz val="9"/>
            <color indexed="81"/>
            <rFont val="Tahoma"/>
            <family val="2"/>
          </rPr>
          <t xml:space="preserve">
Programming note: The formula returns zero if there ankylosis in the leg. Otherwise, the formula returns the product of the ROM value times the apportionment percentage, if any. </t>
        </r>
      </text>
    </comment>
    <comment ref="E451" authorId="1" shapeId="0" xr:uid="{FC3EB62A-A10D-4EF9-B7D0-AD45774DFD2C}">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W457" authorId="1" shapeId="0" xr:uid="{E6F97A3E-4695-44CD-9C98-635CD873D44A}">
      <text>
        <r>
          <rPr>
            <b/>
            <sz val="9"/>
            <color indexed="81"/>
            <rFont val="Tahoma"/>
            <family val="2"/>
          </rPr>
          <t>Bruyns Fred H:</t>
        </r>
        <r>
          <rPr>
            <sz val="9"/>
            <color indexed="81"/>
            <rFont val="Tahoma"/>
            <family val="2"/>
          </rPr>
          <t xml:space="preserve">
Programming note: If this value is greater than zero, and if motor loss is present, the chart will include a message that "The worker has motor loss impairment. Additional impairment values are not allowed for chronic condition, a walking/standing limitation, reduced range of motion, or strength loss."</t>
        </r>
      </text>
    </comment>
    <comment ref="E468" authorId="1" shapeId="0" xr:uid="{7211FD62-56F7-4D29-B94E-EA4EBB7493D8}">
      <text>
        <r>
          <rPr>
            <b/>
            <sz val="9"/>
            <color indexed="81"/>
            <rFont val="Tahoma"/>
            <family val="2"/>
          </rPr>
          <t>Bruyns Fred H:</t>
        </r>
        <r>
          <rPr>
            <sz val="9"/>
            <color indexed="81"/>
            <rFont val="Tahoma"/>
            <family val="2"/>
          </rPr>
          <t xml:space="preserve">
Programming note: Formula first checks for motor loss, and if present, returns zero value for walk/stand limitation.</t>
        </r>
      </text>
    </comment>
    <comment ref="E469" authorId="1" shapeId="0" xr:uid="{0739B0FC-D7BE-4A5F-8B43-FA104A9B2407}">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470" authorId="1" shapeId="0" xr:uid="{5AFB214E-170B-4350-8B9F-A87FD7A023E4}">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U481" authorId="1" shapeId="0" xr:uid="{62A1AD8B-B028-447F-9BC8-B58675B6E7D7}">
      <text>
        <r>
          <rPr>
            <b/>
            <sz val="9"/>
            <color indexed="81"/>
            <rFont val="Tahoma"/>
            <family val="2"/>
          </rPr>
          <t>Bruyns Fred H:</t>
        </r>
        <r>
          <rPr>
            <sz val="9"/>
            <color indexed="81"/>
            <rFont val="Tahoma"/>
            <family val="2"/>
          </rPr>
          <t xml:space="preserve">
programming note: Only if leg impairment is present is the foot/ankle value converted to a leg value.</t>
        </r>
      </text>
    </comment>
    <comment ref="R491" authorId="1" shapeId="0" xr:uid="{528AF035-ED96-4DA9-9D72-38A917F62F5A}">
      <text>
        <r>
          <rPr>
            <b/>
            <sz val="9"/>
            <color indexed="81"/>
            <rFont val="Tahoma"/>
            <family val="2"/>
          </rPr>
          <t>Bruyns Fred H:</t>
        </r>
        <r>
          <rPr>
            <sz val="9"/>
            <color indexed="81"/>
            <rFont val="Tahoma"/>
            <family val="2"/>
          </rPr>
          <t xml:space="preserve">
Programming note: Formula returns "1" if either the foot/ankle or the leg have impairment. If so, formulas in chart to left convert toe values to foot or leg values.</t>
        </r>
      </text>
    </comment>
    <comment ref="R492" authorId="1" shapeId="0" xr:uid="{000A80F0-6389-4E98-AA71-19BEE3914766}">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1" authorId="0" shapeId="0" xr:uid="{E2EDECB0-C184-48F7-B274-557084E43734}">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below will display in a linked cell at the bottom of this worksheet. The linked cell is a shortcut to the appropriate PPD award calculation sheet.</t>
        </r>
      </text>
    </comment>
    <comment ref="S2" authorId="0" shapeId="0" xr:uid="{9BB17E89-F381-480F-87C9-46D80EA464DA}">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directly above will display in a linked cell at the bottom of this worksheet. The linked cell is a shortcut to the appropriate PPD award calculation sheet.</t>
        </r>
      </text>
    </comment>
    <comment ref="T7" authorId="0" shapeId="0" xr:uid="{1403171D-0C77-490E-90C9-3DFCA1827BE6}">
      <text>
        <r>
          <rPr>
            <b/>
            <sz val="9"/>
            <color indexed="81"/>
            <rFont val="Tahoma"/>
            <family val="2"/>
          </rPr>
          <t xml:space="preserve">Fred Bruyns:
</t>
        </r>
        <r>
          <rPr>
            <sz val="9"/>
            <color indexed="81"/>
            <rFont val="Tahoma"/>
            <family val="2"/>
          </rPr>
          <t>Descriptions in the chart to the right are used in a pull-down menu below "Great toe amputation." The percentages correspond to the extent of amputation per OAR 436-035-0140.</t>
        </r>
      </text>
    </comment>
    <comment ref="Y12" authorId="1" shapeId="0" xr:uid="{1CA7E6D7-CCA9-427B-AF0D-20E41CDE83DA}">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 in the toe is ankylosed.</t>
        </r>
      </text>
    </comment>
    <comment ref="Z12" authorId="1" shapeId="0" xr:uid="{1041DF72-65BE-49C2-8FE0-54BD1DE328D1}">
      <text>
        <r>
          <rPr>
            <b/>
            <sz val="9"/>
            <color indexed="81"/>
            <rFont val="Tahoma"/>
            <family val="2"/>
          </rPr>
          <t>Bruyns Fred H:</t>
        </r>
        <r>
          <rPr>
            <sz val="9"/>
            <color indexed="81"/>
            <rFont val="Tahoma"/>
            <family val="2"/>
          </rPr>
          <t xml:space="preserve">
Programming note: Formula applies apportionment (before combining occurs) if joint is not ankylosed but other joint in the toe is ankylosed.</t>
        </r>
      </text>
    </comment>
    <comment ref="AA12" authorId="1" shapeId="0" xr:uid="{BF309E5D-BC81-43B6-8DFB-6AD7653593F9}">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B12" authorId="1" shapeId="0" xr:uid="{73A5EF4A-B7EB-4DB1-AB95-35163292C76D}">
      <text>
        <r>
          <rPr>
            <b/>
            <sz val="9"/>
            <color indexed="81"/>
            <rFont val="Tahoma"/>
            <family val="2"/>
          </rPr>
          <t>Bruyns Fred H:</t>
        </r>
        <r>
          <rPr>
            <sz val="9"/>
            <color indexed="81"/>
            <rFont val="Tahoma"/>
            <family val="2"/>
          </rPr>
          <t xml:space="preserve">
Programming note: Formula returns "1" if only ankylosis is entered for the joints in the digit.</t>
        </r>
      </text>
    </comment>
    <comment ref="S13" authorId="1" shapeId="0" xr:uid="{77993E53-9715-4797-A1EE-22CC020666BC}">
      <text>
        <r>
          <rPr>
            <b/>
            <sz val="9"/>
            <color indexed="81"/>
            <rFont val="Tahoma"/>
            <family val="2"/>
          </rPr>
          <t>Bruyns Fred H:</t>
        </r>
        <r>
          <rPr>
            <sz val="9"/>
            <color indexed="81"/>
            <rFont val="Tahoma"/>
            <family val="2"/>
          </rPr>
          <t xml:space="preserve">
Programming note: 30 degrees of plantarflexion of IP joint is considered normal - no impairment. See OAR 436-035-0150.</t>
        </r>
      </text>
    </comment>
    <comment ref="T13" authorId="1" shapeId="0" xr:uid="{BA53F88A-790C-440C-9662-5309FCBAC3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8C514004-0DD5-4DAE-9CD0-5CF65105D91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1496F48F-4EC3-4C05-A366-26AFB2BB7A5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 authorId="1" shapeId="0" xr:uid="{C6486188-3995-4473-9B2A-A8A6943A6B3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14" authorId="1" shapeId="0" xr:uid="{3F6C76BC-EE02-48C9-B7DF-D2893AC61571}">
      <text>
        <r>
          <rPr>
            <b/>
            <sz val="9"/>
            <color indexed="81"/>
            <rFont val="Tahoma"/>
            <family val="2"/>
          </rPr>
          <t>Bruyns Fred H:</t>
        </r>
        <r>
          <rPr>
            <sz val="9"/>
            <color indexed="81"/>
            <rFont val="Tahoma"/>
            <family val="2"/>
          </rPr>
          <t xml:space="preserve">
Programming note:30 degrees of ankylosis of IP joint is considered maximum loss. See OAR 436-035-0150.</t>
        </r>
      </text>
    </comment>
    <comment ref="T14" authorId="1" shapeId="0" xr:uid="{1ABF8C2F-1103-4E7A-81EA-B3F9A48A6C4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6" authorId="1" shapeId="0" xr:uid="{AE569557-D45D-4142-A0A9-83A470F65976}">
      <text>
        <r>
          <rPr>
            <b/>
            <sz val="9"/>
            <color indexed="81"/>
            <rFont val="Tahoma"/>
            <family val="2"/>
          </rPr>
          <t>Bruyns Fred H:</t>
        </r>
        <r>
          <rPr>
            <sz val="9"/>
            <color indexed="81"/>
            <rFont val="Tahoma"/>
            <family val="2"/>
          </rPr>
          <t xml:space="preserve">
Programming note: 50 degrees of dorsiflexion of MP joint is considered normal - no impairment. See OAR 436-035-0150.</t>
        </r>
      </text>
    </comment>
    <comment ref="T16" authorId="1" shapeId="0" xr:uid="{B015BBE8-3AF4-41A0-BF25-BF9EE70ED68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6" authorId="1" shapeId="0" xr:uid="{1CB17359-217D-4D5D-B8B1-36134909D16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6" authorId="1" shapeId="0" xr:uid="{A7116A96-9778-4038-A404-CA5DC233CDD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6" authorId="1" shapeId="0" xr:uid="{FBD8E62F-04A9-4526-9C43-36508333022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E17" authorId="1" shapeId="0" xr:uid="{6CE6002E-F9B3-4F2B-AD6C-0AB4FBB9D00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 authorId="1" shapeId="0" xr:uid="{7BC9A9FD-97F4-45D6-864B-68E426064F3B}">
      <text>
        <r>
          <rPr>
            <b/>
            <sz val="9"/>
            <color indexed="81"/>
            <rFont val="Tahoma"/>
            <family val="2"/>
          </rPr>
          <t>Bruyns Fred H:</t>
        </r>
        <r>
          <rPr>
            <sz val="9"/>
            <color indexed="81"/>
            <rFont val="Tahoma"/>
            <family val="2"/>
          </rPr>
          <t xml:space="preserve">
Programming note: 50 degrees of dorsiflexion ankylosis of MP joint is considered maximum loss. See OAR 436-035-0150.</t>
        </r>
      </text>
    </comment>
    <comment ref="T17" authorId="1" shapeId="0" xr:uid="{463E5693-95D1-4CAA-8437-B576EB07C87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8" authorId="1" shapeId="0" xr:uid="{2317B1E0-37F1-49F6-9821-866680579F80}">
      <text>
        <r>
          <rPr>
            <b/>
            <sz val="9"/>
            <color indexed="81"/>
            <rFont val="Tahoma"/>
            <family val="2"/>
          </rPr>
          <t>Bruyns Fred H:</t>
        </r>
        <r>
          <rPr>
            <sz val="9"/>
            <color indexed="81"/>
            <rFont val="Tahoma"/>
            <family val="2"/>
          </rPr>
          <t xml:space="preserve">
Programming note: 30 degrees of plantarflexion of MP joint is considered normal - no impairment. See OAR 436-035-0150.</t>
        </r>
      </text>
    </comment>
    <comment ref="T18" authorId="1" shapeId="0" xr:uid="{2F80F5D2-D3CF-4260-9201-7DF18424227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8" authorId="1" shapeId="0" xr:uid="{707CBB7C-0112-4644-9330-F9DE6B621B4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8" authorId="1" shapeId="0" xr:uid="{89282390-407B-46D5-8CB2-324E8A8C26B5}">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8" authorId="1" shapeId="0" xr:uid="{ABA635B9-EAA6-426F-B35C-D37E50A36F2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8" authorId="1" shapeId="0" xr:uid="{1B7D7D12-F092-4743-AE6E-84134167E7A8}">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8" authorId="1" shapeId="0" xr:uid="{A29D1478-ADA6-4276-A4B6-A3736C50051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8" authorId="1" shapeId="0" xr:uid="{A71FA71F-83E1-4A85-AA53-1E908B8D8DC2}">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8" authorId="1" shapeId="0" xr:uid="{992A96F8-5890-45F8-A430-439E3113AE14}">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 authorId="1" shapeId="0" xr:uid="{BC4B5187-7BC2-49AB-85D5-38C487E748A1}">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9" authorId="1" shapeId="0" xr:uid="{6B0CCDBC-5C50-4420-930D-C827560FF6BD}">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436-035-0150.</t>
        </r>
      </text>
    </comment>
    <comment ref="T19" authorId="1" shapeId="0" xr:uid="{35861B61-5516-442B-89E4-143693CF3C2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20" authorId="1" shapeId="0" xr:uid="{2FEA4F6C-7AEB-4B16-8D16-B68557345A3D}">
      <text>
        <r>
          <rPr>
            <b/>
            <sz val="9"/>
            <color indexed="81"/>
            <rFont val="Tahoma"/>
            <family val="2"/>
          </rPr>
          <t>Bruyns Fred H:</t>
        </r>
        <r>
          <rPr>
            <sz val="9"/>
            <color indexed="81"/>
            <rFont val="Tahoma"/>
            <family val="2"/>
          </rPr>
          <t xml:space="preserve">
Programming note: If multiple ankylosis values, use the higher of the two.</t>
        </r>
      </text>
    </comment>
    <comment ref="S23" authorId="1" shapeId="0" xr:uid="{2E5C131E-C450-4F89-ABF7-45506E98F439}">
      <text>
        <r>
          <rPr>
            <b/>
            <sz val="9"/>
            <color indexed="81"/>
            <rFont val="Tahoma"/>
            <family val="2"/>
          </rPr>
          <t>Bruyns Fred H:</t>
        </r>
        <r>
          <rPr>
            <sz val="9"/>
            <color indexed="81"/>
            <rFont val="Tahoma"/>
            <family val="2"/>
          </rPr>
          <t xml:space="preserve">
Programming note: The descriptions of sensation loss and hypersensitivity below are used in formulas and for pull-down menus (data validation).</t>
        </r>
      </text>
    </comment>
    <comment ref="R28" authorId="1" shapeId="0" xr:uid="{08135A31-119B-4A2A-AFBC-3F4DE819C289}">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33" authorId="1" shapeId="0" xr:uid="{4C85A0E2-A7E8-4875-9058-7B0D229337DF}">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3" authorId="1" shapeId="0" xr:uid="{6B4DAE92-0B02-4466-BF7F-4FAF5A35293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3" authorId="1" shapeId="0" xr:uid="{7C259F9B-F585-4234-8D56-8B06A5DE8F0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3" authorId="1" shapeId="0" xr:uid="{50D180AA-34F6-4968-A0B5-E16F3A0746C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35" authorId="1" shapeId="0" xr:uid="{787EA586-3A5D-4232-A62C-737CD3B08554}">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45" authorId="0" shapeId="0" xr:uid="{87A53787-C861-450A-9DA7-E0214276EC28}">
      <text>
        <r>
          <rPr>
            <b/>
            <sz val="9"/>
            <color indexed="81"/>
            <rFont val="Tahoma"/>
            <family val="2"/>
          </rPr>
          <t xml:space="preserve">Fred Bruyns:
</t>
        </r>
        <r>
          <rPr>
            <sz val="9"/>
            <color indexed="81"/>
            <rFont val="Tahoma"/>
            <family val="2"/>
          </rPr>
          <t>Descriptions in the chart to the right are used in a pull-down menu below "Second toe amputation." The percentages correspond to the extent of amputation per OAR 436-035-0140.</t>
        </r>
      </text>
    </comment>
    <comment ref="R49" authorId="1" shapeId="0" xr:uid="{CEE412C7-3B6F-4C4E-8BDA-64D3D812AEB0}">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53" authorId="1" shapeId="0" xr:uid="{A7987C32-AC3A-46E6-93E3-6232044F40C0}">
      <text>
        <r>
          <rPr>
            <b/>
            <sz val="9"/>
            <color indexed="81"/>
            <rFont val="Tahoma"/>
            <family val="2"/>
          </rPr>
          <t>Bruyns Fred H:</t>
        </r>
        <r>
          <rPr>
            <sz val="9"/>
            <color indexed="81"/>
            <rFont val="Tahoma"/>
            <family val="2"/>
          </rPr>
          <t xml:space="preserve">
Programming note: Formula returns "1" if ankylosis present in toe.</t>
        </r>
      </text>
    </comment>
    <comment ref="Z53" authorId="1" shapeId="0" xr:uid="{E2E35E60-6115-4928-AF0B-20959AE7FB29}">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53" authorId="1" shapeId="0" xr:uid="{A71B0565-DFA0-4507-A8AE-B199C26CB741}">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54" authorId="1" shapeId="0" xr:uid="{BD0A53AB-7742-4820-8F0E-6D8FB59EA579}">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54" authorId="1" shapeId="0" xr:uid="{57CD85B9-B4F4-4727-B5C5-B504AC48030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4" authorId="1" shapeId="0" xr:uid="{23521C79-76CC-4A8A-BC4F-48CB12E552C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4" authorId="1" shapeId="0" xr:uid="{179668D2-AAD2-4DCA-B896-7717276F95B4}">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4" authorId="1" shapeId="0" xr:uid="{C0423F7A-5D98-40DE-A110-DB060C667A1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55" authorId="1" shapeId="0" xr:uid="{A4418BE6-97D8-4D07-A9EF-517712903AFD}">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5" authorId="1" shapeId="0" xr:uid="{39631BB7-E20C-466F-A6C9-6BF36E6969B8}">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55" authorId="1" shapeId="0" xr:uid="{2AD8860D-5C51-4603-A14A-05EE9A1E97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56" authorId="1" shapeId="0" xr:uid="{D3988183-34FB-4288-8584-0197D1F26A2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56" authorId="1" shapeId="0" xr:uid="{3995109B-DA1A-4075-B394-C5D9C618FDF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56" authorId="1" shapeId="0" xr:uid="{DD97A96D-EAB8-4105-98DE-87D7D129891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56" authorId="1" shapeId="0" xr:uid="{A0444F4A-A1F8-49F3-B49D-16378F9B671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56" authorId="1" shapeId="0" xr:uid="{E332ED1B-A6AB-45DD-907E-E1FE32918F8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56" authorId="1" shapeId="0" xr:uid="{919CE03C-AAF3-4A65-96E4-411D80204C61}">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56" authorId="1" shapeId="0" xr:uid="{63A8D484-4051-4DE7-A32E-00057A0D5F9D}">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56" authorId="1" shapeId="0" xr:uid="{7A907ADE-9D33-46D9-8B7E-0CF93E0CDAF7}">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56" authorId="1" shapeId="0" xr:uid="{F23F50A6-CA62-4092-AEA6-CDCE92EB06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57" authorId="1" shapeId="0" xr:uid="{83E9386F-98F6-4538-80DA-E497562F161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57" authorId="1" shapeId="0" xr:uid="{24ECE9ED-08FF-4B9A-B537-A7E79BE18391}">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57" authorId="1" shapeId="0" xr:uid="{BB7A5C56-D223-4826-A5DB-6AD3D5AC47D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58" authorId="1" shapeId="0" xr:uid="{ACB47A1C-21F2-4703-8723-8AF66C9341BF}">
      <text>
        <r>
          <rPr>
            <b/>
            <sz val="9"/>
            <color indexed="81"/>
            <rFont val="Tahoma"/>
            <family val="2"/>
          </rPr>
          <t>Bruyns Fred H:</t>
        </r>
        <r>
          <rPr>
            <sz val="9"/>
            <color indexed="81"/>
            <rFont val="Tahoma"/>
            <family val="2"/>
          </rPr>
          <t xml:space="preserve">
Programming note: If multiple ankylosis values, use the higher of the two.</t>
        </r>
      </text>
    </comment>
    <comment ref="R66" authorId="1" shapeId="0" xr:uid="{DA76D83F-C6EB-4BAA-8458-BCE202786904}">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72" authorId="1" shapeId="0" xr:uid="{D0C3E214-C13F-4765-AA4C-86861A87A0F7}">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72" authorId="1" shapeId="0" xr:uid="{A5A297BF-EEBA-4A38-9AD2-DE14411E54E8}">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72" authorId="1" shapeId="0" xr:uid="{23860645-3253-409D-854D-10049B9DA5E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72" authorId="1" shapeId="0" xr:uid="{0C56B86F-5D6F-47D8-A06B-8A018E13016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74" authorId="1" shapeId="0" xr:uid="{83176A2D-AEBA-4F3D-B856-AD2F80240C18}">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85" authorId="0" shapeId="0" xr:uid="{28CB0BA2-5E2D-413A-B784-26F54283BA1D}">
      <text>
        <r>
          <rPr>
            <b/>
            <sz val="9"/>
            <color indexed="81"/>
            <rFont val="Tahoma"/>
            <family val="2"/>
          </rPr>
          <t xml:space="preserve">Fred Bruyns:
</t>
        </r>
        <r>
          <rPr>
            <sz val="9"/>
            <color indexed="81"/>
            <rFont val="Tahoma"/>
            <family val="2"/>
          </rPr>
          <t>Descriptions in the chart to the right are used in a pull-down menu below "Third toe amputation." The percentages correspond to the extent of amputation per OAR 436-035-0140.</t>
        </r>
      </text>
    </comment>
    <comment ref="R89" authorId="1" shapeId="0" xr:uid="{7A609CB4-914B-4030-9932-8EEDDAAF000B}">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93" authorId="1" shapeId="0" xr:uid="{68972742-0EF0-4B92-A1BD-6ACD996BF935}">
      <text>
        <r>
          <rPr>
            <b/>
            <sz val="9"/>
            <color indexed="81"/>
            <rFont val="Tahoma"/>
            <family val="2"/>
          </rPr>
          <t>Bruyns Fred H:</t>
        </r>
        <r>
          <rPr>
            <sz val="9"/>
            <color indexed="81"/>
            <rFont val="Tahoma"/>
            <family val="2"/>
          </rPr>
          <t xml:space="preserve">
Programming note: Formula returns "1" if ankylosis present in toe.</t>
        </r>
      </text>
    </comment>
    <comment ref="Z93" authorId="1" shapeId="0" xr:uid="{0A38EAF8-AC47-40C2-B59C-57CEF1CFEC47}">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93" authorId="1" shapeId="0" xr:uid="{036CD5B6-4496-4691-99BE-6D402C40BD08}">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94" authorId="1" shapeId="0" xr:uid="{50EA894C-1FE4-4FC1-B03C-A57242D0B992}">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94" authorId="1" shapeId="0" xr:uid="{E3048E0D-E23E-4E53-9938-73CABCE9D1E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4" authorId="1" shapeId="0" xr:uid="{446CF011-D5C8-4ED6-8C5C-475F2F89173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4" authorId="1" shapeId="0" xr:uid="{3E47A252-FEB5-498E-AE1E-956EE9739EC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4" authorId="1" shapeId="0" xr:uid="{00C04CDB-1BC8-45A1-927D-38E2055E0499}">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95" authorId="1" shapeId="0" xr:uid="{3C5ADF16-43F4-4A02-AFE4-B4AC9DB26F6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5" authorId="1" shapeId="0" xr:uid="{7F022081-551E-44F4-9355-1D713CF8C4E9}">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95" authorId="1" shapeId="0" xr:uid="{0123AFB8-DA41-46C3-986D-06F890C3FCC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6" authorId="1" shapeId="0" xr:uid="{910A0E5C-A834-4312-9E67-7872D6520B3B}">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96" authorId="1" shapeId="0" xr:uid="{E68B4221-E62B-4F8A-8213-D72EEABA7DC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6" authorId="1" shapeId="0" xr:uid="{7E45D4D8-6577-4575-A712-3582C9E65332}">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6" authorId="1" shapeId="0" xr:uid="{79D23903-B32E-4B4F-8331-B9ACD78A4853}">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96" authorId="1" shapeId="0" xr:uid="{78B0D8AE-F849-4897-8771-344FFAAD03D7}">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96" authorId="1" shapeId="0" xr:uid="{EFEE6E82-1533-4D1E-A8A6-4160D8EF91C3}">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96" authorId="1" shapeId="0" xr:uid="{DBA9AF7D-1615-429B-885C-F86E0CC5350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96" authorId="1" shapeId="0" xr:uid="{668290E3-8BDB-46B0-AAF7-4CB2C2E1BDE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96" authorId="1" shapeId="0" xr:uid="{E9E6B46F-20AD-4D7D-84C4-AD5CE48148B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97" authorId="1" shapeId="0" xr:uid="{4BC98656-6ABA-4DB6-A2E7-A4F11245D7D8}">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97" authorId="1" shapeId="0" xr:uid="{41C3630B-B5C8-4A5B-9D4E-C5112E2662C4}">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97" authorId="1" shapeId="0" xr:uid="{998A838A-48D9-46E0-BAA1-DAD60648DB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98" authorId="1" shapeId="0" xr:uid="{90ADA2EB-64B9-4711-8321-9F19FC8967F1}">
      <text>
        <r>
          <rPr>
            <b/>
            <sz val="9"/>
            <color indexed="81"/>
            <rFont val="Tahoma"/>
            <family val="2"/>
          </rPr>
          <t>Bruyns Fred H:</t>
        </r>
        <r>
          <rPr>
            <sz val="9"/>
            <color indexed="81"/>
            <rFont val="Tahoma"/>
            <family val="2"/>
          </rPr>
          <t xml:space="preserve">
Programming note: If multiple ankylosis values, use the higher of the two.</t>
        </r>
      </text>
    </comment>
    <comment ref="R106" authorId="1" shapeId="0" xr:uid="{D4666C28-5954-4966-8F52-9E20A4FE6D33}">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12" authorId="1" shapeId="0" xr:uid="{ADAA908B-60F8-4BF2-8861-0FA752B7FF0B}">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12" authorId="1" shapeId="0" xr:uid="{D975E870-9F86-4155-8B7B-A69DB830884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12" authorId="1" shapeId="0" xr:uid="{D04C1039-6CDB-44F7-8E43-7FB17D9CA870}">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12" authorId="1" shapeId="0" xr:uid="{4A50A092-3E4E-4B6B-8CD0-10B17E47D0EC}">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14" authorId="1" shapeId="0" xr:uid="{21826BE4-F336-48BE-B62A-FE4B13295DC5}">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25" authorId="0" shapeId="0" xr:uid="{B9A91A8F-13CF-494E-8B6F-987B4D66D0AD}">
      <text>
        <r>
          <rPr>
            <b/>
            <sz val="9"/>
            <color indexed="81"/>
            <rFont val="Tahoma"/>
            <family val="2"/>
          </rPr>
          <t xml:space="preserve">Fred Bruyns:
</t>
        </r>
        <r>
          <rPr>
            <sz val="9"/>
            <color indexed="81"/>
            <rFont val="Tahoma"/>
            <family val="2"/>
          </rPr>
          <t>Descriptions in the chart to the right are used in a pull-down menu below Fourth toe amputation." The percentages correspond to the extent of amputation per OAR 436-035-0140.</t>
        </r>
      </text>
    </comment>
    <comment ref="R129" authorId="1" shapeId="0" xr:uid="{93FF48A4-63FF-4756-9D03-C38730646A58}">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133" authorId="1" shapeId="0" xr:uid="{FCF2DFAF-ADC8-4432-9252-E5CF570698B1}">
      <text>
        <r>
          <rPr>
            <b/>
            <sz val="9"/>
            <color indexed="81"/>
            <rFont val="Tahoma"/>
            <family val="2"/>
          </rPr>
          <t>Bruyns Fred H:</t>
        </r>
        <r>
          <rPr>
            <sz val="9"/>
            <color indexed="81"/>
            <rFont val="Tahoma"/>
            <family val="2"/>
          </rPr>
          <t xml:space="preserve">
Programming note: Formula returns "1" if ankylosis present in toe.</t>
        </r>
      </text>
    </comment>
    <comment ref="Z133" authorId="1" shapeId="0" xr:uid="{B6BDEBE5-F990-424C-9E9F-0CD79F5EA401}">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133" authorId="1" shapeId="0" xr:uid="{5E6E11C0-2C01-476D-AAC0-F3BA7E4F06E6}">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134" authorId="1" shapeId="0" xr:uid="{17582BBC-850E-46BD-9A5C-56CBE7A27555}">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34" authorId="1" shapeId="0" xr:uid="{FEC4C47B-FE4B-4C1C-B1F6-71092C6B07B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4" authorId="1" shapeId="0" xr:uid="{73ABA7E6-77D8-4155-8F91-EF4DE52A825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4" authorId="1" shapeId="0" xr:uid="{530FC712-A174-4A27-A1B3-2B5EEA21CB54}">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4" authorId="1" shapeId="0" xr:uid="{3EDA408B-11B3-45E2-AFEF-03114A7A6BF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35" authorId="1" shapeId="0" xr:uid="{13FF1C72-CC39-4D87-98D7-84D3C10227CF}">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5" authorId="1" shapeId="0" xr:uid="{D390991C-CA93-4134-A39D-3489C41890B4}">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35" authorId="1" shapeId="0" xr:uid="{B0D0098F-261C-47D7-B6C3-79B508BCEB1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6" authorId="1" shapeId="0" xr:uid="{355563F3-9CC9-4211-9E6C-132BAA9C10EC}">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36" authorId="1" shapeId="0" xr:uid="{6403B8D5-34C2-43DA-BBC9-1CF5D2CEAB1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6" authorId="1" shapeId="0" xr:uid="{198E720A-8B71-4CB4-B0B1-58B11ED72CB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6" authorId="1" shapeId="0" xr:uid="{D7A7A928-76CC-4BD6-A2DF-BB1C67F19632}">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36" authorId="1" shapeId="0" xr:uid="{6A6F2C67-F12C-4ECF-A74B-ACAC76D927C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36" authorId="1" shapeId="0" xr:uid="{4CAB3CA7-2E89-4FF8-A270-E9D31C7B032E}">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36" authorId="1" shapeId="0" xr:uid="{DF720284-E708-48C6-A6B8-A029E186EF13}">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36" authorId="1" shapeId="0" xr:uid="{6F11AB81-01AB-40AE-9D1B-3BD457F3119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36" authorId="1" shapeId="0" xr:uid="{7454D018-C57E-4842-A840-FD4E9D7470C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37" authorId="1" shapeId="0" xr:uid="{7DDA6ECB-8FD4-484C-8F85-6AC9F412074A}">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37" authorId="1" shapeId="0" xr:uid="{EF5EDE3E-A5A9-4CFB-A345-A21E11CE7CC2}">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37" authorId="1" shapeId="0" xr:uid="{C8745775-02DC-4C52-9C2E-08BAA45A76F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138" authorId="1" shapeId="0" xr:uid="{150B8B76-900D-43ED-947D-93047E8FC6D1}">
      <text>
        <r>
          <rPr>
            <b/>
            <sz val="9"/>
            <color indexed="81"/>
            <rFont val="Tahoma"/>
            <family val="2"/>
          </rPr>
          <t>Bruyns Fred H:</t>
        </r>
        <r>
          <rPr>
            <sz val="9"/>
            <color indexed="81"/>
            <rFont val="Tahoma"/>
            <family val="2"/>
          </rPr>
          <t xml:space="preserve">
Programming note: If multiple ankylosis values, use the higher of the two.</t>
        </r>
      </text>
    </comment>
    <comment ref="R146" authorId="1" shapeId="0" xr:uid="{DD5874A4-9FE0-4BCA-92EB-7142EB8005F0}">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52" authorId="1" shapeId="0" xr:uid="{4630F229-D5FE-4568-AD0C-C37417E7FF2F}">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52" authorId="1" shapeId="0" xr:uid="{27D558A1-7281-4EDC-8407-E726278FCDE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52" authorId="1" shapeId="0" xr:uid="{0EA6DD33-145D-4CC7-AFDC-484FE02D08D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V152" authorId="1" shapeId="0" xr:uid="{54275A04-4EFB-4BD2-9385-8B3C5E5FF652}">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54" authorId="1" shapeId="0" xr:uid="{D82197CB-7D85-4594-891C-411D33D71195}">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T165" authorId="0" shapeId="0" xr:uid="{2EF8ED40-CBC8-4023-BBA0-A9B1756130BC}">
      <text>
        <r>
          <rPr>
            <b/>
            <sz val="9"/>
            <color indexed="81"/>
            <rFont val="Tahoma"/>
            <family val="2"/>
          </rPr>
          <t xml:space="preserve">Fred Bruyns:
</t>
        </r>
        <r>
          <rPr>
            <sz val="9"/>
            <color indexed="81"/>
            <rFont val="Tahoma"/>
            <family val="2"/>
          </rPr>
          <t>Descriptions in the chart to the right are used in a pull-down menu below Fifth toe amputation." The percentages correspond to the extent of amputation per OAR 436-035-0140.</t>
        </r>
      </text>
    </comment>
    <comment ref="R169" authorId="1" shapeId="0" xr:uid="{640874A2-F010-4E19-B3D9-E63E14EBC33E}">
      <text>
        <r>
          <rPr>
            <b/>
            <sz val="9"/>
            <color indexed="81"/>
            <rFont val="Tahoma"/>
            <family val="2"/>
          </rPr>
          <t>Bruyns Fred H:</t>
        </r>
        <r>
          <rPr>
            <sz val="9"/>
            <color indexed="81"/>
            <rFont val="Tahoma"/>
            <family val="2"/>
          </rPr>
          <t xml:space="preserve">
Programming note: The chart at the right includes anklylosis descriptions used in pull-down menus in the chart at the left - data validation.</t>
        </r>
      </text>
    </comment>
    <comment ref="Y173" authorId="1" shapeId="0" xr:uid="{ED943456-0195-4092-8A54-677A73C8F5DD}">
      <text>
        <r>
          <rPr>
            <b/>
            <sz val="9"/>
            <color indexed="81"/>
            <rFont val="Tahoma"/>
            <family val="2"/>
          </rPr>
          <t>Bruyns Fred H:</t>
        </r>
        <r>
          <rPr>
            <sz val="9"/>
            <color indexed="81"/>
            <rFont val="Tahoma"/>
            <family val="2"/>
          </rPr>
          <t xml:space="preserve">
Programming note: Formula returns "1" if ankylosis present in toe.</t>
        </r>
      </text>
    </comment>
    <comment ref="Z173" authorId="1" shapeId="0" xr:uid="{8C42631D-571E-4F5E-B74E-311D9401FBE0}">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AA173" authorId="1" shapeId="0" xr:uid="{B1D94736-A01C-42D2-9C44-3EE425AE3D8F}">
      <text>
        <r>
          <rPr>
            <b/>
            <sz val="9"/>
            <color indexed="81"/>
            <rFont val="Tahoma"/>
            <family val="2"/>
          </rPr>
          <t>Bruyns Fred H:</t>
        </r>
        <r>
          <rPr>
            <sz val="9"/>
            <color indexed="81"/>
            <rFont val="Tahoma"/>
            <family val="2"/>
          </rPr>
          <t xml:space="preserve">
Programming note: Formula applies apportionment after combining if ankylosis is not present in the toe.</t>
        </r>
      </text>
    </comment>
    <comment ref="S174" authorId="1" shapeId="0" xr:uid="{59E7D466-75A9-43A2-95D1-51CF19428C29}">
      <text>
        <r>
          <rPr>
            <b/>
            <sz val="9"/>
            <color indexed="81"/>
            <rFont val="Tahoma"/>
            <family val="2"/>
          </rPr>
          <t>Bruyns Fred H:</t>
        </r>
        <r>
          <rPr>
            <sz val="9"/>
            <color indexed="81"/>
            <rFont val="Tahoma"/>
            <family val="2"/>
          </rPr>
          <t xml:space="preserve">
Programming note: 40 degrees of dorsiflexion (extension) of MP joint is considered normal - no impairment. See OAR 436-035-0160.</t>
        </r>
      </text>
    </comment>
    <comment ref="T174" authorId="1" shapeId="0" xr:uid="{BA7B0F37-86C2-4311-978C-15ACCACC0A5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4" authorId="1" shapeId="0" xr:uid="{28933383-DBE7-46A8-9963-8B4E447B7EF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4" authorId="1" shapeId="0" xr:uid="{5591302D-1552-48EF-B06C-B94D05883A7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4" authorId="1" shapeId="0" xr:uid="{2A59CB27-CF7F-41C7-A618-D36D621168A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E175" authorId="1" shapeId="0" xr:uid="{E3E7EAB0-D118-43DB-900B-5CF1AA13D92E}">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5" authorId="1" shapeId="0" xr:uid="{3B9F63F7-C15C-46C4-8420-5BC4B784ACB9}">
      <text>
        <r>
          <rPr>
            <b/>
            <sz val="9"/>
            <color indexed="81"/>
            <rFont val="Tahoma"/>
            <family val="2"/>
          </rPr>
          <t>Bruyns Fred H:</t>
        </r>
        <r>
          <rPr>
            <sz val="9"/>
            <color indexed="81"/>
            <rFont val="Tahoma"/>
            <family val="2"/>
          </rPr>
          <t xml:space="preserve">
Programming note: 40 degrees of dorsiflexion ankylosis of MP joint is considered maximum loss. See OAR 436-035-0160.</t>
        </r>
      </text>
    </comment>
    <comment ref="T175" authorId="1" shapeId="0" xr:uid="{D7B0E293-9EF4-43AC-AB28-4751672FAC6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6" authorId="1" shapeId="0" xr:uid="{373EA1A3-D6C9-4E38-9243-3080C01A401A}">
      <text>
        <r>
          <rPr>
            <b/>
            <sz val="9"/>
            <color indexed="81"/>
            <rFont val="Tahoma"/>
            <family val="2"/>
          </rPr>
          <t>Bruyns Fred H:</t>
        </r>
        <r>
          <rPr>
            <sz val="9"/>
            <color indexed="81"/>
            <rFont val="Tahoma"/>
            <family val="2"/>
          </rPr>
          <t xml:space="preserve">
Programming note: 30 degrees of plantarflexion of MP joint is considered normal - no impairment. See OAR 436-035-0160.</t>
        </r>
      </text>
    </comment>
    <comment ref="T176" authorId="1" shapeId="0" xr:uid="{1854D745-67F4-4EC7-9A8B-3827909B86B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6" authorId="1" shapeId="0" xr:uid="{E8183D4F-87EF-472F-8551-0101F853E4A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6" authorId="1" shapeId="0" xr:uid="{D4743A14-070D-42C9-A0B8-4BC44217A17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176" authorId="1" shapeId="0" xr:uid="{38F89D91-F0E9-47A7-87B8-77F2A6DA845B}">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Y176" authorId="1" shapeId="0" xr:uid="{DB82E9B8-2C2F-464C-9E16-0D55FF737F3A}">
      <text>
        <r>
          <rPr>
            <b/>
            <sz val="9"/>
            <color indexed="81"/>
            <rFont val="Tahoma"/>
            <family val="2"/>
          </rPr>
          <t>Bruyns Fred H:</t>
        </r>
        <r>
          <rPr>
            <sz val="9"/>
            <color indexed="81"/>
            <rFont val="Tahoma"/>
            <family val="2"/>
          </rPr>
          <t xml:space="preserve">
Programming note: These impairment values are carred in from joint totals in Column P.</t>
        </r>
      </text>
    </comment>
    <comment ref="Z176" authorId="1" shapeId="0" xr:uid="{61855FDB-A8D5-40E1-9E2E-B1E4ABDF5946}">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A176" authorId="1" shapeId="0" xr:uid="{22D63E4C-DEA6-4D86-BB89-3A655590213E}">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B176" authorId="1" shapeId="0" xr:uid="{7D5558BC-2B72-40A4-B982-80C2B0057B3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77" authorId="1" shapeId="0" xr:uid="{B82B1922-7C2C-4A6B-B6BE-E5AC5AE78D64}">
      <text>
        <r>
          <rPr>
            <b/>
            <sz val="9"/>
            <color indexed="81"/>
            <rFont val="Tahoma"/>
            <family val="2"/>
          </rPr>
          <t>Bruyns Fred H:</t>
        </r>
        <r>
          <rPr>
            <sz val="9"/>
            <color indexed="81"/>
            <rFont val="Tahoma"/>
            <family val="2"/>
          </rPr>
          <t xml:space="preserve">
Programming note: This formula checks to see if both ROM and ankylosis are entered in error, as both cannot be present in the joint. </t>
        </r>
      </text>
    </comment>
    <comment ref="S177" authorId="1" shapeId="0" xr:uid="{E8B72DAC-71DA-4703-8E6A-5C9481CA3036}">
      <text>
        <r>
          <rPr>
            <b/>
            <sz val="9"/>
            <color indexed="81"/>
            <rFont val="Tahoma"/>
            <family val="2"/>
          </rPr>
          <t>Bruyns Fred H:</t>
        </r>
        <r>
          <rPr>
            <sz val="9"/>
            <color indexed="81"/>
            <rFont val="Tahoma"/>
            <family val="2"/>
          </rPr>
          <t xml:space="preserve">
Programming note: 30 degrees of plantarflexion ankylosis of MP joint is considered maximum loss. See OAR 436-035-0160.</t>
        </r>
      </text>
    </comment>
    <comment ref="T177" authorId="1" shapeId="0" xr:uid="{219B38AF-98D0-4F22-8CB9-96FDF860303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W178" authorId="1" shapeId="0" xr:uid="{57E69C1F-8CEF-4D8C-A871-64C432475CE5}">
      <text>
        <r>
          <rPr>
            <b/>
            <sz val="9"/>
            <color indexed="81"/>
            <rFont val="Tahoma"/>
            <family val="2"/>
          </rPr>
          <t>Bruyns Fred H:</t>
        </r>
        <r>
          <rPr>
            <sz val="9"/>
            <color indexed="81"/>
            <rFont val="Tahoma"/>
            <family val="2"/>
          </rPr>
          <t xml:space="preserve">
Programming note: If multiple ankylosis values, use the higher of the two.</t>
        </r>
      </text>
    </comment>
    <comment ref="R186" authorId="1" shapeId="0" xr:uid="{BEC77392-6C51-41DC-B05C-7893AD4632B9}">
      <text>
        <r>
          <rPr>
            <b/>
            <sz val="9"/>
            <color indexed="81"/>
            <rFont val="Tahoma"/>
            <family val="2"/>
          </rPr>
          <t>Bruyns Fred H:</t>
        </r>
        <r>
          <rPr>
            <sz val="9"/>
            <color indexed="81"/>
            <rFont val="Tahoma"/>
            <family val="2"/>
          </rPr>
          <t xml:space="preserve">
Programming note: The classes listed at the right are used in a pull-down menu on the chart to the left.</t>
        </r>
      </text>
    </comment>
    <comment ref="S192" authorId="1" shapeId="0" xr:uid="{3BF916C5-2A1A-4B1F-9BAC-6798C3A06FD4}">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192" authorId="1" shapeId="0" xr:uid="{66271E98-80F7-49FB-A278-D6590247D809}">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192" authorId="1" shapeId="0" xr:uid="{68542D30-BDB2-4711-A1F6-7CEFBDA5AAE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192" authorId="1" shapeId="0" xr:uid="{39351E59-22A6-493B-BA11-8F182218C00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E194" authorId="1" shapeId="0" xr:uid="{098E27AC-1207-48C8-8E82-845EF0621EF2}">
      <text>
        <r>
          <rPr>
            <b/>
            <sz val="9"/>
            <color indexed="81"/>
            <rFont val="Tahoma"/>
            <family val="2"/>
          </rPr>
          <t>Bruyns Fred H:</t>
        </r>
        <r>
          <rPr>
            <sz val="9"/>
            <color indexed="81"/>
            <rFont val="Tahoma"/>
            <family val="2"/>
          </rPr>
          <t xml:space="preserve">
Programming note: Formula will return "0" if motor loss is entered for leg. ROM is not rated if the worker suffers motor loss.</t>
        </r>
      </text>
    </comment>
    <comment ref="R207" authorId="1" shapeId="0" xr:uid="{33F02449-C344-41CC-8C70-E2918F522E93}">
      <text>
        <r>
          <rPr>
            <b/>
            <sz val="9"/>
            <color indexed="81"/>
            <rFont val="Tahoma"/>
            <family val="2"/>
          </rPr>
          <t>Bruyns Fred H:</t>
        </r>
        <r>
          <rPr>
            <sz val="9"/>
            <color indexed="81"/>
            <rFont val="Tahoma"/>
            <family val="2"/>
          </rPr>
          <t xml:space="preserve">
Programming note: The chart at the right is used for a pull-down menu under "Amputation of the right foot."</t>
        </r>
      </text>
    </comment>
    <comment ref="P208" authorId="1" shapeId="0" xr:uid="{02DF5986-028C-4877-A03F-C8B3375C8849}">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09" authorId="1" shapeId="0" xr:uid="{5830226F-17E4-4145-8AE3-6CC2E98C00D6}">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0" authorId="1" shapeId="0" xr:uid="{9E91DB44-838D-4DA3-891E-0DC0E2A4132E}">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1" authorId="1" shapeId="0" xr:uid="{47CD49D6-654C-41A6-A288-7A6D30F837DC}">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T211" authorId="1" shapeId="0" xr:uid="{E497BE38-203B-47A7-8E4B-244A780BD797}">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metatarsal amputation data. </t>
        </r>
      </text>
    </comment>
    <comment ref="P212" authorId="1" shapeId="0" xr:uid="{047464CB-7BD6-4DB7-871D-A670F492C7C5}">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metatarsal impairment will be zero.</t>
        </r>
      </text>
    </comment>
    <comment ref="P215" authorId="1" shapeId="0" xr:uid="{DF6CE9EE-F508-445C-A830-BDFB29448D7C}">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6" authorId="1" shapeId="0" xr:uid="{C0B1C675-E23B-42A3-A578-177084183371}">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7" authorId="1" shapeId="0" xr:uid="{3328E54F-D312-4681-A24A-49A7C3AB8B92}">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P218" authorId="1" shapeId="0" xr:uid="{7F6F9AA3-C025-4013-A26B-8E783062A0D9}">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T218" authorId="1" shapeId="0" xr:uid="{CE71BFDD-93D4-4C09-998F-4ED6CA82CA13}">
      <text>
        <r>
          <rPr>
            <b/>
            <sz val="9"/>
            <color indexed="81"/>
            <rFont val="Tahoma"/>
            <family val="2"/>
          </rPr>
          <t>Bruyns Fred H:</t>
        </r>
        <r>
          <rPr>
            <sz val="9"/>
            <color indexed="81"/>
            <rFont val="Tahoma"/>
            <family val="2"/>
          </rPr>
          <t xml:space="preserve">
Programming note: If formula returns "1," then formulas in the chart at the left return error messages if foot amputation value conflicts with tarsometatarsal amputation data. </t>
        </r>
      </text>
    </comment>
    <comment ref="P219" authorId="1" shapeId="0" xr:uid="{D3B25847-C6B4-44A8-B8B0-F0B2EDF3ACE0}">
      <text>
        <r>
          <rPr>
            <b/>
            <sz val="9"/>
            <color indexed="81"/>
            <rFont val="Tahoma"/>
            <family val="2"/>
          </rPr>
          <t>Bruyns Fred H:</t>
        </r>
        <r>
          <rPr>
            <sz val="9"/>
            <color indexed="81"/>
            <rFont val="Tahoma"/>
            <family val="2"/>
          </rPr>
          <t xml:space="preserve">
Programming note: Formula first checks for value greater than zero in foot amputation entry, and if foot amputation is entered, tarsometatarsal impairment will be zero.</t>
        </r>
      </text>
    </comment>
    <comment ref="Y221" authorId="1" shapeId="0" xr:uid="{23B847A5-FA3F-4AA3-92EA-61F9C40CF973}">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1" authorId="1" shapeId="0" xr:uid="{4B51119D-0369-4CE4-A9C3-4DE6976D10AF}">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R222" authorId="1" shapeId="0" xr:uid="{F95C9F40-CC36-4800-8B7A-55BE883A3265}">
      <text>
        <r>
          <rPr>
            <b/>
            <sz val="9"/>
            <color indexed="81"/>
            <rFont val="Tahoma"/>
            <family val="2"/>
          </rPr>
          <t>Bruyns Fred H:</t>
        </r>
        <r>
          <rPr>
            <sz val="9"/>
            <color indexed="81"/>
            <rFont val="Tahoma"/>
            <family val="2"/>
          </rPr>
          <t xml:space="preserve">
Programming note: This is the sum of impairment for ROM loss in the riight foot.</t>
        </r>
      </text>
    </comment>
    <comment ref="S222" authorId="1" shapeId="0" xr:uid="{501451D1-9F8A-40D1-9E14-864324A026C9}">
      <text>
        <r>
          <rPr>
            <b/>
            <sz val="9"/>
            <color indexed="81"/>
            <rFont val="Tahoma"/>
            <family val="2"/>
          </rPr>
          <t>Bruyns Fred H:</t>
        </r>
        <r>
          <rPr>
            <sz val="9"/>
            <color indexed="81"/>
            <rFont val="Tahoma"/>
            <family val="2"/>
          </rPr>
          <t xml:space="preserve">
Programming note: 30 degrees of subtalar inversion of the foot is considered normal - no impairment. See OAR 436-035-0190.</t>
        </r>
      </text>
    </comment>
    <comment ref="T222" authorId="1" shapeId="0" xr:uid="{9CAB2F61-F716-4A2C-A853-229951900BE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2" authorId="1" shapeId="0" xr:uid="{1796218C-2730-431E-9C06-6EB700C1C6B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2" authorId="1" shapeId="0" xr:uid="{FEBE09CA-54F1-4902-9311-D7F2A346B167}">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2" authorId="1" shapeId="0" xr:uid="{0929706D-AB13-4358-9FC6-331C0AC3288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R223" authorId="1" shapeId="0" xr:uid="{011622FF-48F8-4CAD-9647-125582EEA2C8}">
      <text>
        <r>
          <rPr>
            <b/>
            <sz val="9"/>
            <color indexed="81"/>
            <rFont val="Tahoma"/>
            <family val="2"/>
          </rPr>
          <t>Bruyns Fred H:</t>
        </r>
        <r>
          <rPr>
            <sz val="9"/>
            <color indexed="81"/>
            <rFont val="Tahoma"/>
            <family val="2"/>
          </rPr>
          <t xml:space="preserve">
Programming note: This formula prevents apportionment if there is ankylosis, because "hard findings," such as ankylosis, cannot be apportioned. If ankylosis of joint occurs, the full value of the loss is used.</t>
        </r>
      </text>
    </comment>
    <comment ref="S223" authorId="1" shapeId="0" xr:uid="{069174B5-4736-4E34-9DFE-89F5B721C0EA}">
      <text>
        <r>
          <rPr>
            <b/>
            <sz val="9"/>
            <color indexed="81"/>
            <rFont val="Tahoma"/>
            <family val="2"/>
          </rPr>
          <t>Bruyns Fred H:</t>
        </r>
        <r>
          <rPr>
            <sz val="9"/>
            <color indexed="81"/>
            <rFont val="Tahoma"/>
            <family val="2"/>
          </rPr>
          <t xml:space="preserve">
Programming note: 30 degrees of inversion ankylosis of the foot is considered maximum loss. See OAR 436-035-0190.</t>
        </r>
      </text>
    </comment>
    <comment ref="T223" authorId="1" shapeId="0" xr:uid="{E1518EC2-A5C4-44FD-8B39-21674DFD9C2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224" authorId="1" shapeId="0" xr:uid="{43A1CDDA-7203-49B9-93C6-196BDEB917A3}">
      <text>
        <r>
          <rPr>
            <b/>
            <sz val="9"/>
            <color indexed="81"/>
            <rFont val="Tahoma"/>
            <family val="2"/>
          </rPr>
          <t>Bruyns Fred H:</t>
        </r>
        <r>
          <rPr>
            <sz val="9"/>
            <color indexed="81"/>
            <rFont val="Tahoma"/>
            <family val="2"/>
          </rPr>
          <t xml:space="preserve">
Programming note: 20 degrees of subtalar eversion of the foot is considered normal - no impairment. See OAR 436-035-0190.</t>
        </r>
      </text>
    </comment>
    <comment ref="T224" authorId="1" shapeId="0" xr:uid="{C25ECC66-B249-48AB-A3F6-9B4DAB86695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224" authorId="1" shapeId="0" xr:uid="{DFB8D501-8A2A-4AB7-93A3-6D953A17BC3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4" authorId="1" shapeId="0" xr:uid="{22C227F4-9947-4131-A1AC-2F742A755F0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4" authorId="1" shapeId="0" xr:uid="{963E3E5F-31CC-4E36-BA60-FDE4D1866ACF}">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S225" authorId="1" shapeId="0" xr:uid="{298A7E4D-9C67-438A-ADEE-01731A8DD1B3}">
      <text>
        <r>
          <rPr>
            <b/>
            <sz val="9"/>
            <color indexed="81"/>
            <rFont val="Tahoma"/>
            <family val="2"/>
          </rPr>
          <t>Bruyns Fred H:</t>
        </r>
        <r>
          <rPr>
            <sz val="9"/>
            <color indexed="81"/>
            <rFont val="Tahoma"/>
            <family val="2"/>
          </rPr>
          <t xml:space="preserve">
Programming note: 20 degrees of subtalar eversion of the foot is considered maximum loss. See OAR 436-035-0190.</t>
        </r>
      </text>
    </comment>
    <comment ref="T225" authorId="1" shapeId="0" xr:uid="{4CD05557-ECD1-401F-8EB1-B13821F1B8A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226" authorId="1" shapeId="0" xr:uid="{5B963377-E969-4FED-A13F-2487FC803B55}">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Z226" authorId="1" shapeId="0" xr:uid="{3D535415-81D9-44F1-A03E-E4FA0F50EC97}">
      <text>
        <r>
          <rPr>
            <b/>
            <sz val="9"/>
            <color indexed="81"/>
            <rFont val="Tahoma"/>
            <family val="2"/>
          </rPr>
          <t>Bruyns Fred H:</t>
        </r>
        <r>
          <rPr>
            <sz val="9"/>
            <color indexed="81"/>
            <rFont val="Tahoma"/>
            <family val="2"/>
          </rPr>
          <t xml:space="preserve">
Programming note: These counts are used in chart for error messages when both ROM and ankylosis impairment are entered. </t>
        </r>
      </text>
    </comment>
    <comment ref="R227" authorId="1" shapeId="0" xr:uid="{0D39438D-8850-421D-8EF0-866ACF7943C3}">
      <text>
        <r>
          <rPr>
            <b/>
            <sz val="9"/>
            <color indexed="81"/>
            <rFont val="Tahoma"/>
            <family val="2"/>
          </rPr>
          <t>Bruyns Fred H:</t>
        </r>
        <r>
          <rPr>
            <sz val="9"/>
            <color indexed="81"/>
            <rFont val="Tahoma"/>
            <family val="2"/>
          </rPr>
          <t xml:space="preserve">
Programming note: This is the sum of impairment for ROM loss in the riight ankle.</t>
        </r>
      </text>
    </comment>
    <comment ref="R228" authorId="1" shapeId="0" xr:uid="{B0ACFFEF-19DE-4C97-B96E-E66F48030930}">
      <text>
        <r>
          <rPr>
            <b/>
            <sz val="9"/>
            <color indexed="81"/>
            <rFont val="Tahoma"/>
            <family val="2"/>
          </rPr>
          <t>Bruyns Fred H:</t>
        </r>
        <r>
          <rPr>
            <sz val="9"/>
            <color indexed="81"/>
            <rFont val="Tahoma"/>
            <family val="2"/>
          </rPr>
          <t xml:space="preserve">
Programming note: This formula prevents apportionment if there is ankylosis, because "hard findings," such as ankylosis, cannot be apportioned. If ankylosis of joint occurs, the full value of the loss is used.</t>
        </r>
      </text>
    </comment>
    <comment ref="S228" authorId="1" shapeId="0" xr:uid="{7E6F87F2-7CD0-4D67-A9DF-D7F74611FAF5}">
      <text>
        <r>
          <rPr>
            <b/>
            <sz val="9"/>
            <color indexed="81"/>
            <rFont val="Tahoma"/>
            <family val="2"/>
          </rPr>
          <t>Bruyns Fred H:</t>
        </r>
        <r>
          <rPr>
            <sz val="9"/>
            <color indexed="81"/>
            <rFont val="Tahoma"/>
            <family val="2"/>
          </rPr>
          <t xml:space="preserve">
Programming note: 20 degrees of dorsiflexion (extension) of the ankle is considered normal - no impairment. See OAR 436-035-0190.</t>
        </r>
      </text>
    </comment>
    <comment ref="U228" authorId="1" shapeId="0" xr:uid="{62EB6B67-E96D-4D7B-897A-498D3660285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28" authorId="1" shapeId="0" xr:uid="{C3F5A74B-5362-407D-BD5D-5A430AFC56F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28" authorId="1" shapeId="0" xr:uid="{FDA1D80C-67D2-46BB-B478-476DDEBF261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229" authorId="1" shapeId="0" xr:uid="{ED6631CE-18B0-40D0-A507-62B2310C5030}">
      <text>
        <r>
          <rPr>
            <b/>
            <sz val="9"/>
            <color indexed="81"/>
            <rFont val="Tahoma"/>
            <family val="2"/>
          </rPr>
          <t>Bruyns Fred H:</t>
        </r>
        <r>
          <rPr>
            <sz val="9"/>
            <color indexed="81"/>
            <rFont val="Tahoma"/>
            <family val="2"/>
          </rPr>
          <t xml:space="preserve">
Programming note: Sum of foot and ankle ROM impairment</t>
        </r>
      </text>
    </comment>
    <comment ref="S229" authorId="1" shapeId="0" xr:uid="{5E53C1FA-A5B6-4AFB-A16B-8133B5050379}">
      <text>
        <r>
          <rPr>
            <b/>
            <sz val="9"/>
            <color indexed="81"/>
            <rFont val="Tahoma"/>
            <family val="2"/>
          </rPr>
          <t>Bruyns Fred H:</t>
        </r>
        <r>
          <rPr>
            <sz val="9"/>
            <color indexed="81"/>
            <rFont val="Tahoma"/>
            <family val="2"/>
          </rPr>
          <t xml:space="preserve">
Programming note: 20 degrees of dorsiflexion ankylosis of the ankle is considered maximum loss. See OAR 436-035-0190.</t>
        </r>
      </text>
    </comment>
    <comment ref="S230" authorId="1" shapeId="0" xr:uid="{2AB9C6AF-A62B-4C1F-9553-1B53436F1C0E}">
      <text>
        <r>
          <rPr>
            <b/>
            <sz val="9"/>
            <color indexed="81"/>
            <rFont val="Tahoma"/>
            <family val="2"/>
          </rPr>
          <t>Bruyns Fred H:</t>
        </r>
        <r>
          <rPr>
            <sz val="9"/>
            <color indexed="81"/>
            <rFont val="Tahoma"/>
            <family val="2"/>
          </rPr>
          <t xml:space="preserve">
Programming note: 40 degrees of plantar flexion of the ankle is considered normal - no impairment. See OAR 436-035-0190.</t>
        </r>
      </text>
    </comment>
    <comment ref="U230" authorId="1" shapeId="0" xr:uid="{7AD3909E-A461-4843-A05B-9755AFF95A8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230" authorId="1" shapeId="0" xr:uid="{CF3FFC3B-906F-4B7C-86ED-FB050DE8E1A0}">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230" authorId="1" shapeId="0" xr:uid="{8F55036B-8790-4B37-BED0-8ED9D3E5362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231" authorId="1" shapeId="0" xr:uid="{AF9ED86B-9712-4F4B-90F8-C4207F40DE1F}">
      <text>
        <r>
          <rPr>
            <b/>
            <sz val="9"/>
            <color indexed="81"/>
            <rFont val="Tahoma"/>
            <family val="2"/>
          </rPr>
          <t>Bruyns Fred H:</t>
        </r>
        <r>
          <rPr>
            <sz val="9"/>
            <color indexed="81"/>
            <rFont val="Tahoma"/>
            <family val="2"/>
          </rPr>
          <t xml:space="preserve">
Programming note: 40 degrees of plantar flexion ankylosis of the ankle is considered maximum loss. See OAR 436-035-0190.</t>
        </r>
      </text>
    </comment>
    <comment ref="E232" authorId="1" shapeId="0" xr:uid="{1BD94A09-0CAF-4FAA-A8CB-F658A4F323D0}">
      <text>
        <r>
          <rPr>
            <b/>
            <sz val="9"/>
            <color indexed="81"/>
            <rFont val="Tahoma"/>
            <family val="2"/>
          </rPr>
          <t>Bruyns Fred H:</t>
        </r>
        <r>
          <rPr>
            <sz val="9"/>
            <color indexed="81"/>
            <rFont val="Tahoma"/>
            <family val="2"/>
          </rPr>
          <t xml:space="preserve">
Programming note: Apportionment, if any, is applied after summing the foot and ankle ROM values unless ankylosis is present in one of the joints - then apportionment is applied to the non-ankylosed joint before summing.</t>
        </r>
      </text>
    </comment>
    <comment ref="R238" authorId="1" shapeId="0" xr:uid="{EE9EF2DE-B7A2-4A32-BBE7-0E24834AC357}">
      <text>
        <r>
          <rPr>
            <b/>
            <sz val="9"/>
            <color indexed="81"/>
            <rFont val="Tahoma"/>
            <family val="2"/>
          </rPr>
          <t>Bruyns Fred H:</t>
        </r>
        <r>
          <rPr>
            <sz val="9"/>
            <color indexed="81"/>
            <rFont val="Tahoma"/>
            <family val="2"/>
          </rPr>
          <t xml:space="preserve">
Programming note: The lists of values to the right are used in pull-down menus for loss of sensation and hypersensitivity.</t>
        </r>
      </text>
    </comment>
    <comment ref="W239" authorId="1" shapeId="0" xr:uid="{4D810E0A-ACA3-457D-A8D7-C0C47E579354}">
      <text>
        <r>
          <rPr>
            <b/>
            <sz val="9"/>
            <color indexed="81"/>
            <rFont val="Tahoma"/>
            <family val="2"/>
          </rPr>
          <t>Bruyns Fred H:</t>
        </r>
        <r>
          <rPr>
            <sz val="9"/>
            <color indexed="81"/>
            <rFont val="Tahoma"/>
            <family val="2"/>
          </rPr>
          <t xml:space="preserve">
Programming note: If this value is greater than zero, formulas for sensation loss or hypersensitivity in the toes will suppress output of losses in the toes.</t>
        </r>
      </text>
    </comment>
    <comment ref="R242" authorId="1" shapeId="0" xr:uid="{67FE6F75-F506-4E04-9CDD-5DF48C411534}">
      <text>
        <r>
          <rPr>
            <b/>
            <sz val="9"/>
            <color indexed="81"/>
            <rFont val="Tahoma"/>
            <family val="2"/>
          </rPr>
          <t>Bruyns Fred H:</t>
        </r>
        <r>
          <rPr>
            <sz val="9"/>
            <color indexed="81"/>
            <rFont val="Tahoma"/>
            <family val="2"/>
          </rPr>
          <t xml:space="preserve">
Programming note: The list of value to the right is used for pull-down menus for ankle instability to the left.</t>
        </r>
      </text>
    </comment>
    <comment ref="R279" authorId="1" shapeId="0" xr:uid="{66AB9274-7271-4B5E-BACE-44240F6AC6DA}">
      <text>
        <r>
          <rPr>
            <b/>
            <sz val="9"/>
            <color indexed="81"/>
            <rFont val="Tahoma"/>
            <family val="2"/>
          </rPr>
          <t>Bruyns Fred H:</t>
        </r>
        <r>
          <rPr>
            <sz val="9"/>
            <color indexed="81"/>
            <rFont val="Tahoma"/>
            <family val="2"/>
          </rPr>
          <t xml:space="preserve">
Programming note: Level of strength loss is matched to the percentages in the list to the right.</t>
        </r>
      </text>
    </comment>
    <comment ref="AA280" authorId="1" shapeId="0" xr:uid="{BC36441C-AAAF-469E-8462-FBE506D737A1}">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C280" authorId="1" shapeId="0" xr:uid="{2405626A-F125-4514-B7FC-A5D69C6104B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D280" authorId="1" shapeId="0" xr:uid="{0066DD34-26C3-484C-A580-083FCBEBAF6A}">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arm/forearm.</t>
        </r>
      </text>
    </comment>
    <comment ref="AG280" authorId="1" shapeId="0" xr:uid="{6F8FC9B2-0CD6-4F47-9B94-6ECDD5DABAE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H280" authorId="1" shapeId="0" xr:uid="{50BF0C32-D072-443B-9CFE-3A38D8D79613}">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I280" authorId="1" shapeId="0" xr:uid="{D3430556-4177-4676-B9DB-0EC3D1FF95B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strength loss in the arm.</t>
        </r>
      </text>
    </comment>
    <comment ref="N292" authorId="1" shapeId="0" xr:uid="{F8EB884A-F94A-4A35-A282-AB53F100AFAF}">
      <text>
        <r>
          <rPr>
            <b/>
            <sz val="9"/>
            <color indexed="81"/>
            <rFont val="Tahoma"/>
            <family val="2"/>
          </rPr>
          <t>Bruyns Fred H:</t>
        </r>
        <r>
          <rPr>
            <sz val="9"/>
            <color indexed="81"/>
            <rFont val="Tahoma"/>
            <family val="2"/>
          </rPr>
          <t xml:space="preserve">
Programming note: If the overall nerve is rated, "Total" displays her. If parts of the nerve are rated, the word "Average" displays here.</t>
        </r>
      </text>
    </comment>
    <comment ref="F299" authorId="1" shapeId="0" xr:uid="{233F7848-8FFB-4127-A17A-CAFF03638924}">
      <text>
        <r>
          <rPr>
            <b/>
            <sz val="9"/>
            <color indexed="81"/>
            <rFont val="Tahoma"/>
            <family val="2"/>
          </rPr>
          <t>Bruyns Fred H:</t>
        </r>
        <r>
          <rPr>
            <sz val="9"/>
            <color indexed="81"/>
            <rFont val="Tahoma"/>
            <family val="2"/>
          </rPr>
          <t xml:space="preserve">
Programming note: If 4th or 6th option button is selected, this message will display: "Total for peroneal except superficial; FOOT impairment."</t>
        </r>
      </text>
    </comment>
    <comment ref="B303" authorId="1" shapeId="0" xr:uid="{CDA5A842-E571-4EDD-9AAB-4918BA34D4D1}">
      <text>
        <r>
          <rPr>
            <b/>
            <sz val="9"/>
            <color indexed="81"/>
            <rFont val="Tahoma"/>
            <family val="2"/>
          </rPr>
          <t>Bruyns Fred H:</t>
        </r>
        <r>
          <rPr>
            <sz val="9"/>
            <color indexed="81"/>
            <rFont val="Tahoma"/>
            <family val="2"/>
          </rPr>
          <t xml:space="preserve">
Programming note: If the 2nd, 3rd, or 5th option button is selected, this is displayed: "Total for peroneal; FOOT impairment." If the 4th or 6th option button is selected, this will display: "Total for superficial peroneal; FOOT impairment."</t>
        </r>
      </text>
    </comment>
    <comment ref="F318" authorId="1" shapeId="0" xr:uid="{FFE76237-6B5A-4097-BB38-FA9B4F5DA282}">
      <text>
        <r>
          <rPr>
            <b/>
            <sz val="9"/>
            <color indexed="81"/>
            <rFont val="Tahoma"/>
            <family val="2"/>
          </rPr>
          <t>Bruyns Fred H:</t>
        </r>
        <r>
          <rPr>
            <sz val="9"/>
            <color indexed="81"/>
            <rFont val="Tahoma"/>
            <family val="2"/>
          </rPr>
          <t xml:space="preserve">
Programming note: If option 5 or 6 is selected, this will display: "Total for lateral plantar branch of the tibial nerve."</t>
        </r>
      </text>
    </comment>
    <comment ref="B320" authorId="1" shapeId="0" xr:uid="{48CB9187-371F-40CF-8E45-B5F83BD0FD09}">
      <text>
        <r>
          <rPr>
            <b/>
            <sz val="9"/>
            <color indexed="81"/>
            <rFont val="Tahoma"/>
            <family val="2"/>
          </rPr>
          <t>Bruyns Fred H:</t>
        </r>
        <r>
          <rPr>
            <sz val="9"/>
            <color indexed="81"/>
            <rFont val="Tahoma"/>
            <family val="2"/>
          </rPr>
          <t xml:space="preserve">
Programming note: The text displayed is based on which of the seven option buttons for the tibial nerve is selected. </t>
        </r>
      </text>
    </comment>
    <comment ref="B328" authorId="1" shapeId="0" xr:uid="{501B94C8-389A-4827-99F0-79F4E437E9DD}">
      <text>
        <r>
          <rPr>
            <b/>
            <sz val="9"/>
            <color indexed="81"/>
            <rFont val="Tahoma"/>
            <family val="2"/>
          </rPr>
          <t>Bruyns Fred H:</t>
        </r>
        <r>
          <rPr>
            <sz val="9"/>
            <color indexed="81"/>
            <rFont val="Tahoma"/>
            <family val="2"/>
          </rPr>
          <t xml:space="preserve">
Programming note: If any part of the femoral nerve is rated, this will display: "Total for femoral nerve; LEG impairment."</t>
        </r>
      </text>
    </comment>
    <comment ref="B335" authorId="1" shapeId="0" xr:uid="{5E6A0593-AA91-4B6F-AC5B-1769F7479C29}">
      <text>
        <r>
          <rPr>
            <b/>
            <sz val="9"/>
            <color indexed="81"/>
            <rFont val="Tahoma"/>
            <family val="2"/>
          </rPr>
          <t>Bruyns Fred H:</t>
        </r>
        <r>
          <rPr>
            <sz val="9"/>
            <color indexed="81"/>
            <rFont val="Tahoma"/>
            <family val="2"/>
          </rPr>
          <t xml:space="preserve">
Programming note: If any part of the superior gluteal nerve is rated, this will display: "Total for superior gluteal; LEG impairment."</t>
        </r>
      </text>
    </comment>
    <comment ref="S341" authorId="1" shapeId="0" xr:uid="{C09E106A-FF19-4B75-A050-BB408BB49E6D}">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341" authorId="1" shapeId="0" xr:uid="{E719BC54-C961-42BB-B12E-7C3671829C2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341" authorId="1" shapeId="0" xr:uid="{B8719DA1-DEA7-44DC-B2C2-60BFD651247A}">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341" authorId="1" shapeId="0" xr:uid="{DF18B564-53BC-4589-9517-9A5109FE547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Y342" authorId="1" shapeId="0" xr:uid="{CBF77FC0-F3DD-415B-8D86-9A66B60F1FF9}">
      <text>
        <r>
          <rPr>
            <b/>
            <sz val="9"/>
            <color indexed="81"/>
            <rFont val="Tahoma"/>
            <family val="2"/>
          </rPr>
          <t>Bruyns Fred H:</t>
        </r>
        <r>
          <rPr>
            <sz val="9"/>
            <color indexed="81"/>
            <rFont val="Tahoma"/>
            <family val="2"/>
          </rPr>
          <t xml:space="preserve">
Programming note: The formula checks first for motor loss rating in Cell P423. If motor loss is present, no award is given for loss of ROM. If motor loss is not present, formula displays "1" if ankylosis is present.</t>
        </r>
      </text>
    </comment>
    <comment ref="E353" authorId="1" shapeId="0" xr:uid="{62F50856-3C04-442E-A484-422780ABD98C}">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E365" authorId="1" shapeId="0" xr:uid="{83080BF7-51BD-4A24-AF01-3101E82828FF}">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366" authorId="1" shapeId="0" xr:uid="{3F5B602E-227A-483F-9DB0-E0B3CE8E44D6}">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S377" authorId="1" shapeId="0" xr:uid="{C43284ED-821F-4C59-8DAB-1AA9CA8DDE03}">
      <text>
        <r>
          <rPr>
            <b/>
            <sz val="9"/>
            <color indexed="81"/>
            <rFont val="Tahoma"/>
            <family val="2"/>
          </rPr>
          <t>Bruyns Fred H:</t>
        </r>
        <r>
          <rPr>
            <sz val="9"/>
            <color indexed="81"/>
            <rFont val="Tahoma"/>
            <family val="2"/>
          </rPr>
          <t xml:space="preserve">
Programming note: 150 degrees of flexion of the knee is considered normal - no impairment. See OAR 436-035-0220.</t>
        </r>
      </text>
    </comment>
    <comment ref="T377" authorId="1" shapeId="0" xr:uid="{72729024-2DAA-4C13-B4C1-D04966FE326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7" authorId="1" shapeId="0" xr:uid="{AAA366A0-A22F-41EF-91FE-26A5F56A6C5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7" authorId="1" shapeId="0" xr:uid="{C4BB0E55-5BB7-4238-A50A-2536D0BA523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77" authorId="1" shapeId="0" xr:uid="{B1AC3A59-D917-4D25-AAE6-7B183F20E1A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150 (max/normal). See instructions for this formula under OAR 436-035-0011. </t>
        </r>
      </text>
    </comment>
    <comment ref="S378" authorId="1" shapeId="0" xr:uid="{7D8F145D-B689-45DF-A53F-5B9CFB2F4DD7}">
      <text>
        <r>
          <rPr>
            <b/>
            <sz val="9"/>
            <color indexed="81"/>
            <rFont val="Tahoma"/>
            <family val="2"/>
          </rPr>
          <t>Bruyns Fred H:</t>
        </r>
        <r>
          <rPr>
            <sz val="9"/>
            <color indexed="81"/>
            <rFont val="Tahoma"/>
            <family val="2"/>
          </rPr>
          <t xml:space="preserve">
Programming note: 50-150 degrees of flexion ankylosis of the knee is considered maximum loss. See OAR 436-035-0220.</t>
        </r>
      </text>
    </comment>
    <comment ref="T378" authorId="1" shapeId="0" xr:uid="{1DB95A81-7172-4581-826C-68B9AC0C6CF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R379" authorId="1" shapeId="0" xr:uid="{F3E0D6D9-BAE3-4180-A145-D946580FD4F7}">
      <text>
        <r>
          <rPr>
            <b/>
            <sz val="9"/>
            <color indexed="81"/>
            <rFont val="Tahoma"/>
            <family val="2"/>
          </rPr>
          <t>Bruyns Fred H:</t>
        </r>
        <r>
          <rPr>
            <sz val="9"/>
            <color indexed="81"/>
            <rFont val="Tahoma"/>
            <family val="2"/>
          </rPr>
          <t xml:space="preserve">
Programming note: After checking for error flags, formula returns the sum of ROM impairment for the knee.</t>
        </r>
      </text>
    </comment>
    <comment ref="S379" authorId="1" shapeId="0" xr:uid="{1753613C-0060-47E5-84B1-A17D3D107A3D}">
      <text>
        <r>
          <rPr>
            <b/>
            <sz val="9"/>
            <color indexed="81"/>
            <rFont val="Tahoma"/>
            <family val="2"/>
          </rPr>
          <t>Bruyns Fred H:</t>
        </r>
        <r>
          <rPr>
            <sz val="9"/>
            <color indexed="81"/>
            <rFont val="Tahoma"/>
            <family val="2"/>
          </rPr>
          <t xml:space="preserve">
Programming note: 50-150 degrees of extension of the knee is considered maximum loss. See OAR 436-035-0220.</t>
        </r>
      </text>
    </comment>
    <comment ref="T379" authorId="1" shapeId="0" xr:uid="{F9B928C0-ACB5-40C2-B5F2-68FC2986429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79" authorId="1" shapeId="0" xr:uid="{282AC4B6-07A2-4B94-A70F-13581B95125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79" authorId="1" shapeId="0" xr:uid="{913EAD77-B54D-4337-8BE2-103D61A1612C}">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W379" authorId="1" shapeId="0" xr:uid="{05E67E09-6D4F-4098-884C-29FB681208F9}">
      <text>
        <r>
          <rPr>
            <b/>
            <sz val="9"/>
            <color indexed="81"/>
            <rFont val="Tahoma"/>
            <family val="2"/>
          </rPr>
          <t>Bruyns Fred H:</t>
        </r>
        <r>
          <rPr>
            <sz val="9"/>
            <color indexed="81"/>
            <rFont val="Tahoma"/>
            <family val="2"/>
          </rPr>
          <t xml:space="preserve">
Programming note: Complement is retained ROM in injured joint subtracted from the maximum ROM. See contralateral comparison instructions in OAR 436-035-0011.</t>
        </r>
      </text>
    </comment>
    <comment ref="X379" authorId="1" shapeId="0" xr:uid="{F897E9C0-07D0-41A8-BE1D-35A26AB97AC7}">
      <text>
        <r>
          <rPr>
            <b/>
            <sz val="9"/>
            <color indexed="81"/>
            <rFont val="Tahoma"/>
            <family val="2"/>
          </rPr>
          <t>Bruyns Fred H:</t>
        </r>
        <r>
          <rPr>
            <sz val="9"/>
            <color indexed="81"/>
            <rFont val="Tahoma"/>
            <family val="2"/>
          </rPr>
          <t xml:space="preserve">
Programming note: Complement is retained ROM in contralateral joint subtracted from the maximum ROM. See contralateral comparison instructions in OAR 436-035-0011.</t>
        </r>
      </text>
    </comment>
    <comment ref="Y379" authorId="1" shapeId="0" xr:uid="{5AF0D874-CAB3-477E-AF88-34F4EA66DCFB}">
      <text>
        <r>
          <rPr>
            <b/>
            <sz val="9"/>
            <color indexed="81"/>
            <rFont val="Tahoma"/>
            <family val="2"/>
          </rPr>
          <t>Bruyns Fred H:</t>
        </r>
        <r>
          <rPr>
            <sz val="9"/>
            <color indexed="81"/>
            <rFont val="Tahoma"/>
            <family val="2"/>
          </rPr>
          <t xml:space="preserve">
Programming note: The proportion of ROM complement of injured joint with the ROM complement of the contralateral side is = to the proportion of X over 150 (max/normal). The value of "X" is then subtracted from 150 (max/normal). See instructions for this formula under OAR 436-035-0011.</t>
        </r>
      </text>
    </comment>
    <comment ref="R380" authorId="1" shapeId="0" xr:uid="{C7DC5A96-164F-4AB1-BAA9-C085719E542B}">
      <text>
        <r>
          <rPr>
            <b/>
            <sz val="9"/>
            <color indexed="81"/>
            <rFont val="Tahoma"/>
            <family val="2"/>
          </rPr>
          <t>Bruyns Fred H:</t>
        </r>
        <r>
          <rPr>
            <sz val="9"/>
            <color indexed="81"/>
            <rFont val="Tahoma"/>
            <family val="2"/>
          </rPr>
          <t xml:space="preserve">
Programming note: After checking for error flag, formula checks if ROM impairment is greater than zero but less than 1, and if so adjusts to = 1. Otherwise, the formula rounds the ROM impairment from cell above.</t>
        </r>
      </text>
    </comment>
    <comment ref="S380" authorId="1" shapeId="0" xr:uid="{2DD5DEB0-5C7A-4381-83BE-6C048DE579A9}">
      <text>
        <r>
          <rPr>
            <b/>
            <sz val="9"/>
            <color indexed="81"/>
            <rFont val="Tahoma"/>
            <family val="2"/>
          </rPr>
          <t>Bruyns Fred H:</t>
        </r>
        <r>
          <rPr>
            <sz val="9"/>
            <color indexed="81"/>
            <rFont val="Tahoma"/>
            <family val="2"/>
          </rPr>
          <t xml:space="preserve">
Programming note: 50-150 degrees of extension ankylosis of the knee is considered maximum loss. See OAR 436-035-0220.</t>
        </r>
      </text>
    </comment>
    <comment ref="T380" authorId="1" shapeId="0" xr:uid="{E29D4AB2-A9C6-4EFC-8C7D-8113993EEE6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382" authorId="1" shapeId="0" xr:uid="{59A3E227-540A-4029-B485-904A42CA594A}">
      <text>
        <r>
          <rPr>
            <b/>
            <sz val="9"/>
            <color indexed="81"/>
            <rFont val="Tahoma"/>
            <family val="2"/>
          </rPr>
          <t>Bruyns Fred H:</t>
        </r>
        <r>
          <rPr>
            <sz val="9"/>
            <color indexed="81"/>
            <rFont val="Tahoma"/>
            <family val="2"/>
          </rPr>
          <t xml:space="preserve">
Programming note: 100 degrees of forward flexion of the hip is considered normal - no impairment. See OAR 436-035-0220.</t>
        </r>
      </text>
    </comment>
    <comment ref="T382" authorId="1" shapeId="0" xr:uid="{8242A7E6-B883-46DB-B5BD-881A22E6153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2" authorId="1" shapeId="0" xr:uid="{D29D350B-4C86-44D5-BDB3-C2013E07E43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2" authorId="1" shapeId="0" xr:uid="{30BADF76-301B-41E1-AC4E-2067D5753BB9}">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2" authorId="1" shapeId="0" xr:uid="{F67D2384-1C63-487B-8683-6C13509C5686}">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100 (max/normal). See instructions for this formula under OAR 436-035-0011. </t>
        </r>
      </text>
    </comment>
    <comment ref="S383" authorId="1" shapeId="0" xr:uid="{B6A5E750-6635-4A4C-B257-652E30F15A95}">
      <text>
        <r>
          <rPr>
            <b/>
            <sz val="9"/>
            <color indexed="81"/>
            <rFont val="Tahoma"/>
            <family val="2"/>
          </rPr>
          <t>Bruyns Fred H:</t>
        </r>
        <r>
          <rPr>
            <sz val="9"/>
            <color indexed="81"/>
            <rFont val="Tahoma"/>
            <family val="2"/>
          </rPr>
          <t xml:space="preserve">
Programming note: 30 degrees of backward extension of the hip is considered normal - no impairment. See OAR 436-035-0220.</t>
        </r>
      </text>
    </comment>
    <comment ref="T383" authorId="1" shapeId="0" xr:uid="{AE6B5D0A-59C2-43FF-B819-A27F9357D99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3" authorId="1" shapeId="0" xr:uid="{8F84F925-54C3-470C-8ABA-4E54CA42802F}">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3" authorId="1" shapeId="0" xr:uid="{12C50E4F-BBA7-4573-A1B4-3A2154A6E06B}">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3" authorId="1" shapeId="0" xr:uid="{8598E04F-539A-4CED-8768-90DEE69B80B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30 (max/normal). See instructions for this formula under OAR 436-035-0011. </t>
        </r>
      </text>
    </comment>
    <comment ref="S384" authorId="1" shapeId="0" xr:uid="{841ED3C4-8643-4A48-92DA-0F38A191EA22}">
      <text>
        <r>
          <rPr>
            <b/>
            <sz val="9"/>
            <color indexed="81"/>
            <rFont val="Tahoma"/>
            <family val="2"/>
          </rPr>
          <t>Bruyns Fred H:</t>
        </r>
        <r>
          <rPr>
            <sz val="9"/>
            <color indexed="81"/>
            <rFont val="Tahoma"/>
            <family val="2"/>
          </rPr>
          <t xml:space="preserve">
Programming note: 40 degrees of abduction of the hip is considered normal - no impairment. See OAR 436-035-0220.</t>
        </r>
      </text>
    </comment>
    <comment ref="T384" authorId="1" shapeId="0" xr:uid="{44349962-C936-4465-B763-288B71E99CE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4" authorId="1" shapeId="0" xr:uid="{1826AD8C-01DB-460B-B29C-97DCBB55E36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4" authorId="1" shapeId="0" xr:uid="{0202353D-FAE1-4A51-A28F-3512B0FDC243}">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4" authorId="1" shapeId="0" xr:uid="{F495EEA2-E8FA-481E-B2E8-96556EA4B405}">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S385" authorId="1" shapeId="0" xr:uid="{204D68C0-C191-4361-A2C6-AE144F3BA6B7}">
      <text>
        <r>
          <rPr>
            <b/>
            <sz val="9"/>
            <color indexed="81"/>
            <rFont val="Tahoma"/>
            <family val="2"/>
          </rPr>
          <t>Bruyns Fred H:</t>
        </r>
        <r>
          <rPr>
            <sz val="9"/>
            <color indexed="81"/>
            <rFont val="Tahoma"/>
            <family val="2"/>
          </rPr>
          <t xml:space="preserve">
Programming note: 20 degrees of adduction of the hip is considered normal - no impairment. See OAR 436-035-0220.</t>
        </r>
      </text>
    </comment>
    <comment ref="T385" authorId="1" shapeId="0" xr:uid="{F097303D-E060-4B7A-BF40-C13B16CCC01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5" authorId="1" shapeId="0" xr:uid="{87040756-CDED-4A2F-A3F2-B39B37F8FB4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5" authorId="1" shapeId="0" xr:uid="{C5D6D5C0-DF2E-417E-9A21-47A693FEBBD8}">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5" authorId="1" shapeId="0" xr:uid="{A1A832E3-1320-4986-ACB1-D0976C7369BA}">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20 (max/normal). See instructions for this formula under OAR 436-035-0011. </t>
        </r>
      </text>
    </comment>
    <comment ref="R386" authorId="1" shapeId="0" xr:uid="{A08E687A-DE46-494C-A410-BF58D601A1F9}">
      <text>
        <r>
          <rPr>
            <b/>
            <sz val="9"/>
            <color indexed="81"/>
            <rFont val="Tahoma"/>
            <family val="2"/>
          </rPr>
          <t>Bruyns Fred H:</t>
        </r>
        <r>
          <rPr>
            <sz val="9"/>
            <color indexed="81"/>
            <rFont val="Tahoma"/>
            <family val="2"/>
          </rPr>
          <t xml:space="preserve">
Programming note: Formula sums hip ROM impairment values.</t>
        </r>
      </text>
    </comment>
    <comment ref="S386" authorId="1" shapeId="0" xr:uid="{637296E2-87D1-4719-912E-B9678F7D3ABC}">
      <text>
        <r>
          <rPr>
            <b/>
            <sz val="9"/>
            <color indexed="81"/>
            <rFont val="Tahoma"/>
            <family val="2"/>
          </rPr>
          <t>Bruyns Fred H:</t>
        </r>
        <r>
          <rPr>
            <sz val="9"/>
            <color indexed="81"/>
            <rFont val="Tahoma"/>
            <family val="2"/>
          </rPr>
          <t xml:space="preserve">
Programming note: 40 degrees of internal rotation of the hip is considered normal - no impairment. See OAR 436-035-0220.</t>
        </r>
      </text>
    </comment>
    <comment ref="T386" authorId="1" shapeId="0" xr:uid="{41D2E08B-9777-4116-BF2F-F8FECF9EE0E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6" authorId="1" shapeId="0" xr:uid="{7D375598-A3CE-4AE0-B5C9-7FDA042A3E5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6" authorId="1" shapeId="0" xr:uid="{CDC38A84-4615-4286-BDE6-36C8695BD2BF}">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6" authorId="1" shapeId="0" xr:uid="{98BAD960-649B-4B5B-8DEC-6975B3FE11A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40 (max/normal). See instructions for this formula under OAR 436-035-0011. </t>
        </r>
      </text>
    </comment>
    <comment ref="R387" authorId="1" shapeId="0" xr:uid="{4FC1C62B-3A08-4DFA-A925-4BA1AEE06520}">
      <text>
        <r>
          <rPr>
            <b/>
            <sz val="9"/>
            <color indexed="81"/>
            <rFont val="Tahoma"/>
            <family val="2"/>
          </rPr>
          <t>Bruyns Fred H:</t>
        </r>
        <r>
          <rPr>
            <sz val="9"/>
            <color indexed="81"/>
            <rFont val="Tahoma"/>
            <family val="2"/>
          </rPr>
          <t xml:space="preserve">
Programming note: Formula checks if ROM impairment is greater than zero but less than 1, and if so adjusts to = 1. Otherwise, the formula rounds the ROM impairment from cell above.</t>
        </r>
      </text>
    </comment>
    <comment ref="S387" authorId="1" shapeId="0" xr:uid="{9BF75510-0AED-442A-90AF-F65DED823C31}">
      <text>
        <r>
          <rPr>
            <b/>
            <sz val="9"/>
            <color indexed="81"/>
            <rFont val="Tahoma"/>
            <family val="2"/>
          </rPr>
          <t>Bruyns Fred H:</t>
        </r>
        <r>
          <rPr>
            <sz val="9"/>
            <color indexed="81"/>
            <rFont val="Tahoma"/>
            <family val="2"/>
          </rPr>
          <t xml:space="preserve">
Programming note: 50 degrees of external rotation of the hip is considered normal - no impairment. See OAR 436-035-0220.</t>
        </r>
      </text>
    </comment>
    <comment ref="T387" authorId="1" shapeId="0" xr:uid="{49A87FEB-ABA2-4ECD-A5F5-1F86649DADC0}">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387" authorId="1" shapeId="0" xr:uid="{BA72738E-92D0-4EBC-8FF0-0B8BF169AD6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387" authorId="1" shapeId="0" xr:uid="{B636B8F3-E0F4-4177-8112-781556DAF3CA}">
      <text>
        <r>
          <rPr>
            <b/>
            <sz val="9"/>
            <color indexed="81"/>
            <rFont val="Tahoma"/>
            <family val="2"/>
          </rPr>
          <t>Bruyns Fred H:</t>
        </r>
        <r>
          <rPr>
            <sz val="9"/>
            <color indexed="81"/>
            <rFont val="Tahoma"/>
            <family val="2"/>
          </rPr>
          <t xml:space="preserve">
Programming note: This rounded value is carried into the "LETable" and used for lookup there.</t>
        </r>
      </text>
    </comment>
    <comment ref="Y387" authorId="1" shapeId="0" xr:uid="{A645C2DE-B690-46BE-9C10-1C56DFED6D10}">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R392" authorId="1" shapeId="0" xr:uid="{C2237545-99D2-4DD5-9BE7-9D8A1FEC1E07}">
      <text>
        <r>
          <rPr>
            <b/>
            <sz val="9"/>
            <color indexed="81"/>
            <rFont val="Tahoma"/>
            <family val="2"/>
          </rPr>
          <t>Bruyns Fred H:</t>
        </r>
        <r>
          <rPr>
            <sz val="9"/>
            <color indexed="81"/>
            <rFont val="Tahoma"/>
            <family val="2"/>
          </rPr>
          <t xml:space="preserve">
Programming note: Length discrepancy descriptions to the right are used in pull-down menu to the left.</t>
        </r>
      </text>
    </comment>
    <comment ref="Y395" authorId="1" shapeId="0" xr:uid="{6E5E12A4-BDA6-415D-9743-E01C76AF8552}">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Z395" authorId="1" shapeId="0" xr:uid="{233F1A92-6F2B-4BD3-B8E7-BE019B076EB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AA395" authorId="1" shapeId="0" xr:uid="{7A8F0876-873A-4CAD-BD0B-8F00698CDB7B}">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O397" authorId="1" shapeId="0" xr:uid="{11030278-3FE9-489F-8481-9BC51E4537F3}">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8" authorId="1" shapeId="0" xr:uid="{D170FF78-7A69-4559-8402-E284DD0AFC54}">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399" authorId="1" shapeId="0" xr:uid="{4B5E7A4E-67C7-414B-98CF-7FB7F47E758C}">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O400" authorId="1" shapeId="0" xr:uid="{AADB49CB-E582-4DC7-ABD5-EF53B9C87234}">
      <text>
        <r>
          <rPr>
            <b/>
            <sz val="9"/>
            <color indexed="81"/>
            <rFont val="Tahoma"/>
            <family val="2"/>
          </rPr>
          <t>Bruyns Fred H:</t>
        </r>
        <r>
          <rPr>
            <sz val="9"/>
            <color indexed="81"/>
            <rFont val="Tahoma"/>
            <family val="2"/>
          </rPr>
          <t xml:space="preserve">
Programming note: Formula returns 0% if only Grade 1 instability is present and there has been a prosthetic knee replacement.</t>
        </r>
      </text>
    </comment>
    <comment ref="R401" authorId="1" shapeId="0" xr:uid="{F23B0EC9-7C51-445C-A134-80E09CA7955C}">
      <text>
        <r>
          <rPr>
            <b/>
            <sz val="9"/>
            <color indexed="81"/>
            <rFont val="Tahoma"/>
            <family val="2"/>
          </rPr>
          <t>Bruyns Fred H:</t>
        </r>
        <r>
          <rPr>
            <sz val="9"/>
            <color indexed="81"/>
            <rFont val="Tahoma"/>
            <family val="2"/>
          </rPr>
          <t xml:space="preserve">
Programming note: If the value in this cell is greater than zero, one or more instances of Grade 1 joint instability have been entered.</t>
        </r>
      </text>
    </comment>
    <comment ref="R406" authorId="1" shapeId="0" xr:uid="{922257B3-1BD7-4324-9155-DB49263BC5B7}">
      <text>
        <r>
          <rPr>
            <b/>
            <sz val="9"/>
            <color indexed="81"/>
            <rFont val="Tahoma"/>
            <family val="2"/>
          </rPr>
          <t>Bruyns Fred H:</t>
        </r>
        <r>
          <rPr>
            <sz val="9"/>
            <color indexed="81"/>
            <rFont val="Tahoma"/>
            <family val="2"/>
          </rPr>
          <t xml:space="preserve">
Programming note: List of deformities to the right are used in a pull-down menu to the left.</t>
        </r>
      </text>
    </comment>
    <comment ref="R410" authorId="1" shapeId="0" xr:uid="{2AB38E5B-728B-4A9E-854D-9712A104128E}">
      <text>
        <r>
          <rPr>
            <b/>
            <sz val="9"/>
            <color indexed="81"/>
            <rFont val="Tahoma"/>
            <family val="2"/>
          </rPr>
          <t>Bruyns Fred H:</t>
        </r>
        <r>
          <rPr>
            <sz val="9"/>
            <color indexed="81"/>
            <rFont val="Tahoma"/>
            <family val="2"/>
          </rPr>
          <t xml:space="preserve">
Programming note: List of surgeries to the right are used in a pull-down menu to the left.</t>
        </r>
      </text>
    </comment>
    <comment ref="P411" authorId="1" shapeId="0" xr:uid="{1FB10E9D-864F-4129-8B3C-B64EDAF81A84}">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2" authorId="1" shapeId="0" xr:uid="{17886FF7-6424-4F60-AD34-1A766B173F4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3" authorId="1" shapeId="0" xr:uid="{F43BACF0-34A1-42D0-9B28-B79B16D0E046}">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13" authorId="1" shapeId="0" xr:uid="{A64A2A06-43DE-4172-A770-D6AA4C9C8EF8}">
      <text>
        <r>
          <rPr>
            <b/>
            <sz val="9"/>
            <color indexed="81"/>
            <rFont val="Tahoma"/>
            <family val="2"/>
          </rPr>
          <t>Bruyns Fred H:</t>
        </r>
        <r>
          <rPr>
            <sz val="9"/>
            <color indexed="81"/>
            <rFont val="Tahoma"/>
            <family val="2"/>
          </rPr>
          <t xml:space="preserve">
Option button output: 1, 2, 3, 4, or 5.</t>
        </r>
      </text>
    </comment>
    <comment ref="P414" authorId="1" shapeId="0" xr:uid="{149B495E-CB21-4032-88DC-AAA1D337E1CE}">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5" authorId="1" shapeId="0" xr:uid="{53FBDC55-2ECD-4B84-96C8-3F7A60D02105}">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P416" authorId="1" shapeId="0" xr:uid="{1EE0C680-1371-4439-BD11-C7064EA0F89F}">
      <text>
        <r>
          <rPr>
            <b/>
            <sz val="9"/>
            <color indexed="81"/>
            <rFont val="Tahoma"/>
            <family val="2"/>
          </rPr>
          <t>Bruyns Fred H:</t>
        </r>
        <r>
          <rPr>
            <sz val="9"/>
            <color indexed="81"/>
            <rFont val="Tahoma"/>
            <family val="2"/>
          </rPr>
          <t xml:space="preserve">
Programming note: Formula returns zero if there has been a prosthetic knee replacement, because separate value is not given for removal of patella or meniscus.</t>
        </r>
      </text>
    </comment>
    <comment ref="R420" authorId="1" shapeId="0" xr:uid="{6CD9A728-8952-497C-B304-4D51F75A38B9}">
      <text>
        <r>
          <rPr>
            <b/>
            <sz val="9"/>
            <color indexed="81"/>
            <rFont val="Tahoma"/>
            <family val="2"/>
          </rPr>
          <t>Bruyns Fred H:</t>
        </r>
        <r>
          <rPr>
            <sz val="9"/>
            <color indexed="81"/>
            <rFont val="Tahoma"/>
            <family val="2"/>
          </rPr>
          <t xml:space="preserve">
Programming note: The list of five classes to the right is used in a pull-down menu to the left.</t>
        </r>
      </text>
    </comment>
    <comment ref="R426" authorId="1" shapeId="0" xr:uid="{0E7C24D4-AC21-48B7-94B0-8173F5E908D0}">
      <text>
        <r>
          <rPr>
            <b/>
            <sz val="9"/>
            <color indexed="81"/>
            <rFont val="Tahoma"/>
            <family val="2"/>
          </rPr>
          <t>Bruyns Fred H:</t>
        </r>
        <r>
          <rPr>
            <sz val="9"/>
            <color indexed="81"/>
            <rFont val="Tahoma"/>
            <family val="2"/>
          </rPr>
          <t xml:space="preserve">
Option button output: 1, 2, 3, 4, or 5.</t>
        </r>
      </text>
    </comment>
    <comment ref="U436" authorId="1" shapeId="0" xr:uid="{D0492E44-862E-4970-AB56-B8F39D22A120}">
      <text>
        <r>
          <rPr>
            <b/>
            <sz val="9"/>
            <color indexed="81"/>
            <rFont val="Tahoma"/>
            <family val="2"/>
          </rPr>
          <t>Bruyns Fred H:</t>
        </r>
        <r>
          <rPr>
            <sz val="9"/>
            <color indexed="81"/>
            <rFont val="Tahoma"/>
            <family val="2"/>
          </rPr>
          <t xml:space="preserve">
Programming note: If at least one box is checked of boxes 1 through 3 plus at least one box in boxes 4 through 7, 5% is awarded.</t>
        </r>
      </text>
    </comment>
    <comment ref="R439" authorId="1" shapeId="0" xr:uid="{E45635A8-A017-4676-BF55-87AE47B1502C}">
      <text>
        <r>
          <rPr>
            <b/>
            <sz val="9"/>
            <color indexed="81"/>
            <rFont val="Tahoma"/>
            <family val="2"/>
          </rPr>
          <t>Bruyns Fred H:</t>
        </r>
        <r>
          <rPr>
            <sz val="9"/>
            <color indexed="81"/>
            <rFont val="Tahoma"/>
            <family val="2"/>
          </rPr>
          <t xml:space="preserve">
Programming note: Option button output: 1 or 2.</t>
        </r>
      </text>
    </comment>
    <comment ref="R443" authorId="1" shapeId="0" xr:uid="{FCFECF05-D3C7-4B95-AAB8-A7D0A49CF431}">
      <text>
        <r>
          <rPr>
            <b/>
            <sz val="9"/>
            <color indexed="81"/>
            <rFont val="Tahoma"/>
            <family val="2"/>
          </rPr>
          <t>Bruyns Fred H:</t>
        </r>
        <r>
          <rPr>
            <sz val="9"/>
            <color indexed="81"/>
            <rFont val="Tahoma"/>
            <family val="2"/>
          </rPr>
          <t xml:space="preserve">
Programming note: Option button output: 1 or 2.</t>
        </r>
      </text>
    </comment>
    <comment ref="S448" authorId="1" shapeId="0" xr:uid="{2598168B-CE4B-4520-B188-6FC3794684B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E if there is no apportionment, or from Column I if the disability is apportioned.</t>
        </r>
      </text>
    </comment>
    <comment ref="T448" authorId="1" shapeId="0" xr:uid="{FF0C9B4D-FCDE-4B20-A29B-57C11086AF3E}">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48" authorId="1" shapeId="0" xr:uid="{A8F14223-9DC0-45DA-A6BF-484A121F0726}">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48" authorId="1" shapeId="0" xr:uid="{CF1D323E-99A8-40FA-8D33-C27AB841CCA1}">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Y449" authorId="1" shapeId="0" xr:uid="{C58644EA-EA9E-4183-ADDB-4881CF25148B}">
      <text>
        <r>
          <rPr>
            <b/>
            <sz val="9"/>
            <color indexed="81"/>
            <rFont val="Tahoma"/>
            <family val="2"/>
          </rPr>
          <t>Bruyns Fred H:</t>
        </r>
        <r>
          <rPr>
            <sz val="9"/>
            <color indexed="81"/>
            <rFont val="Tahoma"/>
            <family val="2"/>
          </rPr>
          <t xml:space="preserve">
Programming note: The formula checks first for motor loss rating in Cell P423. If motor loss is present, no award is given for loss of ROM. If motor loss is not present, formula displays "1" if ankylosis is present.</t>
        </r>
      </text>
    </comment>
    <comment ref="E450" authorId="1" shapeId="0" xr:uid="{8C0E3E2A-2B0A-4964-9034-17EFDA89818D}">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J450" authorId="1" shapeId="0" xr:uid="{648CF069-9AEB-41F0-93D7-7EE5E43FCB71}">
      <text>
        <r>
          <rPr>
            <b/>
            <sz val="9"/>
            <color indexed="81"/>
            <rFont val="Tahoma"/>
            <family val="2"/>
          </rPr>
          <t>Bruyns Fred H:</t>
        </r>
        <r>
          <rPr>
            <sz val="9"/>
            <color indexed="81"/>
            <rFont val="Tahoma"/>
            <family val="2"/>
          </rPr>
          <t xml:space="preserve">
Programming note: The formula first checks to see if the value in column Y is greater than zero but less than one. If so, it returns "1" percent. Otherwise, the formula returns a rounded value from column Y. If ankylosis is present in the knee, ROM apportionment is greyed out for the knee.</t>
        </r>
      </text>
    </comment>
    <comment ref="Y450" authorId="1" shapeId="0" xr:uid="{FEC0EE82-2060-410F-981A-2EFF13001A39}">
      <text>
        <r>
          <rPr>
            <b/>
            <sz val="9"/>
            <color indexed="81"/>
            <rFont val="Tahoma"/>
            <family val="2"/>
          </rPr>
          <t>Bruyns Fred H:</t>
        </r>
        <r>
          <rPr>
            <sz val="9"/>
            <color indexed="81"/>
            <rFont val="Tahoma"/>
            <family val="2"/>
          </rPr>
          <t xml:space="preserve">
Programming note: The formula first returns zero if there ankylosis in the leg.
If the first condition is not satisfied, the formula returns zero if there are no irreversible findings in the leg or foot, but apportionment is applicable at the foot level. (Apportionment is done at the most proximal level unless there are irreversible findings in the body part). 
If the second condition is not satisfied, the formula returns the product of the ROM value times the most proximal apportionment percentage, if any. </t>
        </r>
      </text>
    </comment>
    <comment ref="E451" authorId="1" shapeId="0" xr:uid="{CF75AD11-6DA0-4EAC-90AD-0285A4C43537}">
      <text>
        <r>
          <rPr>
            <b/>
            <sz val="9"/>
            <color indexed="81"/>
            <rFont val="Tahoma"/>
            <family val="2"/>
          </rPr>
          <t>Bruyns Fred H:</t>
        </r>
        <r>
          <rPr>
            <sz val="9"/>
            <color indexed="81"/>
            <rFont val="Tahoma"/>
            <family val="2"/>
          </rPr>
          <t xml:space="preserve">
Programming note: Formula first checks for motor loss, and if present, returns zero value for ROM loss.</t>
        </r>
      </text>
    </comment>
    <comment ref="W457" authorId="1" shapeId="0" xr:uid="{158D87CC-5D90-4720-A13E-0880A660CE21}">
      <text>
        <r>
          <rPr>
            <b/>
            <sz val="9"/>
            <color indexed="81"/>
            <rFont val="Tahoma"/>
            <family val="2"/>
          </rPr>
          <t>Bruyns Fred H:</t>
        </r>
        <r>
          <rPr>
            <sz val="9"/>
            <color indexed="81"/>
            <rFont val="Tahoma"/>
            <family val="2"/>
          </rPr>
          <t xml:space="preserve">
Programming note: If this value is greater than zero, and if motor loss is present, the chart will include a message that "The worker has motor loss impairment. Additional impairment values are not allowed for chronic condition, a walking/standing limitation, reduced range of motion, or strength loss."</t>
        </r>
      </text>
    </comment>
    <comment ref="E468" authorId="1" shapeId="0" xr:uid="{E6063751-ABA9-4EA5-A661-2F179A601BE7}">
      <text>
        <r>
          <rPr>
            <b/>
            <sz val="9"/>
            <color indexed="81"/>
            <rFont val="Tahoma"/>
            <family val="2"/>
          </rPr>
          <t>Bruyns Fred H:</t>
        </r>
        <r>
          <rPr>
            <sz val="9"/>
            <color indexed="81"/>
            <rFont val="Tahoma"/>
            <family val="2"/>
          </rPr>
          <t xml:space="preserve">
Programming note: Formula first checks for motor loss, and if present, returns zero value for walk/stand limitation.</t>
        </r>
      </text>
    </comment>
    <comment ref="E469" authorId="1" shapeId="0" xr:uid="{DA64D28D-3018-481E-8D14-94C70198B44A}">
      <text>
        <r>
          <rPr>
            <b/>
            <sz val="9"/>
            <color indexed="81"/>
            <rFont val="Tahoma"/>
            <family val="2"/>
          </rPr>
          <t>Bruyns Fred H:</t>
        </r>
        <r>
          <rPr>
            <sz val="9"/>
            <color indexed="81"/>
            <rFont val="Tahoma"/>
            <family val="2"/>
          </rPr>
          <t xml:space="preserve">
Programming note: Formula first checks for motor loss, and if present, returns zero value for chronic condition.</t>
        </r>
      </text>
    </comment>
    <comment ref="E470" authorId="1" shapeId="0" xr:uid="{00C837BF-4BA9-4722-9D31-533F86F45174}">
      <text>
        <r>
          <rPr>
            <b/>
            <sz val="9"/>
            <color indexed="81"/>
            <rFont val="Tahoma"/>
            <family val="2"/>
          </rPr>
          <t>Bruyns Fred H:</t>
        </r>
        <r>
          <rPr>
            <sz val="9"/>
            <color indexed="81"/>
            <rFont val="Tahoma"/>
            <family val="2"/>
          </rPr>
          <t xml:space="preserve">
Programming note: Formula first checks for motor loss, and if present, returns zero value for strength loss.</t>
        </r>
      </text>
    </comment>
    <comment ref="U481" authorId="1" shapeId="0" xr:uid="{5FAA8C50-1DC2-487F-BBE4-991541CD56A9}">
      <text>
        <r>
          <rPr>
            <b/>
            <sz val="9"/>
            <color indexed="81"/>
            <rFont val="Tahoma"/>
            <family val="2"/>
          </rPr>
          <t>Bruyns Fred H:</t>
        </r>
        <r>
          <rPr>
            <sz val="9"/>
            <color indexed="81"/>
            <rFont val="Tahoma"/>
            <family val="2"/>
          </rPr>
          <t xml:space="preserve">
programming note: Only if leg impairment is present is the foot/ankle value converted to a leg value.</t>
        </r>
      </text>
    </comment>
    <comment ref="R491" authorId="1" shapeId="0" xr:uid="{66071A29-E47A-4232-812E-715FD25CF90C}">
      <text>
        <r>
          <rPr>
            <b/>
            <sz val="9"/>
            <color indexed="81"/>
            <rFont val="Tahoma"/>
            <family val="2"/>
          </rPr>
          <t>Bruyns Fred H:</t>
        </r>
        <r>
          <rPr>
            <sz val="9"/>
            <color indexed="81"/>
            <rFont val="Tahoma"/>
            <family val="2"/>
          </rPr>
          <t xml:space="preserve">
Programming note: Formula returns "1" if either the foot/ankle or the leg have impairment. If so, formulas in chart to left convert toe values to foot or leg values.</t>
        </r>
      </text>
    </comment>
    <comment ref="R492" authorId="1" shapeId="0" xr:uid="{88B08974-D519-45C7-BD57-13810B20B319}">
      <text>
        <r>
          <rPr>
            <b/>
            <sz val="9"/>
            <color indexed="81"/>
            <rFont val="Tahoma"/>
            <family val="2"/>
          </rPr>
          <t>Bruyns Fred H:</t>
        </r>
        <r>
          <rPr>
            <sz val="9"/>
            <color indexed="81"/>
            <rFont val="Tahoma"/>
            <family val="2"/>
          </rPr>
          <t xml:space="preserve">
Programming note: Values in this column are copied into "PPD DOI before 2005"</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S4" authorId="0" shapeId="0" xr:uid="{73CA597B-832F-4860-89E4-5A18ECD55297}">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T4" authorId="0" shapeId="0" xr:uid="{9AF2909A-E0DF-43EF-97B6-94D6E8E8EA6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3A2A7B57-4014-4A69-B92F-DDF19ABB4AFE}">
      <text>
        <r>
          <rPr>
            <b/>
            <sz val="9"/>
            <color indexed="81"/>
            <rFont val="Tahoma"/>
            <family val="2"/>
          </rPr>
          <t>Bruyns Fred H:</t>
        </r>
        <r>
          <rPr>
            <sz val="9"/>
            <color indexed="81"/>
            <rFont val="Tahoma"/>
            <family val="2"/>
          </rPr>
          <t xml:space="preserve">
Programming note: This message displays next to "Occupational disease" / "Occupational injury" if neither of the assocated checkboxes is checked.</t>
        </r>
      </text>
    </comment>
    <comment ref="D8" authorId="1" shapeId="0" xr:uid="{A9F02B89-B6AB-4D4C-BE71-1518D919011E}">
      <text>
        <r>
          <rPr>
            <b/>
            <sz val="9"/>
            <color indexed="81"/>
            <rFont val="Tahoma"/>
            <family val="2"/>
          </rPr>
          <t>Bruyns Fred H:</t>
        </r>
        <r>
          <rPr>
            <sz val="9"/>
            <color indexed="81"/>
            <rFont val="Tahoma"/>
            <family val="2"/>
          </rPr>
          <t xml:space="preserve">
Programming note: "NA" is displayed unless the checkbox for "Occupational injury" is checked.</t>
        </r>
      </text>
    </comment>
    <comment ref="S8" authorId="1" shapeId="0" xr:uid="{98321B48-3C61-4BEC-9D8B-CE82FABCDF55}">
      <text>
        <r>
          <rPr>
            <b/>
            <sz val="9"/>
            <color indexed="81"/>
            <rFont val="Tahoma"/>
            <family val="2"/>
          </rPr>
          <t>Bruyns Fred H:</t>
        </r>
        <r>
          <rPr>
            <sz val="9"/>
            <color indexed="81"/>
            <rFont val="Tahoma"/>
            <family val="2"/>
          </rPr>
          <t xml:space="preserve">
Programming note: These "TRUE" and "FALSE" fields are output from the hearing loss causation checkboxes.</t>
        </r>
      </text>
    </comment>
    <comment ref="T8" authorId="1" shapeId="0" xr:uid="{670F4703-66EB-49EA-8503-C0E4BAC98B5B}">
      <text>
        <r>
          <rPr>
            <b/>
            <sz val="9"/>
            <color indexed="81"/>
            <rFont val="Tahoma"/>
            <family val="2"/>
          </rPr>
          <t>Bruyns Fred H:</t>
        </r>
        <r>
          <rPr>
            <sz val="9"/>
            <color indexed="81"/>
            <rFont val="Tahoma"/>
            <family val="2"/>
          </rPr>
          <t xml:space="preserve">
Programming note: These "TRUE" and "FALSE" fields are output from the hearing loss causation checkboxes.</t>
        </r>
      </text>
    </comment>
    <comment ref="U8" authorId="1" shapeId="0" xr:uid="{5023736F-AFAD-4BF8-B9A3-D0EAD303CAA0}">
      <text>
        <r>
          <rPr>
            <b/>
            <sz val="9"/>
            <color indexed="81"/>
            <rFont val="Tahoma"/>
            <family val="2"/>
          </rPr>
          <t>Bruyns Fred H:</t>
        </r>
        <r>
          <rPr>
            <sz val="9"/>
            <color indexed="81"/>
            <rFont val="Tahoma"/>
            <family val="2"/>
          </rPr>
          <t xml:space="preserve">
Programming note: These "TRUE" and "FALSE" fields are output from the hearing loss causation checkboxes.</t>
        </r>
      </text>
    </comment>
    <comment ref="B9" authorId="1" shapeId="0" xr:uid="{2CC0D93D-2357-4159-A389-BB2C1CA26C18}">
      <text>
        <r>
          <rPr>
            <b/>
            <sz val="9"/>
            <color indexed="81"/>
            <rFont val="Tahoma"/>
            <family val="2"/>
          </rPr>
          <t>Bruyns Fred H:</t>
        </r>
        <r>
          <rPr>
            <sz val="9"/>
            <color indexed="81"/>
            <rFont val="Tahoma"/>
            <family val="2"/>
          </rPr>
          <t xml:space="preserve">
Programming note: Formula checks for required dates, the relationships between the dates, and displays error messages if appropriate.</t>
        </r>
      </text>
    </comment>
    <comment ref="O9" authorId="1" shapeId="0" xr:uid="{5BF9A684-BF78-4A97-A4F5-9A305180B39C}">
      <text>
        <r>
          <rPr>
            <b/>
            <sz val="9"/>
            <color indexed="81"/>
            <rFont val="Tahoma"/>
            <family val="2"/>
          </rPr>
          <t>Bruyns Fred H:</t>
        </r>
        <r>
          <rPr>
            <sz val="9"/>
            <color indexed="81"/>
            <rFont val="Tahoma"/>
            <family val="2"/>
          </rPr>
          <t xml:space="preserve">
Programming note: Formula checks for required dates and displays error message if appropriate.</t>
        </r>
      </text>
    </comment>
    <comment ref="O14" authorId="1" shapeId="0" xr:uid="{F38C0CD8-3356-4087-AF18-CFBB4AF2F2C6}">
      <text>
        <r>
          <rPr>
            <b/>
            <sz val="9"/>
            <color indexed="81"/>
            <rFont val="Tahoma"/>
            <family val="2"/>
          </rPr>
          <t>Bruyns Fred H:</t>
        </r>
        <r>
          <rPr>
            <sz val="9"/>
            <color indexed="81"/>
            <rFont val="Tahoma"/>
            <family val="2"/>
          </rPr>
          <t xml:space="preserve">
Programming note: Formula checks for necessary audiogram findings and displays error message if findings are missing.</t>
        </r>
      </text>
    </comment>
    <comment ref="S16" authorId="1" shapeId="0" xr:uid="{BDA61DAB-B610-4808-BB7B-F34A01A21609}">
      <text>
        <r>
          <rPr>
            <b/>
            <sz val="9"/>
            <color indexed="81"/>
            <rFont val="Tahoma"/>
            <family val="2"/>
          </rPr>
          <t>Bruyns Fred H:</t>
        </r>
        <r>
          <rPr>
            <sz val="9"/>
            <color indexed="81"/>
            <rFont val="Tahoma"/>
            <family val="2"/>
          </rPr>
          <t xml:space="preserve">
Programming note: Formula returns "1" if either the date of injury or date of baseline audiogram is missing.</t>
        </r>
      </text>
    </comment>
    <comment ref="T16" authorId="1" shapeId="0" xr:uid="{DC4929EA-B5F4-4437-9574-627C6C14BFD1}">
      <text>
        <r>
          <rPr>
            <b/>
            <sz val="9"/>
            <color indexed="81"/>
            <rFont val="Tahoma"/>
            <family val="2"/>
          </rPr>
          <t>Bruyns Fred H:</t>
        </r>
        <r>
          <rPr>
            <sz val="9"/>
            <color indexed="81"/>
            <rFont val="Tahoma"/>
            <family val="2"/>
          </rPr>
          <t xml:space="preserve">
Programming note: Formula returns "1" if either the date of injury or date of current audiogram is missing.</t>
        </r>
      </text>
    </comment>
    <comment ref="U16" authorId="1" shapeId="0" xr:uid="{5D6191B3-CEE1-4DE4-B1C8-152CCF51E98F}">
      <text>
        <r>
          <rPr>
            <b/>
            <sz val="9"/>
            <color indexed="81"/>
            <rFont val="Tahoma"/>
            <family val="2"/>
          </rPr>
          <t>Bruyns Fred H:</t>
        </r>
        <r>
          <rPr>
            <sz val="9"/>
            <color indexed="81"/>
            <rFont val="Tahoma"/>
            <family val="2"/>
          </rPr>
          <t xml:space="preserve">
Programming note: This is the sum of all audiogram findings - baseline and current.</t>
        </r>
      </text>
    </comment>
    <comment ref="S17" authorId="1" shapeId="0" xr:uid="{0934EDBB-3D2C-45AB-A6D3-BC83A71B0373}">
      <text>
        <r>
          <rPr>
            <b/>
            <sz val="9"/>
            <color indexed="81"/>
            <rFont val="Tahoma"/>
            <family val="2"/>
          </rPr>
          <t>Bruyns Fred H:</t>
        </r>
        <r>
          <rPr>
            <sz val="9"/>
            <color indexed="81"/>
            <rFont val="Tahoma"/>
            <family val="2"/>
          </rPr>
          <t xml:space="preserve">
Programming note: This is the sum of all baseline audiogram findings for the right ear.</t>
        </r>
      </text>
    </comment>
    <comment ref="U17" authorId="1" shapeId="0" xr:uid="{4A7FAF65-4708-4552-92FE-E2CE765F7AF3}">
      <text>
        <r>
          <rPr>
            <b/>
            <sz val="9"/>
            <color indexed="81"/>
            <rFont val="Tahoma"/>
            <family val="2"/>
          </rPr>
          <t>Bruyns Fred H:</t>
        </r>
        <r>
          <rPr>
            <sz val="9"/>
            <color indexed="81"/>
            <rFont val="Tahoma"/>
            <family val="2"/>
          </rPr>
          <t xml:space="preserve">
Programming note: This is the sum of all baseline audiogram findings for the left ear.</t>
        </r>
      </text>
    </comment>
    <comment ref="W17" authorId="1" shapeId="0" xr:uid="{B177A87A-BF6A-4735-8356-A3B117224DDC}">
      <text>
        <r>
          <rPr>
            <b/>
            <sz val="9"/>
            <color indexed="81"/>
            <rFont val="Tahoma"/>
            <family val="2"/>
          </rPr>
          <t>Bruyns Fred H:</t>
        </r>
        <r>
          <rPr>
            <sz val="9"/>
            <color indexed="81"/>
            <rFont val="Tahoma"/>
            <family val="2"/>
          </rPr>
          <t xml:space="preserve">
Programming note: This is the sum of all current audiogram findings for the right ear.</t>
        </r>
      </text>
    </comment>
    <comment ref="Y17" authorId="1" shapeId="0" xr:uid="{2C3A065D-D02E-43A4-9BBB-B0A024FFAD2B}">
      <text>
        <r>
          <rPr>
            <b/>
            <sz val="9"/>
            <color indexed="81"/>
            <rFont val="Tahoma"/>
            <family val="2"/>
          </rPr>
          <t>Bruyns Fred H:</t>
        </r>
        <r>
          <rPr>
            <sz val="9"/>
            <color indexed="81"/>
            <rFont val="Tahoma"/>
            <family val="2"/>
          </rPr>
          <t xml:space="preserve">
Programming note: This is the sum of all current audiogram findings for the left ear.</t>
        </r>
      </text>
    </comment>
    <comment ref="S22" authorId="1" shapeId="0" xr:uid="{B154C4B7-1794-4CAE-950D-1988582AD653}">
      <text>
        <r>
          <rPr>
            <b/>
            <sz val="9"/>
            <color indexed="81"/>
            <rFont val="Tahoma"/>
            <family val="2"/>
          </rPr>
          <t>Bruyns Fred H:</t>
        </r>
        <r>
          <rPr>
            <sz val="9"/>
            <color indexed="81"/>
            <rFont val="Tahoma"/>
            <family val="2"/>
          </rPr>
          <t xml:space="preserve">
Programming note: Formula returns "1" if there are any baseline audiogram findings entered.</t>
        </r>
      </text>
    </comment>
    <comment ref="S23" authorId="1" shapeId="0" xr:uid="{0E77AFA7-8276-4ADC-9AF0-22C00C2BDBFF}">
      <text>
        <r>
          <rPr>
            <b/>
            <sz val="9"/>
            <color indexed="81"/>
            <rFont val="Tahoma"/>
            <family val="2"/>
          </rPr>
          <t>Bruyns Fred H:</t>
        </r>
        <r>
          <rPr>
            <sz val="9"/>
            <color indexed="81"/>
            <rFont val="Tahoma"/>
            <family val="2"/>
          </rPr>
          <t xml:space="preserve">
Programming note: If the formula returns "1," the error message to the right is displayed on the chart, and the audiogram subtotals will display "ERROR."</t>
        </r>
      </text>
    </comment>
    <comment ref="W29" authorId="1" shapeId="0" xr:uid="{00A70A3D-7B1A-495C-9498-FD389B11DB3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S34" authorId="1" shapeId="0" xr:uid="{DA4F2EDF-79FF-4D45-9610-18A06780F111}">
      <text>
        <r>
          <rPr>
            <b/>
            <sz val="9"/>
            <color indexed="81"/>
            <rFont val="Tahoma"/>
            <family val="2"/>
          </rPr>
          <t>Bruyns Fred H:</t>
        </r>
        <r>
          <rPr>
            <sz val="9"/>
            <color indexed="81"/>
            <rFont val="Tahoma"/>
            <family val="2"/>
          </rPr>
          <t xml:space="preserve">
Programming note: The formula selects the larger of either the monaural or binaural total. This total is transferred to the PPD calculation page.</t>
        </r>
      </text>
    </comment>
    <comment ref="R35" authorId="0" shapeId="0" xr:uid="{00000000-0006-0000-0800-000001000000}">
      <text>
        <r>
          <rPr>
            <b/>
            <sz val="9"/>
            <color indexed="81"/>
            <rFont val="Tahoma"/>
            <family val="2"/>
          </rPr>
          <t>Fred Bruyns:</t>
        </r>
        <r>
          <rPr>
            <sz val="9"/>
            <color indexed="81"/>
            <rFont val="Tahoma"/>
            <family val="2"/>
          </rPr>
          <t xml:space="preserve">
Programming note: This number is carried over to the PPD worksheet and used to determine appropriate label for hearing in list of body parts and systems at left of sheet - when hearing in one is affected.</t>
        </r>
      </text>
    </comment>
    <comment ref="S35" authorId="0" shapeId="0" xr:uid="{00000000-0006-0000-0800-000002000000}">
      <text>
        <r>
          <rPr>
            <b/>
            <sz val="9"/>
            <color indexed="81"/>
            <rFont val="Tahoma"/>
            <family val="2"/>
          </rPr>
          <t>Fred Bruyns:</t>
        </r>
        <r>
          <rPr>
            <sz val="9"/>
            <color indexed="81"/>
            <rFont val="Tahoma"/>
            <family val="2"/>
          </rPr>
          <t xml:space="preserve">
Programming note: 
0 = no impairment in either ear.
1 = impairement in one ear.
2 = impairment in both ears and monaural total is greater than binaural total.
3 = impairement in both ears and binaural total is greater than monaural total.
This number is carried over to the PPD worksheet and used to determine appropriate label (monaural, binaural, L/R) for hearing in list of body parts and systems at left of sheet.</t>
        </r>
      </text>
    </comment>
    <comment ref="S38" authorId="1" shapeId="0" xr:uid="{363FB150-72AB-4295-83C1-4955BA8FB469}">
      <text>
        <r>
          <rPr>
            <b/>
            <sz val="9"/>
            <color indexed="81"/>
            <rFont val="Tahoma"/>
            <family val="2"/>
          </rPr>
          <t>Bruyns Fred H:</t>
        </r>
        <r>
          <rPr>
            <sz val="9"/>
            <color indexed="81"/>
            <rFont val="Tahoma"/>
            <family val="2"/>
          </rPr>
          <t xml:space="preserve">
Programming note: Formula returns "1" if monaural total is greater than binaural total. If the binaural is equal to or greater than the monaural total, "2" is displayed.</t>
        </r>
      </text>
    </comment>
    <comment ref="S50" authorId="0" shapeId="0" xr:uid="{00000000-0006-0000-0800-000003000000}">
      <text>
        <r>
          <rPr>
            <b/>
            <sz val="9"/>
            <color indexed="81"/>
            <rFont val="Tahoma"/>
            <family val="2"/>
          </rPr>
          <t>Fred Bruyns:</t>
        </r>
        <r>
          <rPr>
            <sz val="9"/>
            <color indexed="81"/>
            <rFont val="Tahoma"/>
            <family val="2"/>
          </rPr>
          <t xml:space="preserve">
Programming note: Formula returns 
"4" if binaural hearing loss calculation results in the highest impairment value; 
"3" if monaural calculation results in the highest impairment value; 
"2" if the right ear is rated; and 
"1" if the left ear is rated.
This number is carried over to the PPD worksheet and used to determine appropriate label (monaural, binaural, L/R) for hearing in list of body parts and systems at left of sheet.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AL4" authorId="0" shapeId="0" xr:uid="{396A409F-0E9D-4084-8DC4-D97F019B193F}">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AN4" authorId="0" shapeId="0" xr:uid="{3A33913F-FE32-4315-9453-F353C31F155E}">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AL7" authorId="1" shapeId="0" xr:uid="{52C5A1B6-76E1-4844-A000-87DF12927054}">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M7" authorId="1" shapeId="0" xr:uid="{AB9B6155-2522-4797-BF1B-B87E01D40157}">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O8" authorId="1" shapeId="0" xr:uid="{1D90355C-01AE-457B-8DD1-FC0EB59B4541}">
      <text>
        <r>
          <rPr>
            <b/>
            <sz val="9"/>
            <color indexed="81"/>
            <rFont val="Tahoma"/>
            <family val="2"/>
          </rPr>
          <t>Bruyns Fred H:</t>
        </r>
        <r>
          <rPr>
            <sz val="9"/>
            <color indexed="81"/>
            <rFont val="Tahoma"/>
            <family val="2"/>
          </rPr>
          <t xml:space="preserve">
Programming note: The formula first checks for an error message, and if present, returns "ERROR."
Next, the formula checks for far vision apportionment, and if not present, returns the far vision impairment value.
Next, the formula checks to determine if the far vision impairment value multiplied by the far vision apportionment percentage is equal to less than "1" but more than "0," and if so, returns "1."
Next, the formula multiplies the far vision apportionment percentage by the far vision impairment.
</t>
        </r>
      </text>
    </comment>
    <comment ref="AF8" authorId="1" shapeId="0" xr:uid="{26FE1AE3-2593-4F8A-87A5-EF7D2FA6248F}">
      <text>
        <r>
          <rPr>
            <b/>
            <sz val="9"/>
            <color indexed="81"/>
            <rFont val="Tahoma"/>
            <family val="2"/>
          </rPr>
          <t>Bruyns Fred H:</t>
        </r>
        <r>
          <rPr>
            <sz val="9"/>
            <color indexed="81"/>
            <rFont val="Tahoma"/>
            <family val="2"/>
          </rPr>
          <t xml:space="preserve">
Programming note: The formula first checks for an error message, and if present, returns "ERROR."
Next, the formula checks for far vision apportionment, and if not present, returns the far vision impairment value.
Next, the formula checks to determine if the far vision impairment value multiplied by the far vision apportionment percentage is equal to less than "1" but more than "0," and if so, returns "1."
Next, the formula multiplies the far vision apportionment percentage by the far vision impairment.
</t>
        </r>
      </text>
    </comment>
    <comment ref="AL8" authorId="1" shapeId="0" xr:uid="{A1C59896-A877-48F4-8548-39A1C8BAD769}">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M8" authorId="1" shapeId="0" xr:uid="{4CB39B07-5EA4-4F9E-9103-F1A0B922A70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L9" authorId="1" shapeId="0" xr:uid="{EB9D78A3-1EC7-4867-9233-6F215AB886C2}">
      <text>
        <r>
          <rPr>
            <b/>
            <sz val="9"/>
            <color indexed="81"/>
            <rFont val="Tahoma"/>
            <family val="2"/>
          </rPr>
          <t>Bruyns Fred H:</t>
        </r>
        <r>
          <rPr>
            <sz val="9"/>
            <color indexed="81"/>
            <rFont val="Tahoma"/>
            <family val="2"/>
          </rPr>
          <t xml:space="preserve">
Programming note: Formula sums the values above for English measure and Metric 6, only one of which will be greater than zero. (Only one measure may be used.)</t>
        </r>
      </text>
    </comment>
    <comment ref="AM9" authorId="1" shapeId="0" xr:uid="{C35FBC2A-0FAF-4445-AEC2-8E628954CABC}">
      <text>
        <r>
          <rPr>
            <b/>
            <sz val="9"/>
            <color indexed="81"/>
            <rFont val="Tahoma"/>
            <family val="2"/>
          </rPr>
          <t>Bruyns Fred H:</t>
        </r>
        <r>
          <rPr>
            <sz val="9"/>
            <color indexed="81"/>
            <rFont val="Tahoma"/>
            <family val="2"/>
          </rPr>
          <t xml:space="preserve">
Programming note: Formula sums the values above for English measure and Metric 6, only one of which will be greater than zero. (Only one measure may be used.)</t>
        </r>
      </text>
    </comment>
    <comment ref="AN10" authorId="1" shapeId="0" xr:uid="{F4AE8EBB-52AD-411A-84F3-7A2B6CF2B18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0" authorId="1" shapeId="0" xr:uid="{F1067C03-8238-47A1-9D47-968FDD71E126}">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N11" authorId="1" shapeId="0" xr:uid="{8D0DB8FF-7AF7-4F82-8162-992371533B2C}">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1" authorId="1" shapeId="0" xr:uid="{471E3BF5-FD66-4EB8-A155-E6A47AF5184E}">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O12" authorId="1" shapeId="0" xr:uid="{74D628B3-2C10-4AD3-BBBA-69154E85B2B5}">
      <text>
        <r>
          <rPr>
            <b/>
            <sz val="9"/>
            <color indexed="81"/>
            <rFont val="Tahoma"/>
            <family val="2"/>
          </rPr>
          <t>Bruyns Fred H:</t>
        </r>
        <r>
          <rPr>
            <sz val="9"/>
            <color indexed="81"/>
            <rFont val="Tahoma"/>
            <family val="2"/>
          </rPr>
          <t xml:space="preserve">
Programming note: The formula first checks for an error message, and if present, returns "ERROR."
Next, the formula checks for near vision apportionment, and if not present, returns the near vision impairment value.
Next, the formula checks to determine if the near vision impairment value multiplied by the near vision apportionment percentage is equal to less than "1" but more than "0," and if so, returns "1."
Next, the formula multiplies the far vision apportionment percentage by the near vision impairment.
</t>
        </r>
      </text>
    </comment>
    <comment ref="AF12" authorId="1" shapeId="0" xr:uid="{468A1F96-1E60-4E99-BAA8-F4649FF855B8}">
      <text>
        <r>
          <rPr>
            <b/>
            <sz val="9"/>
            <color indexed="81"/>
            <rFont val="Tahoma"/>
            <family val="2"/>
          </rPr>
          <t>Bruyns Fred H:</t>
        </r>
        <r>
          <rPr>
            <sz val="9"/>
            <color indexed="81"/>
            <rFont val="Tahoma"/>
            <family val="2"/>
          </rPr>
          <t xml:space="preserve">
Programming note: The formula first checks for an error message, and if present, returns "ERROR."
Next, the formula checks for near vision apportionment, and if not present, returns the near vision impairment value.
Next, the formula checks to determine if the near vision impairment value multiplied by the near vision apportionment percentage is equal to less than "1" but more than "0," and if so, returns "1."
Next, the formula multiplies the far vision apportionment percentage by the near vision impairment.
</t>
        </r>
      </text>
    </comment>
    <comment ref="AN12" authorId="1" shapeId="0" xr:uid="{4D701D94-C26A-456D-ADCF-CE6CCC411DC0}">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O12" authorId="1" shapeId="0" xr:uid="{F20B49BA-221A-42D1-8F5E-EA064D9BD29C}">
      <text>
        <r>
          <rPr>
            <b/>
            <sz val="9"/>
            <color indexed="81"/>
            <rFont val="Tahoma"/>
            <family val="2"/>
          </rPr>
          <t>Bruyns Fred H:</t>
        </r>
        <r>
          <rPr>
            <sz val="9"/>
            <color indexed="81"/>
            <rFont val="Tahoma"/>
            <family val="2"/>
          </rPr>
          <t xml:space="preserve">
Programming note: This formula checks for a matching value in a table below the visible worksheet and returns the associated percentage of impairment.</t>
        </r>
      </text>
    </comment>
    <comment ref="AL13" authorId="1" shapeId="0" xr:uid="{BBB6464D-EAE9-4A12-A730-BC33A6878061}">
      <text>
        <r>
          <rPr>
            <b/>
            <sz val="9"/>
            <color indexed="81"/>
            <rFont val="Tahoma"/>
            <family val="2"/>
          </rPr>
          <t>Bruyns Fred H:</t>
        </r>
        <r>
          <rPr>
            <sz val="9"/>
            <color indexed="81"/>
            <rFont val="Tahoma"/>
            <family val="2"/>
          </rPr>
          <t xml:space="preserve">
Programming note: If the formula returns a sum greater than "1," meaning more than one type of near vision measure has been entered, an error message will display in the chart to the left.</t>
        </r>
      </text>
    </comment>
    <comment ref="AM13" authorId="1" shapeId="0" xr:uid="{31EA7604-95EC-4E30-B159-5A60E071D193}">
      <text>
        <r>
          <rPr>
            <b/>
            <sz val="9"/>
            <color indexed="81"/>
            <rFont val="Tahoma"/>
            <family val="2"/>
          </rPr>
          <t>Bruyns Fred H:</t>
        </r>
        <r>
          <rPr>
            <sz val="9"/>
            <color indexed="81"/>
            <rFont val="Tahoma"/>
            <family val="2"/>
          </rPr>
          <t xml:space="preserve">
Programming note: If the formula returns a sum greater than "1," meaning more than one type of near vision measure has been entered, an error message will display in the chart to the left.</t>
        </r>
      </text>
    </comment>
    <comment ref="AN13" authorId="1" shapeId="0" xr:uid="{EA839A53-8561-429D-B969-5BC45A48A58A}">
      <text>
        <r>
          <rPr>
            <b/>
            <sz val="9"/>
            <color indexed="81"/>
            <rFont val="Tahoma"/>
            <family val="2"/>
          </rPr>
          <t>Bruyns Fred H:</t>
        </r>
        <r>
          <rPr>
            <sz val="9"/>
            <color indexed="81"/>
            <rFont val="Tahoma"/>
            <family val="2"/>
          </rPr>
          <t xml:space="preserve">
Programming note: Formula sums the values above for Near Snellen, Jaeger, and American Point-type, only one of which will be greater than zero. (Only one measure may be used.)</t>
        </r>
      </text>
    </comment>
    <comment ref="AO13" authorId="1" shapeId="0" xr:uid="{00022030-53D0-4C19-8F3E-EFC3A681670E}">
      <text>
        <r>
          <rPr>
            <b/>
            <sz val="9"/>
            <color indexed="81"/>
            <rFont val="Tahoma"/>
            <family val="2"/>
          </rPr>
          <t>Bruyns Fred H:</t>
        </r>
        <r>
          <rPr>
            <sz val="9"/>
            <color indexed="81"/>
            <rFont val="Tahoma"/>
            <family val="2"/>
          </rPr>
          <t xml:space="preserve">
Programming note: Formula sums the values above for Near Snellen, Jaeger, and American Point-type, only one of which will be greater than zero. (Only one measure may be used.)</t>
        </r>
      </text>
    </comment>
    <comment ref="AM14" authorId="1" shapeId="0" xr:uid="{3E9E6D14-D505-4507-9E87-D993B135F9E5}">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O14" authorId="1" shapeId="0" xr:uid="{02BE2FDA-3BF5-49FB-B44B-978327F6371B}">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R14" authorId="1" shapeId="0" xr:uid="{D905579C-7718-4E1E-A817-24AA81AD4AC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L16" authorId="1" shapeId="0" xr:uid="{840D4B3F-72B7-4F31-A2DA-4206165FFACE}">
      <text>
        <r>
          <rPr>
            <b/>
            <sz val="9"/>
            <color indexed="81"/>
            <rFont val="Tahoma"/>
            <family val="2"/>
          </rPr>
          <t>Bruyns Fred H:</t>
        </r>
        <r>
          <rPr>
            <sz val="9"/>
            <color indexed="81"/>
            <rFont val="Tahoma"/>
            <family val="2"/>
          </rPr>
          <t xml:space="preserve">
Programming note: This is the output field for the right eye option buttons.</t>
        </r>
      </text>
    </comment>
    <comment ref="O17" authorId="1" shapeId="0" xr:uid="{F2D8DCC2-A7C5-44C4-A386-BE9EDABC9085}">
      <text>
        <r>
          <rPr>
            <b/>
            <sz val="9"/>
            <color indexed="81"/>
            <rFont val="Tahoma"/>
            <family val="2"/>
          </rPr>
          <t>Bruyns Fred H:</t>
        </r>
        <r>
          <rPr>
            <sz val="9"/>
            <color indexed="81"/>
            <rFont val="Tahoma"/>
            <family val="2"/>
          </rPr>
          <t xml:space="preserve">
Programming note: This formula first checks to see if either the near/far vision average is zero or  the lens involvement value is zero; if so, the ouput is the sum of the two values, unrounded. If neither value is equal to zero, the formula returns a combined (rounded) impairment value.</t>
        </r>
      </text>
    </comment>
    <comment ref="AF17" authorId="1" shapeId="0" xr:uid="{281CCA95-4D51-4844-B24C-918846E69903}">
      <text>
        <r>
          <rPr>
            <b/>
            <sz val="9"/>
            <color indexed="81"/>
            <rFont val="Tahoma"/>
            <family val="2"/>
          </rPr>
          <t>Bruyns Fred H:</t>
        </r>
        <r>
          <rPr>
            <sz val="9"/>
            <color indexed="81"/>
            <rFont val="Tahoma"/>
            <family val="2"/>
          </rPr>
          <t xml:space="preserve">
Programming note: This formula first checks to see if either the near/far vision average is zero or  the lens involvement value is zero; if so, the ouput is the sum of the two values, unrounded. If neither value is equal to zero, the formula returns a combined (rounded) impairment value.</t>
        </r>
      </text>
    </comment>
    <comment ref="AL17" authorId="1" shapeId="0" xr:uid="{A2888053-1775-41EF-8959-A91EE433C2A6}">
      <text>
        <r>
          <rPr>
            <b/>
            <sz val="9"/>
            <color indexed="81"/>
            <rFont val="Tahoma"/>
            <family val="2"/>
          </rPr>
          <t>Bruyns Fred H:</t>
        </r>
        <r>
          <rPr>
            <sz val="9"/>
            <color indexed="81"/>
            <rFont val="Tahoma"/>
            <family val="2"/>
          </rPr>
          <t xml:space="preserve">
Programming note: This is the output field for the left eye option buttons.</t>
        </r>
      </text>
    </comment>
    <comment ref="AK20" authorId="1" shapeId="0" xr:uid="{FC61D999-AE01-4E57-A8B1-544599BF796C}">
      <text>
        <r>
          <rPr>
            <b/>
            <sz val="9"/>
            <color indexed="81"/>
            <rFont val="Tahoma"/>
            <family val="2"/>
          </rPr>
          <t>Bruyns Fred H:</t>
        </r>
        <r>
          <rPr>
            <sz val="9"/>
            <color indexed="81"/>
            <rFont val="Tahoma"/>
            <family val="2"/>
          </rPr>
          <t xml:space="preserve">
Programming note: Checkbox output: TRUE or FALSE.</t>
        </r>
      </text>
    </comment>
    <comment ref="AL20" authorId="1" shapeId="0" xr:uid="{2E844BC8-FEAA-4480-878E-EFE4AEB722C5}">
      <text>
        <r>
          <rPr>
            <b/>
            <sz val="9"/>
            <color indexed="81"/>
            <rFont val="Tahoma"/>
            <family val="2"/>
          </rPr>
          <t>Bruyns Fred H:</t>
        </r>
        <r>
          <rPr>
            <sz val="9"/>
            <color indexed="81"/>
            <rFont val="Tahoma"/>
            <family val="2"/>
          </rPr>
          <t xml:space="preserve">
Programming note: Checkbox output: TRUE or FALSE.</t>
        </r>
      </text>
    </comment>
    <comment ref="AO21" authorId="1" shapeId="0" xr:uid="{766059B2-52EA-4417-A11A-F226814DA67F}">
      <text>
        <r>
          <rPr>
            <b/>
            <sz val="9"/>
            <color indexed="81"/>
            <rFont val="Tahoma"/>
            <family val="2"/>
          </rPr>
          <t>Bruyns Fred H:</t>
        </r>
        <r>
          <rPr>
            <sz val="9"/>
            <color indexed="81"/>
            <rFont val="Tahoma"/>
            <family val="2"/>
          </rPr>
          <t xml:space="preserve">
Programming note: Perimetric values are rated (by formula) in the Eye-Table, and the percentage of impairment is displayed in this cell.</t>
        </r>
      </text>
    </comment>
    <comment ref="AP21" authorId="1" shapeId="0" xr:uid="{2D3E45E3-D842-43F7-AF94-CEA0180591CE}">
      <text>
        <r>
          <rPr>
            <b/>
            <sz val="9"/>
            <color indexed="81"/>
            <rFont val="Tahoma"/>
            <family val="2"/>
          </rPr>
          <t>Bruyns Fred H:</t>
        </r>
        <r>
          <rPr>
            <sz val="9"/>
            <color indexed="81"/>
            <rFont val="Tahoma"/>
            <family val="2"/>
          </rPr>
          <t xml:space="preserve">
Programming note: Perimetric values are rated (by formula) in the Eye-Table, and the percentage of impairment is displayed in this cell.</t>
        </r>
      </text>
    </comment>
    <comment ref="AL22" authorId="1" shapeId="0" xr:uid="{ED70BB61-C207-4DD1-8D12-F2C19D424B84}">
      <text>
        <r>
          <rPr>
            <b/>
            <sz val="9"/>
            <color indexed="81"/>
            <rFont val="Tahoma"/>
            <family val="2"/>
          </rPr>
          <t>Bruyns Fred H:</t>
        </r>
        <r>
          <rPr>
            <sz val="9"/>
            <color indexed="81"/>
            <rFont val="Tahoma"/>
            <family val="2"/>
          </rPr>
          <t xml:space="preserve">
Programming note: Formula in left column below inserts impairment value corresponding to 1/4 or 1/2 visual field loss. Formula in right column below inserts "1" if perimetric measurements have been overwritten with "0"s due to 1/4 or 1/2 visual field loss. </t>
        </r>
      </text>
    </comment>
    <comment ref="AN22" authorId="1" shapeId="0" xr:uid="{381AED1E-EAD7-4276-BF4C-BCEFFC1425CC}">
      <text>
        <r>
          <rPr>
            <b/>
            <sz val="9"/>
            <color indexed="81"/>
            <rFont val="Tahoma"/>
            <family val="2"/>
          </rPr>
          <t>Bruyns Fred H:</t>
        </r>
        <r>
          <rPr>
            <sz val="9"/>
            <color indexed="81"/>
            <rFont val="Tahoma"/>
            <family val="2"/>
          </rPr>
          <t xml:space="preserve">
Programming note: Formula in left column below inserts impairment value corresponding to 1/4 or 1/2 visual field loss. Formula in right column below inserts "1" if perimetric measurements have been overwritten with "0"s due to 1/4 or 1/2 visual field loss. </t>
        </r>
      </text>
    </comment>
    <comment ref="AP29" authorId="1" shapeId="0" xr:uid="{DAEDBC0A-C2DB-4FAE-9F38-4AF4D68C6C4C}">
      <text>
        <r>
          <rPr>
            <b/>
            <sz val="9"/>
            <color indexed="81"/>
            <rFont val="Tahoma"/>
            <family val="2"/>
          </rPr>
          <t>Bruyns Fred H:</t>
        </r>
        <r>
          <rPr>
            <sz val="9"/>
            <color indexed="81"/>
            <rFont val="Tahoma"/>
            <family val="2"/>
          </rPr>
          <t xml:space="preserve">
The formulas below sum the perimetric values and scotoma. If the Sum = the scotoma value, that means only scotoma has been entered. This will prompt an error message of "Missing perimetric values."</t>
        </r>
      </text>
    </comment>
    <comment ref="AL38" authorId="1" shapeId="0" xr:uid="{53CDF58E-2161-4CCA-93E5-AEC9ABBB6220}">
      <text>
        <r>
          <rPr>
            <b/>
            <sz val="9"/>
            <color indexed="81"/>
            <rFont val="Tahoma"/>
            <family val="2"/>
          </rPr>
          <t>Bruyns Fred H:</t>
        </r>
        <r>
          <rPr>
            <sz val="9"/>
            <color indexed="81"/>
            <rFont val="Tahoma"/>
            <family val="2"/>
          </rPr>
          <t xml:space="preserve">
Programming note: The list below is used to populate pull-down menus in the charts for ocular motility impairment.</t>
        </r>
      </text>
    </comment>
    <comment ref="AL56" authorId="1" shapeId="0" xr:uid="{A8736D00-73F4-419A-B2DC-54F63DECE823}">
      <text>
        <r>
          <rPr>
            <b/>
            <sz val="9"/>
            <color indexed="81"/>
            <rFont val="Tahoma"/>
            <family val="2"/>
          </rPr>
          <t>Bruyns Fred H:</t>
        </r>
        <r>
          <rPr>
            <sz val="9"/>
            <color indexed="81"/>
            <rFont val="Tahoma"/>
            <family val="2"/>
          </rPr>
          <t xml:space="preserve">
Programming note: TRUE or FALSE are output from enucleation checkboxes in the chart.</t>
        </r>
      </text>
    </comment>
    <comment ref="AM56" authorId="1" shapeId="0" xr:uid="{C402CF1D-41DE-4830-B3CD-C752D4A73C70}">
      <text>
        <r>
          <rPr>
            <b/>
            <sz val="9"/>
            <color indexed="81"/>
            <rFont val="Tahoma"/>
            <family val="2"/>
          </rPr>
          <t>Bruyns Fred H:</t>
        </r>
        <r>
          <rPr>
            <sz val="9"/>
            <color indexed="81"/>
            <rFont val="Tahoma"/>
            <family val="2"/>
          </rPr>
          <t xml:space="preserve">
Programming note: TRUE or FALSE are output from enucleation checkboxes in the chart.</t>
        </r>
      </text>
    </comment>
    <comment ref="AN59" authorId="1" shapeId="0" xr:uid="{72E83387-DC47-45DB-B9A5-5E6CA1CBA250}">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I if there is no apportionment, or from Column O if the disability is apportioned.</t>
        </r>
      </text>
    </comment>
    <comment ref="AO59" authorId="1" shapeId="0" xr:uid="{EE769F34-9424-4D1C-8471-23AE010FC7B5}">
      <text>
        <r>
          <rPr>
            <b/>
            <sz val="9"/>
            <color indexed="81"/>
            <rFont val="Tahoma"/>
            <family val="2"/>
          </rPr>
          <t>Bruyns Fred H:</t>
        </r>
        <r>
          <rPr>
            <sz val="9"/>
            <color indexed="81"/>
            <rFont val="Tahoma"/>
            <family val="2"/>
          </rPr>
          <t xml:space="preserve">
Programming note: Transfered values at left are rounded in this column. The value at the bottom of the column is the total impairment value for body part.</t>
        </r>
      </text>
    </comment>
    <comment ref="AP59" authorId="1" shapeId="0" xr:uid="{DB7FB6B7-14B3-41B9-9772-49DB7ADE6F87}">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Q59" authorId="1" shapeId="0" xr:uid="{CF6E83EE-B5E4-4A23-A83F-5867714AF245}">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R59" authorId="1" shapeId="0" xr:uid="{5BD60661-5954-498D-988F-46A114CFB013}">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AS59" authorId="1" shapeId="0" xr:uid="{EE444193-649D-4BF4-9E81-7FE67DC98631}">
      <text>
        <r>
          <rPr>
            <b/>
            <sz val="9"/>
            <color indexed="81"/>
            <rFont val="Tahoma"/>
            <family val="2"/>
          </rPr>
          <t>Bruyns Fred H:</t>
        </r>
        <r>
          <rPr>
            <sz val="9"/>
            <color indexed="81"/>
            <rFont val="Tahoma"/>
            <family val="2"/>
          </rPr>
          <t xml:space="preserve">
Programming note: Formulas in this column transfer percentages of disability from the chart at the left, from Column Z if there is no apportionment, or from Column AF if the disability is apportioned.</t>
        </r>
      </text>
    </comment>
    <comment ref="AT59" authorId="1" shapeId="0" xr:uid="{9635EAF4-F1E2-4441-96C3-5BF29303B7E9}">
      <text>
        <r>
          <rPr>
            <b/>
            <sz val="9"/>
            <color indexed="81"/>
            <rFont val="Tahoma"/>
            <family val="2"/>
          </rPr>
          <t>Bruyns Fred H:</t>
        </r>
        <r>
          <rPr>
            <sz val="9"/>
            <color indexed="81"/>
            <rFont val="Tahoma"/>
            <family val="2"/>
          </rPr>
          <t xml:space="preserve">
Programming note: Transfered values at left are rounded in this column. The value at the bottom of the column is the total impairment value for body part.</t>
        </r>
      </text>
    </comment>
    <comment ref="AU59" authorId="1" shapeId="0" xr:uid="{19DA3BC3-CE73-42C7-B7AE-B9773A19BDAC}">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V59" authorId="1" shapeId="0" xr:uid="{8B963779-AF50-4518-BF6A-63DA9BD6FE24}">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AW59" authorId="1" shapeId="0" xr:uid="{AA09F5D5-E05B-42FC-9EE3-B563A27D80B9}">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I60" authorId="1" shapeId="0" xr:uid="{53DF1A0B-C795-41BA-BD1F-2C9CBFCA5E4D}">
      <text>
        <r>
          <rPr>
            <b/>
            <sz val="9"/>
            <color indexed="81"/>
            <rFont val="Tahoma"/>
            <family val="2"/>
          </rPr>
          <t>Bruyns Fred H:</t>
        </r>
        <r>
          <rPr>
            <sz val="9"/>
            <color indexed="81"/>
            <rFont val="Tahoma"/>
            <family val="2"/>
          </rPr>
          <t xml:space="preserve">
Programming note: Apportionment (if any) of central vision loss is done above - where vision loss data is entered</t>
        </r>
      </text>
    </comment>
    <comment ref="Z60" authorId="1" shapeId="0" xr:uid="{22C74D7D-6A60-443E-9A90-FBFA6B26F1EC}">
      <text>
        <r>
          <rPr>
            <b/>
            <sz val="9"/>
            <color indexed="81"/>
            <rFont val="Tahoma"/>
            <family val="2"/>
          </rPr>
          <t>Bruyns Fred H:</t>
        </r>
        <r>
          <rPr>
            <sz val="9"/>
            <color indexed="81"/>
            <rFont val="Tahoma"/>
            <family val="2"/>
          </rPr>
          <t xml:space="preserve">
Programming note: Apportionment (if any) of central vision loss is done above - where vision loss data is entered</t>
        </r>
      </text>
    </comment>
    <comment ref="I67" authorId="1" shapeId="0" xr:uid="{79262C0B-A0A1-4FD0-B582-8B64A0121C3B}">
      <text>
        <r>
          <rPr>
            <b/>
            <sz val="9"/>
            <color indexed="81"/>
            <rFont val="Tahoma"/>
            <family val="2"/>
          </rPr>
          <t>Bruyns Fred H:</t>
        </r>
        <r>
          <rPr>
            <sz val="9"/>
            <color indexed="81"/>
            <rFont val="Tahoma"/>
            <family val="2"/>
          </rPr>
          <t xml:space="preserve">
Programming note: This formula returns an unrounded impairment percentage if only one type of vision loss is rated. Otherwise, the output is the combined (and rounded) value of multiple types of vision impairment</t>
        </r>
      </text>
    </comment>
    <comment ref="Z67" authorId="1" shapeId="0" xr:uid="{31069898-37AE-4671-A0F9-6D12ED4B9303}">
      <text>
        <r>
          <rPr>
            <b/>
            <sz val="9"/>
            <color indexed="81"/>
            <rFont val="Tahoma"/>
            <family val="2"/>
          </rPr>
          <t>Bruyns Fred H:</t>
        </r>
        <r>
          <rPr>
            <sz val="9"/>
            <color indexed="81"/>
            <rFont val="Tahoma"/>
            <family val="2"/>
          </rPr>
          <t xml:space="preserve">
Programming note: This formula returns an unrounded impairment percentage if only one type of vision loss is rated. Otherwise, the output is the combined (and rounded) value of multiple types of vision impairment</t>
        </r>
      </text>
    </comment>
    <comment ref="AL70" authorId="1" shapeId="0" xr:uid="{7AA920A8-5413-4D28-9859-7662272D4B20}">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M70" authorId="1" shapeId="0" xr:uid="{E316515D-C777-43AE-A98E-96A7676C695A}">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AN70" authorId="1" shapeId="0" xr:uid="{37F2670D-A16F-4140-AC3E-97A9F5CC4E9D}">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Q73" authorId="1" shapeId="0" xr:uid="{AEA2E883-51D4-4184-97D8-4A108909B9C8}">
      <text>
        <r>
          <rPr>
            <b/>
            <sz val="9"/>
            <color indexed="81"/>
            <rFont val="Tahoma"/>
            <family val="2"/>
          </rPr>
          <t>Bruyns Fred H:</t>
        </r>
        <r>
          <rPr>
            <sz val="9"/>
            <color indexed="81"/>
            <rFont val="Tahoma"/>
            <family val="2"/>
          </rPr>
          <t xml:space="preserve">
Programming note: Formula returns combined value, but if one of the eyes has zero impairment, the result will equal the value in the eye that has impairment.</t>
        </r>
      </text>
    </comment>
    <comment ref="AL95" authorId="0" shapeId="0" xr:uid="{00000000-0006-0000-0900-000001000000}">
      <text>
        <r>
          <rPr>
            <b/>
            <sz val="9"/>
            <color indexed="81"/>
            <rFont val="Tahoma"/>
            <family val="2"/>
          </rPr>
          <t>Fred Bruyns:</t>
        </r>
        <r>
          <rPr>
            <sz val="9"/>
            <color indexed="81"/>
            <rFont val="Tahoma"/>
            <family val="2"/>
          </rPr>
          <t xml:space="preserve">
Programming note: Formula returns "4" if binocular rating yields the highest impairment rating; "3" if monaural rating has the higher value; "2" if the right eye is rated; and "1" if the left eye is rated.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Fred Bruyns</author>
    <author>Bruyns Fred H</author>
  </authors>
  <commentList>
    <comment ref="T1" authorId="0" shapeId="0" xr:uid="{F0BC2F25-C414-4312-B829-FF8DEF8C567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right will display in a linked cell at the bottom of this worksheet. The linked cell is a shortcut to the appropriate PPD award calculation sheet.</t>
        </r>
      </text>
    </comment>
    <comment ref="U1" authorId="0" shapeId="0" xr:uid="{4BEACBB4-B95E-474F-91BE-8028DB3FEF39}">
      <text>
        <r>
          <rPr>
            <b/>
            <sz val="9"/>
            <color indexed="81"/>
            <rFont val="Tahoma"/>
            <family val="2"/>
          </rPr>
          <t>Fred Bruyns:</t>
        </r>
        <r>
          <rPr>
            <sz val="9"/>
            <color indexed="81"/>
            <rFont val="Tahoma"/>
            <family val="2"/>
          </rPr>
          <t xml:space="preserve">
Formula compares dates in the cells to the left and either displays "Go to PPD Worksheet" or nothing. The message in this cell or the cell to the left will display in a linked cell at the bottom of this worksheet. The linked cell is a shortcut to the appropriate PPD award calculation sheet.</t>
        </r>
      </text>
    </comment>
    <comment ref="S7" authorId="1" shapeId="0" xr:uid="{162E40A6-A8DB-432E-AB50-315672C4D5FE}">
      <text>
        <r>
          <rPr>
            <b/>
            <sz val="9"/>
            <color indexed="81"/>
            <rFont val="Tahoma"/>
            <family val="2"/>
          </rPr>
          <t>Bruyns Fred H:</t>
        </r>
        <r>
          <rPr>
            <sz val="9"/>
            <color indexed="81"/>
            <rFont val="Tahoma"/>
            <family val="2"/>
          </rPr>
          <t xml:space="preserve">
Programming note: 180 degrees of forward elevation (flexion) of the shoulder is considered normal - no impairment. See OAR 436-035-0330.</t>
        </r>
      </text>
    </comment>
    <comment ref="T7" authorId="1" shapeId="0" xr:uid="{5149F55F-5F46-4B14-869C-116B52397A2E}">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7" authorId="1" shapeId="0" xr:uid="{5DD4F3BB-C66C-4397-A70D-F542895349B6}">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7" authorId="1" shapeId="0" xr:uid="{39AD77F3-A76B-491C-9F76-AE56535989AF}">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7" authorId="1" shapeId="0" xr:uid="{D14282CB-5A00-4615-B020-CF72CFC25AE8}">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X7" authorId="1" shapeId="0" xr:uid="{55F96951-0356-4189-9828-940326033420}">
      <text>
        <r>
          <rPr>
            <b/>
            <sz val="9"/>
            <color indexed="81"/>
            <rFont val="Tahoma"/>
            <family val="2"/>
          </rPr>
          <t>Bruyns Fred H:</t>
        </r>
        <r>
          <rPr>
            <sz val="9"/>
            <color indexed="81"/>
            <rFont val="Tahoma"/>
            <family val="2"/>
          </rPr>
          <t xml:space="preserve">
Programming note: Formula first checks if both ROM loss and ankylosis are present, and if so returns "ERROR." Otherwise, formula returns sum of ROM values and maximum ankylosis value.</t>
        </r>
      </text>
    </comment>
    <comment ref="S8" authorId="1" shapeId="0" xr:uid="{5F8D009E-2144-425C-A3D3-AEC70A48A96D}">
      <text>
        <r>
          <rPr>
            <b/>
            <sz val="9"/>
            <color indexed="81"/>
            <rFont val="Tahoma"/>
            <family val="2"/>
          </rPr>
          <t>Bruyns Fred H:</t>
        </r>
        <r>
          <rPr>
            <sz val="9"/>
            <color indexed="81"/>
            <rFont val="Tahoma"/>
            <family val="2"/>
          </rPr>
          <t xml:space="preserve">
Programming note: Forward elevation (flexion) ankylosis - see OAR 436-035-0330.</t>
        </r>
      </text>
    </comment>
    <comment ref="T8" authorId="1" shapeId="0" xr:uid="{E8A8833B-6977-4E5E-95D7-FD509C668C2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9" authorId="1" shapeId="0" xr:uid="{31DAEA69-95F9-43BD-B530-1A73AF25C53F}">
      <text>
        <r>
          <rPr>
            <b/>
            <sz val="9"/>
            <color indexed="81"/>
            <rFont val="Tahoma"/>
            <family val="2"/>
          </rPr>
          <t>Bruyns Fred H:</t>
        </r>
        <r>
          <rPr>
            <sz val="9"/>
            <color indexed="81"/>
            <rFont val="Tahoma"/>
            <family val="2"/>
          </rPr>
          <t xml:space="preserve">
Programming note: 50 degrees of backward elevation (extension) of the shoulder is considered normal - no impairment. See OAR 436-035-0330.</t>
        </r>
      </text>
    </comment>
    <comment ref="T9" authorId="1" shapeId="0" xr:uid="{F250FE87-1002-4C3A-ABE1-AD732F0CB39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9" authorId="1" shapeId="0" xr:uid="{9D641998-B870-45DA-A57D-FE12B08103D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9" authorId="1" shapeId="0" xr:uid="{A83E723C-E65E-47FE-A28F-33D9936B23F4}">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9" authorId="1" shapeId="0" xr:uid="{AA73ADCB-7F02-4AC5-8FD5-3B93809BBFE2}">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X9" authorId="1" shapeId="0" xr:uid="{6118F166-4DCC-4B47-BA5F-E12D0B0CBC03}">
      <text>
        <r>
          <rPr>
            <b/>
            <sz val="9"/>
            <color indexed="81"/>
            <rFont val="Tahoma"/>
            <family val="2"/>
          </rPr>
          <t>Bruyns Fred H:</t>
        </r>
        <r>
          <rPr>
            <sz val="9"/>
            <color indexed="81"/>
            <rFont val="Tahoma"/>
            <family val="2"/>
          </rPr>
          <t xml:space="preserve">
Programming note: Under OAR 436-035-0330, "When two or more ankylosis positions are documented, select the one direction representing the largest impairment." </t>
        </r>
      </text>
    </comment>
    <comment ref="S10" authorId="1" shapeId="0" xr:uid="{7926257D-7B94-4BE3-B4FE-B613C4E11A61}">
      <text>
        <r>
          <rPr>
            <b/>
            <sz val="9"/>
            <color indexed="81"/>
            <rFont val="Tahoma"/>
            <family val="2"/>
          </rPr>
          <t>Bruyns Fred H:</t>
        </r>
        <r>
          <rPr>
            <sz val="9"/>
            <color indexed="81"/>
            <rFont val="Tahoma"/>
            <family val="2"/>
          </rPr>
          <t xml:space="preserve">
Programming note: Backward elevation (extension) ankylosis - see OAR 436-035-0330.</t>
        </r>
      </text>
    </comment>
    <comment ref="T10" authorId="1" shapeId="0" xr:uid="{E82B9F26-891B-4DF4-8FA5-11A6FBD5F66B}">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1" authorId="1" shapeId="0" xr:uid="{17C06EE8-A4A5-4ADA-8916-EE18CCFED871}">
      <text>
        <r>
          <rPr>
            <b/>
            <sz val="9"/>
            <color indexed="81"/>
            <rFont val="Tahoma"/>
            <family val="2"/>
          </rPr>
          <t>Bruyns Fred H:</t>
        </r>
        <r>
          <rPr>
            <sz val="9"/>
            <color indexed="81"/>
            <rFont val="Tahoma"/>
            <family val="2"/>
          </rPr>
          <t xml:space="preserve">
Programming note: 170 to 180 degrees of abduction of the shoulder is considered normal - no impairment. See OAR 436-035-0330.</t>
        </r>
      </text>
    </comment>
    <comment ref="T11" authorId="1" shapeId="0" xr:uid="{99DC0FE4-5562-42C8-81A7-D1BAEADC3CD5}">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1" authorId="1" shapeId="0" xr:uid="{A24A70E9-F955-44BC-967B-FA4E1ADC1BA9}">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1" authorId="1" shapeId="0" xr:uid="{3836417D-EB50-4F33-A015-0F477D67FA78}">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1" authorId="1" shapeId="0" xr:uid="{16843FC3-A29A-4858-9FEB-58E9E74FA0CD}">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180 (max/normal). See instructions for this formula under OAR 436-035-0011. </t>
        </r>
      </text>
    </comment>
    <comment ref="S12" authorId="1" shapeId="0" xr:uid="{3EFFBA68-5F88-4B79-A4EF-43413A5DBDDA}">
      <text>
        <r>
          <rPr>
            <b/>
            <sz val="9"/>
            <color indexed="81"/>
            <rFont val="Tahoma"/>
            <family val="2"/>
          </rPr>
          <t>Bruyns Fred H:</t>
        </r>
        <r>
          <rPr>
            <sz val="9"/>
            <color indexed="81"/>
            <rFont val="Tahoma"/>
            <family val="2"/>
          </rPr>
          <t xml:space="preserve">
Programming note: Abduction ankylosis - see OAR 436-035-0330.</t>
        </r>
      </text>
    </comment>
    <comment ref="T12" authorId="1" shapeId="0" xr:uid="{B5A8F52F-FF8E-46B9-B368-80F02168224A}">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3" authorId="1" shapeId="0" xr:uid="{59E6BB9C-2086-4586-A3D5-74C9D2DEFBE6}">
      <text>
        <r>
          <rPr>
            <b/>
            <sz val="9"/>
            <color indexed="81"/>
            <rFont val="Tahoma"/>
            <family val="2"/>
          </rPr>
          <t>Bruyns Fred H:</t>
        </r>
        <r>
          <rPr>
            <sz val="9"/>
            <color indexed="81"/>
            <rFont val="Tahoma"/>
            <family val="2"/>
          </rPr>
          <t xml:space="preserve">
Programming note: 40 to 50 degrees of adduction of the shoulder is considered normal - no impairment. See OAR 436-035-0330.</t>
        </r>
      </text>
    </comment>
    <comment ref="T13" authorId="1" shapeId="0" xr:uid="{8EC8464B-637E-42EC-88E9-85BF558824E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3" authorId="1" shapeId="0" xr:uid="{23B7E838-9A11-4E38-B40D-2A6BEB42E063}">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3" authorId="1" shapeId="0" xr:uid="{7400FD04-37A7-41CE-A318-9B0102A958F6}">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3" authorId="1" shapeId="0" xr:uid="{315F538B-00D9-4D42-B590-469026BB62BE}">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50 (max/normal). See instructions for this formula under OAR 436-035-0011. </t>
        </r>
      </text>
    </comment>
    <comment ref="S14" authorId="1" shapeId="0" xr:uid="{950DEE7C-67E7-4665-82C3-2A32FEC8D92B}">
      <text>
        <r>
          <rPr>
            <b/>
            <sz val="9"/>
            <color indexed="81"/>
            <rFont val="Tahoma"/>
            <family val="2"/>
          </rPr>
          <t>Bruyns Fred H:</t>
        </r>
        <r>
          <rPr>
            <sz val="9"/>
            <color indexed="81"/>
            <rFont val="Tahoma"/>
            <family val="2"/>
          </rPr>
          <t xml:space="preserve">
Programming note: Adduction ankylosis - see OAR 436-035-0330.</t>
        </r>
      </text>
    </comment>
    <comment ref="T14" authorId="1" shapeId="0" xr:uid="{0A135F71-6980-42C6-A25F-7F804E38246C}">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5" authorId="1" shapeId="0" xr:uid="{3D337FAD-E7E2-4D00-9C4E-2532730F16A6}">
      <text>
        <r>
          <rPr>
            <b/>
            <sz val="9"/>
            <color indexed="81"/>
            <rFont val="Tahoma"/>
            <family val="2"/>
          </rPr>
          <t>Bruyns Fred H:</t>
        </r>
        <r>
          <rPr>
            <sz val="9"/>
            <color indexed="81"/>
            <rFont val="Tahoma"/>
            <family val="2"/>
          </rPr>
          <t xml:space="preserve">
Programming note: 80 to 90 degrees of internal rotation of the shoulder is considered normal - no impairment. See OAR 436-035-0330.</t>
        </r>
      </text>
    </comment>
    <comment ref="T15" authorId="1" shapeId="0" xr:uid="{966019E3-D096-4C5F-86EE-8131232C5B04}">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5" authorId="1" shapeId="0" xr:uid="{864C8581-F1E6-4E7E-8A72-DCBA8C7167B1}">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5" authorId="1" shapeId="0" xr:uid="{61A10882-BD7F-4362-A404-F5DDF4CD6207}">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5" authorId="1" shapeId="0" xr:uid="{6076D1F0-B463-496A-AA66-43A5F22CCA14}">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6" authorId="1" shapeId="0" xr:uid="{753656CB-4FE8-4691-878D-0A564E018F7C}">
      <text>
        <r>
          <rPr>
            <b/>
            <sz val="9"/>
            <color indexed="81"/>
            <rFont val="Tahoma"/>
            <family val="2"/>
          </rPr>
          <t>Bruyns Fred H:</t>
        </r>
        <r>
          <rPr>
            <sz val="9"/>
            <color indexed="81"/>
            <rFont val="Tahoma"/>
            <family val="2"/>
          </rPr>
          <t xml:space="preserve">
Programming note: Internal rotation ankylosis - see OAR 436-035-0330.</t>
        </r>
      </text>
    </comment>
    <comment ref="T16" authorId="1" shapeId="0" xr:uid="{786ED9CD-B25F-47F9-99A6-DE447AE4C84D}">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S17" authorId="1" shapeId="0" xr:uid="{9E0D39DA-E654-4303-BF69-08D4EF58B2E4}">
      <text>
        <r>
          <rPr>
            <b/>
            <sz val="9"/>
            <color indexed="81"/>
            <rFont val="Tahoma"/>
            <family val="2"/>
          </rPr>
          <t>Bruyns Fred H:</t>
        </r>
        <r>
          <rPr>
            <sz val="9"/>
            <color indexed="81"/>
            <rFont val="Tahoma"/>
            <family val="2"/>
          </rPr>
          <t xml:space="preserve">
Programming note: 60 to 90 degrees of external rotation of the shoulder is considered normal - no impairment. See OAR 436-035-0330.</t>
        </r>
      </text>
    </comment>
    <comment ref="T17" authorId="1" shapeId="0" xr:uid="{E303BD72-00E9-40A9-BD6B-7EE2DBD4BE88}">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U17" authorId="1" shapeId="0" xr:uid="{11716CBA-1489-4F40-937E-63BDDAB704F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V17" authorId="1" shapeId="0" xr:uid="{93BCE357-B183-4DF0-B397-835C3A3DA83B}">
      <text>
        <r>
          <rPr>
            <b/>
            <sz val="9"/>
            <color indexed="81"/>
            <rFont val="Tahoma"/>
            <family val="2"/>
          </rPr>
          <t>Bruyns Fred H:</t>
        </r>
        <r>
          <rPr>
            <sz val="9"/>
            <color indexed="81"/>
            <rFont val="Tahoma"/>
            <family val="2"/>
          </rPr>
          <t xml:space="preserve">
Programming note: This rounded value is carried into the "Sh-Table" and used for lookup there.</t>
        </r>
      </text>
    </comment>
    <comment ref="W17" authorId="1" shapeId="0" xr:uid="{6D0610A4-ED54-4FBE-B25B-CA9389482581}">
      <text>
        <r>
          <rPr>
            <b/>
            <sz val="9"/>
            <color indexed="81"/>
            <rFont val="Tahoma"/>
            <family val="2"/>
          </rPr>
          <t>Bruyns Fred H:</t>
        </r>
        <r>
          <rPr>
            <sz val="9"/>
            <color indexed="81"/>
            <rFont val="Tahoma"/>
            <family val="2"/>
          </rPr>
          <t xml:space="preserve">
Programming note: The proportion of injured joint retained ROM over (divided by) contralateral side retained ROM is = to the proportion of X over 90 (max/normal). See instructions for this formula under OAR 436-035-0011. </t>
        </r>
      </text>
    </comment>
    <comment ref="S18" authorId="1" shapeId="0" xr:uid="{621E4EF5-CBA0-4149-BCAB-5663A47E8808}">
      <text>
        <r>
          <rPr>
            <b/>
            <sz val="9"/>
            <color indexed="81"/>
            <rFont val="Tahoma"/>
            <family val="2"/>
          </rPr>
          <t>Bruyns Fred H:</t>
        </r>
        <r>
          <rPr>
            <sz val="9"/>
            <color indexed="81"/>
            <rFont val="Tahoma"/>
            <family val="2"/>
          </rPr>
          <t xml:space="preserve">
Programming note: External rotation ankylosis - see OAR 436-035-0330.</t>
        </r>
      </text>
    </comment>
    <comment ref="T18" authorId="1" shapeId="0" xr:uid="{C3102B68-E3FE-418B-8800-9934EE5C5DF7}">
      <text>
        <r>
          <rPr>
            <b/>
            <sz val="9"/>
            <color indexed="81"/>
            <rFont val="Tahoma"/>
            <family val="2"/>
          </rPr>
          <t>Bruyns Fred H:</t>
        </r>
        <r>
          <rPr>
            <sz val="9"/>
            <color indexed="81"/>
            <rFont val="Tahoma"/>
            <family val="2"/>
          </rPr>
          <t xml:space="preserve">
Programming note: Range of motion entered on calculator is adjusted to no more than maximum and no less than zero.</t>
        </r>
      </text>
    </comment>
    <comment ref="Y18" authorId="1" shapeId="0" xr:uid="{19B6CF82-A70D-41D9-BAAE-CD69CC5F8974}">
      <text>
        <r>
          <rPr>
            <b/>
            <sz val="9"/>
            <color indexed="81"/>
            <rFont val="Tahoma"/>
            <family val="2"/>
          </rPr>
          <t>Bruyns Fred H:</t>
        </r>
        <r>
          <rPr>
            <sz val="9"/>
            <color indexed="81"/>
            <rFont val="Tahoma"/>
            <family val="2"/>
          </rPr>
          <t xml:space="preserve">
Programming note: Formula returns "1" if any ROM values are entered.</t>
        </r>
      </text>
    </comment>
    <comment ref="Z18" authorId="1" shapeId="0" xr:uid="{FC1E1B5C-B3B7-4E25-AE25-D0B69EBEA61B}">
      <text>
        <r>
          <rPr>
            <b/>
            <sz val="9"/>
            <color indexed="81"/>
            <rFont val="Tahoma"/>
            <family val="2"/>
          </rPr>
          <t>Bruyns Fred H:</t>
        </r>
        <r>
          <rPr>
            <sz val="9"/>
            <color indexed="81"/>
            <rFont val="Tahoma"/>
            <family val="2"/>
          </rPr>
          <t xml:space="preserve">
Programming note: Formula returns "1" if any ankylosis values are entered.</t>
        </r>
      </text>
    </comment>
    <comment ref="S46" authorId="1" shapeId="0" xr:uid="{883AABBD-BCFD-4C45-8E47-E1F1CD909590}">
      <text>
        <r>
          <rPr>
            <b/>
            <sz val="9"/>
            <color indexed="81"/>
            <rFont val="Tahoma"/>
            <family val="2"/>
          </rPr>
          <t>Bruyns Fred H:</t>
        </r>
        <r>
          <rPr>
            <sz val="9"/>
            <color indexed="81"/>
            <rFont val="Tahoma"/>
            <family val="2"/>
          </rPr>
          <t xml:space="preserve">
Programming note: Impairment values are transferred from chart and rounded.</t>
        </r>
      </text>
    </comment>
    <comment ref="T46" authorId="1" shapeId="0" xr:uid="{48F028F6-6E8F-4F25-9160-097A1E5CD40F}">
      <text>
        <r>
          <rPr>
            <b/>
            <sz val="9"/>
            <color indexed="81"/>
            <rFont val="Tahoma"/>
            <family val="2"/>
          </rPr>
          <t>Bruyns Fred H:</t>
        </r>
        <r>
          <rPr>
            <sz val="9"/>
            <color indexed="81"/>
            <rFont val="Tahoma"/>
            <family val="2"/>
          </rPr>
          <t xml:space="preserve">
Programming note: Formulas in this column sort the impairment values from largest to smallest.</t>
        </r>
      </text>
    </comment>
    <comment ref="U46" authorId="1" shapeId="0" xr:uid="{549EB9B3-738C-4C4A-B419-EC99B97AB01F}">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t>
        </r>
      </text>
    </comment>
    <comment ref="V46" authorId="1" shapeId="0" xr:uid="{AD992167-0D7E-428A-B537-0866B616637E}">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t>
        </r>
      </text>
    </comment>
    <comment ref="T90" authorId="1" shapeId="0" xr:uid="{51725F0C-29F4-47B6-BDF6-19BB57A5A32E}">
      <text>
        <r>
          <rPr>
            <b/>
            <sz val="9"/>
            <color indexed="81"/>
            <rFont val="Tahoma"/>
            <family val="2"/>
          </rPr>
          <t>Bruyns Fred H:</t>
        </r>
        <r>
          <rPr>
            <sz val="9"/>
            <color indexed="81"/>
            <rFont val="Tahoma"/>
            <family val="2"/>
          </rPr>
          <t xml:space="preserve">
Programming note: Values are transferred in from the chart to the left. </t>
        </r>
      </text>
    </comment>
    <comment ref="U90" authorId="1" shapeId="0" xr:uid="{F275E5C7-5AA3-4F26-835D-105F7DB190B2}">
      <text>
        <r>
          <rPr>
            <b/>
            <sz val="9"/>
            <color indexed="81"/>
            <rFont val="Tahoma"/>
            <family val="2"/>
          </rPr>
          <t>Bruyns Fred H:</t>
        </r>
        <r>
          <rPr>
            <sz val="9"/>
            <color indexed="81"/>
            <rFont val="Tahoma"/>
            <family val="2"/>
          </rPr>
          <t xml:space="preserve">
Programming note: Trasnsferred values are sorted in this column, from largest to smallest.</t>
        </r>
      </text>
    </comment>
    <comment ref="V90" authorId="1" shapeId="0" xr:uid="{3619ACBA-F3DC-4A99-8F36-55070444FE6C}">
      <text>
        <r>
          <rPr>
            <b/>
            <sz val="9"/>
            <color indexed="81"/>
            <rFont val="Tahoma"/>
            <family val="2"/>
          </rPr>
          <t>Bruyns Fred H:</t>
        </r>
        <r>
          <rPr>
            <sz val="9"/>
            <color indexed="81"/>
            <rFont val="Tahoma"/>
            <family val="2"/>
          </rPr>
          <t xml:space="preserve">
Programming note: Sorted values to the left are combined in this column. Combining is explained in OAR 436-035-0011(6). Rule numbering is subject to change. This citation is accurate as of 2/24/2022.</t>
        </r>
      </text>
    </comment>
    <comment ref="W90" authorId="1" shapeId="0" xr:uid="{8B3381CC-769F-4555-B76D-67F4E5B094D8}">
      <text>
        <r>
          <rPr>
            <b/>
            <sz val="9"/>
            <color indexed="81"/>
            <rFont val="Tahoma"/>
            <family val="2"/>
          </rPr>
          <t>Bruyns Fred H:</t>
        </r>
        <r>
          <rPr>
            <sz val="9"/>
            <color indexed="81"/>
            <rFont val="Tahoma"/>
            <family val="2"/>
          </rPr>
          <t xml:space="preserve">
Programming note: Combined values at left are rounded in this column. The value at the bottom of the column is the total impairment value for body part.</t>
        </r>
      </text>
    </comment>
    <comment ref="G91" authorId="1" shapeId="0" xr:uid="{8C3B1762-91C1-4BB1-AB38-AFB6CB3429AA}">
      <text>
        <r>
          <rPr>
            <b/>
            <sz val="9"/>
            <color indexed="81"/>
            <rFont val="Tahoma"/>
            <family val="2"/>
          </rPr>
          <t>Bruyns Fred H:</t>
        </r>
        <r>
          <rPr>
            <sz val="9"/>
            <color indexed="81"/>
            <rFont val="Tahoma"/>
            <family val="2"/>
          </rPr>
          <t xml:space="preserve">
If ankylosis is present in the shoulder, apportionment field is greyed out.</t>
        </r>
      </text>
    </comment>
    <comment ref="I91" authorId="1" shapeId="0" xr:uid="{56344F26-A941-4551-8A1A-EFA79CE7F572}">
      <text>
        <r>
          <rPr>
            <b/>
            <sz val="9"/>
            <color indexed="81"/>
            <rFont val="Tahoma"/>
            <family val="2"/>
          </rPr>
          <t>Bruyns Fred H:</t>
        </r>
        <r>
          <rPr>
            <sz val="9"/>
            <color indexed="81"/>
            <rFont val="Tahoma"/>
            <family val="2"/>
          </rPr>
          <t xml:space="preserve">
Programming note: The formula first checks to see if the value in column S is greater than zero but less than one. If so, it returns "1" percent. Otherwise, the formula returns a rounded value from column S.</t>
        </r>
      </text>
    </comment>
    <comment ref="Y92" authorId="1" shapeId="0" xr:uid="{59015B40-3770-47CE-83DF-D7B3502C0DC5}">
      <text>
        <r>
          <rPr>
            <b/>
            <sz val="9"/>
            <color indexed="81"/>
            <rFont val="Tahoma"/>
            <family val="2"/>
          </rPr>
          <t>Bruyns Fred H:</t>
        </r>
        <r>
          <rPr>
            <sz val="9"/>
            <color indexed="81"/>
            <rFont val="Tahoma"/>
            <family val="2"/>
          </rPr>
          <t xml:space="preserve">
Programming note: Formula sums the impairment, if any, for irreversible findings other than ankylosis.</t>
        </r>
      </text>
    </comment>
  </commentList>
</comments>
</file>

<file path=xl/sharedStrings.xml><?xml version="1.0" encoding="utf-8"?>
<sst xmlns="http://schemas.openxmlformats.org/spreadsheetml/2006/main" count="8317" uniqueCount="2340">
  <si>
    <t>No additional impairment value is allowed for reduced range of motion in the spine.
For spinal cord damage that has resulted in the loss of use or function of body part(s) other than upper and lower extremities, a value is given for other affected body part(s) or organ system(s). Refer to the appropriate section of these standards for that determination and combine with impairment valued under this rule.</t>
  </si>
  <si>
    <t xml:space="preserve">White blood cell system impairments
</t>
  </si>
  <si>
    <t xml:space="preserve">Impairment of the parathyroid
Hyperparathyroidism
</t>
  </si>
  <si>
    <t xml:space="preserve">Impairment of the Adrenal Cortex
Hypoadrenalism
</t>
  </si>
  <si>
    <t xml:space="preserve">Impairment of the Adrenal Cortex
Hyper-adrenocorticism
</t>
  </si>
  <si>
    <t>x)</t>
  </si>
  <si>
    <t>y)</t>
  </si>
  <si>
    <t>z)</t>
  </si>
  <si>
    <t>W)</t>
  </si>
  <si>
    <t>I)</t>
  </si>
  <si>
    <t>d)</t>
  </si>
  <si>
    <t>c)</t>
  </si>
  <si>
    <t>b)</t>
  </si>
  <si>
    <t>Gastrointestinal &amp; Genitourinary</t>
  </si>
  <si>
    <t>Endocrine</t>
  </si>
  <si>
    <t>Integument &amp; Lacrimal</t>
  </si>
  <si>
    <t>Immune System</t>
  </si>
  <si>
    <t>Hip - Right</t>
  </si>
  <si>
    <t>Hip - Left</t>
  </si>
  <si>
    <t>1)</t>
  </si>
  <si>
    <t>2)</t>
  </si>
  <si>
    <t>3)</t>
  </si>
  <si>
    <t>4)</t>
  </si>
  <si>
    <t>5)</t>
  </si>
  <si>
    <t>6)</t>
  </si>
  <si>
    <t>7)</t>
  </si>
  <si>
    <t>Baseline audiogram
(if performed)</t>
  </si>
  <si>
    <t>Right shoulder</t>
  </si>
  <si>
    <t>1=Yes, except ankylosis</t>
  </si>
  <si>
    <t>Right ear</t>
  </si>
  <si>
    <t>Left ear</t>
  </si>
  <si>
    <t>Frequencies (Hz)    500</t>
  </si>
  <si>
    <t>Right arm
Arm strength loss is rated in the hand/forearm section. Click link at right to rate strength.</t>
  </si>
  <si>
    <t>Subtotals</t>
  </si>
  <si>
    <t>Thoracic spine: Total impairment for surgical procedures:</t>
  </si>
  <si>
    <t xml:space="preserve">A worker is presumed to have met the SVP training time after completing employment with one or more employers in that job classification for the time period specified in the table. </t>
  </si>
  <si>
    <t>College training organized around a specific vocational objective is considered specific vocational training.</t>
  </si>
  <si>
    <t>Lateral collateral ligament damage</t>
  </si>
  <si>
    <t>First cranial nerve; loss or alteration of sense of smell</t>
  </si>
  <si>
    <t>Fifth cranial nerve; trigeminal - loss or alteration of sensation</t>
  </si>
  <si>
    <t>Seventh cranial nerve; loss or alteration of sense of taste</t>
  </si>
  <si>
    <t>Seventh cranial nerve; motor loss in the face</t>
  </si>
  <si>
    <t>Eighth cranial nerve; disequilibrium</t>
  </si>
  <si>
    <t>Eighth cranial nerve; tinnitus</t>
  </si>
  <si>
    <t>V/HM</t>
  </si>
  <si>
    <t>V/HM/H</t>
  </si>
  <si>
    <t>V/HH</t>
  </si>
  <si>
    <t>V/HV/H</t>
  </si>
  <si>
    <t>Ring finger, DIP joint, radial side only, total loss</t>
  </si>
  <si>
    <t>temporarily increase limitations.</t>
  </si>
  <si>
    <r>
      <t xml:space="preserve">(b) </t>
    </r>
    <r>
      <rPr>
        <b/>
        <sz val="10"/>
        <rFont val="Times New Roman"/>
        <family val="1"/>
      </rPr>
      <t xml:space="preserve">Class 2: </t>
    </r>
    <r>
      <rPr>
        <sz val="10"/>
        <rFont val="Times New Roman"/>
        <family val="1"/>
      </rPr>
      <t>15% for the affected body part if intermittent treatments and prescribed examinations are</t>
    </r>
  </si>
  <si>
    <t>required, and the worker has some limitations in the performance of activities of daily living.</t>
  </si>
  <si>
    <r>
      <t xml:space="preserve">(c) </t>
    </r>
    <r>
      <rPr>
        <b/>
        <sz val="10"/>
        <rFont val="Times New Roman"/>
        <family val="1"/>
      </rPr>
      <t>Class 3:</t>
    </r>
    <r>
      <rPr>
        <sz val="10"/>
        <rFont val="Times New Roman"/>
        <family val="1"/>
      </rPr>
      <t xml:space="preserve"> 38% for the affected body part if regularly prescribed examinations</t>
    </r>
    <r>
      <rPr>
        <b/>
        <sz val="10"/>
        <rFont val="Times New Roman"/>
        <family val="1"/>
      </rPr>
      <t xml:space="preserve"> </t>
    </r>
    <r>
      <rPr>
        <sz val="10"/>
        <rFont val="Times New Roman"/>
        <family val="1"/>
      </rPr>
      <t>and continuous</t>
    </r>
  </si>
  <si>
    <t>treatments are required, and the worker has many limitations in the performance of activities of daily living.</t>
  </si>
  <si>
    <r>
      <t xml:space="preserve">(d) </t>
    </r>
    <r>
      <rPr>
        <b/>
        <sz val="10"/>
        <rFont val="Times New Roman"/>
        <family val="1"/>
      </rPr>
      <t>Class 4:</t>
    </r>
    <r>
      <rPr>
        <sz val="10"/>
        <rFont val="Times New Roman"/>
        <family val="1"/>
      </rPr>
      <t xml:space="preserve"> 68% for the affected body part if continuous prescribed treatments are required. The</t>
    </r>
  </si>
  <si>
    <t>treatment may include periodically having the worker stay home or admitting the worker to a care facility,</t>
  </si>
  <si>
    <t>Converted values are added; total left hand value:</t>
  </si>
  <si>
    <t>Left Upper Extremity Disability Determination
Permanent Partial Disability - Date of injury prior to 1/1/2005</t>
  </si>
  <si>
    <t>Total impairment, left leg:</t>
  </si>
  <si>
    <t>Combined disability: Thoracic spine</t>
  </si>
  <si>
    <t>Lumbosacral spine: Retained degrees of motion and percentage of impairment</t>
  </si>
  <si>
    <t>Ankylosis of the third tarsometatarsal joint</t>
  </si>
  <si>
    <t>Left ear current exam: Enter audiogram findings for all frequencies.</t>
  </si>
  <si>
    <t>Total</t>
  </si>
  <si>
    <t>Apportionment 
(if applicable)</t>
  </si>
  <si>
    <t>Baseline audiogram date</t>
  </si>
  <si>
    <t>Unilateral nerves:</t>
  </si>
  <si>
    <t>Injured part</t>
  </si>
  <si>
    <t>Strength
grade</t>
  </si>
  <si>
    <t>Adjusted
impairment</t>
  </si>
  <si>
    <t>5/5</t>
  </si>
  <si>
    <t>5-/5</t>
  </si>
  <si>
    <t>4+/5</t>
  </si>
  <si>
    <t>4/5</t>
  </si>
  <si>
    <t>L. Index finger, DIP</t>
  </si>
  <si>
    <t>L. Index finger, PIP</t>
  </si>
  <si>
    <t>L. Index finger, MP</t>
  </si>
  <si>
    <t>L. Middle finger ROM impairment total:</t>
  </si>
  <si>
    <t>2/5 distance from the distal interphalangeal joint; between the DIP joint and the proximal interphalangeal joint</t>
  </si>
  <si>
    <t>3/5 distance from the distal interphalangeal joint; between the DIP joint and the proximal interphalangeal joint</t>
  </si>
  <si>
    <t xml:space="preserve">vascular disease, or persistent widespread or deep ulceration involving one extremity; or cold </t>
  </si>
  <si>
    <t>Ulnar nerve</t>
  </si>
  <si>
    <t>Ulnar: Option button output</t>
  </si>
  <si>
    <t>Overall impairment due to strength loss: Left forearm</t>
  </si>
  <si>
    <t>Overall impairment due to strength loss: Left arm</t>
  </si>
  <si>
    <t>Chronic condition, left forearm/wrist/hand</t>
  </si>
  <si>
    <t>Conversion from digit values to left hand values</t>
  </si>
  <si>
    <t>1=Opposition
loss only;
2=Injury to the 
digit</t>
  </si>
  <si>
    <t>Lumbosacral spine: Compression fractures - % of compression &amp; % impairment</t>
  </si>
  <si>
    <t>L1</t>
  </si>
  <si>
    <t>L2</t>
  </si>
  <si>
    <t>L3</t>
  </si>
  <si>
    <t>L4</t>
  </si>
  <si>
    <t>L5</t>
  </si>
  <si>
    <t>Little finger, DIP joint, radial side only, total loss</t>
  </si>
  <si>
    <t>Little finger, DIP joint, ulnar side only, total loss</t>
  </si>
  <si>
    <t>Little finger, 1/2 distal phalanx, total loss</t>
  </si>
  <si>
    <t>Little finger, 1/2 distal phalanx, radial side only, total loss</t>
  </si>
  <si>
    <t>Little finger, 1/2 distal phalanx, ulnar side only, total loss</t>
  </si>
  <si>
    <t>7/10 distance from tip; between tip and distal interphalangeal joint</t>
  </si>
  <si>
    <t>4/5 distance from tip; between tip and distal interphalangeal joint</t>
  </si>
  <si>
    <t>Ankylosis, 5th tarsometatarsal</t>
  </si>
  <si>
    <t>Immune system</t>
  </si>
  <si>
    <t>Speech impairment is rated according to the classification in OAR 436-035-0385.</t>
  </si>
  <si>
    <t>Max. degrees</t>
  </si>
  <si>
    <t>All or part of the third metatarsal</t>
  </si>
  <si>
    <t>Impairment of the upper digestive tract (esophagus, stomach and duodenum, small intestine, pancreas) are valued according to the following classes:
*Double-click for "Desirable weight tables."</t>
  </si>
  <si>
    <t>The percentage of loss is recorded for each injured toe, the foot, and the leg. Toe values are converted to foot values only if there are impairment findings in the foot or leg. A foot value is converted to a leg value only if there are impairment findings in the leg.</t>
  </si>
  <si>
    <t>W + I = total permanent partial disability award</t>
  </si>
  <si>
    <t>A fractured pelvis that heals well, leaving no displacement, receives no rating. If fracture affects the acetabulum,</t>
  </si>
  <si>
    <t>rate only loss of hip motion under OAR 436-035-0340:</t>
  </si>
  <si>
    <t>Loss of motor function for right trigeminal nerve</t>
  </si>
  <si>
    <t>Loss of motor function for left trigeminal nerve</t>
  </si>
  <si>
    <t>Today</t>
  </si>
  <si>
    <t>Total impairment, right thumb:</t>
  </si>
  <si>
    <t>Right index finger</t>
  </si>
  <si>
    <t>Combined disability, right index finger</t>
  </si>
  <si>
    <t>Right middle finger</t>
  </si>
  <si>
    <t>Combined disability, right middle finger</t>
  </si>
  <si>
    <t>Right ring finger</t>
  </si>
  <si>
    <t>Combined disability, right ring finger</t>
  </si>
  <si>
    <t>Diet limited to semi-solid or soft foods</t>
  </si>
  <si>
    <t>Diet limited to liquid foods</t>
  </si>
  <si>
    <t>Anemia</t>
  </si>
  <si>
    <t>White blood cell system impairments</t>
  </si>
  <si>
    <t>Hemorrhagic disorders</t>
  </si>
  <si>
    <t>Total impairment, hematopoietic system:</t>
  </si>
  <si>
    <t>BCDEF</t>
  </si>
  <si>
    <t>CDEFG</t>
  </si>
  <si>
    <t>DEFGH</t>
  </si>
  <si>
    <t>EFGHA</t>
  </si>
  <si>
    <t>FGHAB</t>
  </si>
  <si>
    <t>GHABC</t>
  </si>
  <si>
    <t>Retained visual field</t>
  </si>
  <si>
    <t>Extent of retained peripheral visual field</t>
  </si>
  <si>
    <t>Percent of loss</t>
  </si>
  <si>
    <t>VLOOKUP degree value and corresponding percentage</t>
  </si>
  <si>
    <t>Right eye</t>
  </si>
  <si>
    <t>Left eye</t>
  </si>
  <si>
    <t>Hearing Loss Disability Determination</t>
  </si>
  <si>
    <t>Required data for calculation:</t>
  </si>
  <si>
    <t>A worker is entitled to a 5% chronic condition impairment value when a preponderance of medical opinion establishes that, due to a chronic and permanent medical condition, the worker is significantly limited in the repetitive use of the lower leg (below knee/foot/ankle).</t>
  </si>
  <si>
    <t>Up right</t>
  </si>
  <si>
    <t>Combined unscheduled disability</t>
  </si>
  <si>
    <t>Total unscheduled impairment</t>
  </si>
  <si>
    <t>Right hand, wrist, forearm, amputation or resection without reattachment</t>
  </si>
  <si>
    <t>Index finger</t>
  </si>
  <si>
    <t>Index</t>
  </si>
  <si>
    <t xml:space="preserve">Thumb amputated 1/4 distance from tip, between tip and IP level </t>
  </si>
  <si>
    <t>Baseline</t>
  </si>
  <si>
    <t>correction</t>
  </si>
  <si>
    <t>Current</t>
  </si>
  <si>
    <t>More than 1 inch up to and including 1-1/2 inches</t>
  </si>
  <si>
    <t>More than 1-1/2 inches</t>
  </si>
  <si>
    <t>Discrepancy in inches:</t>
  </si>
  <si>
    <t>Left knee joint instability</t>
  </si>
  <si>
    <t>Grade 1 or 1+; Mild; 1-5mm</t>
  </si>
  <si>
    <t>Grade 2 or 2+; Moderate; 6-10mm</t>
  </si>
  <si>
    <t>Right hip ROM impairment total:</t>
  </si>
  <si>
    <t>Right hip surgery</t>
  </si>
  <si>
    <t>Left Hip Disability Determination</t>
  </si>
  <si>
    <t>Left hip ROM impairment total:</t>
  </si>
  <si>
    <t>Left hip surgery</t>
  </si>
  <si>
    <t>Contralateral DIP joint</t>
  </si>
  <si>
    <t>Extension, DIP joint</t>
  </si>
  <si>
    <t>Ankylosis, DIP joint</t>
  </si>
  <si>
    <t>64.1 - 160 degrees
(on or after 1/1/96)</t>
  </si>
  <si>
    <t>160.1 - 320 degrees
(on or after 1/1/96)</t>
  </si>
  <si>
    <t>Rate Start Date</t>
  </si>
  <si>
    <t>Dollars/Deg</t>
  </si>
  <si>
    <t>Injury date:</t>
  </si>
  <si>
    <t>Combined impairment</t>
  </si>
  <si>
    <t>Forward flexion, hip</t>
  </si>
  <si>
    <r>
      <t xml:space="preserve">CLASS 3: There is objective evidence of colonic or rectal disease or anatomic loss or alteration; and
There are moderate to severe exacerbations with disturbance of bowel habit, accompanied by periodic or continual pain; and
Restriction of activity, special diet and drugs are required during attacks; and
There are constitutional manifestations </t>
    </r>
    <r>
      <rPr>
        <sz val="9"/>
        <rFont val="Times New Roman"/>
        <family val="1"/>
      </rPr>
      <t>(fever, anemia, or weight loss)</t>
    </r>
    <r>
      <rPr>
        <sz val="10"/>
        <rFont val="Times New Roman"/>
        <family val="1"/>
      </rPr>
      <t>.</t>
    </r>
    <r>
      <rPr>
        <b/>
        <sz val="10"/>
        <rFont val="Times New Roman"/>
        <family val="1"/>
      </rPr>
      <t/>
    </r>
  </si>
  <si>
    <t>For those workers who have not met the specific vocational preparation training time for any job, a value of +4 is granted.</t>
  </si>
  <si>
    <t>Total impairment                      Adaptability value</t>
  </si>
  <si>
    <t>Additional right foot impairment</t>
  </si>
  <si>
    <t>Chronic condition, right lower leg/foot/ankle</t>
  </si>
  <si>
    <t>Converted values are added; total right foot value:</t>
  </si>
  <si>
    <t>Strength loss in the right foot and leg</t>
  </si>
  <si>
    <t>Total impairment, foot:</t>
  </si>
  <si>
    <t>1-9%                                                         1</t>
  </si>
  <si>
    <t>10-19%                                                     2</t>
  </si>
  <si>
    <t>20-29%                                                     3</t>
  </si>
  <si>
    <t>30-39%                                                     4</t>
  </si>
  <si>
    <t>40-49%                                                     5</t>
  </si>
  <si>
    <t>50-59%                                                     6</t>
  </si>
  <si>
    <t>Right Upper Extremity Disability Determination
Permanent Partial Disability - Date of injury on or after 1/1/2005</t>
  </si>
  <si>
    <t>Ankylosis
elbow joint 
(in pronation or supination)</t>
  </si>
  <si>
    <t>Retained degrees of motion and percentage of impairment, third toe - left</t>
  </si>
  <si>
    <t>Ankylosis:PIP joint</t>
  </si>
  <si>
    <t>Left third toe ROM impairment total:</t>
  </si>
  <si>
    <t>Preliminary R Eye</t>
  </si>
  <si>
    <t>Preliminary L Eye</t>
  </si>
  <si>
    <t>Contralateral formulas</t>
  </si>
  <si>
    <t>Forward flexion</t>
  </si>
  <si>
    <t>Shoulder impairment includes ankylosis value, an irreversible finding - not apportioned.</t>
  </si>
  <si>
    <t xml:space="preserve">1=Apportionment value entered for ROM or at whole shoulder level </t>
  </si>
  <si>
    <t xml:space="preserve">activity), or cold intolerance (e.g. Raynaud’s phenomenon) which results in a loss of use or </t>
  </si>
  <si>
    <t>Cervical</t>
  </si>
  <si>
    <t>L. Little finger ROM impairment total:</t>
  </si>
  <si>
    <t>L. Arm ROM impairment total:</t>
  </si>
  <si>
    <t>9/10 distance from the interphalangeal joint; between the IP joint and the metatarsophalangeal joint</t>
  </si>
  <si>
    <t>Amputation at the metatarsophalangeal joint</t>
  </si>
  <si>
    <t>Left hand, CMC</t>
  </si>
  <si>
    <t>Humerus</t>
  </si>
  <si>
    <t>Left forearm/hand surgery</t>
  </si>
  <si>
    <t>Carpal bone fusion:</t>
  </si>
  <si>
    <t>a)</t>
  </si>
  <si>
    <t>A1)</t>
  </si>
  <si>
    <t>A2)</t>
  </si>
  <si>
    <t>Exclude all but valid numbers</t>
  </si>
  <si>
    <r>
      <t xml:space="preserve">(c) </t>
    </r>
    <r>
      <rPr>
        <b/>
        <sz val="10"/>
        <rFont val="Times New Roman"/>
        <family val="1"/>
      </rPr>
      <t>Class 3:</t>
    </r>
    <r>
      <rPr>
        <sz val="10"/>
        <rFont val="Times New Roman"/>
        <family val="1"/>
      </rPr>
      <t xml:space="preserve"> 35% for the affected body part if the worker experiences intermittent pain with moderate </t>
    </r>
  </si>
  <si>
    <t xml:space="preserve">The SVP value is determined by identifying these jobs and locating their SVP in the Dictionary of Occupational Titles (DOT) or a specific job analysis. </t>
  </si>
  <si>
    <t>The job with the highest SVP the worker has met is used to assign a value according to the following table:</t>
  </si>
  <si>
    <t>SVP       VALUE       TRAINING TIME</t>
  </si>
  <si>
    <t xml:space="preserve">   1               4             Short demonstration</t>
  </si>
  <si>
    <t xml:space="preserve">   2               4             Short demonstration up to 30 days</t>
  </si>
  <si>
    <t xml:space="preserve">   3               3             30+ days - 3 months</t>
  </si>
  <si>
    <t xml:space="preserve">   4               3             3+ months - 6 months</t>
  </si>
  <si>
    <t>Round R</t>
  </si>
  <si>
    <t>Round L</t>
  </si>
  <si>
    <t>(5% values are added to maximum of 30%.)</t>
  </si>
  <si>
    <t>Dermatological conditions of the left leg, including burns:</t>
  </si>
  <si>
    <t>Supraspinatus</t>
  </si>
  <si>
    <t>Infraspinatus</t>
  </si>
  <si>
    <t>Latissimus dorsi</t>
  </si>
  <si>
    <t>Combined impairment:</t>
  </si>
  <si>
    <t>Surgery: Clavicle</t>
  </si>
  <si>
    <t>Lens removed; no replacement</t>
  </si>
  <si>
    <t>None</t>
  </si>
  <si>
    <t>ABC</t>
  </si>
  <si>
    <t>BCD</t>
  </si>
  <si>
    <t>CDE</t>
  </si>
  <si>
    <t>DEF</t>
  </si>
  <si>
    <t>EFG</t>
  </si>
  <si>
    <t>FGH</t>
  </si>
  <si>
    <t>GHA</t>
  </si>
  <si>
    <t>HAB</t>
  </si>
  <si>
    <t>ABCDE</t>
  </si>
  <si>
    <t>Right 2nd toe</t>
  </si>
  <si>
    <t>Right 3rd toe</t>
  </si>
  <si>
    <t>Right 4th toe</t>
  </si>
  <si>
    <t>Right 5th toe</t>
  </si>
  <si>
    <t>Endocrine system</t>
  </si>
  <si>
    <t>Chronic condition, upper right leg</t>
  </si>
  <si>
    <t>Combined disability, right leg</t>
  </si>
  <si>
    <t>Total impairment, right leg:</t>
  </si>
  <si>
    <t>Whole</t>
  </si>
  <si>
    <t xml:space="preserve"> 1/2</t>
  </si>
  <si>
    <t>1/2 Digit or</t>
  </si>
  <si>
    <t>digit</t>
  </si>
  <si>
    <t>Proximal</t>
  </si>
  <si>
    <t>PIP</t>
  </si>
  <si>
    <t>IP Joint of</t>
  </si>
  <si>
    <t>DIP</t>
  </si>
  <si>
    <t>Distal</t>
  </si>
  <si>
    <t>MP Joint</t>
  </si>
  <si>
    <t>Phalanx</t>
  </si>
  <si>
    <t>Joint</t>
  </si>
  <si>
    <t>the Thumb</t>
  </si>
  <si>
    <t>Grade</t>
  </si>
  <si>
    <t>Sort &amp; Round</t>
  </si>
  <si>
    <t>Ankylosis
elbow joint 
(in flexion or extension)</t>
  </si>
  <si>
    <t>Pronation or supination</t>
  </si>
  <si>
    <t>Visual field loss, right eye</t>
  </si>
  <si>
    <t>Visual field loss, left eye</t>
  </si>
  <si>
    <t>ME Grid - R</t>
  </si>
  <si>
    <t>ME Grid - L</t>
  </si>
  <si>
    <t>Peri - R</t>
  </si>
  <si>
    <t>Peri - L</t>
  </si>
  <si>
    <t>Cardiovascular</t>
  </si>
  <si>
    <t>Respiratory</t>
  </si>
  <si>
    <t>Cranial nerves - Brain</t>
  </si>
  <si>
    <t>Spinal cord</t>
  </si>
  <si>
    <t>Hematopoietic</t>
  </si>
  <si>
    <t xml:space="preserve"> R. Thumb ROM impairment total:</t>
  </si>
  <si>
    <t>Spinal Cord</t>
  </si>
  <si>
    <t>SVP not met</t>
  </si>
  <si>
    <t>ERROR: Date of injury is prior to 1/1/2005. Use PPD Worksheet "PPD DOI before 2005."</t>
  </si>
  <si>
    <t>Ocular motility impairment resulting in binocular diplopia, right eye</t>
  </si>
  <si>
    <t>Ocular motility impairment resulting in binocular diplopia, left eye</t>
  </si>
  <si>
    <t>Determine the single highest value of loss for diplopia noted on each of the standard 45 degree meridians. Sum the percentages of loss up to a maximum of 100%.</t>
  </si>
  <si>
    <t>Direction of gaze</t>
  </si>
  <si>
    <t>Distance from point of fixation</t>
  </si>
  <si>
    <t>Central</t>
  </si>
  <si>
    <t>Central vision to 20 degrees</t>
  </si>
  <si>
    <t>Down</t>
  </si>
  <si>
    <t>21 degrees to 30 degrees</t>
  </si>
  <si>
    <t>Right</t>
  </si>
  <si>
    <t>Beyond 30 degrees</t>
  </si>
  <si>
    <t>Down right</t>
  </si>
  <si>
    <t>Beyond 20 degrees</t>
  </si>
  <si>
    <t>Left</t>
  </si>
  <si>
    <t>Down left</t>
  </si>
  <si>
    <t>Up</t>
  </si>
  <si>
    <t xml:space="preserve">
Fractured pelvis that heals with displacement and deformity
</t>
  </si>
  <si>
    <t xml:space="preserve">Colonic and rectal impairment are rated according to the following classes:
</t>
  </si>
  <si>
    <t>Total ocular motility impairment, right eye:</t>
  </si>
  <si>
    <t>Total ocular motility impairment, left eye:</t>
  </si>
  <si>
    <t>Other eye impairment, right eye</t>
  </si>
  <si>
    <t>Other eye impairment, left eye</t>
  </si>
  <si>
    <t>Glare disturbances</t>
  </si>
  <si>
    <t>&gt;0=Yes</t>
  </si>
  <si>
    <t>3-/5:</t>
  </si>
  <si>
    <t>2+/5:</t>
  </si>
  <si>
    <t>2-/5:</t>
  </si>
  <si>
    <t>1+/5:</t>
  </si>
  <si>
    <t>1-/5:</t>
  </si>
  <si>
    <t>Click appropriate tab below to return to disability rating (or back arrow).</t>
  </si>
  <si>
    <t>Leg surgery left</t>
  </si>
  <si>
    <t>Partial loss of one meniscus</t>
  </si>
  <si>
    <t>Complete loss of one meniscus</t>
  </si>
  <si>
    <t>Complete loss of one; partial loss of other meniscus</t>
  </si>
  <si>
    <t>Hypothalamic-pituitary axis impairment</t>
  </si>
  <si>
    <t>Hyperparathyroidism</t>
  </si>
  <si>
    <t>Hypoparathyroidism</t>
  </si>
  <si>
    <t>Hypoadrenalism</t>
  </si>
  <si>
    <t>Hyper-adrenocorticism</t>
  </si>
  <si>
    <t>Adrenal Medulla - pheochromocytoma</t>
  </si>
  <si>
    <t>Pancreas - diabetes mellitus</t>
  </si>
  <si>
    <t>Pancreas - hypoglycemia</t>
  </si>
  <si>
    <t>Thyroid impairment</t>
  </si>
  <si>
    <t>Gonadal impairment</t>
  </si>
  <si>
    <t>Wage at injury</t>
  </si>
  <si>
    <t>50% of SAWW</t>
  </si>
  <si>
    <t>State average weekly wage (SAWW) look-up</t>
  </si>
  <si>
    <t>133% of SAWW</t>
  </si>
  <si>
    <t>Enter updated SAWW annually. See Bulletin 111.</t>
  </si>
  <si>
    <t>Adjusted wage (if less than or greater than SAWW minimum/maximum)</t>
  </si>
  <si>
    <t>Permanent impairment factor</t>
  </si>
  <si>
    <r>
      <t xml:space="preserve">(d) </t>
    </r>
    <r>
      <rPr>
        <b/>
        <sz val="10"/>
        <rFont val="Times New Roman"/>
        <family val="1"/>
      </rPr>
      <t xml:space="preserve">Class 4: </t>
    </r>
    <r>
      <rPr>
        <sz val="10"/>
        <rFont val="Times New Roman"/>
        <family val="1"/>
      </rPr>
      <t xml:space="preserve">63% for the affected body part if the worker experiences intermittent pain upon mild upper </t>
    </r>
  </si>
  <si>
    <t xml:space="preserve">or there are signs of vascular damage involving more than one extremity such as amputation at or above </t>
  </si>
  <si>
    <t>Flexion
MP Joint</t>
  </si>
  <si>
    <t>Extension
MP Joint</t>
  </si>
  <si>
    <t>Ankylosis
MP Joint</t>
  </si>
  <si>
    <t>Flexion
Distal 
IP Joint</t>
  </si>
  <si>
    <t>Extension
Distal 
IP Joint</t>
  </si>
  <si>
    <t>Ankylosis
Distal 
IP Joint</t>
  </si>
  <si>
    <t>Flexion Proximal 
IP Joint</t>
  </si>
  <si>
    <t>Extension Proximal 
IP Joint</t>
  </si>
  <si>
    <t>Ankylosis
Proximal 
IP Joint</t>
  </si>
  <si>
    <t>Thumb loss to hand loss</t>
  </si>
  <si>
    <t>Values for more than one ligamentous injury are combined. When there is a prosthetic knee replacement, instability only receives a value if the severity is Grade 2 or greater. Instability substantiated by clinical findings is valued even if the ligament demonstrating the laxity has not been injured.</t>
  </si>
  <si>
    <t>Ring finger, 1/2 distal phalanx, radial side only, total loss</t>
  </si>
  <si>
    <t>Great
toe</t>
  </si>
  <si>
    <t>2nd
toe</t>
  </si>
  <si>
    <t>3rd
toe</t>
  </si>
  <si>
    <t>4th
toe</t>
  </si>
  <si>
    <t>5th
toe</t>
  </si>
  <si>
    <t>Total disability percentage for carpometatarsal</t>
  </si>
  <si>
    <t>All or part of the second metatarsal</t>
  </si>
  <si>
    <t>Metatarsals</t>
  </si>
  <si>
    <t>Subsequent surgical procedures: Add 1% for each disc or vertebra treated within the thoracic spine. Select the number of additional procedures for each vertebra and disc.</t>
  </si>
  <si>
    <t>S</t>
  </si>
  <si>
    <t>L</t>
  </si>
  <si>
    <t>M</t>
  </si>
  <si>
    <t>H</t>
  </si>
  <si>
    <t>V/H</t>
  </si>
  <si>
    <t>RS</t>
  </si>
  <si>
    <t>S/L</t>
  </si>
  <si>
    <t>M/L</t>
  </si>
  <si>
    <t>M/H</t>
  </si>
  <si>
    <t>Date of injury</t>
  </si>
  <si>
    <t>The disability award cannot be determined without the date of injury.</t>
  </si>
  <si>
    <t>Degrees</t>
  </si>
  <si>
    <t>HS Diploma/GED</t>
  </si>
  <si>
    <t>2/5:        The worker retains range of motion with gravity eliminated.</t>
  </si>
  <si>
    <t>1/5:        The worker has evidence of slight muscle contractility; no joint motion.</t>
  </si>
  <si>
    <t>Little finger, 1/2 proximal phalanx, ulnar side only, less than normal</t>
  </si>
  <si>
    <t>Little finger, PIP joiint, less than normal</t>
  </si>
  <si>
    <t>Little finger, PIP joiint, radial side only, less than normal</t>
  </si>
  <si>
    <t>Little finger, PIP joiint, ulnar side only, less than normal</t>
  </si>
  <si>
    <t>Little finger, 1/2 digit, less than normal</t>
  </si>
  <si>
    <t>Little finger, 1/2 digit, radial side only, less than normal</t>
  </si>
  <si>
    <t>Little finger, 1/2 digit, ulnar side only, less than normal</t>
  </si>
  <si>
    <t>Little finger, DIP joint, less than normal</t>
  </si>
  <si>
    <t>Great toe - right</t>
  </si>
  <si>
    <t>V/HL</t>
  </si>
  <si>
    <t>V/HM/L</t>
  </si>
  <si>
    <t>Dermatological conditions of the index finger, including burns</t>
  </si>
  <si>
    <t>Combined disability, left index finger</t>
  </si>
  <si>
    <t>Loss of opposition, thumb</t>
  </si>
  <si>
    <t>Joint replacement, DIP</t>
  </si>
  <si>
    <t>Joint replacement, PIP</t>
  </si>
  <si>
    <t>Little finger, 1/2 proximal phalanx, ulnar side only, protective sensation</t>
  </si>
  <si>
    <t>Little finger, PIP joiint, protective sensation</t>
  </si>
  <si>
    <t>Little finger, PIP joiint, radial side only, protective sensation</t>
  </si>
  <si>
    <t>Little finger, PIP joiint, ulnar side only, protective sensation</t>
  </si>
  <si>
    <t>Combined disability, left arm (with hand/forearm conversion, if applicable)</t>
  </si>
  <si>
    <t>Lateral deviation</t>
  </si>
  <si>
    <t>Radial head resection</t>
  </si>
  <si>
    <t>Prosthetic elbow replacement</t>
  </si>
  <si>
    <t>Humeral head replacement</t>
  </si>
  <si>
    <t>D. Down nasally</t>
  </si>
  <si>
    <t>E. Nasally</t>
  </si>
  <si>
    <t>F. Up nasally</t>
  </si>
  <si>
    <t>G. Up</t>
  </si>
  <si>
    <t>Scotoma only</t>
  </si>
  <si>
    <t>H. Up temporally</t>
  </si>
  <si>
    <t>Scotoma (minus)</t>
  </si>
  <si>
    <t>Total degrees retained:</t>
  </si>
  <si>
    <t>1=field count problem</t>
  </si>
  <si>
    <t>Percent of loss:</t>
  </si>
  <si>
    <t>ERROR: Enter findings for Monocular Esterman Grid or perimetric measures, not both.</t>
  </si>
  <si>
    <t>hand/  forearm</t>
  </si>
  <si>
    <r>
      <t xml:space="preserve">Table of contents:
</t>
    </r>
    <r>
      <rPr>
        <sz val="10"/>
        <rFont val="Times New Roman"/>
        <family val="1"/>
      </rPr>
      <t>(Click to navigate.)</t>
    </r>
  </si>
  <si>
    <t>1=Hand/thumb ankylosis</t>
  </si>
  <si>
    <t>1=Wrist ankylosis</t>
  </si>
  <si>
    <t>The percentage of loss is recorded for each injured digit, hand, or arm. Values are converted to more proximal parts of the upper extremity if required by OAR 436-035-0070 or 0090.</t>
  </si>
  <si>
    <t>Any 
Finger</t>
  </si>
  <si>
    <t>Wrist</t>
  </si>
  <si>
    <t>Arm</t>
  </si>
  <si>
    <t>Arm or 
Wrist</t>
  </si>
  <si>
    <t>Forward elevation, flexion</t>
  </si>
  <si>
    <t>Forward elevation (flexion) ankylosis</t>
  </si>
  <si>
    <t>Backward elevation, extension</t>
  </si>
  <si>
    <t>Backward elevation (extension) ankylosis</t>
  </si>
  <si>
    <t>Flexion
IP Joint</t>
  </si>
  <si>
    <t>Extension 
IP Joint</t>
  </si>
  <si>
    <t>Ankylosis
IP Joint</t>
  </si>
  <si>
    <t>Peripheral nerves (continued)</t>
  </si>
  <si>
    <t>Tibial</t>
  </si>
  <si>
    <t>Femoral (30% leg)
(below the iliacus nerve)</t>
  </si>
  <si>
    <t xml:space="preserve">subcutaneous tissue of fingertips, calcification of arteries as detected by radiographic examination, </t>
  </si>
  <si>
    <t>Round2-L</t>
  </si>
  <si>
    <t>1=keep to 100ths place</t>
  </si>
  <si>
    <t xml:space="preserve">physical examination, the findings are limited to the following: loss of pulses, minimal loss of </t>
  </si>
  <si>
    <t>Ankylosis of the fourth tarsometatarsal joint</t>
  </si>
  <si>
    <t>Classes</t>
  </si>
  <si>
    <t>Impairments of the integumentary system may or may not show signs or symptoms of skin disorder upon examination but are rated according to the following classes:</t>
  </si>
  <si>
    <t>If the worker has developed an immunologic reaction to physical, chemical or biological agents, impairment is also valued under OAR 436-035-0450.</t>
  </si>
  <si>
    <t>Left fourth toe ROM impairment total:</t>
  </si>
  <si>
    <t>Right second toe ROM impairment total:</t>
  </si>
  <si>
    <t>Right third toe ROM impairment total:</t>
  </si>
  <si>
    <t>Right fourth toe ROM impairment total:</t>
  </si>
  <si>
    <t>Right fifth toe ROM impairment total:</t>
  </si>
  <si>
    <t>Total impairment, fourth toe - right:</t>
  </si>
  <si>
    <t>Combined disability, fourth toe - right</t>
  </si>
  <si>
    <t>Total impairment, third toe - right:</t>
  </si>
  <si>
    <t>Combined disability, third toe - right</t>
  </si>
  <si>
    <t>Combined disability, great toe - right</t>
  </si>
  <si>
    <t>Combined disability, second toe - right</t>
  </si>
  <si>
    <t>Combined disability, great toe - left</t>
  </si>
  <si>
    <t>Total impairment, great toe - left:</t>
  </si>
  <si>
    <t>Combined disability, second toe - left</t>
  </si>
  <si>
    <t>Total impairment, fourth toe - left:</t>
  </si>
  <si>
    <t>Thoracic spine, flexion</t>
  </si>
  <si>
    <t>Thoracic spine, right rotation</t>
  </si>
  <si>
    <t>Thoracic spine, left rotation</t>
  </si>
  <si>
    <t>Thoracic spine: Compression fractures - % of compression &amp; % impairment</t>
  </si>
  <si>
    <t>T1</t>
  </si>
  <si>
    <t>T2</t>
  </si>
  <si>
    <t>T3</t>
  </si>
  <si>
    <t>T4</t>
  </si>
  <si>
    <t>Extension, PIP joint</t>
  </si>
  <si>
    <t>Ankylosis, PIP joint</t>
  </si>
  <si>
    <t>Flexion, MIP joint</t>
  </si>
  <si>
    <t>Contralateral MIP joint</t>
  </si>
  <si>
    <t>Extension, MIP joint</t>
  </si>
  <si>
    <t>Ankylosis, MIP joint</t>
  </si>
  <si>
    <t>Carpometacarpal, flexion</t>
  </si>
  <si>
    <t>Contralateral carpometacarpal</t>
  </si>
  <si>
    <t>Carpometacarpal, extension</t>
  </si>
  <si>
    <t>Carpomet. flexion ankylosis</t>
  </si>
  <si>
    <t>Carpomet. extension ankylosis</t>
  </si>
  <si>
    <t>Contralateral extension</t>
  </si>
  <si>
    <t>Central vision, left eye</t>
  </si>
  <si>
    <t>Distance acuity:</t>
  </si>
  <si>
    <t>(Enter English or Metric 6.)</t>
  </si>
  <si>
    <t>20/30</t>
  </si>
  <si>
    <t>CLASS 3: Signs of organic anal disease are present and there is anatomic loss or alteration; and
Complete fecal incontinence is present; or
Signs of organic anal disease are present and severe anal symptoms unresponsive or not amenable to therapy are present.</t>
  </si>
  <si>
    <t>Dermatological conditions of the arm, including burns</t>
  </si>
  <si>
    <t>Chronic condition, left arm</t>
  </si>
  <si>
    <t>Prosthetic carpal bone replacement:</t>
  </si>
  <si>
    <t>Ankylosis of the fifth tarsometatarsal joint</t>
  </si>
  <si>
    <t>Left foot</t>
  </si>
  <si>
    <t>Multiply the percent of loss in the better ear by seven.</t>
  </si>
  <si>
    <t>Add to that result the percent of loss in the other ear.</t>
  </si>
  <si>
    <t>Divide the sum by eight. This is the binaural loss.</t>
  </si>
  <si>
    <t>Binaural loss times 60% = percent of whole-person disability:</t>
  </si>
  <si>
    <t>÷</t>
  </si>
  <si>
    <t>X 100</t>
  </si>
  <si>
    <t>Binaural hearing loss</t>
  </si>
  <si>
    <t xml:space="preserve">Binaural loss =  </t>
  </si>
  <si>
    <t>Inversion ankylosis:</t>
  </si>
  <si>
    <t>Subtalar eversion</t>
  </si>
  <si>
    <t>Eversion ankylosis</t>
  </si>
  <si>
    <t>Left ankle</t>
  </si>
  <si>
    <t>Severe: 28 degrees</t>
  </si>
  <si>
    <t>Severe: 29 degrees</t>
  </si>
  <si>
    <t>Severe: 30 degrees</t>
  </si>
  <si>
    <t>Severe: 31 degrees</t>
  </si>
  <si>
    <t>Severe: 32 degrees</t>
  </si>
  <si>
    <t>Severe: 33 degrees</t>
  </si>
  <si>
    <t>Severe: 34 degrees</t>
  </si>
  <si>
    <t>Severe: 35 degrees</t>
  </si>
  <si>
    <t>Severe: 36 degrees</t>
  </si>
  <si>
    <t>1=hand
or arm
involvement</t>
  </si>
  <si>
    <t>Little finger, 1/2 distal phalanx, protective sensation</t>
  </si>
  <si>
    <t>Little finger, 1/2 distal phalanx, radial side only, protective sensation</t>
  </si>
  <si>
    <t>Little finger, 1/2 distal phalanx, ulnar side only, protective sensation</t>
  </si>
  <si>
    <t>Little finger, whole digit, total loss</t>
  </si>
  <si>
    <t>Little finger, whole digit, radial side only, total loss</t>
  </si>
  <si>
    <t>Little finger, whole digit, ulnar side only, total loss</t>
  </si>
  <si>
    <t>Right shoulder dislocation or diastasis of a sternal joint</t>
  </si>
  <si>
    <t>Loss of strength in the right shoulder</t>
  </si>
  <si>
    <t>Combined right shoulder disability</t>
  </si>
  <si>
    <t>Current audiogram</t>
  </si>
  <si>
    <t>Right Hip Disability Determination</t>
  </si>
  <si>
    <t>14/80</t>
  </si>
  <si>
    <t>Apportionment</t>
  </si>
  <si>
    <t>Left wrist ROM impairment total:</t>
  </si>
  <si>
    <t>Radial: Option button output</t>
  </si>
  <si>
    <t>Median nerve</t>
  </si>
  <si>
    <t>Median: Option button output</t>
  </si>
  <si>
    <t>Left forearm impairment:</t>
  </si>
  <si>
    <t>Obturator internus 
&amp; Piriformis</t>
  </si>
  <si>
    <t>Quadratus femoris, Superior gemellus, &amp; Obturator externus</t>
  </si>
  <si>
    <t>Superior gluteal (20% leg)</t>
  </si>
  <si>
    <t>Inferior gluteal (25% leg)</t>
  </si>
  <si>
    <t>Gluteus maximus</t>
  </si>
  <si>
    <t>Thumb 
amputation</t>
  </si>
  <si>
    <t>Not applicable</t>
  </si>
  <si>
    <t>Skin (dermis) only</t>
  </si>
  <si>
    <t>Significant flesh or tissue only (no bone)</t>
  </si>
  <si>
    <t>Bone involvement to mid-shaft of the distal phalanx</t>
  </si>
  <si>
    <t>Proximal to/including mid-shaft of the distal phalanx to/including the head of the proximal phalanx</t>
  </si>
  <si>
    <t>No rating is allowed for loss on one side. Bilateral loss is rated as for the 9th, 10th, and 11th cranial nerves.</t>
  </si>
  <si>
    <t>5/5:        The worker retains range of motion against gravity with full resistance applied.</t>
  </si>
  <si>
    <t>Cervical spine: Compression fractures - 
% of compression &amp; 
% impairment</t>
  </si>
  <si>
    <t>Visual Loss Determination</t>
  </si>
  <si>
    <t>Central vision, right eye</t>
  </si>
  <si>
    <t>No loss or alteration of sensation in trigeminal distribution</t>
  </si>
  <si>
    <t>Loss or alteration of sensation in trigeminal distribution - one side</t>
  </si>
  <si>
    <t>Loss or alteration of sensation in trigeminal distribution - both sides</t>
  </si>
  <si>
    <t>Left shoulder ROM impairment total:</t>
  </si>
  <si>
    <r>
      <t>Table of contents:</t>
    </r>
    <r>
      <rPr>
        <sz val="10"/>
        <rFont val="Times New Roman"/>
        <family val="1"/>
      </rPr>
      <t xml:space="preserve">
(click to navigate)</t>
    </r>
  </si>
  <si>
    <t>Little finger, 1/2 proximal phalanx, total loss</t>
  </si>
  <si>
    <t>Third toe - right</t>
  </si>
  <si>
    <t>Fourth toe - right</t>
  </si>
  <si>
    <t>Fifth toe - right</t>
  </si>
  <si>
    <t>Foot - right</t>
  </si>
  <si>
    <t>Leg - right</t>
  </si>
  <si>
    <t>Right upper extremity</t>
  </si>
  <si>
    <t>Left upper extremity</t>
  </si>
  <si>
    <t>Middle finger, DIP</t>
  </si>
  <si>
    <t>Middle finger, PIP</t>
  </si>
  <si>
    <t>Middle finger, MP</t>
  </si>
  <si>
    <t>x* y * z = impairment benefit</t>
  </si>
  <si>
    <t>State avg. weekly wage at injury</t>
  </si>
  <si>
    <t>Dermatological conditions of the right leg, including burns:</t>
  </si>
  <si>
    <t>Vascular dysfunction of the right leg:</t>
  </si>
  <si>
    <t>Worker's name</t>
  </si>
  <si>
    <t>Claim number</t>
  </si>
  <si>
    <t>Anterior Thoracic -</t>
  </si>
  <si>
    <t>Long Thoracic -</t>
  </si>
  <si>
    <t>Dermatological conditions - left foot</t>
  </si>
  <si>
    <t>Class 5</t>
  </si>
  <si>
    <t>Dermatological conditions of the foot, including burns:</t>
  </si>
  <si>
    <t>Full thickness skin loss of the heel (with or without skin graft)?</t>
  </si>
  <si>
    <t>First surgical procedure: 8% is awarded for 1 disc, 1 or 2 vertebrae, or any combination. Add 1% for each additional disc or vertebra treated within the cervical spine.</t>
  </si>
  <si>
    <t>First surgical procedure: 4% is awarded for 1 disc, 1 or 2 vertebrae, or any combination. Add 1% for each additional disc or vertebra treated within the thoracic spine.</t>
  </si>
  <si>
    <t>First surgical procedure: 9% is awarded for 1 disc, 1 or 2 vertebrae, or any combination. Add 1% for each additional disc or vertebra treated within the lumbosacral spine.</t>
  </si>
  <si>
    <t xml:space="preserve">Impairment of the cervix/uterus/vagina is determined according to the following classes:
</t>
  </si>
  <si>
    <t>Chest Disability Determination</t>
  </si>
  <si>
    <t>A worker is entitled to a 5% chronic condition impairment value when a preponderance of medical opinion establishes that, due to a chronic and permanent medical condition, the worker is significantly limited in the repetitive use of the chest.</t>
  </si>
  <si>
    <t>Chest (chronic condition)</t>
  </si>
  <si>
    <t>Chest</t>
  </si>
  <si>
    <t>Right ankle joint instability due laxity in one or more ligaments (even if the ligament itself has not been injured)</t>
  </si>
  <si>
    <t>Left ankle joint instability due laxity in one or more ligaments (even if the ligament itself has not been injured)</t>
  </si>
  <si>
    <t>R. Index finger, PIP</t>
  </si>
  <si>
    <t>R. Index finger, MP</t>
  </si>
  <si>
    <t>Distal interphalangeal joint</t>
  </si>
  <si>
    <t>Proximal interphalangeal joint</t>
  </si>
  <si>
    <t>Right lower extremity</t>
  </si>
  <si>
    <t>Left Upper Extremity Disability Determination
Permanent Partial Disability - Date of injury on or after 1/1/2005</t>
  </si>
  <si>
    <t>Total impairment, third toe - left:</t>
  </si>
  <si>
    <t>Fourth Toe - Left</t>
  </si>
  <si>
    <t>Fourth toe amputation</t>
  </si>
  <si>
    <t>4th toe 
amputation</t>
  </si>
  <si>
    <t>Retained degrees of motion and percentage of impairment, fourth toe - left</t>
  </si>
  <si>
    <t>Little finger, DIP joint, radial side only, protective sensation</t>
  </si>
  <si>
    <t>Total impairment, left index finger:</t>
  </si>
  <si>
    <t>Left middle finger</t>
  </si>
  <si>
    <t>Overall impairment due to strength loss: Foot</t>
  </si>
  <si>
    <t>A worker is entitled to a 5% chronic condition impairment value when a preponderance of medical opinion establishes that, due to a chronic and permanent medical condition, the worker is significantly limited in the repetitive use of the upper leg (knee and above).</t>
  </si>
  <si>
    <t>Green-shaded fields in this workbook are "unlocked" for data entry. If you unlock an entire worksheet, please be careful not to overwrite formulas.</t>
  </si>
  <si>
    <t>Record level of amputation or shortening of the middle finger. Impairment value of 5% or more for loss of opposition will carry over to the thumb.</t>
  </si>
  <si>
    <t>R. Middle finger ROM impairment total:</t>
  </si>
  <si>
    <t>Proximal to the distal epiphysis (head) of the proximal phalanx</t>
  </si>
  <si>
    <t>Internal rotation
ankylosis</t>
  </si>
  <si>
    <t>External rotation</t>
  </si>
  <si>
    <t>External rotation
ankylosis</t>
  </si>
  <si>
    <t>Total hip replacement?</t>
  </si>
  <si>
    <t>Repeat total hip replacement?</t>
  </si>
  <si>
    <t>Chronic condition</t>
  </si>
  <si>
    <t>Prosthetic ankle replacement - left:</t>
  </si>
  <si>
    <t>Subtalar inversion</t>
  </si>
  <si>
    <t>SAWW</t>
  </si>
  <si>
    <t>Monaural calculation results in the greater impairment award.</t>
  </si>
  <si>
    <t>Binaural calculation results in the greater impairment award:</t>
  </si>
  <si>
    <t>Impairment award</t>
  </si>
  <si>
    <t>X 100 =</t>
  </si>
  <si>
    <t>Little finger, 1/2 digit, protective sensation</t>
  </si>
  <si>
    <t>Binocular total</t>
  </si>
  <si>
    <r>
      <t xml:space="preserve">(a) </t>
    </r>
    <r>
      <rPr>
        <b/>
        <sz val="10"/>
        <rFont val="Times New Roman"/>
        <family val="1"/>
      </rPr>
      <t xml:space="preserve">Class 1: </t>
    </r>
    <r>
      <rPr>
        <sz val="10"/>
        <rFont val="Times New Roman"/>
        <family val="1"/>
      </rPr>
      <t xml:space="preserve">3% for the affected body part if the worker experiences only transient edema; and on </t>
    </r>
  </si>
  <si>
    <t>A worker is entitled to a 5% chronic condition impairment value when a preponderance of medical opinion establishes that, due to a chronic and permanent medical condition, the worker is significantly limited in the repetitive use of the shoulder.</t>
  </si>
  <si>
    <t>Loss of length due to flexion/extension deformities are excluded. The rating is the same whether the length change is a result of an injury to the foot or to the upper leg.</t>
  </si>
  <si>
    <t>1/4 to 1/2 inch</t>
  </si>
  <si>
    <t>More than 1/2 inch up to and including 1 inch</t>
  </si>
  <si>
    <t>Total impairment, integument and lacrimal systems:</t>
  </si>
  <si>
    <t>Enter values in any order; the program will combine in descending order.</t>
  </si>
  <si>
    <t>Zeros added due to field loss + 1/2 the sum of normal values of boundary meridians.</t>
  </si>
  <si>
    <t>Right forearm/hand surgery</t>
  </si>
  <si>
    <t>Right hand</t>
  </si>
  <si>
    <t>A worker is entitled to a 5% chronic condition impairment value when a preponderance of medical opinion establishes that, due to a chronic and permanent medical condition, the worker is significantly limited in the repetitive use of the hip.</t>
  </si>
  <si>
    <t>The Oregon Workers' Compensation Division assumes no liability for output errors.</t>
  </si>
  <si>
    <t>Users are encouraged to report input or output problems to the Oregon Workers' Compensation Dvision:</t>
  </si>
  <si>
    <t>Calculator
terms of use</t>
  </si>
  <si>
    <t>a) + b) = (subject to maximum of 100%)</t>
  </si>
  <si>
    <t>Middle finger loss to hand loss</t>
  </si>
  <si>
    <t>Liver transplant:</t>
  </si>
  <si>
    <t>Successful liver transplant</t>
  </si>
  <si>
    <t>Surgery: IP joint</t>
  </si>
  <si>
    <t>Interphalangeal joint arthroplasty or resection</t>
  </si>
  <si>
    <t>Surgery: MP joint</t>
  </si>
  <si>
    <t>Metatarsophalangeal joint arthroplasty or resection</t>
  </si>
  <si>
    <t>Amputation</t>
  </si>
  <si>
    <t>Internal rotation, hip</t>
  </si>
  <si>
    <t>External rotation, hip</t>
  </si>
  <si>
    <t>Length discrepancy of the injured left leg</t>
  </si>
  <si>
    <t>Carpal bone fusion(s)</t>
  </si>
  <si>
    <t>If either too little or too much tearing results in a worker’s being restricted from regular work, and the condition is not an immunological reaction, a value is assigned as follows:</t>
  </si>
  <si>
    <t>Rhomboidus major</t>
  </si>
  <si>
    <t>Rhomboidus minor</t>
  </si>
  <si>
    <t>Levator scapulae</t>
  </si>
  <si>
    <t>Serratus anterior</t>
  </si>
  <si>
    <t>Subscapularis</t>
  </si>
  <si>
    <t>Teres major</t>
  </si>
  <si>
    <t>Hip impairment includes ankylosis value, an irreversible finding - not apportioned.</t>
  </si>
  <si>
    <t>Flexion, PIP joint</t>
  </si>
  <si>
    <t>Contralateral PIP joint</t>
  </si>
  <si>
    <t>MP joint, ankylosis</t>
  </si>
  <si>
    <t>MS</t>
  </si>
  <si>
    <t>MS/L</t>
  </si>
  <si>
    <t>ML</t>
  </si>
  <si>
    <t>MM/L</t>
  </si>
  <si>
    <t>MM</t>
  </si>
  <si>
    <t>MM/H</t>
  </si>
  <si>
    <t>MH</t>
  </si>
  <si>
    <t>MV/H</t>
  </si>
  <si>
    <t>HRS</t>
  </si>
  <si>
    <t>HS</t>
  </si>
  <si>
    <t>HS/L</t>
  </si>
  <si>
    <t>HL</t>
  </si>
  <si>
    <t>HM/L</t>
  </si>
  <si>
    <t>HM</t>
  </si>
  <si>
    <t>HM/H</t>
  </si>
  <si>
    <t>HH</t>
  </si>
  <si>
    <t>HV/H</t>
  </si>
  <si>
    <t>V/HRS</t>
  </si>
  <si>
    <t>V/HS</t>
  </si>
  <si>
    <t>Proximal to the head of the proximal phalanx</t>
  </si>
  <si>
    <t xml:space="preserve">Record level of amputation or shortening of the thumb. Impairment values of 5% or more for loss of opposition will be carried over to the worksheets for the fingers. </t>
  </si>
  <si>
    <t>All or part of the fifth metatarsal</t>
  </si>
  <si>
    <t>Retained degrees of motion and percentage of impairment, foot &amp; ankle - left</t>
  </si>
  <si>
    <t>Ankylosis of the first tarsometatarsal joint</t>
  </si>
  <si>
    <t>Ankylosis of the second tarsometatarsal joint</t>
  </si>
  <si>
    <t>Tarsometatarsals</t>
  </si>
  <si>
    <t>Valgus ankle deformity of 20 degrees or less</t>
  </si>
  <si>
    <t>Foot</t>
  </si>
  <si>
    <t>Leg</t>
  </si>
  <si>
    <t>Finger amputated 3/4 distance from the DIP level, between DIP and PIP levels</t>
  </si>
  <si>
    <t>Finger amputated at the PIP level</t>
  </si>
  <si>
    <t>Finger amputated 1/4 distance from the PIP level, between the PIP and MP levels</t>
  </si>
  <si>
    <t>Finger amputated 1/2 distance between the PIP and MP levels</t>
  </si>
  <si>
    <t>Finger amputated 3/4 distance from the PIP level, between PIP and MP levels</t>
  </si>
  <si>
    <t>Finger amputated at the MP level</t>
  </si>
  <si>
    <t>Opposition
loss for thumb</t>
  </si>
  <si>
    <t>Opposition loss due to amputation or shortening of thumb</t>
  </si>
  <si>
    <t>DIP joint, flexion</t>
  </si>
  <si>
    <t>DIP joint, extension</t>
  </si>
  <si>
    <t>DIP joint, ankylosis</t>
  </si>
  <si>
    <t>PIP joint, flexion</t>
  </si>
  <si>
    <t>PIP joint, extension</t>
  </si>
  <si>
    <t>PIP joint, ankylosis</t>
  </si>
  <si>
    <t>R. Index finger ROM impairment total:</t>
  </si>
  <si>
    <t>Total scheduled and unscheduled permanent disability award</t>
  </si>
  <si>
    <t xml:space="preserve">or there are signs of vascular damage such as a healed stump of an amputated digit, with evidence of </t>
  </si>
  <si>
    <t>Backward extension ankylosis</t>
  </si>
  <si>
    <t>Abduction</t>
  </si>
  <si>
    <t>1 =  ROM measures present</t>
  </si>
  <si>
    <t>1 =  ankylosed joints present</t>
  </si>
  <si>
    <t>Abduction ankylosis</t>
  </si>
  <si>
    <t>Adduction</t>
  </si>
  <si>
    <t>ERROR</t>
  </si>
  <si>
    <t>Adduction ankylosis</t>
  </si>
  <si>
    <t>flag</t>
  </si>
  <si>
    <t>Internal rotation</t>
  </si>
  <si>
    <t>Additional left leg impairment</t>
  </si>
  <si>
    <t>4/5:        The worker retains range of motion against gravity with some resistance applied.</t>
  </si>
  <si>
    <t>3/5:        The worker retains range of motion against gravity without resistance applied.</t>
  </si>
  <si>
    <t xml:space="preserve">When a job is most accurately described by a combination of DOT codes, use all applicable DOT codes. </t>
  </si>
  <si>
    <t xml:space="preserve">1/5 distance from tip; between tip and interphalangeal joint </t>
  </si>
  <si>
    <t>3/10 distance from tip; between tip and interphalangeal joint</t>
  </si>
  <si>
    <t>2/5 distance from tip; between tip and interphalangeal joint</t>
  </si>
  <si>
    <t>1/2 distance from tip; between tip and interphalangeal joint</t>
  </si>
  <si>
    <t>Fifth Toe - Left</t>
  </si>
  <si>
    <t>Fifth toe amputation</t>
  </si>
  <si>
    <t>5th toe 
amputation</t>
  </si>
  <si>
    <t>Surgery: All of patella</t>
  </si>
  <si>
    <t>Leg - Right
Leg strength loss is rated in the foot/lower leg section. Click link at right to rate strength.</t>
  </si>
  <si>
    <t>Leg strength</t>
  </si>
  <si>
    <t>Foot/ankle</t>
  </si>
  <si>
    <t>All or part of the first metacarpal</t>
  </si>
  <si>
    <t>Proximal to/including mid-shaft of middle phalanx to/including distal epiphysis of the proximal phalanx</t>
  </si>
  <si>
    <t>R. Arm ROM impairment total:</t>
  </si>
  <si>
    <t>Arm length discrepancy</t>
  </si>
  <si>
    <t>Less than 1 inch</t>
  </si>
  <si>
    <t>1 inch or more but less than 2 inches</t>
  </si>
  <si>
    <t>2 inches or more but less than 3 inches</t>
  </si>
  <si>
    <t>3 inches or more but less than 4 inches</t>
  </si>
  <si>
    <t>4 inches or more</t>
  </si>
  <si>
    <t>Increased lateral deviation at or above the elbow</t>
  </si>
  <si>
    <t>Mild: Less than 20°</t>
  </si>
  <si>
    <t>Moderate: 20° - 30°</t>
  </si>
  <si>
    <t>Severe: Greater than 30°</t>
  </si>
  <si>
    <t>Left lower extremity</t>
  </si>
  <si>
    <t>Right hand - thumb</t>
  </si>
  <si>
    <t>Right hand/thumb ROM impairment total:</t>
  </si>
  <si>
    <t>Right wrist</t>
  </si>
  <si>
    <t>Right wrist ROM impairment total:</t>
  </si>
  <si>
    <t>Hypersensitivity, right palm</t>
  </si>
  <si>
    <t>Right hand, CMC</t>
  </si>
  <si>
    <t>Hearing loss that existed before the injury or exposure will be offset against hearing loss in the claim, if adequately documented by a baseline audiogram obtained within 180 days of assignment to a high noise environment. The offset will be done at the monaural percentage of impairment level. Subtract the baseline audiogram impairment from the current audiogram impairment to obtain the impairment value due to this injury. Hearing loss is based on audiogram findings for air conduction frequencies at 500, 1,000, 2,000, 3,000, 4,000 and 6,000 Hz.</t>
  </si>
  <si>
    <t>Messages</t>
  </si>
  <si>
    <t>Do not convert: There is no hand or arm impairment, and only a single digit is impaired.</t>
  </si>
  <si>
    <t>Vascular dysfunction of the left leg:</t>
  </si>
  <si>
    <t>Motor loss to any part of the left leg due to brain or spinal cord damage</t>
  </si>
  <si>
    <t xml:space="preserve">A worker meets the SVP for a job after successfully completing an authorized training program, on-the-job training, vocational training or apprentice training for that job classification. </t>
  </si>
  <si>
    <t>Current audiogram date</t>
  </si>
  <si>
    <t>db</t>
  </si>
  <si>
    <t>%Loss</t>
  </si>
  <si>
    <t>Baseline loss (db):</t>
  </si>
  <si>
    <t>Percentage:</t>
  </si>
  <si>
    <t>Current loss (db):</t>
  </si>
  <si>
    <t>14/60</t>
  </si>
  <si>
    <t>14/70</t>
  </si>
  <si>
    <t>Multiply the percent of loss in the better eye by three:</t>
  </si>
  <si>
    <t>Add to that result the percent of loss in the other eye:</t>
  </si>
  <si>
    <t>Divide the sum by four. This is the total binocular loss.</t>
  </si>
  <si>
    <t>20/25</t>
  </si>
  <si>
    <t>20/40</t>
  </si>
  <si>
    <t>20/50</t>
  </si>
  <si>
    <t>20/60</t>
  </si>
  <si>
    <t>20/70</t>
  </si>
  <si>
    <t>20/80</t>
  </si>
  <si>
    <t>20/100</t>
  </si>
  <si>
    <t>20/125</t>
  </si>
  <si>
    <t>20/150</t>
  </si>
  <si>
    <t>20/200</t>
  </si>
  <si>
    <t>20/300</t>
  </si>
  <si>
    <t>20/400</t>
  </si>
  <si>
    <t>Able to count fingers at 4 feet</t>
  </si>
  <si>
    <t>Not able to count fingers at 4 feet</t>
  </si>
  <si>
    <t>The program shows a rating, if any, for each injured digit. In the absence of hand/forearm or arm losses, if two or more digits have losses (other than loss of opposition), the losses are converted to a hand/forearm value if that will result in a higher disability award. If the worker has impairment in the hand/forearm or arm, digit or hand/forearm values must be converted to determine disability for the most proximal injured part.</t>
  </si>
  <si>
    <t>Subsequent surgical procedures: Add 1% for each disc or vertebra treated within the lumbosacral spine. Select the number of additional procedures for each vertebra and disc.</t>
  </si>
  <si>
    <t>Lumbosacral spine: Total impairment for surgical procedures:</t>
  </si>
  <si>
    <t>Additional left foot impairment</t>
  </si>
  <si>
    <t>Adaptability value under OAR 436-035-0012(13)</t>
  </si>
  <si>
    <t>Adaptability value under OAR 436-035-0012(11)</t>
  </si>
  <si>
    <t>Retained degrees of motion and percentage of impairment, third toe - right</t>
  </si>
  <si>
    <t>A worker is entitled to a 5% chronic condition impairment value when a preponderance of medical opinion establishes that, due to a chronic and permanent medical condition, the worker is significantly limited in the repetitive use of the forearm (below elbow/hand/wrist).</t>
  </si>
  <si>
    <t>Cervical spine: Surgical procedures</t>
  </si>
  <si>
    <t>disc</t>
  </si>
  <si>
    <t>Vertebrae</t>
  </si>
  <si>
    <t>Discs</t>
  </si>
  <si>
    <t>Subtotal</t>
  </si>
  <si>
    <t>Far right</t>
  </si>
  <si>
    <t>Far left</t>
  </si>
  <si>
    <t>Metric 6</t>
  </si>
  <si>
    <t>Near acuity:</t>
  </si>
  <si>
    <t>(Enter one measurement.)</t>
  </si>
  <si>
    <t>Near Snellen Inches</t>
  </si>
  <si>
    <t>Revised Jaeger Standard</t>
  </si>
  <si>
    <t>American Point-type</t>
  </si>
  <si>
    <t>Interphalangeal joint</t>
  </si>
  <si>
    <t>Metacarpophalangeal joint</t>
  </si>
  <si>
    <t>Dermatological conditions of the thumb, including burns</t>
  </si>
  <si>
    <t>Return to top of sheet</t>
  </si>
  <si>
    <t>Fracture resulting in angulation or malalignment:</t>
  </si>
  <si>
    <t>Radius</t>
  </si>
  <si>
    <t>Ulna</t>
  </si>
  <si>
    <t>Angulation or malalignment, radius</t>
  </si>
  <si>
    <t>Angulation or malalignment, ulna</t>
  </si>
  <si>
    <t>Angulation or malalignment, humerus</t>
  </si>
  <si>
    <t>Conversion from hand/forearm</t>
  </si>
  <si>
    <t>Record level of amputation or shortening of the Little finger. Impairment value of 5% or more for loss of opposition will carry over to the thumb.</t>
  </si>
  <si>
    <t>Loss of opposition due to amputation or shortening of the thumb</t>
  </si>
  <si>
    <t>Combined disability, thumb - left</t>
  </si>
  <si>
    <t>Counts</t>
  </si>
  <si>
    <t>Loss of opposition, index</t>
  </si>
  <si>
    <t>Loss of opposition, middle</t>
  </si>
  <si>
    <t>Loss of opposition, ring</t>
  </si>
  <si>
    <t>Loss of opposition, little</t>
  </si>
  <si>
    <t>Joint replacement, IP</t>
  </si>
  <si>
    <t>Joint replacement, MP</t>
  </si>
  <si>
    <t>Integument, lacrimal</t>
  </si>
  <si>
    <t>Retained degrees of motion and percentage of impairment, fifth toe - left</t>
  </si>
  <si>
    <t>Sciatic: Option button output</t>
  </si>
  <si>
    <t>Peroneal: Option button output</t>
  </si>
  <si>
    <t xml:space="preserve">Dermatological conditions, </t>
  </si>
  <si>
    <t>Strength grade descriptions</t>
  </si>
  <si>
    <t>1=with ankylosis</t>
  </si>
  <si>
    <t xml:space="preserve">Nerves to: 
(10% leg)
</t>
  </si>
  <si>
    <t>Combined disability, right foot, 
ankle, and lower leg</t>
  </si>
  <si>
    <t>Combined disability, third toe - left</t>
  </si>
  <si>
    <t>Combined disability, fourth toe - left</t>
  </si>
  <si>
    <t>Combined disability, left foot, 
ankle, and lower leg</t>
  </si>
  <si>
    <t>Right shoulder ROM impairment total:</t>
  </si>
  <si>
    <t>4/5 distance from the distal interphalangeal joint; between the DIP joint and the proximal interphalangeal joint</t>
  </si>
  <si>
    <t>Amputation at the proximal interphalangeal joint</t>
  </si>
  <si>
    <t>1/5 distance from the proximal interphalangeal joint; between the PIP joint and the metatarsophalangeal joint</t>
  </si>
  <si>
    <t>2/5 distance from the proximal interphalangeal joint; between the PIP joint and the metatarsophalangeal joint</t>
  </si>
  <si>
    <t>To the extent that stereopsis (depth perception), glare disturbances or monocular diplopia causes visual impairment that is not reflected in visual acuity, visual field, or ocular motility impairment, combine an additional 5% when in the opinion of the physician the impairment is moderate, 10% if the impairment is severe.</t>
  </si>
  <si>
    <t>Strength loss in the left foot and leg</t>
  </si>
  <si>
    <t>5/5=0%</t>
  </si>
  <si>
    <t>5-/5=5%</t>
  </si>
  <si>
    <t>4+/5=10%</t>
  </si>
  <si>
    <t>4/5=20%</t>
  </si>
  <si>
    <t>4-/5=30%</t>
  </si>
  <si>
    <t>3+/5=40%</t>
  </si>
  <si>
    <t>3/5=50%</t>
  </si>
  <si>
    <t>3-/5=60%</t>
  </si>
  <si>
    <t>2+/5=70%</t>
  </si>
  <si>
    <t>2/5=75%</t>
  </si>
  <si>
    <t>Impairment of the bladder is determined according to the following classes:</t>
  </si>
  <si>
    <t>S1</t>
  </si>
  <si>
    <t>Ring finger, PIP joiint, ulnar side only, total loss</t>
  </si>
  <si>
    <t>Ring finger, 1/2 digit, total loss</t>
  </si>
  <si>
    <t>Ring finger, 1/2 digit, radial side only, total loss</t>
  </si>
  <si>
    <t>Ring finger, 1/2 digit, ulnar side only, total loss</t>
  </si>
  <si>
    <t>Ring finger, DIP joint, total loss</t>
  </si>
  <si>
    <t>Combined disability: Lumbosacral spine</t>
  </si>
  <si>
    <t>Combined disability: Spine</t>
  </si>
  <si>
    <t>Cervical spine</t>
  </si>
  <si>
    <t>Thoracic spine</t>
  </si>
  <si>
    <t>Lumbosacral spine</t>
  </si>
  <si>
    <t>Cervical 
Spine</t>
  </si>
  <si>
    <t>Thoracic
Spine</t>
  </si>
  <si>
    <t>Lumbosacral
Spine</t>
  </si>
  <si>
    <t>Flexion</t>
  </si>
  <si>
    <t>Extension</t>
  </si>
  <si>
    <t>Right or left lateral flexion</t>
  </si>
  <si>
    <t>Right or left rotation</t>
  </si>
  <si>
    <t>Little finger, whole digit, ulnar side only, protective sensation</t>
  </si>
  <si>
    <t>Little finger, 1/2 proximal phalanx, protective sensation</t>
  </si>
  <si>
    <t>Little finger, 1/2 proximal phalanx, radial side only, protective sensation</t>
  </si>
  <si>
    <t>Overall impairment due to strength loss: Leg</t>
  </si>
  <si>
    <t>ROM</t>
  </si>
  <si>
    <t>Amputation, foot</t>
  </si>
  <si>
    <t>1=foot involvement</t>
  </si>
  <si>
    <t>Second toe</t>
  </si>
  <si>
    <t>1=leg involvement</t>
  </si>
  <si>
    <t>Third toe</t>
  </si>
  <si>
    <t>Fourth toe</t>
  </si>
  <si>
    <t>Fifth toe</t>
  </si>
  <si>
    <t>Converted values are added; total left foot value:</t>
  </si>
  <si>
    <t>Retained degrees of motion and percentage of impairment, fourth toe - right</t>
  </si>
  <si>
    <t>Fifth Toe - Right</t>
  </si>
  <si>
    <t>Retained degrees of motion and percentage of impairment, fifth toe - right</t>
  </si>
  <si>
    <t>and the worker has many limitations in the performance of activities of daily living.</t>
  </si>
  <si>
    <r>
      <t xml:space="preserve">(e) </t>
    </r>
    <r>
      <rPr>
        <b/>
        <sz val="10"/>
        <rFont val="Times New Roman"/>
        <family val="1"/>
      </rPr>
      <t>Class 5:</t>
    </r>
    <r>
      <rPr>
        <sz val="10"/>
        <rFont val="Times New Roman"/>
        <family val="1"/>
      </rPr>
      <t xml:space="preserve"> 90% for the affected body part if continuous prescribed treatment is required. The treatment</t>
    </r>
  </si>
  <si>
    <t>necessitates having the worker stay home or being permanently admitted to a care facility, and the worker</t>
  </si>
  <si>
    <t>has severe limitations in the performance of activities of daily living.</t>
  </si>
  <si>
    <t>Second toe - right</t>
  </si>
  <si>
    <t>Effects on hearing are rated under OAR 436-035-0250.</t>
  </si>
  <si>
    <t>No disequilibrium</t>
  </si>
  <si>
    <t>Permanent partial disability calculation for dates of injury prior to 1/1/2005: 
Use the calculation method (monocular or binocular) that results in the greater impairment.</t>
  </si>
  <si>
    <t>Binocular impairment</t>
  </si>
  <si>
    <t>Ring finger loss to hand loss</t>
  </si>
  <si>
    <t>Little finger loss to hand loss</t>
  </si>
  <si>
    <t>Flexion Carpometacarpal joint of the thumb</t>
  </si>
  <si>
    <t>Extension Carpometacarpal joint of the thumb</t>
  </si>
  <si>
    <t>Ankylosis Carpometacarpal joint of the thumb in flexion</t>
  </si>
  <si>
    <t>The worker has ratable unscheduled impairment under OAR 436-035-0019 and 0330 through 0450. Determine adaptability using the higher of the values from the residual functional capacity chart in OAR 436-035-0012(11) or the chart in 0012(13).</t>
  </si>
  <si>
    <t xml:space="preserve">Select tabs below to rate an injured body part or system. </t>
  </si>
  <si>
    <t>Conversion from digit values to right hand values</t>
  </si>
  <si>
    <t>Right arm</t>
  </si>
  <si>
    <t>Chronic condition, right arm</t>
  </si>
  <si>
    <t>Slight protrusion at the site of the defect with increased abdominal pressure that is readily reducible; or occasional mild discomfort at the site of the defect, which limits the worker in one or more activities of daily living (ADL).</t>
  </si>
  <si>
    <t>Frequent or persistent protrusion at the site of the defect with increased pressure that is manually reducible; or frequent discomfort, which limits the worker from heavy lifting, but does not hamper some ADL.</t>
  </si>
  <si>
    <t>Persistent, irreducible, or irreparable protrusion at the site of the
defect and there is a limitation in the worker’s ADL.</t>
  </si>
  <si>
    <t>All or part of the fifth metacarpal</t>
  </si>
  <si>
    <t>Sum of ROM measures</t>
  </si>
  <si>
    <t>1= partial ROM data only</t>
  </si>
  <si>
    <t>Left hand - thumb</t>
  </si>
  <si>
    <t>Contralateral 
(adjusted %)</t>
  </si>
  <si>
    <t>CMC joint, flexion</t>
  </si>
  <si>
    <t>CMC joint, extension</t>
  </si>
  <si>
    <t>CMC flexion ankylosis</t>
  </si>
  <si>
    <t>Total disability percentage for hand</t>
  </si>
  <si>
    <t>CMC extension ankylosis</t>
  </si>
  <si>
    <t>Left hand/thumb ROM impairment total:</t>
  </si>
  <si>
    <t>Left wrist</t>
  </si>
  <si>
    <t>Extension (dorsiflexion)</t>
  </si>
  <si>
    <t>Total disability percentage for wrist</t>
  </si>
  <si>
    <t>Flexion (palmar)</t>
  </si>
  <si>
    <t>Radial deviation</t>
  </si>
  <si>
    <t>Radial deviation ankylosis</t>
  </si>
  <si>
    <t>Ulnar deviation</t>
  </si>
  <si>
    <t>Ulnar deviation ankylosis</t>
  </si>
  <si>
    <t>Supination</t>
  </si>
  <si>
    <t>Pronation</t>
  </si>
  <si>
    <t>Mild</t>
  </si>
  <si>
    <t>Severe (complete disruption of two/three ligaments)</t>
  </si>
  <si>
    <t>Due to medial collateral ligament damage:</t>
  </si>
  <si>
    <t>Monocular total (added):</t>
  </si>
  <si>
    <t>Combined disability, fifth toe - left</t>
  </si>
  <si>
    <t>Total impairment, fifth toe - left:</t>
  </si>
  <si>
    <t>Foot, Ankle, &amp; Lower Leg - Left</t>
  </si>
  <si>
    <t>Amputation of the left foot</t>
  </si>
  <si>
    <t>At or above the tibio-talar joint but below the knee joint</t>
  </si>
  <si>
    <t>At the tarsometatarsal joints</t>
  </si>
  <si>
    <t>Vascular dysfunction</t>
  </si>
  <si>
    <t>Motor loss</t>
  </si>
  <si>
    <t>Conversion from foot value</t>
  </si>
  <si>
    <t>Ring finger ROM impairment total:</t>
  </si>
  <si>
    <t>Permanent Partial Disability Calculator</t>
  </si>
  <si>
    <t>Sum of ankylosed joints</t>
  </si>
  <si>
    <t>Supination ankylosis</t>
  </si>
  <si>
    <t>Pronation ankylosis</t>
  </si>
  <si>
    <t>Little finger, 1/2 proximal phalanx, ulnar side only, total loss</t>
  </si>
  <si>
    <t>Little finger, PIP joiint, total loss</t>
  </si>
  <si>
    <t>Little finger, PIP joiint, radial side only, total loss</t>
  </si>
  <si>
    <t>Little finger, PIP joiint, ulnar side only, total loss</t>
  </si>
  <si>
    <t>Little finger, 1/2 digit, total loss</t>
  </si>
  <si>
    <t>Little finger, 1/2 digit, radial side only, total loss</t>
  </si>
  <si>
    <t>Little finger, 1/2 digit, ulnar side only, total loss</t>
  </si>
  <si>
    <t>Little finger, DIP joint, total loss</t>
  </si>
  <si>
    <t>Impairment of the pancreas
Hypoglycemia</t>
  </si>
  <si>
    <t>Left thumb</t>
  </si>
  <si>
    <t>Thumb amputation or resection without reattachment (or shortening of digit)</t>
  </si>
  <si>
    <t>Psychotic disorders</t>
  </si>
  <si>
    <t>Class 4</t>
  </si>
  <si>
    <t>Total impairment, mental illness</t>
  </si>
  <si>
    <t>Select tab below to rate an additional part. 
When rating has been completed, go to "PPD" worksheet.</t>
  </si>
  <si>
    <t>Does the worker meet the conditions described above?</t>
  </si>
  <si>
    <t>Abdomen Disability Determination</t>
  </si>
  <si>
    <t>Right knee angulation or malalignment</t>
  </si>
  <si>
    <t>Right wrist/forearm</t>
  </si>
  <si>
    <t>Strength loss in the right hand/forearm or arm</t>
  </si>
  <si>
    <t>Right arm impairment</t>
  </si>
  <si>
    <t>Right arm impairment:</t>
  </si>
  <si>
    <t>Right forearm impairment:</t>
  </si>
  <si>
    <t>Overall impairment due to strength loss: Right forearm</t>
  </si>
  <si>
    <t>Because the worker has returned or been released to regular work, age, education, and adaptability are not considered in calculating the award</t>
  </si>
  <si>
    <t>LS/L</t>
  </si>
  <si>
    <t>LL</t>
  </si>
  <si>
    <t>LM/L</t>
  </si>
  <si>
    <t>LM</t>
  </si>
  <si>
    <t>LM/H</t>
  </si>
  <si>
    <t>LH</t>
  </si>
  <si>
    <t>LV/H</t>
  </si>
  <si>
    <t>MRS</t>
  </si>
  <si>
    <t xml:space="preserve">Loss of opposition due to finger amputation or shortening of the digit.
</t>
  </si>
  <si>
    <t xml:space="preserve">Deformity of movement,
index finger
</t>
  </si>
  <si>
    <t xml:space="preserve">Prosthetic joint 
replacement
</t>
  </si>
  <si>
    <t xml:space="preserve">Deformity of movement,
middle finger
</t>
  </si>
  <si>
    <t xml:space="preserve">Deformity of movement,
ring finger
</t>
  </si>
  <si>
    <t xml:space="preserve">Deformity of movement,
little finger
</t>
  </si>
  <si>
    <t xml:space="preserve">Right arm surgery
</t>
  </si>
  <si>
    <t xml:space="preserve">Deformity of movement, thumb
</t>
  </si>
  <si>
    <t xml:space="preserve">A value of 5% of the foot is granted if there is a diagnosis of Grade IV chondromalacia, extensive arthritis, or extensive degenerative joint disease, and one or more of the following: secondary strength loss; chronic effusion; varus deformity of the ankle of 15 degrees or less; valgus deformity of the ankle of 20 degrees or less.
</t>
  </si>
  <si>
    <t>Grade IV chondromalacia</t>
  </si>
  <si>
    <t>Extensive arthritis</t>
  </si>
  <si>
    <t>Extensive degenerative joint disease</t>
  </si>
  <si>
    <t>Secondary strength loss</t>
  </si>
  <si>
    <t>Chronic effusion</t>
  </si>
  <si>
    <t>Varus ankle deformity of 15 degrees or less</t>
  </si>
  <si>
    <r>
      <t xml:space="preserve">Common peroneal
</t>
    </r>
    <r>
      <rPr>
        <sz val="8"/>
        <rFont val="Times New Roman"/>
        <family val="1"/>
      </rPr>
      <t xml:space="preserve">
</t>
    </r>
    <r>
      <rPr>
        <sz val="6"/>
        <rFont val="Times New Roman"/>
        <family val="1"/>
      </rPr>
      <t xml:space="preserve">
</t>
    </r>
    <r>
      <rPr>
        <sz val="8"/>
        <rFont val="Times New Roman"/>
        <family val="1"/>
      </rPr>
      <t xml:space="preserve">
</t>
    </r>
    <r>
      <rPr>
        <sz val="10"/>
        <rFont val="Times New Roman"/>
        <family val="1"/>
      </rPr>
      <t xml:space="preserve">
</t>
    </r>
    <r>
      <rPr>
        <b/>
        <sz val="10"/>
        <rFont val="Times New Roman"/>
        <family val="1"/>
      </rPr>
      <t xml:space="preserve">Deep
Deep
</t>
    </r>
  </si>
  <si>
    <t>Carpometacarpal arthroplasty</t>
  </si>
  <si>
    <t xml:space="preserve">extremity usage; or there is marked edema that cannot be controlled by elastic supports; or there are </t>
  </si>
  <si>
    <t xml:space="preserve">signs of vascular damage such as an amputation at or above the wrist, with evidence of persistent </t>
  </si>
  <si>
    <t>Overall loss; no averaging</t>
  </si>
  <si>
    <t>Nerves to:
(10% leg)</t>
  </si>
  <si>
    <t>Sum of
irreversible
findings</t>
  </si>
  <si>
    <t>6/22</t>
  </si>
  <si>
    <t>6/24</t>
  </si>
  <si>
    <t>6/30</t>
  </si>
  <si>
    <t>6/38</t>
  </si>
  <si>
    <t>6/50</t>
  </si>
  <si>
    <t>6/60</t>
  </si>
  <si>
    <t>C1</t>
  </si>
  <si>
    <t>C2</t>
  </si>
  <si>
    <t>C3</t>
  </si>
  <si>
    <t>C4</t>
  </si>
  <si>
    <t>C5</t>
  </si>
  <si>
    <t>C6</t>
  </si>
  <si>
    <t>C7</t>
  </si>
  <si>
    <t>Overall</t>
  </si>
  <si>
    <t>Teres minor</t>
  </si>
  <si>
    <t>Posterior deltoid</t>
  </si>
  <si>
    <t>Irreversible findings</t>
  </si>
  <si>
    <t>Plantar flexion
IP Joint</t>
  </si>
  <si>
    <t>Plantarflexion ankylosis 
IP Joint</t>
  </si>
  <si>
    <t>Dorsiflexion (extension) 
MP joint</t>
  </si>
  <si>
    <t>Dorsiflexion (extension) ankylosis MP joint</t>
  </si>
  <si>
    <t>Plantar flexion
MP Joint</t>
  </si>
  <si>
    <t>Plantar flexion ankylosis
MP Joint</t>
  </si>
  <si>
    <t>Great toe loss to foot loss</t>
  </si>
  <si>
    <t>2nd - 5th toe loss to foot loss</t>
  </si>
  <si>
    <t>Subtalar inversion (varus) ankylosis</t>
  </si>
  <si>
    <t>Subtalar eversion (valgus) ankylosis</t>
  </si>
  <si>
    <t>Dorsiflexion (extension) ankylosis</t>
  </si>
  <si>
    <t>Plantar flexion</t>
  </si>
  <si>
    <t>Plantar flexion ankylosis</t>
  </si>
  <si>
    <t>Foot value to leg value</t>
  </si>
  <si>
    <t>Maximum carries over to PPD calculation worksheet.</t>
  </si>
  <si>
    <t>Backward extension, hip</t>
  </si>
  <si>
    <t>Abduction, hip</t>
  </si>
  <si>
    <t>Adduction, hip</t>
  </si>
  <si>
    <t>Sum</t>
  </si>
  <si>
    <t>Tibial: Option button output</t>
  </si>
  <si>
    <t>Apportionment (if applicable)</t>
  </si>
  <si>
    <t xml:space="preserve">Apportionment (if applicable)  </t>
  </si>
  <si>
    <t>Due to lateral collateral ligament damage:</t>
  </si>
  <si>
    <t>Foot/ankle ROM impairment total:</t>
  </si>
  <si>
    <t>Dermatological condition</t>
  </si>
  <si>
    <t>Total impairment, left arm:</t>
  </si>
  <si>
    <t>Little finger, DIP joint, radial side only, less than normal</t>
  </si>
  <si>
    <t>Little finger, DIP joint, ulnar side only, less than normal</t>
  </si>
  <si>
    <t>Little finger, 1/2 distal phalanx, less than normal</t>
  </si>
  <si>
    <t>Little finger, 1/2 distal phalanx, radial side only, less than normal</t>
  </si>
  <si>
    <t>Little finger, 1/2 distal phalanx, ulnar side only, less than normal</t>
  </si>
  <si>
    <t>Little finger, whole digit, protective sensation</t>
  </si>
  <si>
    <t>Little finger, whole digit, radial side only, protective sensation</t>
  </si>
  <si>
    <t>Pelvis Disability Determination</t>
  </si>
  <si>
    <t>In the symphysis pubis</t>
  </si>
  <si>
    <t>Axillary 
averaging?</t>
  </si>
  <si>
    <t>Dorsal scapular averaging?</t>
  </si>
  <si>
    <t>Subscapular averaging?</t>
  </si>
  <si>
    <t>Suprascapular averaging?</t>
  </si>
  <si>
    <t>Pectoralis major</t>
  </si>
  <si>
    <t>3/10 distance from the interphalangeal joint; between the IP joint and the metatarsophalangeal joint</t>
  </si>
  <si>
    <t>2/5 distance from the interphalangeal joint; between the IP joint and the metatarsophalangeal joint</t>
  </si>
  <si>
    <t>Pericardial disease</t>
  </si>
  <si>
    <t>Arrythmias</t>
  </si>
  <si>
    <t>Heart transplant</t>
  </si>
  <si>
    <t>Total impairment, cardiovascular system</t>
  </si>
  <si>
    <t>Left Lower Extremity Disability Determination
Permanent Partial Disability - Date of injury prior to 1/1/2005</t>
  </si>
  <si>
    <t>Great toe - left</t>
  </si>
  <si>
    <t>Second toe - left</t>
  </si>
  <si>
    <t>Third toe - left</t>
  </si>
  <si>
    <t>Fourth toe - left</t>
  </si>
  <si>
    <t>Fifth toe - left</t>
  </si>
  <si>
    <t>Foot - left</t>
  </si>
  <si>
    <t>Leg - left</t>
  </si>
  <si>
    <t>Maximum degrees</t>
  </si>
  <si>
    <t>Integument and Lacrimal Systems</t>
  </si>
  <si>
    <t>Deformity of movement, lateral</t>
  </si>
  <si>
    <t>Left 2nd toe</t>
  </si>
  <si>
    <t>Gastrointestinal and genitourinary</t>
  </si>
  <si>
    <t>V/HS/L</t>
  </si>
  <si>
    <t>Arm strength</t>
  </si>
  <si>
    <t>Loss or alteration of the sense of taste; one or both facial nerves</t>
  </si>
  <si>
    <t>No motor loss in the face</t>
  </si>
  <si>
    <t>Partial motor loss on one side of the face</t>
  </si>
  <si>
    <t>Affected</t>
  </si>
  <si>
    <t>Mental illness</t>
  </si>
  <si>
    <t>Valvular heart disease</t>
  </si>
  <si>
    <t>Coronary heart disease</t>
  </si>
  <si>
    <t>Hypertensive cardiovascular disease</t>
  </si>
  <si>
    <t>Cardiomyopathy</t>
  </si>
  <si>
    <t>1/10 distance from tip; between tip and distal interphalangeal joint</t>
  </si>
  <si>
    <t xml:space="preserve">1/5 distance from tip; between tip and distal interphalangeal joint </t>
  </si>
  <si>
    <t xml:space="preserve">Proximal to/including mid-shaft of distal phalanx to distal epiphysis of the middle phalanx </t>
  </si>
  <si>
    <t>Transfer R</t>
  </si>
  <si>
    <t>Transfer L</t>
  </si>
  <si>
    <t>Proximal to the distal epiphysis (head) of the middle phalanx to the mid-shaft of the middle phalanx</t>
  </si>
  <si>
    <t>Contralateral
(adjusted %)</t>
  </si>
  <si>
    <t>IP joint:</t>
  </si>
  <si>
    <t>Contralateral adjustment</t>
  </si>
  <si>
    <t>Combining</t>
  </si>
  <si>
    <t>Monocular impairment</t>
  </si>
  <si>
    <t>Binocular loss times 94% = percent of whole-person disability:</t>
  </si>
  <si>
    <t>Maximum 
whole-person percentage</t>
  </si>
  <si>
    <t>Impairment 
award</t>
  </si>
  <si>
    <t>Permanent partial disability calculation for dates of injury on or after 1/1/2005: 
Use the calculation method (monocular or binocular) that results in the greater impairment.</t>
  </si>
  <si>
    <t>Percent of whole-person disability times the state average weekly wage times 100 = binaural impairment award:</t>
  </si>
  <si>
    <t>+</t>
  </si>
  <si>
    <t>Total impairment, 
right eye:</t>
  </si>
  <si>
    <t>Total impairment, 
left eye:</t>
  </si>
  <si>
    <t>Monocular calculation results in the greater impairment award:</t>
  </si>
  <si>
    <t>Binocular calculation results in the greater impairment award:</t>
  </si>
  <si>
    <t>Respiratory system</t>
  </si>
  <si>
    <t>Cardiovascular system</t>
  </si>
  <si>
    <t>Ring finger, 1/2 distal phalanx, ulnar side only, total loss</t>
  </si>
  <si>
    <t>Little finger, whole digit, less than normal</t>
  </si>
  <si>
    <t>Little finger, whole digit, radial side only, less than normal</t>
  </si>
  <si>
    <t>Little finger, whole digit, ulnar side only, less than normal</t>
  </si>
  <si>
    <t>Little finger, 1/2 proximal phalanx, less than normal</t>
  </si>
  <si>
    <t>Little finger, 1/2 proximal phalanx, radial side only, less than normal</t>
  </si>
  <si>
    <t>9/10 distance from tip; between tip and interphalangeal joint</t>
  </si>
  <si>
    <t>Amputation at the interphalangeal joint</t>
  </si>
  <si>
    <t>1/10 distance from the interphalangeal joint; between the IP joint and the metatarsophalangeal joint</t>
  </si>
  <si>
    <t>Foot/ankle ROM</t>
  </si>
  <si>
    <t>14/88</t>
  </si>
  <si>
    <t>14/112</t>
  </si>
  <si>
    <t>14/140</t>
  </si>
  <si>
    <t>Lens not removed</t>
  </si>
  <si>
    <t>Lens removed; replaced with prosthetic lens</t>
  </si>
  <si>
    <t>Motor loss in any part of the left arm due to brain or spinal cord damage</t>
  </si>
  <si>
    <r>
      <t xml:space="preserve">Percent of whole-person disability times the state average weekly wage times 100 = </t>
    </r>
    <r>
      <rPr>
        <b/>
        <sz val="10"/>
        <rFont val="Times New Roman"/>
        <family val="1"/>
      </rPr>
      <t>binocular impairment award:</t>
    </r>
  </si>
  <si>
    <t>Right eye:</t>
  </si>
  <si>
    <t>Left eye:</t>
  </si>
  <si>
    <t>Binocular impairment award:</t>
  </si>
  <si>
    <t>English measure</t>
  </si>
  <si>
    <t>Left arm
Arm strength loss is rated in the hand/forearm section. Click link at right to rate strength.</t>
  </si>
  <si>
    <t>Permanent Partial Disability Determination
for dates of injury on or after 1/1/2005</t>
  </si>
  <si>
    <t>Enter perimetric masurements, even if greater than minimal normal levels; the calculator will adjust to minimal normal for rating purposes. If one-quarter or one-half of the visual field has been lost, enter the letters for the three to five meridians involved (including the boundary meridians).</t>
  </si>
  <si>
    <t>Foot conversion?
1=Yes</t>
  </si>
  <si>
    <t xml:space="preserve">persistent vascular disease, or a healed ulcer; or cold intolerance (e.g. Raynaud’s phenomenon) which </t>
  </si>
  <si>
    <r>
      <t xml:space="preserve">(b) </t>
    </r>
    <r>
      <rPr>
        <b/>
        <sz val="10"/>
        <rFont val="Times New Roman"/>
        <family val="1"/>
      </rPr>
      <t xml:space="preserve">Class 2: </t>
    </r>
    <r>
      <rPr>
        <sz val="10"/>
        <rFont val="Times New Roman"/>
        <family val="1"/>
      </rPr>
      <t xml:space="preserve">15% for the affected body part if the worker experiences intermittent pain with repetitive </t>
    </r>
  </si>
  <si>
    <t>Total impairment, immune system:</t>
  </si>
  <si>
    <t>Complete motor loss on both sides of the face</t>
  </si>
  <si>
    <t>Surgery, IP joint</t>
  </si>
  <si>
    <t>Surgery, MP joint</t>
  </si>
  <si>
    <t>Second Toe - Left</t>
  </si>
  <si>
    <t>Second toe amputation</t>
  </si>
  <si>
    <t>2nd toe 
amputation</t>
  </si>
  <si>
    <t>Unscheduled permanent partial disability</t>
  </si>
  <si>
    <t>Scheduled permanent partial disability</t>
  </si>
  <si>
    <t>3/5 distance from the proximal interphalangeal joint; between the PIP joint and the metatarsophalangeal joint</t>
  </si>
  <si>
    <t xml:space="preserve"> L. Thumb ROM impairment total:</t>
  </si>
  <si>
    <t>Chewing and swallowing impairment</t>
  </si>
  <si>
    <t>Upper digestive track impairment</t>
  </si>
  <si>
    <t>No HS Diploma/GED</t>
  </si>
  <si>
    <t>Specific vocational preparation</t>
  </si>
  <si>
    <t>Carpometacarpal arthroplasty:</t>
  </si>
  <si>
    <t>Yes</t>
  </si>
  <si>
    <t>No</t>
  </si>
  <si>
    <t>A worker is entitled to a 5% chronic condition impairment value when a preponderance of medical opinion establishes that, due to a chronic and permanent medical condition, the worker is significantly limited in the repetitive use of the cervical spine.</t>
  </si>
  <si>
    <t>Combined disability, fifth toe - right</t>
  </si>
  <si>
    <t>Total impairment, fifth toe - right:</t>
  </si>
  <si>
    <t>Foot, Ankle, &amp; Lower Leg - Right</t>
  </si>
  <si>
    <t>Amputation of the right foot</t>
  </si>
  <si>
    <t>Lumbosacral spine, flexion</t>
  </si>
  <si>
    <t>Lumbosacral spine, extension</t>
  </si>
  <si>
    <t>Lumbosacral spine, right lateral flexion</t>
  </si>
  <si>
    <t>Lumbosacral spine, left lateral flexion</t>
  </si>
  <si>
    <t>Lumbrosacral ROM impairment total:</t>
  </si>
  <si>
    <t>Total impairment, spinal cord</t>
  </si>
  <si>
    <t>Spine Disability Determination</t>
  </si>
  <si>
    <t>Cervical spine: Retained degrees of motion and percentage of impairment</t>
  </si>
  <si>
    <t>Sums</t>
  </si>
  <si>
    <t>Cervical spine, flexion</t>
  </si>
  <si>
    <t>Cervical spine, extension</t>
  </si>
  <si>
    <t>Cervical spine, right lateral flexion</t>
  </si>
  <si>
    <t>Cervical spine, left lateral flexion</t>
  </si>
  <si>
    <t>Chronic condition, left lower leg/foot/ankle</t>
  </si>
  <si>
    <t>Convert toe values to foot value (only if there are impairment findings in the foot or leg)</t>
  </si>
  <si>
    <t>Great toe</t>
  </si>
  <si>
    <t>converts to</t>
  </si>
  <si>
    <t>Percentage of hearing loss</t>
  </si>
  <si>
    <t xml:space="preserve">intolerance (e.g. Raynaud’s phenomenon) which results in a loss of use or function that occurs on </t>
  </si>
  <si>
    <t>Amputation: 2nd metacarpal</t>
  </si>
  <si>
    <t>Amputation: 3rd metacarpal</t>
  </si>
  <si>
    <t>Amputation: 4th metacarpal</t>
  </si>
  <si>
    <t>Amputation: 5th metacarpal</t>
  </si>
  <si>
    <t>Range of motion loss, hand/thumb</t>
  </si>
  <si>
    <t>Range of motion loss, wrist</t>
  </si>
  <si>
    <t>Hypersensitivity, palm</t>
  </si>
  <si>
    <t>Joint instability, hand CMC</t>
  </si>
  <si>
    <t>Medial collateral ligament damage</t>
  </si>
  <si>
    <t>Total disability percentage for arm</t>
  </si>
  <si>
    <t>Extension, elbow</t>
  </si>
  <si>
    <t xml:space="preserve">Users are encouraged to use the calculator for checking the results of manual PPD rating. </t>
  </si>
  <si>
    <t>This calculator may be modified by the user according to the user's needs.</t>
  </si>
  <si>
    <t>Fred Bruyns</t>
  </si>
  <si>
    <t>Click one of the links below to rate an injured body part or system.</t>
  </si>
  <si>
    <t>Upper extremity - Right</t>
  </si>
  <si>
    <t>Because the worker cannot return to regular work, age, education, and adaptability must be considered in calculating the award.</t>
  </si>
  <si>
    <t>Record level of amputation or shortening of the index finger. Impairment value of 5% or more for loss of opposition will carry over to the thumb.</t>
  </si>
  <si>
    <t xml:space="preserve">Finger amputated 1/4 distance from tip, between tip and DIP level </t>
  </si>
  <si>
    <t xml:space="preserve">Finger amputated 1/2 distance between tip and DIP level </t>
  </si>
  <si>
    <t xml:space="preserve">Finger amputated 3/4 distance from tip, between tip and DIP level </t>
  </si>
  <si>
    <t>Finger amputated at the DIP level</t>
  </si>
  <si>
    <t>Date of injury (required)</t>
  </si>
  <si>
    <t>Max.
degrees</t>
  </si>
  <si>
    <t>$ per
Degree</t>
  </si>
  <si>
    <t>Award</t>
  </si>
  <si>
    <t>Retained degrees of motion and percentage of impairment, great toe</t>
  </si>
  <si>
    <t>Date of issuance (required for calculation of age)</t>
  </si>
  <si>
    <t>Ankylosis in flexion or extension</t>
  </si>
  <si>
    <t>Plantarflexion, IP joint</t>
  </si>
  <si>
    <t>Contralateral IP joint</t>
  </si>
  <si>
    <t>Plantarflexion ankylosis, IP joint</t>
  </si>
  <si>
    <t>Total impairment, left foot:</t>
  </si>
  <si>
    <t>Amputation:</t>
  </si>
  <si>
    <t>Flexion, knee</t>
  </si>
  <si>
    <t>Error flag</t>
  </si>
  <si>
    <t>Complements</t>
  </si>
  <si>
    <t>Flexion ankylosis</t>
  </si>
  <si>
    <t>Extension, knee</t>
  </si>
  <si>
    <t>Extension ankylosis</t>
  </si>
  <si>
    <t>Maximum ankylosis value:</t>
  </si>
  <si>
    <t>Left knee ROM impairment total:</t>
  </si>
  <si>
    <t>C-8</t>
  </si>
  <si>
    <t>T-1</t>
  </si>
  <si>
    <t>Musculocutaneous nerve</t>
  </si>
  <si>
    <t>Hemipelvectomy</t>
  </si>
  <si>
    <t>Combined disability: Pelvis</t>
  </si>
  <si>
    <t>Total impairment:</t>
  </si>
  <si>
    <t xml:space="preserve">
Impairments of the integumentary system are rated according to the following classes:</t>
  </si>
  <si>
    <t xml:space="preserve">
Lacrimal system</t>
  </si>
  <si>
    <t>ERROR: Date of issuance cannot precede date of injury.</t>
  </si>
  <si>
    <t>Motor loss to any part of the right leg due to brain or spinal cord damage</t>
  </si>
  <si>
    <t>Additional right leg impairment</t>
  </si>
  <si>
    <t>Contralateral flexion</t>
  </si>
  <si>
    <t>Contralateral radial deviation</t>
  </si>
  <si>
    <t>Contralateral ulnar deviation</t>
  </si>
  <si>
    <t>Flexion elbow joint</t>
  </si>
  <si>
    <t>Extension elbow joint</t>
  </si>
  <si>
    <t>Contralateral supination</t>
  </si>
  <si>
    <t>Contralateral pronation</t>
  </si>
  <si>
    <t>Hypersensitivity</t>
  </si>
  <si>
    <t>Deformity of movement, thumb</t>
  </si>
  <si>
    <t>Rotational</t>
  </si>
  <si>
    <t>Dorsal</t>
  </si>
  <si>
    <t>Lateral</t>
  </si>
  <si>
    <t>Palmar</t>
  </si>
  <si>
    <t>Joint instability</t>
  </si>
  <si>
    <t>Contralateral (adjusted %)</t>
  </si>
  <si>
    <t>Thumb, IP</t>
  </si>
  <si>
    <t>Thumb, MP</t>
  </si>
  <si>
    <t>Mild: Less than 10°</t>
  </si>
  <si>
    <t>Moderate: 10° to 20°</t>
  </si>
  <si>
    <t>Severe: More than 20°</t>
  </si>
  <si>
    <t>Prosthetic joint 
replacement</t>
  </si>
  <si>
    <t>Chronic condition, upper left leg</t>
  </si>
  <si>
    <t>Does the worker meet the chronic condition criteria described?</t>
  </si>
  <si>
    <t>Convert foot value to leg value (only if there are impairment findings in the leg)</t>
  </si>
  <si>
    <t>Left leg</t>
  </si>
  <si>
    <t>Combined disability, left leg</t>
  </si>
  <si>
    <t>Little finger, DIP</t>
  </si>
  <si>
    <t>Little finger, PIP</t>
  </si>
  <si>
    <t>Little finger, MP</t>
  </si>
  <si>
    <t>Dermatological conditions of the little finger, including burns</t>
  </si>
  <si>
    <t>Combined disability, left little finger</t>
  </si>
  <si>
    <t>Total impairment, left little finger:</t>
  </si>
  <si>
    <t>Left Hand &amp; Forearm</t>
  </si>
  <si>
    <t>Dermatological conditions of the ring finger, including burns</t>
  </si>
  <si>
    <t>Vascular/neurological dysfunction</t>
  </si>
  <si>
    <t>Vascular dysfunction; or neurological dysfunction resulting in cold intolerance:</t>
  </si>
  <si>
    <t>Plantarflexion</t>
  </si>
  <si>
    <t xml:space="preserve">1=Apportionment value entered for ROM or at whole hip level </t>
  </si>
  <si>
    <t>ROM adjusted
to minimum or maximum normal</t>
  </si>
  <si>
    <t>All or part of the second metacarpal</t>
  </si>
  <si>
    <t>Metacarpals</t>
  </si>
  <si>
    <t>All or part of the third metacarpal</t>
  </si>
  <si>
    <t>Affected; 1=Yes</t>
  </si>
  <si>
    <t>All or part of the fourth metacarpal</t>
  </si>
  <si>
    <t>3/10 distance from tip; between tip and distal interphalangeal joint</t>
  </si>
  <si>
    <t>2/5 distance from tip; between tip and distal interphalangeal joint</t>
  </si>
  <si>
    <t>All or part of the fourth metatarsal</t>
  </si>
  <si>
    <t>Check the box next to any of the following statements that are true:</t>
  </si>
  <si>
    <t>Fourth Toe - Right</t>
  </si>
  <si>
    <t xml:space="preserve">Monocular total (combined) </t>
  </si>
  <si>
    <t>Left Lower Extremity Disability Determination</t>
  </si>
  <si>
    <t>Great Toe - Left</t>
  </si>
  <si>
    <t>Great toe amputation</t>
  </si>
  <si>
    <t>Great toe 
amputation</t>
  </si>
  <si>
    <t>Motor loss in any part of the right arm due to brain or spinal cord damage</t>
  </si>
  <si>
    <t>Combined disability, right arm (with hand/forearm conversion, if applicable)</t>
  </si>
  <si>
    <t>Total impairment, right arm:</t>
  </si>
  <si>
    <t>Max.
percent</t>
  </si>
  <si>
    <t>Apply the worker’s extent of total impairment to the adaptability scale in OAR 436-035-0012(13), compare the value from the residual functional capacity scale in OAR 436-035-0012(11), and use the higher of the two values for adaptability.</t>
  </si>
  <si>
    <t>Double-click:</t>
  </si>
  <si>
    <t>Overall impairment due to strength loss: Right arm</t>
  </si>
  <si>
    <t>Chronic condition, right forearm/wrist/hand</t>
  </si>
  <si>
    <t>No impairment</t>
  </si>
  <si>
    <t>Total impairment, cranial nerves/brain</t>
  </si>
  <si>
    <t>Cardiovascular System Disability Determination</t>
  </si>
  <si>
    <t>96.1 - 192 degrees
(prior to 1/1/96)</t>
  </si>
  <si>
    <t>192.1 - 320 degrees
(prior to 1/1/96)</t>
  </si>
  <si>
    <t>0-64 degrees
(on or after 1/1/96)</t>
  </si>
  <si>
    <t>L. Ring finger, DIP</t>
  </si>
  <si>
    <t>L. Ring finger, PIP</t>
  </si>
  <si>
    <t>L. Ring finger, MP</t>
  </si>
  <si>
    <t>Up left</t>
  </si>
  <si>
    <t>Sort R</t>
  </si>
  <si>
    <t>Combine R</t>
  </si>
  <si>
    <t>Sort L</t>
  </si>
  <si>
    <t>Combine L</t>
  </si>
  <si>
    <t>Lens involvement</t>
  </si>
  <si>
    <t>Combine acuity loss with lens value, if any. Total central vision loss, right eye:</t>
  </si>
  <si>
    <t>Combine acuity loss with lens value, if any. Total central vision loss, left eye:</t>
  </si>
  <si>
    <t xml:space="preserve">The spinal cord is concerned with sensory, motor, and visceral functions. Permanent impairment can result from various disorders affecting these functions. </t>
  </si>
  <si>
    <t>Complete motor loss on one side of the face</t>
  </si>
  <si>
    <t>Partial motor loss on both sides of the face</t>
  </si>
  <si>
    <t>Tinnitus which by a perponderance of medical opinion requires job modification; no additional value is allowed for "bilateral" tinnitus</t>
  </si>
  <si>
    <t>Impairment of swallowing is determined under OAR 436-035-0420.</t>
  </si>
  <si>
    <t>Impairment</t>
  </si>
  <si>
    <t>Sort</t>
  </si>
  <si>
    <t>Combine</t>
  </si>
  <si>
    <t>Round</t>
  </si>
  <si>
    <t>Grade 3 or 3+; Severe; &gt;10mm</t>
  </si>
  <si>
    <t>Ligament</t>
  </si>
  <si>
    <t>Severity of joint opening</t>
  </si>
  <si>
    <t>Anterior cruciate</t>
  </si>
  <si>
    <t>Posterior cruciate</t>
  </si>
  <si>
    <t>Collateral (medial)</t>
  </si>
  <si>
    <t>Collateral (lateral)</t>
  </si>
  <si>
    <t>Total knee joint instability:</t>
  </si>
  <si>
    <t>Left knee angulation or malalignment</t>
  </si>
  <si>
    <t>Deformity:</t>
  </si>
  <si>
    <t>No loss of the tip</t>
  </si>
  <si>
    <t>Date of birth</t>
  </si>
  <si>
    <t>Date of issuance</t>
  </si>
  <si>
    <t>Right ear baseline exam: Enter audiogram findings for all frequencies.</t>
  </si>
  <si>
    <t>For spinal cord damage that has resulted in the loss of use or function of any upper or lower extremities, a value is given for the affected body part(s). Refer to the appropriate section of these standards for that determination.</t>
  </si>
  <si>
    <t>Episodic neurological disorders are determined under OAR 436-035-0390(10).</t>
  </si>
  <si>
    <t>Index finger, amputation or resection without reattachment (or shortening of digit)</t>
  </si>
  <si>
    <t>Finger 
amputation</t>
  </si>
  <si>
    <t>Significant flesh or tissue loss only (no bone)</t>
  </si>
  <si>
    <t>0=Ankylosis</t>
  </si>
  <si>
    <t>0=Irreversible findings</t>
  </si>
  <si>
    <t>0=Other</t>
  </si>
  <si>
    <t>Add near &amp; distance losses and divide by 2:</t>
  </si>
  <si>
    <t>Hematopoietic System</t>
  </si>
  <si>
    <t>Field adjustment, left eye</t>
  </si>
  <si>
    <t>Field counts</t>
  </si>
  <si>
    <t>A. Temporally</t>
  </si>
  <si>
    <t>Dorsiflexion (extension)</t>
  </si>
  <si>
    <t>Dorsiflexion ankylosis</t>
  </si>
  <si>
    <t>Severe: 27 degrees</t>
  </si>
  <si>
    <t>Subsequent surgical procedures: Add 1% for each disc or vertebra treated within the cervical spine. Select the number of additional procedures for each vertebra and disc.</t>
  </si>
  <si>
    <t>Cervical spine: Total impairment for surgical procedures:</t>
  </si>
  <si>
    <t>Combined disability: Cervical spine</t>
  </si>
  <si>
    <t>Compression fractures</t>
  </si>
  <si>
    <t>Fractures of posterior elements</t>
  </si>
  <si>
    <t>Surgical procedures</t>
  </si>
  <si>
    <t>Retained degrees of motion and percentage of impairment, foot &amp; ankle - right</t>
  </si>
  <si>
    <t>Right foot</t>
  </si>
  <si>
    <t>Right ankle</t>
  </si>
  <si>
    <t>Thoracic</t>
  </si>
  <si>
    <t>Lumbar</t>
  </si>
  <si>
    <t>Combined right hip disability</t>
  </si>
  <si>
    <t>Combined left hip disability</t>
  </si>
  <si>
    <t>3/5 distance from the interphalangeal joint; between the IP joint and the metatarsophalangeal joint</t>
  </si>
  <si>
    <t>7/10 distance from the interphalangeal joint; between the IP joint and the metatarsophalangeal joint</t>
  </si>
  <si>
    <t>4/5 distance from the interphalangeal joint; between the IP joint and the metatarsophalangeal joint</t>
  </si>
  <si>
    <t>Right Lower Extremity Disability Determination
Permanent Partial Disability - Date of injury on or after 1/1/2005</t>
  </si>
  <si>
    <t>Right Lower Extremity Disability Determination
Permanent Partial Disability - Date of injury prior to 1/1/2005</t>
  </si>
  <si>
    <t>Max. 
degrees</t>
  </si>
  <si>
    <t>Dollars 
per degree</t>
  </si>
  <si>
    <t>Complete loss of both menisci</t>
  </si>
  <si>
    <t>Right great toe</t>
  </si>
  <si>
    <t>Right second toe</t>
  </si>
  <si>
    <t>Right third toe</t>
  </si>
  <si>
    <t>Right fourth toe</t>
  </si>
  <si>
    <t>Right fifth toe</t>
  </si>
  <si>
    <t>Right leg</t>
  </si>
  <si>
    <t>Left great toe</t>
  </si>
  <si>
    <t>Left second toe</t>
  </si>
  <si>
    <t>Left third toe</t>
  </si>
  <si>
    <t>Left fourth toe</t>
  </si>
  <si>
    <t>Left fifth toe</t>
  </si>
  <si>
    <t>Left great toe ROM impairment total:</t>
  </si>
  <si>
    <t>Severity</t>
  </si>
  <si>
    <t>Date of birth,
or enter age below:</t>
  </si>
  <si>
    <t>Right Upper Extremity Disability Determination
Permanent Partial Disability - Date of injury prior to 1/1/2005</t>
  </si>
  <si>
    <t>Scheduled</t>
  </si>
  <si>
    <t>Dollars Per Degree for Dates of Injury Prior to 1/1/2005</t>
  </si>
  <si>
    <t>Integumentary system</t>
  </si>
  <si>
    <t>Lacrimal system</t>
  </si>
  <si>
    <t xml:space="preserve">   9               1             10+ years</t>
  </si>
  <si>
    <r>
      <t xml:space="preserve">Subscapular </t>
    </r>
    <r>
      <rPr>
        <sz val="10"/>
        <rFont val="Times New Roman"/>
        <family val="1"/>
      </rPr>
      <t xml:space="preserve">- </t>
    </r>
  </si>
  <si>
    <t xml:space="preserve">Overall </t>
  </si>
  <si>
    <r>
      <t>Dorsal scapular</t>
    </r>
    <r>
      <rPr>
        <sz val="10"/>
        <rFont val="Times New Roman"/>
        <family val="1"/>
      </rPr>
      <t xml:space="preserve"> - </t>
    </r>
  </si>
  <si>
    <t>(Spinal Accessory)</t>
  </si>
  <si>
    <t>Accessory -</t>
  </si>
  <si>
    <r>
      <t>Axillary</t>
    </r>
    <r>
      <rPr>
        <sz val="10"/>
        <rFont val="Times New Roman"/>
        <family val="1"/>
      </rPr>
      <t xml:space="preserve"> - </t>
    </r>
  </si>
  <si>
    <r>
      <t>Total for axillary -</t>
    </r>
    <r>
      <rPr>
        <sz val="10"/>
        <rFont val="Times New Roman"/>
        <family val="1"/>
      </rPr>
      <t xml:space="preserve">
(average if applicable)</t>
    </r>
  </si>
  <si>
    <r>
      <t>Suprascapular</t>
    </r>
    <r>
      <rPr>
        <sz val="10"/>
        <rFont val="Times New Roman"/>
        <family val="1"/>
      </rPr>
      <t xml:space="preserve"> - </t>
    </r>
  </si>
  <si>
    <r>
      <t>Thoracodorsal</t>
    </r>
    <r>
      <rPr>
        <sz val="10"/>
        <rFont val="Times New Roman"/>
        <family val="1"/>
      </rPr>
      <t xml:space="preserve"> -</t>
    </r>
  </si>
  <si>
    <r>
      <t>Total for subscapular</t>
    </r>
    <r>
      <rPr>
        <sz val="10"/>
        <rFont val="Times New Roman"/>
        <family val="1"/>
      </rPr>
      <t xml:space="preserve">
(average if applicable)</t>
    </r>
  </si>
  <si>
    <t>Total impairment, right ring finger:</t>
  </si>
  <si>
    <t>Right little finger</t>
  </si>
  <si>
    <t>Combined disability, right little finger</t>
  </si>
  <si>
    <t>Total impairment, right little finger:</t>
  </si>
  <si>
    <t>Right Hand &amp; Forearm</t>
  </si>
  <si>
    <t>If date of birth is not available, enter worker's age on the date of issuance.</t>
  </si>
  <si>
    <t>6/90</t>
  </si>
  <si>
    <t>6/120</t>
  </si>
  <si>
    <t>14/14</t>
  </si>
  <si>
    <t>14/18</t>
  </si>
  <si>
    <t>14/21</t>
  </si>
  <si>
    <t>14/24</t>
  </si>
  <si>
    <t>14/28</t>
  </si>
  <si>
    <t>14/35</t>
  </si>
  <si>
    <t>14/40</t>
  </si>
  <si>
    <t>14/45</t>
  </si>
  <si>
    <t>1=Includes ankylosis</t>
  </si>
  <si>
    <t>Monaural loss = current minus baseline.</t>
  </si>
  <si>
    <t>Monaural total:</t>
  </si>
  <si>
    <t>Age</t>
  </si>
  <si>
    <t>Male</t>
  </si>
  <si>
    <t>Female</t>
  </si>
  <si>
    <t>Cervical spine, right rotation</t>
  </si>
  <si>
    <t>Cervical spine, left rotation</t>
  </si>
  <si>
    <t>Cervical ROM impairment total:</t>
  </si>
  <si>
    <t>hand/ forearm</t>
  </si>
  <si>
    <t>Total impairment, left thumb:</t>
  </si>
  <si>
    <t>Left index finger</t>
  </si>
  <si>
    <t>Deformity of movement, rotational</t>
  </si>
  <si>
    <t>Deformity of movement, latreral</t>
  </si>
  <si>
    <t>Deformity of movement, dorsal</t>
  </si>
  <si>
    <t>Deformity of movement, palmar</t>
  </si>
  <si>
    <t>Dorsiflexion (extension), MP joint</t>
  </si>
  <si>
    <t>Contralateral MP joint</t>
  </si>
  <si>
    <t>Dorsiflexion ankylosis, MP joint</t>
  </si>
  <si>
    <t>Plantarflexion, MP joint</t>
  </si>
  <si>
    <t>Plantarflexion ankylosis, MP joint</t>
  </si>
  <si>
    <t>2nd toe</t>
  </si>
  <si>
    <t>3rd toe</t>
  </si>
  <si>
    <t>4th toe</t>
  </si>
  <si>
    <t>5th toe</t>
  </si>
  <si>
    <t>Conversion of toe value to foot value</t>
  </si>
  <si>
    <t>Conversion of foot value to leg value</t>
  </si>
  <si>
    <t>Right Lower Extremity Disability Determination</t>
  </si>
  <si>
    <t>Great Toe - Right</t>
  </si>
  <si>
    <t>Right great toe ROM impairment total:</t>
  </si>
  <si>
    <t>Total impairment, great toe - right:</t>
  </si>
  <si>
    <t>Second Toe - Right</t>
  </si>
  <si>
    <t>Retained degrees of motion and percentage of impairment, second toe - right</t>
  </si>
  <si>
    <t>Total impairment, second toe - right:</t>
  </si>
  <si>
    <t>Third Toe - Right</t>
  </si>
  <si>
    <t>Ankylosis, 2nd tarsometatarsal</t>
  </si>
  <si>
    <t>Ankylosis, 3rd tarsometatarsal</t>
  </si>
  <si>
    <t>The worker has motor loss impairment. No additional impairment value is allowed for reduced range of motion in the same extremity.</t>
  </si>
  <si>
    <t>Ankylosis, 4th tarsometatarsal</t>
  </si>
  <si>
    <t>Additional anterior/posterior instability</t>
  </si>
  <si>
    <t>Ankle angulation</t>
  </si>
  <si>
    <t>Prosthetic ankle replacement</t>
  </si>
  <si>
    <t>Dermatological conditions</t>
  </si>
  <si>
    <t>Full thickness skin loss of heel</t>
  </si>
  <si>
    <t>Chondromalacia et al</t>
  </si>
  <si>
    <t>Walking/standing limitation</t>
  </si>
  <si>
    <t>Conversion from toe values</t>
  </si>
  <si>
    <t>Dermatological conditions of the middle finger, including burns</t>
  </si>
  <si>
    <t>Combined disability, left middle finger</t>
  </si>
  <si>
    <t>Left ring finger</t>
  </si>
  <si>
    <t>Ring finger, amputation or resection without reattachment (or shortening of digit)</t>
  </si>
  <si>
    <t>However, the calculator is likely to include some design errors.</t>
  </si>
  <si>
    <t>This calculator may be downloaded and duplicated at no cost to the user.</t>
  </si>
  <si>
    <t>Index finger loss to hand loss</t>
  </si>
  <si>
    <t>Gastrointestinal and Genitourinary Systems</t>
  </si>
  <si>
    <t>Impairments in mastication (chewing) and deglutition (swallowing) are based on the following criteria:</t>
  </si>
  <si>
    <t>Length discrepancy of the injured right leg</t>
  </si>
  <si>
    <t>Right knee joint instability</t>
  </si>
  <si>
    <t>SL</t>
  </si>
  <si>
    <t>SM/L</t>
  </si>
  <si>
    <t>SM</t>
  </si>
  <si>
    <t>SM/H</t>
  </si>
  <si>
    <t>SH</t>
  </si>
  <si>
    <t>SV/H</t>
  </si>
  <si>
    <t>LRS</t>
  </si>
  <si>
    <t>Left shoulder</t>
  </si>
  <si>
    <t>Right hip</t>
  </si>
  <si>
    <t>Left hip</t>
  </si>
  <si>
    <t>Flexion 
ankylosis</t>
  </si>
  <si>
    <t>Radial 
deviation</t>
  </si>
  <si>
    <t>Radial 
deviation ankylosis</t>
  </si>
  <si>
    <t>Prosthetic carpal bone replacement(s)</t>
  </si>
  <si>
    <t>Carpal bone(s) removed, 
no replacement</t>
  </si>
  <si>
    <t>Distal ulnar resection</t>
  </si>
  <si>
    <t>Chronic condition impairment</t>
  </si>
  <si>
    <t>Conversion from digits</t>
  </si>
  <si>
    <t xml:space="preserve">the wrist, or amputation of all digits involving more than one extremity with evidence of persistent </t>
  </si>
  <si>
    <t xml:space="preserve">vascular disease, or persistent widespread deep ulceration involving more than one extremity; </t>
  </si>
  <si>
    <t xml:space="preserve">or cold intolerance such as Raynaud’s phenomenon which results in a loss of use or function that </t>
  </si>
  <si>
    <r>
      <t xml:space="preserve">(e) </t>
    </r>
    <r>
      <rPr>
        <b/>
        <sz val="10"/>
        <rFont val="Times New Roman"/>
        <family val="1"/>
      </rPr>
      <t xml:space="preserve">Class 5: </t>
    </r>
    <r>
      <rPr>
        <sz val="10"/>
        <rFont val="Times New Roman"/>
        <family val="1"/>
      </rPr>
      <t xml:space="preserve">88% for the affected body part if the worker experiences constant and severe pain at rest; </t>
    </r>
  </si>
  <si>
    <t>Left hand, wrist, forearm, amputation or resection without reattachment</t>
  </si>
  <si>
    <t>Upper extremity - Left</t>
  </si>
  <si>
    <t>Lower extremity - Right</t>
  </si>
  <si>
    <t>Lower extremity - Left</t>
  </si>
  <si>
    <t>Hearing</t>
  </si>
  <si>
    <t>Vision</t>
  </si>
  <si>
    <t>Shoulder - Right</t>
  </si>
  <si>
    <t>Shoulder - Left</t>
  </si>
  <si>
    <t>Abdomen</t>
  </si>
  <si>
    <t>Spine</t>
  </si>
  <si>
    <t>Pelvis</t>
  </si>
  <si>
    <t xml:space="preserve">   5               2             6+ months - 1 year</t>
  </si>
  <si>
    <t xml:space="preserve">   6               2             1+ year - 2 years</t>
  </si>
  <si>
    <t xml:space="preserve">   7               1             2+ years - 4 years</t>
  </si>
  <si>
    <t xml:space="preserve">Vascular dysfunction; or neurological dysfunction resulting in cold intolerance </t>
  </si>
  <si>
    <t xml:space="preserve">Meniscus/menisci:
</t>
  </si>
  <si>
    <t>Partial loss of both menisci</t>
  </si>
  <si>
    <t xml:space="preserve">SVP is defined as the amount of time required by a typical worker to acquire the knowledge, skills and abilities needed to perform a specific job. </t>
  </si>
  <si>
    <t>Forward elevation
(flexion) ankylosis</t>
  </si>
  <si>
    <t>Backward elevation
(extension)</t>
  </si>
  <si>
    <t>Backward elevation
(extension) ankylosis</t>
  </si>
  <si>
    <t>Strength loss in the left hand/forearm or arm</t>
  </si>
  <si>
    <t>Left arm impairment</t>
  </si>
  <si>
    <t>Forearm combining</t>
  </si>
  <si>
    <t>Arm combining</t>
  </si>
  <si>
    <t>C-5</t>
  </si>
  <si>
    <t>C-6</t>
  </si>
  <si>
    <t>C-7</t>
  </si>
  <si>
    <t>Flexion, elbow</t>
  </si>
  <si>
    <t>Flexion, IP joint</t>
  </si>
  <si>
    <t>Extension, IP joint</t>
  </si>
  <si>
    <t>Ankylosis, IP joint</t>
  </si>
  <si>
    <t>Flexion, MP joint</t>
  </si>
  <si>
    <t>Extension, MP joint</t>
  </si>
  <si>
    <t>Ankylosis, MP joint</t>
  </si>
  <si>
    <t>Flexion, DIP joint</t>
  </si>
  <si>
    <t>Total impairment, gastrointestinal &amp; genitourinary</t>
  </si>
  <si>
    <t>6/5</t>
  </si>
  <si>
    <t>6/6</t>
  </si>
  <si>
    <t>6/7.5</t>
  </si>
  <si>
    <t>Apportionment
(if applicable)</t>
  </si>
  <si>
    <t>Amputation, leg - at or above knee</t>
  </si>
  <si>
    <t>Knee ROM</t>
  </si>
  <si>
    <t>Hip ROM</t>
  </si>
  <si>
    <t>Length discrepancy</t>
  </si>
  <si>
    <t>Knee joint instability</t>
  </si>
  <si>
    <t>Knee angulation or malalignment</t>
  </si>
  <si>
    <t>Malalignment due to tibial shaft fracture</t>
  </si>
  <si>
    <t>Left ear baseline exam: Enter audiogram findings for all frequencies.</t>
  </si>
  <si>
    <t>Resection without replacement</t>
  </si>
  <si>
    <t>Distal ulnar resection:</t>
  </si>
  <si>
    <t>Left hand</t>
  </si>
  <si>
    <t>Left wrist/forearm</t>
  </si>
  <si>
    <t>Total impairment, endocrine system</t>
  </si>
  <si>
    <t>Combined value</t>
  </si>
  <si>
    <t>6/10</t>
  </si>
  <si>
    <t>6/12</t>
  </si>
  <si>
    <t>6/15</t>
  </si>
  <si>
    <t>6/20</t>
  </si>
  <si>
    <t>4/5 distance from the proximal interphalangeal joint; between the PIP joint and the metatarsophalangeal joint</t>
  </si>
  <si>
    <t>Retained degrees of motion and percentage of impairment, second toe - left</t>
  </si>
  <si>
    <t>Ankylosis: DIP joint</t>
  </si>
  <si>
    <t>Ankylosed in dorsiflexion</t>
  </si>
  <si>
    <t>Ankylosed at 0 degrees</t>
  </si>
  <si>
    <t>Ankylosed in plantar flexion</t>
  </si>
  <si>
    <t>Carpal bone removal, without replacement:</t>
  </si>
  <si>
    <t>Resection with replacement</t>
  </si>
  <si>
    <t>Overall loss at level shown; no averaging</t>
  </si>
  <si>
    <t>Subtract 150 dB threshold from the presbycusis value</t>
  </si>
  <si>
    <t>Left arm impairment:</t>
  </si>
  <si>
    <t>SUM</t>
  </si>
  <si>
    <r>
      <t>Total for dorsal scapular</t>
    </r>
    <r>
      <rPr>
        <sz val="10"/>
        <rFont val="Times New Roman"/>
        <family val="1"/>
      </rPr>
      <t xml:space="preserve">
(average if applicable)</t>
    </r>
  </si>
  <si>
    <t>Palmar median nerve:</t>
  </si>
  <si>
    <t>Palmar ulnar nerve:</t>
  </si>
  <si>
    <t>Hypersensitivity, left palm</t>
  </si>
  <si>
    <t>Total thoracic spine impairment:</t>
  </si>
  <si>
    <t xml:space="preserve">Thumb amputated 3/4 distance from tip, between tip and IP level </t>
  </si>
  <si>
    <t>Thumb amputated at the IP level</t>
  </si>
  <si>
    <t>Thumb amputated 1/4 distance from the IP level, between the IP and MP levels</t>
  </si>
  <si>
    <t>Thumb amputated 1/2 distance between the IP and MP levels</t>
  </si>
  <si>
    <t>Thumb amputated 3/4 distance from the IP level, between IP and MP levels</t>
  </si>
  <si>
    <t>Thumb amputated at the MP level</t>
  </si>
  <si>
    <t>Middle finger</t>
  </si>
  <si>
    <t>Middle</t>
  </si>
  <si>
    <t>Ring finger</t>
  </si>
  <si>
    <t>Ring</t>
  </si>
  <si>
    <t>Little finger</t>
  </si>
  <si>
    <t>Little</t>
  </si>
  <si>
    <t>Max.</t>
  </si>
  <si>
    <t>Thumb</t>
  </si>
  <si>
    <t>IP joint, flexion</t>
  </si>
  <si>
    <t>IP joint, extension</t>
  </si>
  <si>
    <t>IP joint, ankylosis</t>
  </si>
  <si>
    <t>MP joint, flexion</t>
  </si>
  <si>
    <t>MP joint, extension</t>
  </si>
  <si>
    <t xml:space="preserve">Anal impairment is rated according to the following classes:
</t>
  </si>
  <si>
    <t xml:space="preserve">Liver impairment shall be determined according to the following classes:
</t>
  </si>
  <si>
    <t xml:space="preserve">Impairment of the Upper urinary tract shall be determined according to the following classes:
</t>
  </si>
  <si>
    <t xml:space="preserve">Impairment of the urethra is determined according to the following classes:
</t>
  </si>
  <si>
    <t xml:space="preserve">Impairment due to sexual dysfunction of the penis is determined according to the following classes:
</t>
  </si>
  <si>
    <t xml:space="preserve">Impairment of the hypothalamic-pituitary axis is determined according to the following classes:
</t>
  </si>
  <si>
    <t xml:space="preserve">Impairment of the parathyroid
Hypoparathyroidism
</t>
  </si>
  <si>
    <t xml:space="preserve">Impairment of the Adrenal Medulla
Pheochromocytoma
</t>
  </si>
  <si>
    <t xml:space="preserve">Impairment of the gonads
</t>
  </si>
  <si>
    <t>LS</t>
  </si>
  <si>
    <t>Ring finger, DIP joint, ulnar side only, total loss</t>
  </si>
  <si>
    <t>Ring finger, 1/2 distal phalanx, total loss</t>
  </si>
  <si>
    <t>Many activities must be avoided and constant endocrine therapy is needed, or anticoagulant treatment with a vitamin K antagonist is required. (Hemorrhagic disorders that stem from damage to other organs or body systems shall not be rated under this section but shall be rated according to the impairment of the other organ or body system.)</t>
  </si>
  <si>
    <t>Total cervical spine impairment:</t>
  </si>
  <si>
    <t>Total lumbar spine impairment:</t>
  </si>
  <si>
    <t>Retained degrees of motion and percentage of impairment</t>
  </si>
  <si>
    <t>Injured joint</t>
  </si>
  <si>
    <t>Contralateral</t>
  </si>
  <si>
    <t>Maximums</t>
  </si>
  <si>
    <t>Valgus deformity of the knee of 20 degrees or less</t>
  </si>
  <si>
    <t xml:space="preserve">   Both sides, thumb:</t>
  </si>
  <si>
    <t xml:space="preserve">   Radial side, thumb:</t>
  </si>
  <si>
    <t xml:space="preserve">   Ulnar side, thumb:</t>
  </si>
  <si>
    <t xml:space="preserve">   Both sides, little:</t>
  </si>
  <si>
    <t xml:space="preserve">   Radial side, little:</t>
  </si>
  <si>
    <t xml:space="preserve">   Ulnar side, little:</t>
  </si>
  <si>
    <t xml:space="preserve">   Both sides, index:</t>
  </si>
  <si>
    <t xml:space="preserve">   Both sides, middle:</t>
  </si>
  <si>
    <t xml:space="preserve">   Both sides, ring:</t>
  </si>
  <si>
    <t xml:space="preserve">   Radial side, index:</t>
  </si>
  <si>
    <t xml:space="preserve">   Radial side, middle:</t>
  </si>
  <si>
    <t xml:space="preserve">   Radial side, ring:</t>
  </si>
  <si>
    <t xml:space="preserve">   Ulnar side, index:</t>
  </si>
  <si>
    <t xml:space="preserve">   Ulnar side, middle:</t>
  </si>
  <si>
    <t xml:space="preserve">   Ulnar side, ring:</t>
  </si>
  <si>
    <t>Fifth cranial nerve; right trigeminal - motor loss</t>
  </si>
  <si>
    <t>Fifth cranial nerve; left trigeminal - motor loss</t>
  </si>
  <si>
    <t>1/5 distance from the interphalangeal joint; between the IP joint and the metatarsophalangeal joint</t>
  </si>
  <si>
    <t>External rotation ankylosis</t>
  </si>
  <si>
    <t xml:space="preserve">Contralateral </t>
  </si>
  <si>
    <t>Ring finger, PIP joiint, total loss</t>
  </si>
  <si>
    <t>Ring finger, PIP joiint, radial side only, total loss</t>
  </si>
  <si>
    <t>At the mid-metatarsal area</t>
  </si>
  <si>
    <t>Amputation or resection of:</t>
  </si>
  <si>
    <t>All or part of the first metatarsal</t>
  </si>
  <si>
    <t>L. Index finger ROM impairment total:</t>
  </si>
  <si>
    <t>CLASS 1: Signs and symptoms of colonic or rectal disease are infrequent and of brief duration; and
Limitation of activities, special diet or medication is not required; and
No systemic manifestations are present and weight and nutritional state can be maintained at a desirable level; or
There are no sequelae after surgical procedures.</t>
  </si>
  <si>
    <t>In the sacroiliac joint, with diastasis</t>
  </si>
  <si>
    <t>Sacrum</t>
  </si>
  <si>
    <t>Ischium</t>
  </si>
  <si>
    <t>Coccyx, with nonunion or excision</t>
  </si>
  <si>
    <t>Ilium</t>
  </si>
  <si>
    <t>Left arm surgery</t>
  </si>
  <si>
    <t>Prosthetic elbow joint replacement:</t>
  </si>
  <si>
    <t>Humeral head replacement:</t>
  </si>
  <si>
    <t>Surgery: Acromion</t>
  </si>
  <si>
    <t>Surgery: Arthroplasty</t>
  </si>
  <si>
    <t>Surgery: Repeat arthroplasty</t>
  </si>
  <si>
    <t>Dislocations/diastasis</t>
  </si>
  <si>
    <t>Strength loss</t>
  </si>
  <si>
    <t>Shoulder</t>
  </si>
  <si>
    <t>Forward elevation flexion</t>
  </si>
  <si>
    <t>Forward elevation flexion ankylosis</t>
  </si>
  <si>
    <t>Backward elevation extension</t>
  </si>
  <si>
    <t>Backward elevation extension ankylosis</t>
  </si>
  <si>
    <t>Apportion-ment (if any)</t>
  </si>
  <si>
    <t>Note: When a value is granted for motor loss, additional impairment values are not allowed for weakness, chronic condition, or reduced range of motion in the same extremity.</t>
  </si>
  <si>
    <t>Hand/forearm loss to arm loss</t>
  </si>
  <si>
    <t>Flexion
elbow joint</t>
  </si>
  <si>
    <t>Extension
elbow joint</t>
  </si>
  <si>
    <t>3/5 distance from tip; between tip and interphalangeal joint</t>
  </si>
  <si>
    <t>7/10 distance from tip; between tip and interphalangeal joint</t>
  </si>
  <si>
    <t>4/5 distance from tip; between tip and interphalangeal joint</t>
  </si>
  <si>
    <t>R. Index finger, DIP</t>
  </si>
  <si>
    <t xml:space="preserve">If both the hand and wrist/forearm are affected, the higher percentage is used to rate the loss. </t>
  </si>
  <si>
    <t>Maximum</t>
  </si>
  <si>
    <t>Hand</t>
  </si>
  <si>
    <t>Wrist/forearm</t>
  </si>
  <si>
    <t xml:space="preserve">   8               1             4+ years - 10 years</t>
  </si>
  <si>
    <t>CLASS 2: Signs of organic anal disease are present or there is anatomic loss or alteration; and
Moderate but partial fecal incontinence is present requiring continual treatment; or
Continual anal symptoms are present and incompletely controlled by treatment.</t>
  </si>
  <si>
    <t xml:space="preserve">exertional activity; or there is persistent moderate edema incompletely controlled by elastic supports; </t>
  </si>
  <si>
    <t>SAWW at injury</t>
  </si>
  <si>
    <t>R. Ring finger, DIP</t>
  </si>
  <si>
    <t>R. Ring finger, PIP</t>
  </si>
  <si>
    <t>R. Ring finger, MP</t>
  </si>
  <si>
    <t>Combined disability, left ring finger</t>
  </si>
  <si>
    <t>Total impairment, left ring finger:</t>
  </si>
  <si>
    <t>Left little finger</t>
  </si>
  <si>
    <t>Little finger, amputation or resection without reattachment (or shortening of digit)</t>
  </si>
  <si>
    <t>1/2 distance from the interphalangeal joint; between the IP joint and the metatarsophalangeal joint</t>
  </si>
  <si>
    <t>R. Little finger ROM impairment total:</t>
  </si>
  <si>
    <t>Stereopsis</t>
  </si>
  <si>
    <t>Severe</t>
  </si>
  <si>
    <t>Ankylosis Carpometacarpal joint of the thumb in extension</t>
  </si>
  <si>
    <t>Extension
 ankylosis</t>
  </si>
  <si>
    <t>SS/L</t>
  </si>
  <si>
    <t>Record level of amputation or shortening of the ring finger. Impairment value of 5% or more for loss of opposition will carry over to the thumb.</t>
  </si>
  <si>
    <t>Little finger, DIP joint, ulnar side only, protective sensation</t>
  </si>
  <si>
    <t>Missing perimetric values</t>
  </si>
  <si>
    <t>Thoracic spine: Retained degrees of motion and percentage of impairment</t>
  </si>
  <si>
    <t>A worker is entitled to a 5% chronic condition impairment value when a preponderance of medical opinion establishes that, due to a chronic and permanent medical condition, the worker is significantly limited in the repetitive use of the arm (elbow and above).</t>
  </si>
  <si>
    <t>2-/5=80%</t>
  </si>
  <si>
    <t>1+/5=85%</t>
  </si>
  <si>
    <t>1/5=90%</t>
  </si>
  <si>
    <t>1-/5=95%</t>
  </si>
  <si>
    <t>0/5=100%</t>
  </si>
  <si>
    <t>Max.
Value</t>
  </si>
  <si>
    <t xml:space="preserve">Strength grade &amp; loss </t>
  </si>
  <si>
    <t>Spinal nerve roots</t>
  </si>
  <si>
    <t>Injured</t>
  </si>
  <si>
    <t>Contralat.</t>
  </si>
  <si>
    <t>Loss</t>
  </si>
  <si>
    <t>Injured loss</t>
  </si>
  <si>
    <t>Contra loss</t>
  </si>
  <si>
    <t>Adjusted</t>
  </si>
  <si>
    <t>Foot combining</t>
  </si>
  <si>
    <t>Leg combining</t>
  </si>
  <si>
    <t>L-2</t>
  </si>
  <si>
    <t>L-3</t>
  </si>
  <si>
    <t>L-4</t>
  </si>
  <si>
    <t>L-5</t>
  </si>
  <si>
    <t>S-1</t>
  </si>
  <si>
    <t>Peripheral nerves</t>
  </si>
  <si>
    <t>Sciatic</t>
  </si>
  <si>
    <t>3/5 distance from tip; between tip and distal interphalangeal joint</t>
  </si>
  <si>
    <t>Little finger, 1/2 proximal phalanx, radial side only, total loss</t>
  </si>
  <si>
    <t>Ankylosis: PIP joint</t>
  </si>
  <si>
    <t>MP joint</t>
  </si>
  <si>
    <t>Left second toe ROM impairment total:</t>
  </si>
  <si>
    <t>Surgery: DIP joint</t>
  </si>
  <si>
    <t>Distal interphalangeal joint arthroplasty or resection</t>
  </si>
  <si>
    <t>Surgery: PIP joint</t>
  </si>
  <si>
    <t>Proximal  interphalangeal joint arthroplasty or resection</t>
  </si>
  <si>
    <t>Surgery, DIP joint</t>
  </si>
  <si>
    <t>Surgery, PIP joint</t>
  </si>
  <si>
    <t>Total impairment, second toe - left:</t>
  </si>
  <si>
    <t>Third Toe - Left</t>
  </si>
  <si>
    <t>Third toe amputation</t>
  </si>
  <si>
    <t>3rd toe 
amputation</t>
  </si>
  <si>
    <t>Chronic dislocations of the shoulder joint or diastasis of a sternal joint are valued at 15% uncheduled impairment when a preponderance of medical opinion places permanent new restrictions on the worker which necessitates a reduction in the strength lifting category under OAR 436-035-0012.</t>
  </si>
  <si>
    <t>SUMS</t>
  </si>
  <si>
    <t>Left Lower Extremity Disability Determination
Permanent Partial Disability</t>
  </si>
  <si>
    <t>Great 
toe</t>
  </si>
  <si>
    <t>2nd - 5th 
toes</t>
  </si>
  <si>
    <t>2nd - 
5th toes</t>
  </si>
  <si>
    <t>Convert</t>
  </si>
  <si>
    <t>Ankle</t>
  </si>
  <si>
    <t>Knee</t>
  </si>
  <si>
    <t>Fusions:</t>
  </si>
  <si>
    <t>Transfer:</t>
  </si>
  <si>
    <t>Sort:</t>
  </si>
  <si>
    <t>Combine:</t>
  </si>
  <si>
    <r>
      <t>Total for suprascapular</t>
    </r>
    <r>
      <rPr>
        <sz val="10"/>
        <rFont val="Times New Roman"/>
        <family val="1"/>
      </rPr>
      <t xml:space="preserve">
(average if applicable)</t>
    </r>
  </si>
  <si>
    <t>Worker's name and claim no:</t>
  </si>
  <si>
    <t>Knee ROM impairment total:</t>
  </si>
  <si>
    <t>Hip ROM impairment total:</t>
  </si>
  <si>
    <t>Converted values are added; total right hand value:</t>
  </si>
  <si>
    <t>% x %</t>
  </si>
  <si>
    <t>Notes</t>
  </si>
  <si>
    <t>Prosthetic ankle replacement - right:</t>
  </si>
  <si>
    <t>Dermatological conditions - right foot</t>
  </si>
  <si>
    <t>9/10 distance from tip; between tip and distal interphalangeal joint</t>
  </si>
  <si>
    <t>Amputation at the distal interphalangeal joint</t>
  </si>
  <si>
    <t>1/5 distance from the distal interphalangeal joint; between the DIP joint and the proximal interphalangeal joint</t>
  </si>
  <si>
    <t>There is no hand or arm impairment, but conversion is appropriate because the worker will receive a higher dollar award if digits are converted to hand loss. (See OAR 436-035-0070.)</t>
  </si>
  <si>
    <t>:SUMS:</t>
  </si>
  <si>
    <t>0=No digits impaired&gt;&gt;</t>
  </si>
  <si>
    <t>Combined disability, hand/forearm (including conversion from digits, if applicable)</t>
  </si>
  <si>
    <t>Amputation at/proximal to 
carpal bones</t>
  </si>
  <si>
    <t>Amputation: 1st metacarpal</t>
  </si>
  <si>
    <t>Monocular Esterman Grid</t>
  </si>
  <si>
    <t>OR</t>
  </si>
  <si>
    <t>Field adjustment, right eye</t>
  </si>
  <si>
    <t>Round1-R</t>
  </si>
  <si>
    <t>1/4 or 1/2 field loss:</t>
  </si>
  <si>
    <t>B. Down temporally</t>
  </si>
  <si>
    <t>C. Down</t>
  </si>
  <si>
    <t>HABCD</t>
  </si>
  <si>
    <t>T5</t>
  </si>
  <si>
    <t>T6</t>
  </si>
  <si>
    <t>T7</t>
  </si>
  <si>
    <t>T8</t>
  </si>
  <si>
    <t>T9</t>
  </si>
  <si>
    <t>T10</t>
  </si>
  <si>
    <t>T11</t>
  </si>
  <si>
    <t>T12</t>
  </si>
  <si>
    <t>Thoracic spine: Surgical procedures</t>
  </si>
  <si>
    <t>Severe: 37 degrees or more</t>
  </si>
  <si>
    <t>Severity:</t>
  </si>
  <si>
    <t>Right ear current exam: Enter audiogram findings for all frequencies.</t>
  </si>
  <si>
    <t>Eating requires tube feeding or gastrostomy</t>
  </si>
  <si>
    <t>Date of birth (required if social/vocational factors apply and for hearing loss claims)</t>
  </si>
  <si>
    <t>Do not convert: There is no hand or arm impairment, and only a single digit is impaired (other than loss of opposition).</t>
  </si>
  <si>
    <t>Combined left shoulder disability</t>
  </si>
  <si>
    <t>Right Shoulder Disability Determination</t>
  </si>
  <si>
    <t>Right shoulder surgery</t>
  </si>
  <si>
    <t>Impairment = maximum value for nerve x strength grade percentage, minus contralateral value, if applicable. For peripheral nerves, select "Overall" or select affected muscles if averaging is required under OAR 436-035-0011(8).
Valid loss of strength in the arm, forearm, or hand, substantiated by clinical findings is valued the same as if the nerve supplying the affected muscle(s) was impaired.
Decreased strength due to an amputation receives no rating for weakness in addition to that given for amputation.
Decreased strength due to a loss in range of motion receives no rating for weakness in addition to that given for the loss of range of motion.
Loss of strength due to an injury in a single finger or thumb receives a value of zero, unless the strength loss is due to a compensable condition that is proximal to the digit.</t>
  </si>
  <si>
    <t>(6) Except as otherwise noted in these rules, impairment values to a given body part, area, or system are combined according to the method outlined on pages 254-256 by the AMA Guides to the Evaluation of Permanent Impairment, 3rd Ed. (Revised), 1990, as follows:
(a) The combined value is obtained by inserting the values for A and B into the formula A + B*(1.0 - A). The larger of the two numbers is A and the smaller is B. The whole number percentages of impairment are converted to their decimal equivalents (e.g. 12% converts to .12; 3% converts to .03). The resulting percentage is rounded to a whole number as determined in section (1) of this rule. Upon combining the largest two percentages, the resulting percentage is combined with any lesser percentage(s) in descending order using the same formula until all percentages have been combined prior to performing further computations. After the calculations are completed, the decimal result is then converted back to a percentage equivalent. Example: .12 + .03*(1.0 - .12) =.12 + .03*(.88) =.12 + .0264 =.1464 = 14.6 = 15.</t>
  </si>
  <si>
    <t>436-035-0011  Determining Percent of Impairment</t>
  </si>
  <si>
    <t>Permanent Disability Combiner</t>
  </si>
  <si>
    <t>Combining tool</t>
  </si>
  <si>
    <t>Error report</t>
  </si>
  <si>
    <t>1/10 distance from tip; between tip and interphalangeal joint</t>
  </si>
  <si>
    <t>Binaural total</t>
  </si>
  <si>
    <t>CLASS 2: There is objective evidence of colonic or rectal disease or anatomic loss or alteration; and
There are mild gastrointestinal symptoms with occasional disturbances of bowel function, accompanied by moderate pain; and
Minimal restriction of diet or mild symptomatic therapy may be necessary; and  -- No impairment of nutrition results.</t>
  </si>
  <si>
    <t>Partial loss of sensation</t>
  </si>
  <si>
    <t>Total loss of sensation</t>
  </si>
  <si>
    <t>1+/5</t>
  </si>
  <si>
    <t>1/5</t>
  </si>
  <si>
    <t>1-/5</t>
  </si>
  <si>
    <t>0/5</t>
  </si>
  <si>
    <t>X</t>
  </si>
  <si>
    <t>-</t>
  </si>
  <si>
    <t>=</t>
  </si>
  <si>
    <t>Selected text from OAR 436-035</t>
  </si>
  <si>
    <t>Grade   Description</t>
  </si>
  <si>
    <t>Percent</t>
  </si>
  <si>
    <t>5-/5:</t>
  </si>
  <si>
    <t>4+/5:</t>
  </si>
  <si>
    <t>4-/5:</t>
  </si>
  <si>
    <t>3+/5:</t>
  </si>
  <si>
    <t>1=Includes ankylosis (except tarsometatarsal)</t>
  </si>
  <si>
    <t>Excludes ankylosis (except tarsometatarsal)</t>
  </si>
  <si>
    <t>Moderate</t>
  </si>
  <si>
    <t>Monocular diplopia</t>
  </si>
  <si>
    <t>Combined disability, right eye</t>
  </si>
  <si>
    <t>Combined disability, left eye</t>
  </si>
  <si>
    <t>Visual field loss</t>
  </si>
  <si>
    <t>Ocular motility impairment</t>
  </si>
  <si>
    <t>20/15</t>
  </si>
  <si>
    <t>20/20</t>
  </si>
  <si>
    <t>Central deltoid</t>
  </si>
  <si>
    <t>Anterior deltoid</t>
  </si>
  <si>
    <t>Maximum 
whole-person
percent</t>
  </si>
  <si>
    <t>Monocular total</t>
  </si>
  <si>
    <t>Conversion to hand value:</t>
  </si>
  <si>
    <t>Middle finger, amputation or resection without reattachment (or shortening of digit)</t>
  </si>
  <si>
    <r>
      <t xml:space="preserve">(a) </t>
    </r>
    <r>
      <rPr>
        <b/>
        <sz val="10"/>
        <rFont val="Times New Roman"/>
        <family val="1"/>
      </rPr>
      <t>Class 1:</t>
    </r>
    <r>
      <rPr>
        <sz val="10"/>
        <rFont val="Times New Roman"/>
        <family val="1"/>
      </rPr>
      <t xml:space="preserve"> 3% for the affected body part if treatment results in no more than minimal limitation in the</t>
    </r>
  </si>
  <si>
    <t>Combined disability</t>
  </si>
  <si>
    <t>Disease classes:</t>
  </si>
  <si>
    <t>Radial nerve - arm</t>
  </si>
  <si>
    <t xml:space="preserve">Radial nerve - </t>
  </si>
  <si>
    <t>forearm/musculospiral</t>
  </si>
  <si>
    <t>Musculocutaneous nerve (25% arm)</t>
  </si>
  <si>
    <t>(50% forearm)</t>
  </si>
  <si>
    <t>Respiratory System Disability Determination</t>
  </si>
  <si>
    <t>Lung impairment</t>
  </si>
  <si>
    <t>Air passage defects</t>
  </si>
  <si>
    <t>Speech impairment</t>
  </si>
  <si>
    <t>Colonic and rectal impairment</t>
  </si>
  <si>
    <t>Anal impairment</t>
  </si>
  <si>
    <t>Liver impairment</t>
  </si>
  <si>
    <t>Biliary tract impairment</t>
  </si>
  <si>
    <t>Upper urinary tract impairment</t>
  </si>
  <si>
    <t>Bladder impairment</t>
  </si>
  <si>
    <t>Urethra impairment</t>
  </si>
  <si>
    <t>Sexual dysfunction, penis</t>
  </si>
  <si>
    <t>Cervix/uterus impairment</t>
  </si>
  <si>
    <t>Urinary tract diversion</t>
  </si>
  <si>
    <t>Check box if all meridians are atleast minimal normal. Enter scotoma value, if applicable.</t>
  </si>
  <si>
    <t>Plantarflexion ankylosis</t>
  </si>
  <si>
    <t>MP joint:</t>
  </si>
  <si>
    <t>Joint total:</t>
  </si>
  <si>
    <t>4-/5</t>
  </si>
  <si>
    <t>3+/5</t>
  </si>
  <si>
    <t>3/5</t>
  </si>
  <si>
    <t>3-/5</t>
  </si>
  <si>
    <t>2+/5</t>
  </si>
  <si>
    <t>2/5</t>
  </si>
  <si>
    <t>2-/5</t>
  </si>
  <si>
    <t>Tibial shaft fracture resulting in malalignment (rotational deformity) - left</t>
  </si>
  <si>
    <t>Mild: 10 to 14 degrees</t>
  </si>
  <si>
    <t>Moderate: 15 to 19 degrees</t>
  </si>
  <si>
    <t>Severe: 20 degrees</t>
  </si>
  <si>
    <t>Severe: 21 degrees</t>
  </si>
  <si>
    <t>Severe: 22 degrees</t>
  </si>
  <si>
    <t>Severe: 23 degrees</t>
  </si>
  <si>
    <t>Severe: 24 degrees</t>
  </si>
  <si>
    <t>Severe: 25 degrees</t>
  </si>
  <si>
    <t>Severe: 26 degrees</t>
  </si>
  <si>
    <t>Total or partial prosthetic knee replacement</t>
  </si>
  <si>
    <t>Prosthetic femoral head replacement</t>
  </si>
  <si>
    <t>Varus deformity of the knee of 15 degrees or less</t>
  </si>
  <si>
    <t>Successful permanent tracheostomy or stoma</t>
  </si>
  <si>
    <t>Forward elevation
(flexion)</t>
  </si>
  <si>
    <t>Transfer</t>
  </si>
  <si>
    <t>1/2 distance from tip; between tip and distal interphalangeal joint</t>
  </si>
  <si>
    <t>Left fifth toe ROM impairment total:</t>
  </si>
  <si>
    <t>The designers of this calculator have endeavored to create a useful and accurate product.</t>
  </si>
  <si>
    <t>Lumbosacral spine: Surgical procedures</t>
  </si>
  <si>
    <t>Rocker bottom deformity of the foot</t>
  </si>
  <si>
    <t>performance of activities of daily living, although exposure to physical or chemical agents may</t>
  </si>
  <si>
    <t>Use the table below for overall strength loss due to nerve injury. If muscles innervated by the same nerve have different levels of strength loss, rate strength under OAR 436-035-0011(8) by averaging strength values for the affected muscles .</t>
  </si>
  <si>
    <t>Round:</t>
  </si>
  <si>
    <t>Biliary tract impairment is determined according to the following classes:</t>
  </si>
  <si>
    <t>A worker is entitled to a 5% chronic condition impairment value when a preponderance of medical opinion establishes that, due to a chronic and permanent medical condition, the worker is significantly limited in the repetitive use of the thoracic spine.</t>
  </si>
  <si>
    <t>A worker is entitled to a 5% chronic condition impairment value when a preponderance of medical opinion establishes that, due to a chronic and permanent medical condition, the worker is significantly limited in the repetitive use of the lower back.</t>
  </si>
  <si>
    <t>Forearm conversion?
1=Yes</t>
  </si>
  <si>
    <t>Total percent unscheduled permanent disability</t>
  </si>
  <si>
    <t>Prior to</t>
  </si>
  <si>
    <t>Award calculation</t>
  </si>
  <si>
    <t>Unscheduled PPD %</t>
  </si>
  <si>
    <t>Maximum
degrees</t>
  </si>
  <si>
    <t>Degrees 
of PPD</t>
  </si>
  <si>
    <t>0-96</t>
  </si>
  <si>
    <t>96.1 - 192</t>
  </si>
  <si>
    <t>192.1 - 320</t>
  </si>
  <si>
    <t>0-64</t>
  </si>
  <si>
    <t>64.1 - 160</t>
  </si>
  <si>
    <t>160.1 - 320</t>
  </si>
  <si>
    <t>Dollars per degree</t>
  </si>
  <si>
    <t>Tier 1</t>
  </si>
  <si>
    <t>Tier 2</t>
  </si>
  <si>
    <t>Tier 3</t>
  </si>
  <si>
    <t>Total unscheduled permanent disability award</t>
  </si>
  <si>
    <t>Amputation or resection, 1st metatarsal</t>
  </si>
  <si>
    <t>Walk/stand limit</t>
  </si>
  <si>
    <t>Amputation or resection, 2nd metatarsal</t>
  </si>
  <si>
    <t>Amputation or resection, 3rd metatarsal</t>
  </si>
  <si>
    <t>Strength</t>
  </si>
  <si>
    <t>Amputation or resection, 4th metatarsal</t>
  </si>
  <si>
    <t>Amputation or resection, 5th metatarsal</t>
  </si>
  <si>
    <t>Added</t>
  </si>
  <si>
    <t>Ankylosis, 1st tarsometatarsal</t>
  </si>
  <si>
    <t>0/5:        The worker has no evidence of muscle contractility.</t>
  </si>
  <si>
    <t>Left Shoulder Disability Determination</t>
  </si>
  <si>
    <t>Left shoulder surgery</t>
  </si>
  <si>
    <t>Left shoulder dislocation or diastasis of a sternal joint</t>
  </si>
  <si>
    <t>Loss of strength in the left shoulder</t>
  </si>
  <si>
    <t xml:space="preserve">Thumb amputated 1/2 distance between tip and IP level </t>
  </si>
  <si>
    <t>Leg - Left
Leg strength loss is rated in the foot/lower leg section. Click link at right to rate strength.</t>
  </si>
  <si>
    <t>1=Yes</t>
  </si>
  <si>
    <t xml:space="preserve">upper extremity usage; or there is marked edema incompletely controlled by elastic supports; or there </t>
  </si>
  <si>
    <t xml:space="preserve">are signs of vascular damage such as a healed amputation of two or more digits, with evidence of </t>
  </si>
  <si>
    <t xml:space="preserve">persistent vascular disease, or superficial ulceration; or cold intolerance (e.g. Raynaud’s phenomenon) </t>
  </si>
  <si>
    <t xml:space="preserve">When exposure to physical, chemical, or biological agents has resulted in the development of an immunological response, impairment of the immune system is valued as follows:
</t>
  </si>
  <si>
    <t>Surgery: 1/4 of patella</t>
  </si>
  <si>
    <t>Sugery: 1/2 of patella</t>
  </si>
  <si>
    <t>Surgery: 3/4 of patella</t>
  </si>
  <si>
    <t>Little finger, 1/2 digit, radial side only, protective sensation</t>
  </si>
  <si>
    <t>Little finger, 1/2 digit, ulnar side only, protective sensation</t>
  </si>
  <si>
    <t>Little finger, DIP joint, protective sensation</t>
  </si>
  <si>
    <t>Tibial shaft fracture resulting in malalignment (rotational deformity) - right</t>
  </si>
  <si>
    <t>Leg surgery right</t>
  </si>
  <si>
    <t>Finger amputated 1/4 distance from the DIP level, between the DIP and PIP levels</t>
  </si>
  <si>
    <t>Finger amputated 1/2 distance between the DIP and PIP levels</t>
  </si>
  <si>
    <t>Round2-R</t>
  </si>
  <si>
    <t>Round1-L</t>
  </si>
  <si>
    <t>Endocrine System</t>
  </si>
  <si>
    <t>SRS</t>
  </si>
  <si>
    <t>SS</t>
  </si>
  <si>
    <t>Total impairment, left hand/forearm:</t>
  </si>
  <si>
    <t>Left arm</t>
  </si>
  <si>
    <t>Arm, amputation or resection without reattachment</t>
  </si>
  <si>
    <t>Thoracic ROM impairment total:</t>
  </si>
  <si>
    <t>Conversion to arm value:</t>
  </si>
  <si>
    <t>Arm/forearm</t>
  </si>
  <si>
    <t>Right thumb</t>
  </si>
  <si>
    <t>Combined disability, thumb - right</t>
  </si>
  <si>
    <t>Permanent partial disability calculation for dates of injury on or after 1/1/2005: 
Use the calculation method (monaural or binaural) that results in the greater impairment.</t>
  </si>
  <si>
    <t>Forward flexion ankylosis</t>
  </si>
  <si>
    <t>Backward extension</t>
  </si>
  <si>
    <t>NA</t>
  </si>
  <si>
    <t>Maximum ankylosis value</t>
  </si>
  <si>
    <t>AGE:              Under 40                 40 to 65                 Over 65</t>
  </si>
  <si>
    <t>Cranial Nerves/Brain</t>
  </si>
  <si>
    <t>Complete inability to detect odors or alteration of the sense of smell</t>
  </si>
  <si>
    <t>Rate effects on vision under OAR 436-035-0260.</t>
  </si>
  <si>
    <t xml:space="preserve">asymptomatic dilation of arteries or veins (not requiring surgery and not resulting in curtailment of </t>
  </si>
  <si>
    <t>Nephrectomy</t>
  </si>
  <si>
    <t>Urinary tract diversion:</t>
  </si>
  <si>
    <t>Uretero-Intestinal</t>
  </si>
  <si>
    <t>Cutaneous Ureterostomy Without Intubation</t>
  </si>
  <si>
    <t>Nephrostomy or Intubated Ureterostomy</t>
  </si>
  <si>
    <t>Integument and lacrimal system</t>
  </si>
  <si>
    <t>Gastrointestinal and genitourinary systems</t>
  </si>
  <si>
    <t>Hematopoietic system</t>
  </si>
  <si>
    <t>Cranial nerves/brain</t>
  </si>
  <si>
    <t>Ankle angulation:</t>
  </si>
  <si>
    <t>Range of motion loss</t>
  </si>
  <si>
    <t>Total hip replacement</t>
  </si>
  <si>
    <t>Repeat total hip replacement</t>
  </si>
  <si>
    <t>Chronic condition, if applicable</t>
  </si>
  <si>
    <t>Hip</t>
  </si>
  <si>
    <t>Degrees of retained motion</t>
  </si>
  <si>
    <t>Internal rotation ankylosis</t>
  </si>
  <si>
    <t>Unscheduled</t>
  </si>
  <si>
    <t>0-96 degrees
(prior to 1/1/96)</t>
  </si>
  <si>
    <t>Personality disorders</t>
  </si>
  <si>
    <t>Class 1</t>
  </si>
  <si>
    <t>Class 2</t>
  </si>
  <si>
    <t>Affective, anxiety, somatoform, and chronic adjustment disorders</t>
  </si>
  <si>
    <t>Class 3</t>
  </si>
  <si>
    <t>Enucleation (removal) of the eye</t>
  </si>
  <si>
    <t>Enucleation</t>
  </si>
  <si>
    <t>Residual functional capacity (RFC)</t>
  </si>
  <si>
    <t xml:space="preserve">
Base functional capacity (BFC)
(physical demand)</t>
  </si>
  <si>
    <t xml:space="preserve">A value for a worker’s specific vocational preparation (SVP) time is allowed based on the job(s) successfully performed by the worker in the five (5) years prior to the date of issuance. </t>
  </si>
  <si>
    <t>If a preponderance of evidence establishes that the requirements of a specific job differ from the DOT description(s), one of the following may be substituted for the DOT description(s) if it more accurately describes the job: A specific job analysis as described under OAR 436-120-0410, which includes the SVP time requirement; or a job description that the parties agree is an accurate representation of the physical requirements, as well as the tasks and duties, of the worker’s regular job-at-injury.</t>
  </si>
  <si>
    <r>
      <t xml:space="preserve">Dermatological conditions - class descriptions
</t>
    </r>
    <r>
      <rPr>
        <sz val="10"/>
        <rFont val="Times New Roman"/>
        <family val="1"/>
      </rPr>
      <t>Impairments may or may not show signs or symptoms of skin disorder upon examination but are rated 
under the following classes</t>
    </r>
    <r>
      <rPr>
        <b/>
        <sz val="10"/>
        <rFont val="Times New Roman"/>
        <family val="1"/>
      </rPr>
      <t>:</t>
    </r>
  </si>
  <si>
    <t>function that occurs with exposure to temperatures below freezing (0° centigrade).</t>
  </si>
  <si>
    <t>results in a loss of use or function that occurs on exposure to temperatures below 4° centigrade.</t>
  </si>
  <si>
    <t>which results in a loss of use or function that occurs on exposure to temperatures below 10° centigrade.</t>
  </si>
  <si>
    <t>exposure to temperatures below 15° centigrade.</t>
  </si>
  <si>
    <t>occurs on exposure to temperatures below 20° centigrade.</t>
  </si>
  <si>
    <t>Neurological dysfunction resulting in cold intolerance in the upper extremity is valued under the affected body part using the same classifications for cold intolerance due to vascular dysfunction.</t>
  </si>
  <si>
    <t>Loss of sensation</t>
  </si>
  <si>
    <t>Loss of sensation, left palm</t>
  </si>
  <si>
    <t>Loss of sensation, palm</t>
  </si>
  <si>
    <t>Loss of sensation, right palm</t>
  </si>
  <si>
    <t>Joint instability, wrist</t>
  </si>
  <si>
    <t>SUMS:</t>
  </si>
  <si>
    <t>Class 1: 14% when the involved extremity can be used for self care, grasping, and holding but has difficulty with digital dexterity.</t>
  </si>
  <si>
    <t>Class 2: 34% when the involved extremity can be used for self care, grasping and holding objects with difficulty, but has no digital dexterity.</t>
  </si>
  <si>
    <t>Class 3: 55% when the involved extremity can be used but has difficulty with self care activities.</t>
  </si>
  <si>
    <t>Class 4: 100% when the involved extremity cannot be used for self care.</t>
  </si>
  <si>
    <t>Plantar sensation loss or hypersensitivity, right great toe</t>
  </si>
  <si>
    <t>Hypersensitivity, partial</t>
  </si>
  <si>
    <t>Hypersensitivity, total</t>
  </si>
  <si>
    <t>Plantar sensation loss or hypersensitivity, fifth toe - right</t>
  </si>
  <si>
    <t>Plantar sensation loss or hypersensitivity, foot - right</t>
  </si>
  <si>
    <t>Plantar sensation loss or hypersensitivity, second toe - right</t>
  </si>
  <si>
    <t>Plantar sensation loss or hypersensitivity, third toe - right</t>
  </si>
  <si>
    <t>Plantar sensation loss or hypersensitivity, fourth toe - right</t>
  </si>
  <si>
    <t xml:space="preserve">No value is allowed for loss of sensation or hypersensitivity in the toes if a value is given for the foot. </t>
  </si>
  <si>
    <t>Plantar sensation loss or hypersensitivity, left great toe</t>
  </si>
  <si>
    <t>Plantar sensation loss or hypersensitivity, second toe - left</t>
  </si>
  <si>
    <t>Plantar sensation loss or hypersensitivity, third toe - left</t>
  </si>
  <si>
    <t>Plantar sensation loss or hypersensitivity, fourth toe - left</t>
  </si>
  <si>
    <t>Plantar sensation loss or hypersensitivity, fifth toe - left</t>
  </si>
  <si>
    <t>Plantar sensation loss or hypersensitivity, foot - left</t>
  </si>
  <si>
    <t xml:space="preserve">No value is allowed for loss of sensation or hypersensitivy in the toes if a value is given for the foot.  </t>
  </si>
  <si>
    <t>Extent of sensation loss</t>
  </si>
  <si>
    <t>Extent of hypersensitivity</t>
  </si>
  <si>
    <t>Extent of loss</t>
  </si>
  <si>
    <t>Extent of hyersensitivity</t>
  </si>
  <si>
    <t>Dermatological conditions of the toe, including burns:</t>
  </si>
  <si>
    <t>Sensation loss</t>
  </si>
  <si>
    <t>Right Upper Extremity Disability Determination</t>
  </si>
  <si>
    <t>Left Upper Extremity Disability Determination</t>
  </si>
  <si>
    <t>Vascular dysfunction, upper extremity - class descriptions</t>
  </si>
  <si>
    <t>Impairment = maximum value for nerve x strength grade percentage, minus contralateral value, if applicable. For peripheral nerves, select "Overall" or select affected muscles if averaging is required under OAR 436-035-0011(8). When a spinal nerve root or lumbosacral plexus are not injured, valid loss of strength in the leg or foot is valued as if the peripheral nerve supplying (innervating) the muscle(s) demonstrating the decreased strength was impaired, as described in OAR 436-035-0230(9) and as modified under OAR 436-035-0011(7). Decreased strength due to an amputation receives no rating for weakness in addition to that given for amputation. Decreased strengh due to a loss in range of motion receives no rating for weakness in addition to that given for the loss of range of motion. Loss of strength due to an injury in a single toe receives a value of zero, unless the strength loss is due to a compensable condition that is proximal to the digit.</t>
  </si>
  <si>
    <t>Class 1: 23% when the worker can rise to a standing position and can walk but has difficulty with elevations, grades, steps, and distances.</t>
  </si>
  <si>
    <t>Class 2: 48% when the worker can rise to a standing position and can walk with difficulty but is limited to level surfaces. There is variability as to the distance the worker can walk.</t>
  </si>
  <si>
    <t>Class 3: 76% when the worker can rise to a standing position and can maintain it with difficulty but cannot walk without assistance.</t>
  </si>
  <si>
    <t>Class 4: 100% when the worker cannot stand without a prosthesis, the help of others, or mechanical support.</t>
  </si>
  <si>
    <t>Impairment = maximum value for nerve x strength grade percentage, minus contralateral value, if applicable. For peripheral nerves, select "Overall" or select affected muscles if averaging is required under OAR 436-035-0011(8). When a spinal nerve root or lumbosacral plexus are not injured, valid loss of strength in the leg or foot is valued as if the peripheral nerve supplying (innervating) the muscle(s) demonstrating the decreased strength was impaired, as described in OAR 436-035-0230(9) and as modified under OAR 436-035-0011(7). Decreased strength due to an amputation receives no rating for weakness in addition to that given for amputation. Decreased strength due to a loss in range of motion receives no rating for weakness in addition to that given for the loss of range of motion. Loss of strength due to an injury in a single toe receives a value of zero, unless the strength loss is due to a compensable condition that is proximal to the digit.</t>
  </si>
  <si>
    <t>Can the worker not be on his or her feet for more than two hours in an 8-hour period?</t>
  </si>
  <si>
    <t>A compression fracture followed by a corpectomy receives both the surgical value and the maximum compression fracture value.</t>
  </si>
  <si>
    <t>Right inferior ramus</t>
  </si>
  <si>
    <t>Left inferior ramus</t>
  </si>
  <si>
    <t>Right superior ramus</t>
  </si>
  <si>
    <t>Left superior ramus</t>
  </si>
  <si>
    <t>Class 1: 8% when signs of disequilibrium are present with supporting objective findings and the usual activities of daily living (ADL) are performed without assistance</t>
  </si>
  <si>
    <t>Class 2: 23% when signs of disequilibrium are present with supporting objective findings and the usual activities of daily living can be performed without assistance, and the worker is unable to operate a motor vehicle</t>
  </si>
  <si>
    <t>Class 3: 48% when signs of disequilibrium are present with supporting objective findings and the usual ADL cannot be performed without assistance</t>
  </si>
  <si>
    <t>Class 4: 80% when signs of disequilibrium are present with supporting objective findings and the usual ADL cannot be performed without assistance, and confinement to the home or other facility is necessary</t>
  </si>
  <si>
    <t>Ninth (glossopharyngeal),
Tenth (vagus), or
Eleventh cranial nerve 
(cranial accessory)</t>
  </si>
  <si>
    <t>Twelfth cranial nerve (hypoglossal)</t>
  </si>
  <si>
    <t>Sixth cranial nerve (abducens)</t>
  </si>
  <si>
    <t>Fifth cranial nerve (trigeminal)</t>
  </si>
  <si>
    <t>Fourth cranial nerve (trochlear)</t>
  </si>
  <si>
    <t>Third cranial nerve (oculomotor)</t>
  </si>
  <si>
    <t>Second cranial nerve (optic)</t>
  </si>
  <si>
    <t>First cranial nerve
(olfactory)</t>
  </si>
  <si>
    <t>Class 6</t>
  </si>
  <si>
    <t>Headaches</t>
  </si>
  <si>
    <t>Double-click for</t>
  </si>
  <si>
    <t>OAR 436-035-0385:</t>
  </si>
  <si>
    <t>OAR 436-035-0380:</t>
  </si>
  <si>
    <t xml:space="preserve">Impairment due to injuries to the brain or head
Double-click for
OAR 436-035-0390:
</t>
  </si>
  <si>
    <t>Headaches that are not a direct result of a brain or head injury (e.g., cervicogenic, sensory input issues, etc.) are given a value of 10% when they interfere with the activities of daily living, affect the worker’s ability to regularly perform work, and require continued prescription medication or therapy. If a value for headaches is granted under classes 1 through 6 above, a value is not granted because it is included in the impairment value for the episodic neurological disorder.</t>
  </si>
  <si>
    <t xml:space="preserve">Headaches
</t>
  </si>
  <si>
    <t xml:space="preserve">Eighth cranial nerve
(auditory)
</t>
  </si>
  <si>
    <t xml:space="preserve">Seventh cranial nerve
(facial)
</t>
  </si>
  <si>
    <t xml:space="preserve">Spinal cord impairment is determined under the following classes:
</t>
  </si>
  <si>
    <t>Class 1: 15% when the worker has spinal cord damage but is able to carry out the activities of daily living independently</t>
  </si>
  <si>
    <t>Class 2: 35% when the worker is a paraplegic and requires assistive measures or devices for any of the activities of daily living</t>
  </si>
  <si>
    <t>Class 3: 50% when the worker is a quadriplegic and requires assistive measures or devices for any of the activities of daily living</t>
  </si>
  <si>
    <t>Class 4: 75% when the worker is a paraplegic or quadriplegic and requires the assistance of another person for any of the activities of daily living</t>
  </si>
  <si>
    <t>Class 5: 95% when the worker is a paraplegic or quadriplegic and is dependent in all of the activities of daily living</t>
  </si>
  <si>
    <t xml:space="preserve">Double-click for
OAR 436-035-0400:
</t>
  </si>
  <si>
    <t>Class 2: 30% when there are complaints or evidence of disease and the usual activities of daily living can be performed with some difficulty; no blood transfusion is required; and the hemoglobin level is 8-10gm/100ml</t>
  </si>
  <si>
    <t>Class 1: 0% when there are no complaints or evidence of disease and the usual activities of daily living can be performed; no blood transfusion is required; and the hemoglobin level is 10-12gm/100ml</t>
  </si>
  <si>
    <t>Class 4: 85% when there are signs and symptoms of disease and the usual activities of daily living cannot be performed without assistance from others; blood transfusion of 2 to 3 units is required every 2 weeks, implying hemolysis of transfused blood; and the hemoglobin level is 5-8gm/100ml before transfusion</t>
  </si>
  <si>
    <t>Class 3: 70% when there are signs and symptoms of disease and the usual activities of daily living can be performed with difficulty and with varying amounts of assistance from others; blood transfusion of 2 to 3 units is required every 4 to 6 weeks; and the hemoglobin level is 5-8gm/100ml before transfusion</t>
  </si>
  <si>
    <t>Class 1: 5% when there are symptoms or signs of leukocyte abnormality and no or infrequent treatment is needed and all or most of the activities of daily living can be performed</t>
  </si>
  <si>
    <t>Class 2: 20% when there are symptoms and signs of leukocyte abnormality and continuous treatment is needed but most of the activities of daily living can be performed</t>
  </si>
  <si>
    <t>Class 3: 40% when there are symptoms and signs of leukocyte abnormality and continuous treatment is needed and the activities of daily living can be performed with occasional assistance from others</t>
  </si>
  <si>
    <t>Class 4: 73% when there are symptoms and signs of leukocyte abnormality and continuous treatment is needed and continuous care is required for activities of daily living</t>
  </si>
  <si>
    <t>Class 1: Symptoms or signs of upper digestive tract disease are present or there is anatomic loss or alteration; and
Continuous treatment is not required; and
Weight can be maintained at the desirable level; or
There are no sequelae after surgical procedures.</t>
  </si>
  <si>
    <t>Class 4: Symptoms and signs of organic upper digestive tract disease are present or there is anatomic loss or alteration; and
Symptoms are not controlled by treatment; or 
There is greater than a 20% loss of weight below the “desirable weight”* which is ascribable to a disorder of the upper digestive tract.</t>
  </si>
  <si>
    <t>Class 1: There is objective evidence of persistent liver disease even though no symptoms of liver disease are present; and no history of ascites, jaundice, or bleeding esophageal varices within three years; and
Nutrition and strength are good;
Biochemical studies indicate minimal disturbance in liver function; or -- Primary disorders of bilirubin metabolism are present.</t>
  </si>
  <si>
    <t>Class 3: There is objective evidence of progressive chronic liver disease, or history of jaundice, ascites, or bleeding esophageal or gastric varices within the past year; and
Nutrition and strength may be affected; or
There is intermittent hepatic encephalopathy.</t>
  </si>
  <si>
    <t>Class 4: There is objective evidence of progressive chronic liver disease, or persistent ascites or persistent jaundice or bleeding esophageal or gastric varices, with central nervous system manifestations of hepatic insufficiency; and
Nutritional state is poor.</t>
  </si>
  <si>
    <t>Class 1: Diminution of upper urinary tract function is present as evidenced by creatinine clearance of 75 to 90 liters/ 24 hr (52 to 62.5 ml/min), or PSP excretion of 15% to 20% in 15 minutes; or
Intermittent symptoms and signs of upper urinary tract dysfunction are present that do not require continuous treatment or surveillance.</t>
  </si>
  <si>
    <t>Class 2: Diminution of upper urinary tract function is present as evidenced by creatinine clearance of 60 to 75 liters/24 hr (42 to 52 ml/min), or PSP excretion of 10% to 15% in 15 minutes; or
Although creatinine clearance is greater than 75 liters/24 hr (52 ml/min), or PSP excretion is more than 15% in 15 minutes, symptoms and signs of upper urinary tract disease or dysfunction necessitate continuous surveillance and frequent treatment.</t>
  </si>
  <si>
    <t>Class 3: Diminution of upper urinary tract function is present as evidenced by creatinine clearance of 40 to 60 liters/24 hr (28 to 42 ml/min), or PSP excretion of 5% to 10% in 15 minutes; or
Although creatinine clearance is 60 to 75 liters/24 hr (42 to 52 ml/min), or PSP excretion is 10% to 15% in 15 minutes, symptoms and signs of upper urinary tract disease or dysfunction are incompletely controlled by surgical or continuous medical treatment.</t>
  </si>
  <si>
    <t>Class 4: Diminution of upper urinary tract function is present as evidenced by creatinine clearance below 40 liters/24 hr (28 ml/min), or PSP excretion below 5% in 15 minutes; or
Although creatinine clearance is 40 to 60 liters/24 hr (28 to 42 ml/min), or PSP excretion is 5% to 10% in 15 minutes, symptoms and signs of upper urinary tract disease or dysfunction persist despite surgical or continuous medical treatment.</t>
  </si>
  <si>
    <t>Class 1: Sexual function is possible, but with varying degrees of difficulty of erection, ejaculation or sensation.</t>
  </si>
  <si>
    <t>Class 2: Sexual function is possible with sufficient erection, but with impaired ejaculation and sensation.</t>
  </si>
  <si>
    <t>Class 3: No sexual function is possible.</t>
  </si>
  <si>
    <t>Class 1: Symptoms and signs of disease or deformity of the cervix, uterus, or vagina are present that do not require continuous treatment; or 
Cervical stenosis, if present, requires no treatment; or 
There is anatomic loss of the cervix, uterus, or vagina in the postmenopausal years.</t>
  </si>
  <si>
    <t>Class 2: Symptoms and signs of disease or deformity of the cervix, uterus, or vagina are present that require continuous treatment; or 
Cervical stenosis, if present, requires periodic treatment.</t>
  </si>
  <si>
    <t>Class 3: Symptoms and signs of disease or deformity of the cervix, uterus, or vagina are present that are not controlled by treatment; or
Cervical stenosis is complete; or
Anatomic or complete functional loss of the cervix, uterus, or vagina in premenopausal years.</t>
  </si>
  <si>
    <t>CLASS 4: There is objective evidence of colonic and rectal disease or anatomic loss or alteration; and
There are persistent disturbances of bowel function present at rest with severe persistent pain; and
Complete limitation of activity, continued restriction of diet, and medication do not entirely control the symptoms; and
There are constitutional manifestations (fever, weight loss, or anemia) present.</t>
  </si>
  <si>
    <t>Class 1: 5% for an occasional episode of biliary tract dysfunction</t>
  </si>
  <si>
    <t>Class 2: 20% for recurrent biliary tract impairment irrespective of treatment</t>
  </si>
  <si>
    <t>Class 3: 40% for irreparable obstruction of the bile tract with recurrent cholangitis</t>
  </si>
  <si>
    <t>Class 4: 75% for persistent jaundice and progressive liver disease due to obstruction of the common bile duct</t>
  </si>
  <si>
    <t>Class 1: 5% when the patient has symptoms and signs of bladder disorder requiring intermittent treatment with normal function between episodes of malfunction</t>
  </si>
  <si>
    <t>Class 2: 18% when (a) there are symptoms or signs of bladder disorder requiring continuous treatment; OR (b) there is good bladder reflex activity, but no voluntary control</t>
  </si>
  <si>
    <t>Class 3: 30% when the bladder has poor reflex activity, that is, there is intermittent dribbling, and no voluntary control</t>
  </si>
  <si>
    <t>Class 4: 50% when there is no reflex or voluntary control of the bladder, that is, there is continuous dribbling</t>
  </si>
  <si>
    <t>Class 1: 3% when symptoms and signs of urethral disorder are present that require intermittent therapy for control</t>
  </si>
  <si>
    <t>Class 2: 15% when there are symptoms and signs of a urethral disorder that cannot be effectively controlled by treatment</t>
  </si>
  <si>
    <t>Class 1: 5% when controlled effectively with continuous treatment</t>
  </si>
  <si>
    <t>Class 2: 18% when inadequately controlled by treatment</t>
  </si>
  <si>
    <t>Class 3: 38% when there are severe symptoms and signs despite treatment</t>
  </si>
  <si>
    <t>Class 1: 5% when (a) continuous thyroid therapy is required for correction of the thyroid insufficiency or for maintenance of normal thyroid anatomy; AND (b) the replacement therapy appears adequate based on objective physical or laboratory evidence</t>
  </si>
  <si>
    <t>Class 2: 18% when (a) symptoms and signs of thyroid disease are present, or there is anatomic loss or alteration; AND (b) continuous thyroid hormone replacement therapy is required for correction of the confirmed thyroid insufficiency; BUT (c) the presence of a disease process in another body system or systems permits only partial replacement of the thyroid hormone</t>
  </si>
  <si>
    <t>Class 1: 5% when symptoms and signs are controlled with medical therapy</t>
  </si>
  <si>
    <t>Class 2: 18% when there is persistent mild hypercalcemia, with mild nausea and polyuria</t>
  </si>
  <si>
    <t>Class 3: 78% when there is severe hypercalcemia, with nausea and lethargy</t>
  </si>
  <si>
    <t>Class 2: 15% when intermittent hypercalcemia or hypocalcemia, and more frequent symptoms in spite of careful medical attention</t>
  </si>
  <si>
    <t>Class 1: 3% when symptoms and signs controlled with medical therapy</t>
  </si>
  <si>
    <t>Class 2: 33% when symptoms and signs are controlled inadequately, usually during the course of acute illnesses</t>
  </si>
  <si>
    <t>Class 3: 78% when severe symptoms of adrenal crisis during major illness, usually due to severe glucocortocoid deficiency or sodium depletion</t>
  </si>
  <si>
    <t>Class 1: 5% when minimal, as with hyperadrenocorticism that is surgically correctable by removal of a pituitary or adrenal adenoma</t>
  </si>
  <si>
    <t>Class 2: 33% when moderate, as with bilateral hyperplasia that is treated with medical therapy or adrenalectomy</t>
  </si>
  <si>
    <t>Class 3: 78% when severe, as with aggressively metastasizing adrenal carcinoma</t>
  </si>
  <si>
    <t>Class 1: 5% when the duration of hypertension has not led to cardiovascular disease and a benign tumor can be removed surgically</t>
  </si>
  <si>
    <t>Class 2: 33% when there is inoperable malignant pheochromocytomas, if signs and symptoms of catecholoamine excess can be controlled with blocking agents</t>
  </si>
  <si>
    <t>Class 3: 78% when there is wide metastatic malignant pheochromocytomas, in which symptoms of catecholamine excess cannot be controlled</t>
  </si>
  <si>
    <t>Class 1: 3% when non-insulin dependent (Type II) diabetes mellitus can be controlled by diet; there may or may not be evidence of diabetic microangiopathy, as indicated by the presence of retinopathy or albuminuria greater than 30 mg/100 ml</t>
  </si>
  <si>
    <t>Class 2: 8% when non-insulin dependent (Type II) diabetes mellitus; and satisfactory control of the plasma glucose requires both a restricted diet and hypoglycemic medication, either an oral agent or insulin. Evidence of microangiopathy, as indicated by retinopathy or by albuminuria of greater than 30 mg/100 ml, may or may not be present</t>
  </si>
  <si>
    <t>Class 3: 18% when insulin dependent (Type I) diabetes mellitus is present with or without evidence of microangiopathy</t>
  </si>
  <si>
    <t>Class 4: 33% when insulin dependent (Type I) diabetes mellitus, and hyperglycemic or hypoglycemic episodes occur frequently in spite of conscientious efforts of both the patient and the attending physician</t>
  </si>
  <si>
    <t>Class 1: 0% when surgical removal of an islet-cell adenoma results in complete remission of the symptoms and signs of hypoglycemia, and there are no post-operative sequelae</t>
  </si>
  <si>
    <t>Class 2: 28% when signs and symptoms of hypoglycemia are present, with controlled diet and medications and with effects on the performance of activities of daily living</t>
  </si>
  <si>
    <t>Unilateral anatomic loss or alteration of the gonads that results in a loss or alteration in the ability to produce and regulate the gonadal hormones</t>
  </si>
  <si>
    <t>Bilateral anatomic loss or alteration of the gonads that results in a loss or alteration in the ability to produce and regulate the gonadal hormones</t>
  </si>
  <si>
    <t>Class 1: 3% when with treatment, there is no limitation, or minimal limitation, in the performance of work related activities, although exposure to certain physical or chemical agents might increase limitation temporarily</t>
  </si>
  <si>
    <t>Class 2: 15% when intermittent treatment is required and there is mild limitation in the performance of some work related activities</t>
  </si>
  <si>
    <t>Class 3: 38% when continuous treatment is required and there is moderate limitation in the performance of many work related activities</t>
  </si>
  <si>
    <t>Class 4: 68% when continuous treatment is required, which may include periodic confinement at home or other domicile; and there is moderate to severe limitation in the performance of many work related activities</t>
  </si>
  <si>
    <t>Class 5: 90% when continuous treatment is required, which necessitates confinement at home or other domicile; and there is severe limitation in the performance of work related activities</t>
  </si>
  <si>
    <t>Class 1: 3% when the reaction is a nuisance but does not prevent most regular work-related activities</t>
  </si>
  <si>
    <t>Class 2: 8% when the reaction prevents some regular work-related activities</t>
  </si>
  <si>
    <t>Class 3: 13% when the reaction prevents most regular work-related activities</t>
  </si>
  <si>
    <t>Class 1: 3% when the reaction is a nuisance but does not prevent most regular work related activities</t>
  </si>
  <si>
    <t>Class 2: 8% when the reaction prevents some regular work related activities</t>
  </si>
  <si>
    <t>Class 3: 13% when the reaction prevents most regular work related activities</t>
  </si>
  <si>
    <t>Damage to the brain or head</t>
  </si>
  <si>
    <t xml:space="preserve">          Ankle joint instability with additional anterior or posterior instability</t>
  </si>
  <si>
    <t>When reduced ranges of motion of the hip do not involve the pelvis or acetabulum, determine impairment under OAR 436-035-0220.</t>
  </si>
  <si>
    <t>If the reduced ranges of motion are a residual of pelvic or acetabular involvement, determine impairment under 
OAR 436-035-0340 (using this worksheet).</t>
  </si>
  <si>
    <t>If the reduced ranges of motion are a residual of pelvic or acetabular involvement, determine impairment under OAR 436-035-0340 (using this worksheet).</t>
  </si>
  <si>
    <t>Class 2: Symptoms and signs of organic upper digestive tract disease are present or there is anatomic loss or alteration; and
Appropriate dietary restrictions and drugs are required for control of symptoms, signs or nutritional deficiency; and
Loss of weight below the “desirable weight”* does not exceed 10%.</t>
  </si>
  <si>
    <t>Class 3: Symptoms and signs of organic upper digestive tract disease are present or there is anatomic loss or alteration; and
Appropriate dietary restrictions and drugs do not completely control symptoms, signs, or nutritional state; or
There is 10-20% loss of weight below the “desirable weight”* which is ascribable to a disorder of the upper digestive tract.</t>
  </si>
  <si>
    <t>CLASS 1: Signs of organic anal disease are present or there is anatomic loss or alteration; or
There is mild incontinence involving gas or liquid stool; or
Anal symptoms are mild, intermittent, and controlled by treatment.</t>
  </si>
  <si>
    <t>Total impairment, respiratory system</t>
  </si>
  <si>
    <r>
      <t>“</t>
    </r>
    <r>
      <rPr>
        <b/>
        <sz val="10"/>
        <rFont val="Times New Roman"/>
        <family val="1"/>
      </rPr>
      <t>Base functional capacity</t>
    </r>
    <r>
      <rPr>
        <sz val="10"/>
        <rFont val="Times New Roman"/>
        <family val="1"/>
      </rPr>
      <t>” (BFC) is established under OAR 436-035-0012(9) and means an individual’s demonstrated ability to perform work-related activities before the date of injury or disease.</t>
    </r>
  </si>
  <si>
    <r>
      <t>“</t>
    </r>
    <r>
      <rPr>
        <b/>
        <sz val="10"/>
        <rFont val="Times New Roman"/>
        <family val="1"/>
      </rPr>
      <t>Residual functional capacity</t>
    </r>
    <r>
      <rPr>
        <sz val="10"/>
        <rFont val="Times New Roman"/>
        <family val="1"/>
      </rPr>
      <t>” (RFC) is established under OAR 436-035-0012(10) and means an individual’s remaining ability to perform work-related activities at the time the worker is medically stationary.</t>
    </r>
  </si>
  <si>
    <t>Hearing loss was 
caused by:</t>
  </si>
  <si>
    <t>Occupational injury</t>
  </si>
  <si>
    <t>Occupational disease</t>
  </si>
  <si>
    <t>In an injury claim, an impairment award for hearing loss caused by presbycusis is reduced only if the presbycusis qualifies as a preexisting condition. OAR 436-035-0250(4)(b)</t>
  </si>
  <si>
    <t>Check box for either occupational disease or occupational injury.</t>
  </si>
  <si>
    <t>Permanent partial disability calculation for dates of injury before 1/1/2005: Use the calculation method (monaural or binaural) that results in the greater impairment.</t>
  </si>
  <si>
    <t>ERROR: You have entered baseline audiogram results. If this is a qualifying preexisting condition, check box above - below "Occupational injury."</t>
  </si>
  <si>
    <t>Presbycusis reduction (from table)</t>
  </si>
  <si>
    <t>ERROR: Date of birth cannot occur after date of injury.</t>
  </si>
  <si>
    <t>ERROR: Date of issuance cannot precede date of birth.</t>
  </si>
  <si>
    <t>Please enter the following data</t>
  </si>
  <si>
    <t>before proceeding:</t>
  </si>
  <si>
    <t>ERROR: Entries for release and return to work (above) are in conflict.</t>
  </si>
  <si>
    <t>Enter release and return to work information above.</t>
  </si>
  <si>
    <t>No release/return to work data</t>
  </si>
  <si>
    <t>Sensation loss, upper extremity</t>
  </si>
  <si>
    <t>(1) Loss of palmar sensation in the hand, finger(s), or thumb is rated based on the location and quality of the loss, and is measured by the two-point discrimination method.</t>
  </si>
  <si>
    <t>(b) If enough sensitivity remains to distinguish two pin pricks applied at the same time (two point), the following apply:</t>
  </si>
  <si>
    <t>….</t>
  </si>
  <si>
    <t xml:space="preserve"> 11-15 millimeters:                          protective sensation</t>
  </si>
  <si>
    <t xml:space="preserve"> 7-10 millimeters:                              less than normal</t>
  </si>
  <si>
    <t xml:space="preserve">  Finding                                          Grade of sensation</t>
  </si>
  <si>
    <t xml:space="preserve"> Greater than 15 millimeters:                total loss</t>
  </si>
  <si>
    <t xml:space="preserve"> 6 millimeters apart or less:                    normal</t>
  </si>
  <si>
    <t>4° centigrade = 39.2° fahrenheit.</t>
  </si>
  <si>
    <t>10° centigrade = 
50° fahrenheit.</t>
  </si>
  <si>
    <t>15° centigrade = 
59° fahrenheit.</t>
  </si>
  <si>
    <t>20° centigrade = 
68° fahrenheit.</t>
  </si>
  <si>
    <t>0° centigrade = 
32° fahrenheit.</t>
  </si>
  <si>
    <t>Enter date of injury on "Start here" worksheet: The disability award cannot be determined without the date of injury.</t>
  </si>
  <si>
    <t>See OAR 436-035-0009.
The worker returned to regular work at job held at time of injury;
The worker was released to regular work, and: either the job was available, but the worker failed or refused to return to that job; or, the employment was terminated for cause unrelated to the injury.
The worker has not returned and was not released to available, regular work at the job held at the time of injury.</t>
  </si>
  <si>
    <t>*</t>
  </si>
  <si>
    <r>
      <t>*</t>
    </r>
    <r>
      <rPr>
        <b/>
        <i/>
        <sz val="12"/>
        <rFont val="Times New Roman"/>
        <family val="1"/>
      </rPr>
      <t>Extract</t>
    </r>
    <r>
      <rPr>
        <b/>
        <sz val="12"/>
        <rFont val="Times New Roman"/>
        <family val="1"/>
      </rPr>
      <t xml:space="preserve"> Senate Bill 369 (1995) SECTION 66.</t>
    </r>
    <r>
      <rPr>
        <sz val="12"/>
        <rFont val="Times New Roman"/>
        <family val="1"/>
      </rPr>
      <t xml:space="preserve"> (1) Notwithstanding any other provision of law, this Act applies to all claims or causes of action existing or arising on or after the effective date of this Act, regardless of the date of injury or the date a claim is presented, and this Act is intended to be fully retroactive unless a specific exception is stated in this Act.</t>
    </r>
  </si>
  <si>
    <t>**</t>
  </si>
  <si>
    <t>**See Senate Bill 369 (1995) SECTION 18.</t>
  </si>
  <si>
    <t>0 = no impairment in either eye. 1 = impairement in one eye. 2 = impairment in both eyes and monocularl total is greater than binocular total. 3 = impairement in both eyes and binocular total is greater than monocular total.</t>
  </si>
  <si>
    <t>{notes}</t>
  </si>
  <si>
    <t>Programming note: The table to the left is used to populate the "Specific vocational preparation" field above.</t>
  </si>
  <si>
    <t>Programming note: The table below is used to populate the adaptability factor field that represents the comparison of base functional capacity and residual functional capacity.</t>
  </si>
  <si>
    <t>Programming note: The table below is used to populate the adaptability factor field that is based on the percentage of permanent impairment.</t>
  </si>
  <si>
    <t>ERROR: Date of injury is on or after 1/1/2005. Use PPD worksheet "PPD DOI on or after 1/1/2005."</t>
  </si>
  <si>
    <t>Permanent Partial Disability Determination
for dates of injury before 1/1/2005</t>
  </si>
  <si>
    <t>ROM adjusted to min. or max. normal:</t>
  </si>
  <si>
    <t>Hover for programming note</t>
  </si>
  <si>
    <t>Combine &amp; round</t>
  </si>
  <si>
    <t>ROM adjusted to minimum or maximum</t>
  </si>
  <si>
    <t>Counts of ROM and ankylosis</t>
  </si>
  <si>
    <t>Option button output and % value</t>
  </si>
  <si>
    <t>Contralateral values</t>
  </si>
  <si>
    <t>Replacements:</t>
  </si>
  <si>
    <t>Removals:</t>
  </si>
  <si>
    <t>Programming note: The class lists at the right are used for pull-down menus in the chart at the left. The selected class is matched to the associated percentage.</t>
  </si>
  <si>
    <t>List to the right is used for pull-down menus in the chart to the left.</t>
  </si>
  <si>
    <t>Programming note</t>
  </si>
  <si>
    <t>Output for Yes/No option buttons:</t>
  </si>
  <si>
    <t>Output: C-5 through T-1</t>
  </si>
  <si>
    <t>Pre-2005: Values without conversion</t>
  </si>
  <si>
    <t>Pre-2005: Values with conversion</t>
  </si>
  <si>
    <t>Post-2004: Values without conversion</t>
  </si>
  <si>
    <t>Post-2004: Values with conversion</t>
  </si>
  <si>
    <t>&lt;&lt;Combined</t>
  </si>
  <si>
    <t>&lt;&lt;&lt;1=More $ if converted - pre-2005 DOI. 2=More or same $ if not converted - pre-2005 DOI. 3=More $ if converted - post-2004 DOI. 4=More or same $ if not converted - post-2004 DOI.</t>
  </si>
  <si>
    <t>There is hand or arm impairment (or both); conversion of digits to hand values is required.</t>
  </si>
  <si>
    <t>Do not convert: There is no hand or arm impairment, and the worker will not receive a higher dollar award if the digits are converted.</t>
  </si>
  <si>
    <t>Click here to describe errors or problems below. Send copy of file to fred.h.bruyns@dcbs.oregon.gov. Remove the injured worker's name from this file before sending. Thank you!</t>
  </si>
  <si>
    <t>fred.h.bruyns@dcbs.oregon.gov</t>
  </si>
  <si>
    <t>971-286-0316</t>
  </si>
  <si>
    <t xml:space="preserve">   Male            Female</t>
  </si>
  <si>
    <t>Class 2: There is objective evidence of chronic liver disease even though no symptoms of liver disease are present; and no history of ascites, jaundice, or bleeding esophageal varices within three years; and -- Nutrition and strength are good; and
Biochemical studies indicate more severe liver damage than 
Class 1.</t>
  </si>
  <si>
    <t xml:space="preserve">
Impairment of the pancreas
Diabetes mellitus is rated according to the following classes:</t>
  </si>
  <si>
    <t>Impairment of thyroid function is determined according to the following classes:</t>
  </si>
  <si>
    <t>60% and over                                           7</t>
  </si>
  <si>
    <t>The worker returned to regular work;
The worker was released to regular work, the job was available, but the worker failed or refused to return to that job; or
The worker was released to regular work but the worker’s employment was terminated for cause unrelated to the injury.
The worker has not returned to regular work (and above options don't apply).</t>
  </si>
  <si>
    <t>ROM adjusted to min. or max. normal</t>
  </si>
  <si>
    <t>Checkbox output</t>
  </si>
  <si>
    <t>Dermatological classes</t>
  </si>
  <si>
    <t>Vacular / neurological dysfunction</t>
  </si>
  <si>
    <t>&lt;&lt;Hand/forearm</t>
  </si>
  <si>
    <t>&lt;&lt;Arm</t>
  </si>
  <si>
    <t>&lt;&lt; Used for data validation</t>
  </si>
  <si>
    <t>The list below is used for data validation and for pull-down menus for range of motion data entry.</t>
  </si>
  <si>
    <t>Transfer \ Round</t>
  </si>
  <si>
    <t>Max. percent</t>
  </si>
  <si>
    <t>Option output:</t>
  </si>
  <si>
    <t>Output L-2 through S-1</t>
  </si>
  <si>
    <t>Ankylosis present</t>
  </si>
  <si>
    <t>ROM 
present</t>
  </si>
  <si>
    <t>Programming 
note</t>
  </si>
  <si>
    <t>&lt;&lt;Leg</t>
  </si>
  <si>
    <t>&lt;&lt;Foot/ankle</t>
  </si>
  <si>
    <t>Programming note.</t>
  </si>
  <si>
    <t>The following list is used in pull-down menus for ranges of motion.</t>
  </si>
  <si>
    <t>Counts of ROM</t>
  </si>
  <si>
    <t>Counts of ankylosis</t>
  </si>
  <si>
    <t xml:space="preserve">A value of 5% of the foot is granted if there is a diagnosis of Grade IV chondromalacia, extensive arthritis, or extensive degenerative joint disease, AND one or more of the following: secondary strength loss; chronic effusion; varus deformity of the ankle of 15 degrees or less; valgus deformity of the ankle of 20 degrees or less.
</t>
  </si>
  <si>
    <t>Option output</t>
  </si>
  <si>
    <r>
      <t xml:space="preserve">
Common peroneal</t>
    </r>
    <r>
      <rPr>
        <sz val="12"/>
        <rFont val="Times New Roman"/>
        <family val="1"/>
      </rPr>
      <t xml:space="preserve">
</t>
    </r>
    <r>
      <rPr>
        <sz val="10"/>
        <rFont val="Times New Roman"/>
        <family val="1"/>
      </rPr>
      <t xml:space="preserve">
</t>
    </r>
    <r>
      <rPr>
        <b/>
        <sz val="10"/>
        <rFont val="Times New Roman"/>
        <family val="1"/>
      </rPr>
      <t xml:space="preserve">Deep
</t>
    </r>
    <r>
      <rPr>
        <b/>
        <sz val="7"/>
        <rFont val="Times New Roman"/>
        <family val="1"/>
      </rPr>
      <t xml:space="preserve">
</t>
    </r>
    <r>
      <rPr>
        <b/>
        <sz val="8"/>
        <rFont val="Times New Roman"/>
        <family val="1"/>
      </rPr>
      <t xml:space="preserve">
</t>
    </r>
    <r>
      <rPr>
        <b/>
        <sz val="10"/>
        <rFont val="Times New Roman"/>
        <family val="1"/>
      </rPr>
      <t xml:space="preserve">Deep
</t>
    </r>
  </si>
  <si>
    <t xml:space="preserve">A value of 5% of the leg is granted if there is a diagnosis of Grade IV chondromalacia, extensive arthritis, or extensive degenerative joint disease, AND one or more of the following: secondary strength loss; chronic effusion; varus deformity of the knee of 15 degrees or less; valgus deformity of the knee of 20 degrees or less.
</t>
  </si>
  <si>
    <t xml:space="preserve">A value of 5% of the leg is granted if there is a diagnosis of Grade IV chondromalacia, extensive arthritis, or extensive degenerative joint disease, AND one or more of the following: secondary strength loss; chronic effusion; varus deformity of the knee of 15 degrees or less; valgus deformity of the knee of 20 degrees or less.
</t>
  </si>
  <si>
    <t>Added - see note</t>
  </si>
  <si>
    <t>Numbers below are used for data validation, so only values from 1% to 100% can be entered.</t>
  </si>
  <si>
    <t>Option button output
&gt;&gt;&gt;</t>
  </si>
  <si>
    <t>Adjusted hearing loss</t>
  </si>
  <si>
    <t>Adjust to minimum of 1%</t>
  </si>
  <si>
    <t>Counts of blank and zero audiogram findings</t>
  </si>
  <si>
    <t>Hip impairment includes ankylosis value, an irreversible finding - ROM is not apportioned.</t>
  </si>
  <si>
    <t>Total spine impairment:</t>
  </si>
  <si>
    <t>Total impairment, left hip:</t>
  </si>
  <si>
    <t>Total impairment, right hip:</t>
  </si>
  <si>
    <t>Total impairment, left shoulder:</t>
  </si>
  <si>
    <t>Total impairment, right shoulder:</t>
  </si>
  <si>
    <t>Total impairment, left middle finger:</t>
  </si>
  <si>
    <t>Total impairment, right middle finger:</t>
  </si>
  <si>
    <t>Total impairment, right index finger:</t>
  </si>
  <si>
    <t>If one of the joints of the thumb is ankylosed, apportionment of non-ankylosed joint, if any, is applied before combining.</t>
  </si>
  <si>
    <t>Apportionment:</t>
  </si>
  <si>
    <t>See above</t>
  </si>
  <si>
    <t>Total impairment, right hand/forearm:</t>
  </si>
  <si>
    <t>If one of the joints of the finger is ankylosed, apportionment of non-ankylosed joint, if any, is applied before combining.</t>
  </si>
  <si>
    <t>If one of the joints of the toe is ankylosed, apportionment of non-ankylosed joint, if any, is applied before combining.</t>
  </si>
  <si>
    <t>Summing and apportionment</t>
  </si>
  <si>
    <t>Can the worker not be on feet for more than two hours in an 8-hour period?</t>
  </si>
  <si>
    <t>Subtotal:</t>
  </si>
  <si>
    <t>See OAR 436-035-0009.
The worker was released to regular work.
The worker returned to regular work at the job held at the time of injury.
The worker was not released to regular work and has not returned to regular work at the job held at the time of injury.</t>
  </si>
  <si>
    <t>NOTE: Data below is used for data validation - pull-down menus and to set lower and upper limits to amounts entered.</t>
  </si>
  <si>
    <t>0=Other irreversible findings</t>
  </si>
  <si>
    <t>List below for ROM data validation lists/menus.</t>
  </si>
  <si>
    <t>Values below are used in data validation - minimum/maximum</t>
  </si>
  <si>
    <t>&lt;&lt;&lt;Maximum ankylosis value</t>
  </si>
  <si>
    <t>ROM measures present</t>
  </si>
  <si>
    <t>Ankylosed joints present</t>
  </si>
  <si>
    <t>&lt;&lt;&lt;Total disability percentage for shoulder ROM</t>
  </si>
  <si>
    <t>Programming note: Numbers listed are output from options buttons.</t>
  </si>
  <si>
    <t>Programming note: "TRUE" and "FALSE" below reflect checkboxes.</t>
  </si>
  <si>
    <t>Programming note: Table below is used for strength grade lookup.</t>
  </si>
  <si>
    <t>Transfer and round</t>
  </si>
  <si>
    <t>Programming note: Number below is output from option buttons.</t>
  </si>
  <si>
    <t>&lt;&lt;&lt;Total disability percentage for hip ROM</t>
  </si>
  <si>
    <t>Sum of vertebrae</t>
  </si>
  <si>
    <t>Sum of discs</t>
  </si>
  <si>
    <t>1 disc, 1 or 2 vertabrae</t>
  </si>
  <si>
    <t>Add for vertabrae</t>
  </si>
  <si>
    <t>Add for discs</t>
  </si>
  <si>
    <t>Thoracic spine: 
Fracture of one or more posterior elements of a vertebra - enter "X" or "NA" or leave blank.</t>
  </si>
  <si>
    <t>Cervical spine: 
Fracture of one or more posterior elements of a vertebra - enter "X" or "NA" or leave blank.</t>
  </si>
  <si>
    <t>Lumbosacral spine: Fracture of one or more posterior elements of a vertebra - enter "X" or "NA" or leave blank.</t>
  </si>
  <si>
    <t>Values are used in data validation - surgical procedures and fractures.</t>
  </si>
  <si>
    <t>List below is used for selecting number of additonal surgical procedures - data validation.</t>
  </si>
  <si>
    <t>&lt;&lt;&lt;List is used in data validation for percentage of compression in compression fractures.</t>
  </si>
  <si>
    <t>Formulas in cells return "1" for each vertabra and disc affected.</t>
  </si>
  <si>
    <t>Check box output</t>
  </si>
  <si>
    <t>"TRUE" converts to "1"</t>
  </si>
  <si>
    <t>Convert "TRUE" to "1"</t>
  </si>
  <si>
    <t>&lt;&lt;&lt; Option buttons output</t>
  </si>
  <si>
    <t>Apportionment (if any)</t>
  </si>
  <si>
    <t>Checkbox output:</t>
  </si>
  <si>
    <t>Options button output:</t>
  </si>
  <si>
    <t>Apportionment (if any):</t>
  </si>
  <si>
    <r>
      <t xml:space="preserve">Programming note: </t>
    </r>
    <r>
      <rPr>
        <sz val="9"/>
        <rFont val="Times New Roman"/>
        <family val="1"/>
      </rPr>
      <t>Options output converted to % impairment:</t>
    </r>
  </si>
  <si>
    <t>Option buttons output:</t>
  </si>
  <si>
    <t>Option button output:</t>
  </si>
  <si>
    <t>Option  button output:</t>
  </si>
  <si>
    <t>`</t>
  </si>
  <si>
    <t>Hover for programming note.</t>
  </si>
  <si>
    <t>Values carried in from "Upper Extremity-Right."</t>
  </si>
  <si>
    <t>Values carried out to "Upper Extremity-Right."</t>
  </si>
  <si>
    <t>Values carried in from "Upper Extremity-Left."</t>
  </si>
  <si>
    <t>Values carried out to "Upper Extremity-Left."</t>
  </si>
  <si>
    <t>Values carried in from "Lower Extremity-Right."</t>
  </si>
  <si>
    <t>Values carried out to "Lower Extremity-Right."</t>
  </si>
  <si>
    <t>Presbycusis Correction Values Table</t>
  </si>
  <si>
    <t>Baseline audiogram age</t>
  </si>
  <si>
    <t>Current audiogram age</t>
  </si>
  <si>
    <t>Note: List below, 0 to 100, is used for data validation pull-down menus for hearing losses in decibels.</t>
  </si>
  <si>
    <t>Hearing Loss Table</t>
  </si>
  <si>
    <t>Values carried in from "Shoulder-Right."</t>
  </si>
  <si>
    <t>Values carried out to "Shoulder-Right."</t>
  </si>
  <si>
    <t>Values carried in from "Shoulder-Left."</t>
  </si>
  <si>
    <t>Values carried out to "Shoulder-Left."</t>
  </si>
  <si>
    <t>Values carried in from "Hip-Right."</t>
  </si>
  <si>
    <t>Values carried out to "Hip-Right."</t>
  </si>
  <si>
    <t>Values carried in from "Hip-Left."</t>
  </si>
  <si>
    <t>Values carried out to "Hip-Left."</t>
  </si>
  <si>
    <t>Values carried in from "Spine."</t>
  </si>
  <si>
    <t>Values carried out to "Spine."</t>
  </si>
  <si>
    <t>Date of issuance:</t>
  </si>
  <si>
    <t>Date of birth:</t>
  </si>
  <si>
    <t>Age at issuance:</t>
  </si>
  <si>
    <t>Worker's name and claim no.</t>
  </si>
  <si>
    <t>Use this calculator only for claim closures occurring before 12/4/2022.</t>
  </si>
  <si>
    <t>Because the worker has returned or been released to regular work, age, education, and adaptability are not considered in calculating the award.</t>
  </si>
  <si>
    <t>Baseline R</t>
  </si>
  <si>
    <t>Baseline L</t>
  </si>
  <si>
    <t>Current R</t>
  </si>
  <si>
    <t>Current L</t>
  </si>
  <si>
    <t>Baseline findings are present without current findings.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</si>
</sst>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8" formatCode="&quot;$&quot;#,##0.00_);[Red]\(&quot;$&quot;#,##0.00\)"/>
    <numFmt numFmtId="44" formatCode="_(&quot;$&quot;* #,##0.00_);_(&quot;$&quot;* \(#,##0.00\);_(&quot;$&quot;* &quot;-&quot;??_);_(@_)"/>
    <numFmt numFmtId="164" formatCode="0.0%"/>
    <numFmt numFmtId="165" formatCode="0.000%"/>
    <numFmt numFmtId="166" formatCode="0.0"/>
    <numFmt numFmtId="167" formatCode="0.0000"/>
    <numFmt numFmtId="168" formatCode="0.0000%"/>
    <numFmt numFmtId="169" formatCode="&quot;$&quot;#,##0.00"/>
    <numFmt numFmtId="170" formatCode="0_);\(0\)"/>
    <numFmt numFmtId="171" formatCode="m/d/yy"/>
    <numFmt numFmtId="172" formatCode="&quot;$&quot;#,##0"/>
  </numFmts>
  <fonts count="67" x14ac:knownFonts="1">
    <font>
      <sz val="10"/>
      <name val="Arial"/>
    </font>
    <font>
      <sz val="10"/>
      <name val="Arial"/>
      <family val="2"/>
    </font>
    <font>
      <sz val="10"/>
      <name val="Times New Roman"/>
      <family val="1"/>
    </font>
    <font>
      <b/>
      <sz val="10"/>
      <name val="Times New Roman"/>
      <family val="1"/>
    </font>
    <font>
      <u/>
      <sz val="10"/>
      <color indexed="12"/>
      <name val="Arial"/>
      <family val="2"/>
    </font>
    <font>
      <b/>
      <sz val="9"/>
      <name val="Times New Roman"/>
      <family val="1"/>
    </font>
    <font>
      <b/>
      <sz val="11"/>
      <name val="Times New Roman"/>
      <family val="1"/>
    </font>
    <font>
      <b/>
      <sz val="10"/>
      <color indexed="8"/>
      <name val="Times New Roman"/>
      <family val="1"/>
    </font>
    <font>
      <sz val="9"/>
      <name val="Times New Roman"/>
      <family val="1"/>
    </font>
    <font>
      <b/>
      <sz val="10"/>
      <color indexed="10"/>
      <name val="Times New Roman"/>
      <family val="1"/>
    </font>
    <font>
      <i/>
      <sz val="10"/>
      <color indexed="17"/>
      <name val="Times New Roman"/>
      <family val="1"/>
    </font>
    <font>
      <sz val="11"/>
      <color indexed="8"/>
      <name val="Times New Roman"/>
      <family val="1"/>
    </font>
    <font>
      <sz val="10"/>
      <color indexed="8"/>
      <name val="Times New Roman"/>
      <family val="1"/>
    </font>
    <font>
      <sz val="10.5"/>
      <name val="Times New Roman"/>
      <family val="1"/>
    </font>
    <font>
      <sz val="11"/>
      <name val="Times New Roman"/>
      <family val="1"/>
    </font>
    <font>
      <u/>
      <sz val="10"/>
      <color indexed="12"/>
      <name val="Times New Roman"/>
      <family val="1"/>
    </font>
    <font>
      <sz val="14"/>
      <name val="Times New Roman"/>
      <family val="1"/>
    </font>
    <font>
      <sz val="10"/>
      <color indexed="10"/>
      <name val="Times New Roman"/>
      <family val="1"/>
    </font>
    <font>
      <sz val="12"/>
      <name val="Times New Roman"/>
      <family val="1"/>
    </font>
    <font>
      <sz val="8"/>
      <name val="Times New Roman"/>
      <family val="1"/>
    </font>
    <font>
      <i/>
      <sz val="9"/>
      <name val="Times New Roman"/>
      <family val="1"/>
    </font>
    <font>
      <i/>
      <sz val="10"/>
      <name val="Times New Roman"/>
      <family val="1"/>
    </font>
    <font>
      <i/>
      <sz val="10"/>
      <color indexed="60"/>
      <name val="Times New Roman"/>
      <family val="1"/>
    </font>
    <font>
      <sz val="12"/>
      <color indexed="10"/>
      <name val="Times New Roman"/>
      <family val="1"/>
    </font>
    <font>
      <sz val="10"/>
      <color indexed="17"/>
      <name val="Times New Roman"/>
      <family val="1"/>
    </font>
    <font>
      <sz val="11"/>
      <color indexed="10"/>
      <name val="Times New Roman"/>
      <family val="1"/>
    </font>
    <font>
      <i/>
      <sz val="9"/>
      <color indexed="17"/>
      <name val="Times New Roman"/>
      <family val="1"/>
    </font>
    <font>
      <sz val="11"/>
      <color indexed="57"/>
      <name val="Times New Roman"/>
      <family val="1"/>
    </font>
    <font>
      <sz val="9"/>
      <color indexed="10"/>
      <name val="Times New Roman"/>
      <family val="1"/>
    </font>
    <font>
      <sz val="9"/>
      <color indexed="17"/>
      <name val="Times New Roman"/>
      <family val="1"/>
    </font>
    <font>
      <i/>
      <sz val="10"/>
      <color indexed="57"/>
      <name val="Times New Roman"/>
      <family val="1"/>
    </font>
    <font>
      <i/>
      <sz val="10"/>
      <color indexed="10"/>
      <name val="Times New Roman"/>
      <family val="1"/>
    </font>
    <font>
      <sz val="10"/>
      <color indexed="60"/>
      <name val="Times New Roman"/>
      <family val="1"/>
    </font>
    <font>
      <sz val="12"/>
      <color indexed="9"/>
      <name val="Times New Roman"/>
      <family val="1"/>
    </font>
    <font>
      <sz val="14"/>
      <color indexed="8"/>
      <name val="Times New Roman"/>
      <family val="1"/>
    </font>
    <font>
      <sz val="10.5"/>
      <color indexed="8"/>
      <name val="Times New Roman"/>
      <family val="1"/>
    </font>
    <font>
      <i/>
      <sz val="11"/>
      <name val="Times New Roman"/>
      <family val="1"/>
    </font>
    <font>
      <b/>
      <sz val="12"/>
      <color indexed="9"/>
      <name val="Times New Roman"/>
      <family val="1"/>
    </font>
    <font>
      <b/>
      <i/>
      <sz val="10"/>
      <name val="Times New Roman"/>
      <family val="1"/>
    </font>
    <font>
      <b/>
      <sz val="9"/>
      <color indexed="10"/>
      <name val="Times New Roman"/>
      <family val="1"/>
    </font>
    <font>
      <b/>
      <sz val="12"/>
      <name val="Times New Roman"/>
      <family val="1"/>
    </font>
    <font>
      <b/>
      <sz val="8"/>
      <color indexed="10"/>
      <name val="Times New Roman"/>
      <family val="1"/>
    </font>
    <font>
      <sz val="6"/>
      <name val="Times New Roman"/>
      <family val="1"/>
    </font>
    <font>
      <b/>
      <sz val="8"/>
      <name val="Times New Roman"/>
      <family val="1"/>
    </font>
    <font>
      <b/>
      <sz val="7"/>
      <name val="Times New Roman"/>
      <family val="1"/>
    </font>
    <font>
      <b/>
      <i/>
      <sz val="14"/>
      <color indexed="10"/>
      <name val="Times New Roman"/>
      <family val="1"/>
    </font>
    <font>
      <i/>
      <sz val="14"/>
      <color indexed="17"/>
      <name val="Times New Roman"/>
      <family val="1"/>
    </font>
    <font>
      <i/>
      <sz val="10"/>
      <color indexed="58"/>
      <name val="Times New Roman"/>
      <family val="1"/>
    </font>
    <font>
      <b/>
      <sz val="10"/>
      <color indexed="9"/>
      <name val="Times New Roman"/>
      <family val="1"/>
    </font>
    <font>
      <u/>
      <sz val="12"/>
      <color indexed="12"/>
      <name val="Times New Roman"/>
      <family val="1"/>
    </font>
    <font>
      <i/>
      <sz val="10"/>
      <color indexed="8"/>
      <name val="Times New Roman"/>
      <family val="1"/>
    </font>
    <font>
      <sz val="8"/>
      <color indexed="8"/>
      <name val="Times New Roman"/>
      <family val="1"/>
    </font>
    <font>
      <sz val="10"/>
      <name val="Arial"/>
      <family val="2"/>
    </font>
    <font>
      <sz val="10"/>
      <color indexed="10"/>
      <name val="Arial"/>
      <family val="2"/>
    </font>
    <font>
      <i/>
      <sz val="8"/>
      <color indexed="17"/>
      <name val="Times New Roman"/>
      <family val="1"/>
    </font>
    <font>
      <sz val="10"/>
      <color indexed="53"/>
      <name val="Times New Roman"/>
      <family val="1"/>
    </font>
    <font>
      <b/>
      <sz val="14"/>
      <name val="Times New Roman"/>
      <family val="1"/>
    </font>
    <font>
      <b/>
      <i/>
      <sz val="12"/>
      <name val="Times New Roman"/>
      <family val="1"/>
    </font>
    <font>
      <sz val="9"/>
      <color indexed="81"/>
      <name val="Tahoma"/>
      <family val="2"/>
    </font>
    <font>
      <b/>
      <sz val="9"/>
      <color indexed="81"/>
      <name val="Tahoma"/>
      <family val="2"/>
    </font>
    <font>
      <i/>
      <sz val="10"/>
      <color theme="6" tint="-0.499984740745262"/>
      <name val="Times New Roman"/>
      <family val="1"/>
    </font>
    <font>
      <sz val="10"/>
      <color rgb="FFFF0000"/>
      <name val="Times New Roman"/>
      <family val="1"/>
    </font>
    <font>
      <sz val="8"/>
      <color rgb="FF000000"/>
      <name val="Tahoma"/>
      <family val="2"/>
    </font>
    <font>
      <sz val="8"/>
      <color rgb="FF000000"/>
      <name val="Segoe UI"/>
      <family val="2"/>
    </font>
    <font>
      <u/>
      <sz val="9"/>
      <color indexed="12"/>
      <name val="Arial"/>
      <family val="2"/>
    </font>
    <font>
      <b/>
      <sz val="10"/>
      <color theme="1"/>
      <name val="Times New Roman"/>
      <family val="1"/>
    </font>
    <font>
      <i/>
      <sz val="10"/>
      <color rgb="FF00B050"/>
      <name val="Times New Roman"/>
      <family val="1"/>
    </font>
  </fonts>
  <fills count="8">
    <fill>
      <patternFill patternType="none"/>
    </fill>
    <fill>
      <patternFill patternType="gray125"/>
    </fill>
    <fill>
      <patternFill patternType="solid">
        <fgColor indexed="43"/>
        <bgColor indexed="64"/>
      </patternFill>
    </fill>
    <fill>
      <patternFill patternType="solid">
        <fgColor indexed="42"/>
        <bgColor indexed="64"/>
      </patternFill>
    </fill>
    <fill>
      <patternFill patternType="solid">
        <fgColor indexed="12"/>
        <bgColor indexed="64"/>
      </patternFill>
    </fill>
    <fill>
      <patternFill patternType="solid">
        <fgColor rgb="FFFFFF99"/>
        <bgColor indexed="64"/>
      </patternFill>
    </fill>
    <fill>
      <patternFill patternType="solid">
        <fgColor theme="4" tint="0.59999389629810485"/>
        <bgColor indexed="64"/>
      </patternFill>
    </fill>
    <fill>
      <patternFill patternType="solid">
        <fgColor rgb="FFCCFFCC"/>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style="thin">
        <color indexed="64"/>
      </left>
      <right style="thin">
        <color indexed="64"/>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dotted">
        <color indexed="64"/>
      </bottom>
      <diagonal/>
    </border>
    <border>
      <left/>
      <right style="thin">
        <color indexed="64"/>
      </right>
      <top/>
      <bottom style="dotted">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s>
  <cellStyleXfs count="4">
    <xf numFmtId="0" fontId="0" fillId="0" borderId="0"/>
    <xf numFmtId="44" fontId="1" fillId="0" borderId="0" applyFont="0" applyFill="0" applyBorder="0" applyAlignment="0" applyProtection="0"/>
    <xf numFmtId="0" fontId="4" fillId="0" borderId="0" applyNumberFormat="0" applyFill="0" applyBorder="0" applyAlignment="0" applyProtection="0">
      <alignment vertical="top"/>
      <protection locked="0"/>
    </xf>
    <xf numFmtId="9" fontId="1" fillId="0" borderId="0" applyFont="0" applyFill="0" applyBorder="0" applyAlignment="0" applyProtection="0"/>
  </cellStyleXfs>
  <cellXfs count="2507">
    <xf numFmtId="0" fontId="0" fillId="0" borderId="0" xfId="0"/>
    <xf numFmtId="0" fontId="2" fillId="0" borderId="0" xfId="0" applyFont="1" applyBorder="1" applyAlignment="1">
      <alignment horizontal="center"/>
    </xf>
    <xf numFmtId="0" fontId="2" fillId="0" borderId="0" xfId="0" applyFont="1" applyAlignment="1">
      <alignment horizontal="center"/>
    </xf>
    <xf numFmtId="0" fontId="2" fillId="0" borderId="0" xfId="0" applyFont="1" applyBorder="1" applyAlignment="1"/>
    <xf numFmtId="1" fontId="2" fillId="0" borderId="1" xfId="0" applyNumberFormat="1" applyFont="1" applyBorder="1" applyAlignment="1">
      <alignment horizontal="center"/>
    </xf>
    <xf numFmtId="2" fontId="2" fillId="0" borderId="1" xfId="0" applyNumberFormat="1" applyFont="1" applyBorder="1" applyAlignment="1">
      <alignment horizontal="center"/>
    </xf>
    <xf numFmtId="1" fontId="2" fillId="0" borderId="0" xfId="0" applyNumberFormat="1" applyFont="1" applyBorder="1" applyAlignment="1">
      <alignment horizontal="right"/>
    </xf>
    <xf numFmtId="0" fontId="2" fillId="0" borderId="0" xfId="0" applyFont="1" applyBorder="1" applyAlignment="1">
      <alignment horizontal="right"/>
    </xf>
    <xf numFmtId="0" fontId="2" fillId="0" borderId="0" xfId="0" applyFont="1" applyFill="1" applyBorder="1" applyAlignment="1"/>
    <xf numFmtId="9" fontId="2" fillId="0" borderId="0" xfId="0" applyNumberFormat="1" applyFont="1" applyFill="1" applyBorder="1" applyAlignment="1"/>
    <xf numFmtId="0" fontId="2" fillId="0" borderId="0" xfId="0" applyFont="1" applyFill="1" applyBorder="1" applyAlignment="1">
      <alignment horizontal="center"/>
    </xf>
    <xf numFmtId="9" fontId="2" fillId="0" borderId="0" xfId="0" applyNumberFormat="1" applyFont="1" applyFill="1" applyBorder="1" applyAlignment="1">
      <alignment horizontal="center"/>
    </xf>
    <xf numFmtId="9" fontId="2" fillId="0" borderId="0" xfId="0" applyNumberFormat="1" applyFont="1" applyBorder="1" applyAlignment="1">
      <alignment horizontal="center"/>
    </xf>
    <xf numFmtId="1" fontId="2" fillId="0" borderId="0" xfId="0" applyNumberFormat="1" applyFont="1" applyAlignment="1">
      <alignment horizontal="center"/>
    </xf>
    <xf numFmtId="0" fontId="2" fillId="0" borderId="0" xfId="0" applyFont="1" applyAlignment="1">
      <alignment horizontal="left"/>
    </xf>
    <xf numFmtId="9" fontId="2" fillId="0" borderId="0" xfId="3" applyFont="1" applyAlignment="1">
      <alignment horizontal="left"/>
    </xf>
    <xf numFmtId="10" fontId="2" fillId="0" borderId="1" xfId="0" applyNumberFormat="1" applyFont="1" applyBorder="1" applyAlignment="1">
      <alignment horizontal="right"/>
    </xf>
    <xf numFmtId="0" fontId="2" fillId="0" borderId="1" xfId="0" applyFont="1" applyBorder="1" applyAlignment="1">
      <alignment horizontal="right"/>
    </xf>
    <xf numFmtId="0" fontId="2" fillId="0" borderId="0" xfId="0" applyFont="1" applyBorder="1" applyAlignment="1">
      <alignment horizontal="left"/>
    </xf>
    <xf numFmtId="9" fontId="2" fillId="0" borderId="0" xfId="3" applyFont="1" applyBorder="1" applyAlignment="1">
      <alignment horizontal="left"/>
    </xf>
    <xf numFmtId="0" fontId="2" fillId="0" borderId="0" xfId="0" applyFont="1" applyFill="1" applyBorder="1" applyAlignment="1" applyProtection="1">
      <protection locked="0"/>
    </xf>
    <xf numFmtId="0" fontId="12" fillId="0" borderId="0" xfId="0" applyFont="1" applyFill="1" applyBorder="1" applyAlignment="1"/>
    <xf numFmtId="9" fontId="2" fillId="0" borderId="0" xfId="3" applyFont="1" applyFill="1" applyBorder="1" applyAlignment="1"/>
    <xf numFmtId="0" fontId="2" fillId="0" borderId="1" xfId="0" applyFont="1" applyBorder="1" applyAlignment="1">
      <alignment horizontal="center"/>
    </xf>
    <xf numFmtId="0" fontId="2" fillId="0" borderId="1" xfId="0" applyFont="1" applyBorder="1" applyAlignment="1">
      <alignment horizontal="center" wrapText="1"/>
    </xf>
    <xf numFmtId="0" fontId="2" fillId="0" borderId="2" xfId="0" applyFont="1" applyBorder="1" applyAlignment="1">
      <alignment horizontal="center"/>
    </xf>
    <xf numFmtId="9" fontId="2" fillId="2" borderId="1" xfId="3" applyFont="1" applyFill="1" applyBorder="1" applyAlignment="1">
      <alignment horizontal="center"/>
    </xf>
    <xf numFmtId="9" fontId="12" fillId="0" borderId="1" xfId="3" applyFont="1" applyFill="1" applyBorder="1" applyAlignment="1">
      <alignment horizontal="center"/>
    </xf>
    <xf numFmtId="9" fontId="2" fillId="0" borderId="3" xfId="3" applyFont="1" applyBorder="1" applyAlignment="1">
      <alignment horizontal="center"/>
    </xf>
    <xf numFmtId="9" fontId="2" fillId="0" borderId="0" xfId="3" applyFont="1" applyBorder="1" applyAlignment="1">
      <alignment horizontal="center"/>
    </xf>
    <xf numFmtId="1" fontId="2" fillId="0" borderId="2" xfId="0" applyNumberFormat="1" applyFont="1" applyBorder="1" applyAlignment="1">
      <alignment horizontal="center"/>
    </xf>
    <xf numFmtId="2" fontId="2" fillId="0" borderId="2" xfId="0" applyNumberFormat="1" applyFont="1" applyBorder="1" applyAlignment="1">
      <alignment horizontal="center"/>
    </xf>
    <xf numFmtId="10" fontId="2" fillId="0" borderId="2" xfId="3" applyNumberFormat="1" applyFont="1" applyBorder="1" applyAlignment="1">
      <alignment horizontal="center"/>
    </xf>
    <xf numFmtId="0" fontId="2" fillId="0" borderId="2" xfId="0" applyFont="1" applyBorder="1" applyAlignment="1">
      <alignment horizontal="center" wrapText="1"/>
    </xf>
    <xf numFmtId="1" fontId="2" fillId="0" borderId="0" xfId="0" applyNumberFormat="1" applyFont="1" applyAlignment="1">
      <alignment horizontal="right"/>
    </xf>
    <xf numFmtId="0" fontId="2" fillId="0" borderId="0" xfId="0" applyFont="1" applyAlignment="1"/>
    <xf numFmtId="0" fontId="18" fillId="0" borderId="0" xfId="0" applyFont="1" applyFill="1" applyBorder="1" applyAlignment="1">
      <alignment horizontal="center"/>
    </xf>
    <xf numFmtId="9" fontId="2" fillId="0" borderId="0" xfId="3" applyFont="1" applyBorder="1" applyAlignment="1"/>
    <xf numFmtId="0" fontId="2" fillId="0" borderId="0" xfId="3" applyNumberFormat="1" applyFont="1" applyBorder="1" applyAlignment="1"/>
    <xf numFmtId="9" fontId="2" fillId="0" borderId="0" xfId="3" applyFont="1" applyAlignment="1">
      <alignment horizontal="center"/>
    </xf>
    <xf numFmtId="9" fontId="2" fillId="0" borderId="0" xfId="3" applyFont="1" applyAlignment="1">
      <alignment horizontal="right"/>
    </xf>
    <xf numFmtId="9" fontId="2" fillId="0" borderId="0" xfId="3" applyFont="1" applyBorder="1" applyAlignment="1">
      <alignment horizontal="right"/>
    </xf>
    <xf numFmtId="0" fontId="2" fillId="0" borderId="1" xfId="0" applyFont="1" applyFill="1" applyBorder="1" applyAlignment="1">
      <alignment horizontal="center"/>
    </xf>
    <xf numFmtId="10" fontId="2" fillId="0" borderId="1" xfId="3" applyNumberFormat="1" applyFont="1" applyFill="1" applyBorder="1" applyAlignment="1">
      <alignment horizontal="right"/>
    </xf>
    <xf numFmtId="0" fontId="12" fillId="0" borderId="1" xfId="0" applyFont="1" applyFill="1" applyBorder="1" applyAlignment="1">
      <alignment horizontal="center"/>
    </xf>
    <xf numFmtId="0" fontId="12" fillId="0" borderId="2" xfId="0" applyFont="1" applyFill="1" applyBorder="1" applyAlignment="1">
      <alignment horizontal="center"/>
    </xf>
    <xf numFmtId="9" fontId="12" fillId="0" borderId="2" xfId="3" applyFont="1" applyBorder="1" applyAlignment="1">
      <alignment horizontal="center"/>
    </xf>
    <xf numFmtId="0" fontId="2" fillId="0" borderId="0" xfId="0" applyFont="1" applyBorder="1" applyAlignment="1">
      <alignment horizontal="left" wrapText="1"/>
    </xf>
    <xf numFmtId="0" fontId="2" fillId="3" borderId="1" xfId="0" applyFont="1" applyFill="1" applyBorder="1" applyAlignment="1" applyProtection="1">
      <alignment horizontal="center" wrapText="1"/>
      <protection locked="0"/>
    </xf>
    <xf numFmtId="0" fontId="17" fillId="0" borderId="0" xfId="0" applyFont="1" applyFill="1" applyBorder="1" applyAlignment="1">
      <alignment horizontal="center"/>
    </xf>
    <xf numFmtId="9" fontId="2" fillId="0" borderId="0" xfId="0" applyNumberFormat="1" applyFont="1" applyFill="1" applyBorder="1" applyAlignment="1" applyProtection="1">
      <alignment horizontal="center"/>
      <protection locked="0"/>
    </xf>
    <xf numFmtId="9" fontId="17" fillId="0" borderId="1" xfId="3" applyFont="1" applyBorder="1" applyAlignment="1">
      <alignment horizontal="center"/>
    </xf>
    <xf numFmtId="9" fontId="17" fillId="0" borderId="1" xfId="3" applyFont="1" applyFill="1" applyBorder="1" applyAlignment="1">
      <alignment horizontal="center"/>
    </xf>
    <xf numFmtId="10" fontId="2" fillId="0" borderId="1" xfId="3" applyNumberFormat="1" applyFont="1" applyBorder="1" applyAlignment="1">
      <alignment horizontal="center"/>
    </xf>
    <xf numFmtId="9" fontId="17" fillId="0" borderId="4" xfId="3" applyFont="1" applyBorder="1" applyAlignment="1">
      <alignment horizontal="center"/>
    </xf>
    <xf numFmtId="9" fontId="17" fillId="0" borderId="5" xfId="3" applyFont="1" applyBorder="1" applyAlignment="1">
      <alignment horizontal="center"/>
    </xf>
    <xf numFmtId="9" fontId="17" fillId="0" borderId="6" xfId="3" applyFont="1" applyBorder="1" applyAlignment="1">
      <alignment horizontal="center"/>
    </xf>
    <xf numFmtId="9" fontId="2" fillId="2" borderId="7" xfId="3" applyFont="1" applyFill="1" applyBorder="1" applyAlignment="1">
      <alignment horizontal="center"/>
    </xf>
    <xf numFmtId="0" fontId="2" fillId="0" borderId="1" xfId="0" applyFont="1" applyBorder="1" applyAlignment="1">
      <alignment horizontal="left"/>
    </xf>
    <xf numFmtId="0" fontId="2" fillId="3" borderId="1" xfId="0" applyFont="1" applyFill="1" applyBorder="1" applyAlignment="1">
      <alignment horizontal="center"/>
    </xf>
    <xf numFmtId="0" fontId="2" fillId="0" borderId="0" xfId="0" applyFont="1" applyFill="1" applyBorder="1" applyAlignment="1">
      <alignment horizontal="left"/>
    </xf>
    <xf numFmtId="9" fontId="2" fillId="0" borderId="1" xfId="0" applyNumberFormat="1" applyFont="1" applyBorder="1" applyAlignment="1">
      <alignment horizontal="right"/>
    </xf>
    <xf numFmtId="10" fontId="2" fillId="0" borderId="1" xfId="3" applyNumberFormat="1" applyFont="1" applyBorder="1" applyAlignment="1">
      <alignment horizontal="right"/>
    </xf>
    <xf numFmtId="0" fontId="2" fillId="0" borderId="0" xfId="0" applyFont="1" applyAlignment="1">
      <alignment horizontal="right"/>
    </xf>
    <xf numFmtId="9" fontId="2" fillId="0" borderId="7" xfId="3" applyFont="1" applyFill="1" applyBorder="1" applyAlignment="1">
      <alignment horizontal="right" wrapText="1"/>
    </xf>
    <xf numFmtId="9" fontId="2" fillId="0" borderId="1" xfId="3" applyFont="1" applyFill="1" applyBorder="1" applyAlignment="1">
      <alignment horizontal="right" wrapText="1"/>
    </xf>
    <xf numFmtId="1" fontId="2" fillId="0" borderId="1" xfId="0" applyNumberFormat="1" applyFont="1" applyBorder="1" applyAlignment="1">
      <alignment horizontal="right"/>
    </xf>
    <xf numFmtId="0" fontId="2" fillId="0" borderId="0" xfId="0" applyNumberFormat="1" applyFont="1" applyAlignment="1">
      <alignment horizontal="left"/>
    </xf>
    <xf numFmtId="0" fontId="2" fillId="0" borderId="0" xfId="0" applyFont="1" applyAlignment="1">
      <alignment horizontal="center" wrapText="1"/>
    </xf>
    <xf numFmtId="0" fontId="2" fillId="0" borderId="0" xfId="0" applyFont="1" applyAlignment="1">
      <alignment wrapText="1"/>
    </xf>
    <xf numFmtId="0" fontId="2" fillId="0" borderId="0" xfId="0" applyFont="1" applyFill="1" applyBorder="1" applyAlignment="1">
      <alignment wrapText="1"/>
    </xf>
    <xf numFmtId="164" fontId="2" fillId="2" borderId="8" xfId="0" applyNumberFormat="1" applyFont="1" applyFill="1" applyBorder="1" applyAlignment="1">
      <alignment horizontal="center" wrapText="1"/>
    </xf>
    <xf numFmtId="0" fontId="25" fillId="0" borderId="1" xfId="0" applyFont="1" applyBorder="1" applyAlignment="1">
      <alignment horizontal="center"/>
    </xf>
    <xf numFmtId="1" fontId="2" fillId="0" borderId="0" xfId="0" applyNumberFormat="1" applyFont="1" applyBorder="1" applyAlignment="1">
      <alignment horizontal="left"/>
    </xf>
    <xf numFmtId="1" fontId="2" fillId="0" borderId="0" xfId="3" applyNumberFormat="1" applyFont="1" applyBorder="1" applyAlignment="1">
      <alignment horizontal="left"/>
    </xf>
    <xf numFmtId="9" fontId="14" fillId="0" borderId="0" xfId="3" applyFont="1" applyFill="1" applyBorder="1" applyAlignment="1">
      <alignment horizontal="center" wrapText="1"/>
    </xf>
    <xf numFmtId="9" fontId="2" fillId="2" borderId="8" xfId="3" applyFont="1" applyFill="1" applyBorder="1" applyAlignment="1">
      <alignment horizontal="center"/>
    </xf>
    <xf numFmtId="164" fontId="2" fillId="2" borderId="1" xfId="0" applyNumberFormat="1" applyFont="1" applyFill="1" applyBorder="1" applyAlignment="1">
      <alignment horizontal="center" wrapText="1"/>
    </xf>
    <xf numFmtId="0" fontId="17" fillId="0" borderId="8" xfId="0" applyFont="1" applyBorder="1" applyAlignment="1">
      <alignment horizontal="center"/>
    </xf>
    <xf numFmtId="9" fontId="2" fillId="2" borderId="9" xfId="3" applyFont="1" applyFill="1" applyBorder="1" applyAlignment="1">
      <alignment horizontal="center"/>
    </xf>
    <xf numFmtId="0" fontId="25" fillId="0" borderId="9" xfId="0" applyFont="1" applyBorder="1" applyAlignment="1">
      <alignment horizontal="center"/>
    </xf>
    <xf numFmtId="0" fontId="25" fillId="0" borderId="8" xfId="0" applyFont="1" applyBorder="1" applyAlignment="1">
      <alignment horizontal="center"/>
    </xf>
    <xf numFmtId="0" fontId="17" fillId="0" borderId="2" xfId="0" applyFont="1" applyBorder="1" applyAlignment="1">
      <alignment horizontal="center"/>
    </xf>
    <xf numFmtId="0" fontId="17" fillId="0" borderId="1" xfId="0" applyFont="1" applyBorder="1" applyAlignment="1">
      <alignment horizontal="center"/>
    </xf>
    <xf numFmtId="0" fontId="11" fillId="0" borderId="0" xfId="0" applyFont="1" applyFill="1" applyBorder="1" applyAlignment="1">
      <alignment horizontal="center"/>
    </xf>
    <xf numFmtId="9" fontId="2" fillId="0" borderId="0" xfId="3" applyFont="1" applyFill="1" applyBorder="1" applyAlignment="1">
      <alignment horizontal="center" wrapText="1"/>
    </xf>
    <xf numFmtId="9" fontId="14" fillId="0" borderId="0" xfId="3" applyFont="1" applyFill="1" applyBorder="1" applyAlignment="1">
      <alignment horizontal="center"/>
    </xf>
    <xf numFmtId="0" fontId="12" fillId="0" borderId="0" xfId="0" applyFont="1" applyFill="1" applyBorder="1" applyAlignment="1">
      <alignment horizontal="left"/>
    </xf>
    <xf numFmtId="9" fontId="8" fillId="2" borderId="1" xfId="3" applyFont="1" applyFill="1" applyBorder="1" applyAlignment="1">
      <alignment horizontal="center" wrapText="1"/>
    </xf>
    <xf numFmtId="10" fontId="2" fillId="0" borderId="0" xfId="0" applyNumberFormat="1" applyFont="1" applyAlignment="1">
      <alignment horizontal="right"/>
    </xf>
    <xf numFmtId="9" fontId="8" fillId="2" borderId="2" xfId="3" applyFont="1" applyFill="1" applyBorder="1" applyAlignment="1">
      <alignment horizontal="center" wrapText="1"/>
    </xf>
    <xf numFmtId="9" fontId="8" fillId="2" borderId="2" xfId="3" applyFont="1" applyFill="1" applyBorder="1" applyAlignment="1">
      <alignment horizontal="center"/>
    </xf>
    <xf numFmtId="9" fontId="8" fillId="2" borderId="1" xfId="3" applyFont="1" applyFill="1" applyBorder="1" applyAlignment="1">
      <alignment horizontal="center"/>
    </xf>
    <xf numFmtId="0" fontId="2" fillId="0" borderId="0" xfId="0" applyNumberFormat="1" applyFont="1" applyAlignment="1">
      <alignment horizontal="center"/>
    </xf>
    <xf numFmtId="9" fontId="18" fillId="0" borderId="0" xfId="0" applyNumberFormat="1" applyFont="1" applyFill="1" applyBorder="1" applyAlignment="1">
      <alignment horizontal="center"/>
    </xf>
    <xf numFmtId="9" fontId="2" fillId="2" borderId="1" xfId="3" applyFont="1" applyFill="1" applyBorder="1" applyAlignment="1">
      <alignment horizontal="center" wrapText="1"/>
    </xf>
    <xf numFmtId="0" fontId="11" fillId="0" borderId="0" xfId="0" applyFont="1" applyFill="1" applyBorder="1" applyAlignment="1">
      <alignment horizontal="left"/>
    </xf>
    <xf numFmtId="9" fontId="2" fillId="0" borderId="1" xfId="3" applyFont="1" applyBorder="1" applyAlignment="1">
      <alignment horizontal="right"/>
    </xf>
    <xf numFmtId="0" fontId="2" fillId="0" borderId="2" xfId="0" applyFont="1" applyBorder="1" applyAlignment="1">
      <alignment horizontal="right"/>
    </xf>
    <xf numFmtId="9" fontId="2" fillId="3" borderId="1" xfId="3" applyFont="1" applyFill="1" applyBorder="1" applyAlignment="1" applyProtection="1">
      <alignment horizontal="center"/>
      <protection locked="0"/>
    </xf>
    <xf numFmtId="1" fontId="2" fillId="0" borderId="0" xfId="0" applyNumberFormat="1" applyFont="1" applyAlignment="1">
      <alignment horizontal="left"/>
    </xf>
    <xf numFmtId="1" fontId="2" fillId="0" borderId="0" xfId="3" applyNumberFormat="1" applyFont="1" applyAlignment="1">
      <alignment horizontal="left"/>
    </xf>
    <xf numFmtId="0" fontId="2" fillId="0" borderId="11" xfId="0" applyFont="1" applyBorder="1" applyAlignment="1">
      <alignment horizontal="right"/>
    </xf>
    <xf numFmtId="10" fontId="2" fillId="0" borderId="0" xfId="3" applyNumberFormat="1" applyFont="1" applyFill="1" applyBorder="1" applyAlignment="1">
      <alignment horizontal="center" wrapText="1"/>
    </xf>
    <xf numFmtId="10" fontId="2" fillId="0" borderId="12" xfId="3" applyNumberFormat="1" applyFont="1" applyFill="1" applyBorder="1" applyAlignment="1">
      <alignment horizontal="center" wrapText="1"/>
    </xf>
    <xf numFmtId="9" fontId="2" fillId="2" borderId="2" xfId="3" applyFont="1" applyFill="1" applyBorder="1" applyAlignment="1">
      <alignment horizontal="center" wrapText="1"/>
    </xf>
    <xf numFmtId="0" fontId="2" fillId="0" borderId="7" xfId="0" applyFont="1" applyBorder="1" applyAlignment="1">
      <alignment horizontal="right"/>
    </xf>
    <xf numFmtId="0" fontId="2" fillId="0" borderId="0" xfId="0" applyFont="1" applyAlignment="1" applyProtection="1">
      <alignment horizontal="center"/>
    </xf>
    <xf numFmtId="0" fontId="2" fillId="0" borderId="0" xfId="0" applyFont="1" applyBorder="1" applyAlignment="1" applyProtection="1">
      <alignment horizontal="left"/>
    </xf>
    <xf numFmtId="0" fontId="2" fillId="0" borderId="0" xfId="0" applyFont="1" applyBorder="1" applyAlignment="1" applyProtection="1">
      <alignment horizontal="left" wrapText="1"/>
    </xf>
    <xf numFmtId="9" fontId="2" fillId="0" borderId="0" xfId="3" applyFont="1" applyBorder="1" applyAlignment="1">
      <alignment horizontal="left" wrapText="1"/>
    </xf>
    <xf numFmtId="10" fontId="2" fillId="0" borderId="0" xfId="3" applyNumberFormat="1" applyFont="1" applyBorder="1" applyAlignment="1">
      <alignment horizontal="left"/>
    </xf>
    <xf numFmtId="9" fontId="2" fillId="0" borderId="0" xfId="3" applyNumberFormat="1" applyFont="1" applyBorder="1" applyAlignment="1">
      <alignment horizontal="left"/>
    </xf>
    <xf numFmtId="164" fontId="2" fillId="0" borderId="0" xfId="3" applyNumberFormat="1" applyFont="1" applyBorder="1" applyAlignment="1">
      <alignment horizontal="left"/>
    </xf>
    <xf numFmtId="10" fontId="2" fillId="0" borderId="0" xfId="0" applyNumberFormat="1" applyFont="1" applyBorder="1" applyAlignment="1">
      <alignment horizontal="left"/>
    </xf>
    <xf numFmtId="9" fontId="2" fillId="0" borderId="0" xfId="3" applyFont="1" applyFill="1" applyBorder="1" applyAlignment="1">
      <alignment horizontal="left"/>
    </xf>
    <xf numFmtId="0" fontId="2" fillId="0" borderId="0" xfId="3" applyNumberFormat="1" applyFont="1" applyBorder="1" applyAlignment="1">
      <alignment horizontal="left"/>
    </xf>
    <xf numFmtId="10" fontId="2" fillId="0" borderId="0" xfId="3" applyNumberFormat="1" applyFont="1" applyBorder="1" applyAlignment="1">
      <alignment horizontal="left" wrapText="1"/>
    </xf>
    <xf numFmtId="10" fontId="12" fillId="0" borderId="0" xfId="0" applyNumberFormat="1" applyFont="1" applyBorder="1" applyAlignment="1">
      <alignment horizontal="left" wrapText="1"/>
    </xf>
    <xf numFmtId="14" fontId="2" fillId="0" borderId="0" xfId="0" applyNumberFormat="1" applyFont="1" applyAlignment="1">
      <alignment horizontal="left"/>
    </xf>
    <xf numFmtId="0" fontId="2" fillId="0" borderId="0" xfId="0" applyFont="1" applyFill="1" applyBorder="1" applyAlignment="1">
      <alignment horizontal="right"/>
    </xf>
    <xf numFmtId="0" fontId="2" fillId="0" borderId="0" xfId="0" applyFont="1" applyAlignment="1">
      <alignment horizontal="right" wrapText="1"/>
    </xf>
    <xf numFmtId="1" fontId="2" fillId="0" borderId="0" xfId="3" applyNumberFormat="1" applyFont="1" applyBorder="1" applyAlignment="1">
      <alignment horizontal="right"/>
    </xf>
    <xf numFmtId="0" fontId="2" fillId="0" borderId="0" xfId="0" applyFont="1" applyAlignment="1" applyProtection="1">
      <alignment horizontal="left"/>
      <protection locked="0"/>
    </xf>
    <xf numFmtId="0" fontId="2" fillId="0" borderId="8" xfId="0" applyFont="1" applyBorder="1" applyAlignment="1">
      <alignment horizontal="right"/>
    </xf>
    <xf numFmtId="2" fontId="2" fillId="0" borderId="0" xfId="0" applyNumberFormat="1" applyFont="1" applyBorder="1" applyAlignment="1">
      <alignment horizontal="right"/>
    </xf>
    <xf numFmtId="10" fontId="2" fillId="0" borderId="0" xfId="3" applyNumberFormat="1" applyFont="1" applyBorder="1" applyAlignment="1">
      <alignment horizontal="right"/>
    </xf>
    <xf numFmtId="0" fontId="2" fillId="0" borderId="0" xfId="0" applyFont="1" applyBorder="1" applyAlignment="1">
      <alignment horizontal="right" wrapText="1"/>
    </xf>
    <xf numFmtId="164" fontId="2" fillId="0" borderId="0" xfId="0" applyNumberFormat="1" applyFont="1" applyBorder="1" applyAlignment="1">
      <alignment horizontal="right"/>
    </xf>
    <xf numFmtId="0" fontId="2" fillId="0" borderId="0" xfId="0" applyNumberFormat="1" applyFont="1" applyBorder="1" applyAlignment="1">
      <alignment horizontal="right"/>
    </xf>
    <xf numFmtId="9" fontId="2" fillId="0" borderId="0" xfId="0" applyNumberFormat="1" applyFont="1" applyBorder="1" applyAlignment="1">
      <alignment horizontal="right"/>
    </xf>
    <xf numFmtId="10" fontId="2" fillId="0" borderId="0" xfId="0" applyNumberFormat="1" applyFont="1" applyBorder="1" applyAlignment="1">
      <alignment horizontal="right"/>
    </xf>
    <xf numFmtId="9" fontId="2" fillId="0" borderId="0" xfId="3" applyFont="1" applyFill="1" applyBorder="1" applyAlignment="1">
      <alignment horizontal="right"/>
    </xf>
    <xf numFmtId="0" fontId="2" fillId="0" borderId="0" xfId="0" applyFont="1" applyFill="1" applyBorder="1" applyAlignment="1">
      <alignment horizontal="right" wrapText="1"/>
    </xf>
    <xf numFmtId="9" fontId="2" fillId="0" borderId="0" xfId="0" applyNumberFormat="1" applyFont="1" applyFill="1" applyBorder="1" applyAlignment="1">
      <alignment horizontal="right"/>
    </xf>
    <xf numFmtId="0" fontId="2" fillId="0" borderId="9" xfId="0" applyFont="1" applyBorder="1" applyAlignment="1">
      <alignment horizontal="right"/>
    </xf>
    <xf numFmtId="10" fontId="2" fillId="0" borderId="0" xfId="0" applyNumberFormat="1" applyFont="1" applyFill="1" applyBorder="1" applyAlignment="1">
      <alignment horizontal="right"/>
    </xf>
    <xf numFmtId="1" fontId="2" fillId="0" borderId="0" xfId="3" applyNumberFormat="1" applyFont="1" applyAlignment="1">
      <alignment horizontal="right"/>
    </xf>
    <xf numFmtId="0" fontId="2" fillId="0" borderId="1" xfId="0" applyNumberFormat="1" applyFont="1" applyBorder="1" applyAlignment="1">
      <alignment horizontal="right"/>
    </xf>
    <xf numFmtId="2" fontId="2" fillId="0" borderId="8" xfId="0" applyNumberFormat="1" applyFont="1" applyBorder="1" applyAlignment="1">
      <alignment horizontal="right"/>
    </xf>
    <xf numFmtId="2" fontId="2" fillId="0" borderId="1" xfId="0" applyNumberFormat="1" applyFont="1" applyBorder="1" applyAlignment="1">
      <alignment horizontal="right"/>
    </xf>
    <xf numFmtId="164" fontId="2" fillId="0" borderId="1" xfId="0" applyNumberFormat="1" applyFont="1" applyBorder="1" applyAlignment="1">
      <alignment horizontal="right"/>
    </xf>
    <xf numFmtId="0" fontId="2" fillId="0" borderId="13" xfId="0" applyFont="1" applyBorder="1" applyAlignment="1">
      <alignment horizontal="right"/>
    </xf>
    <xf numFmtId="164" fontId="2" fillId="0" borderId="1" xfId="0" applyNumberFormat="1" applyFont="1" applyFill="1" applyBorder="1" applyAlignment="1">
      <alignment horizontal="right" wrapText="1"/>
    </xf>
    <xf numFmtId="0" fontId="2" fillId="0" borderId="0" xfId="0" applyFont="1" applyFill="1" applyBorder="1" applyAlignment="1" applyProtection="1">
      <alignment horizontal="right"/>
      <protection locked="0"/>
    </xf>
    <xf numFmtId="1" fontId="2" fillId="0" borderId="0" xfId="3" applyNumberFormat="1" applyFont="1" applyFill="1" applyBorder="1" applyAlignment="1">
      <alignment horizontal="right"/>
    </xf>
    <xf numFmtId="49" fontId="2" fillId="0" borderId="0" xfId="0" applyNumberFormat="1" applyFont="1" applyAlignment="1">
      <alignment horizontal="right"/>
    </xf>
    <xf numFmtId="0" fontId="2" fillId="0" borderId="1" xfId="3" applyNumberFormat="1" applyFont="1" applyBorder="1" applyAlignment="1">
      <alignment horizontal="right"/>
    </xf>
    <xf numFmtId="9" fontId="2" fillId="0" borderId="0" xfId="0" applyNumberFormat="1" applyFont="1" applyAlignment="1">
      <alignment horizontal="right"/>
    </xf>
    <xf numFmtId="0" fontId="12" fillId="0" borderId="0" xfId="0" applyFont="1" applyFill="1" applyBorder="1" applyAlignment="1">
      <alignment horizontal="right"/>
    </xf>
    <xf numFmtId="0" fontId="2" fillId="0" borderId="0" xfId="0" applyFont="1" applyAlignment="1" applyProtection="1">
      <alignment horizontal="right"/>
    </xf>
    <xf numFmtId="1" fontId="2" fillId="0" borderId="0" xfId="0" applyNumberFormat="1" applyFont="1" applyBorder="1" applyAlignment="1">
      <alignment horizontal="right" wrapText="1"/>
    </xf>
    <xf numFmtId="1" fontId="2" fillId="0" borderId="8" xfId="0" applyNumberFormat="1" applyFont="1" applyBorder="1" applyAlignment="1">
      <alignment horizontal="right"/>
    </xf>
    <xf numFmtId="10" fontId="2" fillId="0" borderId="0" xfId="3" applyNumberFormat="1" applyFont="1" applyAlignment="1">
      <alignment horizontal="right"/>
    </xf>
    <xf numFmtId="170" fontId="2" fillId="0" borderId="0" xfId="0" applyNumberFormat="1" applyFont="1" applyAlignment="1">
      <alignment horizontal="right"/>
    </xf>
    <xf numFmtId="0" fontId="2" fillId="3" borderId="10" xfId="0" applyFont="1" applyFill="1" applyBorder="1" applyAlignment="1">
      <alignment horizontal="center"/>
    </xf>
    <xf numFmtId="0" fontId="2" fillId="0" borderId="1" xfId="0" applyFont="1" applyBorder="1" applyAlignment="1">
      <alignment wrapText="1"/>
    </xf>
    <xf numFmtId="9" fontId="2" fillId="0" borderId="0" xfId="0" applyNumberFormat="1" applyFont="1" applyBorder="1" applyAlignment="1">
      <alignment horizontal="left"/>
    </xf>
    <xf numFmtId="49" fontId="2" fillId="0" borderId="0" xfId="0" applyNumberFormat="1" applyFont="1" applyBorder="1" applyAlignment="1">
      <alignment horizontal="left"/>
    </xf>
    <xf numFmtId="2" fontId="2" fillId="0" borderId="0" xfId="0" applyNumberFormat="1" applyFont="1" applyBorder="1" applyAlignment="1">
      <alignment horizontal="left"/>
    </xf>
    <xf numFmtId="164" fontId="2" fillId="0" borderId="0" xfId="0" applyNumberFormat="1" applyFont="1" applyBorder="1" applyAlignment="1">
      <alignment horizontal="left"/>
    </xf>
    <xf numFmtId="9" fontId="2" fillId="0" borderId="0" xfId="3" applyNumberFormat="1" applyFont="1" applyFill="1" applyBorder="1" applyAlignment="1">
      <alignment horizontal="left"/>
    </xf>
    <xf numFmtId="9" fontId="2" fillId="0" borderId="0" xfId="3" applyFont="1" applyFill="1" applyBorder="1" applyAlignment="1">
      <alignment horizontal="left" wrapText="1"/>
    </xf>
    <xf numFmtId="164" fontId="2" fillId="0" borderId="0" xfId="3" applyNumberFormat="1" applyFont="1" applyBorder="1" applyAlignment="1" applyProtection="1">
      <alignment horizontal="left"/>
      <protection locked="0"/>
    </xf>
    <xf numFmtId="0" fontId="2" fillId="0" borderId="0" xfId="0" applyFont="1" applyBorder="1" applyAlignment="1" applyProtection="1">
      <alignment horizontal="left"/>
      <protection locked="0"/>
    </xf>
    <xf numFmtId="1" fontId="2" fillId="0" borderId="0" xfId="3" applyNumberFormat="1" applyFont="1" applyFill="1" applyBorder="1" applyAlignment="1">
      <alignment horizontal="left"/>
    </xf>
    <xf numFmtId="164" fontId="2" fillId="0" borderId="0" xfId="0" applyNumberFormat="1" applyFont="1" applyFill="1" applyBorder="1" applyAlignment="1">
      <alignment horizontal="left" wrapText="1"/>
    </xf>
    <xf numFmtId="0" fontId="2" fillId="0" borderId="0" xfId="0" applyFont="1" applyFill="1" applyBorder="1" applyAlignment="1">
      <alignment horizontal="left" wrapText="1"/>
    </xf>
    <xf numFmtId="9" fontId="2" fillId="0" borderId="0" xfId="0" applyNumberFormat="1" applyFont="1" applyFill="1" applyBorder="1" applyAlignment="1">
      <alignment horizontal="left"/>
    </xf>
    <xf numFmtId="0" fontId="2" fillId="0" borderId="0" xfId="0" applyNumberFormat="1" applyFont="1" applyFill="1" applyBorder="1" applyAlignment="1">
      <alignment horizontal="left"/>
    </xf>
    <xf numFmtId="9" fontId="2" fillId="0" borderId="0" xfId="0" applyNumberFormat="1" applyFont="1" applyBorder="1" applyAlignment="1" applyProtection="1">
      <alignment horizontal="left"/>
      <protection locked="0"/>
    </xf>
    <xf numFmtId="10" fontId="2" fillId="0" borderId="0" xfId="3" applyNumberFormat="1" applyFont="1" applyFill="1" applyBorder="1" applyAlignment="1">
      <alignment horizontal="left"/>
    </xf>
    <xf numFmtId="0" fontId="2" fillId="0" borderId="0" xfId="0" applyNumberFormat="1" applyFont="1" applyBorder="1" applyAlignment="1">
      <alignment horizontal="left"/>
    </xf>
    <xf numFmtId="1" fontId="2" fillId="0" borderId="0" xfId="0" applyNumberFormat="1" applyFont="1" applyBorder="1" applyAlignment="1" applyProtection="1">
      <alignment horizontal="left"/>
      <protection locked="0"/>
    </xf>
    <xf numFmtId="10" fontId="2" fillId="0" borderId="0" xfId="3" applyNumberFormat="1" applyFont="1" applyBorder="1" applyAlignment="1" applyProtection="1">
      <alignment horizontal="left"/>
      <protection locked="0"/>
    </xf>
    <xf numFmtId="0" fontId="32" fillId="0" borderId="0" xfId="0" applyFont="1" applyBorder="1" applyAlignment="1">
      <alignment horizontal="left"/>
    </xf>
    <xf numFmtId="9" fontId="2" fillId="0" borderId="0" xfId="0" applyNumberFormat="1" applyFont="1" applyAlignment="1">
      <alignment horizontal="left"/>
    </xf>
    <xf numFmtId="168" fontId="2" fillId="0" borderId="0" xfId="0" applyNumberFormat="1" applyFont="1" applyBorder="1" applyAlignment="1">
      <alignment horizontal="left"/>
    </xf>
    <xf numFmtId="167" fontId="2" fillId="0" borderId="0" xfId="3" applyNumberFormat="1" applyFont="1" applyBorder="1" applyAlignment="1">
      <alignment horizontal="left"/>
    </xf>
    <xf numFmtId="0" fontId="2" fillId="0" borderId="0" xfId="0" applyFont="1" applyBorder="1" applyAlignment="1" applyProtection="1">
      <alignment horizontal="center"/>
    </xf>
    <xf numFmtId="164" fontId="2" fillId="0" borderId="0" xfId="3" applyNumberFormat="1" applyFont="1" applyFill="1" applyBorder="1" applyAlignment="1" applyProtection="1">
      <alignment horizontal="left"/>
      <protection locked="0"/>
    </xf>
    <xf numFmtId="0" fontId="14" fillId="0" borderId="0" xfId="0" applyFont="1" applyAlignment="1" applyProtection="1">
      <alignment horizontal="left"/>
    </xf>
    <xf numFmtId="0" fontId="2" fillId="0" borderId="0" xfId="0" applyFont="1" applyAlignment="1" applyProtection="1"/>
    <xf numFmtId="10" fontId="2" fillId="0" borderId="0" xfId="0" applyNumberFormat="1" applyFont="1" applyAlignment="1">
      <alignment horizontal="left"/>
    </xf>
    <xf numFmtId="168" fontId="2" fillId="0" borderId="0" xfId="0" applyNumberFormat="1" applyFont="1" applyAlignment="1">
      <alignment horizontal="left"/>
    </xf>
    <xf numFmtId="0" fontId="2" fillId="0" borderId="1" xfId="0" applyFont="1" applyBorder="1" applyAlignment="1"/>
    <xf numFmtId="9" fontId="2" fillId="0" borderId="1" xfId="3" applyFont="1" applyBorder="1" applyAlignment="1">
      <alignment horizontal="left"/>
    </xf>
    <xf numFmtId="9" fontId="3" fillId="0" borderId="0" xfId="0" applyNumberFormat="1" applyFont="1" applyFill="1" applyBorder="1" applyAlignment="1">
      <alignment horizontal="center"/>
    </xf>
    <xf numFmtId="0" fontId="2" fillId="2" borderId="1" xfId="0" applyFont="1" applyFill="1" applyBorder="1" applyAlignment="1">
      <alignment horizontal="center"/>
    </xf>
    <xf numFmtId="0" fontId="2" fillId="0" borderId="0" xfId="0" applyFont="1" applyAlignment="1" applyProtection="1">
      <protection locked="0"/>
    </xf>
    <xf numFmtId="0" fontId="15" fillId="0" borderId="1" xfId="2" applyFont="1" applyBorder="1" applyAlignment="1" applyProtection="1">
      <alignment wrapText="1"/>
    </xf>
    <xf numFmtId="9" fontId="2" fillId="0" borderId="0" xfId="3" applyFont="1" applyAlignment="1"/>
    <xf numFmtId="168" fontId="2" fillId="0" borderId="0" xfId="0" applyNumberFormat="1" applyFont="1" applyAlignment="1">
      <alignment horizontal="right"/>
    </xf>
    <xf numFmtId="44" fontId="2" fillId="0" borderId="0" xfId="1" applyFont="1" applyBorder="1" applyAlignment="1">
      <alignment horizontal="center"/>
    </xf>
    <xf numFmtId="44" fontId="2" fillId="0" borderId="0" xfId="1" applyFont="1" applyFill="1" applyBorder="1" applyAlignment="1" applyProtection="1">
      <alignment horizontal="center"/>
      <protection hidden="1"/>
    </xf>
    <xf numFmtId="14" fontId="2" fillId="0" borderId="1" xfId="0" applyNumberFormat="1" applyFont="1" applyFill="1" applyBorder="1" applyAlignment="1">
      <alignment horizontal="left"/>
    </xf>
    <xf numFmtId="14" fontId="2" fillId="0" borderId="1" xfId="0" applyNumberFormat="1" applyFont="1" applyBorder="1" applyAlignment="1">
      <alignment horizontal="left"/>
    </xf>
    <xf numFmtId="44" fontId="2" fillId="2" borderId="1" xfId="1" applyFont="1" applyFill="1" applyBorder="1" applyAlignment="1">
      <alignment horizontal="center"/>
    </xf>
    <xf numFmtId="0" fontId="2" fillId="0" borderId="5" xfId="0" applyFont="1" applyBorder="1" applyAlignment="1">
      <alignment horizontal="center"/>
    </xf>
    <xf numFmtId="0" fontId="2" fillId="0" borderId="5" xfId="0" applyFont="1" applyBorder="1" applyAlignment="1">
      <alignment horizontal="right"/>
    </xf>
    <xf numFmtId="0" fontId="2" fillId="0" borderId="4" xfId="0" applyFont="1" applyBorder="1" applyAlignment="1">
      <alignment horizontal="center"/>
    </xf>
    <xf numFmtId="9" fontId="2" fillId="0" borderId="1" xfId="3" applyFont="1" applyBorder="1" applyAlignment="1">
      <alignment horizontal="center"/>
    </xf>
    <xf numFmtId="44" fontId="2" fillId="0" borderId="0" xfId="1" applyFont="1" applyFill="1" applyAlignment="1" applyProtection="1">
      <alignment horizontal="center"/>
      <protection hidden="1"/>
    </xf>
    <xf numFmtId="0" fontId="14" fillId="0" borderId="0" xfId="0" applyFont="1" applyFill="1" applyBorder="1" applyAlignment="1">
      <alignment horizontal="left"/>
    </xf>
    <xf numFmtId="9" fontId="18" fillId="0" borderId="0" xfId="0" applyNumberFormat="1" applyFont="1" applyFill="1" applyBorder="1" applyAlignment="1" applyProtection="1">
      <alignment horizontal="center"/>
      <protection locked="0"/>
    </xf>
    <xf numFmtId="9" fontId="18" fillId="0" borderId="0" xfId="3" applyFont="1" applyFill="1" applyBorder="1" applyAlignment="1">
      <alignment horizontal="left"/>
    </xf>
    <xf numFmtId="9" fontId="18" fillId="0" borderId="0" xfId="0" applyNumberFormat="1" applyFont="1" applyFill="1" applyBorder="1" applyAlignment="1" applyProtection="1">
      <alignment horizontal="center"/>
    </xf>
    <xf numFmtId="0" fontId="14" fillId="0" borderId="0" xfId="0" applyFont="1" applyBorder="1" applyAlignment="1">
      <alignment horizontal="left"/>
    </xf>
    <xf numFmtId="9" fontId="18" fillId="0" borderId="0" xfId="3" applyFont="1" applyBorder="1" applyAlignment="1">
      <alignment horizontal="left"/>
    </xf>
    <xf numFmtId="9" fontId="12" fillId="0" borderId="0" xfId="3" applyFont="1" applyFill="1" applyBorder="1" applyAlignment="1">
      <alignment horizontal="center"/>
    </xf>
    <xf numFmtId="0" fontId="14" fillId="0" borderId="0" xfId="0" applyFont="1" applyAlignment="1">
      <alignment horizontal="left"/>
    </xf>
    <xf numFmtId="9" fontId="38" fillId="0" borderId="0" xfId="0" applyNumberFormat="1" applyFont="1" applyBorder="1" applyAlignment="1">
      <alignment horizontal="center"/>
    </xf>
    <xf numFmtId="9" fontId="2" fillId="0" borderId="0" xfId="0" applyNumberFormat="1" applyFont="1" applyAlignment="1">
      <alignment horizontal="center"/>
    </xf>
    <xf numFmtId="0" fontId="12" fillId="0" borderId="0" xfId="0" applyFont="1" applyFill="1" applyBorder="1" applyAlignment="1">
      <alignment horizontal="center"/>
    </xf>
    <xf numFmtId="0" fontId="2" fillId="0" borderId="0" xfId="0" applyFont="1" applyFill="1" applyAlignment="1">
      <alignment horizontal="left"/>
    </xf>
    <xf numFmtId="0" fontId="2" fillId="0" borderId="1" xfId="0" applyFont="1" applyFill="1" applyBorder="1" applyAlignment="1">
      <alignment horizontal="center" wrapText="1"/>
    </xf>
    <xf numFmtId="44" fontId="2" fillId="2" borderId="1" xfId="1" applyFont="1" applyFill="1" applyBorder="1" applyAlignment="1">
      <alignment horizontal="right"/>
    </xf>
    <xf numFmtId="10" fontId="3" fillId="0" borderId="0" xfId="0" applyNumberFormat="1" applyFont="1" applyFill="1" applyBorder="1" applyAlignment="1">
      <alignment horizontal="left"/>
    </xf>
    <xf numFmtId="0" fontId="3" fillId="0" borderId="1" xfId="0" applyFont="1" applyFill="1" applyBorder="1" applyAlignment="1">
      <alignment horizontal="center"/>
    </xf>
    <xf numFmtId="1" fontId="2" fillId="0" borderId="0" xfId="0" applyNumberFormat="1" applyFont="1" applyAlignment="1"/>
    <xf numFmtId="9" fontId="2" fillId="0" borderId="0" xfId="3" applyFont="1" applyFill="1" applyBorder="1" applyAlignment="1" applyProtection="1">
      <alignment horizontal="center" wrapText="1"/>
      <protection locked="0"/>
    </xf>
    <xf numFmtId="0" fontId="40" fillId="0" borderId="0" xfId="0" applyFont="1" applyAlignment="1">
      <alignment horizontal="center"/>
    </xf>
    <xf numFmtId="0" fontId="3" fillId="0" borderId="0" xfId="0" applyFont="1" applyAlignment="1">
      <alignment horizontal="center"/>
    </xf>
    <xf numFmtId="0" fontId="3" fillId="0" borderId="0" xfId="0" applyFont="1" applyBorder="1" applyAlignment="1">
      <alignment horizontal="right"/>
    </xf>
    <xf numFmtId="0" fontId="3" fillId="0" borderId="0" xfId="0" applyFont="1" applyFill="1" applyBorder="1" applyAlignment="1">
      <alignment horizontal="right"/>
    </xf>
    <xf numFmtId="0" fontId="31" fillId="0" borderId="0" xfId="0" applyFont="1" applyBorder="1" applyAlignment="1">
      <alignment horizontal="center"/>
    </xf>
    <xf numFmtId="0" fontId="21" fillId="0" borderId="0" xfId="0" applyFont="1" applyFill="1" applyBorder="1" applyAlignment="1">
      <alignment horizontal="center"/>
    </xf>
    <xf numFmtId="0" fontId="12" fillId="3" borderId="7" xfId="2" applyFont="1" applyFill="1" applyBorder="1" applyAlignment="1" applyProtection="1">
      <alignment wrapText="1"/>
      <protection locked="0"/>
    </xf>
    <xf numFmtId="0" fontId="41" fillId="0" borderId="1" xfId="0" applyFont="1" applyBorder="1" applyAlignment="1">
      <alignment wrapText="1"/>
    </xf>
    <xf numFmtId="0" fontId="3" fillId="0" borderId="0" xfId="0" applyFont="1" applyFill="1" applyBorder="1" applyAlignment="1">
      <alignment horizontal="center" wrapText="1"/>
    </xf>
    <xf numFmtId="0" fontId="2" fillId="0" borderId="2" xfId="0" applyFont="1" applyBorder="1" applyAlignment="1">
      <alignment horizontal="left" wrapText="1"/>
    </xf>
    <xf numFmtId="0" fontId="2" fillId="3" borderId="8" xfId="0" applyFont="1" applyFill="1" applyBorder="1" applyAlignment="1" applyProtection="1">
      <alignment horizontal="center" wrapText="1"/>
      <protection locked="0"/>
    </xf>
    <xf numFmtId="0" fontId="2" fillId="0" borderId="12" xfId="0" applyFont="1" applyBorder="1" applyAlignment="1">
      <alignment horizontal="left" wrapText="1"/>
    </xf>
    <xf numFmtId="0" fontId="12" fillId="0" borderId="8" xfId="0" applyFont="1" applyFill="1" applyBorder="1" applyAlignment="1">
      <alignment horizontal="center"/>
    </xf>
    <xf numFmtId="9" fontId="12" fillId="0" borderId="13" xfId="3" applyFont="1" applyFill="1" applyBorder="1" applyAlignment="1">
      <alignment horizontal="center"/>
    </xf>
    <xf numFmtId="9" fontId="12" fillId="0" borderId="9" xfId="3" applyFont="1" applyFill="1" applyBorder="1" applyAlignment="1">
      <alignment horizontal="center"/>
    </xf>
    <xf numFmtId="9" fontId="17" fillId="0" borderId="6" xfId="3" applyFont="1" applyFill="1" applyBorder="1" applyAlignment="1">
      <alignment horizontal="center"/>
    </xf>
    <xf numFmtId="9" fontId="12" fillId="0" borderId="11" xfId="3" applyFont="1" applyFill="1" applyBorder="1" applyAlignment="1">
      <alignment horizontal="center"/>
    </xf>
    <xf numFmtId="0" fontId="2" fillId="3" borderId="1" xfId="0" applyFont="1" applyFill="1" applyBorder="1" applyAlignment="1" applyProtection="1">
      <alignment horizontal="left" wrapText="1"/>
      <protection locked="0"/>
    </xf>
    <xf numFmtId="0" fontId="2" fillId="0" borderId="5" xfId="0" applyFont="1" applyBorder="1" applyAlignment="1">
      <alignment horizontal="left"/>
    </xf>
    <xf numFmtId="10" fontId="2" fillId="2" borderId="1" xfId="3" applyNumberFormat="1" applyFont="1" applyFill="1" applyBorder="1" applyAlignment="1">
      <alignment horizontal="center"/>
    </xf>
    <xf numFmtId="10" fontId="2" fillId="0" borderId="1" xfId="3" applyNumberFormat="1" applyFont="1" applyFill="1" applyBorder="1" applyAlignment="1">
      <alignment horizontal="center"/>
    </xf>
    <xf numFmtId="164" fontId="2" fillId="0" borderId="1" xfId="0" applyNumberFormat="1" applyFont="1" applyBorder="1" applyAlignment="1">
      <alignment horizontal="left"/>
    </xf>
    <xf numFmtId="164" fontId="2" fillId="0" borderId="1" xfId="3" applyNumberFormat="1" applyFont="1" applyBorder="1" applyAlignment="1">
      <alignment horizontal="left"/>
    </xf>
    <xf numFmtId="0" fontId="2" fillId="0" borderId="6" xfId="0" applyFont="1" applyBorder="1" applyAlignment="1"/>
    <xf numFmtId="9" fontId="2" fillId="0" borderId="2" xfId="0" applyNumberFormat="1" applyFont="1" applyBorder="1" applyAlignment="1">
      <alignment horizontal="center"/>
    </xf>
    <xf numFmtId="0" fontId="2" fillId="0" borderId="14" xfId="0" applyFont="1" applyBorder="1" applyAlignment="1">
      <alignment horizontal="right"/>
    </xf>
    <xf numFmtId="0" fontId="2" fillId="0" borderId="14" xfId="0" applyFont="1" applyBorder="1" applyAlignment="1">
      <alignment horizontal="left"/>
    </xf>
    <xf numFmtId="9" fontId="2" fillId="0" borderId="1" xfId="3" applyFont="1" applyFill="1" applyBorder="1" applyAlignment="1">
      <alignment horizontal="center"/>
    </xf>
    <xf numFmtId="0" fontId="45" fillId="0" borderId="0" xfId="0" applyFont="1" applyBorder="1" applyAlignment="1">
      <alignment horizontal="left"/>
    </xf>
    <xf numFmtId="0" fontId="2" fillId="0" borderId="9" xfId="0" applyFont="1" applyBorder="1" applyAlignment="1">
      <alignment horizontal="center"/>
    </xf>
    <xf numFmtId="0" fontId="2" fillId="0" borderId="7" xfId="0" applyFont="1" applyBorder="1" applyAlignment="1">
      <alignment horizontal="center"/>
    </xf>
    <xf numFmtId="0" fontId="46" fillId="0" borderId="0" xfId="0" applyFont="1" applyBorder="1" applyAlignment="1">
      <alignment horizontal="left"/>
    </xf>
    <xf numFmtId="0" fontId="2" fillId="0" borderId="14" xfId="0" applyFont="1" applyBorder="1" applyAlignment="1">
      <alignment horizontal="center"/>
    </xf>
    <xf numFmtId="9" fontId="8" fillId="3" borderId="1" xfId="3" applyFont="1" applyFill="1" applyBorder="1" applyAlignment="1" applyProtection="1">
      <alignment horizontal="center"/>
      <protection locked="0"/>
    </xf>
    <xf numFmtId="0" fontId="38" fillId="0" borderId="0" xfId="0" applyFont="1" applyBorder="1" applyAlignment="1">
      <alignment horizontal="left"/>
    </xf>
    <xf numFmtId="0" fontId="2" fillId="0" borderId="1" xfId="0" applyFont="1" applyFill="1" applyBorder="1" applyAlignment="1">
      <alignment horizontal="left"/>
    </xf>
    <xf numFmtId="9" fontId="2" fillId="2" borderId="1" xfId="3" applyFont="1" applyFill="1" applyBorder="1" applyAlignment="1"/>
    <xf numFmtId="9" fontId="2" fillId="0" borderId="1" xfId="3" applyFont="1" applyFill="1" applyBorder="1" applyAlignment="1"/>
    <xf numFmtId="10" fontId="2" fillId="2" borderId="8" xfId="0" applyNumberFormat="1" applyFont="1" applyFill="1" applyBorder="1" applyAlignment="1">
      <alignment horizontal="right"/>
    </xf>
    <xf numFmtId="10" fontId="12" fillId="3" borderId="1" xfId="3" applyNumberFormat="1" applyFont="1" applyFill="1" applyBorder="1" applyAlignment="1" applyProtection="1">
      <alignment horizontal="center"/>
      <protection locked="0"/>
    </xf>
    <xf numFmtId="10" fontId="12" fillId="3" borderId="8" xfId="3" applyNumberFormat="1" applyFont="1" applyFill="1" applyBorder="1" applyAlignment="1" applyProtection="1">
      <alignment horizontal="center"/>
      <protection locked="0"/>
    </xf>
    <xf numFmtId="10" fontId="12" fillId="3" borderId="9" xfId="3" applyNumberFormat="1" applyFont="1" applyFill="1" applyBorder="1" applyAlignment="1" applyProtection="1">
      <alignment horizontal="center"/>
      <protection locked="0"/>
    </xf>
    <xf numFmtId="10" fontId="2" fillId="0" borderId="0" xfId="3" applyNumberFormat="1" applyFont="1" applyBorder="1" applyAlignment="1">
      <alignment horizontal="center"/>
    </xf>
    <xf numFmtId="10" fontId="2" fillId="0" borderId="1" xfId="1" applyNumberFormat="1" applyFont="1" applyBorder="1" applyAlignment="1">
      <alignment horizontal="left"/>
    </xf>
    <xf numFmtId="0" fontId="3" fillId="0" borderId="16" xfId="0" applyFont="1" applyBorder="1" applyAlignment="1">
      <alignment horizontal="right" wrapText="1"/>
    </xf>
    <xf numFmtId="9" fontId="12" fillId="3" borderId="8" xfId="3" applyFont="1" applyFill="1" applyBorder="1" applyAlignment="1" applyProtection="1">
      <alignment horizontal="center"/>
      <protection locked="0"/>
    </xf>
    <xf numFmtId="0" fontId="2" fillId="0" borderId="1" xfId="0" applyNumberFormat="1" applyFont="1" applyFill="1" applyBorder="1" applyAlignment="1">
      <alignment horizontal="center"/>
    </xf>
    <xf numFmtId="0" fontId="2" fillId="0" borderId="7" xfId="0" applyNumberFormat="1" applyFont="1" applyFill="1" applyBorder="1" applyAlignment="1">
      <alignment horizontal="center"/>
    </xf>
    <xf numFmtId="0" fontId="2" fillId="0" borderId="1" xfId="0" applyFont="1" applyFill="1" applyBorder="1" applyAlignment="1"/>
    <xf numFmtId="44" fontId="2" fillId="0" borderId="0" xfId="1" applyFont="1" applyAlignment="1">
      <alignment horizontal="right"/>
    </xf>
    <xf numFmtId="0" fontId="2" fillId="0" borderId="8" xfId="0" applyFont="1" applyFill="1" applyBorder="1" applyAlignment="1">
      <alignment horizontal="center" wrapText="1"/>
    </xf>
    <xf numFmtId="10" fontId="2" fillId="0" borderId="1" xfId="0" applyNumberFormat="1" applyFont="1" applyFill="1" applyBorder="1" applyAlignment="1">
      <alignment horizontal="center" wrapText="1"/>
    </xf>
    <xf numFmtId="9" fontId="2" fillId="0" borderId="0" xfId="3" applyFont="1" applyFill="1" applyBorder="1" applyAlignment="1">
      <alignment horizontal="center"/>
    </xf>
    <xf numFmtId="0" fontId="3" fillId="0" borderId="12" xfId="0" applyFont="1" applyBorder="1" applyAlignment="1">
      <alignment horizontal="center"/>
    </xf>
    <xf numFmtId="0" fontId="3" fillId="0" borderId="6" xfId="0" applyFont="1" applyBorder="1" applyAlignment="1">
      <alignment horizontal="center"/>
    </xf>
    <xf numFmtId="0" fontId="12" fillId="0" borderId="16" xfId="0" applyFont="1" applyFill="1" applyBorder="1" applyAlignment="1">
      <alignment horizontal="left"/>
    </xf>
    <xf numFmtId="172" fontId="2" fillId="0" borderId="0" xfId="0" applyNumberFormat="1" applyFont="1" applyAlignment="1">
      <alignment horizontal="right"/>
    </xf>
    <xf numFmtId="9" fontId="2" fillId="0" borderId="7" xfId="3" applyFont="1" applyBorder="1" applyAlignment="1">
      <alignment horizontal="center"/>
    </xf>
    <xf numFmtId="0" fontId="7" fillId="0" borderId="1" xfId="2" applyFont="1" applyBorder="1" applyAlignment="1" applyProtection="1">
      <alignment wrapText="1"/>
    </xf>
    <xf numFmtId="44" fontId="3" fillId="2" borderId="1" xfId="0" applyNumberFormat="1" applyFont="1" applyFill="1" applyBorder="1" applyAlignment="1"/>
    <xf numFmtId="1" fontId="2" fillId="0" borderId="0" xfId="3" applyNumberFormat="1" applyFont="1" applyBorder="1" applyAlignment="1">
      <alignment horizontal="center"/>
    </xf>
    <xf numFmtId="10" fontId="2" fillId="0" borderId="0" xfId="0" applyNumberFormat="1" applyFont="1" applyBorder="1" applyAlignment="1">
      <alignment horizontal="center"/>
    </xf>
    <xf numFmtId="0" fontId="2" fillId="2" borderId="2" xfId="0" applyFont="1" applyFill="1" applyBorder="1" applyAlignment="1">
      <alignment horizontal="center"/>
    </xf>
    <xf numFmtId="0" fontId="33" fillId="0" borderId="0" xfId="0" applyFont="1" applyFill="1" applyBorder="1" applyAlignment="1">
      <alignment horizontal="center" wrapText="1"/>
    </xf>
    <xf numFmtId="44" fontId="2" fillId="2" borderId="2" xfId="1" applyFont="1" applyFill="1" applyBorder="1" applyAlignment="1">
      <alignment horizontal="center"/>
    </xf>
    <xf numFmtId="0" fontId="2" fillId="0" borderId="2" xfId="0" applyFont="1" applyBorder="1" applyAlignment="1"/>
    <xf numFmtId="0" fontId="2" fillId="0" borderId="7" xfId="0" applyFont="1" applyBorder="1" applyAlignment="1"/>
    <xf numFmtId="44" fontId="2" fillId="2" borderId="14" xfId="1" applyNumberFormat="1" applyFont="1" applyFill="1" applyBorder="1" applyAlignment="1">
      <alignment horizontal="center"/>
    </xf>
    <xf numFmtId="10" fontId="2" fillId="2" borderId="7" xfId="0" applyNumberFormat="1" applyFont="1" applyFill="1" applyBorder="1" applyAlignment="1">
      <alignment horizontal="center"/>
    </xf>
    <xf numFmtId="0" fontId="2" fillId="0" borderId="0" xfId="0" applyFont="1" applyBorder="1" applyAlignment="1" applyProtection="1">
      <alignment horizontal="right"/>
    </xf>
    <xf numFmtId="10" fontId="2" fillId="0" borderId="0" xfId="0" applyNumberFormat="1" applyFont="1" applyAlignment="1"/>
    <xf numFmtId="0" fontId="23" fillId="0" borderId="0" xfId="0" applyFont="1" applyAlignment="1">
      <alignment horizontal="center" wrapText="1"/>
    </xf>
    <xf numFmtId="9" fontId="40" fillId="3" borderId="1" xfId="3" applyFont="1" applyFill="1" applyBorder="1" applyAlignment="1" applyProtection="1">
      <alignment horizontal="center"/>
      <protection locked="0"/>
    </xf>
    <xf numFmtId="0" fontId="2" fillId="3" borderId="11" xfId="0" applyFont="1" applyFill="1" applyBorder="1" applyAlignment="1">
      <alignment horizontal="center"/>
    </xf>
    <xf numFmtId="0" fontId="2" fillId="3" borderId="9" xfId="0" applyFont="1" applyFill="1" applyBorder="1" applyAlignment="1">
      <alignment horizontal="center"/>
    </xf>
    <xf numFmtId="10" fontId="2" fillId="2" borderId="1" xfId="0" applyNumberFormat="1" applyFont="1" applyFill="1" applyBorder="1" applyAlignment="1">
      <alignment horizontal="right"/>
    </xf>
    <xf numFmtId="10" fontId="2" fillId="2" borderId="1" xfId="0" applyNumberFormat="1" applyFont="1" applyFill="1" applyBorder="1" applyAlignment="1"/>
    <xf numFmtId="10" fontId="2" fillId="2" borderId="7" xfId="0" applyNumberFormat="1" applyFont="1" applyFill="1" applyBorder="1" applyAlignment="1">
      <alignment horizontal="right"/>
    </xf>
    <xf numFmtId="0" fontId="2" fillId="0" borderId="1" xfId="0" applyFont="1" applyFill="1" applyBorder="1" applyAlignment="1">
      <alignment horizontal="right"/>
    </xf>
    <xf numFmtId="14" fontId="2" fillId="0" borderId="1" xfId="0" applyNumberFormat="1" applyFont="1" applyFill="1" applyBorder="1" applyAlignment="1">
      <alignment horizontal="right"/>
    </xf>
    <xf numFmtId="0" fontId="4" fillId="0" borderId="0" xfId="2" applyAlignment="1" applyProtection="1"/>
    <xf numFmtId="0" fontId="4" fillId="0" borderId="0" xfId="2" applyFill="1" applyBorder="1" applyAlignment="1" applyProtection="1">
      <alignment horizontal="left"/>
    </xf>
    <xf numFmtId="9" fontId="2" fillId="2" borderId="1" xfId="0" applyNumberFormat="1" applyFont="1" applyFill="1" applyBorder="1" applyAlignment="1">
      <alignment horizontal="center"/>
    </xf>
    <xf numFmtId="0" fontId="3" fillId="0" borderId="12" xfId="0" applyFont="1" applyBorder="1" applyAlignment="1">
      <alignment horizontal="left"/>
    </xf>
    <xf numFmtId="9" fontId="3" fillId="2" borderId="1" xfId="0" applyNumberFormat="1" applyFont="1" applyFill="1" applyBorder="1" applyAlignment="1">
      <alignment horizontal="center"/>
    </xf>
    <xf numFmtId="9" fontId="3" fillId="2" borderId="2" xfId="3" applyFont="1" applyFill="1" applyBorder="1" applyAlignment="1">
      <alignment horizontal="center" wrapText="1"/>
    </xf>
    <xf numFmtId="0" fontId="17" fillId="0" borderId="11" xfId="0" applyFont="1" applyFill="1" applyBorder="1" applyAlignment="1">
      <alignment horizontal="center"/>
    </xf>
    <xf numFmtId="0" fontId="17" fillId="0" borderId="5" xfId="0" applyFont="1" applyFill="1" applyBorder="1" applyAlignment="1">
      <alignment horizontal="center"/>
    </xf>
    <xf numFmtId="0" fontId="17" fillId="0" borderId="9" xfId="0" applyFont="1" applyFill="1" applyBorder="1" applyAlignment="1">
      <alignment horizontal="center"/>
    </xf>
    <xf numFmtId="0" fontId="17" fillId="0" borderId="6" xfId="0" applyFont="1" applyFill="1" applyBorder="1" applyAlignment="1">
      <alignment horizontal="center"/>
    </xf>
    <xf numFmtId="0" fontId="2" fillId="3" borderId="9" xfId="0" applyFont="1" applyFill="1" applyBorder="1" applyAlignment="1">
      <alignment horizontal="center" wrapText="1"/>
    </xf>
    <xf numFmtId="0" fontId="2" fillId="0" borderId="2" xfId="0" applyFont="1" applyFill="1" applyBorder="1" applyAlignment="1">
      <alignment horizontal="left" wrapText="1"/>
    </xf>
    <xf numFmtId="0" fontId="2" fillId="3" borderId="12" xfId="0" applyFont="1" applyFill="1" applyBorder="1" applyAlignment="1">
      <alignment horizontal="center" wrapText="1"/>
    </xf>
    <xf numFmtId="0" fontId="2" fillId="0" borderId="17" xfId="0" applyFont="1" applyFill="1" applyBorder="1" applyAlignment="1">
      <alignment horizontal="center" wrapText="1"/>
    </xf>
    <xf numFmtId="0" fontId="2" fillId="0" borderId="0" xfId="0" applyFont="1" applyFill="1" applyBorder="1" applyAlignment="1">
      <alignment horizontal="center" wrapText="1"/>
    </xf>
    <xf numFmtId="0" fontId="2" fillId="0" borderId="1" xfId="0" applyFont="1" applyFill="1" applyBorder="1" applyAlignment="1">
      <alignment horizontal="left" wrapText="1"/>
    </xf>
    <xf numFmtId="9" fontId="3" fillId="2" borderId="14" xfId="3" applyFont="1" applyFill="1" applyBorder="1" applyAlignment="1">
      <alignment horizontal="center"/>
    </xf>
    <xf numFmtId="9" fontId="12" fillId="3" borderId="1" xfId="3" applyFont="1" applyFill="1" applyBorder="1" applyAlignment="1" applyProtection="1">
      <alignment horizontal="center"/>
      <protection locked="0"/>
    </xf>
    <xf numFmtId="9" fontId="3" fillId="2" borderId="1" xfId="3" applyNumberFormat="1" applyFont="1" applyFill="1" applyBorder="1" applyAlignment="1">
      <alignment horizontal="center"/>
    </xf>
    <xf numFmtId="0" fontId="2" fillId="0" borderId="18" xfId="0" applyFont="1" applyFill="1" applyBorder="1" applyAlignment="1">
      <alignment horizontal="center" wrapText="1"/>
    </xf>
    <xf numFmtId="0" fontId="2" fillId="3" borderId="8" xfId="0" applyFont="1" applyFill="1" applyBorder="1" applyAlignment="1">
      <alignment horizontal="center" wrapText="1"/>
    </xf>
    <xf numFmtId="0" fontId="2" fillId="3" borderId="16" xfId="0" applyFont="1" applyFill="1" applyBorder="1" applyAlignment="1">
      <alignment horizontal="center" wrapText="1"/>
    </xf>
    <xf numFmtId="0" fontId="2" fillId="3" borderId="10" xfId="0" applyFont="1" applyFill="1" applyBorder="1" applyAlignment="1">
      <alignment horizontal="center" wrapText="1"/>
    </xf>
    <xf numFmtId="0" fontId="2" fillId="0" borderId="16" xfId="0" applyFont="1" applyFill="1" applyBorder="1" applyAlignment="1">
      <alignment horizontal="center" wrapText="1"/>
    </xf>
    <xf numFmtId="0" fontId="2" fillId="0" borderId="10" xfId="0" applyFont="1" applyFill="1" applyBorder="1" applyAlignment="1">
      <alignment horizontal="center" wrapText="1"/>
    </xf>
    <xf numFmtId="0" fontId="2" fillId="0" borderId="15" xfId="0" applyFont="1" applyFill="1" applyBorder="1" applyAlignment="1">
      <alignment horizontal="center" wrapText="1"/>
    </xf>
    <xf numFmtId="9" fontId="2" fillId="2" borderId="1" xfId="3" applyNumberFormat="1" applyFont="1" applyFill="1" applyBorder="1" applyAlignment="1">
      <alignment horizontal="center"/>
    </xf>
    <xf numFmtId="0" fontId="3" fillId="0" borderId="1" xfId="0" applyFont="1" applyBorder="1" applyAlignment="1">
      <alignment horizontal="left" wrapText="1"/>
    </xf>
    <xf numFmtId="0" fontId="2" fillId="0" borderId="13" xfId="0" applyFont="1" applyFill="1" applyBorder="1" applyAlignment="1">
      <alignment horizontal="center" wrapText="1"/>
    </xf>
    <xf numFmtId="0" fontId="2" fillId="0" borderId="4" xfId="0" applyFont="1" applyFill="1" applyBorder="1" applyAlignment="1">
      <alignment horizontal="center" wrapText="1"/>
    </xf>
    <xf numFmtId="0" fontId="2" fillId="0" borderId="12" xfId="0" applyFont="1" applyFill="1" applyBorder="1" applyAlignment="1">
      <alignment horizontal="left" wrapText="1"/>
    </xf>
    <xf numFmtId="9" fontId="3" fillId="0" borderId="16" xfId="0" applyNumberFormat="1" applyFont="1" applyFill="1" applyBorder="1" applyAlignment="1">
      <alignment horizontal="center"/>
    </xf>
    <xf numFmtId="9" fontId="3" fillId="2" borderId="1" xfId="0" applyNumberFormat="1" applyFont="1" applyFill="1" applyBorder="1" applyAlignment="1">
      <alignment horizontal="center" wrapText="1"/>
    </xf>
    <xf numFmtId="0" fontId="2" fillId="0" borderId="1" xfId="0" applyFont="1" applyBorder="1" applyAlignment="1">
      <alignment horizontal="left" wrapText="1"/>
    </xf>
    <xf numFmtId="9" fontId="2" fillId="0" borderId="1" xfId="3" applyFont="1" applyBorder="1" applyAlignment="1">
      <alignment horizontal="left" wrapText="1"/>
    </xf>
    <xf numFmtId="0" fontId="14" fillId="0" borderId="1" xfId="0" applyFont="1" applyBorder="1" applyAlignment="1">
      <alignment horizontal="center"/>
    </xf>
    <xf numFmtId="0" fontId="2" fillId="0" borderId="8" xfId="0" applyFont="1" applyBorder="1" applyAlignment="1">
      <alignment horizontal="left" wrapText="1"/>
    </xf>
    <xf numFmtId="9" fontId="2" fillId="2" borderId="2" xfId="0" applyNumberFormat="1" applyFont="1" applyFill="1" applyBorder="1" applyAlignment="1">
      <alignment horizontal="center"/>
    </xf>
    <xf numFmtId="44" fontId="3" fillId="2" borderId="1" xfId="1" applyFont="1" applyFill="1" applyBorder="1" applyAlignment="1">
      <alignment horizontal="center"/>
    </xf>
    <xf numFmtId="0" fontId="2" fillId="0" borderId="8" xfId="0" applyFont="1" applyBorder="1" applyAlignment="1">
      <alignment horizontal="left"/>
    </xf>
    <xf numFmtId="9" fontId="12" fillId="2" borderId="1" xfId="3" applyFont="1" applyFill="1" applyBorder="1" applyAlignment="1">
      <alignment horizontal="center"/>
    </xf>
    <xf numFmtId="9" fontId="2" fillId="0" borderId="2" xfId="3" applyFont="1" applyBorder="1" applyAlignment="1">
      <alignment horizontal="center"/>
    </xf>
    <xf numFmtId="10" fontId="2" fillId="2" borderId="2" xfId="0" applyNumberFormat="1" applyFont="1" applyFill="1" applyBorder="1" applyAlignment="1">
      <alignment horizontal="right"/>
    </xf>
    <xf numFmtId="10" fontId="2" fillId="2" borderId="1" xfId="0" applyNumberFormat="1" applyFont="1" applyFill="1" applyBorder="1" applyAlignment="1">
      <alignment horizontal="center"/>
    </xf>
    <xf numFmtId="0" fontId="2" fillId="0" borderId="9" xfId="0" applyFont="1" applyBorder="1" applyAlignment="1">
      <alignment horizontal="left" wrapText="1"/>
    </xf>
    <xf numFmtId="9" fontId="14" fillId="2" borderId="1" xfId="0" applyNumberFormat="1" applyFont="1" applyFill="1" applyBorder="1" applyAlignment="1">
      <alignment horizontal="center"/>
    </xf>
    <xf numFmtId="9" fontId="11" fillId="2" borderId="1" xfId="3" applyFont="1" applyFill="1" applyBorder="1" applyAlignment="1">
      <alignment horizontal="center"/>
    </xf>
    <xf numFmtId="0" fontId="12" fillId="0" borderId="8" xfId="0" applyFont="1" applyFill="1" applyBorder="1" applyAlignment="1">
      <alignment horizontal="left"/>
    </xf>
    <xf numFmtId="10" fontId="2" fillId="0" borderId="5" xfId="3" applyNumberFormat="1" applyFont="1" applyBorder="1" applyAlignment="1">
      <alignment horizontal="center"/>
    </xf>
    <xf numFmtId="0" fontId="3" fillId="0" borderId="1" xfId="0" applyFont="1" applyFill="1" applyBorder="1" applyAlignment="1">
      <alignment horizontal="right" wrapText="1"/>
    </xf>
    <xf numFmtId="44" fontId="2" fillId="2" borderId="1" xfId="1" applyNumberFormat="1" applyFont="1" applyFill="1" applyBorder="1" applyAlignment="1">
      <alignment horizontal="center"/>
    </xf>
    <xf numFmtId="44" fontId="3" fillId="2" borderId="1" xfId="1" applyFont="1" applyFill="1" applyBorder="1" applyAlignment="1" applyProtection="1">
      <alignment horizontal="center"/>
    </xf>
    <xf numFmtId="0" fontId="12" fillId="0" borderId="1" xfId="0" applyFont="1" applyFill="1" applyBorder="1" applyAlignment="1">
      <alignment horizontal="left"/>
    </xf>
    <xf numFmtId="9" fontId="2" fillId="0" borderId="2" xfId="3" applyFont="1" applyBorder="1" applyAlignment="1">
      <alignment horizontal="left" wrapText="1"/>
    </xf>
    <xf numFmtId="10" fontId="2" fillId="2" borderId="1" xfId="3" applyNumberFormat="1" applyFont="1" applyFill="1" applyBorder="1" applyAlignment="1">
      <alignment horizontal="center" wrapText="1"/>
    </xf>
    <xf numFmtId="9" fontId="2" fillId="2" borderId="2" xfId="3" applyFont="1" applyFill="1" applyBorder="1" applyAlignment="1">
      <alignment horizontal="center"/>
    </xf>
    <xf numFmtId="0" fontId="2" fillId="0" borderId="2" xfId="0" applyFont="1" applyBorder="1" applyAlignment="1">
      <alignment wrapText="1"/>
    </xf>
    <xf numFmtId="0" fontId="2" fillId="0" borderId="7" xfId="0" applyFont="1" applyBorder="1" applyAlignment="1">
      <alignment wrapText="1"/>
    </xf>
    <xf numFmtId="0" fontId="14" fillId="0" borderId="9" xfId="0" applyFont="1" applyBorder="1" applyAlignment="1">
      <alignment horizontal="center"/>
    </xf>
    <xf numFmtId="9" fontId="2" fillId="2" borderId="6" xfId="0" applyNumberFormat="1" applyFont="1" applyFill="1" applyBorder="1" applyAlignment="1">
      <alignment horizontal="center"/>
    </xf>
    <xf numFmtId="9" fontId="14" fillId="0" borderId="1" xfId="3" applyFont="1" applyFill="1" applyBorder="1" applyAlignment="1">
      <alignment horizontal="center" wrapText="1"/>
    </xf>
    <xf numFmtId="0" fontId="17" fillId="0" borderId="9" xfId="0" applyFont="1" applyBorder="1" applyAlignment="1">
      <alignment horizontal="center"/>
    </xf>
    <xf numFmtId="10" fontId="2" fillId="2" borderId="2" xfId="3" applyNumberFormat="1" applyFont="1" applyFill="1" applyBorder="1" applyAlignment="1">
      <alignment horizontal="center" wrapText="1"/>
    </xf>
    <xf numFmtId="0" fontId="12" fillId="0" borderId="11" xfId="0" applyFont="1" applyFill="1" applyBorder="1" applyAlignment="1">
      <alignment horizontal="left"/>
    </xf>
    <xf numFmtId="0" fontId="2" fillId="0" borderId="14" xfId="0" applyFont="1" applyFill="1" applyBorder="1" applyAlignment="1">
      <alignment horizontal="center"/>
    </xf>
    <xf numFmtId="0" fontId="2" fillId="0" borderId="7" xfId="0" applyFont="1" applyFill="1" applyBorder="1" applyAlignment="1">
      <alignment horizontal="center"/>
    </xf>
    <xf numFmtId="0" fontId="2" fillId="0" borderId="2" xfId="0" applyFont="1" applyFill="1" applyBorder="1" applyAlignment="1">
      <alignment horizontal="center"/>
    </xf>
    <xf numFmtId="9" fontId="14" fillId="0" borderId="7" xfId="3" applyFont="1" applyFill="1" applyBorder="1" applyAlignment="1">
      <alignment horizontal="center" wrapText="1"/>
    </xf>
    <xf numFmtId="0" fontId="12" fillId="0" borderId="1" xfId="0" applyFont="1" applyBorder="1" applyAlignment="1">
      <alignment wrapText="1"/>
    </xf>
    <xf numFmtId="10" fontId="2" fillId="0" borderId="1" xfId="3" applyNumberFormat="1" applyFont="1" applyFill="1" applyBorder="1" applyAlignment="1">
      <alignment horizontal="center" wrapText="1"/>
    </xf>
    <xf numFmtId="10" fontId="2" fillId="0" borderId="1" xfId="0" applyNumberFormat="1" applyFont="1" applyBorder="1" applyAlignment="1">
      <alignment horizontal="center" wrapText="1"/>
    </xf>
    <xf numFmtId="0" fontId="15" fillId="0" borderId="19" xfId="2" applyFont="1" applyBorder="1" applyAlignment="1" applyProtection="1">
      <alignment horizontal="center" wrapText="1"/>
    </xf>
    <xf numFmtId="9" fontId="2" fillId="0" borderId="0" xfId="3" applyNumberFormat="1" applyFont="1" applyFill="1" applyBorder="1" applyAlignment="1">
      <alignment horizontal="center" wrapText="1"/>
    </xf>
    <xf numFmtId="0" fontId="3" fillId="0" borderId="1" xfId="0" applyFont="1" applyBorder="1" applyAlignment="1">
      <alignment horizontal="center"/>
    </xf>
    <xf numFmtId="166" fontId="2" fillId="0" borderId="1" xfId="0" applyNumberFormat="1" applyFont="1" applyFill="1" applyBorder="1" applyAlignment="1">
      <alignment horizontal="center"/>
    </xf>
    <xf numFmtId="0" fontId="2" fillId="0" borderId="8" xfId="0" applyFont="1" applyBorder="1" applyAlignment="1"/>
    <xf numFmtId="0" fontId="2" fillId="0" borderId="16" xfId="0" applyFont="1" applyBorder="1" applyAlignment="1"/>
    <xf numFmtId="0" fontId="2" fillId="0" borderId="10" xfId="0" applyFont="1" applyBorder="1" applyAlignment="1"/>
    <xf numFmtId="9" fontId="3" fillId="2" borderId="2" xfId="0" applyNumberFormat="1" applyFont="1" applyFill="1" applyBorder="1" applyAlignment="1">
      <alignment horizontal="center"/>
    </xf>
    <xf numFmtId="0" fontId="2" fillId="0" borderId="0" xfId="0" applyFont="1" applyBorder="1" applyAlignment="1" applyProtection="1">
      <alignment horizontal="center"/>
      <protection locked="0"/>
    </xf>
    <xf numFmtId="0" fontId="3" fillId="0" borderId="16" xfId="0" applyFont="1" applyBorder="1" applyAlignment="1">
      <alignment horizontal="center"/>
    </xf>
    <xf numFmtId="0" fontId="3" fillId="0" borderId="10" xfId="0" applyFont="1" applyBorder="1" applyAlignment="1">
      <alignment horizontal="center"/>
    </xf>
    <xf numFmtId="0" fontId="3" fillId="0" borderId="16" xfId="0" applyFont="1" applyBorder="1" applyAlignment="1">
      <alignment horizontal="center" wrapText="1"/>
    </xf>
    <xf numFmtId="9" fontId="3" fillId="2" borderId="1" xfId="3" applyFont="1" applyFill="1" applyBorder="1" applyAlignment="1">
      <alignment horizontal="center"/>
    </xf>
    <xf numFmtId="0" fontId="2" fillId="0" borderId="0" xfId="0" applyFont="1" applyFill="1" applyAlignment="1">
      <alignment horizontal="center"/>
    </xf>
    <xf numFmtId="10" fontId="2" fillId="0" borderId="0" xfId="0" applyNumberFormat="1" applyFont="1" applyFill="1" applyBorder="1" applyAlignment="1" applyProtection="1">
      <alignment horizontal="center"/>
    </xf>
    <xf numFmtId="10" fontId="2" fillId="0" borderId="1" xfId="0" applyNumberFormat="1" applyFont="1" applyFill="1" applyBorder="1" applyAlignment="1" applyProtection="1">
      <alignment horizontal="center"/>
    </xf>
    <xf numFmtId="0" fontId="2" fillId="3" borderId="1" xfId="0" applyFont="1" applyFill="1" applyBorder="1" applyAlignment="1" applyProtection="1">
      <alignment horizontal="center"/>
      <protection locked="0"/>
    </xf>
    <xf numFmtId="0" fontId="2" fillId="0" borderId="16" xfId="0" applyFont="1" applyBorder="1" applyAlignment="1">
      <alignment horizontal="center" wrapText="1"/>
    </xf>
    <xf numFmtId="0" fontId="16" fillId="0" borderId="1" xfId="0" applyFont="1" applyBorder="1" applyAlignment="1">
      <alignment horizontal="center"/>
    </xf>
    <xf numFmtId="0" fontId="2" fillId="0" borderId="8" xfId="0" applyFont="1" applyBorder="1" applyAlignment="1">
      <alignment horizontal="center" wrapText="1"/>
    </xf>
    <xf numFmtId="9" fontId="2" fillId="0" borderId="1" xfId="0" applyNumberFormat="1" applyFont="1" applyFill="1" applyBorder="1" applyAlignment="1">
      <alignment horizontal="center"/>
    </xf>
    <xf numFmtId="0" fontId="3" fillId="0" borderId="1" xfId="0" applyFont="1" applyBorder="1" applyAlignment="1">
      <alignment horizontal="center" wrapText="1"/>
    </xf>
    <xf numFmtId="0" fontId="2" fillId="0" borderId="2" xfId="0" applyFont="1" applyFill="1" applyBorder="1" applyAlignment="1">
      <alignment horizontal="center" wrapText="1"/>
    </xf>
    <xf numFmtId="0" fontId="2" fillId="0" borderId="5" xfId="0" applyFont="1" applyBorder="1" applyAlignment="1"/>
    <xf numFmtId="0" fontId="2" fillId="0" borderId="12" xfId="0" applyFont="1" applyBorder="1" applyAlignment="1"/>
    <xf numFmtId="0" fontId="2" fillId="0" borderId="1" xfId="0" applyFont="1" applyBorder="1" applyAlignment="1">
      <alignment horizontal="right" wrapText="1"/>
    </xf>
    <xf numFmtId="0" fontId="3" fillId="0" borderId="16" xfId="0" applyFont="1" applyBorder="1" applyAlignment="1">
      <alignment horizontal="left" wrapText="1"/>
    </xf>
    <xf numFmtId="0" fontId="2" fillId="0" borderId="12" xfId="0" applyFont="1" applyFill="1" applyBorder="1" applyAlignment="1">
      <alignment horizontal="center" wrapText="1"/>
    </xf>
    <xf numFmtId="10" fontId="2" fillId="0" borderId="0" xfId="3" applyNumberFormat="1" applyFont="1" applyBorder="1" applyAlignment="1">
      <alignment horizontal="left" textRotation="90" wrapText="1"/>
    </xf>
    <xf numFmtId="9" fontId="2" fillId="0" borderId="0" xfId="3" applyFont="1" applyBorder="1" applyAlignment="1">
      <alignment horizontal="left" textRotation="90" wrapText="1"/>
    </xf>
    <xf numFmtId="1" fontId="2" fillId="0" borderId="0" xfId="3" applyNumberFormat="1" applyFont="1" applyBorder="1" applyAlignment="1">
      <alignment horizontal="left" textRotation="90" wrapText="1"/>
    </xf>
    <xf numFmtId="0" fontId="2" fillId="0" borderId="0" xfId="0" applyFont="1" applyBorder="1" applyAlignment="1">
      <alignment horizontal="left" textRotation="90" wrapText="1"/>
    </xf>
    <xf numFmtId="9" fontId="12" fillId="0" borderId="0" xfId="0" applyNumberFormat="1" applyFont="1" applyBorder="1" applyAlignment="1">
      <alignment horizontal="left" wrapText="1"/>
    </xf>
    <xf numFmtId="0" fontId="2" fillId="0" borderId="0" xfId="3" applyNumberFormat="1" applyFont="1" applyBorder="1" applyAlignment="1">
      <alignment horizontal="left" textRotation="90" wrapText="1"/>
    </xf>
    <xf numFmtId="0" fontId="12" fillId="0" borderId="0" xfId="0" applyFont="1" applyBorder="1" applyAlignment="1">
      <alignment horizontal="left" wrapText="1"/>
    </xf>
    <xf numFmtId="164" fontId="12" fillId="0" borderId="0" xfId="0" applyNumberFormat="1" applyFont="1" applyBorder="1" applyAlignment="1">
      <alignment horizontal="left" wrapText="1"/>
    </xf>
    <xf numFmtId="0" fontId="2" fillId="0" borderId="0" xfId="0" applyFont="1" applyFill="1" applyAlignment="1"/>
    <xf numFmtId="14" fontId="2" fillId="0" borderId="1" xfId="0" applyNumberFormat="1" applyFont="1" applyFill="1" applyBorder="1" applyAlignment="1"/>
    <xf numFmtId="44" fontId="2" fillId="0" borderId="1" xfId="1" applyFont="1" applyBorder="1" applyAlignment="1"/>
    <xf numFmtId="8" fontId="2" fillId="0" borderId="1" xfId="0" applyNumberFormat="1" applyFont="1" applyFill="1" applyBorder="1" applyAlignment="1"/>
    <xf numFmtId="44" fontId="2" fillId="0" borderId="1" xfId="1" applyFont="1" applyFill="1" applyBorder="1" applyAlignment="1"/>
    <xf numFmtId="9" fontId="3" fillId="0" borderId="0" xfId="3" applyFont="1" applyBorder="1" applyAlignment="1">
      <alignment horizontal="center" textRotation="90" wrapText="1"/>
    </xf>
    <xf numFmtId="0" fontId="3" fillId="0" borderId="0" xfId="0" applyFont="1" applyBorder="1" applyAlignment="1">
      <alignment horizontal="center" textRotation="90" wrapText="1"/>
    </xf>
    <xf numFmtId="0" fontId="9" fillId="0" borderId="0" xfId="0" applyFont="1" applyFill="1" applyBorder="1" applyAlignment="1">
      <alignment horizontal="center"/>
    </xf>
    <xf numFmtId="9" fontId="3" fillId="0" borderId="1" xfId="3" applyFont="1" applyFill="1" applyBorder="1" applyAlignment="1">
      <alignment horizontal="left"/>
    </xf>
    <xf numFmtId="9" fontId="12" fillId="0" borderId="1" xfId="3" applyFont="1" applyFill="1" applyBorder="1" applyAlignment="1">
      <alignment horizontal="left"/>
    </xf>
    <xf numFmtId="0" fontId="12" fillId="0" borderId="0" xfId="0" applyFont="1" applyAlignment="1">
      <alignment horizontal="left" wrapText="1"/>
    </xf>
    <xf numFmtId="0" fontId="0" fillId="0" borderId="0" xfId="0" applyAlignment="1"/>
    <xf numFmtId="10" fontId="0" fillId="0" borderId="0" xfId="0" applyNumberFormat="1" applyAlignment="1"/>
    <xf numFmtId="9" fontId="3" fillId="0" borderId="0" xfId="0" applyNumberFormat="1" applyFont="1" applyAlignment="1"/>
    <xf numFmtId="9" fontId="3" fillId="0" borderId="3" xfId="0" applyNumberFormat="1" applyFont="1" applyBorder="1" applyAlignment="1"/>
    <xf numFmtId="14" fontId="2" fillId="0" borderId="0" xfId="0" applyNumberFormat="1" applyFont="1" applyAlignment="1"/>
    <xf numFmtId="0" fontId="18" fillId="0" borderId="0" xfId="0" applyFont="1" applyAlignment="1"/>
    <xf numFmtId="0" fontId="3" fillId="0" borderId="0" xfId="0" applyFont="1" applyFill="1" applyBorder="1" applyAlignment="1" applyProtection="1">
      <alignment horizontal="left" wrapText="1"/>
    </xf>
    <xf numFmtId="0" fontId="3" fillId="0" borderId="0" xfId="0" applyFont="1" applyFill="1" applyBorder="1" applyAlignment="1" applyProtection="1">
      <alignment horizontal="left"/>
    </xf>
    <xf numFmtId="0" fontId="15" fillId="0" borderId="0" xfId="2" applyFont="1" applyFill="1" applyBorder="1" applyAlignment="1" applyProtection="1">
      <alignment horizontal="left"/>
    </xf>
    <xf numFmtId="0" fontId="40" fillId="0" borderId="0" xfId="0" applyFont="1" applyAlignment="1"/>
    <xf numFmtId="0" fontId="17" fillId="0" borderId="14" xfId="0" applyFont="1" applyBorder="1" applyAlignment="1">
      <alignment horizontal="center"/>
    </xf>
    <xf numFmtId="0" fontId="2" fillId="0" borderId="4" xfId="0" applyFont="1" applyBorder="1" applyAlignment="1">
      <alignment horizontal="center" wrapText="1"/>
    </xf>
    <xf numFmtId="0" fontId="15" fillId="0" borderId="7" xfId="2" applyFont="1" applyBorder="1" applyAlignment="1" applyProtection="1">
      <alignment wrapText="1"/>
    </xf>
    <xf numFmtId="0" fontId="3" fillId="0" borderId="0" xfId="0" applyFont="1" applyBorder="1" applyAlignment="1">
      <alignment horizontal="center"/>
    </xf>
    <xf numFmtId="0" fontId="3" fillId="0" borderId="5" xfId="0" applyFont="1" applyBorder="1" applyAlignment="1">
      <alignment horizontal="center"/>
    </xf>
    <xf numFmtId="0" fontId="2" fillId="0" borderId="13" xfId="0" applyFont="1" applyBorder="1" applyAlignment="1"/>
    <xf numFmtId="0" fontId="2" fillId="0" borderId="15" xfId="0" applyFont="1" applyBorder="1" applyAlignment="1"/>
    <xf numFmtId="0" fontId="2" fillId="0" borderId="4" xfId="0" applyFont="1" applyBorder="1" applyAlignment="1"/>
    <xf numFmtId="0" fontId="2" fillId="0" borderId="9" xfId="0" applyFont="1" applyBorder="1" applyAlignment="1"/>
    <xf numFmtId="0" fontId="6" fillId="0" borderId="7" xfId="0" applyFont="1" applyBorder="1" applyAlignment="1"/>
    <xf numFmtId="0" fontId="3" fillId="0" borderId="2" xfId="0" applyFont="1" applyBorder="1" applyAlignment="1">
      <alignment horizontal="left"/>
    </xf>
    <xf numFmtId="14" fontId="2" fillId="0" borderId="0" xfId="0" applyNumberFormat="1" applyFont="1" applyBorder="1" applyAlignment="1"/>
    <xf numFmtId="0" fontId="2" fillId="0" borderId="14" xfId="0" applyFont="1" applyBorder="1" applyAlignment="1"/>
    <xf numFmtId="0" fontId="6" fillId="0" borderId="2" xfId="0" applyFont="1" applyBorder="1" applyAlignment="1">
      <alignment horizontal="center"/>
    </xf>
    <xf numFmtId="0" fontId="6" fillId="0" borderId="1" xfId="0" applyFont="1" applyBorder="1" applyAlignment="1">
      <alignment horizontal="center"/>
    </xf>
    <xf numFmtId="44" fontId="3" fillId="2" borderId="1" xfId="0" applyNumberFormat="1" applyFont="1" applyFill="1" applyBorder="1" applyAlignment="1">
      <alignment horizontal="center"/>
    </xf>
    <xf numFmtId="44" fontId="2" fillId="3" borderId="1" xfId="1" applyFont="1" applyFill="1" applyBorder="1" applyAlignment="1" applyProtection="1"/>
    <xf numFmtId="14" fontId="2" fillId="0" borderId="1" xfId="0" applyNumberFormat="1" applyFont="1" applyBorder="1" applyAlignment="1"/>
    <xf numFmtId="44" fontId="2" fillId="3" borderId="1" xfId="1" applyFont="1" applyFill="1" applyBorder="1" applyAlignment="1" applyProtection="1">
      <protection locked="0"/>
    </xf>
    <xf numFmtId="44" fontId="2" fillId="0" borderId="1" xfId="1" applyNumberFormat="1" applyFont="1" applyBorder="1" applyAlignment="1"/>
    <xf numFmtId="44" fontId="2" fillId="0" borderId="7" xfId="1" applyNumberFormat="1" applyFont="1" applyBorder="1" applyAlignment="1"/>
    <xf numFmtId="0" fontId="15" fillId="0" borderId="0" xfId="2" applyFont="1" applyFill="1" applyBorder="1" applyAlignment="1" applyProtection="1">
      <alignment horizontal="center"/>
    </xf>
    <xf numFmtId="0" fontId="15" fillId="0" borderId="0" xfId="2" applyFont="1" applyFill="1" applyBorder="1" applyAlignment="1" applyProtection="1">
      <alignment horizontal="center" wrapText="1"/>
    </xf>
    <xf numFmtId="9" fontId="2" fillId="0" borderId="1" xfId="3" applyFont="1" applyBorder="1" applyAlignment="1"/>
    <xf numFmtId="0" fontId="2" fillId="3" borderId="1" xfId="0" applyFont="1" applyFill="1" applyBorder="1" applyAlignment="1">
      <alignment horizontal="center" wrapText="1"/>
    </xf>
    <xf numFmtId="9" fontId="2" fillId="3" borderId="1" xfId="0" applyNumberFormat="1" applyFont="1" applyFill="1" applyBorder="1" applyAlignment="1"/>
    <xf numFmtId="9" fontId="2" fillId="3" borderId="2" xfId="0" applyNumberFormat="1" applyFont="1" applyFill="1" applyBorder="1" applyAlignment="1"/>
    <xf numFmtId="0" fontId="2" fillId="3" borderId="1" xfId="0" applyFont="1" applyFill="1" applyBorder="1" applyAlignment="1"/>
    <xf numFmtId="0" fontId="15" fillId="0" borderId="10" xfId="2" applyFont="1" applyBorder="1" applyAlignment="1" applyProtection="1">
      <alignment horizontal="center" wrapText="1"/>
    </xf>
    <xf numFmtId="0" fontId="2" fillId="2" borderId="14" xfId="0" applyFont="1" applyFill="1" applyBorder="1" applyAlignment="1"/>
    <xf numFmtId="0" fontId="3" fillId="0" borderId="8" xfId="0" applyFont="1" applyFill="1" applyBorder="1" applyAlignment="1">
      <alignment horizontal="left" wrapText="1"/>
    </xf>
    <xf numFmtId="0" fontId="3" fillId="0" borderId="16" xfId="0" applyFont="1" applyFill="1" applyBorder="1" applyAlignment="1">
      <alignment horizontal="left" wrapText="1"/>
    </xf>
    <xf numFmtId="1" fontId="2" fillId="0" borderId="0" xfId="3" applyNumberFormat="1" applyFont="1" applyAlignment="1"/>
    <xf numFmtId="0" fontId="2" fillId="0" borderId="16" xfId="0" applyFont="1" applyBorder="1" applyAlignment="1" applyProtection="1"/>
    <xf numFmtId="0" fontId="2" fillId="2" borderId="20" xfId="0" applyFont="1" applyFill="1" applyBorder="1" applyAlignment="1"/>
    <xf numFmtId="9" fontId="2" fillId="0" borderId="0" xfId="3" applyFont="1" applyAlignment="1" applyProtection="1"/>
    <xf numFmtId="0" fontId="8" fillId="0" borderId="0" xfId="0" applyFont="1" applyAlignment="1"/>
    <xf numFmtId="0" fontId="8" fillId="0" borderId="0" xfId="0" applyFont="1" applyBorder="1" applyAlignment="1">
      <alignment horizontal="left"/>
    </xf>
    <xf numFmtId="0" fontId="3" fillId="0" borderId="1" xfId="0" applyFont="1" applyFill="1" applyBorder="1" applyAlignment="1">
      <alignment horizontal="center" wrapText="1"/>
    </xf>
    <xf numFmtId="0" fontId="18" fillId="0" borderId="9" xfId="0" applyFont="1" applyBorder="1" applyAlignment="1">
      <alignment horizontal="center"/>
    </xf>
    <xf numFmtId="0" fontId="14" fillId="0" borderId="0" xfId="0" applyFont="1" applyBorder="1" applyAlignment="1"/>
    <xf numFmtId="0" fontId="14" fillId="0" borderId="1" xfId="0" applyFont="1" applyBorder="1" applyAlignment="1"/>
    <xf numFmtId="0" fontId="2" fillId="0" borderId="2" xfId="0" applyFont="1" applyFill="1" applyBorder="1" applyAlignment="1">
      <alignment horizontal="left"/>
    </xf>
    <xf numFmtId="0" fontId="16" fillId="0" borderId="0" xfId="0" applyFont="1" applyFill="1" applyBorder="1" applyAlignment="1">
      <alignment horizontal="center"/>
    </xf>
    <xf numFmtId="0" fontId="14" fillId="0" borderId="10" xfId="0" applyFont="1" applyBorder="1" applyAlignment="1">
      <alignment horizontal="center"/>
    </xf>
    <xf numFmtId="9" fontId="2" fillId="0" borderId="14" xfId="3" applyFont="1" applyBorder="1" applyAlignment="1">
      <alignment horizontal="center" wrapText="1"/>
    </xf>
    <xf numFmtId="0" fontId="8" fillId="0" borderId="1" xfId="0" applyFont="1" applyBorder="1" applyAlignment="1">
      <alignment horizontal="center" wrapText="1"/>
    </xf>
    <xf numFmtId="0" fontId="8" fillId="3" borderId="1" xfId="0" applyFont="1" applyFill="1" applyBorder="1" applyAlignment="1">
      <alignment horizontal="center" wrapText="1"/>
    </xf>
    <xf numFmtId="0" fontId="13" fillId="0" borderId="1" xfId="0" applyFont="1" applyFill="1" applyBorder="1" applyAlignment="1">
      <alignment horizontal="left" wrapText="1"/>
    </xf>
    <xf numFmtId="0" fontId="13" fillId="0" borderId="1" xfId="0" applyFont="1" applyFill="1" applyBorder="1" applyAlignment="1">
      <alignment horizontal="center" wrapText="1"/>
    </xf>
    <xf numFmtId="9" fontId="2" fillId="0" borderId="1" xfId="0" applyNumberFormat="1" applyFont="1" applyBorder="1" applyAlignment="1"/>
    <xf numFmtId="0" fontId="2" fillId="0" borderId="16" xfId="0" applyFont="1" applyFill="1" applyBorder="1" applyAlignment="1"/>
    <xf numFmtId="0" fontId="15" fillId="0" borderId="10" xfId="2" applyFont="1" applyFill="1" applyBorder="1" applyAlignment="1" applyProtection="1">
      <alignment horizontal="center" wrapText="1"/>
    </xf>
    <xf numFmtId="0" fontId="29" fillId="0" borderId="14" xfId="0" applyFont="1" applyFill="1" applyBorder="1" applyAlignment="1">
      <alignment horizontal="left" wrapText="1"/>
    </xf>
    <xf numFmtId="0" fontId="29" fillId="0" borderId="2" xfId="0" applyFont="1" applyFill="1" applyBorder="1" applyAlignment="1">
      <alignment horizontal="left" wrapText="1"/>
    </xf>
    <xf numFmtId="0" fontId="16" fillId="0" borderId="21" xfId="0" applyFont="1" applyFill="1" applyBorder="1" applyAlignment="1">
      <alignment horizontal="center"/>
    </xf>
    <xf numFmtId="9" fontId="8" fillId="3" borderId="2" xfId="3" applyFont="1" applyFill="1" applyBorder="1" applyAlignment="1" applyProtection="1">
      <alignment horizontal="center"/>
      <protection locked="0"/>
    </xf>
    <xf numFmtId="0" fontId="2" fillId="3" borderId="2" xfId="0" applyFont="1" applyFill="1" applyBorder="1" applyAlignment="1"/>
    <xf numFmtId="0" fontId="17" fillId="0" borderId="7" xfId="0" applyFont="1" applyBorder="1" applyAlignment="1">
      <alignment horizontal="center" wrapText="1"/>
    </xf>
    <xf numFmtId="0" fontId="17" fillId="0" borderId="14" xfId="0" applyFont="1" applyBorder="1" applyAlignment="1">
      <alignment horizontal="center" wrapText="1"/>
    </xf>
    <xf numFmtId="3" fontId="2" fillId="0" borderId="1" xfId="0" applyNumberFormat="1" applyFont="1" applyBorder="1" applyAlignment="1">
      <alignment horizontal="right" wrapText="1"/>
    </xf>
    <xf numFmtId="0" fontId="3" fillId="0" borderId="8" xfId="0" applyFont="1" applyBorder="1" applyAlignment="1">
      <alignment horizontal="left" wrapText="1"/>
    </xf>
    <xf numFmtId="0" fontId="3" fillId="0" borderId="11" xfId="0" applyFont="1" applyBorder="1" applyAlignment="1">
      <alignment horizontal="right" wrapText="1"/>
    </xf>
    <xf numFmtId="0" fontId="3" fillId="0" borderId="0" xfId="0" applyFont="1" applyBorder="1" applyAlignment="1">
      <alignment horizontal="right" wrapText="1"/>
    </xf>
    <xf numFmtId="10" fontId="2" fillId="0" borderId="5" xfId="1" applyNumberFormat="1" applyFont="1" applyFill="1" applyBorder="1" applyAlignment="1">
      <alignment horizontal="center"/>
    </xf>
    <xf numFmtId="0" fontId="3" fillId="0" borderId="1" xfId="0" applyFont="1" applyBorder="1" applyAlignment="1"/>
    <xf numFmtId="10" fontId="2" fillId="0" borderId="1" xfId="0" applyNumberFormat="1" applyFont="1" applyBorder="1" applyAlignment="1"/>
    <xf numFmtId="0" fontId="2" fillId="0" borderId="0" xfId="0" applyFont="1" applyFill="1" applyAlignment="1">
      <alignment horizontal="center" wrapText="1"/>
    </xf>
    <xf numFmtId="0" fontId="3" fillId="0" borderId="15" xfId="0" applyFont="1" applyFill="1" applyBorder="1" applyAlignment="1">
      <alignment horizontal="center" wrapText="1"/>
    </xf>
    <xf numFmtId="0" fontId="2" fillId="0" borderId="11" xfId="0" applyFont="1" applyBorder="1" applyAlignment="1"/>
    <xf numFmtId="9" fontId="2" fillId="0" borderId="0" xfId="0" applyNumberFormat="1" applyFont="1" applyBorder="1" applyAlignment="1"/>
    <xf numFmtId="9" fontId="2" fillId="0" borderId="0" xfId="0" applyNumberFormat="1" applyFont="1" applyAlignment="1"/>
    <xf numFmtId="0" fontId="3" fillId="0" borderId="15" xfId="0" applyFont="1" applyBorder="1" applyAlignment="1">
      <alignment horizontal="left" wrapText="1"/>
    </xf>
    <xf numFmtId="0" fontId="2" fillId="0" borderId="0" xfId="0" applyNumberFormat="1" applyFont="1" applyAlignment="1"/>
    <xf numFmtId="49" fontId="2" fillId="0" borderId="0" xfId="0" applyNumberFormat="1" applyFont="1" applyAlignment="1"/>
    <xf numFmtId="170" fontId="2" fillId="0" borderId="0" xfId="0" applyNumberFormat="1" applyFont="1" applyAlignment="1"/>
    <xf numFmtId="2" fontId="2" fillId="0" borderId="0" xfId="0" applyNumberFormat="1" applyFont="1" applyFill="1" applyBorder="1" applyAlignment="1"/>
    <xf numFmtId="169" fontId="2" fillId="0" borderId="0" xfId="0" applyNumberFormat="1" applyFont="1" applyFill="1" applyBorder="1" applyAlignment="1"/>
    <xf numFmtId="0" fontId="2" fillId="0" borderId="0" xfId="0" quotePrefix="1" applyFont="1" applyAlignment="1"/>
    <xf numFmtId="0" fontId="3" fillId="0" borderId="7" xfId="0" applyFont="1" applyFill="1" applyBorder="1" applyAlignment="1">
      <alignment horizontal="left" wrapText="1"/>
    </xf>
    <xf numFmtId="0" fontId="2" fillId="0" borderId="14" xfId="0" applyFont="1" applyFill="1" applyBorder="1" applyAlignment="1">
      <alignment horizontal="right" wrapText="1"/>
    </xf>
    <xf numFmtId="9" fontId="2" fillId="0" borderId="2" xfId="3" applyFont="1" applyBorder="1" applyAlignment="1"/>
    <xf numFmtId="0" fontId="2" fillId="0" borderId="2" xfId="0" applyFont="1" applyFill="1" applyBorder="1" applyAlignment="1">
      <alignment horizontal="right" wrapText="1"/>
    </xf>
    <xf numFmtId="0" fontId="3" fillId="0" borderId="14" xfId="0" applyFont="1" applyFill="1" applyBorder="1" applyAlignment="1">
      <alignment horizontal="left" wrapText="1"/>
    </xf>
    <xf numFmtId="0" fontId="3" fillId="0" borderId="1" xfId="0" applyFont="1" applyFill="1" applyBorder="1" applyAlignment="1">
      <alignment horizontal="left" wrapText="1"/>
    </xf>
    <xf numFmtId="0" fontId="3" fillId="0" borderId="11" xfId="0" applyFont="1" applyFill="1" applyBorder="1" applyAlignment="1">
      <alignment horizontal="left" wrapText="1"/>
    </xf>
    <xf numFmtId="0" fontId="2" fillId="0" borderId="9" xfId="0" applyFont="1" applyFill="1" applyBorder="1" applyAlignment="1">
      <alignment horizontal="right" wrapText="1"/>
    </xf>
    <xf numFmtId="9" fontId="36" fillId="0" borderId="0" xfId="3" applyFont="1" applyFill="1" applyBorder="1" applyAlignment="1">
      <alignment horizontal="center"/>
    </xf>
    <xf numFmtId="0" fontId="33" fillId="0" borderId="0" xfId="0" applyFont="1" applyFill="1" applyBorder="1" applyAlignment="1">
      <alignment horizontal="center"/>
    </xf>
    <xf numFmtId="0" fontId="3" fillId="0" borderId="13" xfId="0" applyFont="1" applyFill="1" applyBorder="1" applyAlignment="1">
      <alignment horizontal="left" wrapText="1"/>
    </xf>
    <xf numFmtId="10" fontId="2" fillId="0" borderId="0" xfId="0" applyNumberFormat="1" applyFont="1" applyFill="1" applyBorder="1" applyAlignment="1"/>
    <xf numFmtId="9" fontId="2" fillId="0" borderId="0" xfId="3" applyNumberFormat="1" applyFont="1" applyAlignment="1"/>
    <xf numFmtId="9" fontId="2" fillId="0" borderId="3" xfId="3" applyFont="1" applyBorder="1" applyAlignment="1"/>
    <xf numFmtId="9" fontId="2" fillId="0" borderId="3" xfId="0" applyNumberFormat="1" applyFont="1" applyBorder="1" applyAlignment="1"/>
    <xf numFmtId="0" fontId="3" fillId="0" borderId="7" xfId="0" applyFont="1" applyBorder="1" applyAlignment="1">
      <alignment horizontal="left" wrapText="1"/>
    </xf>
    <xf numFmtId="10" fontId="2" fillId="0" borderId="0" xfId="0" applyNumberFormat="1" applyFont="1" applyBorder="1" applyAlignment="1"/>
    <xf numFmtId="0" fontId="3" fillId="0" borderId="14" xfId="0" applyFont="1" applyBorder="1" applyAlignment="1">
      <alignment horizontal="left" wrapText="1"/>
    </xf>
    <xf numFmtId="10" fontId="2" fillId="0" borderId="0" xfId="3" applyNumberFormat="1" applyFont="1" applyAlignment="1"/>
    <xf numFmtId="0" fontId="16" fillId="0" borderId="2" xfId="0" applyFont="1" applyBorder="1" applyAlignment="1">
      <alignment horizontal="center"/>
    </xf>
    <xf numFmtId="0" fontId="3" fillId="0" borderId="2" xfId="0" applyFont="1" applyBorder="1" applyAlignment="1">
      <alignment horizontal="left" wrapText="1"/>
    </xf>
    <xf numFmtId="0" fontId="3" fillId="0" borderId="0" xfId="0" applyFont="1" applyFill="1" applyBorder="1" applyAlignment="1">
      <alignment horizontal="left" wrapText="1"/>
    </xf>
    <xf numFmtId="0" fontId="3" fillId="0" borderId="12" xfId="0" applyFont="1" applyFill="1" applyBorder="1" applyAlignment="1">
      <alignment horizontal="left" wrapText="1"/>
    </xf>
    <xf numFmtId="0" fontId="2" fillId="2" borderId="7" xfId="0" applyFont="1" applyFill="1" applyBorder="1" applyAlignment="1"/>
    <xf numFmtId="0" fontId="3" fillId="0" borderId="6" xfId="0" applyFont="1" applyFill="1" applyBorder="1" applyAlignment="1">
      <alignment horizontal="left" wrapText="1"/>
    </xf>
    <xf numFmtId="0" fontId="14" fillId="3" borderId="8" xfId="0" applyFont="1" applyFill="1" applyBorder="1" applyAlignment="1">
      <alignment horizontal="center" wrapText="1"/>
    </xf>
    <xf numFmtId="0" fontId="14" fillId="3" borderId="16" xfId="0" applyFont="1" applyFill="1" applyBorder="1" applyAlignment="1">
      <alignment horizontal="center" wrapText="1"/>
    </xf>
    <xf numFmtId="0" fontId="14" fillId="3" borderId="10" xfId="0" applyFont="1" applyFill="1" applyBorder="1" applyAlignment="1">
      <alignment horizontal="center" wrapText="1"/>
    </xf>
    <xf numFmtId="0" fontId="14" fillId="0" borderId="8" xfId="0" applyFont="1" applyFill="1" applyBorder="1" applyAlignment="1">
      <alignment horizontal="center" wrapText="1"/>
    </xf>
    <xf numFmtId="0" fontId="14" fillId="0" borderId="16" xfId="0" applyFont="1" applyFill="1" applyBorder="1" applyAlignment="1">
      <alignment horizontal="center" wrapText="1"/>
    </xf>
    <xf numFmtId="0" fontId="14" fillId="0" borderId="10" xfId="0" applyFont="1" applyFill="1" applyBorder="1" applyAlignment="1">
      <alignment horizontal="center" wrapText="1"/>
    </xf>
    <xf numFmtId="0" fontId="3" fillId="0" borderId="5" xfId="0" applyFont="1" applyFill="1" applyBorder="1" applyAlignment="1">
      <alignment horizontal="left" wrapText="1"/>
    </xf>
    <xf numFmtId="0" fontId="17" fillId="0" borderId="14" xfId="0" applyFont="1" applyBorder="1" applyAlignment="1">
      <alignment horizontal="left" wrapText="1"/>
    </xf>
    <xf numFmtId="0" fontId="17" fillId="0" borderId="2" xfId="0" applyFont="1" applyBorder="1" applyAlignment="1">
      <alignment horizontal="left" wrapText="1"/>
    </xf>
    <xf numFmtId="0" fontId="7" fillId="0" borderId="14" xfId="0" applyFont="1" applyBorder="1" applyAlignment="1">
      <alignment horizontal="left" wrapText="1"/>
    </xf>
    <xf numFmtId="0" fontId="7" fillId="0" borderId="2" xfId="0" applyFont="1" applyBorder="1" applyAlignment="1">
      <alignment horizontal="left" wrapText="1"/>
    </xf>
    <xf numFmtId="0" fontId="6" fillId="0" borderId="14" xfId="0" applyFont="1" applyBorder="1" applyAlignment="1">
      <alignment horizontal="left" wrapText="1"/>
    </xf>
    <xf numFmtId="0" fontId="6" fillId="0" borderId="2" xfId="0" applyFont="1" applyBorder="1" applyAlignment="1">
      <alignment horizontal="left" wrapText="1"/>
    </xf>
    <xf numFmtId="0" fontId="2" fillId="0" borderId="14" xfId="0" applyFont="1" applyBorder="1" applyAlignment="1">
      <alignment horizontal="left" wrapText="1"/>
    </xf>
    <xf numFmtId="0" fontId="15" fillId="0" borderId="13" xfId="2" applyFont="1" applyBorder="1" applyAlignment="1" applyProtection="1">
      <alignment horizontal="left" wrapText="1"/>
    </xf>
    <xf numFmtId="0" fontId="15" fillId="0" borderId="9" xfId="2" applyFont="1" applyBorder="1" applyAlignment="1" applyProtection="1">
      <alignment horizontal="left" wrapText="1"/>
    </xf>
    <xf numFmtId="0" fontId="15" fillId="0" borderId="12" xfId="2" applyFont="1" applyBorder="1" applyAlignment="1" applyProtection="1">
      <alignment horizontal="left" wrapText="1"/>
    </xf>
    <xf numFmtId="0" fontId="2" fillId="0" borderId="7" xfId="0" applyFont="1" applyFill="1" applyBorder="1" applyAlignment="1">
      <alignment horizontal="left" wrapText="1"/>
    </xf>
    <xf numFmtId="0" fontId="2" fillId="0" borderId="13" xfId="0" applyFont="1" applyFill="1" applyBorder="1" applyAlignment="1">
      <alignment horizontal="left" wrapText="1"/>
    </xf>
    <xf numFmtId="0" fontId="2" fillId="0" borderId="4" xfId="0" applyFont="1" applyFill="1" applyBorder="1" applyAlignment="1">
      <alignment horizontal="left" wrapText="1"/>
    </xf>
    <xf numFmtId="0" fontId="2" fillId="0" borderId="9" xfId="0" applyFont="1" applyFill="1" applyBorder="1" applyAlignment="1">
      <alignment horizontal="left" wrapText="1"/>
    </xf>
    <xf numFmtId="0" fontId="2" fillId="0" borderId="6" xfId="0" applyFont="1" applyFill="1" applyBorder="1" applyAlignment="1">
      <alignment horizontal="left" wrapText="1"/>
    </xf>
    <xf numFmtId="0" fontId="15" fillId="0" borderId="6" xfId="2" applyFont="1" applyBorder="1" applyAlignment="1" applyProtection="1">
      <alignment horizontal="left" wrapText="1"/>
    </xf>
    <xf numFmtId="0" fontId="2" fillId="3" borderId="13" xfId="0" applyFont="1" applyFill="1" applyBorder="1" applyAlignment="1">
      <alignment horizontal="left" wrapText="1"/>
    </xf>
    <xf numFmtId="0" fontId="2" fillId="3" borderId="15" xfId="0" applyFont="1" applyFill="1" applyBorder="1" applyAlignment="1">
      <alignment horizontal="left" wrapText="1"/>
    </xf>
    <xf numFmtId="0" fontId="2" fillId="3" borderId="4" xfId="0" applyFont="1" applyFill="1" applyBorder="1" applyAlignment="1">
      <alignment horizontal="left" wrapText="1"/>
    </xf>
    <xf numFmtId="0" fontId="2" fillId="3" borderId="11" xfId="0" applyFont="1" applyFill="1" applyBorder="1" applyAlignment="1">
      <alignment horizontal="left" wrapText="1"/>
    </xf>
    <xf numFmtId="0" fontId="2" fillId="3" borderId="0" xfId="0" applyFont="1" applyFill="1" applyBorder="1" applyAlignment="1">
      <alignment horizontal="left" wrapText="1"/>
    </xf>
    <xf numFmtId="0" fontId="2" fillId="3" borderId="5" xfId="0" applyFont="1" applyFill="1" applyBorder="1" applyAlignment="1">
      <alignment horizontal="left" wrapText="1"/>
    </xf>
    <xf numFmtId="0" fontId="2" fillId="3" borderId="9" xfId="0" applyFont="1" applyFill="1" applyBorder="1" applyAlignment="1">
      <alignment horizontal="left" wrapText="1"/>
    </xf>
    <xf numFmtId="0" fontId="2" fillId="3" borderId="12" xfId="0" applyFont="1" applyFill="1" applyBorder="1" applyAlignment="1">
      <alignment horizontal="left" wrapText="1"/>
    </xf>
    <xf numFmtId="0" fontId="2" fillId="3" borderId="6" xfId="0" applyFont="1" applyFill="1" applyBorder="1" applyAlignment="1">
      <alignment horizontal="left" wrapText="1"/>
    </xf>
    <xf numFmtId="0" fontId="2" fillId="3" borderId="10" xfId="0" applyFont="1" applyFill="1" applyBorder="1" applyAlignment="1"/>
    <xf numFmtId="0" fontId="2" fillId="0" borderId="11" xfId="0" applyFont="1" applyFill="1" applyBorder="1" applyAlignment="1">
      <alignment horizontal="left" wrapText="1"/>
    </xf>
    <xf numFmtId="9" fontId="2" fillId="3" borderId="10" xfId="0" applyNumberFormat="1" applyFont="1" applyFill="1" applyBorder="1" applyAlignment="1"/>
    <xf numFmtId="0" fontId="2" fillId="0" borderId="15" xfId="0" applyFont="1" applyFill="1" applyBorder="1" applyAlignment="1">
      <alignment horizontal="left" wrapText="1"/>
    </xf>
    <xf numFmtId="0" fontId="2" fillId="0" borderId="5" xfId="0" applyFont="1" applyFill="1" applyBorder="1" applyAlignment="1">
      <alignment horizontal="left" wrapText="1"/>
    </xf>
    <xf numFmtId="0" fontId="2" fillId="3" borderId="0" xfId="0" applyFont="1" applyFill="1" applyBorder="1" applyAlignment="1" applyProtection="1">
      <alignment horizontal="left" wrapText="1"/>
    </xf>
    <xf numFmtId="0" fontId="2" fillId="3" borderId="13" xfId="0" applyFont="1" applyFill="1" applyBorder="1" applyAlignment="1" applyProtection="1">
      <alignment horizontal="left" wrapText="1"/>
    </xf>
    <xf numFmtId="0" fontId="2" fillId="3" borderId="15" xfId="0" applyFont="1" applyFill="1" applyBorder="1" applyAlignment="1" applyProtection="1">
      <alignment horizontal="left" wrapText="1"/>
    </xf>
    <xf numFmtId="0" fontId="2" fillId="3" borderId="4" xfId="0" applyFont="1" applyFill="1" applyBorder="1" applyAlignment="1" applyProtection="1">
      <alignment horizontal="left" wrapText="1"/>
    </xf>
    <xf numFmtId="0" fontId="2" fillId="3" borderId="11" xfId="0" applyFont="1" applyFill="1" applyBorder="1" applyAlignment="1" applyProtection="1">
      <alignment horizontal="left" wrapText="1"/>
    </xf>
    <xf numFmtId="0" fontId="2" fillId="3" borderId="5" xfId="0" applyFont="1" applyFill="1" applyBorder="1" applyAlignment="1" applyProtection="1">
      <alignment horizontal="left" wrapText="1"/>
    </xf>
    <xf numFmtId="0" fontId="2" fillId="3" borderId="9" xfId="0" applyFont="1" applyFill="1" applyBorder="1" applyAlignment="1" applyProtection="1">
      <alignment horizontal="left" wrapText="1"/>
    </xf>
    <xf numFmtId="0" fontId="2" fillId="3" borderId="12" xfId="0" applyFont="1" applyFill="1" applyBorder="1" applyAlignment="1" applyProtection="1">
      <alignment horizontal="left" wrapText="1"/>
    </xf>
    <xf numFmtId="0" fontId="2" fillId="3" borderId="6" xfId="0" applyFont="1" applyFill="1" applyBorder="1" applyAlignment="1" applyProtection="1">
      <alignment horizontal="left" wrapText="1"/>
    </xf>
    <xf numFmtId="0" fontId="2" fillId="3" borderId="10" xfId="0" applyFont="1" applyFill="1" applyBorder="1" applyAlignment="1">
      <alignment horizontal="right"/>
    </xf>
    <xf numFmtId="0" fontId="2" fillId="0" borderId="14" xfId="0" applyFont="1" applyFill="1" applyBorder="1" applyAlignment="1">
      <alignment horizontal="left"/>
    </xf>
    <xf numFmtId="9" fontId="2" fillId="0" borderId="10" xfId="0" applyNumberFormat="1" applyFont="1" applyFill="1" applyBorder="1" applyAlignment="1"/>
    <xf numFmtId="0" fontId="2" fillId="0" borderId="0" xfId="0" applyFont="1" applyFill="1" applyBorder="1" applyAlignment="1" applyProtection="1">
      <alignment horizontal="left" wrapText="1"/>
    </xf>
    <xf numFmtId="0" fontId="2" fillId="0" borderId="13" xfId="0" applyFont="1" applyFill="1" applyBorder="1" applyAlignment="1" applyProtection="1">
      <alignment horizontal="left" wrapText="1"/>
    </xf>
    <xf numFmtId="0" fontId="2" fillId="0" borderId="15" xfId="0" applyFont="1" applyFill="1" applyBorder="1" applyAlignment="1" applyProtection="1">
      <alignment horizontal="left" wrapText="1"/>
    </xf>
    <xf numFmtId="0" fontId="2" fillId="0" borderId="4" xfId="0" applyFont="1" applyFill="1" applyBorder="1" applyAlignment="1" applyProtection="1">
      <alignment horizontal="left" wrapText="1"/>
    </xf>
    <xf numFmtId="0" fontId="2" fillId="0" borderId="11" xfId="0" applyFont="1" applyFill="1" applyBorder="1" applyAlignment="1" applyProtection="1">
      <alignment horizontal="left" wrapText="1"/>
    </xf>
    <xf numFmtId="0" fontId="2" fillId="0" borderId="5" xfId="0" applyFont="1" applyFill="1" applyBorder="1" applyAlignment="1" applyProtection="1">
      <alignment horizontal="left" wrapText="1"/>
    </xf>
    <xf numFmtId="0" fontId="2" fillId="0" borderId="9" xfId="0" applyFont="1" applyFill="1" applyBorder="1" applyAlignment="1" applyProtection="1">
      <alignment horizontal="left" wrapText="1"/>
    </xf>
    <xf numFmtId="0" fontId="2" fillId="0" borderId="12" xfId="0" applyFont="1" applyFill="1" applyBorder="1" applyAlignment="1" applyProtection="1">
      <alignment horizontal="left" wrapText="1"/>
    </xf>
    <xf numFmtId="0" fontId="2" fillId="0" borderId="6" xfId="0" applyFont="1" applyFill="1" applyBorder="1" applyAlignment="1" applyProtection="1">
      <alignment horizontal="left" wrapText="1"/>
    </xf>
    <xf numFmtId="0" fontId="2" fillId="3" borderId="7" xfId="0" applyFont="1" applyFill="1" applyBorder="1" applyAlignment="1">
      <alignment horizontal="left"/>
    </xf>
    <xf numFmtId="0" fontId="2" fillId="3" borderId="14" xfId="0" applyFont="1" applyFill="1" applyBorder="1" applyAlignment="1">
      <alignment horizontal="left"/>
    </xf>
    <xf numFmtId="0" fontId="2" fillId="3" borderId="2" xfId="0" applyFont="1" applyFill="1" applyBorder="1" applyAlignment="1">
      <alignment horizontal="left"/>
    </xf>
    <xf numFmtId="0" fontId="2" fillId="3" borderId="6" xfId="0" applyFont="1" applyFill="1" applyBorder="1" applyAlignment="1"/>
    <xf numFmtId="0" fontId="12" fillId="0" borderId="13" xfId="0" applyFont="1" applyBorder="1" applyAlignment="1">
      <alignment horizontal="center" wrapText="1"/>
    </xf>
    <xf numFmtId="9" fontId="2" fillId="2" borderId="7" xfId="0" applyNumberFormat="1" applyFont="1" applyFill="1" applyBorder="1" applyAlignment="1">
      <alignment horizontal="center"/>
    </xf>
    <xf numFmtId="0" fontId="17" fillId="0" borderId="16" xfId="0" applyFont="1" applyBorder="1" applyAlignment="1">
      <alignment horizontal="left"/>
    </xf>
    <xf numFmtId="0" fontId="17" fillId="0" borderId="0" xfId="0" applyFont="1" applyBorder="1" applyAlignment="1">
      <alignment horizontal="center"/>
    </xf>
    <xf numFmtId="0" fontId="12" fillId="0" borderId="0" xfId="0" applyFont="1" applyAlignment="1">
      <alignment wrapText="1"/>
    </xf>
    <xf numFmtId="0" fontId="12" fillId="0" borderId="0" xfId="0" applyFont="1" applyAlignment="1">
      <alignment horizontal="center" wrapText="1"/>
    </xf>
    <xf numFmtId="16" fontId="12" fillId="0" borderId="0" xfId="0" applyNumberFormat="1" applyFont="1" applyAlignment="1">
      <alignment horizontal="left" wrapText="1"/>
    </xf>
    <xf numFmtId="9" fontId="2" fillId="0" borderId="1" xfId="3" applyFont="1" applyBorder="1" applyAlignment="1">
      <alignment wrapText="1"/>
    </xf>
    <xf numFmtId="9" fontId="2" fillId="0" borderId="0" xfId="3" applyFont="1" applyAlignment="1">
      <alignment wrapText="1"/>
    </xf>
    <xf numFmtId="0" fontId="12" fillId="0" borderId="13" xfId="0" applyFont="1" applyBorder="1" applyAlignment="1">
      <alignment wrapText="1"/>
    </xf>
    <xf numFmtId="0" fontId="12" fillId="0" borderId="11" xfId="0" applyFont="1" applyBorder="1" applyAlignment="1">
      <alignment wrapText="1"/>
    </xf>
    <xf numFmtId="0" fontId="12" fillId="0" borderId="7" xfId="0" applyFont="1" applyBorder="1" applyAlignment="1">
      <alignment wrapText="1"/>
    </xf>
    <xf numFmtId="0" fontId="0" fillId="0" borderId="1" xfId="0" applyBorder="1" applyAlignment="1"/>
    <xf numFmtId="9" fontId="2" fillId="0" borderId="1" xfId="3" applyFont="1" applyFill="1" applyBorder="1" applyAlignment="1">
      <alignment wrapText="1"/>
    </xf>
    <xf numFmtId="9" fontId="0" fillId="0" borderId="1" xfId="3" applyFont="1" applyBorder="1" applyAlignment="1"/>
    <xf numFmtId="9" fontId="0" fillId="0" borderId="1" xfId="0" applyNumberFormat="1" applyBorder="1" applyAlignment="1"/>
    <xf numFmtId="9" fontId="2" fillId="0" borderId="4" xfId="3" applyFont="1" applyFill="1" applyBorder="1" applyAlignment="1">
      <alignment horizontal="center" wrapText="1"/>
    </xf>
    <xf numFmtId="9" fontId="2" fillId="0" borderId="5" xfId="3" applyFont="1" applyFill="1" applyBorder="1" applyAlignment="1">
      <alignment horizontal="center" wrapText="1"/>
    </xf>
    <xf numFmtId="0" fontId="0" fillId="0" borderId="0" xfId="0" applyBorder="1" applyAlignment="1"/>
    <xf numFmtId="0" fontId="0" fillId="0" borderId="5" xfId="0" applyBorder="1" applyAlignment="1"/>
    <xf numFmtId="0" fontId="0" fillId="0" borderId="15" xfId="0" applyBorder="1" applyAlignment="1"/>
    <xf numFmtId="0" fontId="17" fillId="0" borderId="15" xfId="0" applyFont="1" applyBorder="1" applyAlignment="1">
      <alignment horizontal="left"/>
    </xf>
    <xf numFmtId="9" fontId="2" fillId="0" borderId="4" xfId="0" applyNumberFormat="1" applyFont="1" applyFill="1" applyBorder="1" applyAlignment="1">
      <alignment horizontal="center"/>
    </xf>
    <xf numFmtId="0" fontId="52" fillId="0" borderId="4" xfId="0" applyFont="1" applyBorder="1" applyAlignment="1"/>
    <xf numFmtId="0" fontId="52" fillId="0" borderId="5" xfId="0" applyFont="1" applyBorder="1" applyAlignment="1"/>
    <xf numFmtId="0" fontId="0" fillId="0" borderId="0" xfId="0" applyFill="1" applyBorder="1" applyAlignment="1"/>
    <xf numFmtId="0" fontId="12" fillId="0" borderId="0" xfId="0" applyFont="1" applyFill="1" applyAlignment="1">
      <alignment wrapText="1"/>
    </xf>
    <xf numFmtId="0" fontId="1" fillId="0" borderId="5" xfId="0" applyFont="1" applyBorder="1" applyAlignment="1"/>
    <xf numFmtId="9" fontId="3" fillId="0" borderId="15" xfId="0" applyNumberFormat="1" applyFont="1" applyFill="1" applyBorder="1" applyAlignment="1">
      <alignment horizontal="center"/>
    </xf>
    <xf numFmtId="0" fontId="12" fillId="0" borderId="15" xfId="0" applyFont="1" applyBorder="1" applyAlignment="1">
      <alignment wrapText="1"/>
    </xf>
    <xf numFmtId="0" fontId="2" fillId="0" borderId="10" xfId="0" applyFont="1" applyBorder="1" applyAlignment="1">
      <alignment horizontal="left" wrapText="1"/>
    </xf>
    <xf numFmtId="0" fontId="3" fillId="0" borderId="8" xfId="0" applyFont="1" applyBorder="1" applyAlignment="1">
      <alignment horizontal="left"/>
    </xf>
    <xf numFmtId="0" fontId="2" fillId="0" borderId="16" xfId="0" applyFont="1" applyBorder="1" applyAlignment="1">
      <alignment horizontal="right"/>
    </xf>
    <xf numFmtId="10" fontId="3" fillId="2" borderId="1" xfId="3" applyNumberFormat="1" applyFont="1" applyFill="1" applyBorder="1" applyAlignment="1">
      <alignment horizontal="center"/>
    </xf>
    <xf numFmtId="0" fontId="9" fillId="0" borderId="2" xfId="0" applyFont="1" applyBorder="1" applyAlignment="1">
      <alignment horizontal="center" wrapText="1"/>
    </xf>
    <xf numFmtId="9" fontId="2" fillId="0" borderId="7" xfId="0" applyNumberFormat="1" applyFont="1" applyFill="1" applyBorder="1" applyAlignment="1">
      <alignment horizontal="center"/>
    </xf>
    <xf numFmtId="9" fontId="2" fillId="0" borderId="2" xfId="0" applyNumberFormat="1" applyFont="1" applyFill="1" applyBorder="1" applyAlignment="1">
      <alignment horizontal="center"/>
    </xf>
    <xf numFmtId="9" fontId="2" fillId="0" borderId="14" xfId="0" applyNumberFormat="1" applyFont="1" applyFill="1" applyBorder="1" applyAlignment="1">
      <alignment horizontal="center"/>
    </xf>
    <xf numFmtId="0" fontId="10" fillId="0" borderId="11" xfId="0" applyFont="1" applyBorder="1" applyAlignment="1">
      <alignment horizontal="center" wrapText="1"/>
    </xf>
    <xf numFmtId="0" fontId="10" fillId="0" borderId="0" xfId="0" applyFont="1" applyBorder="1" applyAlignment="1">
      <alignment horizontal="center" wrapText="1"/>
    </xf>
    <xf numFmtId="0" fontId="10" fillId="0" borderId="5" xfId="0" applyFont="1" applyBorder="1" applyAlignment="1">
      <alignment horizontal="center" wrapText="1"/>
    </xf>
    <xf numFmtId="0" fontId="2" fillId="3" borderId="8" xfId="0" applyFont="1" applyFill="1" applyBorder="1" applyAlignment="1" applyProtection="1">
      <alignment horizontal="center"/>
      <protection locked="0"/>
    </xf>
    <xf numFmtId="9" fontId="2" fillId="2" borderId="1" xfId="0" applyNumberFormat="1" applyFont="1" applyFill="1" applyBorder="1" applyAlignment="1">
      <alignment horizontal="center" wrapText="1"/>
    </xf>
    <xf numFmtId="0" fontId="12" fillId="0" borderId="1" xfId="0" applyFont="1" applyFill="1" applyBorder="1" applyAlignment="1">
      <alignment horizontal="center" wrapText="1"/>
    </xf>
    <xf numFmtId="0" fontId="2" fillId="0" borderId="0" xfId="0" applyNumberFormat="1" applyFont="1" applyBorder="1" applyAlignment="1">
      <alignment horizontal="center"/>
    </xf>
    <xf numFmtId="9" fontId="3" fillId="0" borderId="0" xfId="3" applyFont="1" applyFill="1" applyBorder="1" applyAlignment="1">
      <alignment horizontal="left"/>
    </xf>
    <xf numFmtId="0" fontId="2" fillId="0" borderId="0" xfId="0" applyFont="1" applyProtection="1">
      <protection locked="0"/>
    </xf>
    <xf numFmtId="0" fontId="2" fillId="0" borderId="12" xfId="0" applyFont="1" applyFill="1" applyBorder="1" applyAlignment="1">
      <alignment horizontal="center" vertical="center" wrapText="1"/>
    </xf>
    <xf numFmtId="0" fontId="2" fillId="0" borderId="0" xfId="0" applyFont="1"/>
    <xf numFmtId="9" fontId="3" fillId="0" borderId="0" xfId="3" applyFont="1" applyFill="1" applyBorder="1" applyAlignment="1">
      <alignment horizontal="center" textRotation="90" wrapText="1"/>
    </xf>
    <xf numFmtId="0" fontId="3" fillId="0" borderId="0" xfId="3" applyNumberFormat="1" applyFont="1" applyFill="1" applyBorder="1" applyAlignment="1">
      <alignment horizontal="center" textRotation="90" wrapText="1"/>
    </xf>
    <xf numFmtId="9" fontId="2" fillId="0" borderId="1" xfId="3" applyFont="1" applyFill="1" applyBorder="1" applyAlignment="1">
      <alignment horizontal="left"/>
    </xf>
    <xf numFmtId="0" fontId="2" fillId="0" borderId="0" xfId="3" applyNumberFormat="1" applyFont="1" applyFill="1" applyBorder="1" applyAlignment="1"/>
    <xf numFmtId="9" fontId="3" fillId="0" borderId="0" xfId="3" applyFont="1" applyFill="1" applyBorder="1" applyAlignment="1"/>
    <xf numFmtId="9" fontId="2" fillId="0" borderId="0" xfId="3" applyFont="1" applyFill="1" applyBorder="1" applyAlignment="1">
      <alignment wrapText="1"/>
    </xf>
    <xf numFmtId="0" fontId="7" fillId="0" borderId="0" xfId="0" applyFont="1" applyFill="1" applyAlignment="1">
      <alignment horizontal="left" wrapText="1"/>
    </xf>
    <xf numFmtId="0" fontId="12" fillId="0" borderId="0" xfId="0" applyFont="1" applyFill="1" applyAlignment="1">
      <alignment horizontal="left" wrapText="1"/>
    </xf>
    <xf numFmtId="9" fontId="12" fillId="0" borderId="0" xfId="3" applyFont="1" applyFill="1" applyBorder="1" applyAlignment="1">
      <alignment horizontal="right" wrapText="1"/>
    </xf>
    <xf numFmtId="0" fontId="12" fillId="0" borderId="0" xfId="0" applyFont="1" applyFill="1" applyBorder="1" applyAlignment="1">
      <alignment wrapText="1"/>
    </xf>
    <xf numFmtId="0" fontId="12" fillId="0" borderId="0" xfId="0" applyFont="1" applyFill="1" applyBorder="1" applyAlignment="1">
      <alignment horizontal="left" wrapText="1"/>
    </xf>
    <xf numFmtId="9" fontId="3" fillId="0" borderId="0" xfId="3" applyFont="1" applyFill="1" applyBorder="1" applyAlignment="1">
      <alignment horizontal="left" wrapText="1"/>
    </xf>
    <xf numFmtId="9" fontId="2" fillId="0" borderId="0" xfId="0" applyNumberFormat="1" applyFont="1" applyFill="1" applyAlignment="1">
      <alignment horizontal="left"/>
    </xf>
    <xf numFmtId="0" fontId="25" fillId="0" borderId="0" xfId="0" applyFont="1" applyBorder="1" applyAlignment="1">
      <alignment horizontal="center"/>
    </xf>
    <xf numFmtId="9" fontId="2" fillId="2" borderId="14" xfId="3" applyFont="1" applyFill="1" applyBorder="1" applyAlignment="1">
      <alignment horizontal="center"/>
    </xf>
    <xf numFmtId="9" fontId="2" fillId="0" borderId="2" xfId="3" applyFont="1" applyFill="1" applyBorder="1" applyAlignment="1">
      <alignment horizontal="center"/>
    </xf>
    <xf numFmtId="0" fontId="2" fillId="0" borderId="16" xfId="0" applyFont="1" applyBorder="1" applyAlignment="1">
      <alignment horizontal="left"/>
    </xf>
    <xf numFmtId="0" fontId="2" fillId="0" borderId="10" xfId="0" applyFont="1" applyBorder="1" applyAlignment="1">
      <alignment horizontal="left"/>
    </xf>
    <xf numFmtId="9" fontId="60" fillId="0" borderId="14" xfId="0" applyNumberFormat="1" applyFont="1" applyFill="1" applyBorder="1" applyAlignment="1">
      <alignment horizontal="left" wrapText="1"/>
    </xf>
    <xf numFmtId="9" fontId="60" fillId="0" borderId="2" xfId="0" applyNumberFormat="1" applyFont="1" applyFill="1" applyBorder="1" applyAlignment="1">
      <alignment horizontal="left" wrapText="1"/>
    </xf>
    <xf numFmtId="0" fontId="3" fillId="0" borderId="16" xfId="0" applyFont="1" applyFill="1" applyBorder="1" applyAlignment="1">
      <alignment horizontal="right"/>
    </xf>
    <xf numFmtId="0" fontId="3" fillId="0" borderId="1" xfId="0" applyFont="1" applyFill="1" applyBorder="1" applyAlignment="1">
      <alignment wrapText="1"/>
    </xf>
    <xf numFmtId="9" fontId="2" fillId="5" borderId="1" xfId="0" applyNumberFormat="1" applyFont="1" applyFill="1" applyBorder="1" applyAlignment="1">
      <alignment horizontal="center"/>
    </xf>
    <xf numFmtId="0" fontId="2" fillId="0" borderId="0" xfId="0" applyFont="1" applyFill="1" applyAlignment="1">
      <alignment wrapText="1"/>
    </xf>
    <xf numFmtId="0" fontId="3" fillId="0" borderId="2" xfId="0" applyFont="1" applyBorder="1" applyAlignment="1">
      <alignment horizontal="center" vertical="center" wrapText="1"/>
    </xf>
    <xf numFmtId="0" fontId="2" fillId="3" borderId="8" xfId="0" applyFont="1" applyFill="1" applyBorder="1" applyAlignment="1">
      <alignment vertical="center" wrapText="1"/>
    </xf>
    <xf numFmtId="14" fontId="38" fillId="0" borderId="0" xfId="0" applyNumberFormat="1" applyFont="1" applyFill="1" applyBorder="1" applyAlignment="1">
      <alignment wrapText="1"/>
    </xf>
    <xf numFmtId="0" fontId="38" fillId="0" borderId="0" xfId="0" applyFont="1" applyFill="1" applyBorder="1" applyAlignment="1"/>
    <xf numFmtId="0" fontId="21" fillId="0" borderId="0" xfId="0" applyFont="1" applyAlignment="1">
      <alignment horizontal="right"/>
    </xf>
    <xf numFmtId="0" fontId="18" fillId="0" borderId="0" xfId="0" applyFont="1" applyAlignment="1">
      <alignment vertical="center"/>
    </xf>
    <xf numFmtId="9" fontId="3" fillId="0" borderId="7" xfId="3" applyFont="1" applyFill="1" applyBorder="1" applyAlignment="1"/>
    <xf numFmtId="9" fontId="2" fillId="0" borderId="14" xfId="3" applyFont="1" applyFill="1" applyBorder="1" applyAlignment="1">
      <alignment wrapText="1"/>
    </xf>
    <xf numFmtId="9" fontId="3" fillId="0" borderId="14" xfId="3" applyFont="1" applyFill="1" applyBorder="1" applyAlignment="1"/>
    <xf numFmtId="9" fontId="2" fillId="0" borderId="14" xfId="3" applyFont="1" applyFill="1" applyBorder="1" applyAlignment="1"/>
    <xf numFmtId="9" fontId="2" fillId="0" borderId="2" xfId="3" applyFont="1" applyFill="1" applyBorder="1" applyAlignment="1"/>
    <xf numFmtId="0" fontId="15" fillId="0" borderId="13" xfId="2" applyFont="1" applyBorder="1" applyAlignment="1" applyProtection="1">
      <alignment wrapText="1"/>
    </xf>
    <xf numFmtId="0" fontId="2" fillId="6" borderId="0" xfId="0" applyFont="1" applyFill="1" applyAlignment="1">
      <alignment horizontal="left"/>
    </xf>
    <xf numFmtId="0" fontId="2" fillId="6" borderId="0" xfId="0" applyFont="1" applyFill="1" applyAlignment="1">
      <alignment horizontal="center"/>
    </xf>
    <xf numFmtId="0" fontId="2" fillId="6" borderId="0" xfId="0" applyFont="1" applyFill="1" applyAlignment="1"/>
    <xf numFmtId="14" fontId="2" fillId="0" borderId="1" xfId="0" applyNumberFormat="1" applyFont="1" applyBorder="1" applyAlignment="1">
      <alignment horizontal="center" wrapText="1"/>
    </xf>
    <xf numFmtId="10" fontId="2" fillId="0" borderId="1" xfId="0" applyNumberFormat="1" applyFont="1" applyBorder="1" applyAlignment="1">
      <alignment horizontal="left"/>
    </xf>
    <xf numFmtId="165" fontId="2" fillId="0" borderId="1" xfId="0" applyNumberFormat="1" applyFont="1" applyBorder="1" applyAlignment="1">
      <alignment horizontal="left"/>
    </xf>
    <xf numFmtId="0" fontId="2" fillId="0" borderId="1" xfId="0" applyFont="1" applyBorder="1" applyAlignment="1" applyProtection="1">
      <alignment horizontal="left"/>
      <protection locked="0"/>
    </xf>
    <xf numFmtId="0" fontId="2" fillId="0" borderId="1" xfId="0" applyFont="1" applyBorder="1" applyAlignment="1" applyProtection="1">
      <protection locked="0"/>
    </xf>
    <xf numFmtId="9" fontId="2" fillId="0" borderId="1" xfId="0" applyNumberFormat="1" applyFont="1" applyBorder="1" applyAlignment="1">
      <alignment horizontal="left"/>
    </xf>
    <xf numFmtId="1" fontId="2" fillId="0" borderId="1" xfId="0" applyNumberFormat="1" applyFont="1" applyBorder="1" applyAlignment="1"/>
    <xf numFmtId="165" fontId="2" fillId="0" borderId="1" xfId="0" applyNumberFormat="1" applyFont="1" applyBorder="1" applyAlignment="1"/>
    <xf numFmtId="0" fontId="2" fillId="0" borderId="1" xfId="0" applyFont="1" applyBorder="1" applyAlignment="1" applyProtection="1"/>
    <xf numFmtId="0" fontId="2" fillId="0" borderId="0" xfId="0" applyFont="1" applyFill="1" applyAlignment="1">
      <alignment horizontal="left" wrapText="1"/>
    </xf>
    <xf numFmtId="0" fontId="21" fillId="0" borderId="0" xfId="0" applyFont="1" applyAlignment="1">
      <alignment horizontal="left"/>
    </xf>
    <xf numFmtId="14" fontId="2" fillId="0" borderId="1" xfId="0" applyNumberFormat="1" applyFont="1" applyBorder="1" applyAlignment="1">
      <alignment horizontal="right"/>
    </xf>
    <xf numFmtId="49" fontId="2" fillId="0" borderId="1" xfId="0" applyNumberFormat="1" applyFont="1" applyBorder="1" applyAlignment="1">
      <alignment horizontal="left"/>
    </xf>
    <xf numFmtId="1" fontId="2" fillId="0" borderId="1" xfId="0" applyNumberFormat="1" applyFont="1" applyBorder="1" applyAlignment="1">
      <alignment horizontal="left"/>
    </xf>
    <xf numFmtId="2" fontId="2" fillId="0" borderId="1" xfId="0" applyNumberFormat="1" applyFont="1" applyBorder="1" applyAlignment="1">
      <alignment horizontal="left"/>
    </xf>
    <xf numFmtId="0" fontId="2" fillId="0" borderId="0" xfId="0" applyFont="1" applyBorder="1" applyAlignment="1">
      <alignment wrapText="1"/>
    </xf>
    <xf numFmtId="0" fontId="12" fillId="0" borderId="2" xfId="0" applyFont="1" applyBorder="1" applyAlignment="1">
      <alignment wrapText="1"/>
    </xf>
    <xf numFmtId="0" fontId="12" fillId="0" borderId="12" xfId="0" applyFont="1" applyBorder="1" applyAlignment="1">
      <alignment wrapText="1"/>
    </xf>
    <xf numFmtId="9" fontId="2" fillId="0" borderId="2" xfId="3" applyFont="1" applyBorder="1" applyAlignment="1">
      <alignment wrapText="1"/>
    </xf>
    <xf numFmtId="0" fontId="2" fillId="0" borderId="2" xfId="0" applyFont="1" applyBorder="1" applyAlignment="1">
      <alignment horizontal="left"/>
    </xf>
    <xf numFmtId="9" fontId="2" fillId="0" borderId="2" xfId="3" applyFont="1" applyFill="1" applyBorder="1" applyAlignment="1">
      <alignment horizontal="left"/>
    </xf>
    <xf numFmtId="0" fontId="3" fillId="0" borderId="1" xfId="0" applyFont="1" applyBorder="1" applyAlignment="1">
      <alignment horizontal="left"/>
    </xf>
    <xf numFmtId="0" fontId="3" fillId="0" borderId="7" xfId="0" applyFont="1" applyBorder="1" applyAlignment="1">
      <alignment horizontal="left"/>
    </xf>
    <xf numFmtId="164" fontId="2" fillId="0" borderId="1" xfId="3" applyNumberFormat="1" applyFont="1" applyBorder="1" applyAlignment="1" applyProtection="1">
      <alignment horizontal="left"/>
      <protection locked="0"/>
    </xf>
    <xf numFmtId="168" fontId="2" fillId="0" borderId="1" xfId="0" applyNumberFormat="1" applyFont="1" applyBorder="1" applyAlignment="1">
      <alignment horizontal="left"/>
    </xf>
    <xf numFmtId="9" fontId="2" fillId="0" borderId="10" xfId="3" applyFont="1" applyBorder="1" applyAlignment="1">
      <alignment horizontal="left"/>
    </xf>
    <xf numFmtId="9" fontId="2" fillId="0" borderId="8" xfId="3" applyFont="1" applyFill="1" applyBorder="1" applyAlignment="1">
      <alignment horizontal="left"/>
    </xf>
    <xf numFmtId="0" fontId="2" fillId="0" borderId="1" xfId="0" applyFont="1" applyBorder="1" applyAlignment="1">
      <alignment horizontal="left"/>
    </xf>
    <xf numFmtId="0" fontId="2" fillId="0" borderId="1" xfId="0" applyFont="1" applyBorder="1" applyAlignment="1">
      <alignment horizontal="left" wrapText="1"/>
    </xf>
    <xf numFmtId="0" fontId="2" fillId="0" borderId="0" xfId="0" applyFont="1" applyBorder="1" applyAlignment="1">
      <alignment horizontal="left"/>
    </xf>
    <xf numFmtId="9" fontId="2" fillId="0" borderId="1" xfId="3" applyFont="1" applyBorder="1" applyAlignment="1">
      <alignment horizontal="left"/>
    </xf>
    <xf numFmtId="0" fontId="2" fillId="0" borderId="0" xfId="0" applyFont="1" applyBorder="1" applyAlignment="1"/>
    <xf numFmtId="0" fontId="2" fillId="0" borderId="1" xfId="0" applyFont="1" applyBorder="1" applyAlignment="1">
      <alignment horizontal="left"/>
    </xf>
    <xf numFmtId="9" fontId="2" fillId="0" borderId="1" xfId="3" applyFont="1" applyBorder="1" applyAlignment="1">
      <alignment horizontal="left"/>
    </xf>
    <xf numFmtId="0" fontId="2" fillId="0" borderId="0" xfId="0" applyFont="1" applyBorder="1" applyAlignment="1">
      <alignment horizontal="left"/>
    </xf>
    <xf numFmtId="0" fontId="2" fillId="0" borderId="1" xfId="0" applyFont="1" applyBorder="1" applyAlignment="1"/>
    <xf numFmtId="0" fontId="2" fillId="0" borderId="16" xfId="0" applyFont="1" applyBorder="1" applyAlignment="1">
      <alignment horizontal="left"/>
    </xf>
    <xf numFmtId="0" fontId="2" fillId="0" borderId="10" xfId="0" applyFont="1" applyBorder="1" applyAlignment="1">
      <alignment horizontal="left"/>
    </xf>
    <xf numFmtId="0" fontId="2" fillId="0" borderId="1" xfId="0" applyFont="1" applyBorder="1" applyAlignment="1">
      <alignment horizontal="left"/>
    </xf>
    <xf numFmtId="0" fontId="2" fillId="0" borderId="1" xfId="0" applyFont="1" applyBorder="1" applyAlignment="1">
      <alignment horizontal="left" wrapText="1"/>
    </xf>
    <xf numFmtId="0" fontId="2" fillId="0" borderId="5" xfId="0" applyFont="1" applyBorder="1" applyAlignment="1">
      <alignment horizontal="left"/>
    </xf>
    <xf numFmtId="0" fontId="2" fillId="0" borderId="10" xfId="0" applyFont="1" applyBorder="1" applyAlignment="1">
      <alignment horizontal="center"/>
    </xf>
    <xf numFmtId="0" fontId="2" fillId="0" borderId="0" xfId="0" applyFont="1" applyBorder="1" applyAlignment="1">
      <alignment horizontal="left"/>
    </xf>
    <xf numFmtId="0" fontId="2" fillId="0" borderId="12" xfId="0" applyFont="1" applyBorder="1" applyAlignment="1">
      <alignment horizontal="left"/>
    </xf>
    <xf numFmtId="0" fontId="2" fillId="0" borderId="11" xfId="0" applyFont="1" applyBorder="1" applyAlignment="1">
      <alignment horizontal="left"/>
    </xf>
    <xf numFmtId="0" fontId="2" fillId="0" borderId="1" xfId="0" applyFont="1" applyFill="1" applyBorder="1" applyAlignment="1">
      <alignment horizontal="left"/>
    </xf>
    <xf numFmtId="9" fontId="2" fillId="0" borderId="0" xfId="3" applyFont="1" applyBorder="1" applyAlignment="1">
      <alignment horizontal="left"/>
    </xf>
    <xf numFmtId="9" fontId="2" fillId="0" borderId="1" xfId="3" applyFont="1" applyBorder="1" applyAlignment="1">
      <alignment horizontal="left"/>
    </xf>
    <xf numFmtId="0" fontId="2" fillId="0" borderId="1" xfId="0" applyFont="1" applyBorder="1" applyAlignment="1">
      <alignment wrapText="1"/>
    </xf>
    <xf numFmtId="0" fontId="2" fillId="0" borderId="1" xfId="0" applyFont="1" applyBorder="1" applyAlignment="1"/>
    <xf numFmtId="0" fontId="2" fillId="0" borderId="1" xfId="0" applyFont="1" applyBorder="1" applyAlignment="1">
      <alignment horizontal="left"/>
    </xf>
    <xf numFmtId="9" fontId="2" fillId="0" borderId="1" xfId="3" applyFont="1" applyBorder="1" applyAlignment="1">
      <alignment horizontal="left"/>
    </xf>
    <xf numFmtId="0" fontId="2" fillId="0" borderId="7" xfId="3" applyNumberFormat="1" applyFont="1" applyBorder="1" applyAlignment="1" applyProtection="1">
      <alignment horizontal="left"/>
      <protection locked="0"/>
    </xf>
    <xf numFmtId="0" fontId="2" fillId="0" borderId="1" xfId="3" applyNumberFormat="1" applyFont="1" applyBorder="1" applyAlignment="1">
      <alignment horizontal="left"/>
    </xf>
    <xf numFmtId="1" fontId="2" fillId="0" borderId="7" xfId="0" applyNumberFormat="1" applyFont="1" applyBorder="1" applyAlignment="1">
      <alignment horizontal="left"/>
    </xf>
    <xf numFmtId="2" fontId="2" fillId="0" borderId="7" xfId="0" applyNumberFormat="1" applyFont="1" applyBorder="1" applyAlignment="1">
      <alignment horizontal="left"/>
    </xf>
    <xf numFmtId="0" fontId="2" fillId="0" borderId="1" xfId="3" applyNumberFormat="1" applyFont="1" applyFill="1" applyBorder="1" applyAlignment="1" applyProtection="1">
      <alignment horizontal="left"/>
      <protection locked="0"/>
    </xf>
    <xf numFmtId="9" fontId="2" fillId="0" borderId="1" xfId="0" applyNumberFormat="1" applyFont="1" applyFill="1" applyBorder="1" applyAlignment="1">
      <alignment horizontal="left"/>
    </xf>
    <xf numFmtId="9" fontId="2" fillId="0" borderId="2" xfId="3" applyFont="1" applyBorder="1" applyAlignment="1">
      <alignment horizontal="left"/>
    </xf>
    <xf numFmtId="9" fontId="2" fillId="0" borderId="11" xfId="0" applyNumberFormat="1" applyFont="1" applyBorder="1" applyAlignment="1">
      <alignment horizontal="left"/>
    </xf>
    <xf numFmtId="2" fontId="2" fillId="0" borderId="5" xfId="0" applyNumberFormat="1" applyFont="1" applyBorder="1" applyAlignment="1">
      <alignment horizontal="left"/>
    </xf>
    <xf numFmtId="1" fontId="2" fillId="0" borderId="1" xfId="3" applyNumberFormat="1" applyFont="1" applyBorder="1" applyAlignment="1">
      <alignment horizontal="left"/>
    </xf>
    <xf numFmtId="9" fontId="2" fillId="0" borderId="1" xfId="0" applyNumberFormat="1" applyFont="1" applyBorder="1" applyAlignment="1" applyProtection="1">
      <alignment horizontal="left"/>
      <protection locked="0"/>
    </xf>
    <xf numFmtId="0" fontId="2" fillId="0" borderId="8" xfId="3" applyNumberFormat="1" applyFont="1" applyBorder="1" applyAlignment="1">
      <alignment horizontal="left"/>
    </xf>
    <xf numFmtId="10" fontId="2" fillId="0" borderId="1" xfId="3" applyNumberFormat="1" applyFont="1" applyBorder="1" applyAlignment="1">
      <alignment horizontal="left"/>
    </xf>
    <xf numFmtId="10" fontId="2" fillId="0" borderId="8" xfId="3" applyNumberFormat="1" applyFont="1" applyBorder="1" applyAlignment="1">
      <alignment horizontal="left"/>
    </xf>
    <xf numFmtId="9" fontId="2" fillId="0" borderId="1" xfId="3" applyNumberFormat="1" applyFont="1" applyBorder="1" applyAlignment="1">
      <alignment horizontal="left"/>
    </xf>
    <xf numFmtId="10" fontId="2" fillId="0" borderId="1" xfId="3" applyNumberFormat="1" applyFont="1" applyFill="1" applyBorder="1" applyAlignment="1">
      <alignment horizontal="left"/>
    </xf>
    <xf numFmtId="0" fontId="2" fillId="0" borderId="8" xfId="0" applyFont="1" applyBorder="1" applyAlignment="1" applyProtection="1">
      <alignment horizontal="left"/>
      <protection locked="0"/>
    </xf>
    <xf numFmtId="9" fontId="2" fillId="0" borderId="16" xfId="0" applyNumberFormat="1" applyFont="1" applyBorder="1" applyAlignment="1">
      <alignment horizontal="left"/>
    </xf>
    <xf numFmtId="0" fontId="2" fillId="0" borderId="1" xfId="0" applyFont="1" applyBorder="1" applyAlignment="1">
      <alignment horizontal="left" wrapText="1"/>
    </xf>
    <xf numFmtId="9" fontId="2" fillId="0" borderId="7" xfId="3" applyFont="1" applyBorder="1" applyAlignment="1">
      <alignment horizontal="left"/>
    </xf>
    <xf numFmtId="0" fontId="2" fillId="0" borderId="10" xfId="0" applyFont="1" applyBorder="1" applyAlignment="1">
      <alignment horizontal="left"/>
    </xf>
    <xf numFmtId="0" fontId="2" fillId="0" borderId="1" xfId="0" applyFont="1" applyBorder="1" applyAlignment="1">
      <alignment horizontal="left" wrapText="1"/>
    </xf>
    <xf numFmtId="0" fontId="2" fillId="0" borderId="1" xfId="0" applyFont="1" applyBorder="1" applyAlignment="1">
      <alignment horizontal="left"/>
    </xf>
    <xf numFmtId="9" fontId="2" fillId="0" borderId="1" xfId="3" applyFont="1" applyBorder="1" applyAlignment="1">
      <alignment horizontal="right"/>
    </xf>
    <xf numFmtId="0" fontId="2" fillId="0" borderId="0" xfId="0" applyFont="1" applyBorder="1" applyAlignment="1">
      <alignment horizontal="left"/>
    </xf>
    <xf numFmtId="9" fontId="2" fillId="0" borderId="1" xfId="3" applyFont="1" applyBorder="1" applyAlignment="1">
      <alignment horizontal="left"/>
    </xf>
    <xf numFmtId="0" fontId="2" fillId="0" borderId="1" xfId="0" applyFont="1" applyBorder="1" applyAlignment="1">
      <alignment wrapText="1"/>
    </xf>
    <xf numFmtId="0" fontId="2" fillId="0" borderId="0" xfId="0" applyFont="1" applyBorder="1" applyAlignment="1"/>
    <xf numFmtId="0" fontId="2" fillId="0" borderId="0" xfId="0" applyFont="1" applyAlignment="1"/>
    <xf numFmtId="0" fontId="2" fillId="0" borderId="1" xfId="0" applyFont="1" applyBorder="1" applyAlignment="1">
      <alignment horizontal="center"/>
    </xf>
    <xf numFmtId="0" fontId="2" fillId="0" borderId="1" xfId="0" applyFont="1" applyBorder="1" applyAlignment="1"/>
    <xf numFmtId="0" fontId="2" fillId="0" borderId="1" xfId="0" applyFont="1" applyBorder="1" applyAlignment="1" applyProtection="1">
      <protection locked="0"/>
    </xf>
    <xf numFmtId="0" fontId="2" fillId="0" borderId="1" xfId="0" applyNumberFormat="1" applyFont="1" applyBorder="1" applyAlignment="1">
      <alignment horizontal="left"/>
    </xf>
    <xf numFmtId="0" fontId="64" fillId="0" borderId="0" xfId="2" applyFont="1" applyFill="1" applyBorder="1" applyAlignment="1" applyProtection="1">
      <alignment horizontal="left"/>
    </xf>
    <xf numFmtId="0" fontId="2" fillId="0" borderId="1" xfId="0" applyFont="1" applyBorder="1" applyAlignment="1">
      <alignment horizontal="left"/>
    </xf>
    <xf numFmtId="0" fontId="2" fillId="0" borderId="10" xfId="0" applyFont="1" applyBorder="1" applyAlignment="1">
      <alignment horizontal="left"/>
    </xf>
    <xf numFmtId="0" fontId="2" fillId="0" borderId="5" xfId="0" applyFont="1" applyBorder="1" applyAlignment="1">
      <alignment horizontal="left"/>
    </xf>
    <xf numFmtId="0" fontId="2" fillId="0" borderId="0" xfId="0" applyFont="1" applyAlignment="1"/>
    <xf numFmtId="0" fontId="2" fillId="0" borderId="7" xfId="0" applyFont="1" applyBorder="1" applyAlignment="1">
      <alignment horizontal="left"/>
    </xf>
    <xf numFmtId="0" fontId="2" fillId="0" borderId="1" xfId="0" applyFont="1" applyBorder="1" applyAlignment="1">
      <alignment horizontal="left" wrapText="1"/>
    </xf>
    <xf numFmtId="0" fontId="2" fillId="0" borderId="0" xfId="0" applyFont="1" applyBorder="1" applyAlignment="1">
      <alignment horizontal="left"/>
    </xf>
    <xf numFmtId="9" fontId="2" fillId="0" borderId="1" xfId="3" applyFont="1" applyBorder="1" applyAlignment="1">
      <alignment horizontal="left"/>
    </xf>
    <xf numFmtId="9" fontId="2" fillId="0" borderId="10" xfId="3" applyFont="1" applyBorder="1" applyAlignment="1">
      <alignment horizontal="left"/>
    </xf>
    <xf numFmtId="0" fontId="2" fillId="0" borderId="1" xfId="0" applyFont="1" applyBorder="1" applyAlignment="1">
      <alignment wrapText="1"/>
    </xf>
    <xf numFmtId="0" fontId="2" fillId="0" borderId="1" xfId="0" applyFont="1" applyFill="1" applyBorder="1" applyAlignment="1">
      <alignment horizontal="left"/>
    </xf>
    <xf numFmtId="0" fontId="2" fillId="0" borderId="9" xfId="0" applyFont="1" applyBorder="1" applyAlignment="1">
      <alignment horizontal="left"/>
    </xf>
    <xf numFmtId="0" fontId="2" fillId="0" borderId="12" xfId="0" applyFont="1" applyBorder="1" applyAlignment="1">
      <alignment horizontal="left"/>
    </xf>
    <xf numFmtId="0" fontId="2" fillId="0" borderId="11" xfId="0" applyFont="1" applyBorder="1" applyAlignment="1">
      <alignment horizontal="left"/>
    </xf>
    <xf numFmtId="0" fontId="2" fillId="0" borderId="1" xfId="0" applyFont="1" applyBorder="1" applyAlignment="1"/>
    <xf numFmtId="0" fontId="2" fillId="0" borderId="0" xfId="0" applyFont="1" applyBorder="1" applyAlignment="1"/>
    <xf numFmtId="0" fontId="2" fillId="0" borderId="16" xfId="0" applyFont="1" applyBorder="1" applyAlignment="1">
      <alignment horizontal="left"/>
    </xf>
    <xf numFmtId="0" fontId="2" fillId="0" borderId="10" xfId="0" applyFont="1" applyBorder="1" applyAlignment="1">
      <alignment horizontal="left"/>
    </xf>
    <xf numFmtId="0" fontId="2" fillId="0" borderId="1" xfId="0" applyFont="1" applyBorder="1" applyAlignment="1">
      <alignment horizontal="left" wrapText="1"/>
    </xf>
    <xf numFmtId="0" fontId="2" fillId="0" borderId="1" xfId="0" applyFont="1" applyBorder="1" applyAlignment="1">
      <alignment horizontal="center"/>
    </xf>
    <xf numFmtId="0" fontId="2" fillId="0" borderId="1" xfId="0" applyFont="1" applyBorder="1" applyAlignment="1">
      <alignment horizontal="right" wrapText="1"/>
    </xf>
    <xf numFmtId="0" fontId="12" fillId="0" borderId="0" xfId="0" applyFont="1" applyBorder="1" applyAlignment="1">
      <alignment wrapText="1"/>
    </xf>
    <xf numFmtId="10" fontId="2" fillId="0" borderId="8" xfId="0" applyNumberFormat="1" applyFont="1" applyBorder="1" applyAlignment="1">
      <alignment horizontal="left"/>
    </xf>
    <xf numFmtId="0" fontId="2" fillId="0" borderId="1" xfId="3" applyNumberFormat="1" applyFont="1" applyBorder="1" applyAlignment="1" applyProtection="1">
      <alignment horizontal="left"/>
      <protection locked="0"/>
    </xf>
    <xf numFmtId="9" fontId="2" fillId="0" borderId="1" xfId="3" applyFont="1" applyBorder="1" applyAlignment="1" applyProtection="1">
      <alignment horizontal="left"/>
      <protection locked="0"/>
    </xf>
    <xf numFmtId="0" fontId="2" fillId="0" borderId="1" xfId="0" applyFont="1" applyBorder="1" applyAlignment="1">
      <alignment horizontal="left"/>
    </xf>
    <xf numFmtId="9" fontId="2" fillId="0" borderId="1" xfId="0" applyNumberFormat="1" applyFont="1" applyBorder="1" applyAlignment="1">
      <alignment horizontal="left"/>
    </xf>
    <xf numFmtId="9" fontId="2" fillId="0" borderId="1" xfId="3" applyFont="1" applyBorder="1" applyAlignment="1">
      <alignment horizontal="right"/>
    </xf>
    <xf numFmtId="9" fontId="2" fillId="0" borderId="1" xfId="3" applyFont="1" applyBorder="1" applyAlignment="1">
      <alignment horizontal="left"/>
    </xf>
    <xf numFmtId="0" fontId="2" fillId="0" borderId="1" xfId="0" applyFont="1" applyBorder="1" applyAlignment="1"/>
    <xf numFmtId="0" fontId="2" fillId="0" borderId="1" xfId="0" applyFont="1" applyBorder="1" applyAlignment="1">
      <alignment horizontal="left"/>
    </xf>
    <xf numFmtId="0" fontId="2" fillId="0" borderId="2" xfId="0" applyFont="1" applyBorder="1" applyAlignment="1">
      <alignment horizontal="left"/>
    </xf>
    <xf numFmtId="0" fontId="2" fillId="0" borderId="4" xfId="0" applyFont="1" applyBorder="1" applyAlignment="1">
      <alignment horizontal="left"/>
    </xf>
    <xf numFmtId="0" fontId="2" fillId="0" borderId="0" xfId="0" applyFont="1" applyBorder="1" applyAlignment="1">
      <alignment horizontal="left"/>
    </xf>
    <xf numFmtId="0" fontId="2" fillId="0" borderId="1" xfId="0" applyFont="1" applyBorder="1" applyAlignment="1">
      <alignment wrapText="1"/>
    </xf>
    <xf numFmtId="0" fontId="2" fillId="0" borderId="1" xfId="0" applyFont="1" applyBorder="1" applyAlignment="1">
      <alignment horizontal="left" wrapText="1"/>
    </xf>
    <xf numFmtId="0" fontId="2" fillId="0" borderId="1" xfId="0" applyFont="1" applyBorder="1" applyAlignment="1">
      <alignment horizontal="left"/>
    </xf>
    <xf numFmtId="9" fontId="2" fillId="0" borderId="1" xfId="3" applyFont="1" applyBorder="1" applyAlignment="1">
      <alignment horizontal="left"/>
    </xf>
    <xf numFmtId="0" fontId="2" fillId="0" borderId="1" xfId="0" applyFont="1" applyBorder="1" applyAlignment="1">
      <alignment horizontal="left"/>
    </xf>
    <xf numFmtId="0" fontId="2" fillId="0" borderId="10" xfId="0" applyFont="1" applyBorder="1" applyAlignment="1">
      <alignment horizontal="left" wrapText="1"/>
    </xf>
    <xf numFmtId="0" fontId="2" fillId="0" borderId="1" xfId="0" applyFont="1" applyBorder="1" applyAlignment="1">
      <alignment horizontal="left" wrapText="1"/>
    </xf>
    <xf numFmtId="0" fontId="2" fillId="0" borderId="0" xfId="0" applyFont="1" applyFill="1" applyBorder="1" applyAlignment="1">
      <alignment horizontal="center"/>
    </xf>
    <xf numFmtId="9" fontId="2" fillId="0" borderId="1" xfId="0" applyNumberFormat="1" applyFont="1" applyBorder="1" applyAlignment="1">
      <alignment horizontal="left"/>
    </xf>
    <xf numFmtId="0" fontId="2" fillId="0" borderId="0" xfId="0" applyFont="1" applyBorder="1" applyAlignment="1">
      <alignment horizontal="left"/>
    </xf>
    <xf numFmtId="9" fontId="2" fillId="0" borderId="1" xfId="3" applyFont="1" applyBorder="1" applyAlignment="1">
      <alignment horizontal="left"/>
    </xf>
    <xf numFmtId="0" fontId="2" fillId="0" borderId="1" xfId="0" applyFont="1" applyBorder="1" applyAlignment="1">
      <alignment wrapText="1"/>
    </xf>
    <xf numFmtId="0" fontId="2" fillId="0" borderId="1" xfId="0" applyFont="1" applyBorder="1" applyAlignment="1"/>
    <xf numFmtId="0" fontId="2" fillId="0" borderId="0" xfId="0" applyFont="1" applyAlignment="1"/>
    <xf numFmtId="0" fontId="2" fillId="0" borderId="1" xfId="0" applyFont="1" applyBorder="1" applyAlignment="1">
      <alignment horizontal="right"/>
    </xf>
    <xf numFmtId="0" fontId="2" fillId="0" borderId="1" xfId="0" applyFont="1" applyBorder="1" applyAlignment="1"/>
    <xf numFmtId="0" fontId="2" fillId="0" borderId="0" xfId="0" applyFont="1" applyBorder="1" applyAlignment="1"/>
    <xf numFmtId="9" fontId="2" fillId="0" borderId="10" xfId="3" applyNumberFormat="1" applyFont="1" applyBorder="1" applyAlignment="1">
      <alignment horizontal="left"/>
    </xf>
    <xf numFmtId="1" fontId="2" fillId="0" borderId="10" xfId="3" applyNumberFormat="1" applyFont="1" applyBorder="1" applyAlignment="1">
      <alignment horizontal="left"/>
    </xf>
    <xf numFmtId="0" fontId="2" fillId="0" borderId="1" xfId="0" applyFont="1" applyBorder="1" applyAlignment="1">
      <alignment horizontal="left"/>
    </xf>
    <xf numFmtId="0" fontId="2" fillId="0" borderId="10" xfId="0" applyFont="1" applyBorder="1" applyAlignment="1">
      <alignment horizontal="left"/>
    </xf>
    <xf numFmtId="0" fontId="2" fillId="0" borderId="0" xfId="0" applyFont="1" applyBorder="1" applyAlignment="1">
      <alignment horizontal="center"/>
    </xf>
    <xf numFmtId="0" fontId="2" fillId="0" borderId="7" xfId="0" applyFont="1" applyBorder="1" applyAlignment="1">
      <alignment horizontal="left"/>
    </xf>
    <xf numFmtId="0" fontId="2" fillId="0" borderId="1" xfId="0" applyFont="1" applyBorder="1" applyAlignment="1">
      <alignment horizontal="left" wrapText="1"/>
    </xf>
    <xf numFmtId="9" fontId="2" fillId="0" borderId="1" xfId="0" applyNumberFormat="1" applyFont="1" applyBorder="1" applyAlignment="1">
      <alignment horizontal="left"/>
    </xf>
    <xf numFmtId="0" fontId="2" fillId="0" borderId="0" xfId="0" applyFont="1" applyBorder="1" applyAlignment="1">
      <alignment horizontal="left"/>
    </xf>
    <xf numFmtId="9" fontId="2" fillId="0" borderId="1" xfId="3" applyFont="1" applyBorder="1" applyAlignment="1">
      <alignment horizontal="left"/>
    </xf>
    <xf numFmtId="0" fontId="2" fillId="0" borderId="1" xfId="0" applyFont="1" applyBorder="1" applyAlignment="1"/>
    <xf numFmtId="0" fontId="2" fillId="0" borderId="0" xfId="0" applyFont="1" applyBorder="1" applyAlignment="1"/>
    <xf numFmtId="0" fontId="2" fillId="0" borderId="1" xfId="0" applyFont="1" applyBorder="1" applyAlignment="1">
      <alignment horizontal="left"/>
    </xf>
    <xf numFmtId="9" fontId="2" fillId="2" borderId="1" xfId="3" applyFont="1" applyFill="1" applyBorder="1" applyAlignment="1">
      <alignment horizontal="center"/>
    </xf>
    <xf numFmtId="9" fontId="2" fillId="0" borderId="1" xfId="3" applyFont="1" applyBorder="1" applyAlignment="1">
      <alignment horizontal="left"/>
    </xf>
    <xf numFmtId="9" fontId="2" fillId="0" borderId="1" xfId="0" applyNumberFormat="1" applyFont="1" applyBorder="1" applyAlignment="1">
      <alignment horizontal="left"/>
    </xf>
    <xf numFmtId="0" fontId="2" fillId="0" borderId="15" xfId="0" applyFont="1" applyBorder="1" applyAlignment="1">
      <alignment wrapText="1"/>
    </xf>
    <xf numFmtId="0" fontId="2" fillId="0" borderId="0" xfId="0" applyFont="1" applyAlignment="1"/>
    <xf numFmtId="0" fontId="2" fillId="0" borderId="1" xfId="0" applyFont="1" applyBorder="1" applyAlignment="1">
      <alignment horizontal="left"/>
    </xf>
    <xf numFmtId="9" fontId="2" fillId="2" borderId="1" xfId="3" applyFont="1" applyFill="1" applyBorder="1" applyAlignment="1">
      <alignment horizontal="center"/>
    </xf>
    <xf numFmtId="0" fontId="2" fillId="0" borderId="1" xfId="0" applyFont="1" applyBorder="1" applyAlignment="1">
      <alignment horizontal="center"/>
    </xf>
    <xf numFmtId="9" fontId="2" fillId="0" borderId="1" xfId="3" applyFont="1" applyBorder="1" applyAlignment="1">
      <alignment horizontal="left"/>
    </xf>
    <xf numFmtId="9" fontId="2" fillId="0" borderId="1" xfId="0" applyNumberFormat="1" applyFont="1" applyBorder="1" applyAlignment="1">
      <alignment horizontal="left"/>
    </xf>
    <xf numFmtId="0" fontId="2" fillId="0" borderId="1" xfId="0" applyFont="1" applyBorder="1" applyAlignment="1"/>
    <xf numFmtId="0" fontId="2" fillId="0" borderId="1" xfId="0" applyFont="1" applyBorder="1" applyAlignment="1">
      <alignment horizontal="left"/>
    </xf>
    <xf numFmtId="0" fontId="2" fillId="0" borderId="10" xfId="0" applyFont="1" applyBorder="1" applyAlignment="1">
      <alignment horizontal="left"/>
    </xf>
    <xf numFmtId="9" fontId="2" fillId="2" borderId="10" xfId="3" applyFont="1" applyFill="1" applyBorder="1" applyAlignment="1">
      <alignment horizontal="center"/>
    </xf>
    <xf numFmtId="0" fontId="2" fillId="0" borderId="0" xfId="0" applyFont="1" applyAlignment="1">
      <alignment horizontal="left"/>
    </xf>
    <xf numFmtId="0" fontId="2" fillId="0" borderId="0" xfId="0" applyFont="1" applyAlignment="1"/>
    <xf numFmtId="0" fontId="2" fillId="0" borderId="1" xfId="0" applyFont="1" applyBorder="1" applyAlignment="1">
      <alignment horizontal="left" wrapText="1"/>
    </xf>
    <xf numFmtId="0" fontId="2" fillId="0" borderId="10" xfId="0" applyFont="1" applyFill="1" applyBorder="1" applyAlignment="1">
      <alignment horizontal="left"/>
    </xf>
    <xf numFmtId="9" fontId="2" fillId="0" borderId="1" xfId="0" applyNumberFormat="1" applyFont="1" applyBorder="1" applyAlignment="1">
      <alignment horizontal="left"/>
    </xf>
    <xf numFmtId="0" fontId="2" fillId="0" borderId="0" xfId="0" applyFont="1" applyBorder="1" applyAlignment="1">
      <alignment horizontal="left"/>
    </xf>
    <xf numFmtId="9" fontId="2" fillId="2" borderId="1" xfId="3" applyFont="1" applyFill="1" applyBorder="1" applyAlignment="1">
      <alignment horizontal="center"/>
    </xf>
    <xf numFmtId="9" fontId="2" fillId="0" borderId="1" xfId="3" applyFont="1" applyBorder="1" applyAlignment="1">
      <alignment horizontal="left"/>
    </xf>
    <xf numFmtId="0" fontId="2" fillId="0" borderId="1" xfId="0" applyFont="1" applyBorder="1" applyAlignment="1">
      <alignment wrapText="1"/>
    </xf>
    <xf numFmtId="0" fontId="2" fillId="0" borderId="1" xfId="0" applyFont="1" applyFill="1" applyBorder="1" applyAlignment="1">
      <alignment horizontal="left"/>
    </xf>
    <xf numFmtId="0" fontId="2" fillId="0" borderId="0" xfId="0" applyFont="1" applyBorder="1" applyAlignment="1">
      <alignment horizontal="right"/>
    </xf>
    <xf numFmtId="9" fontId="2" fillId="2" borderId="1" xfId="3" applyFont="1" applyFill="1" applyBorder="1" applyAlignment="1">
      <alignment horizontal="center" wrapText="1"/>
    </xf>
    <xf numFmtId="0" fontId="2" fillId="0" borderId="0" xfId="0" applyFont="1" applyBorder="1" applyAlignment="1"/>
    <xf numFmtId="9" fontId="2" fillId="0" borderId="11" xfId="3" applyNumberFormat="1" applyFont="1" applyFill="1" applyBorder="1" applyAlignment="1">
      <alignment vertical="top" wrapText="1"/>
    </xf>
    <xf numFmtId="0" fontId="2" fillId="0" borderId="10" xfId="0" applyFont="1" applyBorder="1" applyAlignment="1">
      <alignment horizontal="left"/>
    </xf>
    <xf numFmtId="0" fontId="2" fillId="0" borderId="1" xfId="0" applyFont="1" applyBorder="1" applyAlignment="1">
      <alignment horizontal="left" wrapText="1"/>
    </xf>
    <xf numFmtId="0" fontId="2" fillId="0" borderId="7" xfId="0" applyFont="1" applyBorder="1" applyAlignment="1">
      <alignment horizontal="left"/>
    </xf>
    <xf numFmtId="0" fontId="2" fillId="0" borderId="1" xfId="0" applyFont="1" applyBorder="1" applyAlignment="1">
      <alignment horizontal="left"/>
    </xf>
    <xf numFmtId="0" fontId="2" fillId="0" borderId="15" xfId="0" applyFont="1" applyBorder="1" applyAlignment="1">
      <alignment horizontal="left"/>
    </xf>
    <xf numFmtId="0" fontId="2" fillId="0" borderId="0" xfId="0" applyFont="1" applyBorder="1" applyAlignment="1">
      <alignment horizontal="left"/>
    </xf>
    <xf numFmtId="0" fontId="2" fillId="0" borderId="9" xfId="0" applyFont="1" applyBorder="1" applyAlignment="1">
      <alignment horizontal="left"/>
    </xf>
    <xf numFmtId="0" fontId="2" fillId="0" borderId="12" xfId="0" applyFont="1" applyBorder="1" applyAlignment="1">
      <alignment horizontal="left"/>
    </xf>
    <xf numFmtId="9" fontId="2" fillId="0" borderId="1" xfId="3" applyFont="1" applyBorder="1" applyAlignment="1">
      <alignment horizontal="left"/>
    </xf>
    <xf numFmtId="0" fontId="2" fillId="0" borderId="1" xfId="0" applyFont="1" applyBorder="1" applyAlignment="1">
      <alignment wrapText="1"/>
    </xf>
    <xf numFmtId="9" fontId="2" fillId="0" borderId="1" xfId="0" applyNumberFormat="1" applyFont="1" applyBorder="1" applyAlignment="1">
      <alignment horizontal="left"/>
    </xf>
    <xf numFmtId="0" fontId="2" fillId="0" borderId="1" xfId="0" applyFont="1" applyBorder="1" applyAlignment="1"/>
    <xf numFmtId="0" fontId="2" fillId="0" borderId="1" xfId="0" applyFont="1" applyFill="1" applyBorder="1" applyAlignment="1" applyProtection="1">
      <alignment horizontal="left"/>
      <protection locked="0"/>
    </xf>
    <xf numFmtId="0" fontId="2" fillId="0" borderId="7" xfId="0" applyFont="1" applyFill="1" applyBorder="1" applyAlignment="1" applyProtection="1">
      <alignment horizontal="left"/>
      <protection locked="0"/>
    </xf>
    <xf numFmtId="0" fontId="12" fillId="0" borderId="1" xfId="0" applyNumberFormat="1" applyFont="1" applyFill="1" applyBorder="1" applyAlignment="1">
      <alignment horizontal="left"/>
    </xf>
    <xf numFmtId="0" fontId="2" fillId="0" borderId="1" xfId="0" applyNumberFormat="1" applyFont="1" applyFill="1" applyBorder="1" applyAlignment="1">
      <alignment horizontal="left"/>
    </xf>
    <xf numFmtId="0" fontId="2" fillId="0" borderId="1" xfId="0" applyFont="1" applyBorder="1" applyAlignment="1">
      <alignment horizontal="left"/>
    </xf>
    <xf numFmtId="0" fontId="2" fillId="0" borderId="10" xfId="0" applyFont="1" applyBorder="1" applyAlignment="1">
      <alignment horizontal="left"/>
    </xf>
    <xf numFmtId="0" fontId="2" fillId="0" borderId="1" xfId="0" applyFont="1" applyBorder="1" applyAlignment="1">
      <alignment horizontal="left" wrapText="1"/>
    </xf>
    <xf numFmtId="0" fontId="2" fillId="0" borderId="8" xfId="0" applyFont="1" applyFill="1" applyBorder="1" applyAlignment="1">
      <alignment horizontal="left"/>
    </xf>
    <xf numFmtId="9" fontId="2" fillId="0" borderId="1" xfId="0" applyNumberFormat="1" applyFont="1" applyBorder="1" applyAlignment="1">
      <alignment horizontal="left"/>
    </xf>
    <xf numFmtId="0" fontId="2" fillId="0" borderId="0" xfId="0" applyFont="1" applyBorder="1" applyAlignment="1">
      <alignment horizontal="left"/>
    </xf>
    <xf numFmtId="9" fontId="2" fillId="0" borderId="1" xfId="3" applyFont="1" applyBorder="1" applyAlignment="1">
      <alignment horizontal="left"/>
    </xf>
    <xf numFmtId="0" fontId="2" fillId="0" borderId="1" xfId="0" applyFont="1" applyFill="1" applyBorder="1" applyAlignment="1">
      <alignment horizontal="left" wrapText="1"/>
    </xf>
    <xf numFmtId="0" fontId="2" fillId="0" borderId="1" xfId="0" applyFont="1" applyFill="1" applyBorder="1" applyAlignment="1">
      <alignment horizontal="left"/>
    </xf>
    <xf numFmtId="0" fontId="2" fillId="0" borderId="1" xfId="0" applyFont="1" applyBorder="1" applyAlignment="1"/>
    <xf numFmtId="49" fontId="2" fillId="0" borderId="8" xfId="0" applyNumberFormat="1" applyFont="1" applyBorder="1" applyAlignment="1">
      <alignment horizontal="left"/>
    </xf>
    <xf numFmtId="9" fontId="2" fillId="0" borderId="7" xfId="3" applyFont="1" applyBorder="1" applyAlignment="1"/>
    <xf numFmtId="1" fontId="2" fillId="0" borderId="1" xfId="0" applyNumberFormat="1" applyFont="1" applyBorder="1" applyAlignment="1" applyProtection="1">
      <alignment horizontal="left"/>
      <protection locked="0"/>
    </xf>
    <xf numFmtId="1" fontId="2" fillId="0" borderId="1" xfId="3" applyNumberFormat="1" applyFont="1" applyBorder="1" applyAlignment="1">
      <alignment horizontal="left"/>
    </xf>
    <xf numFmtId="10" fontId="2" fillId="0" borderId="7" xfId="3" applyNumberFormat="1" applyFont="1" applyBorder="1" applyAlignment="1">
      <alignment horizontal="left"/>
    </xf>
    <xf numFmtId="10" fontId="2" fillId="0" borderId="1" xfId="0" applyNumberFormat="1" applyFont="1" applyFill="1" applyBorder="1" applyAlignment="1">
      <alignment horizontal="left" wrapText="1"/>
    </xf>
    <xf numFmtId="0" fontId="3" fillId="0" borderId="1" xfId="0" applyFont="1" applyBorder="1" applyAlignment="1">
      <alignment wrapText="1"/>
    </xf>
    <xf numFmtId="0" fontId="3" fillId="0" borderId="1" xfId="0" applyFont="1" applyBorder="1" applyAlignment="1">
      <alignment horizontal="right"/>
    </xf>
    <xf numFmtId="0" fontId="3" fillId="0" borderId="7" xfId="0" applyFont="1" applyBorder="1" applyAlignment="1"/>
    <xf numFmtId="0" fontId="2" fillId="0" borderId="1" xfId="0" applyFont="1" applyBorder="1" applyAlignment="1">
      <alignment horizontal="left"/>
    </xf>
    <xf numFmtId="0" fontId="2" fillId="0" borderId="8" xfId="0" applyFont="1" applyBorder="1" applyAlignment="1">
      <alignment horizontal="left"/>
    </xf>
    <xf numFmtId="0" fontId="2" fillId="0" borderId="16" xfId="0" applyFont="1" applyBorder="1" applyAlignment="1">
      <alignment horizontal="left"/>
    </xf>
    <xf numFmtId="0" fontId="2" fillId="0" borderId="10" xfId="0" applyFont="1" applyBorder="1" applyAlignment="1">
      <alignment horizontal="left"/>
    </xf>
    <xf numFmtId="0" fontId="2" fillId="0" borderId="0" xfId="0" applyFont="1" applyAlignment="1"/>
    <xf numFmtId="0" fontId="2" fillId="0" borderId="1" xfId="0" applyFont="1" applyBorder="1" applyAlignment="1">
      <alignment horizontal="left" wrapText="1"/>
    </xf>
    <xf numFmtId="9" fontId="2" fillId="0" borderId="1" xfId="0" applyNumberFormat="1" applyFont="1" applyBorder="1" applyAlignment="1">
      <alignment horizontal="left"/>
    </xf>
    <xf numFmtId="9" fontId="2" fillId="0" borderId="1" xfId="3" applyFont="1" applyBorder="1" applyAlignment="1">
      <alignment horizontal="left"/>
    </xf>
    <xf numFmtId="0" fontId="2" fillId="0" borderId="1" xfId="0" applyFont="1" applyBorder="1" applyAlignment="1">
      <alignment wrapText="1"/>
    </xf>
    <xf numFmtId="0" fontId="2" fillId="0" borderId="1" xfId="0" applyFont="1" applyBorder="1" applyAlignment="1"/>
    <xf numFmtId="0" fontId="2" fillId="0" borderId="0" xfId="0" applyFont="1" applyBorder="1" applyAlignment="1"/>
    <xf numFmtId="9" fontId="2" fillId="2" borderId="10" xfId="3" applyFont="1" applyFill="1" applyBorder="1" applyAlignment="1">
      <alignment horizontal="center"/>
    </xf>
    <xf numFmtId="0" fontId="2" fillId="0" borderId="1" xfId="0" applyFont="1" applyBorder="1" applyAlignment="1">
      <alignment horizontal="left"/>
    </xf>
    <xf numFmtId="9" fontId="2" fillId="0" borderId="1" xfId="3" applyFont="1" applyBorder="1" applyAlignment="1">
      <alignment horizontal="left"/>
    </xf>
    <xf numFmtId="9" fontId="2" fillId="0" borderId="1" xfId="0" applyNumberFormat="1" applyFont="1" applyBorder="1" applyAlignment="1">
      <alignment horizontal="left"/>
    </xf>
    <xf numFmtId="0" fontId="2" fillId="0" borderId="1" xfId="0" applyFont="1" applyBorder="1" applyAlignment="1">
      <alignment horizontal="left"/>
    </xf>
    <xf numFmtId="0" fontId="2" fillId="0" borderId="1" xfId="0" applyFont="1" applyBorder="1" applyAlignment="1">
      <alignment horizontal="left" wrapText="1"/>
    </xf>
    <xf numFmtId="9" fontId="2" fillId="0" borderId="1" xfId="0" applyNumberFormat="1" applyFont="1" applyBorder="1" applyAlignment="1">
      <alignment horizontal="left"/>
    </xf>
    <xf numFmtId="9" fontId="2" fillId="0" borderId="1" xfId="3" applyFont="1" applyBorder="1" applyAlignment="1">
      <alignment horizontal="left"/>
    </xf>
    <xf numFmtId="0" fontId="2" fillId="0" borderId="1" xfId="0" applyFont="1" applyBorder="1" applyAlignment="1">
      <alignment wrapText="1"/>
    </xf>
    <xf numFmtId="0" fontId="2" fillId="0" borderId="0" xfId="0" applyFont="1" applyBorder="1" applyAlignment="1"/>
    <xf numFmtId="9" fontId="2" fillId="2" borderId="10" xfId="3" applyFont="1" applyFill="1" applyBorder="1" applyAlignment="1">
      <alignment horizontal="center"/>
    </xf>
    <xf numFmtId="0" fontId="2" fillId="0" borderId="1" xfId="0" applyFont="1" applyBorder="1" applyAlignment="1">
      <alignment horizontal="left"/>
    </xf>
    <xf numFmtId="9" fontId="2" fillId="2" borderId="1" xfId="3" applyFont="1" applyFill="1" applyBorder="1" applyAlignment="1">
      <alignment horizontal="center"/>
    </xf>
    <xf numFmtId="9" fontId="2" fillId="0" borderId="1" xfId="3" applyFont="1" applyBorder="1" applyAlignment="1">
      <alignment horizontal="left"/>
    </xf>
    <xf numFmtId="9" fontId="2" fillId="0" borderId="1" xfId="0" applyNumberFormat="1" applyFont="1" applyBorder="1" applyAlignment="1">
      <alignment horizontal="left"/>
    </xf>
    <xf numFmtId="0" fontId="2" fillId="0" borderId="1" xfId="0" applyFont="1" applyBorder="1" applyAlignment="1">
      <alignment horizontal="left"/>
    </xf>
    <xf numFmtId="9" fontId="2" fillId="2" borderId="10" xfId="3" applyFont="1" applyFill="1" applyBorder="1" applyAlignment="1">
      <alignment horizontal="center"/>
    </xf>
    <xf numFmtId="0" fontId="2" fillId="0" borderId="0" xfId="0" applyFont="1" applyBorder="1" applyAlignment="1">
      <alignment horizontal="left" wrapText="1"/>
    </xf>
    <xf numFmtId="0" fontId="2" fillId="0" borderId="0" xfId="0" applyFont="1" applyBorder="1" applyAlignment="1">
      <alignment horizontal="center"/>
    </xf>
    <xf numFmtId="0" fontId="2" fillId="0" borderId="0" xfId="0" applyFont="1" applyAlignment="1"/>
    <xf numFmtId="0" fontId="2" fillId="0" borderId="7" xfId="0" applyFont="1" applyBorder="1" applyAlignment="1">
      <alignment horizontal="left"/>
    </xf>
    <xf numFmtId="0" fontId="2" fillId="0" borderId="1" xfId="0" applyFont="1" applyBorder="1" applyAlignment="1">
      <alignment horizontal="left" wrapText="1"/>
    </xf>
    <xf numFmtId="0" fontId="2" fillId="0" borderId="0" xfId="0" applyFont="1" applyBorder="1" applyAlignment="1">
      <alignment horizontal="left"/>
    </xf>
    <xf numFmtId="9" fontId="2" fillId="0" borderId="1" xfId="0" applyNumberFormat="1" applyFont="1" applyBorder="1" applyAlignment="1">
      <alignment horizontal="left"/>
    </xf>
    <xf numFmtId="9" fontId="2" fillId="2" borderId="1" xfId="3" applyFont="1" applyFill="1" applyBorder="1" applyAlignment="1">
      <alignment horizontal="center"/>
    </xf>
    <xf numFmtId="9" fontId="2" fillId="0" borderId="1" xfId="3" applyFont="1" applyBorder="1" applyAlignment="1">
      <alignment horizontal="left"/>
    </xf>
    <xf numFmtId="0" fontId="2" fillId="0" borderId="0" xfId="0" applyFont="1" applyBorder="1" applyAlignment="1"/>
    <xf numFmtId="0" fontId="2" fillId="0" borderId="0" xfId="0" applyFont="1" applyAlignment="1">
      <alignment horizontal="left"/>
    </xf>
    <xf numFmtId="0" fontId="2" fillId="0" borderId="1" xfId="0" applyFont="1" applyBorder="1" applyAlignment="1">
      <alignment horizontal="left" wrapText="1"/>
    </xf>
    <xf numFmtId="0" fontId="2" fillId="0" borderId="0" xfId="0" applyFont="1" applyAlignment="1"/>
    <xf numFmtId="0" fontId="2" fillId="0" borderId="1" xfId="0" applyFont="1" applyBorder="1" applyAlignment="1">
      <alignment horizontal="left"/>
    </xf>
    <xf numFmtId="0" fontId="2" fillId="0" borderId="0" xfId="0" applyFont="1" applyBorder="1" applyAlignment="1">
      <alignment horizontal="left"/>
    </xf>
    <xf numFmtId="9" fontId="2" fillId="2" borderId="1" xfId="3" applyFont="1" applyFill="1" applyBorder="1" applyAlignment="1">
      <alignment horizontal="center"/>
    </xf>
    <xf numFmtId="0" fontId="2" fillId="0" borderId="1" xfId="0" applyFont="1" applyBorder="1" applyAlignment="1">
      <alignment horizontal="left"/>
    </xf>
    <xf numFmtId="9" fontId="2" fillId="0" borderId="1" xfId="3" applyFont="1" applyBorder="1" applyAlignment="1">
      <alignment horizontal="left"/>
    </xf>
    <xf numFmtId="0" fontId="2" fillId="0" borderId="1" xfId="0" applyFont="1" applyFill="1" applyBorder="1" applyAlignment="1">
      <alignment horizontal="left"/>
    </xf>
    <xf numFmtId="9" fontId="2" fillId="2" borderId="1" xfId="3" applyFont="1" applyFill="1" applyBorder="1" applyAlignment="1">
      <alignment horizontal="center" wrapText="1"/>
    </xf>
    <xf numFmtId="0" fontId="2" fillId="0" borderId="1" xfId="0" applyFont="1" applyBorder="1" applyAlignment="1"/>
    <xf numFmtId="0" fontId="2" fillId="0" borderId="8" xfId="0" applyFont="1" applyBorder="1" applyAlignment="1"/>
    <xf numFmtId="0" fontId="2" fillId="0" borderId="0" xfId="0" applyFont="1" applyBorder="1" applyAlignment="1"/>
    <xf numFmtId="0" fontId="2" fillId="0" borderId="1" xfId="0" applyFont="1" applyBorder="1" applyAlignment="1">
      <alignment horizontal="left" wrapText="1"/>
    </xf>
    <xf numFmtId="0" fontId="2" fillId="0" borderId="5" xfId="0" applyFont="1" applyBorder="1" applyAlignment="1">
      <alignment horizontal="left"/>
    </xf>
    <xf numFmtId="0" fontId="2" fillId="0" borderId="7" xfId="0" applyFont="1" applyBorder="1" applyAlignment="1">
      <alignment horizontal="left"/>
    </xf>
    <xf numFmtId="0" fontId="2" fillId="0" borderId="1" xfId="0" applyFont="1" applyBorder="1" applyAlignment="1">
      <alignment horizontal="left"/>
    </xf>
    <xf numFmtId="0" fontId="2" fillId="0" borderId="13" xfId="0" applyFont="1" applyBorder="1" applyAlignment="1">
      <alignment horizontal="left"/>
    </xf>
    <xf numFmtId="0" fontId="2" fillId="0" borderId="4" xfId="0" applyFont="1" applyBorder="1" applyAlignment="1">
      <alignment horizontal="left"/>
    </xf>
    <xf numFmtId="0" fontId="2" fillId="0" borderId="0" xfId="0" applyFont="1" applyBorder="1" applyAlignment="1">
      <alignment horizontal="left"/>
    </xf>
    <xf numFmtId="0" fontId="2" fillId="0" borderId="1" xfId="0" applyFont="1" applyBorder="1" applyAlignment="1">
      <alignment horizontal="center"/>
    </xf>
    <xf numFmtId="0" fontId="2" fillId="0" borderId="9" xfId="0" applyFont="1" applyBorder="1" applyAlignment="1">
      <alignment horizontal="left"/>
    </xf>
    <xf numFmtId="0" fontId="2" fillId="0" borderId="6" xfId="0" applyFont="1" applyBorder="1" applyAlignment="1">
      <alignment horizontal="left"/>
    </xf>
    <xf numFmtId="0" fontId="2" fillId="0" borderId="1" xfId="0" applyFont="1" applyFill="1" applyBorder="1" applyAlignment="1">
      <alignment horizontal="left" wrapText="1"/>
    </xf>
    <xf numFmtId="0" fontId="2" fillId="0" borderId="1" xfId="0" applyFont="1" applyFill="1" applyBorder="1" applyAlignment="1">
      <alignment horizontal="left"/>
    </xf>
    <xf numFmtId="0" fontId="2" fillId="0" borderId="11" xfId="0" applyFont="1" applyBorder="1" applyAlignment="1">
      <alignment horizontal="left"/>
    </xf>
    <xf numFmtId="9" fontId="2" fillId="0" borderId="1" xfId="3" applyFont="1" applyBorder="1" applyAlignment="1">
      <alignment horizontal="left"/>
    </xf>
    <xf numFmtId="0" fontId="2" fillId="0" borderId="1" xfId="0" applyFont="1" applyBorder="1" applyAlignment="1">
      <alignment wrapText="1"/>
    </xf>
    <xf numFmtId="9" fontId="2" fillId="0" borderId="1" xfId="0" applyNumberFormat="1" applyFont="1" applyBorder="1" applyAlignment="1">
      <alignment horizontal="left"/>
    </xf>
    <xf numFmtId="0" fontId="2" fillId="0" borderId="1" xfId="0" applyFont="1" applyBorder="1" applyAlignment="1"/>
    <xf numFmtId="0" fontId="2" fillId="0" borderId="1" xfId="0" applyFont="1" applyBorder="1" applyAlignment="1">
      <alignment horizontal="left"/>
    </xf>
    <xf numFmtId="9" fontId="2" fillId="2" borderId="1" xfId="3" applyFont="1" applyFill="1" applyBorder="1" applyAlignment="1">
      <alignment horizontal="center"/>
    </xf>
    <xf numFmtId="9" fontId="2" fillId="0" borderId="1" xfId="3" applyFont="1" applyBorder="1" applyAlignment="1">
      <alignment horizontal="left"/>
    </xf>
    <xf numFmtId="0" fontId="2" fillId="0" borderId="1" xfId="0" applyFont="1" applyFill="1" applyBorder="1" applyAlignment="1">
      <alignment horizontal="left"/>
    </xf>
    <xf numFmtId="2" fontId="2" fillId="0" borderId="8" xfId="0" applyNumberFormat="1" applyFont="1" applyBorder="1" applyAlignment="1">
      <alignment horizontal="left"/>
    </xf>
    <xf numFmtId="0" fontId="2" fillId="0" borderId="8" xfId="0" applyFont="1" applyBorder="1" applyAlignment="1">
      <alignment horizontal="left"/>
    </xf>
    <xf numFmtId="0" fontId="2" fillId="0" borderId="1" xfId="0" applyFont="1" applyBorder="1" applyAlignment="1">
      <alignment horizontal="left" wrapText="1"/>
    </xf>
    <xf numFmtId="0" fontId="2" fillId="0" borderId="2" xfId="0" applyFont="1" applyBorder="1" applyAlignment="1">
      <alignment horizontal="left"/>
    </xf>
    <xf numFmtId="0" fontId="2" fillId="0" borderId="7" xfId="0" applyFont="1" applyBorder="1" applyAlignment="1">
      <alignment horizontal="left"/>
    </xf>
    <xf numFmtId="0" fontId="2" fillId="0" borderId="1" xfId="0" applyFont="1" applyBorder="1" applyAlignment="1">
      <alignment horizontal="left"/>
    </xf>
    <xf numFmtId="0" fontId="2" fillId="0" borderId="0" xfId="0" applyFont="1" applyBorder="1" applyAlignment="1">
      <alignment horizontal="left"/>
    </xf>
    <xf numFmtId="0" fontId="2" fillId="0" borderId="1" xfId="0" applyFont="1" applyBorder="1" applyAlignment="1">
      <alignment horizontal="center"/>
    </xf>
    <xf numFmtId="9" fontId="2" fillId="0" borderId="1" xfId="3" applyFont="1" applyBorder="1" applyAlignment="1">
      <alignment horizontal="center"/>
    </xf>
    <xf numFmtId="0" fontId="2" fillId="0" borderId="1" xfId="0" applyFont="1" applyFill="1" applyBorder="1" applyAlignment="1">
      <alignment horizontal="left"/>
    </xf>
    <xf numFmtId="9" fontId="2" fillId="0" borderId="1" xfId="3" applyFont="1" applyBorder="1" applyAlignment="1">
      <alignment horizontal="left"/>
    </xf>
    <xf numFmtId="9" fontId="2" fillId="0" borderId="1" xfId="0" applyNumberFormat="1" applyFont="1" applyBorder="1" applyAlignment="1">
      <alignment horizontal="left"/>
    </xf>
    <xf numFmtId="1" fontId="2" fillId="0" borderId="1" xfId="3" applyNumberFormat="1" applyFont="1" applyBorder="1" applyAlignment="1">
      <alignment horizontal="left"/>
    </xf>
    <xf numFmtId="0" fontId="2" fillId="0" borderId="1" xfId="0" applyFont="1" applyBorder="1" applyAlignment="1"/>
    <xf numFmtId="0" fontId="2" fillId="0" borderId="7" xfId="0" applyFont="1" applyBorder="1" applyAlignment="1"/>
    <xf numFmtId="9" fontId="2" fillId="0" borderId="8" xfId="0" applyNumberFormat="1" applyFont="1" applyBorder="1" applyAlignment="1">
      <alignment horizontal="left"/>
    </xf>
    <xf numFmtId="9" fontId="11" fillId="0" borderId="2" xfId="3" applyFont="1" applyFill="1" applyBorder="1" applyAlignment="1">
      <alignment horizontal="center"/>
    </xf>
    <xf numFmtId="0" fontId="2" fillId="0" borderId="1" xfId="0" applyFont="1" applyBorder="1" applyAlignment="1">
      <alignment horizontal="left" wrapText="1"/>
    </xf>
    <xf numFmtId="0" fontId="2" fillId="0" borderId="2" xfId="0" applyFont="1" applyBorder="1" applyAlignment="1">
      <alignment horizontal="left"/>
    </xf>
    <xf numFmtId="0" fontId="2" fillId="0" borderId="0" xfId="0" applyFont="1" applyBorder="1" applyAlignment="1">
      <alignment horizontal="center"/>
    </xf>
    <xf numFmtId="0" fontId="2" fillId="0" borderId="7" xfId="0" applyFont="1" applyBorder="1" applyAlignment="1">
      <alignment horizontal="left"/>
    </xf>
    <xf numFmtId="0" fontId="2" fillId="0" borderId="1" xfId="0" applyFont="1" applyBorder="1" applyAlignment="1">
      <alignment horizontal="left"/>
    </xf>
    <xf numFmtId="0" fontId="2" fillId="0" borderId="1" xfId="0" applyFont="1" applyBorder="1" applyAlignment="1">
      <alignment horizontal="center" wrapText="1"/>
    </xf>
    <xf numFmtId="0" fontId="2" fillId="0" borderId="0" xfId="0" applyFont="1" applyBorder="1" applyAlignment="1">
      <alignment horizontal="left"/>
    </xf>
    <xf numFmtId="0" fontId="2" fillId="0" borderId="0" xfId="0" applyFont="1" applyBorder="1" applyAlignment="1"/>
    <xf numFmtId="0" fontId="2" fillId="0" borderId="0" xfId="0" applyFont="1" applyBorder="1" applyAlignment="1">
      <alignment horizontal="right"/>
    </xf>
    <xf numFmtId="0" fontId="2" fillId="0" borderId="1" xfId="0" applyFont="1" applyBorder="1" applyAlignment="1"/>
    <xf numFmtId="0" fontId="2" fillId="0" borderId="1" xfId="0" applyFont="1" applyBorder="1" applyAlignment="1" applyProtection="1">
      <alignment horizontal="center"/>
      <protection locked="0"/>
    </xf>
    <xf numFmtId="0" fontId="2" fillId="0" borderId="2" xfId="0" applyFont="1" applyBorder="1" applyAlignment="1" applyProtection="1">
      <alignment horizontal="left"/>
      <protection locked="0"/>
    </xf>
    <xf numFmtId="14" fontId="2" fillId="0" borderId="2" xfId="0" applyNumberFormat="1" applyFont="1" applyBorder="1" applyAlignment="1" applyProtection="1">
      <alignment horizontal="left"/>
      <protection locked="0"/>
    </xf>
    <xf numFmtId="0" fontId="2" fillId="0" borderId="0" xfId="0" applyNumberFormat="1" applyFont="1" applyBorder="1" applyAlignment="1"/>
    <xf numFmtId="0" fontId="2" fillId="2" borderId="1" xfId="0" applyFont="1" applyFill="1" applyBorder="1" applyAlignment="1">
      <alignment horizontal="center"/>
    </xf>
    <xf numFmtId="10" fontId="2" fillId="2" borderId="1" xfId="3" applyNumberFormat="1" applyFont="1" applyFill="1" applyBorder="1" applyAlignment="1">
      <alignment horizontal="center"/>
    </xf>
    <xf numFmtId="9" fontId="2" fillId="0" borderId="1" xfId="3" applyFont="1" applyBorder="1" applyAlignment="1">
      <alignment horizontal="right"/>
    </xf>
    <xf numFmtId="0" fontId="2" fillId="0" borderId="1" xfId="0" applyFont="1" applyBorder="1" applyAlignment="1">
      <alignment horizontal="right"/>
    </xf>
    <xf numFmtId="0" fontId="2" fillId="0" borderId="1" xfId="0" applyFont="1" applyBorder="1" applyAlignment="1"/>
    <xf numFmtId="0" fontId="2" fillId="0" borderId="1" xfId="0" applyNumberFormat="1" applyFont="1" applyBorder="1" applyAlignment="1"/>
    <xf numFmtId="0" fontId="2" fillId="0" borderId="1" xfId="0" applyFont="1" applyBorder="1" applyAlignment="1" applyProtection="1">
      <alignment horizontal="right"/>
      <protection locked="0"/>
    </xf>
    <xf numFmtId="0" fontId="2" fillId="0" borderId="0" xfId="0" applyFont="1" applyBorder="1" applyAlignment="1">
      <alignment horizontal="left"/>
    </xf>
    <xf numFmtId="9" fontId="2" fillId="0" borderId="16" xfId="3" applyFont="1" applyBorder="1" applyAlignment="1">
      <alignment wrapText="1"/>
    </xf>
    <xf numFmtId="9" fontId="2" fillId="2" borderId="8" xfId="3" applyFont="1" applyFill="1" applyBorder="1" applyAlignment="1"/>
    <xf numFmtId="9" fontId="9" fillId="0" borderId="11" xfId="3" applyFont="1" applyBorder="1" applyAlignment="1">
      <alignment wrapText="1"/>
    </xf>
    <xf numFmtId="9" fontId="9" fillId="0" borderId="0" xfId="3" applyFont="1" applyBorder="1" applyAlignment="1">
      <alignment wrapText="1"/>
    </xf>
    <xf numFmtId="9" fontId="9" fillId="0" borderId="5" xfId="3" applyFont="1" applyBorder="1" applyAlignment="1">
      <alignment wrapText="1"/>
    </xf>
    <xf numFmtId="9" fontId="10" fillId="0" borderId="8" xfId="3" applyFont="1" applyFill="1" applyBorder="1" applyAlignment="1">
      <alignment wrapText="1"/>
    </xf>
    <xf numFmtId="9" fontId="10" fillId="0" borderId="16" xfId="3" applyFont="1" applyFill="1" applyBorder="1" applyAlignment="1">
      <alignment wrapText="1"/>
    </xf>
    <xf numFmtId="0" fontId="9" fillId="0" borderId="11" xfId="0" applyFont="1" applyBorder="1" applyAlignment="1">
      <alignment wrapText="1"/>
    </xf>
    <xf numFmtId="0" fontId="9" fillId="0" borderId="0" xfId="0" applyFont="1" applyBorder="1" applyAlignment="1">
      <alignment wrapText="1"/>
    </xf>
    <xf numFmtId="0" fontId="9" fillId="0" borderId="5" xfId="0" applyFont="1" applyBorder="1" applyAlignment="1">
      <alignment wrapText="1"/>
    </xf>
    <xf numFmtId="0" fontId="2" fillId="0" borderId="0" xfId="0" applyFont="1" applyAlignment="1"/>
    <xf numFmtId="0" fontId="2" fillId="0" borderId="1" xfId="0" applyFont="1" applyBorder="1" applyAlignment="1">
      <alignment horizontal="left"/>
    </xf>
    <xf numFmtId="0" fontId="2" fillId="0" borderId="0" xfId="0" applyFont="1" applyBorder="1" applyAlignment="1">
      <alignment horizontal="left"/>
    </xf>
    <xf numFmtId="10" fontId="2" fillId="2" borderId="1" xfId="3" applyNumberFormat="1" applyFont="1" applyFill="1" applyBorder="1" applyAlignment="1">
      <alignment horizontal="center" wrapText="1"/>
    </xf>
    <xf numFmtId="0" fontId="2" fillId="0" borderId="10" xfId="0" applyFont="1" applyBorder="1" applyAlignment="1">
      <alignment horizontal="left"/>
    </xf>
    <xf numFmtId="0" fontId="2" fillId="0" borderId="10" xfId="0" applyFont="1" applyBorder="1" applyAlignment="1">
      <alignment horizontal="left" wrapText="1"/>
    </xf>
    <xf numFmtId="0" fontId="2" fillId="0" borderId="0" xfId="0" applyFont="1" applyAlignment="1"/>
    <xf numFmtId="0" fontId="2" fillId="0" borderId="1" xfId="0" applyFont="1" applyBorder="1" applyAlignment="1">
      <alignment horizontal="left"/>
    </xf>
    <xf numFmtId="0" fontId="2" fillId="0" borderId="0" xfId="0" applyFont="1" applyBorder="1" applyAlignment="1">
      <alignment horizontal="left"/>
    </xf>
    <xf numFmtId="0" fontId="2" fillId="0" borderId="1" xfId="0" applyFont="1" applyBorder="1" applyAlignment="1">
      <alignment wrapText="1"/>
    </xf>
    <xf numFmtId="0" fontId="2" fillId="0" borderId="0" xfId="0" applyFont="1" applyBorder="1" applyAlignment="1">
      <alignment horizontal="right"/>
    </xf>
    <xf numFmtId="10" fontId="2" fillId="2" borderId="1" xfId="3" applyNumberFormat="1" applyFont="1" applyFill="1" applyBorder="1" applyAlignment="1">
      <alignment horizontal="center" wrapText="1"/>
    </xf>
    <xf numFmtId="0" fontId="2" fillId="0" borderId="0" xfId="0" applyFont="1" applyBorder="1" applyAlignment="1"/>
    <xf numFmtId="0" fontId="10" fillId="0" borderId="11" xfId="0" applyFont="1" applyBorder="1" applyAlignment="1">
      <alignment wrapText="1"/>
    </xf>
    <xf numFmtId="0" fontId="10" fillId="0" borderId="0" xfId="0" applyFont="1" applyBorder="1" applyAlignment="1">
      <alignment wrapText="1"/>
    </xf>
    <xf numFmtId="0" fontId="10" fillId="0" borderId="5" xfId="0" applyFont="1" applyBorder="1" applyAlignment="1">
      <alignment wrapText="1"/>
    </xf>
    <xf numFmtId="9" fontId="2" fillId="0" borderId="1" xfId="0" applyNumberFormat="1" applyFont="1" applyBorder="1" applyAlignment="1">
      <alignment horizontal="left"/>
    </xf>
    <xf numFmtId="0" fontId="2" fillId="0" borderId="1" xfId="0" applyFont="1" applyBorder="1" applyAlignment="1">
      <alignment horizontal="right"/>
    </xf>
    <xf numFmtId="0" fontId="2" fillId="0" borderId="1" xfId="0" applyFont="1" applyBorder="1" applyAlignment="1">
      <alignment horizontal="center"/>
    </xf>
    <xf numFmtId="9" fontId="2" fillId="0" borderId="1" xfId="0" applyNumberFormat="1" applyFont="1" applyBorder="1" applyAlignment="1">
      <alignment horizontal="left"/>
    </xf>
    <xf numFmtId="0" fontId="2" fillId="0" borderId="1" xfId="0" applyFont="1" applyBorder="1" applyAlignment="1">
      <alignment horizontal="left"/>
    </xf>
    <xf numFmtId="0" fontId="2" fillId="0" borderId="0" xfId="0" applyFont="1" applyAlignment="1"/>
    <xf numFmtId="0" fontId="2" fillId="0" borderId="0" xfId="0" applyFont="1" applyBorder="1" applyAlignment="1">
      <alignment horizontal="left"/>
    </xf>
    <xf numFmtId="9" fontId="2" fillId="0" borderId="1" xfId="0" applyNumberFormat="1" applyFont="1" applyBorder="1" applyAlignment="1">
      <alignment horizontal="left"/>
    </xf>
    <xf numFmtId="0" fontId="2" fillId="0" borderId="1" xfId="0" applyFont="1" applyBorder="1" applyAlignment="1">
      <alignment horizontal="center"/>
    </xf>
    <xf numFmtId="9" fontId="2" fillId="0" borderId="1" xfId="3" applyFont="1" applyBorder="1" applyAlignment="1">
      <alignment horizontal="left"/>
    </xf>
    <xf numFmtId="0" fontId="2" fillId="0" borderId="1" xfId="0" applyFont="1" applyBorder="1" applyAlignment="1">
      <alignment horizontal="right"/>
    </xf>
    <xf numFmtId="0" fontId="2" fillId="0" borderId="1" xfId="0" applyFont="1" applyBorder="1" applyAlignment="1"/>
    <xf numFmtId="0" fontId="21" fillId="0" borderId="13" xfId="0" applyFont="1" applyBorder="1" applyAlignment="1"/>
    <xf numFmtId="0" fontId="21" fillId="0" borderId="15" xfId="0" applyFont="1" applyBorder="1" applyAlignment="1"/>
    <xf numFmtId="0" fontId="2" fillId="0" borderId="0" xfId="0" applyFont="1" applyAlignment="1"/>
    <xf numFmtId="0" fontId="2" fillId="0" borderId="1" xfId="0" applyFont="1" applyBorder="1" applyAlignment="1">
      <alignment horizontal="left"/>
    </xf>
    <xf numFmtId="0" fontId="2" fillId="0" borderId="1" xfId="0" applyFont="1" applyBorder="1" applyAlignment="1">
      <alignment horizontal="right"/>
    </xf>
    <xf numFmtId="0" fontId="2" fillId="0" borderId="0" xfId="0" applyFont="1" applyBorder="1" applyAlignment="1">
      <alignment horizontal="left"/>
    </xf>
    <xf numFmtId="0" fontId="2" fillId="0" borderId="1" xfId="0" applyFont="1" applyBorder="1" applyAlignment="1">
      <alignment horizontal="center"/>
    </xf>
    <xf numFmtId="9" fontId="2" fillId="0" borderId="1" xfId="3" applyFont="1" applyBorder="1" applyAlignment="1">
      <alignment horizontal="left"/>
    </xf>
    <xf numFmtId="9" fontId="2" fillId="0" borderId="1" xfId="0" applyNumberFormat="1" applyFont="1" applyBorder="1" applyAlignment="1">
      <alignment horizontal="left"/>
    </xf>
    <xf numFmtId="0" fontId="2" fillId="0" borderId="1" xfId="0" applyFont="1" applyBorder="1" applyAlignment="1"/>
    <xf numFmtId="164" fontId="2" fillId="0" borderId="1" xfId="3" applyNumberFormat="1" applyFont="1" applyBorder="1" applyAlignment="1"/>
    <xf numFmtId="164" fontId="2" fillId="0" borderId="1" xfId="3" applyNumberFormat="1" applyFont="1" applyBorder="1" applyAlignment="1">
      <alignment horizontal="right"/>
    </xf>
    <xf numFmtId="10" fontId="2" fillId="2" borderId="1" xfId="3" applyNumberFormat="1" applyFont="1" applyFill="1" applyBorder="1" applyAlignment="1">
      <alignment horizontal="center"/>
    </xf>
    <xf numFmtId="0" fontId="2" fillId="0" borderId="0" xfId="0" applyFont="1" applyBorder="1" applyAlignment="1">
      <alignment horizontal="left"/>
    </xf>
    <xf numFmtId="10" fontId="2" fillId="2" borderId="1" xfId="3" applyNumberFormat="1" applyFont="1" applyFill="1" applyBorder="1" applyAlignment="1">
      <alignment horizontal="center" wrapText="1"/>
    </xf>
    <xf numFmtId="164" fontId="2" fillId="0" borderId="0" xfId="0" applyNumberFormat="1" applyFont="1" applyBorder="1" applyAlignment="1"/>
    <xf numFmtId="10" fontId="2" fillId="2" borderId="1" xfId="3" applyNumberFormat="1" applyFont="1" applyFill="1" applyBorder="1" applyAlignment="1">
      <alignment horizontal="center"/>
    </xf>
    <xf numFmtId="0" fontId="2" fillId="0" borderId="0" xfId="0" applyFont="1" applyBorder="1" applyAlignment="1">
      <alignment horizontal="center"/>
    </xf>
    <xf numFmtId="0" fontId="2" fillId="0" borderId="0" xfId="0" applyFont="1" applyAlignment="1"/>
    <xf numFmtId="0" fontId="2" fillId="0" borderId="1" xfId="0" applyFont="1" applyBorder="1" applyAlignment="1">
      <alignment horizontal="left"/>
    </xf>
    <xf numFmtId="0" fontId="2" fillId="0" borderId="0" xfId="0" applyFont="1" applyFill="1" applyBorder="1" applyAlignment="1">
      <alignment horizontal="center"/>
    </xf>
    <xf numFmtId="0" fontId="2" fillId="0" borderId="1" xfId="0" applyFont="1" applyBorder="1" applyAlignment="1">
      <alignment horizontal="center"/>
    </xf>
    <xf numFmtId="0" fontId="2" fillId="0" borderId="1" xfId="0" applyFont="1" applyBorder="1" applyAlignment="1">
      <alignment horizontal="right"/>
    </xf>
    <xf numFmtId="0" fontId="2" fillId="0" borderId="0" xfId="0" applyFont="1" applyBorder="1" applyAlignment="1">
      <alignment horizontal="left"/>
    </xf>
    <xf numFmtId="9" fontId="2" fillId="0" borderId="1" xfId="3" applyFont="1" applyBorder="1" applyAlignment="1">
      <alignment horizontal="left"/>
    </xf>
    <xf numFmtId="9" fontId="2" fillId="0" borderId="1" xfId="0" applyNumberFormat="1" applyFont="1" applyBorder="1" applyAlignment="1">
      <alignment horizontal="left"/>
    </xf>
    <xf numFmtId="0" fontId="2" fillId="0" borderId="1" xfId="0" applyFont="1" applyBorder="1" applyAlignment="1"/>
    <xf numFmtId="10" fontId="2" fillId="2" borderId="1" xfId="3" applyNumberFormat="1" applyFont="1" applyFill="1" applyBorder="1" applyAlignment="1">
      <alignment horizontal="center" wrapText="1"/>
    </xf>
    <xf numFmtId="0" fontId="2" fillId="0" borderId="0" xfId="0" applyFont="1" applyBorder="1" applyAlignment="1"/>
    <xf numFmtId="0" fontId="2" fillId="0" borderId="1" xfId="0" applyFont="1" applyBorder="1" applyAlignment="1">
      <alignment horizontal="center"/>
    </xf>
    <xf numFmtId="0" fontId="2" fillId="0" borderId="1" xfId="0" applyFont="1" applyBorder="1" applyAlignment="1">
      <alignment horizontal="right"/>
    </xf>
    <xf numFmtId="0" fontId="2" fillId="0" borderId="1" xfId="0" applyFont="1" applyBorder="1" applyAlignment="1">
      <alignment horizontal="center"/>
    </xf>
    <xf numFmtId="0" fontId="2" fillId="0" borderId="1" xfId="0" applyFont="1" applyBorder="1" applyAlignment="1">
      <alignment horizontal="right"/>
    </xf>
    <xf numFmtId="0" fontId="2" fillId="0" borderId="0" xfId="0" applyFont="1" applyBorder="1" applyAlignment="1">
      <alignment horizontal="left"/>
    </xf>
    <xf numFmtId="9" fontId="2" fillId="0" borderId="1" xfId="3" applyFont="1" applyBorder="1" applyAlignment="1">
      <alignment horizontal="left"/>
    </xf>
    <xf numFmtId="164" fontId="2" fillId="0" borderId="2" xfId="3" applyNumberFormat="1" applyFont="1" applyBorder="1" applyAlignment="1">
      <alignment horizontal="right"/>
    </xf>
    <xf numFmtId="0" fontId="2" fillId="0" borderId="1" xfId="0" applyFont="1" applyBorder="1" applyAlignment="1">
      <alignment horizontal="left"/>
    </xf>
    <xf numFmtId="9" fontId="2" fillId="2" borderId="10" xfId="3" applyFont="1" applyFill="1" applyBorder="1" applyAlignment="1">
      <alignment horizontal="center"/>
    </xf>
    <xf numFmtId="0" fontId="2" fillId="0" borderId="0" xfId="0" applyFont="1" applyBorder="1" applyAlignment="1">
      <alignment horizontal="center"/>
    </xf>
    <xf numFmtId="0" fontId="2" fillId="0" borderId="1" xfId="0" applyFont="1" applyBorder="1" applyAlignment="1">
      <alignment horizontal="left" wrapText="1"/>
    </xf>
    <xf numFmtId="0" fontId="2" fillId="0" borderId="1" xfId="0" applyFont="1" applyFill="1" applyBorder="1" applyAlignment="1">
      <alignment horizontal="center"/>
    </xf>
    <xf numFmtId="9" fontId="2" fillId="2" borderId="1" xfId="3" applyFont="1" applyFill="1" applyBorder="1" applyAlignment="1">
      <alignment horizontal="center"/>
    </xf>
    <xf numFmtId="0" fontId="2" fillId="0" borderId="0" xfId="0" applyFont="1" applyBorder="1" applyAlignment="1">
      <alignment horizontal="left"/>
    </xf>
    <xf numFmtId="9" fontId="2" fillId="0" borderId="1" xfId="0" applyNumberFormat="1" applyFont="1" applyBorder="1" applyAlignment="1">
      <alignment horizontal="left"/>
    </xf>
    <xf numFmtId="0" fontId="2" fillId="0" borderId="1" xfId="0" applyFont="1" applyBorder="1" applyAlignment="1">
      <alignment horizontal="center"/>
    </xf>
    <xf numFmtId="0" fontId="2" fillId="0" borderId="1" xfId="0" applyFont="1" applyBorder="1" applyAlignment="1">
      <alignment horizontal="right"/>
    </xf>
    <xf numFmtId="0" fontId="2" fillId="0" borderId="1" xfId="0" applyFont="1" applyFill="1" applyBorder="1" applyAlignment="1">
      <alignment horizontal="left"/>
    </xf>
    <xf numFmtId="0" fontId="2" fillId="0" borderId="0" xfId="0" applyFont="1" applyBorder="1" applyAlignment="1">
      <alignment horizontal="right"/>
    </xf>
    <xf numFmtId="9" fontId="2" fillId="0" borderId="1" xfId="3" applyFont="1" applyBorder="1" applyAlignment="1">
      <alignment horizontal="left"/>
    </xf>
    <xf numFmtId="0" fontId="2" fillId="0" borderId="0" xfId="0" applyFont="1" applyBorder="1" applyAlignment="1"/>
    <xf numFmtId="164" fontId="2" fillId="0" borderId="1" xfId="0" applyNumberFormat="1" applyFont="1" applyBorder="1" applyAlignment="1">
      <alignment horizontal="center"/>
    </xf>
    <xf numFmtId="0" fontId="10" fillId="0" borderId="15" xfId="0" applyFont="1" applyFill="1" applyBorder="1" applyAlignment="1">
      <alignment wrapText="1"/>
    </xf>
    <xf numFmtId="0" fontId="10" fillId="0" borderId="4" xfId="0" applyFont="1" applyFill="1" applyBorder="1" applyAlignment="1">
      <alignment wrapText="1"/>
    </xf>
    <xf numFmtId="0" fontId="10" fillId="0" borderId="11" xfId="0" applyFont="1" applyFill="1" applyBorder="1" applyAlignment="1">
      <alignment wrapText="1"/>
    </xf>
    <xf numFmtId="0" fontId="10" fillId="0" borderId="0" xfId="0" applyFont="1" applyFill="1" applyBorder="1" applyAlignment="1">
      <alignment wrapText="1"/>
    </xf>
    <xf numFmtId="0" fontId="10" fillId="0" borderId="5" xfId="0" applyFont="1" applyFill="1" applyBorder="1" applyAlignment="1">
      <alignment wrapText="1"/>
    </xf>
    <xf numFmtId="1" fontId="2" fillId="0" borderId="0" xfId="0" applyNumberFormat="1" applyFont="1" applyFill="1" applyBorder="1" applyAlignment="1">
      <alignment horizontal="center"/>
    </xf>
    <xf numFmtId="1" fontId="2" fillId="0" borderId="0" xfId="0" applyNumberFormat="1" applyFont="1" applyFill="1" applyBorder="1" applyAlignment="1"/>
    <xf numFmtId="0" fontId="2" fillId="0" borderId="1" xfId="0" applyFont="1" applyBorder="1" applyAlignment="1">
      <alignment horizontal="left"/>
    </xf>
    <xf numFmtId="10" fontId="2" fillId="2" borderId="8" xfId="0" applyNumberFormat="1" applyFont="1" applyFill="1" applyBorder="1" applyAlignment="1">
      <alignment horizontal="center"/>
    </xf>
    <xf numFmtId="9" fontId="2" fillId="2" borderId="10" xfId="3" applyFont="1" applyFill="1" applyBorder="1" applyAlignment="1">
      <alignment horizontal="center"/>
    </xf>
    <xf numFmtId="0" fontId="2" fillId="0" borderId="0" xfId="0" applyFont="1" applyBorder="1" applyAlignment="1">
      <alignment horizontal="left" wrapText="1"/>
    </xf>
    <xf numFmtId="0" fontId="2" fillId="0" borderId="0" xfId="0" applyFont="1" applyAlignment="1">
      <alignment horizontal="left"/>
    </xf>
    <xf numFmtId="0" fontId="2" fillId="0" borderId="0" xfId="0" applyFont="1" applyAlignment="1"/>
    <xf numFmtId="10" fontId="2" fillId="2" borderId="1" xfId="0" applyNumberFormat="1" applyFont="1" applyFill="1" applyBorder="1" applyAlignment="1">
      <alignment horizontal="center"/>
    </xf>
    <xf numFmtId="9" fontId="2" fillId="2" borderId="1" xfId="3" applyFont="1" applyFill="1" applyBorder="1" applyAlignment="1">
      <alignment horizontal="center"/>
    </xf>
    <xf numFmtId="0" fontId="2" fillId="0" borderId="0" xfId="0" applyFont="1" applyBorder="1" applyAlignment="1">
      <alignment horizontal="left"/>
    </xf>
    <xf numFmtId="9" fontId="2" fillId="0" borderId="1" xfId="0" applyNumberFormat="1" applyFont="1" applyBorder="1" applyAlignment="1">
      <alignment horizontal="left"/>
    </xf>
    <xf numFmtId="0" fontId="2" fillId="0" borderId="1" xfId="0" applyFont="1" applyBorder="1" applyAlignment="1">
      <alignment horizontal="center"/>
    </xf>
    <xf numFmtId="0" fontId="2" fillId="0" borderId="1" xfId="0" applyFont="1" applyBorder="1" applyAlignment="1">
      <alignment horizontal="right"/>
    </xf>
    <xf numFmtId="9" fontId="2" fillId="2" borderId="1" xfId="0" applyNumberFormat="1" applyFont="1" applyFill="1" applyBorder="1" applyAlignment="1">
      <alignment horizontal="center"/>
    </xf>
    <xf numFmtId="164" fontId="2" fillId="2" borderId="1" xfId="0" applyNumberFormat="1" applyFont="1" applyFill="1" applyBorder="1" applyAlignment="1">
      <alignment horizontal="center" wrapText="1"/>
    </xf>
    <xf numFmtId="0" fontId="2" fillId="0" borderId="1" xfId="0" applyFont="1" applyBorder="1" applyAlignment="1"/>
    <xf numFmtId="9" fontId="2" fillId="0" borderId="1" xfId="3" applyFont="1" applyBorder="1" applyAlignment="1">
      <alignment horizontal="left"/>
    </xf>
    <xf numFmtId="0" fontId="2" fillId="0" borderId="8" xfId="0" applyFont="1" applyBorder="1" applyAlignment="1"/>
    <xf numFmtId="0" fontId="2" fillId="0" borderId="0" xfId="0" applyFont="1" applyBorder="1" applyAlignment="1"/>
    <xf numFmtId="9" fontId="2" fillId="0" borderId="8" xfId="3" applyFont="1" applyBorder="1" applyAlignment="1"/>
    <xf numFmtId="9" fontId="2" fillId="0" borderId="16" xfId="3" applyFont="1" applyBorder="1" applyAlignment="1"/>
    <xf numFmtId="9" fontId="2" fillId="0" borderId="10" xfId="3" applyFont="1" applyBorder="1" applyAlignment="1"/>
    <xf numFmtId="0" fontId="10" fillId="0" borderId="13" xfId="0" applyFont="1" applyFill="1" applyBorder="1" applyAlignment="1">
      <alignment wrapText="1"/>
    </xf>
    <xf numFmtId="9" fontId="2" fillId="0" borderId="1" xfId="3" applyFont="1" applyBorder="1" applyAlignment="1">
      <alignment horizontal="center" wrapText="1"/>
    </xf>
    <xf numFmtId="9" fontId="14" fillId="0" borderId="14" xfId="3" applyFont="1" applyFill="1" applyBorder="1" applyAlignment="1">
      <alignment wrapText="1"/>
    </xf>
    <xf numFmtId="0" fontId="2" fillId="0" borderId="1" xfId="0" applyFont="1" applyBorder="1" applyAlignment="1">
      <alignment horizontal="left"/>
    </xf>
    <xf numFmtId="0" fontId="2" fillId="0" borderId="0" xfId="0" applyFont="1" applyAlignment="1">
      <alignment horizontal="left"/>
    </xf>
    <xf numFmtId="0" fontId="2" fillId="0" borderId="0" xfId="0" applyFont="1" applyAlignment="1"/>
    <xf numFmtId="10" fontId="2" fillId="2" borderId="8" xfId="3" applyNumberFormat="1" applyFont="1" applyFill="1" applyBorder="1" applyAlignment="1">
      <alignment horizontal="center"/>
    </xf>
    <xf numFmtId="0" fontId="2" fillId="0" borderId="9" xfId="0" applyFont="1" applyBorder="1" applyAlignment="1">
      <alignment horizontal="center" wrapText="1"/>
    </xf>
    <xf numFmtId="0" fontId="2" fillId="0" borderId="0" xfId="0" applyFont="1" applyBorder="1" applyAlignment="1">
      <alignment horizontal="left"/>
    </xf>
    <xf numFmtId="0" fontId="3" fillId="0" borderId="1" xfId="0" applyFont="1" applyBorder="1" applyAlignment="1">
      <alignment horizontal="center" wrapText="1"/>
    </xf>
    <xf numFmtId="0" fontId="2" fillId="0" borderId="1" xfId="0" applyFont="1" applyBorder="1" applyAlignment="1">
      <alignment horizontal="right"/>
    </xf>
    <xf numFmtId="9" fontId="24" fillId="0" borderId="16" xfId="3" applyFont="1" applyBorder="1" applyAlignment="1">
      <alignment horizontal="left" wrapText="1"/>
    </xf>
    <xf numFmtId="9" fontId="24" fillId="0" borderId="10" xfId="3" applyFont="1" applyBorder="1" applyAlignment="1">
      <alignment horizontal="left" wrapText="1"/>
    </xf>
    <xf numFmtId="0" fontId="2" fillId="0" borderId="1" xfId="0" applyFont="1" applyBorder="1" applyAlignment="1"/>
    <xf numFmtId="0" fontId="2" fillId="0" borderId="8" xfId="0" applyFont="1" applyBorder="1" applyAlignment="1"/>
    <xf numFmtId="0" fontId="2" fillId="0" borderId="7" xfId="0" applyFont="1" applyBorder="1" applyAlignment="1"/>
    <xf numFmtId="0" fontId="2" fillId="0" borderId="1" xfId="0" applyFont="1" applyBorder="1" applyAlignment="1">
      <alignment horizontal="right"/>
    </xf>
    <xf numFmtId="0" fontId="2" fillId="0" borderId="0" xfId="0" applyFont="1" applyBorder="1" applyAlignment="1">
      <alignment horizontal="right"/>
    </xf>
    <xf numFmtId="10" fontId="2" fillId="0" borderId="1" xfId="3" applyNumberFormat="1" applyFont="1" applyBorder="1" applyAlignment="1"/>
    <xf numFmtId="9" fontId="2" fillId="0" borderId="1" xfId="3" applyNumberFormat="1" applyFont="1" applyBorder="1" applyAlignment="1">
      <alignment horizontal="right"/>
    </xf>
    <xf numFmtId="0" fontId="2" fillId="0" borderId="30" xfId="0" applyFont="1" applyBorder="1" applyAlignment="1">
      <alignment horizontal="right"/>
    </xf>
    <xf numFmtId="0" fontId="2" fillId="0" borderId="31" xfId="0" applyFont="1" applyBorder="1" applyAlignment="1">
      <alignment horizontal="right"/>
    </xf>
    <xf numFmtId="0" fontId="2" fillId="0" borderId="32" xfId="0" applyFont="1" applyBorder="1" applyAlignment="1">
      <alignment horizontal="right"/>
    </xf>
    <xf numFmtId="0" fontId="2" fillId="0" borderId="33" xfId="0" applyFont="1" applyBorder="1" applyAlignment="1">
      <alignment horizontal="right"/>
    </xf>
    <xf numFmtId="0" fontId="2" fillId="0" borderId="34" xfId="0" applyFont="1" applyBorder="1" applyAlignment="1">
      <alignment horizontal="right"/>
    </xf>
    <xf numFmtId="0" fontId="2" fillId="0" borderId="35" xfId="0" applyFont="1" applyBorder="1" applyAlignment="1">
      <alignment horizontal="right"/>
    </xf>
    <xf numFmtId="0" fontId="2" fillId="0" borderId="8" xfId="0" applyFont="1" applyBorder="1" applyAlignment="1" applyProtection="1">
      <alignment horizontal="right"/>
      <protection locked="0"/>
    </xf>
    <xf numFmtId="0" fontId="2" fillId="0" borderId="21" xfId="0" applyFont="1" applyBorder="1" applyAlignment="1">
      <alignment horizontal="right"/>
    </xf>
    <xf numFmtId="10" fontId="2" fillId="0" borderId="32" xfId="3" applyNumberFormat="1" applyFont="1" applyBorder="1" applyAlignment="1">
      <alignment horizontal="right"/>
    </xf>
    <xf numFmtId="164" fontId="2" fillId="0" borderId="33" xfId="0" applyNumberFormat="1" applyFont="1" applyBorder="1" applyAlignment="1">
      <alignment horizontal="right"/>
    </xf>
    <xf numFmtId="10" fontId="2" fillId="0" borderId="34" xfId="3" applyNumberFormat="1" applyFont="1" applyBorder="1" applyAlignment="1">
      <alignment horizontal="right"/>
    </xf>
    <xf numFmtId="10" fontId="2" fillId="0" borderId="36" xfId="0" applyNumberFormat="1" applyFont="1" applyBorder="1" applyAlignment="1"/>
    <xf numFmtId="0" fontId="2" fillId="0" borderId="35" xfId="0" applyFont="1" applyBorder="1" applyAlignment="1"/>
    <xf numFmtId="0" fontId="2" fillId="0" borderId="37" xfId="0" applyFont="1" applyBorder="1" applyAlignment="1">
      <alignment horizontal="right"/>
    </xf>
    <xf numFmtId="0" fontId="2" fillId="0" borderId="1" xfId="0" applyFont="1" applyBorder="1" applyAlignment="1">
      <alignment horizontal="left" wrapText="1"/>
    </xf>
    <xf numFmtId="0" fontId="2" fillId="0" borderId="1" xfId="0" applyFont="1" applyBorder="1" applyAlignment="1">
      <alignment horizontal="left"/>
    </xf>
    <xf numFmtId="0" fontId="2" fillId="0" borderId="1" xfId="0" applyFont="1" applyBorder="1" applyAlignment="1">
      <alignment horizontal="center" wrapText="1"/>
    </xf>
    <xf numFmtId="0" fontId="2" fillId="0" borderId="0" xfId="0" applyFont="1" applyBorder="1" applyAlignment="1">
      <alignment horizontal="left"/>
    </xf>
    <xf numFmtId="0" fontId="2" fillId="0" borderId="0" xfId="0" applyFont="1" applyBorder="1" applyAlignment="1">
      <alignment horizontal="left"/>
    </xf>
    <xf numFmtId="9" fontId="2" fillId="0" borderId="1" xfId="0" applyNumberFormat="1" applyFont="1" applyBorder="1" applyAlignment="1">
      <alignment horizontal="left"/>
    </xf>
    <xf numFmtId="0" fontId="2" fillId="0" borderId="1" xfId="0" applyFont="1" applyBorder="1" applyAlignment="1">
      <alignment horizontal="left"/>
    </xf>
    <xf numFmtId="10" fontId="2" fillId="0" borderId="1" xfId="1" applyNumberFormat="1" applyFont="1" applyBorder="1" applyAlignment="1">
      <alignment horizontal="right"/>
    </xf>
    <xf numFmtId="9" fontId="2" fillId="0" borderId="1" xfId="3" applyFont="1" applyBorder="1" applyAlignment="1">
      <alignment horizontal="right"/>
    </xf>
    <xf numFmtId="0" fontId="2" fillId="0" borderId="1" xfId="0" applyFont="1" applyBorder="1" applyAlignment="1">
      <alignment horizontal="right"/>
    </xf>
    <xf numFmtId="0" fontId="2" fillId="0" borderId="1" xfId="0" applyFont="1" applyBorder="1" applyAlignment="1">
      <alignment horizontal="left"/>
    </xf>
    <xf numFmtId="0" fontId="2" fillId="0" borderId="2" xfId="0" applyFont="1" applyBorder="1" applyAlignment="1">
      <alignment horizontal="center"/>
    </xf>
    <xf numFmtId="0" fontId="2" fillId="0" borderId="0" xfId="0" applyFont="1" applyBorder="1" applyAlignment="1">
      <alignment horizontal="left"/>
    </xf>
    <xf numFmtId="0" fontId="2" fillId="0" borderId="2" xfId="0" applyFont="1" applyBorder="1" applyAlignment="1">
      <alignment horizontal="left" wrapText="1"/>
    </xf>
    <xf numFmtId="0" fontId="2" fillId="0" borderId="0" xfId="0" applyFont="1" applyBorder="1" applyAlignment="1">
      <alignment horizontal="right"/>
    </xf>
    <xf numFmtId="0" fontId="2" fillId="0" borderId="1" xfId="0" applyFont="1" applyBorder="1" applyAlignment="1">
      <alignment horizontal="right"/>
    </xf>
    <xf numFmtId="0" fontId="2" fillId="0" borderId="1" xfId="0" applyFont="1" applyBorder="1" applyAlignment="1"/>
    <xf numFmtId="0" fontId="2" fillId="0" borderId="1" xfId="0" applyFont="1" applyBorder="1" applyAlignment="1">
      <alignment horizontal="left"/>
    </xf>
    <xf numFmtId="0" fontId="2" fillId="0" borderId="1" xfId="0" applyFont="1" applyBorder="1" applyAlignment="1"/>
    <xf numFmtId="0" fontId="2" fillId="2" borderId="1" xfId="0" applyFont="1" applyFill="1" applyBorder="1" applyAlignment="1">
      <alignment horizontal="center"/>
    </xf>
    <xf numFmtId="0" fontId="2" fillId="0" borderId="0" xfId="0" applyFont="1" applyAlignment="1"/>
    <xf numFmtId="0" fontId="2" fillId="0" borderId="1" xfId="0" applyFont="1" applyBorder="1" applyAlignment="1">
      <alignment horizontal="left"/>
    </xf>
    <xf numFmtId="9" fontId="2" fillId="2" borderId="1" xfId="3" applyFont="1" applyFill="1" applyBorder="1" applyAlignment="1">
      <alignment horizontal="center"/>
    </xf>
    <xf numFmtId="9" fontId="2" fillId="0" borderId="1" xfId="3" applyFont="1" applyBorder="1" applyAlignment="1">
      <alignment horizontal="right"/>
    </xf>
    <xf numFmtId="0" fontId="2" fillId="0" borderId="1" xfId="0" applyFont="1" applyBorder="1" applyAlignment="1">
      <alignment horizontal="right"/>
    </xf>
    <xf numFmtId="0" fontId="2" fillId="3" borderId="1" xfId="0" applyFont="1" applyFill="1" applyBorder="1" applyAlignment="1" applyProtection="1">
      <alignment horizontal="center" wrapText="1"/>
      <protection locked="0"/>
    </xf>
    <xf numFmtId="0" fontId="2" fillId="0" borderId="0" xfId="0" applyFont="1" applyBorder="1" applyAlignment="1">
      <alignment horizontal="right"/>
    </xf>
    <xf numFmtId="0" fontId="12" fillId="0" borderId="1" xfId="0" applyFont="1" applyFill="1" applyBorder="1" applyAlignment="1">
      <alignment horizontal="right"/>
    </xf>
    <xf numFmtId="0" fontId="2" fillId="0" borderId="1" xfId="0" applyFont="1" applyBorder="1" applyAlignment="1"/>
    <xf numFmtId="0" fontId="14" fillId="0" borderId="0" xfId="0" applyFont="1" applyFill="1" applyBorder="1" applyAlignment="1"/>
    <xf numFmtId="9" fontId="2" fillId="0" borderId="1" xfId="3" applyFont="1" applyBorder="1" applyAlignment="1">
      <alignment horizontal="right"/>
    </xf>
    <xf numFmtId="0" fontId="2" fillId="0" borderId="1" xfId="0" applyFont="1" applyBorder="1" applyAlignment="1">
      <alignment horizontal="right" wrapText="1"/>
    </xf>
    <xf numFmtId="0" fontId="2" fillId="0" borderId="1" xfId="0" applyFont="1" applyBorder="1" applyAlignment="1">
      <alignment horizontal="right"/>
    </xf>
    <xf numFmtId="0" fontId="2" fillId="3" borderId="1" xfId="0" applyFont="1" applyFill="1" applyBorder="1" applyAlignment="1" applyProtection="1">
      <alignment horizontal="center" wrapText="1"/>
      <protection locked="0"/>
    </xf>
    <xf numFmtId="0" fontId="2" fillId="0" borderId="0" xfId="0" applyFont="1" applyBorder="1" applyAlignment="1">
      <alignment horizontal="right"/>
    </xf>
    <xf numFmtId="0" fontId="2" fillId="0" borderId="10" xfId="0" applyFont="1" applyBorder="1" applyAlignment="1">
      <alignment horizontal="right"/>
    </xf>
    <xf numFmtId="0" fontId="2" fillId="0" borderId="8" xfId="0" applyFont="1" applyBorder="1" applyAlignment="1">
      <alignment horizontal="right"/>
    </xf>
    <xf numFmtId="0" fontId="2" fillId="0" borderId="0" xfId="0" applyFont="1" applyBorder="1" applyAlignment="1"/>
    <xf numFmtId="1" fontId="2" fillId="0" borderId="1" xfId="3" applyNumberFormat="1" applyFont="1" applyFill="1" applyBorder="1" applyAlignment="1" applyProtection="1">
      <alignment horizontal="right"/>
      <protection locked="0"/>
    </xf>
    <xf numFmtId="1" fontId="2" fillId="0" borderId="1" xfId="0" applyNumberFormat="1" applyFont="1" applyFill="1" applyBorder="1" applyAlignment="1" applyProtection="1">
      <alignment horizontal="right"/>
      <protection locked="0"/>
    </xf>
    <xf numFmtId="0" fontId="2" fillId="0" borderId="1" xfId="0" applyFont="1" applyFill="1" applyBorder="1" applyAlignment="1" applyProtection="1">
      <alignment horizontal="right"/>
      <protection locked="0"/>
    </xf>
    <xf numFmtId="0" fontId="12" fillId="0" borderId="1" xfId="0" applyFont="1" applyBorder="1" applyAlignment="1">
      <alignment horizontal="right"/>
    </xf>
    <xf numFmtId="49" fontId="2" fillId="0" borderId="1" xfId="0" applyNumberFormat="1" applyFont="1" applyBorder="1" applyAlignment="1">
      <alignment horizontal="right"/>
    </xf>
    <xf numFmtId="9" fontId="12" fillId="0" borderId="1" xfId="0" applyNumberFormat="1" applyFont="1" applyBorder="1" applyAlignment="1">
      <alignment horizontal="right"/>
    </xf>
    <xf numFmtId="0" fontId="14" fillId="0" borderId="0" xfId="0" applyFont="1" applyFill="1" applyBorder="1" applyAlignment="1">
      <alignment wrapText="1"/>
    </xf>
    <xf numFmtId="9" fontId="3" fillId="0" borderId="1" xfId="0" applyNumberFormat="1" applyFont="1" applyFill="1" applyBorder="1" applyAlignment="1">
      <alignment horizontal="left" wrapText="1"/>
    </xf>
    <xf numFmtId="9" fontId="2" fillId="0" borderId="1" xfId="3" applyNumberFormat="1" applyFont="1" applyBorder="1" applyAlignment="1"/>
    <xf numFmtId="0" fontId="2" fillId="0" borderId="1" xfId="0" applyFont="1" applyBorder="1" applyAlignment="1">
      <alignment horizontal="left" wrapText="1"/>
    </xf>
    <xf numFmtId="0" fontId="2" fillId="0" borderId="0" xfId="0" applyFont="1" applyAlignment="1"/>
    <xf numFmtId="0" fontId="2" fillId="0" borderId="1" xfId="0" applyFont="1" applyBorder="1" applyAlignment="1">
      <alignment horizontal="left"/>
    </xf>
    <xf numFmtId="0" fontId="2" fillId="0" borderId="1" xfId="0" applyFont="1" applyBorder="1" applyAlignment="1">
      <alignment horizontal="center" wrapText="1"/>
    </xf>
    <xf numFmtId="9" fontId="2" fillId="0" borderId="1" xfId="3" applyFont="1" applyBorder="1" applyAlignment="1">
      <alignment horizontal="right"/>
    </xf>
    <xf numFmtId="0" fontId="2" fillId="0" borderId="1" xfId="0" applyFont="1" applyBorder="1" applyAlignment="1">
      <alignment horizontal="right"/>
    </xf>
    <xf numFmtId="0" fontId="2" fillId="3" borderId="1" xfId="0" applyFont="1" applyFill="1" applyBorder="1" applyAlignment="1" applyProtection="1">
      <alignment horizontal="center" wrapText="1"/>
      <protection locked="0"/>
    </xf>
    <xf numFmtId="0" fontId="2" fillId="0" borderId="2" xfId="0" applyFont="1" applyBorder="1" applyAlignment="1">
      <alignment horizontal="right"/>
    </xf>
    <xf numFmtId="0" fontId="2" fillId="0" borderId="1" xfId="0" applyFont="1" applyBorder="1" applyAlignment="1">
      <alignment horizontal="right" wrapText="1"/>
    </xf>
    <xf numFmtId="0" fontId="2" fillId="0" borderId="0" xfId="0" applyFont="1" applyBorder="1" applyAlignment="1">
      <alignment horizontal="right"/>
    </xf>
    <xf numFmtId="0" fontId="2" fillId="0" borderId="1" xfId="0" applyFont="1" applyBorder="1" applyAlignment="1" applyProtection="1">
      <protection locked="0"/>
    </xf>
    <xf numFmtId="0" fontId="2" fillId="0" borderId="1" xfId="0" applyFont="1" applyBorder="1" applyAlignment="1"/>
    <xf numFmtId="0" fontId="2" fillId="0" borderId="0" xfId="0" applyFont="1" applyBorder="1" applyAlignment="1"/>
    <xf numFmtId="0" fontId="2" fillId="0" borderId="0" xfId="0" applyFont="1" applyAlignment="1" applyProtection="1">
      <protection locked="0"/>
    </xf>
    <xf numFmtId="0" fontId="2" fillId="0" borderId="1" xfId="0" applyFont="1" applyBorder="1" applyAlignment="1" applyProtection="1">
      <alignment horizontal="left" wrapText="1"/>
    </xf>
    <xf numFmtId="0" fontId="2" fillId="0" borderId="1" xfId="0" applyFont="1" applyBorder="1" applyAlignment="1">
      <alignment horizontal="right"/>
    </xf>
    <xf numFmtId="0" fontId="2" fillId="0" borderId="10" xfId="0" applyFont="1" applyBorder="1" applyAlignment="1">
      <alignment horizontal="right"/>
    </xf>
    <xf numFmtId="0" fontId="2" fillId="0" borderId="1" xfId="0" applyFont="1" applyBorder="1" applyAlignment="1"/>
    <xf numFmtId="1" fontId="2" fillId="0" borderId="0" xfId="0" applyNumberFormat="1" applyFont="1" applyAlignment="1">
      <alignment wrapText="1"/>
    </xf>
    <xf numFmtId="0" fontId="2" fillId="0" borderId="1" xfId="0" applyFont="1" applyFill="1" applyBorder="1" applyAlignment="1" applyProtection="1">
      <protection locked="0"/>
    </xf>
    <xf numFmtId="167" fontId="2" fillId="0" borderId="1" xfId="0" applyNumberFormat="1" applyFont="1" applyBorder="1" applyAlignment="1"/>
    <xf numFmtId="0" fontId="2" fillId="0" borderId="1" xfId="0" applyFont="1" applyBorder="1" applyAlignment="1">
      <alignment horizontal="left"/>
    </xf>
    <xf numFmtId="0" fontId="2" fillId="0" borderId="1" xfId="0" applyFont="1" applyBorder="1" applyAlignment="1">
      <alignment horizontal="center"/>
    </xf>
    <xf numFmtId="0" fontId="2" fillId="0" borderId="1" xfId="0" applyFont="1" applyBorder="1" applyAlignment="1">
      <alignment horizontal="right"/>
    </xf>
    <xf numFmtId="0" fontId="2" fillId="0" borderId="10" xfId="0" applyFont="1" applyBorder="1" applyAlignment="1"/>
    <xf numFmtId="0" fontId="2" fillId="0" borderId="1" xfId="0" applyFont="1" applyBorder="1" applyAlignment="1" applyProtection="1">
      <protection locked="0"/>
    </xf>
    <xf numFmtId="0" fontId="2" fillId="0" borderId="1" xfId="0" applyFont="1" applyBorder="1" applyAlignment="1"/>
    <xf numFmtId="0" fontId="2" fillId="0" borderId="10" xfId="0" applyFont="1" applyBorder="1" applyAlignment="1">
      <alignment horizontal="right"/>
    </xf>
    <xf numFmtId="0" fontId="2" fillId="0" borderId="0" xfId="0" applyFont="1" applyBorder="1" applyAlignment="1"/>
    <xf numFmtId="0" fontId="2" fillId="0" borderId="0" xfId="0" applyFont="1" applyBorder="1" applyAlignment="1" applyProtection="1">
      <protection locked="0"/>
    </xf>
    <xf numFmtId="0" fontId="2" fillId="0" borderId="1" xfId="0" applyFont="1" applyBorder="1" applyAlignment="1">
      <alignment horizontal="left"/>
    </xf>
    <xf numFmtId="0" fontId="2" fillId="0" borderId="0" xfId="0" applyFont="1" applyAlignment="1"/>
    <xf numFmtId="0" fontId="2" fillId="0" borderId="1" xfId="0" applyFont="1" applyBorder="1" applyAlignment="1">
      <alignment horizontal="left" wrapText="1"/>
    </xf>
    <xf numFmtId="0" fontId="2" fillId="0" borderId="1" xfId="0" applyFont="1" applyBorder="1" applyAlignment="1">
      <alignment horizontal="right"/>
    </xf>
    <xf numFmtId="0" fontId="2" fillId="0" borderId="1" xfId="0" applyFont="1" applyBorder="1" applyAlignment="1"/>
    <xf numFmtId="9" fontId="2" fillId="0" borderId="1" xfId="3" applyFont="1" applyBorder="1" applyAlignment="1">
      <alignment horizontal="left"/>
    </xf>
    <xf numFmtId="0" fontId="2" fillId="0" borderId="1" xfId="0" applyFont="1" applyBorder="1" applyAlignment="1" applyProtection="1">
      <protection locked="0"/>
    </xf>
    <xf numFmtId="9" fontId="2" fillId="0" borderId="1" xfId="3" applyFont="1" applyBorder="1" applyAlignment="1">
      <alignment horizontal="left" wrapText="1"/>
    </xf>
    <xf numFmtId="1" fontId="2" fillId="0" borderId="1" xfId="3" applyNumberFormat="1" applyFont="1" applyBorder="1" applyAlignment="1">
      <alignment horizontal="left"/>
    </xf>
    <xf numFmtId="10" fontId="2" fillId="0" borderId="1" xfId="3" applyNumberFormat="1" applyFont="1" applyBorder="1" applyAlignment="1">
      <alignment horizontal="left"/>
    </xf>
    <xf numFmtId="9" fontId="2" fillId="0" borderId="1" xfId="0" applyNumberFormat="1" applyFont="1" applyFill="1" applyBorder="1" applyAlignment="1"/>
    <xf numFmtId="0" fontId="2" fillId="0" borderId="0" xfId="0" applyFont="1" applyBorder="1" applyAlignment="1">
      <alignment vertical="top" wrapText="1"/>
    </xf>
    <xf numFmtId="0" fontId="2" fillId="0" borderId="1" xfId="0" applyFont="1" applyBorder="1" applyAlignment="1">
      <alignment horizontal="left" wrapText="1"/>
    </xf>
    <xf numFmtId="0" fontId="2" fillId="0" borderId="1" xfId="0" applyFont="1" applyBorder="1" applyAlignment="1">
      <alignment horizontal="left"/>
    </xf>
    <xf numFmtId="0" fontId="3" fillId="0" borderId="1" xfId="0" applyFont="1" applyBorder="1" applyAlignment="1">
      <alignment horizontal="left" wrapText="1"/>
    </xf>
    <xf numFmtId="0" fontId="2" fillId="0" borderId="1" xfId="0" applyFont="1" applyFill="1" applyBorder="1" applyAlignment="1">
      <alignment horizontal="left" wrapText="1"/>
    </xf>
    <xf numFmtId="9" fontId="2" fillId="0" borderId="8" xfId="3" applyFont="1" applyBorder="1" applyAlignment="1">
      <alignment horizontal="left"/>
    </xf>
    <xf numFmtId="1" fontId="2" fillId="0" borderId="1" xfId="3" applyNumberFormat="1" applyFont="1" applyBorder="1" applyAlignment="1">
      <alignment horizontal="left"/>
    </xf>
    <xf numFmtId="9" fontId="2" fillId="0" borderId="1" xfId="3" applyFont="1" applyBorder="1" applyAlignment="1">
      <alignment horizontal="left" wrapText="1"/>
    </xf>
    <xf numFmtId="9" fontId="2" fillId="0" borderId="1" xfId="3" applyFont="1" applyBorder="1" applyAlignment="1">
      <alignment horizontal="left"/>
    </xf>
    <xf numFmtId="10" fontId="2" fillId="0" borderId="1" xfId="3" applyNumberFormat="1" applyFont="1" applyBorder="1" applyAlignment="1">
      <alignment horizontal="left"/>
    </xf>
    <xf numFmtId="10" fontId="2" fillId="0" borderId="1" xfId="3" applyNumberFormat="1" applyFont="1" applyBorder="1" applyAlignment="1">
      <alignment horizontal="left" wrapText="1"/>
    </xf>
    <xf numFmtId="1" fontId="2" fillId="0" borderId="1" xfId="3" applyNumberFormat="1" applyFont="1" applyBorder="1" applyAlignment="1">
      <alignment horizontal="left" textRotation="90" wrapText="1"/>
    </xf>
    <xf numFmtId="9" fontId="2" fillId="0" borderId="1" xfId="3" applyNumberFormat="1" applyFont="1" applyBorder="1" applyAlignment="1">
      <alignment horizontal="left" textRotation="90" wrapText="1"/>
    </xf>
    <xf numFmtId="10" fontId="2" fillId="0" borderId="1" xfId="3" applyNumberFormat="1" applyFont="1" applyBorder="1" applyAlignment="1">
      <alignment horizontal="left" textRotation="90" wrapText="1"/>
    </xf>
    <xf numFmtId="9" fontId="2" fillId="0" borderId="1" xfId="3" applyFont="1" applyBorder="1" applyAlignment="1">
      <alignment horizontal="left" textRotation="90" wrapText="1"/>
    </xf>
    <xf numFmtId="10" fontId="12" fillId="0" borderId="1" xfId="0" applyNumberFormat="1" applyFont="1" applyBorder="1" applyAlignment="1">
      <alignment horizontal="left" wrapText="1"/>
    </xf>
    <xf numFmtId="9" fontId="12" fillId="0" borderId="1" xfId="0" applyNumberFormat="1" applyFont="1" applyBorder="1" applyAlignment="1">
      <alignment horizontal="left" wrapText="1"/>
    </xf>
    <xf numFmtId="9" fontId="12" fillId="0" borderId="1" xfId="3" applyFont="1" applyBorder="1" applyAlignment="1">
      <alignment horizontal="left" wrapText="1"/>
    </xf>
    <xf numFmtId="10" fontId="12" fillId="0" borderId="1" xfId="3" applyNumberFormat="1" applyFont="1" applyBorder="1" applyAlignment="1">
      <alignment horizontal="left" wrapText="1"/>
    </xf>
    <xf numFmtId="0" fontId="2" fillId="0" borderId="1" xfId="0" applyFont="1" applyBorder="1" applyAlignment="1">
      <alignment horizontal="left"/>
    </xf>
    <xf numFmtId="0" fontId="2" fillId="0" borderId="0" xfId="0" applyFont="1" applyAlignment="1">
      <alignment horizontal="left"/>
    </xf>
    <xf numFmtId="0" fontId="2" fillId="0" borderId="1" xfId="0" applyFont="1" applyBorder="1" applyAlignment="1">
      <alignment horizontal="left" wrapText="1"/>
    </xf>
    <xf numFmtId="0" fontId="2" fillId="0" borderId="16" xfId="0" applyFont="1" applyBorder="1" applyAlignment="1">
      <alignment horizontal="center" wrapText="1"/>
    </xf>
    <xf numFmtId="0" fontId="2" fillId="0" borderId="10" xfId="0" applyFont="1" applyBorder="1" applyAlignment="1">
      <alignment horizontal="center" wrapText="1"/>
    </xf>
    <xf numFmtId="0" fontId="2" fillId="0" borderId="1" xfId="0" applyFont="1" applyBorder="1" applyAlignment="1">
      <alignment horizontal="right"/>
    </xf>
    <xf numFmtId="0" fontId="3" fillId="0" borderId="1" xfId="0" applyFont="1" applyBorder="1" applyAlignment="1">
      <alignment horizontal="left" wrapText="1"/>
    </xf>
    <xf numFmtId="0" fontId="2" fillId="0" borderId="1" xfId="0" applyFont="1" applyBorder="1" applyAlignment="1"/>
    <xf numFmtId="9" fontId="2" fillId="0" borderId="1" xfId="3" applyFont="1" applyBorder="1" applyAlignment="1">
      <alignment horizontal="left"/>
    </xf>
    <xf numFmtId="9" fontId="2" fillId="0" borderId="1" xfId="3" applyFont="1" applyBorder="1" applyAlignment="1">
      <alignment horizontal="left" wrapText="1"/>
    </xf>
    <xf numFmtId="1" fontId="2" fillId="0" borderId="1" xfId="3" applyNumberFormat="1" applyFont="1" applyBorder="1" applyAlignment="1">
      <alignment horizontal="left"/>
    </xf>
    <xf numFmtId="0" fontId="2" fillId="0" borderId="1" xfId="0" applyFont="1" applyBorder="1" applyAlignment="1" applyProtection="1">
      <alignment horizontal="left"/>
      <protection locked="0"/>
    </xf>
    <xf numFmtId="10" fontId="2" fillId="0" borderId="1" xfId="3" applyNumberFormat="1" applyFont="1" applyBorder="1" applyAlignment="1">
      <alignment horizontal="left"/>
    </xf>
    <xf numFmtId="0" fontId="2" fillId="0" borderId="1" xfId="0" applyFont="1" applyBorder="1" applyAlignment="1" applyProtection="1">
      <alignment horizontal="left"/>
    </xf>
    <xf numFmtId="0" fontId="2" fillId="0" borderId="1" xfId="0" applyFont="1" applyBorder="1" applyAlignment="1" applyProtection="1">
      <alignment horizontal="left" wrapText="1"/>
    </xf>
    <xf numFmtId="1" fontId="2" fillId="0" borderId="10" xfId="3" applyNumberFormat="1" applyFont="1" applyBorder="1" applyAlignment="1">
      <alignment horizontal="left" textRotation="90" wrapText="1"/>
    </xf>
    <xf numFmtId="1" fontId="2" fillId="0" borderId="7" xfId="3" applyNumberFormat="1" applyFont="1" applyBorder="1" applyAlignment="1">
      <alignment horizontal="left"/>
    </xf>
    <xf numFmtId="0" fontId="2" fillId="0" borderId="1" xfId="0" applyFont="1" applyBorder="1" applyAlignment="1">
      <alignment horizontal="left" textRotation="90" wrapText="1"/>
    </xf>
    <xf numFmtId="0" fontId="2" fillId="0" borderId="10" xfId="3" applyNumberFormat="1" applyFont="1" applyBorder="1" applyAlignment="1">
      <alignment horizontal="left"/>
    </xf>
    <xf numFmtId="1" fontId="2" fillId="0" borderId="7" xfId="3" applyNumberFormat="1" applyFont="1" applyBorder="1" applyAlignment="1">
      <alignment horizontal="left" textRotation="90" wrapText="1"/>
    </xf>
    <xf numFmtId="1" fontId="2" fillId="0" borderId="1" xfId="0" applyNumberFormat="1" applyFont="1" applyBorder="1" applyAlignment="1">
      <alignment horizontal="left"/>
    </xf>
    <xf numFmtId="171" fontId="2" fillId="0" borderId="10" xfId="0" applyNumberFormat="1" applyFont="1" applyBorder="1" applyAlignment="1">
      <alignment horizontal="left"/>
    </xf>
    <xf numFmtId="14" fontId="2" fillId="0" borderId="10" xfId="0" applyNumberFormat="1" applyFont="1" applyBorder="1" applyAlignment="1">
      <alignment horizontal="left"/>
    </xf>
    <xf numFmtId="1" fontId="2" fillId="0" borderId="10" xfId="0" applyNumberFormat="1" applyFont="1" applyBorder="1" applyAlignment="1">
      <alignment horizontal="left"/>
    </xf>
    <xf numFmtId="0" fontId="2" fillId="0" borderId="1" xfId="0" applyFont="1" applyBorder="1" applyAlignment="1">
      <alignment horizontal="right"/>
    </xf>
    <xf numFmtId="0" fontId="3" fillId="0" borderId="1" xfId="0" applyFont="1" applyFill="1" applyBorder="1" applyAlignment="1">
      <alignment horizontal="center"/>
    </xf>
    <xf numFmtId="0" fontId="2" fillId="0" borderId="1" xfId="0" applyFont="1" applyBorder="1" applyAlignment="1" applyProtection="1">
      <alignment horizontal="center"/>
    </xf>
    <xf numFmtId="0" fontId="3" fillId="0" borderId="1" xfId="0" applyFont="1" applyBorder="1" applyAlignment="1">
      <alignment vertical="center"/>
    </xf>
    <xf numFmtId="3" fontId="2" fillId="0" borderId="1" xfId="0" applyNumberFormat="1" applyFont="1" applyBorder="1" applyAlignment="1">
      <alignment horizontal="left"/>
    </xf>
    <xf numFmtId="1" fontId="2" fillId="0" borderId="1" xfId="0" applyNumberFormat="1" applyFont="1" applyBorder="1" applyAlignment="1" applyProtection="1">
      <alignment horizontal="left"/>
    </xf>
    <xf numFmtId="9" fontId="2" fillId="0" borderId="1" xfId="3" applyFont="1" applyBorder="1" applyAlignment="1" applyProtection="1">
      <alignment horizontal="left"/>
    </xf>
    <xf numFmtId="10" fontId="2" fillId="0" borderId="1" xfId="0" applyNumberFormat="1" applyFont="1" applyBorder="1" applyAlignment="1">
      <alignment horizontal="left" wrapText="1"/>
    </xf>
    <xf numFmtId="0" fontId="12" fillId="0" borderId="1" xfId="0" applyFont="1" applyBorder="1" applyAlignment="1">
      <alignment horizontal="left" wrapText="1"/>
    </xf>
    <xf numFmtId="164" fontId="12" fillId="0" borderId="1" xfId="0" applyNumberFormat="1" applyFont="1" applyBorder="1" applyAlignment="1">
      <alignment horizontal="left" wrapText="1"/>
    </xf>
    <xf numFmtId="0" fontId="4" fillId="0" borderId="1" xfId="2" applyBorder="1" applyAlignment="1" applyProtection="1">
      <alignment wrapText="1"/>
    </xf>
    <xf numFmtId="0" fontId="2" fillId="0" borderId="8" xfId="0" applyFont="1" applyBorder="1" applyAlignment="1"/>
    <xf numFmtId="0" fontId="2" fillId="0" borderId="16" xfId="0" applyFont="1" applyBorder="1" applyAlignment="1"/>
    <xf numFmtId="0" fontId="2" fillId="0" borderId="10" xfId="0" applyFont="1" applyBorder="1" applyAlignment="1"/>
    <xf numFmtId="0" fontId="2" fillId="0" borderId="7" xfId="0" applyFont="1" applyBorder="1" applyAlignment="1">
      <alignment horizontal="left"/>
    </xf>
    <xf numFmtId="0" fontId="2" fillId="0" borderId="2" xfId="0" applyFont="1" applyBorder="1" applyAlignment="1">
      <alignment horizontal="center"/>
    </xf>
    <xf numFmtId="0" fontId="2" fillId="0" borderId="1" xfId="0" applyFont="1" applyBorder="1" applyAlignment="1">
      <alignment horizontal="center"/>
    </xf>
    <xf numFmtId="0" fontId="2" fillId="0" borderId="1" xfId="0" applyFont="1" applyBorder="1" applyAlignment="1"/>
    <xf numFmtId="0" fontId="2" fillId="0" borderId="1" xfId="0" applyNumberFormat="1" applyFont="1" applyBorder="1" applyAlignment="1">
      <alignment horizontal="center"/>
    </xf>
    <xf numFmtId="0" fontId="2" fillId="3" borderId="1" xfId="0" applyFont="1" applyFill="1" applyBorder="1" applyAlignment="1" applyProtection="1">
      <alignment horizontal="center"/>
      <protection locked="0"/>
    </xf>
    <xf numFmtId="14" fontId="2" fillId="3" borderId="1" xfId="0" applyNumberFormat="1" applyFont="1" applyFill="1" applyBorder="1" applyAlignment="1" applyProtection="1">
      <alignment horizontal="center"/>
      <protection locked="0"/>
    </xf>
    <xf numFmtId="0" fontId="15" fillId="0" borderId="0" xfId="2" applyFont="1" applyAlignment="1" applyProtection="1">
      <alignment horizontal="left"/>
    </xf>
    <xf numFmtId="0" fontId="15" fillId="0" borderId="0" xfId="2" applyFont="1" applyFill="1" applyBorder="1" applyAlignment="1" applyProtection="1">
      <alignment horizontal="left" wrapText="1"/>
    </xf>
    <xf numFmtId="0" fontId="2" fillId="0" borderId="0" xfId="0" applyFont="1" applyAlignment="1">
      <alignment horizontal="center" wrapText="1"/>
    </xf>
    <xf numFmtId="0" fontId="2" fillId="0" borderId="0" xfId="0" applyFont="1" applyAlignment="1">
      <alignment horizontal="left" wrapText="1"/>
    </xf>
    <xf numFmtId="0" fontId="0" fillId="0" borderId="0" xfId="0" applyAlignment="1">
      <alignment wrapText="1"/>
    </xf>
    <xf numFmtId="0" fontId="0" fillId="0" borderId="0" xfId="0" applyAlignment="1">
      <alignment horizontal="left" wrapText="1"/>
    </xf>
    <xf numFmtId="0" fontId="2" fillId="3" borderId="13" xfId="0" applyFont="1" applyFill="1" applyBorder="1" applyAlignment="1" applyProtection="1">
      <alignment horizontal="left" vertical="top" wrapText="1"/>
      <protection locked="0"/>
    </xf>
    <xf numFmtId="0" fontId="2" fillId="3" borderId="15" xfId="0" applyFont="1" applyFill="1" applyBorder="1" applyAlignment="1" applyProtection="1">
      <alignment horizontal="left" vertical="top" wrapText="1"/>
      <protection locked="0"/>
    </xf>
    <xf numFmtId="0" fontId="2" fillId="3" borderId="4" xfId="0" applyFont="1" applyFill="1" applyBorder="1" applyAlignment="1" applyProtection="1">
      <alignment horizontal="left" vertical="top" wrapText="1"/>
      <protection locked="0"/>
    </xf>
    <xf numFmtId="0" fontId="2" fillId="3" borderId="11" xfId="0" applyFont="1" applyFill="1" applyBorder="1" applyAlignment="1" applyProtection="1">
      <alignment horizontal="left" vertical="top" wrapText="1"/>
      <protection locked="0"/>
    </xf>
    <xf numFmtId="0" fontId="2" fillId="3" borderId="0" xfId="0" applyFont="1" applyFill="1" applyBorder="1" applyAlignment="1" applyProtection="1">
      <alignment horizontal="left" vertical="top" wrapText="1"/>
      <protection locked="0"/>
    </xf>
    <xf numFmtId="0" fontId="2" fillId="3" borderId="5" xfId="0" applyFont="1" applyFill="1" applyBorder="1" applyAlignment="1" applyProtection="1">
      <alignment horizontal="left" vertical="top" wrapText="1"/>
      <protection locked="0"/>
    </xf>
    <xf numFmtId="0" fontId="2" fillId="3" borderId="9" xfId="0" applyFont="1" applyFill="1" applyBorder="1" applyAlignment="1" applyProtection="1">
      <alignment horizontal="left" vertical="top" wrapText="1"/>
      <protection locked="0"/>
    </xf>
    <xf numFmtId="0" fontId="2" fillId="3" borderId="12" xfId="0" applyFont="1" applyFill="1" applyBorder="1" applyAlignment="1" applyProtection="1">
      <alignment horizontal="left" vertical="top" wrapText="1"/>
      <protection locked="0"/>
    </xf>
    <xf numFmtId="0" fontId="2" fillId="3" borderId="6" xfId="0" applyFont="1" applyFill="1" applyBorder="1" applyAlignment="1" applyProtection="1">
      <alignment horizontal="left" vertical="top" wrapText="1"/>
      <protection locked="0"/>
    </xf>
    <xf numFmtId="0" fontId="16" fillId="0" borderId="0" xfId="0" applyFont="1" applyAlignment="1">
      <alignment horizontal="center"/>
    </xf>
    <xf numFmtId="0" fontId="18" fillId="0" borderId="0" xfId="0" applyFont="1" applyAlignment="1">
      <alignment horizontal="center"/>
    </xf>
    <xf numFmtId="0" fontId="40" fillId="0" borderId="0" xfId="0" applyFont="1" applyAlignment="1">
      <alignment horizontal="center" wrapText="1"/>
    </xf>
    <xf numFmtId="0" fontId="40" fillId="0" borderId="0" xfId="0" applyFont="1" applyAlignment="1">
      <alignment horizontal="center"/>
    </xf>
    <xf numFmtId="1" fontId="2" fillId="3" borderId="1" xfId="0" applyNumberFormat="1" applyFont="1" applyFill="1" applyBorder="1" applyAlignment="1" applyProtection="1">
      <alignment horizontal="center"/>
      <protection locked="0"/>
    </xf>
    <xf numFmtId="0" fontId="21" fillId="0" borderId="13" xfId="0" applyFont="1" applyBorder="1" applyAlignment="1">
      <alignment horizontal="left" vertical="center" wrapText="1"/>
    </xf>
    <xf numFmtId="0" fontId="21" fillId="0" borderId="15" xfId="0" applyFont="1" applyBorder="1" applyAlignment="1">
      <alignment horizontal="left" vertical="center" wrapText="1"/>
    </xf>
    <xf numFmtId="0" fontId="21" fillId="0" borderId="4" xfId="0" applyFont="1" applyBorder="1" applyAlignment="1">
      <alignment horizontal="left" vertical="center" wrapText="1"/>
    </xf>
    <xf numFmtId="0" fontId="21" fillId="0" borderId="11" xfId="0" applyFont="1" applyBorder="1" applyAlignment="1">
      <alignment horizontal="left" vertical="center" wrapText="1"/>
    </xf>
    <xf numFmtId="0" fontId="21" fillId="0" borderId="0" xfId="0" applyFont="1" applyBorder="1" applyAlignment="1">
      <alignment horizontal="left" vertical="center" wrapText="1"/>
    </xf>
    <xf numFmtId="0" fontId="21" fillId="0" borderId="5" xfId="0" applyFont="1" applyBorder="1" applyAlignment="1">
      <alignment horizontal="left" vertical="center" wrapText="1"/>
    </xf>
    <xf numFmtId="0" fontId="21" fillId="0" borderId="9" xfId="0" applyFont="1" applyBorder="1" applyAlignment="1">
      <alignment horizontal="left" vertical="center" wrapText="1"/>
    </xf>
    <xf numFmtId="0" fontId="21" fillId="0" borderId="12" xfId="0" applyFont="1" applyBorder="1" applyAlignment="1">
      <alignment horizontal="left" vertical="center" wrapText="1"/>
    </xf>
    <xf numFmtId="0" fontId="21" fillId="0" borderId="6" xfId="0" applyFont="1" applyBorder="1" applyAlignment="1">
      <alignment horizontal="left" vertical="center" wrapText="1"/>
    </xf>
    <xf numFmtId="0" fontId="2" fillId="0" borderId="0" xfId="0" applyFont="1" applyAlignment="1">
      <alignment horizontal="left"/>
    </xf>
    <xf numFmtId="0" fontId="19" fillId="3" borderId="8" xfId="0" applyFont="1" applyFill="1" applyBorder="1" applyAlignment="1" applyProtection="1">
      <alignment horizontal="center" wrapText="1"/>
      <protection locked="0"/>
    </xf>
    <xf numFmtId="0" fontId="19" fillId="3" borderId="10" xfId="0" applyFont="1" applyFill="1" applyBorder="1" applyAlignment="1" applyProtection="1">
      <alignment horizontal="center" wrapText="1"/>
      <protection locked="0"/>
    </xf>
    <xf numFmtId="9" fontId="2" fillId="2" borderId="8" xfId="0" applyNumberFormat="1" applyFont="1" applyFill="1" applyBorder="1" applyAlignment="1">
      <alignment horizontal="center"/>
    </xf>
    <xf numFmtId="9" fontId="2" fillId="2" borderId="16" xfId="0" applyNumberFormat="1" applyFont="1" applyFill="1" applyBorder="1" applyAlignment="1">
      <alignment horizontal="center"/>
    </xf>
    <xf numFmtId="9" fontId="2" fillId="2" borderId="10" xfId="0" applyNumberFormat="1" applyFont="1" applyFill="1" applyBorder="1" applyAlignment="1">
      <alignment horizontal="center"/>
    </xf>
    <xf numFmtId="0" fontId="2" fillId="3" borderId="8" xfId="0" applyFont="1" applyFill="1" applyBorder="1" applyAlignment="1" applyProtection="1">
      <alignment horizontal="center"/>
      <protection locked="0"/>
    </xf>
    <xf numFmtId="0" fontId="2" fillId="2" borderId="1" xfId="0" applyFont="1" applyFill="1" applyBorder="1" applyAlignment="1">
      <alignment horizontal="center"/>
    </xf>
    <xf numFmtId="0" fontId="2" fillId="2" borderId="8" xfId="0" applyFont="1" applyFill="1" applyBorder="1" applyAlignment="1">
      <alignment horizontal="center"/>
    </xf>
    <xf numFmtId="0" fontId="15" fillId="0" borderId="8" xfId="2" applyFont="1" applyBorder="1" applyAlignment="1" applyProtection="1">
      <alignment horizontal="left"/>
    </xf>
    <xf numFmtId="0" fontId="15" fillId="0" borderId="16" xfId="2" applyFont="1" applyBorder="1" applyAlignment="1" applyProtection="1">
      <alignment horizontal="left"/>
    </xf>
    <xf numFmtId="0" fontId="15" fillId="0" borderId="10" xfId="2" applyFont="1" applyBorder="1" applyAlignment="1" applyProtection="1">
      <alignment horizontal="left"/>
    </xf>
    <xf numFmtId="0" fontId="2" fillId="2" borderId="16" xfId="0" applyFont="1" applyFill="1" applyBorder="1" applyAlignment="1">
      <alignment horizontal="center"/>
    </xf>
    <xf numFmtId="0" fontId="2" fillId="2" borderId="10" xfId="0" applyFont="1" applyFill="1" applyBorder="1" applyAlignment="1">
      <alignment horizontal="center"/>
    </xf>
    <xf numFmtId="9" fontId="2" fillId="2" borderId="8" xfId="3" applyFont="1" applyFill="1" applyBorder="1" applyAlignment="1">
      <alignment horizontal="center"/>
    </xf>
    <xf numFmtId="9" fontId="2" fillId="2" borderId="16" xfId="3" applyFont="1" applyFill="1" applyBorder="1" applyAlignment="1">
      <alignment horizontal="center"/>
    </xf>
    <xf numFmtId="9" fontId="2" fillId="2" borderId="10" xfId="3" applyFont="1" applyFill="1" applyBorder="1" applyAlignment="1">
      <alignment horizontal="center"/>
    </xf>
    <xf numFmtId="0" fontId="3" fillId="0" borderId="1" xfId="0" applyFont="1" applyFill="1" applyBorder="1" applyAlignment="1">
      <alignment horizontal="left"/>
    </xf>
    <xf numFmtId="0" fontId="2" fillId="0" borderId="8" xfId="0" applyFont="1" applyFill="1" applyBorder="1" applyAlignment="1">
      <alignment horizontal="left"/>
    </xf>
    <xf numFmtId="0" fontId="2" fillId="0" borderId="16" xfId="0" applyFont="1" applyFill="1" applyBorder="1" applyAlignment="1">
      <alignment horizontal="left"/>
    </xf>
    <xf numFmtId="0" fontId="2" fillId="0" borderId="10" xfId="0" applyFont="1" applyFill="1" applyBorder="1" applyAlignment="1">
      <alignment horizontal="left"/>
    </xf>
    <xf numFmtId="44" fontId="2" fillId="2" borderId="8" xfId="0" applyNumberFormat="1" applyFont="1" applyFill="1" applyBorder="1" applyAlignment="1">
      <alignment horizontal="center"/>
    </xf>
    <xf numFmtId="44" fontId="2" fillId="2" borderId="16" xfId="0" applyNumberFormat="1" applyFont="1" applyFill="1" applyBorder="1" applyAlignment="1">
      <alignment horizontal="center"/>
    </xf>
    <xf numFmtId="0" fontId="2" fillId="0" borderId="8" xfId="0" applyFont="1" applyBorder="1" applyAlignment="1">
      <alignment horizontal="left"/>
    </xf>
    <xf numFmtId="0" fontId="2" fillId="0" borderId="16" xfId="0" applyFont="1" applyBorder="1" applyAlignment="1">
      <alignment horizontal="left"/>
    </xf>
    <xf numFmtId="0" fontId="2" fillId="0" borderId="10" xfId="0" applyFont="1" applyBorder="1" applyAlignment="1">
      <alignment horizontal="left"/>
    </xf>
    <xf numFmtId="10" fontId="2" fillId="2" borderId="1" xfId="3" applyNumberFormat="1" applyFont="1" applyFill="1" applyBorder="1" applyAlignment="1">
      <alignment horizontal="center"/>
    </xf>
    <xf numFmtId="10" fontId="2" fillId="2" borderId="8" xfId="3" applyNumberFormat="1" applyFont="1" applyFill="1" applyBorder="1" applyAlignment="1">
      <alignment horizontal="center"/>
    </xf>
    <xf numFmtId="0" fontId="2" fillId="0" borderId="13" xfId="0" applyFont="1" applyBorder="1" applyAlignment="1">
      <alignment horizontal="left" wrapText="1"/>
    </xf>
    <xf numFmtId="0" fontId="2" fillId="0" borderId="15" xfId="0" applyFont="1" applyBorder="1" applyAlignment="1">
      <alignment horizontal="left" wrapText="1"/>
    </xf>
    <xf numFmtId="0" fontId="2" fillId="0" borderId="4" xfId="0" applyFont="1" applyBorder="1" applyAlignment="1">
      <alignment horizontal="left" wrapText="1"/>
    </xf>
    <xf numFmtId="0" fontId="2" fillId="0" borderId="9" xfId="0" applyFont="1" applyBorder="1" applyAlignment="1">
      <alignment horizontal="left" wrapText="1"/>
    </xf>
    <xf numFmtId="0" fontId="2" fillId="0" borderId="12" xfId="0" applyFont="1" applyBorder="1" applyAlignment="1">
      <alignment horizontal="left" wrapText="1"/>
    </xf>
    <xf numFmtId="0" fontId="2" fillId="0" borderId="6" xfId="0" applyFont="1" applyBorder="1" applyAlignment="1">
      <alignment horizontal="left" wrapText="1"/>
    </xf>
    <xf numFmtId="9" fontId="2" fillId="5" borderId="1" xfId="0" applyNumberFormat="1" applyFont="1" applyFill="1" applyBorder="1" applyAlignment="1">
      <alignment horizontal="center"/>
    </xf>
    <xf numFmtId="0" fontId="2" fillId="0" borderId="8" xfId="0" applyFont="1" applyBorder="1" applyAlignment="1">
      <alignment horizontal="left" wrapText="1"/>
    </xf>
    <xf numFmtId="0" fontId="2" fillId="0" borderId="16" xfId="0" applyFont="1" applyBorder="1" applyAlignment="1">
      <alignment horizontal="left" wrapText="1"/>
    </xf>
    <xf numFmtId="0" fontId="2" fillId="0" borderId="10" xfId="0" applyFont="1" applyBorder="1" applyAlignment="1">
      <alignment horizontal="left" wrapText="1"/>
    </xf>
    <xf numFmtId="14" fontId="2" fillId="2" borderId="1" xfId="0" applyNumberFormat="1" applyFont="1" applyFill="1" applyBorder="1" applyAlignment="1" applyProtection="1">
      <alignment horizontal="center"/>
    </xf>
    <xf numFmtId="14" fontId="2" fillId="2" borderId="8" xfId="0" applyNumberFormat="1" applyFont="1" applyFill="1" applyBorder="1" applyAlignment="1" applyProtection="1">
      <alignment horizontal="center"/>
    </xf>
    <xf numFmtId="0" fontId="2" fillId="0" borderId="1" xfId="0" applyFont="1" applyBorder="1" applyAlignment="1">
      <alignment horizontal="left" wrapText="1"/>
    </xf>
    <xf numFmtId="1" fontId="2" fillId="2" borderId="1" xfId="0" applyNumberFormat="1" applyFont="1" applyFill="1" applyBorder="1" applyAlignment="1" applyProtection="1">
      <alignment horizontal="center" wrapText="1"/>
    </xf>
    <xf numFmtId="10" fontId="3" fillId="2" borderId="1" xfId="0" applyNumberFormat="1" applyFont="1" applyFill="1" applyBorder="1" applyAlignment="1">
      <alignment horizontal="center"/>
    </xf>
    <xf numFmtId="0" fontId="33" fillId="4" borderId="2" xfId="0" applyFont="1" applyFill="1" applyBorder="1" applyAlignment="1">
      <alignment horizontal="center" wrapText="1"/>
    </xf>
    <xf numFmtId="9" fontId="2" fillId="2" borderId="9" xfId="0" applyNumberFormat="1" applyFont="1" applyFill="1" applyBorder="1" applyAlignment="1">
      <alignment horizontal="center"/>
    </xf>
    <xf numFmtId="0" fontId="2" fillId="2" borderId="12" xfId="0" applyFont="1" applyFill="1" applyBorder="1" applyAlignment="1">
      <alignment horizontal="center"/>
    </xf>
    <xf numFmtId="0" fontId="2" fillId="2" borderId="6" xfId="0" applyFont="1" applyFill="1" applyBorder="1" applyAlignment="1">
      <alignment horizontal="center"/>
    </xf>
    <xf numFmtId="9" fontId="12" fillId="3" borderId="1" xfId="0" applyNumberFormat="1" applyFont="1" applyFill="1" applyBorder="1" applyAlignment="1" applyProtection="1">
      <alignment horizontal="center"/>
      <protection locked="0"/>
    </xf>
    <xf numFmtId="10" fontId="2" fillId="2" borderId="16" xfId="3" applyNumberFormat="1" applyFont="1" applyFill="1" applyBorder="1" applyAlignment="1">
      <alignment horizontal="center"/>
    </xf>
    <xf numFmtId="10" fontId="2" fillId="2" borderId="10" xfId="3" applyNumberFormat="1" applyFont="1" applyFill="1" applyBorder="1" applyAlignment="1">
      <alignment horizontal="center"/>
    </xf>
    <xf numFmtId="0" fontId="2" fillId="0" borderId="5" xfId="0" applyFont="1" applyBorder="1" applyAlignment="1">
      <alignment horizontal="left"/>
    </xf>
    <xf numFmtId="0" fontId="2" fillId="0" borderId="1" xfId="0" applyFont="1" applyBorder="1" applyAlignment="1">
      <alignment horizontal="left" vertical="center" wrapText="1"/>
    </xf>
    <xf numFmtId="0" fontId="2" fillId="0" borderId="7" xfId="0" applyFont="1" applyBorder="1" applyAlignment="1">
      <alignment horizontal="left" vertical="center" wrapText="1"/>
    </xf>
    <xf numFmtId="14" fontId="2" fillId="2" borderId="2" xfId="0" applyNumberFormat="1" applyFont="1" applyFill="1" applyBorder="1" applyAlignment="1" applyProtection="1">
      <alignment horizontal="center"/>
    </xf>
    <xf numFmtId="14" fontId="2" fillId="2" borderId="9" xfId="0" applyNumberFormat="1" applyFont="1" applyFill="1" applyBorder="1" applyAlignment="1" applyProtection="1">
      <alignment horizontal="center"/>
    </xf>
    <xf numFmtId="0" fontId="2" fillId="0" borderId="2" xfId="0" applyFont="1" applyBorder="1" applyAlignment="1">
      <alignment horizontal="left"/>
    </xf>
    <xf numFmtId="0" fontId="2" fillId="0" borderId="0" xfId="0" applyFont="1" applyBorder="1" applyAlignment="1">
      <alignment horizontal="center"/>
    </xf>
    <xf numFmtId="0" fontId="16" fillId="0" borderId="8" xfId="0" applyFont="1" applyBorder="1" applyAlignment="1">
      <alignment horizontal="center" wrapText="1"/>
    </xf>
    <xf numFmtId="0" fontId="16" fillId="0" borderId="16" xfId="0" applyFont="1" applyBorder="1" applyAlignment="1">
      <alignment horizontal="center"/>
    </xf>
    <xf numFmtId="0" fontId="16" fillId="0" borderId="15" xfId="0" applyFont="1" applyBorder="1" applyAlignment="1">
      <alignment horizontal="center"/>
    </xf>
    <xf numFmtId="0" fontId="16" fillId="0" borderId="4" xfId="0" applyFont="1" applyBorder="1" applyAlignment="1">
      <alignment horizontal="center"/>
    </xf>
    <xf numFmtId="0" fontId="2" fillId="0" borderId="13" xfId="0" applyFont="1" applyFill="1" applyBorder="1" applyAlignment="1">
      <alignment horizontal="left"/>
    </xf>
    <xf numFmtId="0" fontId="2" fillId="0" borderId="15" xfId="0" applyFont="1" applyFill="1" applyBorder="1" applyAlignment="1">
      <alignment horizontal="left"/>
    </xf>
    <xf numFmtId="0" fontId="2" fillId="0" borderId="4" xfId="0" applyFont="1" applyFill="1" applyBorder="1" applyAlignment="1">
      <alignment horizontal="left"/>
    </xf>
    <xf numFmtId="0" fontId="2" fillId="0" borderId="0" xfId="0" applyFont="1" applyFill="1" applyBorder="1" applyAlignment="1">
      <alignment horizontal="left" wrapText="1"/>
    </xf>
    <xf numFmtId="0" fontId="2" fillId="0" borderId="0" xfId="0" applyFont="1" applyAlignment="1"/>
    <xf numFmtId="0" fontId="2" fillId="0" borderId="5" xfId="0" applyFont="1" applyBorder="1" applyAlignment="1"/>
    <xf numFmtId="0" fontId="2" fillId="0" borderId="12" xfId="0" applyFont="1" applyBorder="1" applyAlignment="1"/>
    <xf numFmtId="0" fontId="2" fillId="0" borderId="6" xfId="0" applyFont="1" applyBorder="1" applyAlignment="1"/>
    <xf numFmtId="0" fontId="2" fillId="0" borderId="7" xfId="0" applyFont="1" applyBorder="1" applyAlignment="1">
      <alignment horizontal="left"/>
    </xf>
    <xf numFmtId="0" fontId="2" fillId="0" borderId="14" xfId="0" applyFont="1" applyBorder="1" applyAlignment="1">
      <alignment horizontal="left"/>
    </xf>
    <xf numFmtId="0" fontId="2" fillId="0" borderId="1" xfId="0" applyFont="1" applyBorder="1" applyAlignment="1">
      <alignment horizontal="left"/>
    </xf>
    <xf numFmtId="0" fontId="12" fillId="3" borderId="13" xfId="2" applyFont="1" applyFill="1" applyBorder="1" applyAlignment="1" applyProtection="1">
      <alignment horizontal="left" vertical="top" wrapText="1"/>
      <protection locked="0"/>
    </xf>
    <xf numFmtId="0" fontId="12" fillId="3" borderId="15" xfId="2" applyFont="1" applyFill="1" applyBorder="1" applyAlignment="1" applyProtection="1">
      <alignment horizontal="left" vertical="top" wrapText="1"/>
      <protection locked="0"/>
    </xf>
    <xf numFmtId="0" fontId="12" fillId="3" borderId="4" xfId="2" applyFont="1" applyFill="1" applyBorder="1" applyAlignment="1" applyProtection="1">
      <alignment horizontal="left" vertical="top" wrapText="1"/>
      <protection locked="0"/>
    </xf>
    <xf numFmtId="0" fontId="12" fillId="3" borderId="11" xfId="2" applyFont="1" applyFill="1" applyBorder="1" applyAlignment="1" applyProtection="1">
      <alignment horizontal="left" vertical="top" wrapText="1"/>
      <protection locked="0"/>
    </xf>
    <xf numFmtId="0" fontId="12" fillId="3" borderId="0" xfId="2" applyFont="1" applyFill="1" applyBorder="1" applyAlignment="1" applyProtection="1">
      <alignment horizontal="left" vertical="top" wrapText="1"/>
      <protection locked="0"/>
    </xf>
    <xf numFmtId="0" fontId="12" fillId="3" borderId="5" xfId="2" applyFont="1" applyFill="1" applyBorder="1" applyAlignment="1" applyProtection="1">
      <alignment horizontal="left" vertical="top" wrapText="1"/>
      <protection locked="0"/>
    </xf>
    <xf numFmtId="44" fontId="2" fillId="2" borderId="1" xfId="0" applyNumberFormat="1" applyFont="1" applyFill="1" applyBorder="1" applyAlignment="1">
      <alignment horizontal="center" wrapText="1"/>
    </xf>
    <xf numFmtId="44" fontId="2" fillId="2" borderId="8" xfId="0" applyNumberFormat="1" applyFont="1" applyFill="1" applyBorder="1" applyAlignment="1">
      <alignment horizontal="center" wrapText="1"/>
    </xf>
    <xf numFmtId="44" fontId="2" fillId="3" borderId="8" xfId="1" applyFont="1" applyFill="1" applyBorder="1" applyAlignment="1" applyProtection="1">
      <alignment horizontal="center"/>
      <protection locked="0"/>
    </xf>
    <xf numFmtId="44" fontId="2" fillId="3" borderId="16" xfId="1" applyFont="1" applyFill="1" applyBorder="1" applyAlignment="1" applyProtection="1">
      <alignment horizontal="center"/>
      <protection locked="0"/>
    </xf>
    <xf numFmtId="10" fontId="2" fillId="2" borderId="8" xfId="0" applyNumberFormat="1" applyFont="1" applyFill="1" applyBorder="1" applyAlignment="1">
      <alignment horizontal="center"/>
    </xf>
    <xf numFmtId="0" fontId="17" fillId="0" borderId="7" xfId="0" applyFont="1" applyBorder="1" applyAlignment="1">
      <alignment horizontal="center" vertical="center" wrapText="1"/>
    </xf>
    <xf numFmtId="0" fontId="53" fillId="0" borderId="14" xfId="0" applyFont="1" applyBorder="1" applyAlignment="1">
      <alignment vertical="center" wrapText="1"/>
    </xf>
    <xf numFmtId="0" fontId="53" fillId="0" borderId="2" xfId="0" applyFont="1" applyBorder="1" applyAlignment="1">
      <alignment vertical="center" wrapText="1"/>
    </xf>
    <xf numFmtId="0" fontId="8" fillId="0" borderId="7" xfId="0" applyFont="1" applyFill="1" applyBorder="1" applyAlignment="1">
      <alignment horizontal="center" wrapText="1"/>
    </xf>
    <xf numFmtId="0" fontId="8" fillId="0" borderId="14" xfId="0" applyFont="1" applyFill="1" applyBorder="1" applyAlignment="1">
      <alignment horizontal="center" wrapText="1"/>
    </xf>
    <xf numFmtId="0" fontId="8" fillId="0" borderId="2" xfId="0" applyFont="1" applyFill="1" applyBorder="1" applyAlignment="1">
      <alignment horizontal="center" wrapText="1"/>
    </xf>
    <xf numFmtId="0" fontId="17" fillId="0" borderId="13" xfId="0" applyFont="1" applyFill="1" applyBorder="1" applyAlignment="1">
      <alignment horizontal="center" wrapText="1"/>
    </xf>
    <xf numFmtId="0" fontId="17" fillId="0" borderId="15" xfId="0" applyFont="1" applyFill="1" applyBorder="1" applyAlignment="1">
      <alignment horizontal="center" wrapText="1"/>
    </xf>
    <xf numFmtId="0" fontId="17" fillId="0" borderId="4" xfId="0" applyFont="1" applyFill="1" applyBorder="1" applyAlignment="1">
      <alignment horizontal="center" wrapText="1"/>
    </xf>
    <xf numFmtId="0" fontId="17" fillId="0" borderId="11" xfId="0" applyFont="1" applyFill="1" applyBorder="1" applyAlignment="1">
      <alignment horizontal="center" wrapText="1"/>
    </xf>
    <xf numFmtId="0" fontId="17" fillId="0" borderId="0" xfId="0" applyFont="1" applyFill="1" applyBorder="1" applyAlignment="1">
      <alignment horizontal="center" wrapText="1"/>
    </xf>
    <xf numFmtId="0" fontId="17" fillId="0" borderId="5" xfId="0" applyFont="1" applyFill="1" applyBorder="1" applyAlignment="1">
      <alignment horizontal="center" wrapText="1"/>
    </xf>
    <xf numFmtId="0" fontId="17" fillId="0" borderId="9" xfId="0" applyFont="1" applyFill="1" applyBorder="1" applyAlignment="1">
      <alignment horizontal="center" wrapText="1"/>
    </xf>
    <xf numFmtId="0" fontId="17" fillId="0" borderId="12" xfId="0" applyFont="1" applyFill="1" applyBorder="1" applyAlignment="1">
      <alignment horizontal="center" wrapText="1"/>
    </xf>
    <xf numFmtId="0" fontId="17" fillId="0" borderId="6" xfId="0" applyFont="1" applyFill="1" applyBorder="1" applyAlignment="1">
      <alignment horizontal="center" wrapText="1"/>
    </xf>
    <xf numFmtId="0" fontId="2" fillId="0" borderId="11" xfId="0" applyFont="1" applyBorder="1" applyAlignment="1">
      <alignment horizontal="left" wrapText="1"/>
    </xf>
    <xf numFmtId="0" fontId="2" fillId="0" borderId="0" xfId="0" applyFont="1" applyBorder="1" applyAlignment="1">
      <alignment horizontal="left" wrapText="1"/>
    </xf>
    <xf numFmtId="0" fontId="2" fillId="0" borderId="5" xfId="0" applyFont="1" applyBorder="1" applyAlignment="1">
      <alignment horizontal="left" wrapText="1"/>
    </xf>
    <xf numFmtId="0" fontId="2" fillId="3" borderId="10" xfId="0" applyFont="1" applyFill="1" applyBorder="1" applyAlignment="1" applyProtection="1">
      <alignment horizontal="center"/>
      <protection locked="0"/>
    </xf>
    <xf numFmtId="0" fontId="15" fillId="0" borderId="9" xfId="2" applyFont="1" applyBorder="1" applyAlignment="1" applyProtection="1">
      <alignment horizontal="left"/>
    </xf>
    <xf numFmtId="0" fontId="15" fillId="0" borderId="12" xfId="2" applyFont="1" applyBorder="1" applyAlignment="1" applyProtection="1">
      <alignment horizontal="left"/>
    </xf>
    <xf numFmtId="0" fontId="15" fillId="0" borderId="6" xfId="2" applyFont="1" applyBorder="1" applyAlignment="1" applyProtection="1">
      <alignment horizontal="left"/>
    </xf>
    <xf numFmtId="0" fontId="8" fillId="0" borderId="13" xfId="0" applyFont="1" applyBorder="1" applyAlignment="1">
      <alignment horizontal="left" wrapText="1"/>
    </xf>
    <xf numFmtId="0" fontId="8" fillId="0" borderId="15" xfId="0" applyFont="1" applyBorder="1" applyAlignment="1">
      <alignment horizontal="left" wrapText="1"/>
    </xf>
    <xf numFmtId="0" fontId="8" fillId="0" borderId="4" xfId="0" applyFont="1" applyBorder="1" applyAlignment="1">
      <alignment horizontal="left" wrapText="1"/>
    </xf>
    <xf numFmtId="0" fontId="8" fillId="0" borderId="9" xfId="0" applyFont="1" applyBorder="1" applyAlignment="1">
      <alignment horizontal="left" wrapText="1"/>
    </xf>
    <xf numFmtId="0" fontId="8" fillId="0" borderId="12" xfId="0" applyFont="1" applyBorder="1" applyAlignment="1">
      <alignment horizontal="left" wrapText="1"/>
    </xf>
    <xf numFmtId="0" fontId="8" fillId="0" borderId="6" xfId="0" applyFont="1" applyBorder="1" applyAlignment="1">
      <alignment horizontal="left" wrapText="1"/>
    </xf>
    <xf numFmtId="0" fontId="2" fillId="0" borderId="7" xfId="0" applyFont="1" applyBorder="1" applyAlignment="1">
      <alignment horizontal="center"/>
    </xf>
    <xf numFmtId="0" fontId="2" fillId="0" borderId="14" xfId="0" applyFont="1" applyBorder="1" applyAlignment="1">
      <alignment horizontal="center"/>
    </xf>
    <xf numFmtId="0" fontId="2" fillId="0" borderId="2" xfId="0" applyFont="1" applyBorder="1" applyAlignment="1">
      <alignment horizontal="center"/>
    </xf>
    <xf numFmtId="0" fontId="8" fillId="0" borderId="13" xfId="0" applyFont="1" applyBorder="1" applyAlignment="1">
      <alignment horizontal="left" vertical="center" wrapText="1"/>
    </xf>
    <xf numFmtId="0" fontId="8" fillId="0" borderId="15" xfId="0" applyFont="1" applyBorder="1" applyAlignment="1">
      <alignment horizontal="left" vertical="center" wrapText="1"/>
    </xf>
    <xf numFmtId="0" fontId="8" fillId="0" borderId="4" xfId="0" applyFont="1" applyBorder="1" applyAlignment="1">
      <alignment horizontal="left" vertical="center" wrapText="1"/>
    </xf>
    <xf numFmtId="0" fontId="8" fillId="0" borderId="11" xfId="0" applyFont="1" applyBorder="1" applyAlignment="1">
      <alignment horizontal="left" vertical="center" wrapText="1"/>
    </xf>
    <xf numFmtId="0" fontId="8" fillId="0" borderId="0" xfId="0" applyFont="1" applyBorder="1" applyAlignment="1">
      <alignment horizontal="left" vertical="center" wrapText="1"/>
    </xf>
    <xf numFmtId="0" fontId="8" fillId="0" borderId="5" xfId="0" applyFont="1" applyBorder="1" applyAlignment="1">
      <alignment horizontal="left" vertical="center" wrapText="1"/>
    </xf>
    <xf numFmtId="0" fontId="8" fillId="0" borderId="9" xfId="0" applyFont="1" applyBorder="1" applyAlignment="1">
      <alignment horizontal="left" vertical="center" wrapText="1"/>
    </xf>
    <xf numFmtId="0" fontId="8" fillId="0" borderId="12" xfId="0" applyFont="1" applyBorder="1" applyAlignment="1">
      <alignment horizontal="left" vertical="center" wrapText="1"/>
    </xf>
    <xf numFmtId="0" fontId="8" fillId="0" borderId="6" xfId="0" applyFont="1" applyBorder="1" applyAlignment="1">
      <alignment horizontal="left" vertical="center" wrapText="1"/>
    </xf>
    <xf numFmtId="0" fontId="2" fillId="0" borderId="13" xfId="0" applyFont="1" applyBorder="1" applyAlignment="1">
      <alignment horizontal="left"/>
    </xf>
    <xf numFmtId="0" fontId="2" fillId="0" borderId="15" xfId="0" applyFont="1" applyBorder="1" applyAlignment="1">
      <alignment horizontal="left"/>
    </xf>
    <xf numFmtId="0" fontId="2" fillId="0" borderId="4" xfId="0" applyFont="1" applyBorder="1" applyAlignment="1">
      <alignment horizontal="left"/>
    </xf>
    <xf numFmtId="0" fontId="39" fillId="0" borderId="7" xfId="0" applyFont="1" applyFill="1" applyBorder="1" applyAlignment="1">
      <alignment horizontal="center" wrapText="1"/>
    </xf>
    <xf numFmtId="0" fontId="39" fillId="0" borderId="14" xfId="0" applyFont="1" applyFill="1" applyBorder="1" applyAlignment="1">
      <alignment horizontal="center" wrapText="1"/>
    </xf>
    <xf numFmtId="0" fontId="39" fillId="0" borderId="2" xfId="0" applyFont="1" applyFill="1" applyBorder="1" applyAlignment="1">
      <alignment horizontal="center" wrapText="1"/>
    </xf>
    <xf numFmtId="2" fontId="2" fillId="2" borderId="1" xfId="0" applyNumberFormat="1" applyFont="1" applyFill="1" applyBorder="1" applyAlignment="1">
      <alignment horizontal="center"/>
    </xf>
    <xf numFmtId="0" fontId="2" fillId="0" borderId="0" xfId="0" applyFont="1" applyFill="1" applyBorder="1" applyAlignment="1">
      <alignment horizontal="center"/>
    </xf>
    <xf numFmtId="44" fontId="2" fillId="2" borderId="10" xfId="0" applyNumberFormat="1" applyFont="1" applyFill="1" applyBorder="1" applyAlignment="1">
      <alignment horizontal="center"/>
    </xf>
    <xf numFmtId="9" fontId="3" fillId="2" borderId="8" xfId="0" applyNumberFormat="1" applyFont="1" applyFill="1" applyBorder="1" applyAlignment="1">
      <alignment horizontal="center"/>
    </xf>
    <xf numFmtId="9" fontId="3" fillId="2" borderId="16" xfId="0" applyNumberFormat="1" applyFont="1" applyFill="1" applyBorder="1" applyAlignment="1">
      <alignment horizontal="center"/>
    </xf>
    <xf numFmtId="9" fontId="3" fillId="2" borderId="10" xfId="0" applyNumberFormat="1" applyFont="1" applyFill="1" applyBorder="1" applyAlignment="1">
      <alignment horizontal="center"/>
    </xf>
    <xf numFmtId="0" fontId="2" fillId="0" borderId="13" xfId="0" applyFont="1" applyFill="1" applyBorder="1" applyAlignment="1">
      <alignment horizontal="left" vertical="center"/>
    </xf>
    <xf numFmtId="0" fontId="2" fillId="0" borderId="15" xfId="0" applyFont="1" applyFill="1" applyBorder="1" applyAlignment="1">
      <alignment horizontal="left" vertical="center"/>
    </xf>
    <xf numFmtId="0" fontId="2" fillId="0" borderId="4" xfId="0" applyFont="1" applyFill="1" applyBorder="1" applyAlignment="1">
      <alignment horizontal="left" vertical="center"/>
    </xf>
    <xf numFmtId="0" fontId="8" fillId="0" borderId="1" xfId="0" applyFont="1" applyFill="1" applyBorder="1" applyAlignment="1">
      <alignment horizontal="left" vertical="center" wrapText="1"/>
    </xf>
    <xf numFmtId="0" fontId="2" fillId="3" borderId="13" xfId="0" applyFont="1" applyFill="1" applyBorder="1" applyAlignment="1" applyProtection="1">
      <alignment horizontal="center"/>
      <protection locked="0"/>
    </xf>
    <xf numFmtId="0" fontId="2" fillId="3" borderId="11" xfId="0" applyFont="1" applyFill="1" applyBorder="1" applyAlignment="1" applyProtection="1">
      <alignment horizontal="center"/>
      <protection locked="0"/>
    </xf>
    <xf numFmtId="0" fontId="2" fillId="3" borderId="9" xfId="0" applyFont="1" applyFill="1" applyBorder="1" applyAlignment="1" applyProtection="1">
      <alignment horizontal="center"/>
      <protection locked="0"/>
    </xf>
    <xf numFmtId="9" fontId="2" fillId="2" borderId="7" xfId="0" applyNumberFormat="1" applyFont="1" applyFill="1" applyBorder="1" applyAlignment="1">
      <alignment horizontal="center"/>
    </xf>
    <xf numFmtId="0" fontId="2" fillId="2" borderId="7" xfId="0" applyFont="1" applyFill="1" applyBorder="1" applyAlignment="1">
      <alignment horizontal="center"/>
    </xf>
    <xf numFmtId="9" fontId="12" fillId="3" borderId="8" xfId="3" applyFont="1" applyFill="1" applyBorder="1" applyAlignment="1" applyProtection="1">
      <alignment horizontal="center"/>
      <protection locked="0"/>
    </xf>
    <xf numFmtId="9" fontId="12" fillId="3" borderId="16" xfId="3" applyFont="1" applyFill="1" applyBorder="1" applyAlignment="1" applyProtection="1">
      <alignment horizontal="center"/>
      <protection locked="0"/>
    </xf>
    <xf numFmtId="9" fontId="12" fillId="3" borderId="10" xfId="3" applyFont="1" applyFill="1" applyBorder="1" applyAlignment="1" applyProtection="1">
      <alignment horizontal="center"/>
      <protection locked="0"/>
    </xf>
    <xf numFmtId="0" fontId="2" fillId="2" borderId="9" xfId="0" applyFont="1" applyFill="1" applyBorder="1" applyAlignment="1">
      <alignment horizontal="center"/>
    </xf>
    <xf numFmtId="0" fontId="3" fillId="0" borderId="1" xfId="0" applyFont="1" applyBorder="1" applyAlignment="1">
      <alignment horizontal="center"/>
    </xf>
    <xf numFmtId="0" fontId="3" fillId="0" borderId="8" xfId="0" applyFont="1" applyBorder="1" applyAlignment="1">
      <alignment horizontal="left"/>
    </xf>
    <xf numFmtId="0" fontId="3" fillId="0" borderId="16" xfId="0" applyFont="1" applyBorder="1" applyAlignment="1">
      <alignment horizontal="left"/>
    </xf>
    <xf numFmtId="0" fontId="3" fillId="0" borderId="10" xfId="0" applyFont="1" applyBorder="1" applyAlignment="1">
      <alignment horizontal="left"/>
    </xf>
    <xf numFmtId="10" fontId="2" fillId="2" borderId="1" xfId="0" applyNumberFormat="1" applyFont="1" applyFill="1" applyBorder="1" applyAlignment="1">
      <alignment horizontal="center"/>
    </xf>
    <xf numFmtId="0" fontId="9" fillId="0" borderId="13" xfId="0" applyFont="1" applyBorder="1" applyAlignment="1">
      <alignment horizontal="center"/>
    </xf>
    <xf numFmtId="0" fontId="9" fillId="0" borderId="15" xfId="0" applyFont="1" applyBorder="1" applyAlignment="1">
      <alignment horizontal="center"/>
    </xf>
    <xf numFmtId="0" fontId="9" fillId="0" borderId="4" xfId="0" applyFont="1" applyBorder="1" applyAlignment="1">
      <alignment horizontal="center"/>
    </xf>
    <xf numFmtId="0" fontId="9" fillId="0" borderId="11" xfId="0" applyFont="1" applyBorder="1" applyAlignment="1">
      <alignment horizontal="center"/>
    </xf>
    <xf numFmtId="0" fontId="9" fillId="0" borderId="0" xfId="0" applyFont="1" applyBorder="1" applyAlignment="1">
      <alignment horizontal="center"/>
    </xf>
    <xf numFmtId="0" fontId="9" fillId="0" borderId="5" xfId="0" applyFont="1" applyBorder="1" applyAlignment="1">
      <alignment horizontal="center"/>
    </xf>
    <xf numFmtId="0" fontId="9" fillId="0" borderId="9" xfId="0" applyFont="1" applyBorder="1" applyAlignment="1">
      <alignment horizontal="center"/>
    </xf>
    <xf numFmtId="0" fontId="9" fillId="0" borderId="12" xfId="0" applyFont="1" applyBorder="1" applyAlignment="1">
      <alignment horizontal="center"/>
    </xf>
    <xf numFmtId="0" fontId="9" fillId="0" borderId="6" xfId="0" applyFont="1" applyBorder="1" applyAlignment="1">
      <alignment horizontal="center"/>
    </xf>
    <xf numFmtId="0" fontId="2" fillId="3" borderId="16" xfId="0" applyFont="1" applyFill="1" applyBorder="1" applyAlignment="1" applyProtection="1">
      <alignment horizontal="center"/>
      <protection locked="0"/>
    </xf>
    <xf numFmtId="1" fontId="2" fillId="2" borderId="8" xfId="0" applyNumberFormat="1" applyFont="1" applyFill="1" applyBorder="1" applyAlignment="1" applyProtection="1">
      <alignment horizontal="center" wrapText="1"/>
    </xf>
    <xf numFmtId="1" fontId="2" fillId="2" borderId="16" xfId="0" applyNumberFormat="1" applyFont="1" applyFill="1" applyBorder="1" applyAlignment="1" applyProtection="1">
      <alignment horizontal="center" wrapText="1"/>
    </xf>
    <xf numFmtId="1" fontId="2" fillId="2" borderId="10" xfId="0" applyNumberFormat="1" applyFont="1" applyFill="1" applyBorder="1" applyAlignment="1" applyProtection="1">
      <alignment horizontal="center" wrapText="1"/>
    </xf>
    <xf numFmtId="0" fontId="19" fillId="3" borderId="16" xfId="0" applyFont="1" applyFill="1" applyBorder="1" applyAlignment="1" applyProtection="1">
      <alignment horizontal="center" wrapText="1"/>
      <protection locked="0"/>
    </xf>
    <xf numFmtId="2" fontId="2" fillId="2" borderId="8" xfId="0" applyNumberFormat="1" applyFont="1" applyFill="1" applyBorder="1" applyAlignment="1">
      <alignment horizontal="center"/>
    </xf>
    <xf numFmtId="2" fontId="2" fillId="2" borderId="10" xfId="0" applyNumberFormat="1" applyFont="1" applyFill="1" applyBorder="1" applyAlignment="1">
      <alignment horizontal="center"/>
    </xf>
    <xf numFmtId="10" fontId="2" fillId="2" borderId="16" xfId="0" applyNumberFormat="1" applyFont="1" applyFill="1" applyBorder="1" applyAlignment="1">
      <alignment horizontal="center"/>
    </xf>
    <xf numFmtId="10" fontId="2" fillId="2" borderId="10" xfId="0" applyNumberFormat="1" applyFont="1" applyFill="1" applyBorder="1" applyAlignment="1">
      <alignment horizontal="center"/>
    </xf>
    <xf numFmtId="0" fontId="37" fillId="4" borderId="1" xfId="0" applyFont="1" applyFill="1" applyBorder="1" applyAlignment="1">
      <alignment horizontal="center" wrapText="1"/>
    </xf>
    <xf numFmtId="9" fontId="21" fillId="0" borderId="7" xfId="0" applyNumberFormat="1" applyFont="1" applyFill="1" applyBorder="1" applyAlignment="1">
      <alignment horizontal="center" vertical="center" wrapText="1"/>
    </xf>
    <xf numFmtId="9" fontId="21" fillId="0" borderId="14" xfId="0" applyNumberFormat="1" applyFont="1" applyFill="1" applyBorder="1" applyAlignment="1">
      <alignment horizontal="center" vertical="center" wrapText="1"/>
    </xf>
    <xf numFmtId="9" fontId="21" fillId="0" borderId="2" xfId="0" applyNumberFormat="1" applyFont="1" applyFill="1" applyBorder="1" applyAlignment="1">
      <alignment horizontal="center" vertical="center" wrapText="1"/>
    </xf>
    <xf numFmtId="44" fontId="2" fillId="2" borderId="8" xfId="1" applyFont="1" applyFill="1" applyBorder="1" applyAlignment="1">
      <alignment horizontal="center"/>
    </xf>
    <xf numFmtId="44" fontId="2" fillId="2" borderId="10" xfId="1" applyFont="1" applyFill="1" applyBorder="1" applyAlignment="1">
      <alignment horizontal="center"/>
    </xf>
    <xf numFmtId="0" fontId="3" fillId="0" borderId="8" xfId="0" applyFont="1" applyBorder="1" applyAlignment="1">
      <alignment horizontal="center"/>
    </xf>
    <xf numFmtId="0" fontId="3" fillId="0" borderId="16" xfId="0" applyFont="1" applyBorder="1" applyAlignment="1">
      <alignment horizontal="center"/>
    </xf>
    <xf numFmtId="0" fontId="3" fillId="0" borderId="10" xfId="0" applyFont="1" applyBorder="1" applyAlignment="1">
      <alignment horizontal="center"/>
    </xf>
    <xf numFmtId="0" fontId="3" fillId="0" borderId="8" xfId="0" applyFont="1" applyBorder="1" applyAlignment="1">
      <alignment horizontal="center" wrapText="1"/>
    </xf>
    <xf numFmtId="0" fontId="3" fillId="0" borderId="16" xfId="0" applyFont="1" applyBorder="1" applyAlignment="1">
      <alignment horizontal="center" wrapText="1"/>
    </xf>
    <xf numFmtId="0" fontId="3" fillId="0" borderId="10" xfId="0" applyFont="1" applyBorder="1" applyAlignment="1">
      <alignment horizontal="center" wrapText="1"/>
    </xf>
    <xf numFmtId="44" fontId="2" fillId="2" borderId="1" xfId="0" applyNumberFormat="1" applyFont="1" applyFill="1" applyBorder="1" applyAlignment="1">
      <alignment horizontal="center"/>
    </xf>
    <xf numFmtId="0" fontId="3" fillId="0" borderId="2" xfId="0" applyFont="1" applyBorder="1" applyAlignment="1">
      <alignment horizontal="center" wrapText="1"/>
    </xf>
    <xf numFmtId="0" fontId="3" fillId="0" borderId="2" xfId="0" applyFont="1" applyBorder="1" applyAlignment="1">
      <alignment horizontal="center"/>
    </xf>
    <xf numFmtId="0" fontId="6" fillId="0" borderId="8" xfId="0" applyFont="1" applyBorder="1" applyAlignment="1">
      <alignment horizontal="center"/>
    </xf>
    <xf numFmtId="0" fontId="6" fillId="0" borderId="16" xfId="0" applyFont="1" applyBorder="1" applyAlignment="1">
      <alignment horizontal="center"/>
    </xf>
    <xf numFmtId="0" fontId="6" fillId="0" borderId="10" xfId="0" applyFont="1" applyBorder="1" applyAlignment="1">
      <alignment horizontal="center"/>
    </xf>
    <xf numFmtId="0" fontId="16" fillId="0" borderId="1" xfId="0" applyFont="1" applyBorder="1" applyAlignment="1">
      <alignment horizontal="center" wrapText="1"/>
    </xf>
    <xf numFmtId="0" fontId="16" fillId="0" borderId="1" xfId="0" applyFont="1" applyBorder="1" applyAlignment="1">
      <alignment horizontal="center"/>
    </xf>
    <xf numFmtId="0" fontId="16" fillId="0" borderId="7" xfId="0" applyFont="1" applyBorder="1" applyAlignment="1">
      <alignment horizontal="center"/>
    </xf>
    <xf numFmtId="0" fontId="2" fillId="0" borderId="8" xfId="0" applyFont="1" applyBorder="1" applyAlignment="1">
      <alignment horizontal="center" wrapText="1"/>
    </xf>
    <xf numFmtId="0" fontId="2" fillId="0" borderId="10" xfId="0" applyFont="1" applyBorder="1" applyAlignment="1">
      <alignment horizontal="center" wrapText="1"/>
    </xf>
    <xf numFmtId="0" fontId="18" fillId="0" borderId="1" xfId="0" applyFont="1" applyBorder="1" applyAlignment="1">
      <alignment horizontal="center" wrapText="1"/>
    </xf>
    <xf numFmtId="0" fontId="2" fillId="0" borderId="1" xfId="0" applyFont="1" applyFill="1" applyBorder="1" applyAlignment="1">
      <alignment horizontal="center"/>
    </xf>
    <xf numFmtId="0" fontId="2" fillId="0" borderId="16" xfId="0" applyFont="1" applyBorder="1" applyAlignment="1">
      <alignment horizontal="center" wrapText="1"/>
    </xf>
    <xf numFmtId="0" fontId="2" fillId="0" borderId="1" xfId="0" applyFont="1" applyBorder="1" applyAlignment="1">
      <alignment horizontal="center" wrapText="1"/>
    </xf>
    <xf numFmtId="0" fontId="18" fillId="0" borderId="0" xfId="0" applyFont="1" applyFill="1" applyBorder="1" applyAlignment="1">
      <alignment horizontal="center" vertical="center"/>
    </xf>
    <xf numFmtId="164" fontId="2" fillId="2" borderId="1" xfId="0" applyNumberFormat="1" applyFont="1" applyFill="1" applyBorder="1" applyAlignment="1">
      <alignment horizontal="center"/>
    </xf>
    <xf numFmtId="0" fontId="2" fillId="3" borderId="8" xfId="0" applyFont="1" applyFill="1" applyBorder="1" applyAlignment="1">
      <alignment horizontal="center" wrapText="1"/>
    </xf>
    <xf numFmtId="0" fontId="2" fillId="3" borderId="10" xfId="0" applyFont="1" applyFill="1" applyBorder="1" applyAlignment="1">
      <alignment horizontal="center" wrapText="1"/>
    </xf>
    <xf numFmtId="0" fontId="15" fillId="0" borderId="1" xfId="2" applyFont="1" applyBorder="1" applyAlignment="1" applyProtection="1">
      <alignment horizontal="left" wrapText="1"/>
    </xf>
    <xf numFmtId="0" fontId="2" fillId="3" borderId="1" xfId="0" applyFont="1" applyFill="1" applyBorder="1" applyAlignment="1" applyProtection="1">
      <alignment horizontal="left"/>
      <protection locked="0"/>
    </xf>
    <xf numFmtId="9" fontId="2" fillId="3" borderId="1" xfId="3" applyFont="1" applyFill="1" applyBorder="1" applyAlignment="1">
      <alignment horizontal="center"/>
    </xf>
    <xf numFmtId="10" fontId="2" fillId="3" borderId="1" xfId="3" applyNumberFormat="1" applyFont="1" applyFill="1" applyBorder="1" applyAlignment="1" applyProtection="1">
      <alignment horizontal="center"/>
      <protection locked="0"/>
    </xf>
    <xf numFmtId="9" fontId="2" fillId="2" borderId="1" xfId="3" applyFont="1" applyFill="1" applyBorder="1" applyAlignment="1">
      <alignment horizontal="center"/>
    </xf>
    <xf numFmtId="0" fontId="2" fillId="0" borderId="9" xfId="0" applyFont="1" applyBorder="1" applyAlignment="1">
      <alignment horizontal="left"/>
    </xf>
    <xf numFmtId="0" fontId="2" fillId="0" borderId="12" xfId="0" applyFont="1" applyBorder="1" applyAlignment="1">
      <alignment horizontal="left"/>
    </xf>
    <xf numFmtId="0" fontId="2" fillId="0" borderId="6" xfId="0" applyFont="1" applyBorder="1" applyAlignment="1">
      <alignment horizontal="left"/>
    </xf>
    <xf numFmtId="0" fontId="2" fillId="0" borderId="8" xfId="0" applyFont="1" applyBorder="1" applyAlignment="1">
      <alignment horizontal="center"/>
    </xf>
    <xf numFmtId="0" fontId="2" fillId="0" borderId="16" xfId="0" applyFont="1" applyBorder="1" applyAlignment="1">
      <alignment horizontal="center"/>
    </xf>
    <xf numFmtId="0" fontId="2" fillId="0" borderId="10" xfId="0" applyFont="1" applyBorder="1" applyAlignment="1">
      <alignment horizontal="center"/>
    </xf>
    <xf numFmtId="0" fontId="12" fillId="0" borderId="9" xfId="0" applyFont="1" applyBorder="1" applyAlignment="1">
      <alignment horizontal="center" wrapText="1"/>
    </xf>
    <xf numFmtId="0" fontId="0" fillId="0" borderId="6" xfId="0" applyBorder="1"/>
    <xf numFmtId="0" fontId="12" fillId="3" borderId="1" xfId="0" applyFont="1" applyFill="1" applyBorder="1" applyAlignment="1" applyProtection="1">
      <alignment horizontal="center" wrapText="1"/>
      <protection locked="0"/>
    </xf>
    <xf numFmtId="0" fontId="2" fillId="0" borderId="1" xfId="0" applyFont="1" applyBorder="1" applyAlignment="1">
      <alignment horizontal="center"/>
    </xf>
    <xf numFmtId="9" fontId="17" fillId="0" borderId="1" xfId="3" applyFont="1" applyBorder="1" applyAlignment="1">
      <alignment horizontal="center"/>
    </xf>
    <xf numFmtId="0" fontId="3" fillId="0" borderId="1" xfId="0" applyFont="1" applyBorder="1" applyAlignment="1">
      <alignment horizontal="center" wrapText="1"/>
    </xf>
    <xf numFmtId="164" fontId="2" fillId="2" borderId="1" xfId="3" applyNumberFormat="1" applyFont="1" applyFill="1" applyBorder="1" applyAlignment="1">
      <alignment horizontal="center"/>
    </xf>
    <xf numFmtId="0" fontId="24" fillId="0" borderId="1" xfId="0" applyFont="1" applyBorder="1" applyAlignment="1">
      <alignment horizontal="center" wrapText="1"/>
    </xf>
    <xf numFmtId="0" fontId="2" fillId="0" borderId="7" xfId="0" applyFont="1" applyBorder="1" applyAlignment="1">
      <alignment horizontal="left" wrapText="1"/>
    </xf>
    <xf numFmtId="0" fontId="3" fillId="0" borderId="1" xfId="0" applyFont="1" applyBorder="1" applyAlignment="1">
      <alignment horizontal="left" wrapText="1"/>
    </xf>
    <xf numFmtId="0" fontId="7" fillId="0" borderId="8" xfId="0" applyFont="1" applyBorder="1" applyAlignment="1">
      <alignment horizontal="center" wrapText="1"/>
    </xf>
    <xf numFmtId="0" fontId="7" fillId="0" borderId="16" xfId="0" applyFont="1" applyBorder="1" applyAlignment="1">
      <alignment horizontal="center" wrapText="1"/>
    </xf>
    <xf numFmtId="0" fontId="7" fillId="0" borderId="10" xfId="0" applyFont="1" applyBorder="1" applyAlignment="1">
      <alignment horizontal="center" wrapText="1"/>
    </xf>
    <xf numFmtId="0" fontId="43" fillId="0" borderId="1" xfId="0" applyFont="1" applyBorder="1" applyAlignment="1">
      <alignment horizontal="center" wrapText="1"/>
    </xf>
    <xf numFmtId="0" fontId="3" fillId="0" borderId="1" xfId="0" applyFont="1" applyBorder="1" applyAlignment="1">
      <alignment horizontal="left" vertical="center" wrapText="1"/>
    </xf>
    <xf numFmtId="0" fontId="3" fillId="0" borderId="7" xfId="0" applyFont="1" applyBorder="1" applyAlignment="1">
      <alignment horizontal="center"/>
    </xf>
    <xf numFmtId="9" fontId="2" fillId="0" borderId="1" xfId="3" applyFont="1" applyBorder="1" applyAlignment="1">
      <alignment horizontal="right"/>
    </xf>
    <xf numFmtId="0" fontId="2" fillId="0" borderId="0" xfId="0" applyFont="1" applyBorder="1" applyAlignment="1">
      <alignment horizontal="left"/>
    </xf>
    <xf numFmtId="0" fontId="2" fillId="0" borderId="1" xfId="0" applyFont="1" applyBorder="1" applyAlignment="1">
      <alignment horizontal="right"/>
    </xf>
    <xf numFmtId="0" fontId="10" fillId="0" borderId="13"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6" xfId="0" applyFont="1" applyBorder="1" applyAlignment="1">
      <alignment horizontal="center" vertical="center" wrapText="1"/>
    </xf>
    <xf numFmtId="10" fontId="2" fillId="3" borderId="8" xfId="3" applyNumberFormat="1" applyFont="1" applyFill="1" applyBorder="1" applyAlignment="1" applyProtection="1">
      <alignment horizontal="center"/>
      <protection locked="0"/>
    </xf>
    <xf numFmtId="9" fontId="2" fillId="0" borderId="0" xfId="3" applyFont="1" applyBorder="1" applyAlignment="1">
      <alignment horizontal="center"/>
    </xf>
    <xf numFmtId="0" fontId="51" fillId="0" borderId="11" xfId="0" applyFont="1" applyBorder="1" applyAlignment="1">
      <alignment horizontal="center" wrapText="1"/>
    </xf>
    <xf numFmtId="0" fontId="0" fillId="0" borderId="5" xfId="0" applyBorder="1"/>
    <xf numFmtId="0" fontId="12" fillId="0" borderId="13" xfId="0" applyFont="1" applyBorder="1" applyAlignment="1">
      <alignment horizontal="left" wrapText="1"/>
    </xf>
    <xf numFmtId="0" fontId="12" fillId="0" borderId="4" xfId="0" applyFont="1" applyBorder="1" applyAlignment="1">
      <alignment horizontal="left" wrapText="1"/>
    </xf>
    <xf numFmtId="0" fontId="12" fillId="0" borderId="11" xfId="0" applyFont="1" applyBorder="1" applyAlignment="1">
      <alignment horizontal="left" wrapText="1"/>
    </xf>
    <xf numFmtId="0" fontId="12" fillId="0" borderId="5"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 xfId="0" applyFont="1" applyBorder="1" applyAlignment="1">
      <alignment horizontal="left"/>
    </xf>
    <xf numFmtId="0" fontId="10" fillId="0" borderId="11"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5" xfId="0" applyFont="1" applyBorder="1" applyAlignment="1">
      <alignment horizontal="center" vertical="center" wrapText="1"/>
    </xf>
    <xf numFmtId="0" fontId="2" fillId="0" borderId="1" xfId="0" applyFont="1" applyFill="1" applyBorder="1" applyAlignment="1">
      <alignment horizontal="left" wrapText="1"/>
    </xf>
    <xf numFmtId="9" fontId="17" fillId="0" borderId="0" xfId="3" applyFont="1" applyFill="1" applyBorder="1" applyAlignment="1">
      <alignment horizontal="center"/>
    </xf>
    <xf numFmtId="0" fontId="17" fillId="0" borderId="8" xfId="0" applyFont="1" applyBorder="1" applyAlignment="1">
      <alignment horizontal="left"/>
    </xf>
    <xf numFmtId="0" fontId="17" fillId="0" borderId="16" xfId="0" applyFont="1" applyBorder="1" applyAlignment="1">
      <alignment horizontal="left"/>
    </xf>
    <xf numFmtId="0" fontId="17" fillId="0" borderId="10" xfId="0" applyFont="1" applyBorder="1" applyAlignment="1">
      <alignment horizontal="left"/>
    </xf>
    <xf numFmtId="16" fontId="12" fillId="0" borderId="13" xfId="0" applyNumberFormat="1" applyFont="1" applyBorder="1" applyAlignment="1">
      <alignment horizontal="center" wrapText="1"/>
    </xf>
    <xf numFmtId="0" fontId="0" fillId="0" borderId="4" xfId="0" applyBorder="1"/>
    <xf numFmtId="0" fontId="2" fillId="0" borderId="13" xfId="0" applyFont="1" applyBorder="1" applyAlignment="1">
      <alignment horizontal="center" wrapText="1"/>
    </xf>
    <xf numFmtId="0" fontId="2" fillId="0" borderId="15" xfId="0" applyFont="1" applyBorder="1" applyAlignment="1">
      <alignment horizontal="center" wrapText="1"/>
    </xf>
    <xf numFmtId="0" fontId="2" fillId="0" borderId="4" xfId="0" applyFont="1" applyBorder="1" applyAlignment="1">
      <alignment horizontal="center" wrapText="1"/>
    </xf>
    <xf numFmtId="0" fontId="2" fillId="0" borderId="11" xfId="0" applyFont="1" applyBorder="1" applyAlignment="1">
      <alignment horizontal="center" wrapText="1"/>
    </xf>
    <xf numFmtId="0" fontId="2" fillId="0" borderId="0" xfId="0" applyFont="1" applyBorder="1" applyAlignment="1">
      <alignment horizontal="center" wrapText="1"/>
    </xf>
    <xf numFmtId="0" fontId="2" fillId="0" borderId="5" xfId="0" applyFont="1" applyBorder="1" applyAlignment="1">
      <alignment horizontal="center" wrapText="1"/>
    </xf>
    <xf numFmtId="0" fontId="2" fillId="0" borderId="9" xfId="0" applyFont="1" applyBorder="1" applyAlignment="1">
      <alignment horizontal="center" wrapText="1"/>
    </xf>
    <xf numFmtId="0" fontId="2" fillId="0" borderId="12" xfId="0" applyFont="1" applyBorder="1" applyAlignment="1">
      <alignment horizontal="center" wrapText="1"/>
    </xf>
    <xf numFmtId="0" fontId="2" fillId="0" borderId="6" xfId="0" applyFont="1" applyBorder="1" applyAlignment="1">
      <alignment horizontal="center" wrapText="1"/>
    </xf>
    <xf numFmtId="0" fontId="12" fillId="0" borderId="13" xfId="0" applyFont="1" applyBorder="1" applyAlignment="1">
      <alignment horizontal="center" wrapText="1"/>
    </xf>
    <xf numFmtId="0" fontId="12" fillId="0" borderId="8" xfId="0" applyFont="1" applyBorder="1" applyAlignment="1">
      <alignment horizontal="center" wrapText="1"/>
    </xf>
    <xf numFmtId="0" fontId="0" fillId="0" borderId="10" xfId="0" applyBorder="1"/>
    <xf numFmtId="0" fontId="12" fillId="0" borderId="11" xfId="0" applyFont="1" applyBorder="1" applyAlignment="1">
      <alignment horizontal="center" wrapText="1"/>
    </xf>
    <xf numFmtId="0" fontId="2" fillId="0" borderId="1" xfId="0" applyFont="1" applyFill="1" applyBorder="1" applyAlignment="1" applyProtection="1">
      <alignment horizontal="center"/>
    </xf>
    <xf numFmtId="9" fontId="2" fillId="2" borderId="7" xfId="3" applyFont="1" applyFill="1" applyBorder="1" applyAlignment="1">
      <alignment horizontal="center"/>
    </xf>
    <xf numFmtId="0" fontId="21" fillId="0" borderId="8" xfId="0" applyFont="1" applyBorder="1" applyAlignment="1">
      <alignment horizontal="right"/>
    </xf>
    <xf numFmtId="0" fontId="21" fillId="0" borderId="16" xfId="0" applyFont="1" applyBorder="1" applyAlignment="1">
      <alignment horizontal="right"/>
    </xf>
    <xf numFmtId="0" fontId="21" fillId="0" borderId="10" xfId="0" applyFont="1" applyBorder="1" applyAlignment="1">
      <alignment horizontal="right"/>
    </xf>
    <xf numFmtId="0" fontId="10" fillId="0" borderId="13" xfId="0" applyFont="1" applyBorder="1" applyAlignment="1">
      <alignment horizontal="center" wrapText="1"/>
    </xf>
    <xf numFmtId="0" fontId="10" fillId="0" borderId="15" xfId="0" applyFont="1" applyBorder="1" applyAlignment="1">
      <alignment horizontal="center" wrapText="1"/>
    </xf>
    <xf numFmtId="0" fontId="10" fillId="0" borderId="4" xfId="0" applyFont="1" applyBorder="1" applyAlignment="1">
      <alignment horizontal="center" wrapText="1"/>
    </xf>
    <xf numFmtId="0" fontId="10" fillId="0" borderId="11" xfId="0" applyFont="1" applyBorder="1" applyAlignment="1">
      <alignment horizontal="center" wrapText="1"/>
    </xf>
    <xf numFmtId="0" fontId="10" fillId="0" borderId="0" xfId="0" applyFont="1" applyBorder="1" applyAlignment="1">
      <alignment horizontal="center" wrapText="1"/>
    </xf>
    <xf numFmtId="0" fontId="10" fillId="0" borderId="5" xfId="0" applyFont="1" applyBorder="1" applyAlignment="1">
      <alignment horizontal="center" wrapText="1"/>
    </xf>
    <xf numFmtId="10" fontId="2" fillId="3" borderId="7" xfId="3" applyNumberFormat="1" applyFont="1" applyFill="1" applyBorder="1" applyAlignment="1" applyProtection="1">
      <alignment horizontal="center"/>
      <protection locked="0"/>
    </xf>
    <xf numFmtId="9" fontId="2" fillId="2" borderId="2" xfId="0" applyNumberFormat="1" applyFont="1" applyFill="1" applyBorder="1" applyAlignment="1">
      <alignment horizontal="center"/>
    </xf>
    <xf numFmtId="0" fontId="2" fillId="2" borderId="2" xfId="0" applyFont="1" applyFill="1" applyBorder="1" applyAlignment="1">
      <alignment horizontal="center"/>
    </xf>
    <xf numFmtId="0" fontId="51" fillId="0" borderId="13" xfId="0" applyFont="1" applyBorder="1" applyAlignment="1">
      <alignment horizontal="center" wrapText="1"/>
    </xf>
    <xf numFmtId="0" fontId="2" fillId="0" borderId="8" xfId="0" applyFont="1" applyFill="1" applyBorder="1" applyAlignment="1">
      <alignment horizontal="center" wrapText="1"/>
    </xf>
    <xf numFmtId="0" fontId="2" fillId="0" borderId="16" xfId="0" applyFont="1" applyFill="1" applyBorder="1" applyAlignment="1">
      <alignment horizontal="center"/>
    </xf>
    <xf numFmtId="0" fontId="2" fillId="0" borderId="10" xfId="0" applyFont="1" applyFill="1" applyBorder="1" applyAlignment="1">
      <alignment horizontal="center"/>
    </xf>
    <xf numFmtId="0" fontId="2" fillId="3" borderId="1" xfId="0" applyFont="1" applyFill="1" applyBorder="1" applyAlignment="1" applyProtection="1">
      <alignment horizontal="left" wrapText="1"/>
      <protection locked="0"/>
    </xf>
    <xf numFmtId="9" fontId="2" fillId="5" borderId="7" xfId="0" applyNumberFormat="1" applyFont="1" applyFill="1" applyBorder="1" applyAlignment="1">
      <alignment horizontal="center"/>
    </xf>
    <xf numFmtId="9" fontId="2" fillId="2" borderId="14" xfId="0" applyNumberFormat="1" applyFont="1" applyFill="1" applyBorder="1" applyAlignment="1">
      <alignment horizontal="center"/>
    </xf>
    <xf numFmtId="0" fontId="3" fillId="0" borderId="8" xfId="0" applyFont="1" applyFill="1" applyBorder="1" applyAlignment="1">
      <alignment horizontal="left"/>
    </xf>
    <xf numFmtId="0" fontId="3" fillId="0" borderId="16" xfId="0" applyFont="1" applyFill="1" applyBorder="1" applyAlignment="1">
      <alignment horizontal="left"/>
    </xf>
    <xf numFmtId="0" fontId="3" fillId="0" borderId="10" xfId="0" applyFont="1" applyFill="1" applyBorder="1" applyAlignment="1">
      <alignment horizontal="left"/>
    </xf>
    <xf numFmtId="0" fontId="51" fillId="0" borderId="9" xfId="0" applyFont="1" applyBorder="1" applyAlignment="1">
      <alignment horizontal="center" wrapText="1"/>
    </xf>
    <xf numFmtId="0" fontId="12" fillId="3" borderId="7" xfId="0" applyFont="1" applyFill="1" applyBorder="1" applyAlignment="1" applyProtection="1">
      <alignment horizontal="center" wrapText="1"/>
      <protection locked="0"/>
    </xf>
    <xf numFmtId="0" fontId="2" fillId="3" borderId="1" xfId="0" applyFont="1" applyFill="1" applyBorder="1" applyAlignment="1" applyProtection="1">
      <alignment horizontal="center" wrapText="1"/>
      <protection locked="0"/>
    </xf>
    <xf numFmtId="0" fontId="2" fillId="0" borderId="0" xfId="0" applyFont="1" applyFill="1" applyBorder="1" applyAlignment="1">
      <alignment horizontal="center" wrapText="1"/>
    </xf>
    <xf numFmtId="0" fontId="2" fillId="3" borderId="1" xfId="0" applyFont="1" applyFill="1" applyBorder="1" applyAlignment="1">
      <alignment horizontal="center"/>
    </xf>
    <xf numFmtId="0" fontId="15" fillId="0" borderId="1" xfId="2" applyFont="1" applyBorder="1" applyAlignment="1" applyProtection="1">
      <alignment horizontal="center" wrapText="1"/>
    </xf>
    <xf numFmtId="0" fontId="10" fillId="0" borderId="1" xfId="0" applyFont="1" applyBorder="1" applyAlignment="1">
      <alignment horizontal="center" wrapText="1"/>
    </xf>
    <xf numFmtId="0" fontId="10" fillId="0" borderId="8" xfId="0" applyFont="1" applyBorder="1" applyAlignment="1">
      <alignment horizontal="center" wrapText="1"/>
    </xf>
    <xf numFmtId="0" fontId="2" fillId="0" borderId="7" xfId="0" applyFont="1" applyBorder="1" applyAlignment="1">
      <alignment wrapText="1"/>
    </xf>
    <xf numFmtId="9" fontId="2" fillId="0" borderId="1" xfId="3" applyFont="1" applyBorder="1" applyAlignment="1">
      <alignment horizontal="center"/>
    </xf>
    <xf numFmtId="0" fontId="2" fillId="0" borderId="7" xfId="0" applyFont="1" applyFill="1" applyBorder="1" applyAlignment="1">
      <alignment horizontal="center"/>
    </xf>
    <xf numFmtId="9" fontId="2" fillId="0" borderId="8" xfId="3" applyFont="1" applyBorder="1" applyAlignment="1">
      <alignment horizontal="center"/>
    </xf>
    <xf numFmtId="9" fontId="2" fillId="0" borderId="16" xfId="3" applyFont="1" applyBorder="1" applyAlignment="1">
      <alignment horizontal="center"/>
    </xf>
    <xf numFmtId="9" fontId="2" fillId="0" borderId="10" xfId="3" applyFont="1" applyBorder="1" applyAlignment="1">
      <alignment horizontal="center"/>
    </xf>
    <xf numFmtId="0" fontId="2" fillId="3" borderId="10" xfId="0" applyFont="1" applyFill="1" applyBorder="1" applyAlignment="1">
      <alignment horizontal="center"/>
    </xf>
    <xf numFmtId="0" fontId="2" fillId="3" borderId="9" xfId="0" applyFont="1" applyFill="1" applyBorder="1" applyAlignment="1">
      <alignment horizontal="center"/>
    </xf>
    <xf numFmtId="0" fontId="2" fillId="3" borderId="12" xfId="0" applyFont="1" applyFill="1" applyBorder="1" applyAlignment="1">
      <alignment horizontal="center"/>
    </xf>
    <xf numFmtId="0" fontId="12" fillId="3" borderId="1" xfId="0" applyFont="1" applyFill="1" applyBorder="1" applyAlignment="1" applyProtection="1">
      <alignment horizontal="center"/>
      <protection locked="0"/>
    </xf>
    <xf numFmtId="9" fontId="2" fillId="0" borderId="8" xfId="3" applyFont="1" applyFill="1" applyBorder="1" applyAlignment="1">
      <alignment horizontal="left" wrapText="1"/>
    </xf>
    <xf numFmtId="9" fontId="2" fillId="0" borderId="16" xfId="3" applyFont="1" applyFill="1" applyBorder="1" applyAlignment="1">
      <alignment horizontal="left" wrapText="1"/>
    </xf>
    <xf numFmtId="9" fontId="2" fillId="0" borderId="10" xfId="3" applyFont="1" applyFill="1" applyBorder="1" applyAlignment="1">
      <alignment horizontal="left" wrapText="1"/>
    </xf>
    <xf numFmtId="0" fontId="2" fillId="0" borderId="1" xfId="0" applyFont="1" applyFill="1" applyBorder="1" applyAlignment="1">
      <alignment horizontal="left"/>
    </xf>
    <xf numFmtId="9" fontId="2" fillId="0" borderId="1" xfId="3" applyFont="1" applyFill="1" applyBorder="1" applyAlignment="1">
      <alignment horizontal="center"/>
    </xf>
    <xf numFmtId="9" fontId="2" fillId="3" borderId="1" xfId="3" applyFont="1" applyFill="1" applyBorder="1" applyAlignment="1" applyProtection="1">
      <alignment horizontal="center"/>
      <protection locked="0"/>
    </xf>
    <xf numFmtId="0" fontId="3" fillId="0" borderId="8" xfId="0" applyFont="1" applyFill="1" applyBorder="1" applyAlignment="1">
      <alignment horizontal="left" wrapText="1"/>
    </xf>
    <xf numFmtId="0" fontId="3" fillId="0" borderId="16" xfId="0" applyFont="1" applyFill="1" applyBorder="1" applyAlignment="1">
      <alignment horizontal="left" wrapText="1"/>
    </xf>
    <xf numFmtId="0" fontId="3" fillId="0" borderId="10" xfId="0" applyFont="1" applyFill="1" applyBorder="1" applyAlignment="1">
      <alignment horizontal="left" wrapText="1"/>
    </xf>
    <xf numFmtId="0" fontId="24" fillId="0" borderId="8" xfId="0" applyFont="1" applyBorder="1" applyAlignment="1">
      <alignment horizontal="center"/>
    </xf>
    <xf numFmtId="0" fontId="24" fillId="0" borderId="16" xfId="0" applyFont="1" applyBorder="1" applyAlignment="1">
      <alignment horizontal="center"/>
    </xf>
    <xf numFmtId="0" fontId="24" fillId="0" borderId="10" xfId="0" applyFont="1" applyBorder="1" applyAlignment="1">
      <alignment horizontal="center"/>
    </xf>
    <xf numFmtId="0" fontId="2" fillId="0" borderId="7" xfId="0" applyFont="1" applyFill="1" applyBorder="1" applyAlignment="1">
      <alignment horizontal="left" wrapText="1"/>
    </xf>
    <xf numFmtId="0" fontId="2" fillId="0" borderId="11" xfId="0" applyFont="1" applyBorder="1" applyAlignment="1">
      <alignment horizontal="left"/>
    </xf>
    <xf numFmtId="9" fontId="2" fillId="0" borderId="8" xfId="3" applyFont="1" applyBorder="1" applyAlignment="1">
      <alignment horizontal="left" wrapText="1"/>
    </xf>
    <xf numFmtId="9" fontId="2" fillId="0" borderId="16" xfId="3" applyFont="1" applyBorder="1" applyAlignment="1">
      <alignment horizontal="left" wrapText="1"/>
    </xf>
    <xf numFmtId="9" fontId="2" fillId="0" borderId="10" xfId="3" applyFont="1" applyBorder="1" applyAlignment="1">
      <alignment horizontal="left" wrapText="1"/>
    </xf>
    <xf numFmtId="0" fontId="0" fillId="0" borderId="16" xfId="0" applyBorder="1"/>
    <xf numFmtId="9" fontId="2" fillId="0" borderId="8" xfId="3" applyFont="1" applyBorder="1" applyAlignment="1">
      <alignment horizontal="left"/>
    </xf>
    <xf numFmtId="9" fontId="2" fillId="0" borderId="16" xfId="3" applyFont="1" applyBorder="1" applyAlignment="1">
      <alignment horizontal="left"/>
    </xf>
    <xf numFmtId="9" fontId="2" fillId="0" borderId="10" xfId="3" applyFont="1" applyBorder="1" applyAlignment="1">
      <alignment horizontal="left"/>
    </xf>
    <xf numFmtId="44" fontId="2" fillId="2" borderId="1" xfId="1" applyFont="1" applyFill="1" applyBorder="1" applyAlignment="1">
      <alignment horizontal="center"/>
    </xf>
    <xf numFmtId="166" fontId="2" fillId="2" borderId="1" xfId="0" applyNumberFormat="1" applyFont="1" applyFill="1" applyBorder="1" applyAlignment="1">
      <alignment horizontal="center"/>
    </xf>
    <xf numFmtId="0" fontId="2" fillId="0" borderId="8" xfId="0" applyFont="1" applyFill="1" applyBorder="1" applyAlignment="1">
      <alignment horizontal="left" wrapText="1"/>
    </xf>
    <xf numFmtId="0" fontId="2" fillId="0" borderId="16" xfId="0" applyFont="1" applyFill="1" applyBorder="1" applyAlignment="1">
      <alignment horizontal="left" wrapText="1"/>
    </xf>
    <xf numFmtId="0" fontId="2" fillId="0" borderId="10" xfId="0" applyFont="1" applyFill="1" applyBorder="1" applyAlignment="1">
      <alignment horizontal="left" wrapText="1"/>
    </xf>
    <xf numFmtId="0" fontId="3" fillId="0" borderId="8" xfId="0" applyFont="1" applyFill="1" applyBorder="1" applyAlignment="1">
      <alignment horizontal="center" wrapText="1"/>
    </xf>
    <xf numFmtId="0" fontId="3" fillId="0" borderId="16" xfId="0" applyFont="1" applyFill="1" applyBorder="1" applyAlignment="1">
      <alignment horizontal="center" wrapText="1"/>
    </xf>
    <xf numFmtId="0" fontId="2" fillId="0" borderId="1" xfId="0" applyFont="1" applyFill="1" applyBorder="1" applyAlignment="1">
      <alignment horizontal="right"/>
    </xf>
    <xf numFmtId="0" fontId="33" fillId="4" borderId="1" xfId="0" applyFont="1" applyFill="1" applyBorder="1" applyAlignment="1">
      <alignment horizontal="center" wrapText="1"/>
    </xf>
    <xf numFmtId="14" fontId="2" fillId="2" borderId="16" xfId="0" applyNumberFormat="1" applyFont="1" applyFill="1" applyBorder="1" applyAlignment="1" applyProtection="1">
      <alignment horizontal="center"/>
    </xf>
    <xf numFmtId="14" fontId="2" fillId="2" borderId="10" xfId="0" applyNumberFormat="1" applyFont="1" applyFill="1" applyBorder="1" applyAlignment="1" applyProtection="1">
      <alignment horizontal="center"/>
    </xf>
    <xf numFmtId="0" fontId="17" fillId="0" borderId="11" xfId="0" applyFont="1" applyFill="1" applyBorder="1" applyAlignment="1">
      <alignment horizontal="center"/>
    </xf>
    <xf numFmtId="0" fontId="17" fillId="0" borderId="0" xfId="0" applyFont="1" applyFill="1" applyBorder="1" applyAlignment="1">
      <alignment horizontal="center"/>
    </xf>
    <xf numFmtId="0" fontId="2" fillId="0" borderId="1" xfId="0" applyFont="1" applyFill="1" applyBorder="1" applyAlignment="1">
      <alignment horizontal="center" wrapText="1"/>
    </xf>
    <xf numFmtId="9" fontId="2" fillId="2" borderId="1" xfId="3" applyNumberFormat="1" applyFont="1" applyFill="1" applyBorder="1" applyAlignment="1">
      <alignment horizontal="center"/>
    </xf>
    <xf numFmtId="9" fontId="2" fillId="0" borderId="7" xfId="0" applyNumberFormat="1" applyFont="1" applyFill="1" applyBorder="1" applyAlignment="1">
      <alignment horizontal="center"/>
    </xf>
    <xf numFmtId="9" fontId="2" fillId="0" borderId="2" xfId="0" applyNumberFormat="1" applyFont="1" applyFill="1" applyBorder="1" applyAlignment="1">
      <alignment horizontal="center"/>
    </xf>
    <xf numFmtId="0" fontId="2" fillId="0" borderId="12" xfId="0" applyFont="1" applyFill="1" applyBorder="1" applyAlignment="1">
      <alignment horizontal="center" wrapText="1"/>
    </xf>
    <xf numFmtId="0" fontId="15" fillId="0" borderId="7" xfId="2" applyFont="1" applyBorder="1" applyAlignment="1" applyProtection="1">
      <alignment horizontal="center"/>
    </xf>
    <xf numFmtId="0" fontId="15" fillId="0" borderId="2" xfId="2" applyFont="1" applyBorder="1" applyAlignment="1" applyProtection="1">
      <alignment horizontal="center"/>
    </xf>
    <xf numFmtId="9" fontId="2" fillId="0" borderId="2" xfId="3" applyFont="1" applyBorder="1" applyAlignment="1">
      <alignment horizontal="right"/>
    </xf>
    <xf numFmtId="9" fontId="54" fillId="0" borderId="7" xfId="3" applyFont="1" applyFill="1" applyBorder="1" applyAlignment="1">
      <alignment horizontal="center" wrapText="1"/>
    </xf>
    <xf numFmtId="9" fontId="54" fillId="0" borderId="14" xfId="3" applyFont="1" applyFill="1" applyBorder="1" applyAlignment="1">
      <alignment horizontal="center" wrapText="1"/>
    </xf>
    <xf numFmtId="9" fontId="54" fillId="0" borderId="2" xfId="3" applyFont="1" applyFill="1" applyBorder="1" applyAlignment="1">
      <alignment horizontal="center" wrapText="1"/>
    </xf>
    <xf numFmtId="0" fontId="24" fillId="0" borderId="1" xfId="0" applyFont="1" applyFill="1" applyBorder="1" applyAlignment="1">
      <alignment horizontal="left" wrapText="1"/>
    </xf>
    <xf numFmtId="0" fontId="17" fillId="0" borderId="13" xfId="0" applyFont="1" applyBorder="1" applyAlignment="1">
      <alignment horizontal="left"/>
    </xf>
    <xf numFmtId="0" fontId="17" fillId="0" borderId="15" xfId="0" applyFont="1" applyBorder="1" applyAlignment="1">
      <alignment horizontal="left"/>
    </xf>
    <xf numFmtId="0" fontId="17" fillId="0" borderId="4" xfId="0" applyFont="1" applyBorder="1" applyAlignment="1">
      <alignment horizontal="left"/>
    </xf>
    <xf numFmtId="0" fontId="2" fillId="0" borderId="8" xfId="0" applyFont="1" applyFill="1" applyBorder="1" applyAlignment="1">
      <alignment horizontal="center"/>
    </xf>
    <xf numFmtId="9" fontId="2" fillId="0" borderId="1" xfId="3" applyFont="1" applyFill="1" applyBorder="1" applyAlignment="1">
      <alignment horizontal="left" wrapText="1"/>
    </xf>
    <xf numFmtId="9" fontId="17" fillId="0" borderId="8" xfId="3" applyFont="1" applyBorder="1" applyAlignment="1">
      <alignment horizontal="center"/>
    </xf>
    <xf numFmtId="0" fontId="17" fillId="0" borderId="0" xfId="0" applyFont="1" applyBorder="1" applyAlignment="1">
      <alignment horizontal="center"/>
    </xf>
    <xf numFmtId="0" fontId="12" fillId="0" borderId="6" xfId="0" applyFont="1" applyBorder="1" applyAlignment="1">
      <alignment horizontal="center" wrapText="1"/>
    </xf>
    <xf numFmtId="0" fontId="51" fillId="0" borderId="4" xfId="0" applyFont="1" applyBorder="1" applyAlignment="1">
      <alignment horizontal="center" wrapText="1"/>
    </xf>
    <xf numFmtId="0" fontId="12" fillId="0" borderId="5" xfId="0" applyFont="1" applyBorder="1" applyAlignment="1">
      <alignment horizontal="center" wrapText="1"/>
    </xf>
    <xf numFmtId="0" fontId="12" fillId="0" borderId="4" xfId="0" applyFont="1" applyBorder="1" applyAlignment="1">
      <alignment horizontal="center" wrapText="1"/>
    </xf>
    <xf numFmtId="0" fontId="2" fillId="0" borderId="13" xfId="0" applyFont="1" applyFill="1" applyBorder="1" applyAlignment="1">
      <alignment horizontal="left" wrapText="1"/>
    </xf>
    <xf numFmtId="0" fontId="2" fillId="0" borderId="4" xfId="0" applyFont="1" applyFill="1" applyBorder="1" applyAlignment="1">
      <alignment horizontal="left" wrapText="1"/>
    </xf>
    <xf numFmtId="0" fontId="2" fillId="0" borderId="9" xfId="0" applyFont="1" applyFill="1" applyBorder="1" applyAlignment="1">
      <alignment horizontal="left" wrapText="1"/>
    </xf>
    <xf numFmtId="0" fontId="2" fillId="0" borderId="6" xfId="0" applyFont="1" applyFill="1" applyBorder="1" applyAlignment="1">
      <alignment horizontal="left" wrapText="1"/>
    </xf>
    <xf numFmtId="0" fontId="2" fillId="3" borderId="8" xfId="0" applyFont="1" applyFill="1" applyBorder="1" applyAlignment="1">
      <alignment horizontal="center"/>
    </xf>
    <xf numFmtId="0" fontId="51" fillId="0" borderId="5" xfId="0" applyFont="1" applyBorder="1" applyAlignment="1">
      <alignment horizontal="center" wrapText="1"/>
    </xf>
    <xf numFmtId="0" fontId="51" fillId="0" borderId="6" xfId="0" applyFont="1" applyBorder="1" applyAlignment="1">
      <alignment horizontal="center" wrapText="1"/>
    </xf>
    <xf numFmtId="0" fontId="15" fillId="0" borderId="0" xfId="2" applyFont="1" applyFill="1" applyBorder="1" applyAlignment="1" applyProtection="1">
      <alignment horizontal="center" wrapText="1"/>
    </xf>
    <xf numFmtId="0" fontId="15" fillId="0" borderId="0" xfId="2" applyFont="1" applyFill="1" applyBorder="1" applyAlignment="1" applyProtection="1">
      <alignment horizontal="center"/>
    </xf>
    <xf numFmtId="9" fontId="2" fillId="0" borderId="7" xfId="3" applyFont="1" applyFill="1" applyBorder="1" applyAlignment="1">
      <alignment horizontal="center"/>
    </xf>
    <xf numFmtId="9" fontId="2" fillId="0" borderId="2" xfId="3" applyFont="1" applyFill="1" applyBorder="1" applyAlignment="1">
      <alignment horizontal="center"/>
    </xf>
    <xf numFmtId="16" fontId="12" fillId="0" borderId="4" xfId="0" applyNumberFormat="1" applyFont="1" applyBorder="1" applyAlignment="1">
      <alignment horizontal="center" wrapText="1"/>
    </xf>
    <xf numFmtId="0" fontId="66" fillId="0" borderId="13" xfId="0" applyFont="1" applyBorder="1" applyAlignment="1">
      <alignment horizontal="center" vertical="center" wrapText="1"/>
    </xf>
    <xf numFmtId="0" fontId="66" fillId="0" borderId="15" xfId="0" applyFont="1" applyBorder="1" applyAlignment="1">
      <alignment horizontal="center" vertical="center" wrapText="1"/>
    </xf>
    <xf numFmtId="0" fontId="66" fillId="0" borderId="4" xfId="0" applyFont="1" applyBorder="1" applyAlignment="1">
      <alignment horizontal="center" vertical="center" wrapText="1"/>
    </xf>
    <xf numFmtId="0" fontId="66" fillId="0" borderId="9" xfId="0" applyFont="1" applyBorder="1" applyAlignment="1">
      <alignment horizontal="center" vertical="center" wrapText="1"/>
    </xf>
    <xf numFmtId="0" fontId="66" fillId="0" borderId="12" xfId="0" applyFont="1" applyBorder="1" applyAlignment="1">
      <alignment horizontal="center" vertical="center" wrapText="1"/>
    </xf>
    <xf numFmtId="0" fontId="66" fillId="0" borderId="6" xfId="0" applyFont="1" applyBorder="1" applyAlignment="1">
      <alignment horizontal="center" vertical="center" wrapText="1"/>
    </xf>
    <xf numFmtId="9" fontId="2" fillId="2" borderId="13" xfId="0" applyNumberFormat="1" applyFont="1" applyFill="1" applyBorder="1" applyAlignment="1">
      <alignment horizontal="center"/>
    </xf>
    <xf numFmtId="0" fontId="8" fillId="0" borderId="1" xfId="0" applyFont="1" applyFill="1" applyBorder="1" applyAlignment="1">
      <alignment horizontal="center"/>
    </xf>
    <xf numFmtId="9" fontId="2" fillId="2" borderId="11" xfId="0" applyNumberFormat="1" applyFont="1" applyFill="1" applyBorder="1" applyAlignment="1">
      <alignment horizontal="center"/>
    </xf>
    <xf numFmtId="9" fontId="2" fillId="2" borderId="5" xfId="0" applyNumberFormat="1" applyFont="1" applyFill="1" applyBorder="1" applyAlignment="1">
      <alignment horizontal="center"/>
    </xf>
    <xf numFmtId="9" fontId="2" fillId="2" borderId="14" xfId="3" applyFont="1" applyFill="1" applyBorder="1" applyAlignment="1">
      <alignment horizontal="center"/>
    </xf>
    <xf numFmtId="9" fontId="2" fillId="2" borderId="2" xfId="3" applyFont="1" applyFill="1" applyBorder="1" applyAlignment="1">
      <alignment horizontal="center"/>
    </xf>
    <xf numFmtId="164" fontId="2" fillId="2" borderId="2" xfId="0" applyNumberFormat="1" applyFont="1" applyFill="1" applyBorder="1" applyAlignment="1">
      <alignment horizontal="center"/>
    </xf>
    <xf numFmtId="9" fontId="2" fillId="2" borderId="0" xfId="0" applyNumberFormat="1" applyFont="1" applyFill="1" applyBorder="1" applyAlignment="1">
      <alignment horizontal="center"/>
    </xf>
    <xf numFmtId="9" fontId="17" fillId="0" borderId="2" xfId="3" applyFont="1" applyBorder="1" applyAlignment="1">
      <alignment horizontal="center"/>
    </xf>
    <xf numFmtId="9" fontId="17" fillId="0" borderId="9" xfId="3" applyFont="1" applyBorder="1" applyAlignment="1">
      <alignment horizontal="center"/>
    </xf>
    <xf numFmtId="164" fontId="2" fillId="2" borderId="2" xfId="3" applyNumberFormat="1" applyFont="1" applyFill="1" applyBorder="1" applyAlignment="1">
      <alignment horizontal="center"/>
    </xf>
    <xf numFmtId="0" fontId="2" fillId="0" borderId="9" xfId="0" applyFont="1" applyBorder="1" applyAlignment="1">
      <alignment horizontal="center"/>
    </xf>
    <xf numFmtId="9" fontId="2" fillId="0" borderId="8" xfId="3" applyFont="1" applyBorder="1" applyAlignment="1">
      <alignment horizontal="right"/>
    </xf>
    <xf numFmtId="9" fontId="2" fillId="0" borderId="16" xfId="3" applyFont="1" applyBorder="1" applyAlignment="1">
      <alignment horizontal="right"/>
    </xf>
    <xf numFmtId="9" fontId="2" fillId="0" borderId="10" xfId="3" applyFont="1" applyBorder="1" applyAlignment="1">
      <alignment horizontal="right"/>
    </xf>
    <xf numFmtId="0" fontId="2" fillId="0" borderId="2" xfId="0" applyFont="1" applyBorder="1" applyAlignment="1">
      <alignment horizontal="right"/>
    </xf>
    <xf numFmtId="0" fontId="2" fillId="0" borderId="15" xfId="0" applyFont="1" applyFill="1" applyBorder="1" applyAlignment="1">
      <alignment horizontal="left" wrapText="1"/>
    </xf>
    <xf numFmtId="0" fontId="2" fillId="0" borderId="14" xfId="0" applyFont="1" applyFill="1" applyBorder="1" applyAlignment="1">
      <alignment horizontal="center"/>
    </xf>
    <xf numFmtId="0" fontId="2" fillId="0" borderId="2" xfId="0" applyFont="1" applyFill="1" applyBorder="1" applyAlignment="1">
      <alignment horizontal="center"/>
    </xf>
    <xf numFmtId="0" fontId="2" fillId="0" borderId="12" xfId="0" applyFont="1" applyFill="1" applyBorder="1" applyAlignment="1">
      <alignment horizontal="center"/>
    </xf>
    <xf numFmtId="9" fontId="55" fillId="0" borderId="9" xfId="3" applyFont="1" applyBorder="1" applyAlignment="1">
      <alignment horizontal="center"/>
    </xf>
    <xf numFmtId="9" fontId="55" fillId="0" borderId="12" xfId="3" applyFont="1" applyBorder="1" applyAlignment="1">
      <alignment horizontal="center"/>
    </xf>
    <xf numFmtId="9" fontId="55" fillId="0" borderId="6" xfId="3" applyFont="1" applyBorder="1" applyAlignment="1">
      <alignment horizontal="center"/>
    </xf>
    <xf numFmtId="0" fontId="15" fillId="0" borderId="13" xfId="2" applyFont="1" applyBorder="1" applyAlignment="1" applyProtection="1">
      <alignment horizontal="left" wrapText="1"/>
    </xf>
    <xf numFmtId="0" fontId="15" fillId="0" borderId="15" xfId="2" applyFont="1" applyBorder="1" applyAlignment="1" applyProtection="1">
      <alignment horizontal="left" wrapText="1"/>
    </xf>
    <xf numFmtId="0" fontId="15" fillId="0" borderId="4" xfId="2" applyFont="1" applyBorder="1" applyAlignment="1" applyProtection="1">
      <alignment horizontal="left" wrapText="1"/>
    </xf>
    <xf numFmtId="0" fontId="15" fillId="0" borderId="9" xfId="2" applyFont="1" applyBorder="1" applyAlignment="1" applyProtection="1">
      <alignment horizontal="left" wrapText="1"/>
    </xf>
    <xf numFmtId="0" fontId="15" fillId="0" borderId="12" xfId="2" applyFont="1" applyBorder="1" applyAlignment="1" applyProtection="1">
      <alignment horizontal="left" wrapText="1"/>
    </xf>
    <xf numFmtId="0" fontId="15" fillId="0" borderId="6" xfId="2" applyFont="1" applyBorder="1" applyAlignment="1" applyProtection="1">
      <alignment horizontal="left" wrapText="1"/>
    </xf>
    <xf numFmtId="0" fontId="10" fillId="0" borderId="13" xfId="0" applyFont="1" applyFill="1" applyBorder="1" applyAlignment="1">
      <alignment horizontal="center" wrapText="1"/>
    </xf>
    <xf numFmtId="0" fontId="10" fillId="0" borderId="15" xfId="0" applyFont="1" applyFill="1" applyBorder="1" applyAlignment="1">
      <alignment horizontal="center" wrapText="1"/>
    </xf>
    <xf numFmtId="0" fontId="10" fillId="0" borderId="4" xfId="0" applyFont="1" applyFill="1" applyBorder="1" applyAlignment="1">
      <alignment horizontal="center" wrapText="1"/>
    </xf>
    <xf numFmtId="0" fontId="10" fillId="0" borderId="11" xfId="0" applyFont="1" applyFill="1" applyBorder="1" applyAlignment="1">
      <alignment horizontal="center" wrapText="1"/>
    </xf>
    <xf numFmtId="0" fontId="10" fillId="0" borderId="0" xfId="0" applyFont="1" applyFill="1" applyBorder="1" applyAlignment="1">
      <alignment horizontal="center" wrapText="1"/>
    </xf>
    <xf numFmtId="0" fontId="10" fillId="0" borderId="5" xfId="0" applyFont="1" applyFill="1" applyBorder="1" applyAlignment="1">
      <alignment horizontal="center" wrapText="1"/>
    </xf>
    <xf numFmtId="0" fontId="10" fillId="0" borderId="1" xfId="0" applyFont="1" applyFill="1" applyBorder="1" applyAlignment="1">
      <alignment horizontal="center" wrapText="1"/>
    </xf>
    <xf numFmtId="0" fontId="2" fillId="0" borderId="16" xfId="0" applyFont="1" applyFill="1" applyBorder="1" applyAlignment="1">
      <alignment horizontal="center" wrapText="1"/>
    </xf>
    <xf numFmtId="0" fontId="17" fillId="0" borderId="1" xfId="0" applyFont="1" applyFill="1" applyBorder="1" applyAlignment="1">
      <alignment horizontal="left" wrapText="1"/>
    </xf>
    <xf numFmtId="0" fontId="26" fillId="0" borderId="11" xfId="0" applyFont="1" applyBorder="1" applyAlignment="1">
      <alignment horizontal="center" wrapText="1"/>
    </xf>
    <xf numFmtId="0" fontId="26" fillId="0" borderId="0" xfId="0" applyFont="1" applyBorder="1" applyAlignment="1">
      <alignment horizontal="center" wrapText="1"/>
    </xf>
    <xf numFmtId="0" fontId="26" fillId="0" borderId="5" xfId="0" applyFont="1" applyBorder="1" applyAlignment="1">
      <alignment horizontal="center" wrapText="1"/>
    </xf>
    <xf numFmtId="0" fontId="3" fillId="0" borderId="10" xfId="0" applyFont="1" applyFill="1" applyBorder="1" applyAlignment="1">
      <alignment horizontal="center" wrapText="1"/>
    </xf>
    <xf numFmtId="0" fontId="8" fillId="0" borderId="8" xfId="0" applyFont="1" applyBorder="1" applyAlignment="1">
      <alignment horizontal="center"/>
    </xf>
    <xf numFmtId="0" fontId="8" fillId="0" borderId="10" xfId="0" applyFont="1" applyBorder="1" applyAlignment="1">
      <alignment horizontal="center"/>
    </xf>
    <xf numFmtId="0" fontId="2" fillId="0" borderId="0" xfId="0" applyFont="1" applyAlignment="1">
      <alignment horizontal="center"/>
    </xf>
    <xf numFmtId="0" fontId="16" fillId="0" borderId="8" xfId="0" applyFont="1" applyFill="1" applyBorder="1" applyAlignment="1">
      <alignment horizontal="center" wrapText="1"/>
    </xf>
    <xf numFmtId="0" fontId="16" fillId="0" borderId="16" xfId="0" applyFont="1" applyFill="1" applyBorder="1" applyAlignment="1">
      <alignment horizontal="center"/>
    </xf>
    <xf numFmtId="0" fontId="16" fillId="0" borderId="10" xfId="0" applyFont="1" applyFill="1" applyBorder="1" applyAlignment="1">
      <alignment horizontal="center"/>
    </xf>
    <xf numFmtId="0" fontId="4" fillId="0" borderId="0" xfId="2" applyBorder="1" applyAlignment="1" applyProtection="1">
      <alignment horizontal="center"/>
    </xf>
    <xf numFmtId="9" fontId="4" fillId="0" borderId="0" xfId="2" applyNumberFormat="1" applyBorder="1" applyAlignment="1" applyProtection="1">
      <alignment horizontal="center"/>
    </xf>
    <xf numFmtId="0" fontId="2" fillId="0" borderId="2" xfId="0" applyFont="1" applyBorder="1" applyAlignment="1">
      <alignment horizontal="left" wrapText="1"/>
    </xf>
    <xf numFmtId="0" fontId="3" fillId="0" borderId="16" xfId="0" applyFont="1" applyBorder="1" applyAlignment="1"/>
    <xf numFmtId="0" fontId="3" fillId="0" borderId="10" xfId="0" applyFont="1" applyBorder="1" applyAlignment="1"/>
    <xf numFmtId="9" fontId="10" fillId="0" borderId="11" xfId="3" applyFont="1" applyBorder="1" applyAlignment="1">
      <alignment horizontal="center" vertical="center" wrapText="1"/>
    </xf>
    <xf numFmtId="9" fontId="10" fillId="0" borderId="0" xfId="3" applyFont="1" applyBorder="1" applyAlignment="1">
      <alignment horizontal="center" vertical="center" wrapText="1"/>
    </xf>
    <xf numFmtId="9" fontId="10" fillId="0" borderId="5" xfId="3" applyFont="1" applyBorder="1" applyAlignment="1">
      <alignment horizontal="center" vertical="center" wrapText="1"/>
    </xf>
    <xf numFmtId="0" fontId="21" fillId="0" borderId="0" xfId="0" applyFont="1" applyFill="1" applyBorder="1" applyAlignment="1">
      <alignment horizontal="center"/>
    </xf>
    <xf numFmtId="9" fontId="24" fillId="0" borderId="1" xfId="3" applyFont="1" applyBorder="1" applyAlignment="1">
      <alignment horizontal="center"/>
    </xf>
    <xf numFmtId="0" fontId="2" fillId="0" borderId="2" xfId="0" applyFont="1" applyBorder="1" applyAlignment="1">
      <alignment horizontal="center" wrapText="1"/>
    </xf>
    <xf numFmtId="0" fontId="2" fillId="0" borderId="5" xfId="0" applyFont="1" applyFill="1" applyBorder="1" applyAlignment="1">
      <alignment horizontal="center"/>
    </xf>
    <xf numFmtId="0" fontId="2" fillId="0" borderId="11" xfId="0" applyFont="1" applyFill="1" applyBorder="1" applyAlignment="1">
      <alignment horizontal="center"/>
    </xf>
    <xf numFmtId="9" fontId="2" fillId="0" borderId="1" xfId="0" applyNumberFormat="1" applyFont="1" applyBorder="1" applyAlignment="1">
      <alignment horizontal="left"/>
    </xf>
    <xf numFmtId="9" fontId="2" fillId="0" borderId="1" xfId="0" applyNumberFormat="1" applyFont="1" applyBorder="1" applyAlignment="1">
      <alignment horizontal="center"/>
    </xf>
    <xf numFmtId="0" fontId="2" fillId="0" borderId="1" xfId="0" applyFont="1" applyBorder="1" applyAlignment="1">
      <alignment horizontal="right" wrapText="1"/>
    </xf>
    <xf numFmtId="0" fontId="5" fillId="0" borderId="1" xfId="0" applyFont="1" applyBorder="1" applyAlignment="1">
      <alignment horizontal="center" wrapText="1"/>
    </xf>
    <xf numFmtId="0" fontId="10" fillId="0" borderId="9" xfId="0" applyFont="1" applyBorder="1" applyAlignment="1">
      <alignment horizontal="center" wrapText="1"/>
    </xf>
    <xf numFmtId="0" fontId="10" fillId="0" borderId="12" xfId="0" applyFont="1" applyBorder="1" applyAlignment="1">
      <alignment horizontal="center" wrapText="1"/>
    </xf>
    <xf numFmtId="0" fontId="10" fillId="0" borderId="6" xfId="0" applyFont="1" applyBorder="1" applyAlignment="1">
      <alignment horizontal="center" wrapText="1"/>
    </xf>
    <xf numFmtId="0" fontId="10" fillId="0" borderId="1" xfId="0" applyFont="1" applyBorder="1" applyAlignment="1">
      <alignment horizontal="center" vertical="center" wrapText="1"/>
    </xf>
    <xf numFmtId="0" fontId="2" fillId="0" borderId="1" xfId="0" applyFont="1" applyBorder="1" applyAlignment="1">
      <alignment horizontal="right" wrapText="1" indent="1"/>
    </xf>
    <xf numFmtId="0" fontId="2" fillId="0" borderId="10" xfId="0" applyFont="1" applyFill="1" applyBorder="1" applyAlignment="1">
      <alignment horizontal="center" wrapText="1"/>
    </xf>
    <xf numFmtId="9" fontId="2" fillId="0" borderId="9" xfId="3" applyFont="1" applyBorder="1" applyAlignment="1">
      <alignment horizontal="right" indent="1"/>
    </xf>
    <xf numFmtId="9" fontId="2" fillId="0" borderId="12" xfId="3" applyFont="1" applyBorder="1" applyAlignment="1">
      <alignment horizontal="right" indent="1"/>
    </xf>
    <xf numFmtId="9" fontId="2" fillId="0" borderId="6" xfId="3" applyFont="1" applyBorder="1" applyAlignment="1">
      <alignment horizontal="right" indent="1"/>
    </xf>
    <xf numFmtId="9" fontId="10" fillId="0" borderId="9" xfId="3" applyFont="1" applyBorder="1" applyAlignment="1">
      <alignment horizontal="center" vertical="center" wrapText="1"/>
    </xf>
    <xf numFmtId="9" fontId="10" fillId="0" borderId="12" xfId="3" applyFont="1" applyBorder="1" applyAlignment="1">
      <alignment horizontal="center" vertical="center" wrapText="1"/>
    </xf>
    <xf numFmtId="9" fontId="10" fillId="0" borderId="6" xfId="3" applyFont="1" applyBorder="1" applyAlignment="1">
      <alignment horizontal="center" vertical="center" wrapText="1"/>
    </xf>
    <xf numFmtId="9" fontId="2" fillId="3" borderId="8" xfId="3" applyFont="1" applyFill="1" applyBorder="1" applyAlignment="1" applyProtection="1">
      <alignment horizontal="center"/>
      <protection locked="0"/>
    </xf>
    <xf numFmtId="9" fontId="2" fillId="3" borderId="10" xfId="3" applyFont="1" applyFill="1" applyBorder="1" applyAlignment="1" applyProtection="1">
      <alignment horizontal="center"/>
      <protection locked="0"/>
    </xf>
    <xf numFmtId="0" fontId="2" fillId="0" borderId="22" xfId="0" applyFont="1" applyBorder="1" applyAlignment="1">
      <alignment horizontal="left"/>
    </xf>
    <xf numFmtId="0" fontId="2" fillId="0" borderId="21" xfId="0" applyFont="1" applyBorder="1" applyAlignment="1">
      <alignment horizontal="left"/>
    </xf>
    <xf numFmtId="9" fontId="2" fillId="2" borderId="1" xfId="0" applyNumberFormat="1" applyFont="1" applyFill="1" applyBorder="1" applyAlignment="1">
      <alignment horizontal="center"/>
    </xf>
    <xf numFmtId="0" fontId="66" fillId="0" borderId="1" xfId="0" applyFont="1" applyBorder="1" applyAlignment="1">
      <alignment horizontal="center" vertical="center" wrapText="1"/>
    </xf>
    <xf numFmtId="0" fontId="2" fillId="0" borderId="7" xfId="0" applyFont="1" applyBorder="1" applyAlignment="1">
      <alignment horizontal="center" wrapText="1"/>
    </xf>
    <xf numFmtId="0" fontId="2" fillId="0" borderId="12" xfId="0" applyFont="1" applyBorder="1" applyAlignment="1">
      <alignment horizontal="center"/>
    </xf>
    <xf numFmtId="0" fontId="24" fillId="0" borderId="1" xfId="0" applyFont="1" applyBorder="1" applyAlignment="1">
      <alignment horizontal="left"/>
    </xf>
    <xf numFmtId="0" fontId="3" fillId="0" borderId="23" xfId="0" applyFont="1" applyFill="1" applyBorder="1" applyAlignment="1">
      <alignment horizontal="center" wrapText="1"/>
    </xf>
    <xf numFmtId="0" fontId="3" fillId="0" borderId="24" xfId="0" applyFont="1" applyFill="1" applyBorder="1" applyAlignment="1">
      <alignment horizontal="center" wrapText="1"/>
    </xf>
    <xf numFmtId="0" fontId="10" fillId="0" borderId="7" xfId="0" applyFont="1" applyBorder="1" applyAlignment="1">
      <alignment horizontal="center" wrapText="1"/>
    </xf>
    <xf numFmtId="0" fontId="2" fillId="0" borderId="15" xfId="0" applyFont="1" applyBorder="1" applyAlignment="1">
      <alignment horizontal="center"/>
    </xf>
    <xf numFmtId="0" fontId="3" fillId="0" borderId="9" xfId="0" applyFont="1" applyBorder="1" applyAlignment="1">
      <alignment horizontal="center" wrapText="1"/>
    </xf>
    <xf numFmtId="0" fontId="3" fillId="0" borderId="12" xfId="0" applyFont="1" applyBorder="1" applyAlignment="1">
      <alignment horizontal="center" wrapText="1"/>
    </xf>
    <xf numFmtId="0" fontId="3" fillId="0" borderId="6" xfId="0" applyFont="1" applyBorder="1" applyAlignment="1">
      <alignment horizontal="center" wrapText="1"/>
    </xf>
    <xf numFmtId="0" fontId="2" fillId="0" borderId="0" xfId="0" applyFont="1" applyBorder="1" applyAlignment="1">
      <alignment horizontal="right"/>
    </xf>
    <xf numFmtId="0" fontId="2" fillId="0" borderId="13" xfId="0" applyFont="1" applyBorder="1" applyAlignment="1">
      <alignment horizontal="center"/>
    </xf>
    <xf numFmtId="0" fontId="2" fillId="0" borderId="4" xfId="0" applyFont="1" applyBorder="1" applyAlignment="1">
      <alignment horizontal="center"/>
    </xf>
    <xf numFmtId="0" fontId="2" fillId="0" borderId="6" xfId="0" applyFont="1" applyBorder="1" applyAlignment="1">
      <alignment horizontal="center"/>
    </xf>
    <xf numFmtId="0" fontId="11" fillId="0" borderId="0" xfId="0" applyFont="1" applyFill="1" applyBorder="1" applyAlignment="1">
      <alignment horizontal="center"/>
    </xf>
    <xf numFmtId="0" fontId="12" fillId="0" borderId="11" xfId="0" applyFont="1" applyFill="1" applyBorder="1" applyAlignment="1">
      <alignment horizontal="left"/>
    </xf>
    <xf numFmtId="0" fontId="12" fillId="0" borderId="0" xfId="0" applyFont="1" applyFill="1" applyBorder="1" applyAlignment="1">
      <alignment horizontal="left"/>
    </xf>
    <xf numFmtId="0" fontId="12" fillId="0" borderId="5" xfId="0" applyFont="1" applyFill="1" applyBorder="1" applyAlignment="1">
      <alignment horizontal="left"/>
    </xf>
    <xf numFmtId="9" fontId="28" fillId="0" borderId="1" xfId="3" applyFont="1" applyBorder="1" applyAlignment="1">
      <alignment horizontal="center"/>
    </xf>
    <xf numFmtId="0" fontId="12" fillId="0" borderId="1" xfId="0" applyFont="1" applyFill="1" applyBorder="1" applyAlignment="1">
      <alignment horizontal="left" wrapText="1"/>
    </xf>
    <xf numFmtId="9" fontId="11" fillId="0" borderId="1" xfId="3" applyFont="1" applyFill="1" applyBorder="1" applyAlignment="1">
      <alignment horizontal="center"/>
    </xf>
    <xf numFmtId="1" fontId="2" fillId="0" borderId="1" xfId="3" applyNumberFormat="1" applyFont="1" applyBorder="1" applyAlignment="1">
      <alignment horizontal="left"/>
    </xf>
    <xf numFmtId="0" fontId="8" fillId="0" borderId="8" xfId="0" applyFont="1" applyFill="1" applyBorder="1" applyAlignment="1">
      <alignment horizontal="center"/>
    </xf>
    <xf numFmtId="0" fontId="8" fillId="0" borderId="16" xfId="0" applyFont="1" applyFill="1" applyBorder="1" applyAlignment="1">
      <alignment horizontal="center"/>
    </xf>
    <xf numFmtId="0" fontId="8" fillId="0" borderId="10" xfId="0" applyFont="1" applyFill="1" applyBorder="1" applyAlignment="1">
      <alignment horizontal="center"/>
    </xf>
    <xf numFmtId="0" fontId="2" fillId="0" borderId="14" xfId="0" applyFont="1" applyBorder="1" applyAlignment="1">
      <alignment horizontal="center" wrapText="1"/>
    </xf>
    <xf numFmtId="9" fontId="2" fillId="0" borderId="1" xfId="3" applyFont="1" applyBorder="1" applyAlignment="1">
      <alignment horizontal="left" wrapText="1"/>
    </xf>
    <xf numFmtId="9" fontId="2" fillId="0" borderId="1" xfId="0" applyNumberFormat="1" applyFont="1" applyFill="1" applyBorder="1" applyAlignment="1">
      <alignment horizontal="center"/>
    </xf>
    <xf numFmtId="0" fontId="12" fillId="0" borderId="7" xfId="0" applyFont="1" applyFill="1" applyBorder="1" applyAlignment="1">
      <alignment horizontal="left" wrapText="1"/>
    </xf>
    <xf numFmtId="0" fontId="12" fillId="0" borderId="2" xfId="0" applyFont="1" applyFill="1" applyBorder="1" applyAlignment="1">
      <alignment horizontal="left"/>
    </xf>
    <xf numFmtId="10" fontId="2" fillId="3" borderId="16" xfId="3" applyNumberFormat="1" applyFont="1" applyFill="1" applyBorder="1" applyAlignment="1" applyProtection="1">
      <alignment horizontal="center"/>
      <protection locked="0"/>
    </xf>
    <xf numFmtId="10" fontId="2" fillId="3" borderId="10" xfId="3" applyNumberFormat="1" applyFont="1" applyFill="1" applyBorder="1" applyAlignment="1" applyProtection="1">
      <alignment horizontal="center"/>
      <protection locked="0"/>
    </xf>
    <xf numFmtId="0" fontId="2" fillId="0" borderId="8" xfId="0" applyFont="1" applyFill="1" applyBorder="1" applyAlignment="1"/>
    <xf numFmtId="0" fontId="2" fillId="0" borderId="16" xfId="0" applyFont="1" applyFill="1" applyBorder="1" applyAlignment="1"/>
    <xf numFmtId="0" fontId="2" fillId="0" borderId="10" xfId="0" applyFont="1" applyFill="1" applyBorder="1" applyAlignment="1"/>
    <xf numFmtId="9" fontId="2" fillId="2" borderId="4" xfId="0" applyNumberFormat="1" applyFont="1" applyFill="1" applyBorder="1" applyAlignment="1">
      <alignment horizontal="center"/>
    </xf>
    <xf numFmtId="9" fontId="2" fillId="2" borderId="1" xfId="3" applyFont="1" applyFill="1" applyBorder="1" applyAlignment="1">
      <alignment horizontal="center" wrapText="1"/>
    </xf>
    <xf numFmtId="0" fontId="12" fillId="0" borderId="1" xfId="0" applyFont="1" applyFill="1" applyBorder="1" applyAlignment="1">
      <alignment horizontal="center"/>
    </xf>
    <xf numFmtId="9" fontId="12" fillId="2" borderId="1" xfId="0" applyNumberFormat="1" applyFont="1" applyFill="1" applyBorder="1" applyAlignment="1">
      <alignment horizontal="center"/>
    </xf>
    <xf numFmtId="0" fontId="12" fillId="2" borderId="1" xfId="0" applyFont="1" applyFill="1" applyBorder="1" applyAlignment="1">
      <alignment horizontal="center"/>
    </xf>
    <xf numFmtId="9" fontId="2" fillId="0" borderId="8" xfId="0" applyNumberFormat="1" applyFont="1" applyFill="1" applyBorder="1" applyAlignment="1">
      <alignment horizontal="center"/>
    </xf>
    <xf numFmtId="9" fontId="2" fillId="2" borderId="8" xfId="3" applyFont="1" applyFill="1" applyBorder="1" applyAlignment="1">
      <alignment horizontal="center" wrapText="1"/>
    </xf>
    <xf numFmtId="9" fontId="2" fillId="0" borderId="10" xfId="0" applyNumberFormat="1" applyFont="1" applyFill="1" applyBorder="1" applyAlignment="1">
      <alignment horizontal="center"/>
    </xf>
    <xf numFmtId="0" fontId="13" fillId="0" borderId="0" xfId="0" applyFont="1" applyFill="1" applyBorder="1" applyAlignment="1">
      <alignment horizontal="center" wrapText="1"/>
    </xf>
    <xf numFmtId="0" fontId="14" fillId="0" borderId="1" xfId="0" applyFont="1" applyBorder="1" applyAlignment="1">
      <alignment horizontal="right"/>
    </xf>
    <xf numFmtId="0" fontId="2" fillId="0" borderId="14" xfId="0" applyFont="1" applyBorder="1" applyAlignment="1">
      <alignment horizontal="right"/>
    </xf>
    <xf numFmtId="0" fontId="2" fillId="0" borderId="8" xfId="0" applyFont="1" applyBorder="1" applyAlignment="1"/>
    <xf numFmtId="0" fontId="2" fillId="0" borderId="16" xfId="0" applyFont="1" applyBorder="1" applyAlignment="1"/>
    <xf numFmtId="0" fontId="2" fillId="0" borderId="10" xfId="0" applyFont="1" applyBorder="1" applyAlignment="1"/>
    <xf numFmtId="0" fontId="3" fillId="0" borderId="1" xfId="0" applyFont="1" applyFill="1" applyBorder="1" applyAlignment="1">
      <alignment horizontal="center" wrapText="1"/>
    </xf>
    <xf numFmtId="0" fontId="29" fillId="0" borderId="8" xfId="0" applyFont="1" applyFill="1" applyBorder="1" applyAlignment="1">
      <alignment horizontal="left" wrapText="1"/>
    </xf>
    <xf numFmtId="0" fontId="29" fillId="0" borderId="16" xfId="0" applyFont="1" applyFill="1" applyBorder="1" applyAlignment="1">
      <alignment horizontal="left" wrapText="1"/>
    </xf>
    <xf numFmtId="0" fontId="29" fillId="0" borderId="10" xfId="0" applyFont="1" applyFill="1" applyBorder="1" applyAlignment="1">
      <alignment horizontal="left" wrapText="1"/>
    </xf>
    <xf numFmtId="0" fontId="12" fillId="0" borderId="7" xfId="0" applyFont="1" applyFill="1" applyBorder="1" applyAlignment="1">
      <alignment horizontal="center"/>
    </xf>
    <xf numFmtId="164" fontId="2" fillId="2" borderId="1" xfId="3" applyNumberFormat="1" applyFont="1" applyFill="1" applyBorder="1" applyAlignment="1">
      <alignment horizontal="center" wrapText="1"/>
    </xf>
    <xf numFmtId="9" fontId="24" fillId="0" borderId="8" xfId="3" applyFont="1" applyBorder="1" applyAlignment="1">
      <alignment horizontal="left" wrapText="1"/>
    </xf>
    <xf numFmtId="9" fontId="24" fillId="0" borderId="16" xfId="3" applyFont="1" applyBorder="1" applyAlignment="1">
      <alignment horizontal="left" wrapText="1"/>
    </xf>
    <xf numFmtId="9" fontId="24" fillId="0" borderId="10" xfId="3" applyFont="1" applyBorder="1" applyAlignment="1">
      <alignment horizontal="left" wrapText="1"/>
    </xf>
    <xf numFmtId="164" fontId="2" fillId="2" borderId="1" xfId="0" applyNumberFormat="1" applyFont="1" applyFill="1" applyBorder="1" applyAlignment="1">
      <alignment horizontal="center" wrapText="1"/>
    </xf>
    <xf numFmtId="0" fontId="2" fillId="3" borderId="8" xfId="0" applyFont="1" applyFill="1" applyBorder="1" applyAlignment="1" applyProtection="1">
      <alignment horizontal="center"/>
    </xf>
    <xf numFmtId="0" fontId="2" fillId="3" borderId="10" xfId="0" applyFont="1" applyFill="1" applyBorder="1" applyAlignment="1" applyProtection="1">
      <alignment horizontal="center"/>
    </xf>
    <xf numFmtId="0" fontId="14" fillId="0" borderId="12" xfId="0" applyFont="1" applyBorder="1" applyAlignment="1">
      <alignment horizontal="center"/>
    </xf>
    <xf numFmtId="9" fontId="17" fillId="0" borderId="16" xfId="3" applyFont="1" applyBorder="1" applyAlignment="1">
      <alignment horizontal="center"/>
    </xf>
    <xf numFmtId="9" fontId="17" fillId="0" borderId="9" xfId="3" applyFont="1" applyBorder="1" applyAlignment="1">
      <alignment horizontal="center" wrapText="1"/>
    </xf>
    <xf numFmtId="9" fontId="17" fillId="0" borderId="12" xfId="3" applyFont="1" applyBorder="1" applyAlignment="1">
      <alignment horizontal="center" wrapText="1"/>
    </xf>
    <xf numFmtId="0" fontId="14" fillId="0" borderId="0" xfId="0" applyFont="1" applyBorder="1" applyAlignment="1">
      <alignment horizontal="center"/>
    </xf>
    <xf numFmtId="0" fontId="13" fillId="0" borderId="0" xfId="0" applyFont="1" applyBorder="1" applyAlignment="1">
      <alignment horizontal="center"/>
    </xf>
    <xf numFmtId="0" fontId="2" fillId="3" borderId="16" xfId="0" applyFont="1" applyFill="1" applyBorder="1" applyAlignment="1" applyProtection="1">
      <alignment horizontal="center"/>
    </xf>
    <xf numFmtId="0" fontId="20" fillId="0" borderId="1" xfId="0" applyFont="1" applyBorder="1" applyAlignment="1">
      <alignment horizontal="center" wrapText="1"/>
    </xf>
    <xf numFmtId="0" fontId="26" fillId="0" borderId="13" xfId="0" applyFont="1" applyBorder="1" applyAlignment="1">
      <alignment horizontal="center" wrapText="1"/>
    </xf>
    <xf numFmtId="0" fontId="26" fillId="0" borderId="15" xfId="0" applyFont="1" applyBorder="1" applyAlignment="1">
      <alignment horizontal="center" wrapText="1"/>
    </xf>
    <xf numFmtId="0" fontId="26" fillId="0" borderId="4" xfId="0" applyFont="1" applyBorder="1" applyAlignment="1">
      <alignment horizontal="center" wrapText="1"/>
    </xf>
    <xf numFmtId="0" fontId="24" fillId="0" borderId="1" xfId="0" applyFont="1" applyBorder="1" applyAlignment="1">
      <alignment horizontal="left" wrapText="1"/>
    </xf>
    <xf numFmtId="0" fontId="12" fillId="0" borderId="1" xfId="0" applyFont="1" applyFill="1" applyBorder="1" applyAlignment="1">
      <alignment horizontal="right"/>
    </xf>
    <xf numFmtId="9" fontId="2" fillId="3" borderId="8" xfId="3" applyFont="1" applyFill="1" applyBorder="1" applyAlignment="1">
      <alignment horizontal="center"/>
    </xf>
    <xf numFmtId="9" fontId="2" fillId="3" borderId="10" xfId="3" applyFont="1" applyFill="1" applyBorder="1" applyAlignment="1">
      <alignment horizontal="center"/>
    </xf>
    <xf numFmtId="9" fontId="2" fillId="0" borderId="1" xfId="3" applyFont="1" applyBorder="1" applyAlignment="1">
      <alignment horizontal="left"/>
    </xf>
    <xf numFmtId="0" fontId="12" fillId="0" borderId="9" xfId="0" applyFont="1" applyFill="1" applyBorder="1" applyAlignment="1">
      <alignment horizontal="left"/>
    </xf>
    <xf numFmtId="0" fontId="12" fillId="0" borderId="12" xfId="0" applyFont="1" applyFill="1" applyBorder="1" applyAlignment="1">
      <alignment horizontal="left"/>
    </xf>
    <xf numFmtId="0" fontId="12" fillId="0" borderId="1" xfId="0" applyFont="1" applyFill="1" applyBorder="1" applyAlignment="1">
      <alignment horizontal="left"/>
    </xf>
    <xf numFmtId="0" fontId="2" fillId="0" borderId="13" xfId="0" applyFont="1" applyFill="1" applyBorder="1" applyAlignment="1"/>
    <xf numFmtId="0" fontId="2" fillId="0" borderId="15" xfId="0" applyFont="1" applyFill="1" applyBorder="1" applyAlignment="1"/>
    <xf numFmtId="0" fontId="2" fillId="0" borderId="4" xfId="0" applyFont="1" applyFill="1" applyBorder="1" applyAlignment="1"/>
    <xf numFmtId="0" fontId="13" fillId="0" borderId="2" xfId="0" applyFont="1" applyBorder="1" applyAlignment="1">
      <alignment horizontal="center" wrapText="1"/>
    </xf>
    <xf numFmtId="0" fontId="13" fillId="0" borderId="1" xfId="0" applyFont="1" applyBorder="1" applyAlignment="1">
      <alignment horizontal="center" wrapText="1"/>
    </xf>
    <xf numFmtId="0" fontId="14" fillId="0" borderId="8" xfId="0" applyFont="1" applyBorder="1" applyAlignment="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27" fillId="0" borderId="1" xfId="0" applyFont="1" applyBorder="1" applyAlignment="1">
      <alignment horizontal="center"/>
    </xf>
    <xf numFmtId="0" fontId="12" fillId="0" borderId="0" xfId="0" applyFont="1" applyFill="1" applyBorder="1" applyAlignment="1">
      <alignment horizontal="center"/>
    </xf>
    <xf numFmtId="0" fontId="2" fillId="0" borderId="13" xfId="0" applyFont="1" applyFill="1" applyBorder="1" applyAlignment="1">
      <alignment horizontal="center" wrapText="1"/>
    </xf>
    <xf numFmtId="0" fontId="2" fillId="0" borderId="15" xfId="0" applyFont="1" applyFill="1" applyBorder="1" applyAlignment="1">
      <alignment horizontal="center"/>
    </xf>
    <xf numFmtId="0" fontId="14" fillId="0" borderId="0" xfId="0" applyFont="1" applyFill="1" applyBorder="1" applyAlignment="1">
      <alignment horizontal="center"/>
    </xf>
    <xf numFmtId="0" fontId="2" fillId="0" borderId="1" xfId="0" applyFont="1" applyBorder="1" applyAlignment="1" applyProtection="1">
      <protection locked="0"/>
    </xf>
    <xf numFmtId="9" fontId="14" fillId="0" borderId="1" xfId="3" applyFont="1" applyFill="1" applyBorder="1" applyAlignment="1">
      <alignment horizontal="center" wrapText="1"/>
    </xf>
    <xf numFmtId="0" fontId="2" fillId="0" borderId="1" xfId="0" applyFont="1" applyFill="1" applyBorder="1" applyAlignment="1" applyProtection="1">
      <alignment horizontal="left" wrapText="1"/>
    </xf>
    <xf numFmtId="0" fontId="2" fillId="0" borderId="11" xfId="0" applyFont="1" applyFill="1" applyBorder="1" applyAlignment="1">
      <alignment horizontal="left" wrapText="1"/>
    </xf>
    <xf numFmtId="0" fontId="2" fillId="0" borderId="12" xfId="0" applyFont="1" applyFill="1" applyBorder="1" applyAlignment="1">
      <alignment horizontal="left" wrapText="1"/>
    </xf>
    <xf numFmtId="0" fontId="13" fillId="0" borderId="1" xfId="0" applyFont="1" applyFill="1" applyBorder="1" applyAlignment="1">
      <alignment horizontal="center" wrapText="1"/>
    </xf>
    <xf numFmtId="0" fontId="12" fillId="0" borderId="6" xfId="0" applyFont="1" applyFill="1" applyBorder="1" applyAlignment="1">
      <alignment horizontal="left"/>
    </xf>
    <xf numFmtId="0" fontId="18" fillId="0" borderId="1" xfId="0" applyFont="1" applyFill="1" applyBorder="1" applyAlignment="1">
      <alignment horizontal="center"/>
    </xf>
    <xf numFmtId="0" fontId="10" fillId="0" borderId="11" xfId="0"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12" xfId="0" applyFont="1" applyFill="1" applyBorder="1" applyAlignment="1">
      <alignment horizontal="center" vertical="center" wrapText="1"/>
    </xf>
    <xf numFmtId="0" fontId="10" fillId="0" borderId="6" xfId="0" applyFont="1" applyFill="1" applyBorder="1" applyAlignment="1">
      <alignment horizontal="center" vertical="center" wrapText="1"/>
    </xf>
    <xf numFmtId="9" fontId="17" fillId="0" borderId="8" xfId="3" applyFont="1" applyBorder="1" applyAlignment="1">
      <alignment horizontal="left"/>
    </xf>
    <xf numFmtId="9" fontId="17" fillId="0" borderId="16" xfId="3" applyFont="1" applyBorder="1" applyAlignment="1">
      <alignment horizontal="left"/>
    </xf>
    <xf numFmtId="9" fontId="17" fillId="0" borderId="10" xfId="3" applyFont="1" applyBorder="1" applyAlignment="1">
      <alignment horizontal="left"/>
    </xf>
    <xf numFmtId="0" fontId="2" fillId="3" borderId="1" xfId="0" applyFont="1" applyFill="1" applyBorder="1" applyAlignment="1">
      <alignment horizontal="left" wrapText="1"/>
    </xf>
    <xf numFmtId="0" fontId="18" fillId="0" borderId="0" xfId="0" applyFont="1" applyFill="1" applyBorder="1" applyAlignment="1">
      <alignment horizontal="center" wrapText="1"/>
    </xf>
    <xf numFmtId="0" fontId="8" fillId="0" borderId="1" xfId="0" applyFont="1" applyBorder="1" applyAlignment="1">
      <alignment horizontal="center" wrapText="1"/>
    </xf>
    <xf numFmtId="9" fontId="23" fillId="0" borderId="0" xfId="3" applyFont="1" applyFill="1" applyBorder="1" applyAlignment="1">
      <alignment horizontal="center"/>
    </xf>
    <xf numFmtId="0" fontId="2" fillId="3" borderId="12" xfId="0" applyFont="1" applyFill="1" applyBorder="1" applyAlignment="1" applyProtection="1">
      <alignment horizontal="center"/>
    </xf>
    <xf numFmtId="0" fontId="17" fillId="0" borderId="13" xfId="0" applyFont="1" applyFill="1" applyBorder="1" applyAlignment="1">
      <alignment horizontal="left" wrapText="1"/>
    </xf>
    <xf numFmtId="0" fontId="17" fillId="0" borderId="15" xfId="0" applyFont="1" applyFill="1" applyBorder="1" applyAlignment="1">
      <alignment horizontal="left" wrapText="1"/>
    </xf>
    <xf numFmtId="0" fontId="17" fillId="0" borderId="4" xfId="0" applyFont="1" applyFill="1" applyBorder="1" applyAlignment="1">
      <alignment horizontal="left" wrapText="1"/>
    </xf>
    <xf numFmtId="0" fontId="17" fillId="0" borderId="11" xfId="0" applyFont="1" applyFill="1" applyBorder="1" applyAlignment="1">
      <alignment horizontal="left" wrapText="1"/>
    </xf>
    <xf numFmtId="0" fontId="17" fillId="0" borderId="0" xfId="0" applyFont="1" applyFill="1" applyBorder="1" applyAlignment="1">
      <alignment horizontal="left" wrapText="1"/>
    </xf>
    <xf numFmtId="0" fontId="17" fillId="0" borderId="5" xfId="0" applyFont="1" applyFill="1" applyBorder="1" applyAlignment="1">
      <alignment horizontal="left" wrapText="1"/>
    </xf>
    <xf numFmtId="0" fontId="17" fillId="0" borderId="9" xfId="0" applyFont="1" applyFill="1" applyBorder="1" applyAlignment="1">
      <alignment horizontal="left" wrapText="1"/>
    </xf>
    <xf numFmtId="0" fontId="17" fillId="0" borderId="12" xfId="0" applyFont="1" applyFill="1" applyBorder="1" applyAlignment="1">
      <alignment horizontal="left" wrapText="1"/>
    </xf>
    <xf numFmtId="0" fontId="17" fillId="0" borderId="6" xfId="0" applyFont="1" applyFill="1" applyBorder="1" applyAlignment="1">
      <alignment horizontal="left" wrapText="1"/>
    </xf>
    <xf numFmtId="0" fontId="2" fillId="3" borderId="16" xfId="0" applyFont="1" applyFill="1" applyBorder="1" applyAlignment="1">
      <alignment horizontal="center"/>
    </xf>
    <xf numFmtId="9" fontId="17" fillId="0" borderId="13" xfId="3" applyFont="1" applyBorder="1" applyAlignment="1">
      <alignment horizontal="center" wrapText="1"/>
    </xf>
    <xf numFmtId="9" fontId="17" fillId="0" borderId="15" xfId="3" applyFont="1" applyBorder="1" applyAlignment="1">
      <alignment horizontal="center" wrapText="1"/>
    </xf>
    <xf numFmtId="9" fontId="17" fillId="0" borderId="1" xfId="3" applyFont="1" applyBorder="1" applyAlignment="1">
      <alignment horizontal="center" wrapText="1"/>
    </xf>
    <xf numFmtId="9" fontId="17" fillId="0" borderId="8" xfId="3" applyFont="1" applyBorder="1" applyAlignment="1">
      <alignment horizontal="center" wrapText="1"/>
    </xf>
    <xf numFmtId="0" fontId="21" fillId="0" borderId="1" xfId="0" applyFont="1" applyBorder="1" applyAlignment="1">
      <alignment horizontal="center" wrapText="1"/>
    </xf>
    <xf numFmtId="0" fontId="2" fillId="0" borderId="13" xfId="0" applyFont="1" applyFill="1" applyBorder="1" applyAlignment="1">
      <alignment horizontal="center"/>
    </xf>
    <xf numFmtId="0" fontId="2" fillId="0" borderId="4" xfId="0" applyFont="1" applyFill="1" applyBorder="1" applyAlignment="1">
      <alignment horizontal="center"/>
    </xf>
    <xf numFmtId="0" fontId="21" fillId="0" borderId="7" xfId="0" applyFont="1" applyBorder="1" applyAlignment="1">
      <alignment horizontal="center" wrapText="1"/>
    </xf>
    <xf numFmtId="0" fontId="2" fillId="3" borderId="8" xfId="0" applyFont="1" applyFill="1" applyBorder="1" applyAlignment="1" applyProtection="1">
      <alignment horizontal="center" wrapText="1"/>
      <protection locked="0"/>
    </xf>
    <xf numFmtId="0" fontId="2" fillId="3" borderId="10" xfId="0" applyFont="1" applyFill="1" applyBorder="1" applyAlignment="1" applyProtection="1">
      <alignment horizontal="center" wrapText="1"/>
      <protection locked="0"/>
    </xf>
    <xf numFmtId="9" fontId="2" fillId="0" borderId="0" xfId="3" applyFont="1" applyFill="1" applyBorder="1" applyAlignment="1">
      <alignment horizontal="left" wrapText="1"/>
    </xf>
    <xf numFmtId="164" fontId="2" fillId="2" borderId="8" xfId="0" applyNumberFormat="1" applyFont="1" applyFill="1" applyBorder="1" applyAlignment="1">
      <alignment horizontal="center" wrapText="1"/>
    </xf>
    <xf numFmtId="164" fontId="2" fillId="2" borderId="10" xfId="0" applyNumberFormat="1" applyFont="1" applyFill="1" applyBorder="1" applyAlignment="1">
      <alignment horizontal="center" wrapText="1"/>
    </xf>
    <xf numFmtId="9" fontId="13" fillId="0" borderId="8" xfId="3" applyFont="1" applyBorder="1" applyAlignment="1">
      <alignment horizontal="center"/>
    </xf>
    <xf numFmtId="9" fontId="13" fillId="0" borderId="16" xfId="3" applyFont="1" applyBorder="1" applyAlignment="1">
      <alignment horizontal="center"/>
    </xf>
    <xf numFmtId="9" fontId="13" fillId="0" borderId="10" xfId="3" applyFont="1" applyBorder="1" applyAlignment="1">
      <alignment horizontal="center"/>
    </xf>
    <xf numFmtId="0" fontId="2" fillId="3" borderId="2" xfId="0" applyFont="1" applyFill="1" applyBorder="1" applyAlignment="1" applyProtection="1">
      <alignment horizontal="center" wrapText="1"/>
      <protection locked="0"/>
    </xf>
    <xf numFmtId="0" fontId="2" fillId="3" borderId="16" xfId="0" applyFont="1" applyFill="1" applyBorder="1" applyAlignment="1" applyProtection="1">
      <alignment horizontal="center" wrapText="1"/>
      <protection locked="0"/>
    </xf>
    <xf numFmtId="0" fontId="2" fillId="3" borderId="8" xfId="0" applyFont="1" applyFill="1" applyBorder="1" applyAlignment="1" applyProtection="1">
      <alignment horizontal="left"/>
      <protection locked="0"/>
    </xf>
    <xf numFmtId="0" fontId="2" fillId="3" borderId="16" xfId="0" applyFont="1" applyFill="1" applyBorder="1" applyAlignment="1" applyProtection="1">
      <alignment horizontal="left"/>
      <protection locked="0"/>
    </xf>
    <xf numFmtId="9" fontId="2" fillId="0" borderId="9" xfId="3" applyFont="1" applyBorder="1" applyAlignment="1">
      <alignment horizontal="center"/>
    </xf>
    <xf numFmtId="9" fontId="2" fillId="0" borderId="12" xfId="3" applyFont="1" applyBorder="1" applyAlignment="1">
      <alignment horizontal="center"/>
    </xf>
    <xf numFmtId="9" fontId="2" fillId="0" borderId="6" xfId="3" applyFont="1" applyBorder="1" applyAlignment="1">
      <alignment horizontal="center"/>
    </xf>
    <xf numFmtId="0" fontId="3" fillId="0" borderId="1" xfId="0" applyFont="1" applyFill="1" applyBorder="1" applyAlignment="1">
      <alignment horizontal="center"/>
    </xf>
    <xf numFmtId="0" fontId="2" fillId="3" borderId="10" xfId="0" applyFont="1" applyFill="1" applyBorder="1" applyAlignment="1" applyProtection="1">
      <protection locked="0"/>
    </xf>
    <xf numFmtId="0" fontId="14" fillId="0" borderId="11" xfId="0" applyFont="1" applyBorder="1" applyAlignment="1">
      <alignment horizontal="center"/>
    </xf>
    <xf numFmtId="0" fontId="2" fillId="3" borderId="9" xfId="0" applyFont="1" applyFill="1" applyBorder="1" applyAlignment="1" applyProtection="1">
      <alignment horizontal="center" wrapText="1"/>
      <protection locked="0"/>
    </xf>
    <xf numFmtId="0" fontId="2" fillId="3" borderId="12" xfId="0" applyFont="1" applyFill="1" applyBorder="1" applyAlignment="1" applyProtection="1">
      <alignment horizontal="center" wrapText="1"/>
      <protection locked="0"/>
    </xf>
    <xf numFmtId="0" fontId="2" fillId="0" borderId="1" xfId="0" applyFont="1" applyBorder="1" applyAlignment="1"/>
    <xf numFmtId="0" fontId="2" fillId="3" borderId="10" xfId="0" applyFont="1" applyFill="1" applyBorder="1" applyAlignment="1" applyProtection="1">
      <alignment horizontal="left"/>
      <protection locked="0"/>
    </xf>
    <xf numFmtId="0" fontId="2" fillId="3" borderId="9" xfId="0" applyFont="1" applyFill="1" applyBorder="1" applyAlignment="1" applyProtection="1">
      <alignment horizontal="left"/>
      <protection locked="0"/>
    </xf>
    <xf numFmtId="0" fontId="2" fillId="3" borderId="12" xfId="0" applyFont="1" applyFill="1" applyBorder="1" applyAlignment="1" applyProtection="1">
      <alignment horizontal="left"/>
      <protection locked="0"/>
    </xf>
    <xf numFmtId="0" fontId="2" fillId="3" borderId="6" xfId="0" applyFont="1" applyFill="1" applyBorder="1" applyAlignment="1" applyProtection="1">
      <alignment horizontal="left"/>
      <protection locked="0"/>
    </xf>
    <xf numFmtId="0" fontId="26" fillId="0" borderId="1" xfId="0" applyFont="1" applyBorder="1" applyAlignment="1">
      <alignment horizontal="center" wrapText="1"/>
    </xf>
    <xf numFmtId="0" fontId="2" fillId="0" borderId="8" xfId="0" applyFont="1" applyBorder="1" applyAlignment="1">
      <alignment horizontal="right"/>
    </xf>
    <xf numFmtId="0" fontId="2" fillId="0" borderId="16" xfId="0" applyFont="1" applyBorder="1" applyAlignment="1">
      <alignment horizontal="right"/>
    </xf>
    <xf numFmtId="0" fontId="2" fillId="0" borderId="10" xfId="0" applyFont="1" applyBorder="1" applyAlignment="1">
      <alignment horizontal="right"/>
    </xf>
    <xf numFmtId="9" fontId="24" fillId="2" borderId="1" xfId="3" applyFont="1" applyFill="1" applyBorder="1" applyAlignment="1">
      <alignment horizontal="center" wrapText="1"/>
    </xf>
    <xf numFmtId="0" fontId="30" fillId="0" borderId="8" xfId="0" applyFont="1" applyBorder="1" applyAlignment="1">
      <alignment horizontal="center"/>
    </xf>
    <xf numFmtId="0" fontId="30" fillId="0" borderId="16" xfId="0" applyFont="1" applyBorder="1" applyAlignment="1">
      <alignment horizontal="center"/>
    </xf>
    <xf numFmtId="0" fontId="12" fillId="3" borderId="9" xfId="0" applyFont="1" applyFill="1" applyBorder="1" applyAlignment="1" applyProtection="1">
      <alignment horizontal="center"/>
      <protection locked="0"/>
    </xf>
    <xf numFmtId="0" fontId="12" fillId="3" borderId="12" xfId="0" applyFont="1" applyFill="1" applyBorder="1" applyAlignment="1" applyProtection="1">
      <alignment horizontal="center"/>
      <protection locked="0"/>
    </xf>
    <xf numFmtId="0" fontId="2" fillId="3" borderId="2" xfId="0" applyFont="1" applyFill="1" applyBorder="1" applyAlignment="1" applyProtection="1">
      <alignment horizontal="left"/>
      <protection locked="0"/>
    </xf>
    <xf numFmtId="0" fontId="3" fillId="0" borderId="16" xfId="0" applyFont="1" applyFill="1" applyBorder="1" applyAlignment="1">
      <alignment horizontal="center"/>
    </xf>
    <xf numFmtId="0" fontId="3" fillId="0" borderId="10" xfId="0" applyFont="1" applyFill="1" applyBorder="1" applyAlignment="1">
      <alignment horizontal="center"/>
    </xf>
    <xf numFmtId="0" fontId="12" fillId="0" borderId="8" xfId="0" applyFont="1" applyFill="1" applyBorder="1" applyAlignment="1">
      <alignment horizontal="left" wrapText="1"/>
    </xf>
    <xf numFmtId="0" fontId="12" fillId="0" borderId="16" xfId="0" applyFont="1" applyFill="1" applyBorder="1" applyAlignment="1">
      <alignment horizontal="left" wrapText="1"/>
    </xf>
    <xf numFmtId="0" fontId="12" fillId="0" borderId="10" xfId="0" applyFont="1" applyFill="1" applyBorder="1" applyAlignment="1">
      <alignment horizontal="left" wrapText="1"/>
    </xf>
    <xf numFmtId="0" fontId="2" fillId="3" borderId="2" xfId="0" applyFont="1" applyFill="1" applyBorder="1" applyAlignment="1">
      <alignment horizontal="center"/>
    </xf>
    <xf numFmtId="0" fontId="2" fillId="3" borderId="15" xfId="0" applyFont="1" applyFill="1" applyBorder="1" applyAlignment="1">
      <alignment horizontal="center"/>
    </xf>
    <xf numFmtId="0" fontId="12" fillId="3" borderId="8" xfId="0" applyFont="1" applyFill="1" applyBorder="1" applyAlignment="1" applyProtection="1">
      <alignment horizontal="center"/>
      <protection locked="0"/>
    </xf>
    <xf numFmtId="0" fontId="12" fillId="3" borderId="16" xfId="0" applyFont="1" applyFill="1" applyBorder="1" applyAlignment="1" applyProtection="1">
      <alignment horizontal="center"/>
      <protection locked="0"/>
    </xf>
    <xf numFmtId="0" fontId="12" fillId="3" borderId="10" xfId="0" applyFont="1" applyFill="1" applyBorder="1" applyAlignment="1" applyProtection="1">
      <alignment horizontal="center"/>
      <protection locked="0"/>
    </xf>
    <xf numFmtId="9" fontId="17" fillId="0" borderId="11" xfId="3" applyFont="1" applyBorder="1" applyAlignment="1">
      <alignment horizontal="center"/>
    </xf>
    <xf numFmtId="9" fontId="17" fillId="0" borderId="0" xfId="3" applyFont="1" applyBorder="1" applyAlignment="1">
      <alignment horizontal="center"/>
    </xf>
    <xf numFmtId="0" fontId="13" fillId="0" borderId="13" xfId="0" applyFont="1" applyBorder="1" applyAlignment="1">
      <alignment horizontal="center" wrapText="1"/>
    </xf>
    <xf numFmtId="0" fontId="13" fillId="0" borderId="15" xfId="0" applyFont="1" applyBorder="1" applyAlignment="1">
      <alignment horizontal="center" wrapText="1"/>
    </xf>
    <xf numFmtId="0" fontId="13" fillId="0" borderId="4" xfId="0" applyFont="1" applyBorder="1" applyAlignment="1">
      <alignment horizontal="center" wrapText="1"/>
    </xf>
    <xf numFmtId="0" fontId="14" fillId="0" borderId="7" xfId="0" applyFont="1" applyBorder="1" applyAlignment="1">
      <alignment horizontal="center"/>
    </xf>
    <xf numFmtId="0" fontId="14" fillId="0" borderId="2" xfId="0" applyFont="1" applyBorder="1" applyAlignment="1">
      <alignment horizontal="center"/>
    </xf>
    <xf numFmtId="164" fontId="2" fillId="2" borderId="9" xfId="3" applyNumberFormat="1" applyFont="1" applyFill="1" applyBorder="1" applyAlignment="1">
      <alignment horizontal="center" wrapText="1"/>
    </xf>
    <xf numFmtId="164" fontId="2" fillId="2" borderId="6" xfId="3" applyNumberFormat="1" applyFont="1" applyFill="1" applyBorder="1" applyAlignment="1">
      <alignment horizontal="center" wrapText="1"/>
    </xf>
    <xf numFmtId="0" fontId="8" fillId="0" borderId="10" xfId="0" applyFont="1" applyBorder="1" applyAlignment="1">
      <alignment horizontal="left" wrapText="1"/>
    </xf>
    <xf numFmtId="0" fontId="8" fillId="0" borderId="1" xfId="0" applyFont="1" applyBorder="1" applyAlignment="1">
      <alignment horizontal="left" wrapText="1"/>
    </xf>
    <xf numFmtId="166" fontId="2" fillId="0" borderId="1" xfId="0" applyNumberFormat="1" applyFont="1" applyFill="1" applyBorder="1" applyAlignment="1">
      <alignment horizontal="center"/>
    </xf>
    <xf numFmtId="0" fontId="12" fillId="0" borderId="8" xfId="0" applyFont="1" applyFill="1" applyBorder="1" applyAlignment="1">
      <alignment horizontal="left"/>
    </xf>
    <xf numFmtId="0" fontId="12" fillId="0" borderId="16" xfId="0" applyFont="1" applyFill="1" applyBorder="1" applyAlignment="1">
      <alignment horizontal="left"/>
    </xf>
    <xf numFmtId="0" fontId="12" fillId="0" borderId="10" xfId="0" applyFont="1" applyFill="1" applyBorder="1" applyAlignment="1">
      <alignment horizontal="left"/>
    </xf>
    <xf numFmtId="0" fontId="8" fillId="0" borderId="8" xfId="0" applyFont="1" applyBorder="1" applyAlignment="1">
      <alignment horizontal="left" wrapText="1"/>
    </xf>
    <xf numFmtId="0" fontId="29" fillId="0" borderId="7" xfId="0" applyFont="1" applyFill="1" applyBorder="1" applyAlignment="1">
      <alignment horizontal="left" wrapText="1"/>
    </xf>
    <xf numFmtId="0" fontId="29" fillId="0" borderId="14" xfId="0" applyFont="1" applyFill="1" applyBorder="1" applyAlignment="1">
      <alignment horizontal="left" wrapText="1"/>
    </xf>
    <xf numFmtId="9" fontId="8" fillId="0" borderId="10" xfId="3" applyFont="1" applyBorder="1" applyAlignment="1">
      <alignment horizontal="left" wrapText="1"/>
    </xf>
    <xf numFmtId="9" fontId="8" fillId="0" borderId="1" xfId="3" applyFont="1" applyBorder="1" applyAlignment="1">
      <alignment horizontal="left" wrapText="1"/>
    </xf>
    <xf numFmtId="9" fontId="8" fillId="0" borderId="8" xfId="3" applyFont="1" applyBorder="1" applyAlignment="1">
      <alignment horizontal="left" wrapText="1"/>
    </xf>
    <xf numFmtId="0" fontId="12" fillId="0" borderId="13" xfId="0" applyFont="1" applyFill="1" applyBorder="1" applyAlignment="1">
      <alignment horizontal="center"/>
    </xf>
    <xf numFmtId="0" fontId="12" fillId="0" borderId="15" xfId="0" applyFont="1" applyFill="1" applyBorder="1" applyAlignment="1">
      <alignment horizontal="center"/>
    </xf>
    <xf numFmtId="0" fontId="12" fillId="0" borderId="4" xfId="0" applyFont="1" applyFill="1" applyBorder="1" applyAlignment="1">
      <alignment horizontal="center"/>
    </xf>
    <xf numFmtId="10" fontId="2" fillId="2" borderId="1" xfId="1" applyNumberFormat="1" applyFont="1" applyFill="1" applyBorder="1" applyAlignment="1">
      <alignment horizontal="center"/>
    </xf>
    <xf numFmtId="166" fontId="2" fillId="0" borderId="1" xfId="0" applyNumberFormat="1" applyFont="1" applyBorder="1" applyAlignment="1">
      <alignment horizontal="center"/>
    </xf>
    <xf numFmtId="2" fontId="12" fillId="2" borderId="1" xfId="0" applyNumberFormat="1" applyFont="1" applyFill="1" applyBorder="1" applyAlignment="1">
      <alignment horizontal="center"/>
    </xf>
    <xf numFmtId="44" fontId="12" fillId="2" borderId="1" xfId="1" applyFont="1" applyFill="1" applyBorder="1" applyAlignment="1">
      <alignment horizontal="center"/>
    </xf>
    <xf numFmtId="44" fontId="12" fillId="2" borderId="1" xfId="0" applyNumberFormat="1" applyFont="1" applyFill="1" applyBorder="1" applyAlignment="1">
      <alignment horizontal="center"/>
    </xf>
    <xf numFmtId="0" fontId="10" fillId="0" borderId="9" xfId="0" applyFont="1" applyFill="1" applyBorder="1" applyAlignment="1">
      <alignment horizontal="center" wrapText="1"/>
    </xf>
    <xf numFmtId="0" fontId="10" fillId="0" borderId="12" xfId="0" applyFont="1" applyFill="1" applyBorder="1" applyAlignment="1">
      <alignment horizontal="center" wrapText="1"/>
    </xf>
    <xf numFmtId="0" fontId="10" fillId="0" borderId="6" xfId="0" applyFont="1" applyFill="1" applyBorder="1" applyAlignment="1">
      <alignment horizontal="center" wrapText="1"/>
    </xf>
    <xf numFmtId="0" fontId="2" fillId="3" borderId="1" xfId="0" applyFont="1" applyFill="1" applyBorder="1" applyAlignment="1" applyProtection="1">
      <alignment horizontal="center"/>
    </xf>
    <xf numFmtId="0" fontId="12" fillId="0" borderId="11" xfId="0" applyFont="1" applyFill="1" applyBorder="1" applyAlignment="1">
      <alignment horizontal="center"/>
    </xf>
    <xf numFmtId="0" fontId="12" fillId="0" borderId="5" xfId="0" applyFont="1" applyFill="1" applyBorder="1" applyAlignment="1">
      <alignment horizontal="center"/>
    </xf>
    <xf numFmtId="14" fontId="12" fillId="2" borderId="8" xfId="0" applyNumberFormat="1" applyFont="1" applyFill="1" applyBorder="1" applyAlignment="1">
      <alignment horizontal="center"/>
    </xf>
    <xf numFmtId="0" fontId="12" fillId="2" borderId="16" xfId="0" applyFont="1" applyFill="1" applyBorder="1" applyAlignment="1">
      <alignment horizontal="center"/>
    </xf>
    <xf numFmtId="0" fontId="12" fillId="2" borderId="10" xfId="0" applyFont="1" applyFill="1" applyBorder="1" applyAlignment="1">
      <alignment horizontal="center"/>
    </xf>
    <xf numFmtId="0" fontId="17" fillId="0" borderId="5" xfId="0" applyFont="1" applyFill="1" applyBorder="1" applyAlignment="1">
      <alignment horizontal="center"/>
    </xf>
    <xf numFmtId="0" fontId="4" fillId="0" borderId="0" xfId="2" applyFill="1" applyBorder="1" applyAlignment="1" applyProtection="1">
      <alignment horizontal="center"/>
    </xf>
    <xf numFmtId="0" fontId="13" fillId="0" borderId="2" xfId="0" applyFont="1" applyFill="1" applyBorder="1" applyAlignment="1">
      <alignment horizontal="center" wrapText="1"/>
    </xf>
    <xf numFmtId="0" fontId="12" fillId="0" borderId="1" xfId="0" applyFont="1" applyFill="1" applyBorder="1" applyAlignment="1">
      <alignment horizontal="center" wrapText="1"/>
    </xf>
    <xf numFmtId="0" fontId="12" fillId="0" borderId="13" xfId="0" applyFont="1" applyFill="1" applyBorder="1" applyAlignment="1">
      <alignment horizontal="left"/>
    </xf>
    <xf numFmtId="0" fontId="12" fillId="0" borderId="15" xfId="0" applyFont="1" applyFill="1" applyBorder="1" applyAlignment="1">
      <alignment horizontal="left"/>
    </xf>
    <xf numFmtId="0" fontId="12" fillId="0" borderId="4" xfId="0" applyFont="1" applyFill="1" applyBorder="1" applyAlignment="1">
      <alignment horizontal="left"/>
    </xf>
    <xf numFmtId="0" fontId="12" fillId="0" borderId="1" xfId="0" applyFont="1" applyFill="1" applyBorder="1" applyAlignment="1">
      <alignment horizontal="right" wrapText="1"/>
    </xf>
    <xf numFmtId="9" fontId="2" fillId="0" borderId="9" xfId="0" applyNumberFormat="1" applyFont="1" applyBorder="1" applyAlignment="1">
      <alignment horizontal="center"/>
    </xf>
    <xf numFmtId="0" fontId="2" fillId="0" borderId="7" xfId="0" applyFont="1" applyBorder="1" applyAlignment="1">
      <alignment horizontal="right" wrapText="1"/>
    </xf>
    <xf numFmtId="0" fontId="2" fillId="0" borderId="2" xfId="0" applyFont="1" applyBorder="1" applyAlignment="1">
      <alignment horizontal="right" wrapText="1"/>
    </xf>
    <xf numFmtId="0" fontId="12" fillId="0" borderId="9" xfId="0" applyFont="1" applyFill="1" applyBorder="1" applyAlignment="1">
      <alignment horizontal="left" wrapText="1"/>
    </xf>
    <xf numFmtId="0" fontId="12" fillId="0" borderId="12" xfId="0" applyFont="1" applyFill="1" applyBorder="1" applyAlignment="1">
      <alignment horizontal="left" wrapText="1"/>
    </xf>
    <xf numFmtId="0" fontId="2" fillId="3" borderId="8" xfId="0" applyFont="1" applyFill="1" applyBorder="1" applyAlignment="1"/>
    <xf numFmtId="0" fontId="2" fillId="3" borderId="16" xfId="0" applyFont="1" applyFill="1" applyBorder="1" applyAlignment="1"/>
    <xf numFmtId="0" fontId="2" fillId="3" borderId="10" xfId="0" applyFont="1" applyFill="1" applyBorder="1" applyAlignment="1"/>
    <xf numFmtId="9" fontId="2" fillId="0" borderId="16" xfId="0" applyNumberFormat="1" applyFont="1" applyFill="1" applyBorder="1" applyAlignment="1">
      <alignment horizontal="center"/>
    </xf>
    <xf numFmtId="0" fontId="24" fillId="0" borderId="8" xfId="0" applyFont="1" applyFill="1" applyBorder="1" applyAlignment="1">
      <alignment horizontal="center"/>
    </xf>
    <xf numFmtId="0" fontId="24" fillId="0" borderId="16" xfId="0" applyFont="1" applyFill="1" applyBorder="1" applyAlignment="1">
      <alignment horizontal="center"/>
    </xf>
    <xf numFmtId="0" fontId="24" fillId="0" borderId="10" xfId="0" applyFont="1" applyFill="1" applyBorder="1" applyAlignment="1">
      <alignment horizontal="center"/>
    </xf>
    <xf numFmtId="0" fontId="26" fillId="0" borderId="11" xfId="0" applyFont="1" applyFill="1" applyBorder="1" applyAlignment="1">
      <alignment horizontal="center" wrapText="1"/>
    </xf>
    <xf numFmtId="0" fontId="26" fillId="0" borderId="0" xfId="0" applyFont="1" applyFill="1" applyBorder="1" applyAlignment="1">
      <alignment horizontal="center" wrapText="1"/>
    </xf>
    <xf numFmtId="0" fontId="26" fillId="0" borderId="5" xfId="0" applyFont="1" applyFill="1" applyBorder="1" applyAlignment="1">
      <alignment horizontal="center" wrapText="1"/>
    </xf>
    <xf numFmtId="0" fontId="29" fillId="0" borderId="1" xfId="0" applyFont="1" applyFill="1" applyBorder="1" applyAlignment="1">
      <alignment horizontal="left" wrapText="1"/>
    </xf>
    <xf numFmtId="0" fontId="33" fillId="0" borderId="5" xfId="0" applyFont="1" applyFill="1" applyBorder="1" applyAlignment="1">
      <alignment horizontal="center" wrapText="1"/>
    </xf>
    <xf numFmtId="0" fontId="33" fillId="0" borderId="14" xfId="0" applyFont="1" applyFill="1" applyBorder="1" applyAlignment="1">
      <alignment horizontal="center" wrapText="1"/>
    </xf>
    <xf numFmtId="0" fontId="33" fillId="0" borderId="11" xfId="0" applyFont="1" applyFill="1" applyBorder="1" applyAlignment="1">
      <alignment horizontal="center" wrapText="1"/>
    </xf>
    <xf numFmtId="0" fontId="13" fillId="0" borderId="11" xfId="0" applyFont="1" applyBorder="1" applyAlignment="1">
      <alignment horizontal="center" wrapText="1"/>
    </xf>
    <xf numFmtId="0" fontId="13" fillId="0" borderId="0" xfId="0" applyFont="1" applyBorder="1" applyAlignment="1">
      <alignment horizontal="center" wrapText="1"/>
    </xf>
    <xf numFmtId="0" fontId="13" fillId="0" borderId="5" xfId="0" applyFont="1" applyBorder="1" applyAlignment="1">
      <alignment horizontal="center" wrapText="1"/>
    </xf>
    <xf numFmtId="0" fontId="13" fillId="0" borderId="9" xfId="0" applyFont="1" applyBorder="1" applyAlignment="1">
      <alignment horizontal="center" wrapText="1"/>
    </xf>
    <xf numFmtId="0" fontId="13" fillId="0" borderId="12" xfId="0" applyFont="1" applyBorder="1" applyAlignment="1">
      <alignment horizontal="center" wrapText="1"/>
    </xf>
    <xf numFmtId="0" fontId="13" fillId="0" borderId="6" xfId="0" applyFont="1" applyBorder="1" applyAlignment="1">
      <alignment horizontal="center" wrapText="1"/>
    </xf>
    <xf numFmtId="9" fontId="12" fillId="2" borderId="1" xfId="3" applyFont="1" applyFill="1" applyBorder="1" applyAlignment="1">
      <alignment horizontal="center" wrapText="1"/>
    </xf>
    <xf numFmtId="0" fontId="3" fillId="0" borderId="26" xfId="0" applyFont="1" applyFill="1" applyBorder="1" applyAlignment="1">
      <alignment horizontal="center" wrapText="1"/>
    </xf>
    <xf numFmtId="0" fontId="3" fillId="0" borderId="27" xfId="0" applyFont="1" applyFill="1" applyBorder="1" applyAlignment="1">
      <alignment horizontal="center"/>
    </xf>
    <xf numFmtId="0" fontId="3" fillId="0" borderId="28" xfId="0" applyFont="1" applyFill="1" applyBorder="1" applyAlignment="1">
      <alignment horizontal="center"/>
    </xf>
    <xf numFmtId="0" fontId="14" fillId="0" borderId="25" xfId="0" applyFont="1" applyFill="1" applyBorder="1" applyAlignment="1">
      <alignment horizontal="center"/>
    </xf>
    <xf numFmtId="0" fontId="50" fillId="0" borderId="8" xfId="0" applyFont="1" applyBorder="1" applyAlignment="1">
      <alignment horizontal="center" wrapText="1"/>
    </xf>
    <xf numFmtId="0" fontId="50" fillId="0" borderId="10" xfId="0" applyFont="1" applyBorder="1" applyAlignment="1">
      <alignment horizontal="center" wrapText="1"/>
    </xf>
    <xf numFmtId="9" fontId="2" fillId="3" borderId="16" xfId="3" applyFont="1" applyFill="1" applyBorder="1" applyAlignment="1">
      <alignment horizontal="center"/>
    </xf>
    <xf numFmtId="0" fontId="47" fillId="0" borderId="8" xfId="0" applyFont="1" applyFill="1" applyBorder="1" applyAlignment="1">
      <alignment horizontal="left" wrapText="1"/>
    </xf>
    <xf numFmtId="0" fontId="47" fillId="0" borderId="16" xfId="0" applyFont="1" applyFill="1" applyBorder="1" applyAlignment="1">
      <alignment horizontal="left" wrapText="1"/>
    </xf>
    <xf numFmtId="0" fontId="47" fillId="0" borderId="10" xfId="0" applyFont="1" applyFill="1" applyBorder="1" applyAlignment="1">
      <alignment horizontal="left" wrapText="1"/>
    </xf>
    <xf numFmtId="9" fontId="2" fillId="0" borderId="2" xfId="3" applyFont="1" applyBorder="1" applyAlignment="1">
      <alignment horizontal="left" wrapText="1"/>
    </xf>
    <xf numFmtId="0" fontId="18" fillId="0" borderId="21" xfId="0" applyFont="1" applyFill="1" applyBorder="1" applyAlignment="1">
      <alignment horizontal="center" wrapText="1"/>
    </xf>
    <xf numFmtId="9" fontId="2" fillId="2" borderId="1" xfId="3" applyNumberFormat="1" applyFont="1" applyFill="1" applyBorder="1" applyAlignment="1">
      <alignment horizontal="center" wrapText="1"/>
    </xf>
    <xf numFmtId="9" fontId="2" fillId="2" borderId="6" xfId="0" applyNumberFormat="1" applyFont="1" applyFill="1" applyBorder="1" applyAlignment="1">
      <alignment horizontal="center"/>
    </xf>
    <xf numFmtId="0" fontId="2" fillId="0" borderId="1" xfId="0" applyFont="1" applyBorder="1" applyAlignment="1">
      <alignment horizontal="left" indent="1"/>
    </xf>
    <xf numFmtId="9" fontId="2" fillId="0" borderId="13" xfId="0" applyNumberFormat="1" applyFont="1" applyFill="1" applyBorder="1" applyAlignment="1">
      <alignment horizontal="center"/>
    </xf>
    <xf numFmtId="0" fontId="2" fillId="0" borderId="1" xfId="0" applyFont="1" applyBorder="1" applyAlignment="1" applyProtection="1">
      <alignment horizontal="left"/>
      <protection locked="0"/>
    </xf>
    <xf numFmtId="0" fontId="48" fillId="4" borderId="8" xfId="0" applyFont="1" applyFill="1" applyBorder="1" applyAlignment="1" applyProtection="1">
      <alignment horizontal="center" wrapText="1"/>
    </xf>
    <xf numFmtId="0" fontId="48" fillId="4" borderId="16" xfId="0" applyFont="1" applyFill="1" applyBorder="1" applyAlignment="1" applyProtection="1">
      <alignment horizontal="center"/>
    </xf>
    <xf numFmtId="0" fontId="48" fillId="4" borderId="10" xfId="0" applyFont="1" applyFill="1" applyBorder="1" applyAlignment="1" applyProtection="1">
      <alignment horizontal="center"/>
    </xf>
    <xf numFmtId="0" fontId="17" fillId="0" borderId="11" xfId="0" applyFont="1" applyBorder="1" applyAlignment="1">
      <alignment horizontal="center" wrapText="1"/>
    </xf>
    <xf numFmtId="0" fontId="17" fillId="0" borderId="5" xfId="0" applyFont="1" applyBorder="1" applyAlignment="1">
      <alignment horizontal="center" wrapText="1"/>
    </xf>
    <xf numFmtId="0" fontId="2" fillId="2" borderId="1" xfId="0" applyFont="1" applyFill="1" applyBorder="1" applyAlignment="1">
      <alignment horizontal="center" wrapText="1"/>
    </xf>
    <xf numFmtId="0" fontId="16" fillId="0" borderId="8" xfId="0" applyFont="1" applyBorder="1" applyAlignment="1">
      <alignment horizontal="center" vertical="center"/>
    </xf>
    <xf numFmtId="0" fontId="16" fillId="0" borderId="16" xfId="0" applyFont="1" applyBorder="1" applyAlignment="1">
      <alignment horizontal="center" vertical="center"/>
    </xf>
    <xf numFmtId="0" fontId="16" fillId="0" borderId="10" xfId="0" applyFont="1" applyBorder="1" applyAlignment="1">
      <alignment horizontal="center" vertical="center"/>
    </xf>
    <xf numFmtId="10" fontId="2" fillId="2" borderId="1" xfId="0" applyNumberFormat="1" applyFont="1" applyFill="1" applyBorder="1" applyAlignment="1">
      <alignment horizontal="center" wrapText="1"/>
    </xf>
    <xf numFmtId="10" fontId="2" fillId="2" borderId="8" xfId="0" applyNumberFormat="1" applyFont="1" applyFill="1" applyBorder="1" applyAlignment="1">
      <alignment horizontal="center" wrapText="1"/>
    </xf>
    <xf numFmtId="10" fontId="2" fillId="2" borderId="16" xfId="0" applyNumberFormat="1" applyFont="1" applyFill="1" applyBorder="1" applyAlignment="1">
      <alignment horizontal="center" wrapText="1"/>
    </xf>
    <xf numFmtId="10" fontId="2" fillId="2" borderId="10" xfId="0" applyNumberFormat="1" applyFont="1" applyFill="1" applyBorder="1" applyAlignment="1">
      <alignment horizontal="center" wrapText="1"/>
    </xf>
    <xf numFmtId="9" fontId="2" fillId="2" borderId="2" xfId="3" applyNumberFormat="1" applyFont="1" applyFill="1" applyBorder="1" applyAlignment="1">
      <alignment horizontal="center"/>
    </xf>
    <xf numFmtId="9" fontId="2" fillId="2" borderId="8" xfId="3" applyNumberFormat="1" applyFont="1" applyFill="1" applyBorder="1" applyAlignment="1">
      <alignment horizontal="center"/>
    </xf>
    <xf numFmtId="9" fontId="2" fillId="2" borderId="10" xfId="3" applyNumberFormat="1" applyFont="1" applyFill="1" applyBorder="1" applyAlignment="1">
      <alignment horizontal="center"/>
    </xf>
    <xf numFmtId="0" fontId="3" fillId="0" borderId="1" xfId="0" applyFont="1" applyBorder="1" applyAlignment="1">
      <alignment horizontal="right" wrapText="1"/>
    </xf>
    <xf numFmtId="0" fontId="3" fillId="0" borderId="8" xfId="0" applyFont="1" applyBorder="1" applyAlignment="1">
      <alignment horizontal="left" wrapText="1"/>
    </xf>
    <xf numFmtId="0" fontId="3" fillId="0" borderId="16" xfId="0" applyFont="1" applyBorder="1" applyAlignment="1">
      <alignment horizontal="left" wrapText="1"/>
    </xf>
    <xf numFmtId="0" fontId="3" fillId="0" borderId="10" xfId="0" applyFont="1" applyBorder="1" applyAlignment="1">
      <alignment horizontal="left" wrapText="1"/>
    </xf>
    <xf numFmtId="0" fontId="2" fillId="0" borderId="1" xfId="0" applyFont="1" applyFill="1" applyBorder="1" applyAlignment="1">
      <alignment wrapText="1"/>
    </xf>
    <xf numFmtId="44" fontId="2" fillId="2" borderId="1" xfId="3" applyNumberFormat="1" applyFont="1" applyFill="1" applyBorder="1" applyAlignment="1">
      <alignment horizontal="center" wrapText="1"/>
    </xf>
    <xf numFmtId="0" fontId="3" fillId="0" borderId="1" xfId="0" applyFont="1" applyBorder="1" applyAlignment="1" applyProtection="1">
      <alignment horizontal="right"/>
    </xf>
    <xf numFmtId="9" fontId="2" fillId="2" borderId="1" xfId="0" applyNumberFormat="1" applyFont="1" applyFill="1" applyBorder="1" applyAlignment="1">
      <alignment horizontal="center" wrapText="1"/>
    </xf>
    <xf numFmtId="0" fontId="2" fillId="2" borderId="8" xfId="0" applyFont="1" applyFill="1" applyBorder="1" applyAlignment="1">
      <alignment horizontal="center" wrapText="1"/>
    </xf>
    <xf numFmtId="0" fontId="2" fillId="2" borderId="16" xfId="0" applyFont="1" applyFill="1" applyBorder="1" applyAlignment="1">
      <alignment horizontal="center" wrapText="1"/>
    </xf>
    <xf numFmtId="0" fontId="2" fillId="2" borderId="10" xfId="0" applyFont="1" applyFill="1" applyBorder="1" applyAlignment="1">
      <alignment horizontal="center" wrapText="1"/>
    </xf>
    <xf numFmtId="10" fontId="3" fillId="2" borderId="1" xfId="3" applyNumberFormat="1" applyFont="1" applyFill="1" applyBorder="1" applyAlignment="1">
      <alignment horizontal="center" wrapText="1"/>
    </xf>
    <xf numFmtId="44" fontId="3" fillId="0" borderId="11" xfId="0" applyNumberFormat="1" applyFont="1" applyFill="1" applyBorder="1" applyAlignment="1">
      <alignment horizontal="center" wrapText="1"/>
    </xf>
    <xf numFmtId="44" fontId="3" fillId="0" borderId="0" xfId="0" applyNumberFormat="1" applyFont="1" applyFill="1" applyBorder="1" applyAlignment="1">
      <alignment horizontal="center" wrapText="1"/>
    </xf>
    <xf numFmtId="44" fontId="3" fillId="0" borderId="9" xfId="0" applyNumberFormat="1" applyFont="1" applyFill="1" applyBorder="1" applyAlignment="1">
      <alignment horizontal="center" wrapText="1"/>
    </xf>
    <xf numFmtId="44" fontId="3" fillId="0" borderId="12" xfId="0" applyNumberFormat="1" applyFont="1" applyFill="1" applyBorder="1" applyAlignment="1">
      <alignment horizontal="center" wrapText="1"/>
    </xf>
    <xf numFmtId="44" fontId="2" fillId="2" borderId="10" xfId="0" applyNumberFormat="1" applyFont="1" applyFill="1" applyBorder="1" applyAlignment="1">
      <alignment horizontal="center" wrapText="1"/>
    </xf>
    <xf numFmtId="0" fontId="3" fillId="0" borderId="8" xfId="0" applyFont="1" applyBorder="1" applyAlignment="1">
      <alignment horizontal="right" wrapText="1"/>
    </xf>
    <xf numFmtId="0" fontId="3" fillId="0" borderId="16" xfId="0" applyFont="1" applyBorder="1" applyAlignment="1">
      <alignment horizontal="right" wrapText="1"/>
    </xf>
    <xf numFmtId="0" fontId="3" fillId="0" borderId="10" xfId="0" applyFont="1" applyBorder="1" applyAlignment="1">
      <alignment horizontal="right" wrapText="1"/>
    </xf>
    <xf numFmtId="0" fontId="2" fillId="0" borderId="2" xfId="0" applyFont="1" applyFill="1" applyBorder="1" applyAlignment="1">
      <alignment horizontal="center" wrapText="1"/>
    </xf>
    <xf numFmtId="0" fontId="17" fillId="0" borderId="13" xfId="0" applyFont="1" applyFill="1" applyBorder="1" applyAlignment="1">
      <alignment horizontal="left" vertical="center" wrapText="1"/>
    </xf>
    <xf numFmtId="0" fontId="17" fillId="0" borderId="4" xfId="0" applyFont="1" applyFill="1" applyBorder="1" applyAlignment="1">
      <alignment horizontal="left" vertical="center" wrapText="1"/>
    </xf>
    <xf numFmtId="0" fontId="17" fillId="0" borderId="11" xfId="0" applyFont="1" applyFill="1" applyBorder="1" applyAlignment="1">
      <alignment horizontal="left" vertical="center" wrapText="1"/>
    </xf>
    <xf numFmtId="0" fontId="17" fillId="0" borderId="5" xfId="0" applyFont="1" applyFill="1" applyBorder="1" applyAlignment="1">
      <alignment horizontal="left" vertical="center" wrapText="1"/>
    </xf>
    <xf numFmtId="0" fontId="17" fillId="0" borderId="9" xfId="0" applyFont="1" applyFill="1" applyBorder="1" applyAlignment="1">
      <alignment horizontal="left" vertical="center" wrapText="1"/>
    </xf>
    <xf numFmtId="0" fontId="17" fillId="0" borderId="6" xfId="0" applyFont="1" applyFill="1" applyBorder="1" applyAlignment="1">
      <alignment horizontal="left" vertical="center" wrapText="1"/>
    </xf>
    <xf numFmtId="0" fontId="3" fillId="0" borderId="1" xfId="0" applyFont="1" applyFill="1" applyBorder="1" applyAlignment="1">
      <alignment horizontal="right" wrapText="1"/>
    </xf>
    <xf numFmtId="0" fontId="17" fillId="0" borderId="7" xfId="0" applyFont="1" applyBorder="1" applyAlignment="1">
      <alignment horizontal="center" wrapText="1"/>
    </xf>
    <xf numFmtId="1" fontId="2" fillId="3" borderId="1" xfId="0" applyNumberFormat="1" applyFont="1" applyFill="1" applyBorder="1" applyAlignment="1" applyProtection="1">
      <alignment horizontal="center" wrapText="1"/>
      <protection locked="0"/>
    </xf>
    <xf numFmtId="0" fontId="15" fillId="0" borderId="2" xfId="2" applyFont="1" applyBorder="1" applyAlignment="1" applyProtection="1">
      <alignment horizontal="center" wrapText="1"/>
    </xf>
    <xf numFmtId="14" fontId="2" fillId="2" borderId="2" xfId="0" applyNumberFormat="1" applyFont="1" applyFill="1" applyBorder="1" applyAlignment="1" applyProtection="1">
      <alignment horizontal="center" wrapText="1"/>
    </xf>
    <xf numFmtId="0" fontId="2" fillId="2" borderId="2" xfId="0" applyFont="1" applyFill="1" applyBorder="1" applyAlignment="1" applyProtection="1">
      <alignment horizontal="center" wrapText="1"/>
    </xf>
    <xf numFmtId="0" fontId="2" fillId="3" borderId="2" xfId="0" applyFont="1" applyFill="1" applyBorder="1" applyAlignment="1">
      <alignment horizontal="center" wrapText="1"/>
    </xf>
    <xf numFmtId="1" fontId="2" fillId="2" borderId="1" xfId="0" applyNumberFormat="1" applyFont="1" applyFill="1" applyBorder="1" applyAlignment="1">
      <alignment horizontal="center" wrapText="1"/>
    </xf>
    <xf numFmtId="1" fontId="2" fillId="2" borderId="8" xfId="0" applyNumberFormat="1" applyFont="1" applyFill="1" applyBorder="1" applyAlignment="1">
      <alignment horizontal="center" wrapText="1"/>
    </xf>
    <xf numFmtId="14" fontId="2" fillId="3" borderId="1" xfId="0" applyNumberFormat="1" applyFont="1" applyFill="1" applyBorder="1" applyAlignment="1" applyProtection="1">
      <alignment horizontal="center" wrapText="1"/>
      <protection locked="0"/>
    </xf>
    <xf numFmtId="14" fontId="2" fillId="3" borderId="8" xfId="0" applyNumberFormat="1" applyFont="1" applyFill="1" applyBorder="1" applyAlignment="1" applyProtection="1">
      <alignment horizontal="center" wrapText="1"/>
      <protection locked="0"/>
    </xf>
    <xf numFmtId="0" fontId="3" fillId="0" borderId="7" xfId="0" applyFont="1" applyBorder="1" applyAlignment="1">
      <alignment horizontal="center" wrapText="1"/>
    </xf>
    <xf numFmtId="0" fontId="40" fillId="0" borderId="0" xfId="0" applyFont="1" applyAlignment="1" applyProtection="1">
      <alignment horizontal="left"/>
    </xf>
    <xf numFmtId="0" fontId="3" fillId="0" borderId="7"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2" xfId="0" applyFont="1" applyBorder="1" applyAlignment="1">
      <alignment horizontal="center" vertical="center" wrapText="1"/>
    </xf>
    <xf numFmtId="0" fontId="2" fillId="0" borderId="16" xfId="0" applyFont="1" applyBorder="1" applyAlignment="1">
      <alignment wrapText="1"/>
    </xf>
    <xf numFmtId="0" fontId="2" fillId="0" borderId="10" xfId="0" applyFont="1" applyBorder="1" applyAlignment="1">
      <alignment wrapText="1"/>
    </xf>
    <xf numFmtId="0" fontId="61" fillId="0" borderId="13" xfId="0" applyFont="1" applyBorder="1" applyAlignment="1">
      <alignment horizontal="left" vertical="center" wrapText="1"/>
    </xf>
    <xf numFmtId="0" fontId="61" fillId="0" borderId="15" xfId="0" applyFont="1" applyBorder="1" applyAlignment="1">
      <alignment horizontal="left" vertical="center" wrapText="1"/>
    </xf>
    <xf numFmtId="0" fontId="61" fillId="0" borderId="4" xfId="0" applyFont="1" applyBorder="1" applyAlignment="1">
      <alignment horizontal="left" vertical="center" wrapText="1"/>
    </xf>
    <xf numFmtId="0" fontId="61" fillId="0" borderId="9" xfId="0" applyFont="1" applyBorder="1" applyAlignment="1">
      <alignment horizontal="left" vertical="center" wrapText="1"/>
    </xf>
    <xf numFmtId="0" fontId="61" fillId="0" borderId="12" xfId="0" applyFont="1" applyBorder="1" applyAlignment="1">
      <alignment horizontal="left" vertical="center" wrapText="1"/>
    </xf>
    <xf numFmtId="0" fontId="61" fillId="0" borderId="6" xfId="0" applyFont="1" applyBorder="1" applyAlignment="1">
      <alignment horizontal="left" vertical="center" wrapText="1"/>
    </xf>
    <xf numFmtId="0" fontId="17" fillId="0" borderId="14" xfId="0" applyFont="1" applyBorder="1" applyAlignment="1">
      <alignment horizontal="center" wrapText="1"/>
    </xf>
    <xf numFmtId="0" fontId="2" fillId="0" borderId="11" xfId="0" applyFont="1" applyBorder="1" applyAlignment="1">
      <alignment horizontal="center"/>
    </xf>
    <xf numFmtId="0" fontId="2" fillId="0" borderId="0" xfId="0" applyNumberFormat="1" applyFont="1" applyBorder="1" applyAlignment="1">
      <alignment horizontal="center"/>
    </xf>
    <xf numFmtId="0" fontId="2" fillId="0" borderId="5" xfId="0" applyNumberFormat="1" applyFont="1" applyBorder="1" applyAlignment="1">
      <alignment horizontal="center"/>
    </xf>
    <xf numFmtId="0" fontId="8" fillId="0" borderId="8" xfId="0" applyFont="1" applyFill="1" applyBorder="1" applyAlignment="1" applyProtection="1">
      <alignment horizontal="center"/>
    </xf>
    <xf numFmtId="0" fontId="8" fillId="0" borderId="16" xfId="0" applyFont="1" applyFill="1" applyBorder="1" applyAlignment="1" applyProtection="1">
      <alignment horizontal="center"/>
    </xf>
    <xf numFmtId="0" fontId="8" fillId="0" borderId="10" xfId="0" applyFont="1" applyFill="1" applyBorder="1" applyAlignment="1" applyProtection="1">
      <alignment horizontal="center"/>
    </xf>
    <xf numFmtId="9" fontId="2" fillId="3" borderId="16" xfId="3" applyFont="1" applyFill="1" applyBorder="1" applyAlignment="1" applyProtection="1">
      <alignment horizontal="center"/>
      <protection locked="0"/>
    </xf>
    <xf numFmtId="10" fontId="24" fillId="2" borderId="8" xfId="3" applyNumberFormat="1" applyFont="1" applyFill="1" applyBorder="1" applyAlignment="1">
      <alignment horizontal="center" wrapText="1"/>
    </xf>
    <xf numFmtId="10" fontId="24" fillId="2" borderId="16" xfId="3" applyNumberFormat="1" applyFont="1" applyFill="1" applyBorder="1" applyAlignment="1">
      <alignment horizontal="center" wrapText="1"/>
    </xf>
    <xf numFmtId="10" fontId="24" fillId="2" borderId="10" xfId="3" applyNumberFormat="1" applyFont="1" applyFill="1" applyBorder="1" applyAlignment="1">
      <alignment horizontal="center" wrapText="1"/>
    </xf>
    <xf numFmtId="0" fontId="10" fillId="0" borderId="8" xfId="0" applyFont="1" applyBorder="1" applyAlignment="1">
      <alignment horizontal="left" wrapText="1"/>
    </xf>
    <xf numFmtId="0" fontId="10" fillId="0" borderId="16" xfId="0" applyFont="1" applyBorder="1" applyAlignment="1">
      <alignment horizontal="left" wrapText="1"/>
    </xf>
    <xf numFmtId="0" fontId="10" fillId="0" borderId="10" xfId="0" applyFont="1" applyBorder="1" applyAlignment="1">
      <alignment horizontal="left" wrapText="1"/>
    </xf>
    <xf numFmtId="0" fontId="2" fillId="3" borderId="1" xfId="0" applyFont="1" applyFill="1" applyBorder="1" applyAlignment="1" applyProtection="1">
      <alignment horizontal="center" wrapText="1"/>
    </xf>
    <xf numFmtId="10" fontId="24" fillId="0" borderId="8" xfId="3" applyNumberFormat="1" applyFont="1" applyFill="1" applyBorder="1" applyAlignment="1">
      <alignment horizontal="center" wrapText="1"/>
    </xf>
    <xf numFmtId="10" fontId="24" fillId="0" borderId="16" xfId="3" applyNumberFormat="1" applyFont="1" applyFill="1" applyBorder="1" applyAlignment="1">
      <alignment horizontal="center" wrapText="1"/>
    </xf>
    <xf numFmtId="10" fontId="24" fillId="0" borderId="10" xfId="3" applyNumberFormat="1" applyFont="1" applyFill="1" applyBorder="1" applyAlignment="1">
      <alignment horizontal="center" wrapText="1"/>
    </xf>
    <xf numFmtId="10" fontId="3" fillId="0" borderId="1" xfId="3" applyNumberFormat="1" applyFont="1" applyFill="1" applyBorder="1" applyAlignment="1">
      <alignment horizontal="right" wrapText="1"/>
    </xf>
    <xf numFmtId="14" fontId="12" fillId="2" borderId="16" xfId="0" applyNumberFormat="1" applyFont="1" applyFill="1" applyBorder="1" applyAlignment="1">
      <alignment horizontal="center"/>
    </xf>
    <xf numFmtId="14" fontId="12" fillId="2" borderId="10" xfId="0" applyNumberFormat="1" applyFont="1" applyFill="1" applyBorder="1" applyAlignment="1">
      <alignment horizontal="center"/>
    </xf>
    <xf numFmtId="0" fontId="3" fillId="0" borderId="12" xfId="0" applyFont="1" applyBorder="1" applyAlignment="1">
      <alignment horizontal="left"/>
    </xf>
    <xf numFmtId="10" fontId="2" fillId="2" borderId="13" xfId="0" applyNumberFormat="1" applyFont="1" applyFill="1" applyBorder="1" applyAlignment="1">
      <alignment horizontal="center"/>
    </xf>
    <xf numFmtId="10" fontId="2" fillId="2" borderId="15" xfId="0" applyNumberFormat="1" applyFont="1" applyFill="1" applyBorder="1" applyAlignment="1">
      <alignment horizontal="center"/>
    </xf>
    <xf numFmtId="10" fontId="2" fillId="2" borderId="4" xfId="0" applyNumberFormat="1" applyFont="1" applyFill="1" applyBorder="1" applyAlignment="1">
      <alignment horizontal="center"/>
    </xf>
    <xf numFmtId="44" fontId="3" fillId="2" borderId="1" xfId="1" applyFont="1" applyFill="1" applyBorder="1" applyAlignment="1">
      <alignment horizontal="center"/>
    </xf>
    <xf numFmtId="44" fontId="3" fillId="2" borderId="8" xfId="1" applyFont="1" applyFill="1" applyBorder="1" applyAlignment="1">
      <alignment horizontal="center"/>
    </xf>
    <xf numFmtId="44" fontId="3" fillId="2" borderId="16" xfId="1" applyFont="1" applyFill="1" applyBorder="1" applyAlignment="1">
      <alignment horizontal="center"/>
    </xf>
    <xf numFmtId="44" fontId="3" fillId="2" borderId="10" xfId="1" applyFont="1" applyFill="1" applyBorder="1" applyAlignment="1">
      <alignment horizontal="center"/>
    </xf>
    <xf numFmtId="44" fontId="2" fillId="2" borderId="16" xfId="0" applyNumberFormat="1" applyFont="1" applyFill="1" applyBorder="1" applyAlignment="1">
      <alignment horizontal="center" wrapText="1"/>
    </xf>
    <xf numFmtId="0" fontId="3" fillId="0" borderId="8" xfId="0" applyFont="1" applyBorder="1" applyAlignment="1">
      <alignment horizontal="right"/>
    </xf>
    <xf numFmtId="0" fontId="3" fillId="0" borderId="16" xfId="0" applyFont="1" applyBorder="1" applyAlignment="1">
      <alignment horizontal="right"/>
    </xf>
    <xf numFmtId="0" fontId="3" fillId="0" borderId="10" xfId="0" applyFont="1" applyBorder="1" applyAlignment="1">
      <alignment horizontal="right"/>
    </xf>
    <xf numFmtId="0" fontId="2" fillId="0" borderId="8" xfId="0" applyFont="1" applyFill="1" applyBorder="1" applyAlignment="1" applyProtection="1">
      <alignment horizontal="center"/>
    </xf>
    <xf numFmtId="0" fontId="2" fillId="0" borderId="16" xfId="0" applyFont="1" applyFill="1" applyBorder="1" applyAlignment="1" applyProtection="1">
      <alignment horizontal="center"/>
    </xf>
    <xf numFmtId="0" fontId="2" fillId="0" borderId="10" xfId="0" applyFont="1" applyFill="1" applyBorder="1" applyAlignment="1" applyProtection="1">
      <alignment horizontal="center"/>
    </xf>
    <xf numFmtId="10" fontId="48" fillId="4" borderId="8" xfId="3" applyNumberFormat="1" applyFont="1" applyFill="1" applyBorder="1" applyAlignment="1">
      <alignment horizontal="center" wrapText="1"/>
    </xf>
    <xf numFmtId="10" fontId="48" fillId="4" borderId="16" xfId="3" applyNumberFormat="1" applyFont="1" applyFill="1" applyBorder="1" applyAlignment="1">
      <alignment horizontal="center" wrapText="1"/>
    </xf>
    <xf numFmtId="10" fontId="48" fillId="4" borderId="10" xfId="3" applyNumberFormat="1" applyFont="1" applyFill="1" applyBorder="1" applyAlignment="1">
      <alignment horizontal="center" wrapText="1"/>
    </xf>
    <xf numFmtId="0" fontId="4" fillId="0" borderId="0" xfId="2" applyFont="1" applyAlignment="1" applyProtection="1">
      <alignment horizontal="left"/>
    </xf>
    <xf numFmtId="0" fontId="4" fillId="0" borderId="0" xfId="2" applyAlignment="1" applyProtection="1">
      <alignment horizontal="left"/>
    </xf>
    <xf numFmtId="0" fontId="4" fillId="0" borderId="0" xfId="2" applyAlignment="1" applyProtection="1">
      <alignment horizontal="center"/>
    </xf>
    <xf numFmtId="9" fontId="2" fillId="2" borderId="16" xfId="3" applyNumberFormat="1" applyFont="1" applyFill="1" applyBorder="1" applyAlignment="1">
      <alignment horizontal="center"/>
    </xf>
    <xf numFmtId="9" fontId="2" fillId="2" borderId="15" xfId="0" applyNumberFormat="1" applyFont="1" applyFill="1" applyBorder="1" applyAlignment="1">
      <alignment horizontal="center"/>
    </xf>
    <xf numFmtId="10" fontId="3" fillId="0" borderId="1" xfId="3" applyNumberFormat="1" applyFont="1" applyBorder="1" applyAlignment="1">
      <alignment horizontal="right" wrapText="1"/>
    </xf>
    <xf numFmtId="44" fontId="3" fillId="2" borderId="1" xfId="1" applyNumberFormat="1" applyFont="1" applyFill="1" applyBorder="1" applyAlignment="1">
      <alignment horizontal="center"/>
    </xf>
    <xf numFmtId="10" fontId="2" fillId="2" borderId="7" xfId="0" applyNumberFormat="1" applyFont="1" applyFill="1" applyBorder="1" applyAlignment="1">
      <alignment horizontal="center"/>
    </xf>
    <xf numFmtId="0" fontId="2" fillId="2" borderId="8" xfId="0" applyNumberFormat="1" applyFont="1" applyFill="1" applyBorder="1" applyAlignment="1">
      <alignment horizontal="center"/>
    </xf>
    <xf numFmtId="0" fontId="2" fillId="2" borderId="16" xfId="0" applyNumberFormat="1" applyFont="1" applyFill="1" applyBorder="1" applyAlignment="1">
      <alignment horizontal="center"/>
    </xf>
    <xf numFmtId="0" fontId="2" fillId="2" borderId="10" xfId="0" applyNumberFormat="1" applyFont="1" applyFill="1" applyBorder="1" applyAlignment="1">
      <alignment horizontal="center"/>
    </xf>
    <xf numFmtId="0" fontId="2" fillId="0" borderId="5" xfId="0" applyFont="1" applyBorder="1" applyAlignment="1">
      <alignment horizontal="center"/>
    </xf>
    <xf numFmtId="9" fontId="2" fillId="2" borderId="13" xfId="3" applyFont="1" applyFill="1" applyBorder="1" applyAlignment="1">
      <alignment horizontal="center"/>
    </xf>
    <xf numFmtId="9" fontId="2" fillId="2" borderId="15" xfId="3" applyFont="1" applyFill="1" applyBorder="1" applyAlignment="1">
      <alignment horizontal="center"/>
    </xf>
    <xf numFmtId="9" fontId="2" fillId="2" borderId="4" xfId="3" applyFont="1" applyFill="1" applyBorder="1" applyAlignment="1">
      <alignment horizontal="center"/>
    </xf>
    <xf numFmtId="9" fontId="2" fillId="2" borderId="9" xfId="3" applyNumberFormat="1" applyFont="1" applyFill="1" applyBorder="1" applyAlignment="1">
      <alignment horizontal="center"/>
    </xf>
    <xf numFmtId="9" fontId="2" fillId="2" borderId="12" xfId="3" applyNumberFormat="1" applyFont="1" applyFill="1" applyBorder="1" applyAlignment="1">
      <alignment horizontal="center"/>
    </xf>
    <xf numFmtId="0" fontId="3" fillId="0" borderId="0" xfId="0" applyFont="1" applyBorder="1" applyAlignment="1">
      <alignment horizontal="center" wrapText="1"/>
    </xf>
    <xf numFmtId="0" fontId="3" fillId="0" borderId="5" xfId="0" applyFont="1" applyBorder="1" applyAlignment="1">
      <alignment horizontal="center" wrapText="1"/>
    </xf>
    <xf numFmtId="9" fontId="2" fillId="2" borderId="13" xfId="3" applyNumberFormat="1" applyFont="1" applyFill="1" applyBorder="1" applyAlignment="1">
      <alignment horizontal="center"/>
    </xf>
    <xf numFmtId="9" fontId="2" fillId="2" borderId="15" xfId="3" applyNumberFormat="1" applyFont="1" applyFill="1" applyBorder="1" applyAlignment="1">
      <alignment horizontal="center"/>
    </xf>
    <xf numFmtId="0" fontId="2" fillId="0" borderId="11" xfId="0" applyFont="1" applyFill="1" applyBorder="1" applyAlignment="1">
      <alignment horizontal="center" wrapText="1"/>
    </xf>
    <xf numFmtId="1" fontId="2" fillId="0" borderId="1" xfId="0" applyNumberFormat="1" applyFont="1" applyBorder="1" applyAlignment="1">
      <alignment horizontal="center"/>
    </xf>
    <xf numFmtId="0" fontId="22" fillId="0" borderId="13" xfId="0" applyFont="1" applyBorder="1" applyAlignment="1">
      <alignment horizontal="center" wrapText="1"/>
    </xf>
    <xf numFmtId="0" fontId="22" fillId="0" borderId="15" xfId="0" applyFont="1" applyBorder="1" applyAlignment="1">
      <alignment horizontal="center" wrapText="1"/>
    </xf>
    <xf numFmtId="0" fontId="22" fillId="0" borderId="4" xfId="0" applyFont="1" applyBorder="1" applyAlignment="1">
      <alignment horizontal="center" wrapText="1"/>
    </xf>
    <xf numFmtId="0" fontId="22" fillId="0" borderId="11" xfId="0" applyFont="1" applyBorder="1" applyAlignment="1">
      <alignment horizontal="center" wrapText="1"/>
    </xf>
    <xf numFmtId="0" fontId="22" fillId="0" borderId="0" xfId="0" applyFont="1" applyBorder="1" applyAlignment="1">
      <alignment horizontal="center" wrapText="1"/>
    </xf>
    <xf numFmtId="0" fontId="22" fillId="0" borderId="5" xfId="0" applyFont="1" applyBorder="1" applyAlignment="1">
      <alignment horizontal="center" wrapText="1"/>
    </xf>
    <xf numFmtId="0" fontId="22" fillId="0" borderId="9" xfId="0" applyFont="1" applyBorder="1" applyAlignment="1">
      <alignment horizontal="center" wrapText="1"/>
    </xf>
    <xf numFmtId="0" fontId="22" fillId="0" borderId="12" xfId="0" applyFont="1" applyBorder="1" applyAlignment="1">
      <alignment horizontal="center" wrapText="1"/>
    </xf>
    <xf numFmtId="0" fontId="22" fillId="0" borderId="6" xfId="0" applyFont="1" applyBorder="1" applyAlignment="1">
      <alignment horizontal="center" wrapText="1"/>
    </xf>
    <xf numFmtId="1" fontId="2" fillId="0" borderId="1" xfId="0" applyNumberFormat="1" applyFont="1" applyBorder="1" applyAlignment="1">
      <alignment horizontal="right" wrapText="1"/>
    </xf>
    <xf numFmtId="10" fontId="2" fillId="2" borderId="1" xfId="3" applyNumberFormat="1" applyFont="1" applyFill="1" applyBorder="1" applyAlignment="1">
      <alignment horizontal="center" wrapText="1"/>
    </xf>
    <xf numFmtId="0" fontId="17" fillId="0" borderId="1" xfId="0" applyFont="1" applyBorder="1" applyAlignment="1">
      <alignment horizontal="left" wrapText="1"/>
    </xf>
    <xf numFmtId="0" fontId="2" fillId="3" borderId="1" xfId="0" applyFont="1" applyFill="1" applyBorder="1" applyAlignment="1">
      <alignment horizontal="center" wrapText="1"/>
    </xf>
    <xf numFmtId="10" fontId="2" fillId="2" borderId="8" xfId="3" applyNumberFormat="1" applyFont="1" applyFill="1" applyBorder="1" applyAlignment="1">
      <alignment horizontal="center" wrapText="1"/>
    </xf>
    <xf numFmtId="10" fontId="2" fillId="2" borderId="16" xfId="3" applyNumberFormat="1" applyFont="1" applyFill="1" applyBorder="1" applyAlignment="1">
      <alignment horizontal="center" wrapText="1"/>
    </xf>
    <xf numFmtId="10" fontId="2" fillId="2" borderId="10" xfId="3" applyNumberFormat="1" applyFont="1" applyFill="1" applyBorder="1" applyAlignment="1">
      <alignment horizontal="center" wrapText="1"/>
    </xf>
    <xf numFmtId="0" fontId="19" fillId="0" borderId="8" xfId="0" applyFont="1" applyBorder="1" applyAlignment="1">
      <alignment horizontal="center" wrapText="1"/>
    </xf>
    <xf numFmtId="0" fontId="19" fillId="0" borderId="16" xfId="0" applyFont="1" applyBorder="1" applyAlignment="1">
      <alignment horizontal="center" wrapText="1"/>
    </xf>
    <xf numFmtId="0" fontId="19" fillId="0" borderId="10" xfId="0" applyFont="1" applyBorder="1" applyAlignment="1">
      <alignment horizontal="center" wrapText="1"/>
    </xf>
    <xf numFmtId="0" fontId="34" fillId="0" borderId="1" xfId="0" applyFont="1" applyFill="1" applyBorder="1" applyAlignment="1">
      <alignment horizontal="center"/>
    </xf>
    <xf numFmtId="0" fontId="2" fillId="0" borderId="7" xfId="0" applyFont="1" applyFill="1" applyBorder="1" applyAlignment="1">
      <alignment horizontal="center" wrapText="1"/>
    </xf>
    <xf numFmtId="0" fontId="2" fillId="0" borderId="14" xfId="0" applyFont="1" applyFill="1" applyBorder="1" applyAlignment="1">
      <alignment horizontal="center" wrapText="1"/>
    </xf>
    <xf numFmtId="10" fontId="2" fillId="2" borderId="13" xfId="3" applyNumberFormat="1" applyFont="1" applyFill="1" applyBorder="1" applyAlignment="1">
      <alignment horizontal="center" wrapText="1"/>
    </xf>
    <xf numFmtId="10" fontId="2" fillId="2" borderId="15" xfId="3" applyNumberFormat="1" applyFont="1" applyFill="1" applyBorder="1" applyAlignment="1">
      <alignment horizontal="center" wrapText="1"/>
    </xf>
    <xf numFmtId="10" fontId="2" fillId="2" borderId="4" xfId="3" applyNumberFormat="1" applyFont="1" applyFill="1" applyBorder="1" applyAlignment="1">
      <alignment horizontal="center" wrapText="1"/>
    </xf>
    <xf numFmtId="10" fontId="2" fillId="2" borderId="9" xfId="3" applyNumberFormat="1" applyFont="1" applyFill="1" applyBorder="1" applyAlignment="1">
      <alignment horizontal="center" wrapText="1"/>
    </xf>
    <xf numFmtId="10" fontId="2" fillId="2" borderId="12" xfId="3" applyNumberFormat="1" applyFont="1" applyFill="1" applyBorder="1" applyAlignment="1">
      <alignment horizontal="center" wrapText="1"/>
    </xf>
    <xf numFmtId="10" fontId="2" fillId="2" borderId="6" xfId="3" applyNumberFormat="1" applyFont="1" applyFill="1" applyBorder="1" applyAlignment="1">
      <alignment horizontal="center" wrapText="1"/>
    </xf>
    <xf numFmtId="0" fontId="2" fillId="0" borderId="8" xfId="0" applyFont="1" applyBorder="1" applyAlignment="1">
      <alignment horizontal="right" wrapText="1"/>
    </xf>
    <xf numFmtId="0" fontId="2" fillId="0" borderId="16" xfId="0" applyFont="1" applyBorder="1" applyAlignment="1">
      <alignment horizontal="right" wrapText="1"/>
    </xf>
    <xf numFmtId="0" fontId="2" fillId="0" borderId="10" xfId="0" applyFont="1" applyBorder="1" applyAlignment="1">
      <alignment horizontal="right" wrapText="1"/>
    </xf>
    <xf numFmtId="1" fontId="2" fillId="0" borderId="8" xfId="0" applyNumberFormat="1" applyFont="1" applyBorder="1" applyAlignment="1">
      <alignment horizontal="center"/>
    </xf>
    <xf numFmtId="0" fontId="5" fillId="0" borderId="1" xfId="0" applyFont="1" applyFill="1" applyBorder="1" applyAlignment="1">
      <alignment horizontal="center" wrapText="1"/>
    </xf>
    <xf numFmtId="0" fontId="2" fillId="0" borderId="11" xfId="0" applyFont="1" applyBorder="1" applyAlignment="1">
      <alignment horizontal="right"/>
    </xf>
    <xf numFmtId="10" fontId="2" fillId="2" borderId="7" xfId="3" applyNumberFormat="1" applyFont="1" applyFill="1" applyBorder="1" applyAlignment="1">
      <alignment horizontal="center"/>
    </xf>
    <xf numFmtId="0" fontId="3" fillId="0" borderId="15" xfId="0" applyFont="1" applyBorder="1" applyAlignment="1">
      <alignment horizontal="center" wrapText="1"/>
    </xf>
    <xf numFmtId="0" fontId="3" fillId="0" borderId="4" xfId="0" applyFont="1" applyBorder="1" applyAlignment="1">
      <alignment horizontal="center" wrapText="1"/>
    </xf>
    <xf numFmtId="0" fontId="3" fillId="0" borderId="0" xfId="0" applyFont="1" applyBorder="1" applyAlignment="1">
      <alignment horizontal="center"/>
    </xf>
    <xf numFmtId="0" fontId="3" fillId="0" borderId="5" xfId="0" applyFont="1" applyBorder="1" applyAlignment="1">
      <alignment horizontal="center"/>
    </xf>
    <xf numFmtId="0" fontId="3" fillId="0" borderId="12" xfId="0" applyFont="1" applyBorder="1" applyAlignment="1">
      <alignment horizontal="center"/>
    </xf>
    <xf numFmtId="0" fontId="3" fillId="0" borderId="6" xfId="0" applyFont="1" applyBorder="1" applyAlignment="1">
      <alignment horizontal="center"/>
    </xf>
    <xf numFmtId="44" fontId="2" fillId="0" borderId="1" xfId="1" applyFont="1" applyBorder="1" applyAlignment="1">
      <alignment horizontal="left"/>
    </xf>
    <xf numFmtId="0" fontId="3" fillId="0" borderId="1" xfId="0" applyFont="1" applyBorder="1" applyAlignment="1">
      <alignment horizontal="left"/>
    </xf>
    <xf numFmtId="0" fontId="49" fillId="0" borderId="8" xfId="2" applyFont="1" applyFill="1" applyBorder="1" applyAlignment="1" applyProtection="1">
      <alignment horizontal="center"/>
    </xf>
    <xf numFmtId="0" fontId="49" fillId="0" borderId="16" xfId="2" applyFont="1" applyFill="1" applyBorder="1" applyAlignment="1" applyProtection="1">
      <alignment horizontal="center"/>
    </xf>
    <xf numFmtId="0" fontId="49" fillId="0" borderId="10" xfId="2" applyFont="1" applyFill="1" applyBorder="1" applyAlignment="1" applyProtection="1">
      <alignment horizontal="center"/>
    </xf>
    <xf numFmtId="44" fontId="2" fillId="2" borderId="1" xfId="1" applyFont="1" applyFill="1" applyBorder="1" applyAlignment="1">
      <alignment horizontal="right"/>
    </xf>
    <xf numFmtId="44" fontId="3" fillId="2" borderId="1" xfId="1" applyFont="1" applyFill="1" applyBorder="1" applyAlignment="1">
      <alignment horizontal="right"/>
    </xf>
    <xf numFmtId="0" fontId="14" fillId="0" borderId="13" xfId="0" applyFont="1" applyFill="1" applyBorder="1" applyAlignment="1">
      <alignment horizontal="center" wrapText="1"/>
    </xf>
    <xf numFmtId="0" fontId="14" fillId="0" borderId="4" xfId="0" applyFont="1" applyFill="1" applyBorder="1" applyAlignment="1">
      <alignment horizontal="center" wrapText="1"/>
    </xf>
    <xf numFmtId="0" fontId="14" fillId="0" borderId="11" xfId="0" applyFont="1" applyFill="1" applyBorder="1" applyAlignment="1">
      <alignment horizontal="center" wrapText="1"/>
    </xf>
    <xf numFmtId="0" fontId="14" fillId="0" borderId="5" xfId="0" applyFont="1" applyFill="1" applyBorder="1" applyAlignment="1">
      <alignment horizontal="center" wrapText="1"/>
    </xf>
    <xf numFmtId="0" fontId="14" fillId="0" borderId="9" xfId="0" applyFont="1" applyFill="1" applyBorder="1" applyAlignment="1">
      <alignment horizontal="center" wrapText="1"/>
    </xf>
    <xf numFmtId="0" fontId="14" fillId="0" borderId="6" xfId="0" applyFont="1" applyFill="1" applyBorder="1" applyAlignment="1">
      <alignment horizontal="center" wrapText="1"/>
    </xf>
    <xf numFmtId="0" fontId="65" fillId="0" borderId="8" xfId="0" applyFont="1" applyBorder="1" applyAlignment="1">
      <alignment horizontal="center" wrapText="1"/>
    </xf>
    <xf numFmtId="0" fontId="65" fillId="0" borderId="16" xfId="0" applyFont="1" applyBorder="1" applyAlignment="1">
      <alignment horizontal="center" wrapText="1"/>
    </xf>
    <xf numFmtId="0" fontId="65" fillId="0" borderId="10" xfId="0" applyFont="1" applyBorder="1" applyAlignment="1">
      <alignment horizontal="center" wrapText="1"/>
    </xf>
    <xf numFmtId="0" fontId="12" fillId="0" borderId="8" xfId="0" applyFont="1" applyFill="1" applyBorder="1" applyAlignment="1">
      <alignment horizontal="center" wrapText="1"/>
    </xf>
    <xf numFmtId="0" fontId="12" fillId="0" borderId="16" xfId="0" applyFont="1" applyFill="1" applyBorder="1" applyAlignment="1">
      <alignment horizontal="center" wrapText="1"/>
    </xf>
    <xf numFmtId="0" fontId="12" fillId="0" borderId="10" xfId="0" applyFont="1" applyFill="1" applyBorder="1" applyAlignment="1">
      <alignment horizontal="center" wrapText="1"/>
    </xf>
    <xf numFmtId="9" fontId="4" fillId="0" borderId="0" xfId="2" applyNumberFormat="1" applyFill="1" applyBorder="1" applyAlignment="1" applyProtection="1">
      <alignment horizontal="center"/>
    </xf>
    <xf numFmtId="0" fontId="2" fillId="0" borderId="7" xfId="0" applyFont="1" applyFill="1" applyBorder="1" applyAlignment="1">
      <alignment horizontal="right" wrapText="1"/>
    </xf>
    <xf numFmtId="0" fontId="2" fillId="0" borderId="2" xfId="0" applyFont="1" applyFill="1" applyBorder="1" applyAlignment="1">
      <alignment horizontal="right" wrapText="1"/>
    </xf>
    <xf numFmtId="0" fontId="10" fillId="0" borderId="13" xfId="0" applyFont="1" applyBorder="1" applyAlignment="1">
      <alignment horizontal="left" wrapText="1"/>
    </xf>
    <xf numFmtId="0" fontId="10" fillId="0" borderId="15" xfId="0" applyFont="1" applyBorder="1" applyAlignment="1">
      <alignment horizontal="left" wrapText="1"/>
    </xf>
    <xf numFmtId="0" fontId="10" fillId="0" borderId="4" xfId="0" applyFont="1" applyBorder="1" applyAlignment="1">
      <alignment horizontal="left" wrapText="1"/>
    </xf>
    <xf numFmtId="0" fontId="10" fillId="0" borderId="11" xfId="0" applyFont="1" applyBorder="1" applyAlignment="1">
      <alignment horizontal="left" wrapText="1"/>
    </xf>
    <xf numFmtId="0" fontId="10" fillId="0" borderId="0" xfId="0" applyFont="1" applyBorder="1" applyAlignment="1">
      <alignment horizontal="left" wrapText="1"/>
    </xf>
    <xf numFmtId="0" fontId="10" fillId="0" borderId="5" xfId="0" applyFont="1" applyBorder="1" applyAlignment="1">
      <alignment horizontal="left" wrapText="1"/>
    </xf>
    <xf numFmtId="0" fontId="13" fillId="3" borderId="1" xfId="0" applyFont="1" applyFill="1" applyBorder="1" applyAlignment="1">
      <alignment horizontal="center"/>
    </xf>
    <xf numFmtId="9" fontId="2" fillId="3" borderId="2" xfId="3" applyFont="1" applyFill="1" applyBorder="1" applyAlignment="1" applyProtection="1">
      <alignment horizontal="center"/>
      <protection locked="0"/>
    </xf>
    <xf numFmtId="0" fontId="35" fillId="3" borderId="1" xfId="0" applyFont="1" applyFill="1" applyBorder="1" applyAlignment="1">
      <alignment horizontal="center"/>
    </xf>
    <xf numFmtId="0" fontId="3" fillId="0" borderId="1" xfId="0" applyFont="1" applyFill="1" applyBorder="1" applyAlignment="1">
      <alignment horizontal="left" vertical="top" wrapText="1"/>
    </xf>
    <xf numFmtId="9" fontId="3" fillId="0" borderId="1" xfId="0" applyNumberFormat="1" applyFont="1" applyFill="1" applyBorder="1" applyAlignment="1">
      <alignment horizontal="center" wrapText="1"/>
    </xf>
    <xf numFmtId="0" fontId="15" fillId="0" borderId="1" xfId="2" applyFont="1" applyFill="1" applyBorder="1" applyAlignment="1" applyProtection="1">
      <alignment horizontal="center" wrapText="1"/>
    </xf>
    <xf numFmtId="0" fontId="15" fillId="0" borderId="8" xfId="2" applyFont="1" applyFill="1" applyBorder="1" applyAlignment="1" applyProtection="1">
      <alignment horizontal="center" wrapText="1"/>
    </xf>
    <xf numFmtId="0" fontId="35" fillId="0" borderId="0" xfId="0" applyFont="1" applyFill="1" applyBorder="1" applyAlignment="1">
      <alignment horizontal="center"/>
    </xf>
    <xf numFmtId="9" fontId="12" fillId="2" borderId="1" xfId="3" applyFont="1" applyFill="1" applyBorder="1" applyAlignment="1">
      <alignment horizontal="center"/>
    </xf>
    <xf numFmtId="9" fontId="2" fillId="0" borderId="0" xfId="0" applyNumberFormat="1" applyFont="1" applyFill="1" applyBorder="1" applyAlignment="1">
      <alignment horizontal="center"/>
    </xf>
    <xf numFmtId="9" fontId="12" fillId="2" borderId="13" xfId="3" applyFont="1" applyFill="1" applyBorder="1" applyAlignment="1">
      <alignment horizontal="center" wrapText="1"/>
    </xf>
    <xf numFmtId="9" fontId="12" fillId="2" borderId="15" xfId="3" applyFont="1" applyFill="1" applyBorder="1" applyAlignment="1">
      <alignment horizontal="center" wrapText="1"/>
    </xf>
    <xf numFmtId="9" fontId="2" fillId="0" borderId="9" xfId="3" applyFont="1" applyBorder="1" applyAlignment="1">
      <alignment horizontal="right"/>
    </xf>
    <xf numFmtId="9" fontId="2" fillId="0" borderId="12" xfId="3" applyFont="1" applyBorder="1" applyAlignment="1">
      <alignment horizontal="right"/>
    </xf>
    <xf numFmtId="0" fontId="10" fillId="0" borderId="11" xfId="0" applyFont="1" applyFill="1" applyBorder="1" applyAlignment="1">
      <alignment horizontal="left" wrapText="1"/>
    </xf>
    <xf numFmtId="0" fontId="10" fillId="0" borderId="0" xfId="0" applyFont="1" applyFill="1" applyBorder="1" applyAlignment="1">
      <alignment horizontal="left" wrapText="1"/>
    </xf>
    <xf numFmtId="0" fontId="10" fillId="0" borderId="5" xfId="0" applyFont="1" applyFill="1" applyBorder="1" applyAlignment="1">
      <alignment horizontal="left" wrapText="1"/>
    </xf>
    <xf numFmtId="9" fontId="17" fillId="0" borderId="1" xfId="3" applyFont="1" applyFill="1" applyBorder="1" applyAlignment="1">
      <alignment horizontal="left" wrapText="1"/>
    </xf>
    <xf numFmtId="9" fontId="3" fillId="2" borderId="7" xfId="0" applyNumberFormat="1" applyFont="1" applyFill="1" applyBorder="1" applyAlignment="1">
      <alignment horizontal="center"/>
    </xf>
    <xf numFmtId="9" fontId="3" fillId="2" borderId="14" xfId="0" applyNumberFormat="1" applyFont="1" applyFill="1" applyBorder="1" applyAlignment="1">
      <alignment horizontal="center"/>
    </xf>
    <xf numFmtId="9" fontId="3" fillId="2" borderId="2" xfId="0" applyNumberFormat="1" applyFont="1" applyFill="1" applyBorder="1" applyAlignment="1">
      <alignment horizontal="center"/>
    </xf>
    <xf numFmtId="9" fontId="17" fillId="0" borderId="2" xfId="3" applyFont="1" applyFill="1" applyBorder="1" applyAlignment="1">
      <alignment horizontal="left" wrapText="1"/>
    </xf>
    <xf numFmtId="0" fontId="14" fillId="0" borderId="1" xfId="0" applyFont="1" applyFill="1" applyBorder="1" applyAlignment="1">
      <alignment horizontal="center" wrapText="1"/>
    </xf>
    <xf numFmtId="0" fontId="13" fillId="0" borderId="12" xfId="0" applyFont="1" applyFill="1" applyBorder="1" applyAlignment="1">
      <alignment horizontal="center" wrapText="1"/>
    </xf>
    <xf numFmtId="0" fontId="13" fillId="0" borderId="5" xfId="0" applyFont="1" applyFill="1" applyBorder="1" applyAlignment="1">
      <alignment horizontal="center" wrapText="1"/>
    </xf>
    <xf numFmtId="0" fontId="13" fillId="0" borderId="14" xfId="0" applyFont="1" applyFill="1" applyBorder="1" applyAlignment="1">
      <alignment horizontal="center" wrapText="1"/>
    </xf>
    <xf numFmtId="0" fontId="13" fillId="0" borderId="11" xfId="0" applyFont="1" applyFill="1" applyBorder="1" applyAlignment="1">
      <alignment horizontal="center" wrapText="1"/>
    </xf>
    <xf numFmtId="9" fontId="12" fillId="3" borderId="13" xfId="3" applyFont="1" applyFill="1" applyBorder="1" applyAlignment="1" applyProtection="1">
      <alignment horizontal="center"/>
      <protection locked="0"/>
    </xf>
    <xf numFmtId="9" fontId="12" fillId="3" borderId="4" xfId="3" applyFont="1" applyFill="1" applyBorder="1" applyAlignment="1" applyProtection="1">
      <alignment horizontal="center"/>
      <protection locked="0"/>
    </xf>
    <xf numFmtId="9" fontId="3" fillId="2" borderId="6" xfId="0" applyNumberFormat="1" applyFont="1" applyFill="1" applyBorder="1" applyAlignment="1">
      <alignment horizontal="center"/>
    </xf>
    <xf numFmtId="0" fontId="9" fillId="0" borderId="11" xfId="0" applyFont="1" applyBorder="1" applyAlignment="1">
      <alignment horizontal="center" wrapText="1"/>
    </xf>
    <xf numFmtId="0" fontId="9" fillId="0" borderId="0" xfId="0" applyFont="1" applyBorder="1" applyAlignment="1">
      <alignment horizontal="center" wrapText="1"/>
    </xf>
    <xf numFmtId="0" fontId="9" fillId="0" borderId="5" xfId="0" applyFont="1" applyBorder="1" applyAlignment="1">
      <alignment horizontal="center" wrapText="1"/>
    </xf>
    <xf numFmtId="0" fontId="9" fillId="0" borderId="9" xfId="0" applyFont="1" applyBorder="1" applyAlignment="1">
      <alignment horizontal="center" wrapText="1"/>
    </xf>
    <xf numFmtId="0" fontId="9" fillId="0" borderId="12" xfId="0" applyFont="1" applyBorder="1" applyAlignment="1">
      <alignment horizontal="center" wrapText="1"/>
    </xf>
    <xf numFmtId="0" fontId="9" fillId="0" borderId="6" xfId="0" applyFont="1" applyBorder="1" applyAlignment="1">
      <alignment horizontal="center" wrapText="1"/>
    </xf>
    <xf numFmtId="9" fontId="10" fillId="0" borderId="8" xfId="3" applyFont="1" applyFill="1" applyBorder="1" applyAlignment="1">
      <alignment horizontal="center" wrapText="1"/>
    </xf>
    <xf numFmtId="9" fontId="10" fillId="0" borderId="16" xfId="3" applyFont="1" applyFill="1" applyBorder="1" applyAlignment="1">
      <alignment horizontal="center" wrapText="1"/>
    </xf>
    <xf numFmtId="0" fontId="2" fillId="0" borderId="2" xfId="0" applyFont="1" applyFill="1" applyBorder="1" applyAlignment="1">
      <alignment horizontal="left" wrapText="1"/>
    </xf>
    <xf numFmtId="9" fontId="3" fillId="2" borderId="4" xfId="0" applyNumberFormat="1" applyFont="1" applyFill="1" applyBorder="1" applyAlignment="1">
      <alignment horizontal="center"/>
    </xf>
    <xf numFmtId="9" fontId="3" fillId="2" borderId="5" xfId="0" applyNumberFormat="1" applyFont="1" applyFill="1" applyBorder="1" applyAlignment="1">
      <alignment horizontal="center"/>
    </xf>
    <xf numFmtId="9" fontId="65" fillId="0" borderId="16" xfId="3" applyFont="1" applyBorder="1" applyAlignment="1">
      <alignment horizontal="right" wrapText="1"/>
    </xf>
    <xf numFmtId="9" fontId="65" fillId="0" borderId="10" xfId="3" applyFont="1" applyBorder="1" applyAlignment="1">
      <alignment horizontal="right" wrapText="1"/>
    </xf>
    <xf numFmtId="0" fontId="10" fillId="0" borderId="13" xfId="0" applyFont="1" applyFill="1" applyBorder="1" applyAlignment="1">
      <alignment horizontal="left" wrapText="1"/>
    </xf>
    <xf numFmtId="0" fontId="10" fillId="0" borderId="15" xfId="0" applyFont="1" applyFill="1" applyBorder="1" applyAlignment="1">
      <alignment horizontal="left" wrapText="1"/>
    </xf>
    <xf numFmtId="0" fontId="10" fillId="0" borderId="4" xfId="0" applyFont="1" applyFill="1" applyBorder="1" applyAlignment="1">
      <alignment horizontal="left" wrapText="1"/>
    </xf>
    <xf numFmtId="0" fontId="35" fillId="0" borderId="1" xfId="0" applyFont="1" applyFill="1" applyBorder="1" applyAlignment="1">
      <alignment horizontal="center"/>
    </xf>
    <xf numFmtId="0" fontId="14" fillId="0" borderId="1" xfId="0" applyFont="1" applyBorder="1" applyAlignment="1">
      <alignment horizontal="center"/>
    </xf>
    <xf numFmtId="0" fontId="16" fillId="0" borderId="7" xfId="0" applyFont="1" applyFill="1" applyBorder="1" applyAlignment="1">
      <alignment horizontal="center" wrapText="1"/>
    </xf>
    <xf numFmtId="0" fontId="2" fillId="0" borderId="7" xfId="0" applyFont="1" applyBorder="1" applyAlignment="1"/>
    <xf numFmtId="0" fontId="15" fillId="0" borderId="13" xfId="2" applyFont="1" applyFill="1" applyBorder="1" applyAlignment="1" applyProtection="1">
      <alignment horizontal="left" wrapText="1"/>
    </xf>
    <xf numFmtId="0" fontId="15" fillId="0" borderId="15" xfId="2" applyFont="1" applyFill="1" applyBorder="1" applyAlignment="1" applyProtection="1">
      <alignment horizontal="left" wrapText="1"/>
    </xf>
    <xf numFmtId="0" fontId="15" fillId="0" borderId="4" xfId="2" applyFont="1" applyFill="1" applyBorder="1" applyAlignment="1" applyProtection="1">
      <alignment horizontal="left" wrapText="1"/>
    </xf>
    <xf numFmtId="9" fontId="65" fillId="0" borderId="9" xfId="3" applyFont="1" applyBorder="1" applyAlignment="1">
      <alignment horizontal="right" wrapText="1"/>
    </xf>
    <xf numFmtId="9" fontId="65" fillId="0" borderId="12" xfId="3" applyFont="1" applyBorder="1" applyAlignment="1">
      <alignment horizontal="right" wrapText="1"/>
    </xf>
    <xf numFmtId="9" fontId="65" fillId="0" borderId="6" xfId="3" applyFont="1" applyBorder="1" applyAlignment="1">
      <alignment horizontal="right" wrapText="1"/>
    </xf>
    <xf numFmtId="9" fontId="10" fillId="0" borderId="10" xfId="3" applyFont="1" applyFill="1" applyBorder="1" applyAlignment="1">
      <alignment horizontal="center" wrapText="1"/>
    </xf>
    <xf numFmtId="0" fontId="2" fillId="0" borderId="8" xfId="0" applyFont="1" applyBorder="1" applyAlignment="1" applyProtection="1">
      <alignment horizontal="left"/>
    </xf>
    <xf numFmtId="0" fontId="2" fillId="0" borderId="10" xfId="0" applyFont="1" applyBorder="1" applyAlignment="1" applyProtection="1">
      <alignment horizontal="left"/>
    </xf>
    <xf numFmtId="0" fontId="2" fillId="0" borderId="8" xfId="0" applyFont="1" applyBorder="1" applyAlignment="1" applyProtection="1">
      <alignment horizontal="left" wrapText="1"/>
    </xf>
    <xf numFmtId="0" fontId="2" fillId="0" borderId="10" xfId="0" applyFont="1" applyBorder="1" applyAlignment="1" applyProtection="1">
      <alignment horizontal="left" wrapText="1"/>
    </xf>
    <xf numFmtId="0" fontId="14" fillId="0" borderId="1" xfId="0" applyFont="1" applyFill="1" applyBorder="1" applyAlignment="1">
      <alignment horizontal="center"/>
    </xf>
    <xf numFmtId="10" fontId="2" fillId="0" borderId="1" xfId="3" applyNumberFormat="1" applyFont="1" applyBorder="1" applyAlignment="1">
      <alignment horizontal="left"/>
    </xf>
    <xf numFmtId="10" fontId="12" fillId="3" borderId="8" xfId="3" applyNumberFormat="1" applyFont="1" applyFill="1" applyBorder="1" applyAlignment="1" applyProtection="1">
      <alignment horizontal="center"/>
      <protection locked="0"/>
    </xf>
    <xf numFmtId="10" fontId="12" fillId="3" borderId="10" xfId="3" applyNumberFormat="1" applyFont="1" applyFill="1" applyBorder="1" applyAlignment="1" applyProtection="1">
      <alignment horizontal="center"/>
      <protection locked="0"/>
    </xf>
    <xf numFmtId="9" fontId="3" fillId="2" borderId="1" xfId="0" applyNumberFormat="1" applyFont="1" applyFill="1" applyBorder="1" applyAlignment="1">
      <alignment horizontal="center"/>
    </xf>
    <xf numFmtId="9" fontId="3" fillId="0" borderId="1" xfId="3" applyFont="1" applyBorder="1" applyAlignment="1">
      <alignment horizontal="center"/>
    </xf>
    <xf numFmtId="9" fontId="60" fillId="0" borderId="7" xfId="0" applyNumberFormat="1" applyFont="1" applyFill="1" applyBorder="1" applyAlignment="1">
      <alignment horizontal="left" wrapText="1"/>
    </xf>
    <xf numFmtId="9" fontId="60" fillId="0" borderId="14" xfId="0" applyNumberFormat="1" applyFont="1" applyFill="1" applyBorder="1" applyAlignment="1">
      <alignment horizontal="left" wrapText="1"/>
    </xf>
    <xf numFmtId="0" fontId="4" fillId="0" borderId="0" xfId="2" applyFill="1" applyBorder="1" applyAlignment="1" applyProtection="1">
      <alignment horizontal="left"/>
    </xf>
    <xf numFmtId="9" fontId="3" fillId="0" borderId="16" xfId="3" applyFont="1" applyBorder="1" applyAlignment="1">
      <alignment horizontal="center" wrapText="1"/>
    </xf>
    <xf numFmtId="9" fontId="3" fillId="0" borderId="10" xfId="3" applyFont="1" applyBorder="1" applyAlignment="1">
      <alignment horizontal="center" wrapText="1"/>
    </xf>
    <xf numFmtId="0" fontId="3" fillId="0" borderId="13" xfId="0" applyFont="1" applyBorder="1" applyAlignment="1">
      <alignment horizontal="left" vertical="top" wrapText="1"/>
    </xf>
    <xf numFmtId="0" fontId="3" fillId="0" borderId="15" xfId="0" applyFont="1" applyBorder="1" applyAlignment="1">
      <alignment horizontal="left" vertical="top" wrapText="1"/>
    </xf>
    <xf numFmtId="0" fontId="3" fillId="0" borderId="4" xfId="0" applyFont="1" applyBorder="1" applyAlignment="1">
      <alignment horizontal="left" vertical="top" wrapText="1"/>
    </xf>
    <xf numFmtId="0" fontId="3" fillId="0" borderId="11" xfId="0" applyFont="1" applyBorder="1" applyAlignment="1">
      <alignment horizontal="left" vertical="top" wrapText="1"/>
    </xf>
    <xf numFmtId="0" fontId="3" fillId="0" borderId="0" xfId="0" applyFont="1" applyBorder="1" applyAlignment="1">
      <alignment horizontal="left" vertical="top" wrapText="1"/>
    </xf>
    <xf numFmtId="0" fontId="3" fillId="0" borderId="5" xfId="0" applyFont="1" applyBorder="1" applyAlignment="1">
      <alignment horizontal="left" vertical="top" wrapText="1"/>
    </xf>
    <xf numFmtId="0" fontId="3" fillId="0" borderId="9" xfId="0" applyFont="1" applyBorder="1" applyAlignment="1">
      <alignment horizontal="left" vertical="top" wrapText="1"/>
    </xf>
    <xf numFmtId="0" fontId="3" fillId="0" borderId="12" xfId="0" applyFont="1" applyBorder="1" applyAlignment="1">
      <alignment horizontal="left" vertical="top" wrapText="1"/>
    </xf>
    <xf numFmtId="0" fontId="3" fillId="0" borderId="6" xfId="0" applyFont="1" applyBorder="1" applyAlignment="1">
      <alignment horizontal="left" vertical="top" wrapText="1"/>
    </xf>
    <xf numFmtId="0" fontId="2" fillId="0" borderId="0" xfId="0" applyFont="1" applyBorder="1" applyAlignment="1" applyProtection="1">
      <alignment horizontal="center"/>
    </xf>
    <xf numFmtId="0" fontId="3" fillId="0" borderId="14" xfId="0" applyFont="1" applyBorder="1" applyAlignment="1">
      <alignment horizontal="center"/>
    </xf>
    <xf numFmtId="0" fontId="3" fillId="0" borderId="13" xfId="0" applyFont="1" applyFill="1" applyBorder="1" applyAlignment="1">
      <alignment horizontal="center"/>
    </xf>
    <xf numFmtId="0" fontId="3" fillId="0" borderId="15" xfId="0" applyFont="1" applyFill="1" applyBorder="1" applyAlignment="1">
      <alignment horizontal="center"/>
    </xf>
    <xf numFmtId="0" fontId="3" fillId="0" borderId="4" xfId="0" applyFont="1" applyFill="1" applyBorder="1" applyAlignment="1">
      <alignment horizontal="center"/>
    </xf>
    <xf numFmtId="0" fontId="3" fillId="0" borderId="11" xfId="0" applyFont="1" applyFill="1" applyBorder="1" applyAlignment="1">
      <alignment horizontal="center"/>
    </xf>
    <xf numFmtId="0" fontId="3" fillId="0" borderId="0" xfId="0" applyFont="1" applyFill="1" applyBorder="1" applyAlignment="1">
      <alignment horizontal="center"/>
    </xf>
    <xf numFmtId="0" fontId="3" fillId="0" borderId="5" xfId="0" applyFont="1" applyFill="1" applyBorder="1" applyAlignment="1">
      <alignment horizontal="center"/>
    </xf>
    <xf numFmtId="0" fontId="3" fillId="0" borderId="9" xfId="0" applyFont="1" applyFill="1" applyBorder="1" applyAlignment="1">
      <alignment horizontal="center"/>
    </xf>
    <xf numFmtId="0" fontId="3" fillId="0" borderId="12" xfId="0" applyFont="1" applyFill="1" applyBorder="1" applyAlignment="1">
      <alignment horizontal="center"/>
    </xf>
    <xf numFmtId="0" fontId="3" fillId="0" borderId="6" xfId="0" applyFont="1" applyFill="1" applyBorder="1" applyAlignment="1">
      <alignment horizontal="center"/>
    </xf>
    <xf numFmtId="0" fontId="2" fillId="0" borderId="0" xfId="0" applyFont="1" applyFill="1" applyBorder="1" applyAlignment="1" applyProtection="1">
      <alignment horizontal="center"/>
    </xf>
    <xf numFmtId="9" fontId="3" fillId="0" borderId="8" xfId="3" applyFont="1" applyBorder="1" applyAlignment="1">
      <alignment horizontal="center"/>
    </xf>
    <xf numFmtId="9" fontId="3" fillId="0" borderId="16" xfId="3" applyFont="1" applyBorder="1" applyAlignment="1">
      <alignment horizontal="center"/>
    </xf>
    <xf numFmtId="9" fontId="3" fillId="0" borderId="10" xfId="3" applyFont="1" applyBorder="1" applyAlignment="1">
      <alignment horizontal="center"/>
    </xf>
    <xf numFmtId="0" fontId="15" fillId="0" borderId="16" xfId="2" applyFont="1" applyBorder="1" applyAlignment="1" applyProtection="1">
      <alignment horizontal="center"/>
    </xf>
    <xf numFmtId="0" fontId="15" fillId="0" borderId="10" xfId="2" applyFont="1" applyBorder="1" applyAlignment="1" applyProtection="1">
      <alignment horizontal="center"/>
    </xf>
    <xf numFmtId="0" fontId="15" fillId="0" borderId="8" xfId="2" applyFont="1" applyBorder="1" applyAlignment="1" applyProtection="1">
      <alignment horizontal="center"/>
    </xf>
    <xf numFmtId="0" fontId="16" fillId="0" borderId="1" xfId="0" applyFont="1" applyFill="1" applyBorder="1" applyAlignment="1">
      <alignment horizontal="center" wrapText="1"/>
    </xf>
    <xf numFmtId="0" fontId="16" fillId="0" borderId="1" xfId="0" applyFont="1" applyBorder="1" applyAlignment="1"/>
    <xf numFmtId="0" fontId="2" fillId="0" borderId="0" xfId="0" applyFont="1" applyFill="1" applyBorder="1" applyAlignment="1">
      <alignment horizontal="right" wrapText="1"/>
    </xf>
    <xf numFmtId="0" fontId="2" fillId="0" borderId="0" xfId="0" applyFont="1" applyBorder="1" applyAlignment="1"/>
    <xf numFmtId="0" fontId="0" fillId="0" borderId="15" xfId="0" applyBorder="1" applyAlignment="1">
      <alignment horizontal="left" vertical="top" wrapText="1"/>
    </xf>
    <xf numFmtId="0" fontId="0" fillId="0" borderId="4" xfId="0" applyBorder="1" applyAlignment="1">
      <alignment horizontal="left" vertical="top" wrapText="1"/>
    </xf>
    <xf numFmtId="0" fontId="0" fillId="0" borderId="11"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9" xfId="0" applyBorder="1" applyAlignment="1">
      <alignment horizontal="left" vertical="top" wrapText="1"/>
    </xf>
    <xf numFmtId="0" fontId="0" fillId="0" borderId="12" xfId="0" applyBorder="1" applyAlignment="1">
      <alignment horizontal="left" vertical="top" wrapText="1"/>
    </xf>
    <xf numFmtId="0" fontId="0" fillId="0" borderId="6" xfId="0" applyBorder="1" applyAlignment="1">
      <alignment horizontal="left" vertical="top" wrapText="1"/>
    </xf>
    <xf numFmtId="0" fontId="15" fillId="0" borderId="12" xfId="2" applyFont="1" applyBorder="1" applyAlignment="1" applyProtection="1">
      <alignment horizontal="center" wrapText="1"/>
    </xf>
    <xf numFmtId="0" fontId="9" fillId="0" borderId="14" xfId="0" applyFont="1" applyBorder="1" applyAlignment="1">
      <alignment horizontal="left" vertical="top" wrapText="1"/>
    </xf>
    <xf numFmtId="0" fontId="9" fillId="0" borderId="2" xfId="0" applyFont="1" applyBorder="1" applyAlignment="1">
      <alignment horizontal="left" vertical="top" wrapText="1"/>
    </xf>
    <xf numFmtId="0" fontId="3" fillId="0" borderId="7" xfId="0" applyFont="1" applyBorder="1" applyAlignment="1">
      <alignment horizontal="left" wrapText="1"/>
    </xf>
    <xf numFmtId="0" fontId="3" fillId="0" borderId="14" xfId="0" applyFont="1" applyBorder="1" applyAlignment="1">
      <alignment horizontal="left" wrapText="1"/>
    </xf>
    <xf numFmtId="0" fontId="4" fillId="0" borderId="0" xfId="2" applyFill="1" applyBorder="1" applyAlignment="1" applyProtection="1">
      <alignment horizontal="center"/>
      <protection locked="0"/>
    </xf>
    <xf numFmtId="9" fontId="26" fillId="0" borderId="7" xfId="3" applyFont="1" applyFill="1" applyBorder="1" applyAlignment="1">
      <alignment horizontal="left" vertical="center" wrapText="1"/>
    </xf>
    <xf numFmtId="9" fontId="26" fillId="0" borderId="14" xfId="3" applyFont="1" applyFill="1" applyBorder="1" applyAlignment="1">
      <alignment horizontal="left" vertical="center" wrapText="1"/>
    </xf>
    <xf numFmtId="9" fontId="26" fillId="0" borderId="2" xfId="3" applyFont="1" applyFill="1" applyBorder="1" applyAlignment="1">
      <alignment horizontal="left" vertical="center" wrapText="1"/>
    </xf>
    <xf numFmtId="0" fontId="2" fillId="3" borderId="7" xfId="0" applyFont="1" applyFill="1" applyBorder="1" applyAlignment="1">
      <alignment horizontal="center" wrapText="1"/>
    </xf>
    <xf numFmtId="0" fontId="2" fillId="3" borderId="14" xfId="0" applyFont="1" applyFill="1" applyBorder="1" applyAlignment="1">
      <alignment horizontal="center" wrapText="1"/>
    </xf>
    <xf numFmtId="10" fontId="3" fillId="2" borderId="1" xfId="3" applyNumberFormat="1" applyFont="1" applyFill="1" applyBorder="1" applyAlignment="1">
      <alignment horizontal="center"/>
    </xf>
    <xf numFmtId="9" fontId="4" fillId="0" borderId="0" xfId="2" applyNumberFormat="1" applyFill="1" applyBorder="1" applyAlignment="1" applyProtection="1">
      <alignment horizontal="left"/>
    </xf>
    <xf numFmtId="0" fontId="2" fillId="3" borderId="8" xfId="0" applyFont="1" applyFill="1" applyBorder="1" applyAlignment="1">
      <alignment horizontal="left" wrapText="1"/>
    </xf>
    <xf numFmtId="0" fontId="2" fillId="3" borderId="16" xfId="0" applyFont="1" applyFill="1" applyBorder="1" applyAlignment="1">
      <alignment horizontal="left" wrapText="1"/>
    </xf>
    <xf numFmtId="0" fontId="2" fillId="3" borderId="10" xfId="0" applyFont="1" applyFill="1" applyBorder="1" applyAlignment="1">
      <alignment horizontal="left" wrapText="1"/>
    </xf>
    <xf numFmtId="0" fontId="2" fillId="0" borderId="0" xfId="0" applyFont="1" applyBorder="1" applyAlignment="1" applyProtection="1">
      <alignment horizontal="center"/>
      <protection locked="0"/>
    </xf>
    <xf numFmtId="0" fontId="2" fillId="0" borderId="0" xfId="0" applyFont="1" applyAlignment="1" applyProtection="1">
      <alignment horizontal="center"/>
      <protection locked="0"/>
    </xf>
    <xf numFmtId="0" fontId="2" fillId="0" borderId="0" xfId="0" applyFont="1" applyBorder="1" applyAlignment="1" applyProtection="1">
      <protection locked="0"/>
    </xf>
    <xf numFmtId="0" fontId="2" fillId="0" borderId="0" xfId="0" applyFont="1" applyAlignment="1" applyProtection="1">
      <protection locked="0"/>
    </xf>
    <xf numFmtId="0" fontId="2" fillId="3" borderId="16" xfId="0" applyFont="1" applyFill="1" applyBorder="1" applyAlignment="1">
      <alignment horizontal="center" wrapText="1"/>
    </xf>
    <xf numFmtId="0" fontId="2" fillId="3" borderId="13" xfId="0" applyFont="1" applyFill="1" applyBorder="1" applyAlignment="1">
      <alignment horizontal="center"/>
    </xf>
    <xf numFmtId="0" fontId="2" fillId="3" borderId="4" xfId="0" applyFont="1" applyFill="1" applyBorder="1" applyAlignment="1">
      <alignment horizontal="center"/>
    </xf>
    <xf numFmtId="0" fontId="2" fillId="3" borderId="11" xfId="0" applyFont="1" applyFill="1" applyBorder="1" applyAlignment="1">
      <alignment horizontal="center"/>
    </xf>
    <xf numFmtId="0" fontId="2" fillId="3" borderId="5" xfId="0" applyFont="1" applyFill="1" applyBorder="1" applyAlignment="1">
      <alignment horizontal="center"/>
    </xf>
    <xf numFmtId="0" fontId="2" fillId="3" borderId="6" xfId="0" applyFont="1" applyFill="1" applyBorder="1" applyAlignment="1">
      <alignment horizontal="center"/>
    </xf>
    <xf numFmtId="0" fontId="3" fillId="0" borderId="2" xfId="0" applyFont="1" applyBorder="1" applyAlignment="1">
      <alignment horizontal="left" wrapText="1"/>
    </xf>
    <xf numFmtId="0" fontId="2" fillId="0" borderId="16" xfId="0" applyFont="1" applyBorder="1" applyAlignment="1" applyProtection="1">
      <alignment horizontal="left" wrapText="1"/>
    </xf>
    <xf numFmtId="0" fontId="15" fillId="0" borderId="8" xfId="2" applyFont="1" applyBorder="1" applyAlignment="1" applyProtection="1">
      <alignment horizontal="left" wrapText="1"/>
    </xf>
    <xf numFmtId="0" fontId="15" fillId="0" borderId="16" xfId="2" applyFont="1" applyBorder="1" applyAlignment="1" applyProtection="1">
      <alignment horizontal="left" wrapText="1"/>
    </xf>
    <xf numFmtId="0" fontId="15" fillId="0" borderId="10" xfId="2" applyFont="1" applyBorder="1" applyAlignment="1" applyProtection="1">
      <alignment horizontal="left" wrapText="1"/>
    </xf>
    <xf numFmtId="0" fontId="2" fillId="3" borderId="7" xfId="0" applyFont="1" applyFill="1" applyBorder="1" applyAlignment="1">
      <alignment horizontal="center"/>
    </xf>
    <xf numFmtId="0" fontId="0" fillId="0" borderId="16" xfId="0" applyBorder="1" applyAlignment="1"/>
    <xf numFmtId="0" fontId="0" fillId="0" borderId="10" xfId="0" applyBorder="1" applyAlignment="1"/>
    <xf numFmtId="0" fontId="54" fillId="0" borderId="14" xfId="0" applyFont="1" applyBorder="1" applyAlignment="1">
      <alignment horizontal="left" wrapText="1"/>
    </xf>
    <xf numFmtId="0" fontId="54" fillId="0" borderId="2" xfId="0" applyFont="1" applyBorder="1" applyAlignment="1">
      <alignment horizontal="left" wrapText="1"/>
    </xf>
    <xf numFmtId="0" fontId="3" fillId="7" borderId="8" xfId="0" applyFont="1" applyFill="1" applyBorder="1" applyAlignment="1">
      <alignment horizontal="center"/>
    </xf>
    <xf numFmtId="0" fontId="3" fillId="7" borderId="10" xfId="0" applyFont="1" applyFill="1" applyBorder="1" applyAlignment="1">
      <alignment horizontal="center"/>
    </xf>
    <xf numFmtId="0" fontId="3" fillId="0" borderId="8" xfId="0" applyFont="1" applyBorder="1" applyAlignment="1" applyProtection="1">
      <alignment horizontal="left" wrapText="1"/>
    </xf>
    <xf numFmtId="0" fontId="3" fillId="0" borderId="16" xfId="0" applyFont="1" applyBorder="1" applyAlignment="1" applyProtection="1">
      <alignment horizontal="left" wrapText="1"/>
    </xf>
    <xf numFmtId="0" fontId="3" fillId="0" borderId="10" xfId="0" applyFont="1" applyBorder="1" applyAlignment="1" applyProtection="1">
      <alignment horizontal="left" wrapText="1"/>
    </xf>
    <xf numFmtId="0" fontId="2" fillId="0" borderId="1" xfId="0" applyFont="1" applyBorder="1" applyAlignment="1" applyProtection="1">
      <alignment horizontal="left"/>
    </xf>
    <xf numFmtId="0" fontId="2" fillId="0" borderId="1" xfId="0" applyFont="1" applyBorder="1" applyAlignment="1" applyProtection="1">
      <alignment horizontal="left" wrapText="1"/>
    </xf>
    <xf numFmtId="9" fontId="2" fillId="5" borderId="8" xfId="0" applyNumberFormat="1" applyFont="1" applyFill="1" applyBorder="1" applyAlignment="1">
      <alignment horizontal="center"/>
    </xf>
    <xf numFmtId="0" fontId="2" fillId="5" borderId="16" xfId="0" applyFont="1" applyFill="1" applyBorder="1" applyAlignment="1">
      <alignment horizontal="center"/>
    </xf>
    <xf numFmtId="0" fontId="2" fillId="5" borderId="10" xfId="0" applyFont="1" applyFill="1" applyBorder="1" applyAlignment="1">
      <alignment horizontal="center"/>
    </xf>
    <xf numFmtId="9" fontId="2" fillId="2" borderId="7" xfId="3" applyNumberFormat="1" applyFont="1" applyFill="1" applyBorder="1" applyAlignment="1">
      <alignment horizontal="center"/>
    </xf>
    <xf numFmtId="9" fontId="2" fillId="2" borderId="14" xfId="3" applyNumberFormat="1" applyFont="1" applyFill="1" applyBorder="1" applyAlignment="1">
      <alignment horizontal="center"/>
    </xf>
    <xf numFmtId="9" fontId="2" fillId="2" borderId="8" xfId="3" applyFont="1" applyFill="1" applyBorder="1" applyAlignment="1" applyProtection="1">
      <alignment horizontal="center"/>
    </xf>
    <xf numFmtId="9" fontId="2" fillId="2" borderId="10" xfId="3" applyFont="1" applyFill="1" applyBorder="1" applyAlignment="1" applyProtection="1">
      <alignment horizontal="center"/>
    </xf>
    <xf numFmtId="0" fontId="2" fillId="0" borderId="15" xfId="0" applyFont="1" applyFill="1" applyBorder="1" applyAlignment="1">
      <alignment horizontal="center" wrapText="1"/>
    </xf>
    <xf numFmtId="0" fontId="2" fillId="0" borderId="5" xfId="0" applyFont="1" applyFill="1" applyBorder="1" applyAlignment="1">
      <alignment horizontal="center" wrapText="1"/>
    </xf>
    <xf numFmtId="0" fontId="2" fillId="0" borderId="6" xfId="0" applyFont="1" applyFill="1" applyBorder="1" applyAlignment="1">
      <alignment horizontal="center" wrapText="1"/>
    </xf>
    <xf numFmtId="9" fontId="3" fillId="2" borderId="1" xfId="3" applyFont="1" applyFill="1" applyBorder="1" applyAlignment="1">
      <alignment horizontal="center"/>
    </xf>
    <xf numFmtId="9" fontId="3" fillId="2" borderId="7" xfId="3" applyFont="1" applyFill="1" applyBorder="1" applyAlignment="1">
      <alignment horizontal="center"/>
    </xf>
    <xf numFmtId="0" fontId="3" fillId="0" borderId="13" xfId="0" applyFont="1" applyFill="1" applyBorder="1" applyAlignment="1">
      <alignment horizontal="right" wrapText="1"/>
    </xf>
    <xf numFmtId="0" fontId="3" fillId="0" borderId="15" xfId="0" applyFont="1" applyFill="1" applyBorder="1" applyAlignment="1">
      <alignment horizontal="right" wrapText="1"/>
    </xf>
    <xf numFmtId="0" fontId="3" fillId="0" borderId="4" xfId="0" applyFont="1" applyFill="1" applyBorder="1" applyAlignment="1">
      <alignment horizontal="right" wrapText="1"/>
    </xf>
    <xf numFmtId="0" fontId="7" fillId="0" borderId="7" xfId="0" applyFont="1" applyBorder="1" applyAlignment="1">
      <alignment horizontal="left" wrapText="1"/>
    </xf>
    <xf numFmtId="0" fontId="0" fillId="0" borderId="14" xfId="0" applyBorder="1" applyAlignment="1">
      <alignment horizontal="left" wrapText="1"/>
    </xf>
    <xf numFmtId="0" fontId="17" fillId="3" borderId="13" xfId="0" applyFont="1" applyFill="1" applyBorder="1" applyAlignment="1">
      <alignment horizontal="center"/>
    </xf>
    <xf numFmtId="0" fontId="17" fillId="3" borderId="4" xfId="0" applyFont="1" applyFill="1" applyBorder="1" applyAlignment="1">
      <alignment horizontal="center"/>
    </xf>
    <xf numFmtId="0" fontId="17" fillId="3" borderId="11" xfId="0" applyFont="1" applyFill="1" applyBorder="1" applyAlignment="1">
      <alignment horizontal="center"/>
    </xf>
    <xf numFmtId="0" fontId="17" fillId="3" borderId="5" xfId="0" applyFont="1" applyFill="1" applyBorder="1" applyAlignment="1">
      <alignment horizontal="center"/>
    </xf>
    <xf numFmtId="0" fontId="17" fillId="3" borderId="9" xfId="0" applyFont="1" applyFill="1" applyBorder="1" applyAlignment="1">
      <alignment horizontal="center"/>
    </xf>
    <xf numFmtId="0" fontId="17" fillId="3" borderId="6" xfId="0" applyFont="1" applyFill="1" applyBorder="1" applyAlignment="1">
      <alignment horizontal="center"/>
    </xf>
    <xf numFmtId="0" fontId="3" fillId="0" borderId="0" xfId="0" applyFont="1" applyBorder="1" applyAlignment="1">
      <alignment horizontal="right"/>
    </xf>
    <xf numFmtId="0" fontId="17" fillId="3" borderId="1" xfId="0" applyFont="1" applyFill="1" applyBorder="1" applyAlignment="1">
      <alignment horizontal="center"/>
    </xf>
    <xf numFmtId="0" fontId="16" fillId="3" borderId="13" xfId="0" applyFont="1" applyFill="1" applyBorder="1" applyAlignment="1">
      <alignment horizontal="center"/>
    </xf>
    <xf numFmtId="0" fontId="16" fillId="3" borderId="4" xfId="0" applyFont="1" applyFill="1" applyBorder="1" applyAlignment="1">
      <alignment horizontal="center"/>
    </xf>
    <xf numFmtId="0" fontId="16" fillId="3" borderId="11" xfId="0" applyFont="1" applyFill="1" applyBorder="1" applyAlignment="1">
      <alignment horizontal="center"/>
    </xf>
    <xf numFmtId="0" fontId="16" fillId="3" borderId="5" xfId="0" applyFont="1" applyFill="1" applyBorder="1" applyAlignment="1">
      <alignment horizontal="center"/>
    </xf>
    <xf numFmtId="0" fontId="16" fillId="3" borderId="9" xfId="0" applyFont="1" applyFill="1" applyBorder="1" applyAlignment="1">
      <alignment horizontal="center"/>
    </xf>
    <xf numFmtId="0" fontId="16" fillId="3" borderId="6" xfId="0" applyFont="1" applyFill="1" applyBorder="1" applyAlignment="1">
      <alignment horizontal="center"/>
    </xf>
    <xf numFmtId="0" fontId="5" fillId="0" borderId="1" xfId="0" applyFont="1" applyBorder="1" applyAlignment="1">
      <alignment horizontal="center" vertical="center" wrapText="1"/>
    </xf>
    <xf numFmtId="0" fontId="17" fillId="3" borderId="8" xfId="0" applyFont="1" applyFill="1" applyBorder="1" applyAlignment="1">
      <alignment horizontal="center"/>
    </xf>
    <xf numFmtId="0" fontId="17" fillId="3" borderId="10" xfId="0" applyFont="1" applyFill="1" applyBorder="1" applyAlignment="1">
      <alignment horizontal="center"/>
    </xf>
    <xf numFmtId="0" fontId="64" fillId="0" borderId="0" xfId="2" applyFont="1" applyFill="1" applyBorder="1" applyAlignment="1" applyProtection="1">
      <alignment horizontal="center"/>
    </xf>
    <xf numFmtId="0" fontId="33" fillId="0" borderId="0" xfId="0" applyFont="1" applyFill="1" applyBorder="1" applyAlignment="1">
      <alignment horizontal="center" wrapText="1"/>
    </xf>
    <xf numFmtId="0" fontId="2" fillId="3" borderId="9" xfId="0" applyFont="1" applyFill="1" applyBorder="1" applyAlignment="1">
      <alignment horizontal="left" wrapText="1"/>
    </xf>
    <xf numFmtId="0" fontId="2" fillId="3" borderId="12" xfId="0" applyFont="1" applyFill="1" applyBorder="1" applyAlignment="1">
      <alignment horizontal="left" wrapText="1"/>
    </xf>
    <xf numFmtId="0" fontId="2" fillId="3" borderId="6" xfId="0" applyFont="1" applyFill="1" applyBorder="1" applyAlignment="1">
      <alignment horizontal="left" wrapText="1"/>
    </xf>
    <xf numFmtId="0" fontId="2" fillId="0" borderId="0" xfId="0" applyFont="1" applyFill="1" applyAlignment="1">
      <alignment horizontal="center"/>
    </xf>
    <xf numFmtId="0" fontId="3" fillId="0" borderId="7" xfId="0" applyFont="1" applyBorder="1" applyAlignment="1">
      <alignment horizontal="left" vertical="top" wrapText="1"/>
    </xf>
    <xf numFmtId="0" fontId="3" fillId="0" borderId="14" xfId="0" applyFont="1" applyBorder="1" applyAlignment="1">
      <alignment horizontal="left" vertical="top" wrapText="1"/>
    </xf>
    <xf numFmtId="0" fontId="7" fillId="0" borderId="7" xfId="0" applyFont="1" applyBorder="1" applyAlignment="1">
      <alignment horizontal="left" vertical="center" wrapText="1"/>
    </xf>
    <xf numFmtId="0" fontId="0" fillId="0" borderId="14" xfId="0" applyBorder="1" applyAlignment="1">
      <alignment horizontal="left" vertical="center" wrapText="1"/>
    </xf>
    <xf numFmtId="0" fontId="3" fillId="0" borderId="6" xfId="0" applyFont="1" applyBorder="1" applyAlignment="1">
      <alignment horizontal="right" wrapText="1"/>
    </xf>
    <xf numFmtId="9" fontId="2" fillId="2" borderId="7" xfId="3" applyFont="1" applyFill="1" applyBorder="1" applyAlignment="1">
      <alignment horizontal="center" wrapText="1"/>
    </xf>
    <xf numFmtId="9" fontId="2" fillId="2" borderId="14" xfId="3" applyFont="1" applyFill="1" applyBorder="1" applyAlignment="1">
      <alignment horizontal="center" wrapText="1"/>
    </xf>
    <xf numFmtId="9" fontId="2" fillId="2" borderId="2" xfId="3" applyFont="1" applyFill="1" applyBorder="1" applyAlignment="1">
      <alignment horizontal="center" wrapText="1"/>
    </xf>
    <xf numFmtId="0" fontId="2" fillId="0" borderId="8" xfId="0" applyFont="1" applyBorder="1" applyAlignment="1">
      <alignment wrapText="1"/>
    </xf>
    <xf numFmtId="3" fontId="3" fillId="0" borderId="1" xfId="0" applyNumberFormat="1" applyFont="1" applyBorder="1" applyAlignment="1">
      <alignment horizontal="center"/>
    </xf>
    <xf numFmtId="0" fontId="2" fillId="0" borderId="1" xfId="0" applyFont="1" applyBorder="1" applyAlignment="1" applyProtection="1">
      <alignment horizontal="center" wrapText="1"/>
    </xf>
    <xf numFmtId="0" fontId="40" fillId="0" borderId="0" xfId="0" applyFont="1" applyAlignment="1">
      <alignment horizontal="left" wrapText="1"/>
    </xf>
    <xf numFmtId="9" fontId="38" fillId="0" borderId="0" xfId="3" applyFont="1" applyFill="1" applyBorder="1" applyAlignment="1">
      <alignment horizontal="left" wrapText="1"/>
    </xf>
    <xf numFmtId="0" fontId="56" fillId="0" borderId="0" xfId="0" applyFont="1" applyFill="1" applyBorder="1" applyAlignment="1">
      <alignment horizontal="left" wrapText="1"/>
    </xf>
    <xf numFmtId="0" fontId="2" fillId="0" borderId="5" xfId="0" applyFont="1" applyFill="1" applyBorder="1" applyAlignment="1">
      <alignment horizontal="left" wrapText="1"/>
    </xf>
    <xf numFmtId="0" fontId="7" fillId="0" borderId="1" xfId="0" applyFont="1" applyFill="1" applyBorder="1" applyAlignment="1">
      <alignment horizontal="center" wrapText="1"/>
    </xf>
    <xf numFmtId="0" fontId="7" fillId="0" borderId="1" xfId="0" applyFont="1" applyFill="1" applyBorder="1" applyAlignment="1">
      <alignment horizontal="left" wrapText="1"/>
    </xf>
    <xf numFmtId="0" fontId="3" fillId="0" borderId="1" xfId="0" applyFont="1" applyFill="1" applyBorder="1" applyAlignment="1">
      <alignment horizontal="left" wrapText="1"/>
    </xf>
    <xf numFmtId="9" fontId="2" fillId="0" borderId="0" xfId="3" applyFont="1" applyFill="1" applyBorder="1" applyAlignment="1">
      <alignment horizontal="left"/>
    </xf>
    <xf numFmtId="9" fontId="3" fillId="0" borderId="29" xfId="3" applyFont="1" applyFill="1" applyBorder="1" applyAlignment="1">
      <alignment horizontal="left"/>
    </xf>
    <xf numFmtId="9" fontId="3" fillId="0" borderId="0" xfId="3" applyFont="1" applyFill="1" applyBorder="1" applyAlignment="1">
      <alignment horizontal="left"/>
    </xf>
    <xf numFmtId="0" fontId="40" fillId="2" borderId="8" xfId="0" applyNumberFormat="1" applyFont="1" applyFill="1" applyBorder="1" applyAlignment="1">
      <alignment horizontal="center"/>
    </xf>
    <xf numFmtId="0" fontId="40" fillId="2" borderId="16" xfId="0" applyNumberFormat="1" applyFont="1" applyFill="1" applyBorder="1" applyAlignment="1">
      <alignment horizontal="center"/>
    </xf>
    <xf numFmtId="0" fontId="40" fillId="2" borderId="10" xfId="0" applyNumberFormat="1" applyFont="1" applyFill="1" applyBorder="1" applyAlignment="1">
      <alignment horizontal="center"/>
    </xf>
    <xf numFmtId="0" fontId="0" fillId="0" borderId="15" xfId="0" applyBorder="1" applyAlignment="1">
      <alignment horizontal="center"/>
    </xf>
    <xf numFmtId="0" fontId="40" fillId="0" borderId="13" xfId="0" applyFont="1" applyBorder="1" applyAlignment="1">
      <alignment horizontal="center"/>
    </xf>
    <xf numFmtId="0" fontId="40" fillId="0" borderId="15" xfId="0" applyFont="1" applyBorder="1" applyAlignment="1">
      <alignment horizontal="center"/>
    </xf>
    <xf numFmtId="0" fontId="40" fillId="0" borderId="4" xfId="0" applyFont="1" applyBorder="1" applyAlignment="1">
      <alignment horizontal="center"/>
    </xf>
    <xf numFmtId="9" fontId="40" fillId="2" borderId="8" xfId="0" applyNumberFormat="1" applyFont="1" applyFill="1" applyBorder="1" applyAlignment="1">
      <alignment horizontal="center"/>
    </xf>
    <xf numFmtId="9" fontId="40" fillId="2" borderId="16" xfId="0" applyNumberFormat="1" applyFont="1" applyFill="1" applyBorder="1" applyAlignment="1">
      <alignment horizontal="center"/>
    </xf>
    <xf numFmtId="9" fontId="40" fillId="2" borderId="10" xfId="0" applyNumberFormat="1" applyFont="1" applyFill="1" applyBorder="1" applyAlignment="1">
      <alignment horizontal="center"/>
    </xf>
    <xf numFmtId="0" fontId="6" fillId="0" borderId="0" xfId="0" applyFont="1" applyAlignment="1">
      <alignment horizontal="center" wrapText="1"/>
    </xf>
    <xf numFmtId="0" fontId="14" fillId="0" borderId="0" xfId="0" applyFont="1" applyAlignment="1">
      <alignment horizontal="center"/>
    </xf>
    <xf numFmtId="0" fontId="18" fillId="0" borderId="0" xfId="0" applyFont="1" applyAlignment="1">
      <alignment horizontal="center" wrapText="1"/>
    </xf>
    <xf numFmtId="0" fontId="14" fillId="0" borderId="8" xfId="0" applyFont="1" applyBorder="1" applyAlignment="1">
      <alignment wrapText="1"/>
    </xf>
    <xf numFmtId="0" fontId="0" fillId="0" borderId="16" xfId="0" applyBorder="1" applyAlignment="1">
      <alignment wrapText="1"/>
    </xf>
    <xf numFmtId="0" fontId="0" fillId="0" borderId="10" xfId="0" applyBorder="1" applyAlignment="1">
      <alignment wrapText="1"/>
    </xf>
  </cellXfs>
  <cellStyles count="4">
    <cellStyle name="Currency" xfId="1" builtinId="4"/>
    <cellStyle name="Hyperlink" xfId="2" builtinId="8"/>
    <cellStyle name="Normal" xfId="0" builtinId="0"/>
    <cellStyle name="Percent" xfId="3" builtinId="5"/>
  </cellStyles>
  <dxfs count="36">
    <dxf>
      <font>
        <color theme="0" tint="-0.499984740745262"/>
      </font>
      <fill>
        <patternFill>
          <bgColor theme="0" tint="-0.499984740745262"/>
        </patternFill>
      </fill>
    </dxf>
    <dxf>
      <font>
        <color theme="0" tint="-0.499984740745262"/>
      </font>
      <fill>
        <patternFill>
          <bgColor theme="0" tint="-0.499984740745262"/>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lor rgb="FF00B050"/>
      </font>
    </dxf>
    <dxf>
      <font>
        <color rgb="FF00B05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00B050"/>
      </font>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lor theme="0" tint="-0.34998626667073579"/>
      </font>
      <fill>
        <patternFill>
          <bgColor theme="0" tint="-0.34998626667073579"/>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ndense val="0"/>
        <extend val="0"/>
        <color indexed="55"/>
      </font>
      <fill>
        <patternFill>
          <bgColor indexed="55"/>
        </patternFill>
      </fill>
    </dxf>
    <dxf>
      <font>
        <color rgb="FFFF0000"/>
      </font>
    </dxf>
    <dxf>
      <font>
        <color rgb="FFFF0000"/>
      </font>
    </dxf>
    <dxf>
      <font>
        <color rgb="FFFF0000"/>
      </font>
    </dxf>
    <dxf>
      <font>
        <color rgb="FFFF0000"/>
      </font>
    </dxf>
    <dxf>
      <font>
        <b/>
        <i val="0"/>
        <color rgb="FFC00000"/>
        <name val="Cambria"/>
        <scheme val="none"/>
      </font>
    </dxf>
    <dxf>
      <font>
        <b/>
        <i val="0"/>
        <color rgb="FFC00000"/>
      </font>
    </dxf>
    <dxf>
      <font>
        <b/>
        <i val="0"/>
        <color rgb="FFC00000"/>
      </font>
    </dxf>
    <dxf>
      <font>
        <b/>
        <i val="0"/>
        <color rgb="FFC00000"/>
      </font>
      <fill>
        <patternFill>
          <bgColor theme="0"/>
        </patternFill>
      </fill>
    </dxf>
    <dxf>
      <font>
        <b/>
        <i val="0"/>
        <color theme="9" tint="-0.499984740745262"/>
      </font>
      <fill>
        <patternFill>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trlProps/ctrlProp1.xml><?xml version="1.0" encoding="utf-8"?>
<formControlPr xmlns="http://schemas.microsoft.com/office/spreadsheetml/2009/9/main" objectType="CheckBox" fmlaLink="$R$7" lockText="1"/>
</file>

<file path=xl/ctrlProps/ctrlProp10.xml><?xml version="1.0" encoding="utf-8"?>
<formControlPr xmlns="http://schemas.microsoft.com/office/spreadsheetml/2009/9/main" objectType="CheckBox" fmlaLink="$S$47" lockText="1"/>
</file>

<file path=xl/ctrlProps/ctrlProp100.xml><?xml version="1.0" encoding="utf-8"?>
<formControlPr xmlns="http://schemas.microsoft.com/office/spreadsheetml/2009/9/main" objectType="CheckBox" fmlaLink="$S$261" lockText="1"/>
</file>

<file path=xl/ctrlProps/ctrlProp101.xml><?xml version="1.0" encoding="utf-8"?>
<formControlPr xmlns="http://schemas.microsoft.com/office/spreadsheetml/2009/9/main" objectType="CheckBox" fmlaLink="$S$260" lockText="1"/>
</file>

<file path=xl/ctrlProps/ctrlProp102.xml><?xml version="1.0" encoding="utf-8"?>
<formControlPr xmlns="http://schemas.microsoft.com/office/spreadsheetml/2009/9/main" objectType="CheckBox" fmlaLink="$S$333" lockText="1"/>
</file>

<file path=xl/ctrlProps/ctrlProp103.xml><?xml version="1.0" encoding="utf-8"?>
<formControlPr xmlns="http://schemas.microsoft.com/office/spreadsheetml/2009/9/main" objectType="CheckBox" fmlaLink="$S$334" lockText="1"/>
</file>

<file path=xl/ctrlProps/ctrlProp104.xml><?xml version="1.0" encoding="utf-8"?>
<formControlPr xmlns="http://schemas.microsoft.com/office/spreadsheetml/2009/9/main" objectType="CheckBox" fmlaLink="$S$336" lockText="1"/>
</file>

<file path=xl/ctrlProps/ctrlProp105.xml><?xml version="1.0" encoding="utf-8"?>
<formControlPr xmlns="http://schemas.microsoft.com/office/spreadsheetml/2009/9/main" objectType="CheckBox" fmlaLink="$S$335" lockText="1"/>
</file>

<file path=xl/ctrlProps/ctrlProp106.xml><?xml version="1.0" encoding="utf-8"?>
<formControlPr xmlns="http://schemas.microsoft.com/office/spreadsheetml/2009/9/main" objectType="CheckBox" fmlaLink="$S$577" lockText="1"/>
</file>

<file path=xl/ctrlProps/ctrlProp107.xml><?xml version="1.0" encoding="utf-8"?>
<formControlPr xmlns="http://schemas.microsoft.com/office/spreadsheetml/2009/9/main" objectType="CheckBox" fmlaLink="$S$423" lockText="1"/>
</file>

<file path=xl/ctrlProps/ctrlProp108.xml><?xml version="1.0" encoding="utf-8"?>
<formControlPr xmlns="http://schemas.microsoft.com/office/spreadsheetml/2009/9/main" objectType="Label" lockText="1"/>
</file>

<file path=xl/ctrlProps/ctrlProp109.xml><?xml version="1.0" encoding="utf-8"?>
<formControlPr xmlns="http://schemas.microsoft.com/office/spreadsheetml/2009/9/main" objectType="CheckBox" fmlaLink="$R$468" lockText="1"/>
</file>

<file path=xl/ctrlProps/ctrlProp11.xml><?xml version="1.0" encoding="utf-8"?>
<formControlPr xmlns="http://schemas.microsoft.com/office/spreadsheetml/2009/9/main" objectType="CheckBox" fmlaLink="$S$46" lockText="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Radio" checked="Checked" firstButton="1" fmlaLink="$S$412" lockText="1"/>
</file>

<file path=xl/ctrlProps/ctrlProp112.xml><?xml version="1.0" encoding="utf-8"?>
<formControlPr xmlns="http://schemas.microsoft.com/office/spreadsheetml/2009/9/main" objectType="Radio" lockText="1"/>
</file>

<file path=xl/ctrlProps/ctrlProp113.xml><?xml version="1.0" encoding="utf-8"?>
<formControlPr xmlns="http://schemas.microsoft.com/office/spreadsheetml/2009/9/main" objectType="Radio" lockText="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Radio" checked="Checked" firstButton="1" fmlaLink="$S$413" lockText="1"/>
</file>

<file path=xl/ctrlProps/ctrlProp116.xml><?xml version="1.0" encoding="utf-8"?>
<formControlPr xmlns="http://schemas.microsoft.com/office/spreadsheetml/2009/9/main" objectType="Radio" lockText="1"/>
</file>

<file path=xl/ctrlProps/ctrlProp117.xml><?xml version="1.0" encoding="utf-8"?>
<formControlPr xmlns="http://schemas.microsoft.com/office/spreadsheetml/2009/9/main" objectType="Radio" lockText="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Radio" checked="Checked" firstButton="1" fmlaLink="$S$415" lockText="1"/>
</file>

<file path=xl/ctrlProps/ctrlProp12.xml><?xml version="1.0" encoding="utf-8"?>
<formControlPr xmlns="http://schemas.microsoft.com/office/spreadsheetml/2009/9/main" objectType="CheckBox" fmlaLink="$S$54" lockText="1"/>
</file>

<file path=xl/ctrlProps/ctrlProp120.xml><?xml version="1.0" encoding="utf-8"?>
<formControlPr xmlns="http://schemas.microsoft.com/office/spreadsheetml/2009/9/main" objectType="Radio" lockText="1"/>
</file>

<file path=xl/ctrlProps/ctrlProp121.xml><?xml version="1.0" encoding="utf-8"?>
<formControlPr xmlns="http://schemas.microsoft.com/office/spreadsheetml/2009/9/main" objectType="Radio" lockText="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Radio" checked="Checked" firstButton="1" fmlaLink="$S$416" lockText="1"/>
</file>

<file path=xl/ctrlProps/ctrlProp124.xml><?xml version="1.0" encoding="utf-8"?>
<formControlPr xmlns="http://schemas.microsoft.com/office/spreadsheetml/2009/9/main" objectType="Radio" lockText="1"/>
</file>

<file path=xl/ctrlProps/ctrlProp125.xml><?xml version="1.0" encoding="utf-8"?>
<formControlPr xmlns="http://schemas.microsoft.com/office/spreadsheetml/2009/9/main" objectType="Radio" lockText="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Radio" checked="Checked" firstButton="1" fmlaLink="$Z$482" lockText="1"/>
</file>

<file path=xl/ctrlProps/ctrlProp128.xml><?xml version="1.0" encoding="utf-8"?>
<formControlPr xmlns="http://schemas.microsoft.com/office/spreadsheetml/2009/9/main" objectType="Radio" lockText="1"/>
</file>

<file path=xl/ctrlProps/ctrlProp129.xml><?xml version="1.0" encoding="utf-8"?>
<formControlPr xmlns="http://schemas.microsoft.com/office/spreadsheetml/2009/9/main" objectType="Radio" lockText="1"/>
</file>

<file path=xl/ctrlProps/ctrlProp13.xml><?xml version="1.0" encoding="utf-8"?>
<formControlPr xmlns="http://schemas.microsoft.com/office/spreadsheetml/2009/9/main" objectType="CheckBox" fmlaLink="$S$55" lockText="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Radio" checked="Checked" firstButton="1" fmlaLink="$Z$497" lockText="1"/>
</file>

<file path=xl/ctrlProps/ctrlProp132.xml><?xml version="1.0" encoding="utf-8"?>
<formControlPr xmlns="http://schemas.microsoft.com/office/spreadsheetml/2009/9/main" objectType="Radio" lockText="1"/>
</file>

<file path=xl/ctrlProps/ctrlProp133.xml><?xml version="1.0" encoding="utf-8"?>
<formControlPr xmlns="http://schemas.microsoft.com/office/spreadsheetml/2009/9/main" objectType="Radio" lockText="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Radio" checked="Checked" firstButton="1" fmlaLink="$R$579" lockText="1"/>
</file>

<file path=xl/ctrlProps/ctrlProp136.xml><?xml version="1.0" encoding="utf-8"?>
<formControlPr xmlns="http://schemas.microsoft.com/office/spreadsheetml/2009/9/main" objectType="Radio" lockText="1"/>
</file>

<file path=xl/ctrlProps/ctrlProp137.xml><?xml version="1.0" encoding="utf-8"?>
<formControlPr xmlns="http://schemas.microsoft.com/office/spreadsheetml/2009/9/main" objectType="Radio" lockText="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checked="Checked" firstButton="1" fmlaLink="$R$580" lockText="1"/>
</file>

<file path=xl/ctrlProps/ctrlProp14.xml><?xml version="1.0" encoding="utf-8"?>
<formControlPr xmlns="http://schemas.microsoft.com/office/spreadsheetml/2009/9/main" objectType="CheckBox" fmlaLink="$S$106" lockText="1"/>
</file>

<file path=xl/ctrlProps/ctrlProp140.xml><?xml version="1.0" encoding="utf-8"?>
<formControlPr xmlns="http://schemas.microsoft.com/office/spreadsheetml/2009/9/main" objectType="Radio" lockText="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Radio" checked="Checked" firstButton="1" fmlaLink="$R$581" lockText="1"/>
</file>

<file path=xl/ctrlProps/ctrlProp143.xml><?xml version="1.0" encoding="utf-8"?>
<formControlPr xmlns="http://schemas.microsoft.com/office/spreadsheetml/2009/9/main" objectType="Radio" lockText="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Radio" firstButton="1" fmlaLink="$R$588" lockText="1"/>
</file>

<file path=xl/ctrlProps/ctrlProp146.xml><?xml version="1.0" encoding="utf-8"?>
<formControlPr xmlns="http://schemas.microsoft.com/office/spreadsheetml/2009/9/main" objectType="Radio" checked="Checked" lockText="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Radio" checked="Checked" firstButton="1" fmlaLink="$R$385" lockText="1"/>
</file>

<file path=xl/ctrlProps/ctrlProp149.xml><?xml version="1.0" encoding="utf-8"?>
<formControlPr xmlns="http://schemas.microsoft.com/office/spreadsheetml/2009/9/main" objectType="Radio" lockText="1"/>
</file>

<file path=xl/ctrlProps/ctrlProp15.xml><?xml version="1.0" encoding="utf-8"?>
<formControlPr xmlns="http://schemas.microsoft.com/office/spreadsheetml/2009/9/main" objectType="CheckBox" fmlaLink="$S$130" lockText="1"/>
</file>

<file path=xl/ctrlProps/ctrlProp150.xml><?xml version="1.0" encoding="utf-8"?>
<formControlPr xmlns="http://schemas.microsoft.com/office/spreadsheetml/2009/9/main" objectType="Radio" lockText="1"/>
</file>

<file path=xl/ctrlProps/ctrlProp151.xml><?xml version="1.0" encoding="utf-8"?>
<formControlPr xmlns="http://schemas.microsoft.com/office/spreadsheetml/2009/9/main" objectType="CheckBox" fmlaLink="$S$54" lockText="1"/>
</file>

<file path=xl/ctrlProps/ctrlProp152.xml><?xml version="1.0" encoding="utf-8"?>
<formControlPr xmlns="http://schemas.microsoft.com/office/spreadsheetml/2009/9/main" objectType="CheckBox" fmlaLink="$S$55" lockText="1"/>
</file>

<file path=xl/ctrlProps/ctrlProp153.xml><?xml version="1.0" encoding="utf-8"?>
<formControlPr xmlns="http://schemas.microsoft.com/office/spreadsheetml/2009/9/main" objectType="CheckBox" fmlaLink="$S$130" lockText="1"/>
</file>

<file path=xl/ctrlProps/ctrlProp154.xml><?xml version="1.0" encoding="utf-8"?>
<formControlPr xmlns="http://schemas.microsoft.com/office/spreadsheetml/2009/9/main" objectType="CheckBox" fmlaLink="$S$131" lockText="1"/>
</file>

<file path=xl/ctrlProps/ctrlProp155.xml><?xml version="1.0" encoding="utf-8"?>
<formControlPr xmlns="http://schemas.microsoft.com/office/spreadsheetml/2009/9/main" objectType="CheckBox" fmlaLink="$S$132" lockText="1"/>
</file>

<file path=xl/ctrlProps/ctrlProp156.xml><?xml version="1.0" encoding="utf-8"?>
<formControlPr xmlns="http://schemas.microsoft.com/office/spreadsheetml/2009/9/main" objectType="CheckBox" fmlaLink="$S$206" lockText="1"/>
</file>

<file path=xl/ctrlProps/ctrlProp157.xml><?xml version="1.0" encoding="utf-8"?>
<formControlPr xmlns="http://schemas.microsoft.com/office/spreadsheetml/2009/9/main" objectType="CheckBox" fmlaLink="$S$207" lockText="1"/>
</file>

<file path=xl/ctrlProps/ctrlProp158.xml><?xml version="1.0" encoding="utf-8"?>
<formControlPr xmlns="http://schemas.microsoft.com/office/spreadsheetml/2009/9/main" objectType="CheckBox" fmlaLink="$S$208" lockText="1"/>
</file>

<file path=xl/ctrlProps/ctrlProp159.xml><?xml version="1.0" encoding="utf-8"?>
<formControlPr xmlns="http://schemas.microsoft.com/office/spreadsheetml/2009/9/main" objectType="CheckBox" fmlaLink="$S$282" lockText="1"/>
</file>

<file path=xl/ctrlProps/ctrlProp16.xml><?xml version="1.0" encoding="utf-8"?>
<formControlPr xmlns="http://schemas.microsoft.com/office/spreadsheetml/2009/9/main" objectType="CheckBox" fmlaLink="$S$131" lockText="1"/>
</file>

<file path=xl/ctrlProps/ctrlProp160.xml><?xml version="1.0" encoding="utf-8"?>
<formControlPr xmlns="http://schemas.microsoft.com/office/spreadsheetml/2009/9/main" objectType="CheckBox" fmlaLink="$S$283" lockText="1"/>
</file>

<file path=xl/ctrlProps/ctrlProp161.xml><?xml version="1.0" encoding="utf-8"?>
<formControlPr xmlns="http://schemas.microsoft.com/office/spreadsheetml/2009/9/main" objectType="CheckBox" fmlaLink="$S$284" lockText="1"/>
</file>

<file path=xl/ctrlProps/ctrlProp162.xml><?xml version="1.0" encoding="utf-8"?>
<formControlPr xmlns="http://schemas.microsoft.com/office/spreadsheetml/2009/9/main" objectType="CheckBox" fmlaLink="$S$357" lockText="1"/>
</file>

<file path=xl/ctrlProps/ctrlProp163.xml><?xml version="1.0" encoding="utf-8"?>
<formControlPr xmlns="http://schemas.microsoft.com/office/spreadsheetml/2009/9/main" objectType="CheckBox" fmlaLink="$S$358" lockText="1"/>
</file>

<file path=xl/ctrlProps/ctrlProp164.xml><?xml version="1.0" encoding="utf-8"?>
<formControlPr xmlns="http://schemas.microsoft.com/office/spreadsheetml/2009/9/main" objectType="CheckBox" fmlaLink="$S$359" lockText="1"/>
</file>

<file path=xl/ctrlProps/ctrlProp165.xml><?xml version="1.0" encoding="utf-8"?>
<formControlPr xmlns="http://schemas.microsoft.com/office/spreadsheetml/2009/9/main" objectType="CheckBox" fmlaLink="$R$386" lockText="1"/>
</file>

<file path=xl/ctrlProps/ctrlProp166.xml><?xml version="1.0" encoding="utf-8"?>
<formControlPr xmlns="http://schemas.microsoft.com/office/spreadsheetml/2009/9/main" objectType="CheckBox" fmlaLink="$R$387" lockText="1"/>
</file>

<file path=xl/ctrlProps/ctrlProp167.xml><?xml version="1.0" encoding="utf-8"?>
<formControlPr xmlns="http://schemas.microsoft.com/office/spreadsheetml/2009/9/main" objectType="CheckBox" fmlaLink="$R$388" lockText="1"/>
</file>

<file path=xl/ctrlProps/ctrlProp168.xml><?xml version="1.0" encoding="utf-8"?>
<formControlPr xmlns="http://schemas.microsoft.com/office/spreadsheetml/2009/9/main" objectType="CheckBox" fmlaLink="$R$389" lockText="1"/>
</file>

<file path=xl/ctrlProps/ctrlProp169.xml><?xml version="1.0" encoding="utf-8"?>
<formControlPr xmlns="http://schemas.microsoft.com/office/spreadsheetml/2009/9/main" objectType="CheckBox" fmlaLink="$R$390" lockText="1"/>
</file>

<file path=xl/ctrlProps/ctrlProp17.xml><?xml version="1.0" encoding="utf-8"?>
<formControlPr xmlns="http://schemas.microsoft.com/office/spreadsheetml/2009/9/main" objectType="CheckBox" fmlaLink="$S$132" lockText="1"/>
</file>

<file path=xl/ctrlProps/ctrlProp170.xml><?xml version="1.0" encoding="utf-8"?>
<formControlPr xmlns="http://schemas.microsoft.com/office/spreadsheetml/2009/9/main" objectType="CheckBox" fmlaLink="$S$422" lockText="1"/>
</file>

<file path=xl/ctrlProps/ctrlProp171.xml><?xml version="1.0" encoding="utf-8"?>
<formControlPr xmlns="http://schemas.microsoft.com/office/spreadsheetml/2009/9/main" objectType="CheckBox" fmlaLink="$S$423" lockText="1"/>
</file>

<file path=xl/ctrlProps/ctrlProp172.xml><?xml version="1.0" encoding="utf-8"?>
<formControlPr xmlns="http://schemas.microsoft.com/office/spreadsheetml/2009/9/main" objectType="CheckBox" fmlaLink="$R$446" lockText="1"/>
</file>

<file path=xl/ctrlProps/ctrlProp173.xml><?xml version="1.0" encoding="utf-8"?>
<formControlPr xmlns="http://schemas.microsoft.com/office/spreadsheetml/2009/9/main" objectType="CheckBox" fmlaLink="$R$447" lockText="1"/>
</file>

<file path=xl/ctrlProps/ctrlProp174.xml><?xml version="1.0" encoding="utf-8"?>
<formControlPr xmlns="http://schemas.microsoft.com/office/spreadsheetml/2009/9/main" objectType="CheckBox" fmlaLink="$R$448" lockText="1"/>
</file>

<file path=xl/ctrlProps/ctrlProp175.xml><?xml version="1.0" encoding="utf-8"?>
<formControlPr xmlns="http://schemas.microsoft.com/office/spreadsheetml/2009/9/main" objectType="CheckBox" fmlaLink="$R$449" lockText="1"/>
</file>

<file path=xl/ctrlProps/ctrlProp176.xml><?xml version="1.0" encoding="utf-8"?>
<formControlPr xmlns="http://schemas.microsoft.com/office/spreadsheetml/2009/9/main" objectType="CheckBox" fmlaLink="$R$450" lockText="1"/>
</file>

<file path=xl/ctrlProps/ctrlProp177.xml><?xml version="1.0" encoding="utf-8"?>
<formControlPr xmlns="http://schemas.microsoft.com/office/spreadsheetml/2009/9/main" objectType="CheckBox" fmlaLink="$R$454" lockText="1"/>
</file>

<file path=xl/ctrlProps/ctrlProp178.xml><?xml version="1.0" encoding="utf-8"?>
<formControlPr xmlns="http://schemas.microsoft.com/office/spreadsheetml/2009/9/main" objectType="CheckBox" fmlaLink="$R$455" lockText="1"/>
</file>

<file path=xl/ctrlProps/ctrlProp179.xml><?xml version="1.0" encoding="utf-8"?>
<formControlPr xmlns="http://schemas.microsoft.com/office/spreadsheetml/2009/9/main" objectType="CheckBox" fmlaLink="$R$456" lockText="1"/>
</file>

<file path=xl/ctrlProps/ctrlProp18.xml><?xml version="1.0" encoding="utf-8"?>
<formControlPr xmlns="http://schemas.microsoft.com/office/spreadsheetml/2009/9/main" objectType="CheckBox" fmlaLink="$S$206" lockText="1"/>
</file>

<file path=xl/ctrlProps/ctrlProp180.xml><?xml version="1.0" encoding="utf-8"?>
<formControlPr xmlns="http://schemas.microsoft.com/office/spreadsheetml/2009/9/main" objectType="CheckBox" fmlaLink="$R$457" lockText="1"/>
</file>

<file path=xl/ctrlProps/ctrlProp181.xml><?xml version="1.0" encoding="utf-8"?>
<formControlPr xmlns="http://schemas.microsoft.com/office/spreadsheetml/2009/9/main" objectType="CheckBox" fmlaLink="$R$491" lockText="1"/>
</file>

<file path=xl/ctrlProps/ctrlProp182.xml><?xml version="1.0" encoding="utf-8"?>
<formControlPr xmlns="http://schemas.microsoft.com/office/spreadsheetml/2009/9/main" objectType="CheckBox" fmlaLink="$R$490" lockText="1"/>
</file>

<file path=xl/ctrlProps/ctrlProp183.xml><?xml version="1.0" encoding="utf-8"?>
<formControlPr xmlns="http://schemas.microsoft.com/office/spreadsheetml/2009/9/main" objectType="CheckBox" fmlaLink="$R$479" lockText="1"/>
</file>

<file path=xl/ctrlProps/ctrlProp184.xml><?xml version="1.0" encoding="utf-8"?>
<formControlPr xmlns="http://schemas.microsoft.com/office/spreadsheetml/2009/9/main" objectType="CheckBox" fmlaLink="$R$480" lockText="1"/>
</file>

<file path=xl/ctrlProps/ctrlProp185.xml><?xml version="1.0" encoding="utf-8"?>
<formControlPr xmlns="http://schemas.microsoft.com/office/spreadsheetml/2009/9/main" objectType="CheckBox" fmlaLink="$R$481" lockText="1"/>
</file>

<file path=xl/ctrlProps/ctrlProp186.xml><?xml version="1.0" encoding="utf-8"?>
<formControlPr xmlns="http://schemas.microsoft.com/office/spreadsheetml/2009/9/main" objectType="CheckBox" fmlaLink="$R$482" lockText="1"/>
</file>

<file path=xl/ctrlProps/ctrlProp187.xml><?xml version="1.0" encoding="utf-8"?>
<formControlPr xmlns="http://schemas.microsoft.com/office/spreadsheetml/2009/9/main" objectType="CheckBox" fmlaLink="$R$483" lockText="1"/>
</file>

<file path=xl/ctrlProps/ctrlProp188.xml><?xml version="1.0" encoding="utf-8"?>
<formControlPr xmlns="http://schemas.microsoft.com/office/spreadsheetml/2009/9/main" objectType="CheckBox" fmlaLink="$R$484" lockText="1"/>
</file>

<file path=xl/ctrlProps/ctrlProp189.xml><?xml version="1.0" encoding="utf-8"?>
<formControlPr xmlns="http://schemas.microsoft.com/office/spreadsheetml/2009/9/main" objectType="CheckBox" fmlaLink="$R$485" lockText="1"/>
</file>

<file path=xl/ctrlProps/ctrlProp19.xml><?xml version="1.0" encoding="utf-8"?>
<formControlPr xmlns="http://schemas.microsoft.com/office/spreadsheetml/2009/9/main" objectType="CheckBox" fmlaLink="$S$207" lockText="1"/>
</file>

<file path=xl/ctrlProps/ctrlProp190.xml><?xml version="1.0" encoding="utf-8"?>
<formControlPr xmlns="http://schemas.microsoft.com/office/spreadsheetml/2009/9/main" objectType="CheckBox" fmlaLink="$R$486" lockText="1"/>
</file>

<file path=xl/ctrlProps/ctrlProp191.xml><?xml version="1.0" encoding="utf-8"?>
<formControlPr xmlns="http://schemas.microsoft.com/office/spreadsheetml/2009/9/main" objectType="CheckBox" fmlaLink="$R$487" lockText="1"/>
</file>

<file path=xl/ctrlProps/ctrlProp192.xml><?xml version="1.0" encoding="utf-8"?>
<formControlPr xmlns="http://schemas.microsoft.com/office/spreadsheetml/2009/9/main" objectType="CheckBox" fmlaLink="$R$488" lockText="1"/>
</file>

<file path=xl/ctrlProps/ctrlProp193.xml><?xml version="1.0" encoding="utf-8"?>
<formControlPr xmlns="http://schemas.microsoft.com/office/spreadsheetml/2009/9/main" objectType="CheckBox" fmlaLink="$R$489" lockText="1"/>
</file>

<file path=xl/ctrlProps/ctrlProp194.xml><?xml version="1.0" encoding="utf-8"?>
<formControlPr xmlns="http://schemas.microsoft.com/office/spreadsheetml/2009/9/main" objectType="CheckBox" fmlaLink="$R$495" lockText="1"/>
</file>

<file path=xl/ctrlProps/ctrlProp195.xml><?xml version="1.0" encoding="utf-8"?>
<formControlPr xmlns="http://schemas.microsoft.com/office/spreadsheetml/2009/9/main" objectType="CheckBox" fmlaLink="$R$496" lockText="1"/>
</file>

<file path=xl/ctrlProps/ctrlProp196.xml><?xml version="1.0" encoding="utf-8"?>
<formControlPr xmlns="http://schemas.microsoft.com/office/spreadsheetml/2009/9/main" objectType="CheckBox" fmlaLink="$R$497" lockText="1"/>
</file>

<file path=xl/ctrlProps/ctrlProp197.xml><?xml version="1.0" encoding="utf-8"?>
<formControlPr xmlns="http://schemas.microsoft.com/office/spreadsheetml/2009/9/main" objectType="CheckBox" fmlaLink="$R$498" lockText="1"/>
</file>

<file path=xl/ctrlProps/ctrlProp198.xml><?xml version="1.0" encoding="utf-8"?>
<formControlPr xmlns="http://schemas.microsoft.com/office/spreadsheetml/2009/9/main" objectType="CheckBox" fmlaLink="$R$499" lockText="1"/>
</file>

<file path=xl/ctrlProps/ctrlProp199.xml><?xml version="1.0" encoding="utf-8"?>
<formControlPr xmlns="http://schemas.microsoft.com/office/spreadsheetml/2009/9/main" objectType="CheckBox" fmlaLink="$R$500" lockText="1"/>
</file>

<file path=xl/ctrlProps/ctrlProp2.xml><?xml version="1.0" encoding="utf-8"?>
<formControlPr xmlns="http://schemas.microsoft.com/office/spreadsheetml/2009/9/main" objectType="CheckBox" fmlaLink="$R$5" lockText="1"/>
</file>

<file path=xl/ctrlProps/ctrlProp20.xml><?xml version="1.0" encoding="utf-8"?>
<formControlPr xmlns="http://schemas.microsoft.com/office/spreadsheetml/2009/9/main" objectType="CheckBox" fmlaLink="$S$208" lockText="1"/>
</file>

<file path=xl/ctrlProps/ctrlProp200.xml><?xml version="1.0" encoding="utf-8"?>
<formControlPr xmlns="http://schemas.microsoft.com/office/spreadsheetml/2009/9/main" objectType="CheckBox" fmlaLink="$R$501" lockText="1"/>
</file>

<file path=xl/ctrlProps/ctrlProp201.xml><?xml version="1.0" encoding="utf-8"?>
<formControlPr xmlns="http://schemas.microsoft.com/office/spreadsheetml/2009/9/main" objectType="CheckBox" fmlaLink="$R$502" lockText="1"/>
</file>

<file path=xl/ctrlProps/ctrlProp202.xml><?xml version="1.0" encoding="utf-8"?>
<formControlPr xmlns="http://schemas.microsoft.com/office/spreadsheetml/2009/9/main" objectType="CheckBox" fmlaLink="$R$503" lockText="1"/>
</file>

<file path=xl/ctrlProps/ctrlProp203.xml><?xml version="1.0" encoding="utf-8"?>
<formControlPr xmlns="http://schemas.microsoft.com/office/spreadsheetml/2009/9/main" objectType="CheckBox" fmlaLink="$R$504" lockText="1"/>
</file>

<file path=xl/ctrlProps/ctrlProp204.xml><?xml version="1.0" encoding="utf-8"?>
<formControlPr xmlns="http://schemas.microsoft.com/office/spreadsheetml/2009/9/main" objectType="CheckBox" fmlaLink="$R$505" lockText="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Radio" firstButton="1" fmlaLink="$R$514" lockText="1"/>
</file>

<file path=xl/ctrlProps/ctrlProp207.xml><?xml version="1.0" encoding="utf-8"?>
<formControlPr xmlns="http://schemas.microsoft.com/office/spreadsheetml/2009/9/main" objectType="Radio" checked="Checked" lockText="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Radio" checked="Checked" firstButton="1" fmlaLink="$R$558" lockText="1"/>
</file>

<file path=xl/ctrlProps/ctrlProp21.xml><?xml version="1.0" encoding="utf-8"?>
<formControlPr xmlns="http://schemas.microsoft.com/office/spreadsheetml/2009/9/main" objectType="CheckBox" fmlaLink="$S$282" lockText="1"/>
</file>

<file path=xl/ctrlProps/ctrlProp210.xml><?xml version="1.0" encoding="utf-8"?>
<formControlPr xmlns="http://schemas.microsoft.com/office/spreadsheetml/2009/9/main" objectType="Radio" lockText="1"/>
</file>

<file path=xl/ctrlProps/ctrlProp211.xml><?xml version="1.0" encoding="utf-8"?>
<formControlPr xmlns="http://schemas.microsoft.com/office/spreadsheetml/2009/9/main" objectType="CheckBox" fmlaLink="$S$44" lockText="1"/>
</file>

<file path=xl/ctrlProps/ctrlProp212.xml><?xml version="1.0" encoding="utf-8"?>
<formControlPr xmlns="http://schemas.microsoft.com/office/spreadsheetml/2009/9/main" objectType="CheckBox" fmlaLink="$S$45" lockText="1"/>
</file>

<file path=xl/ctrlProps/ctrlProp213.xml><?xml version="1.0" encoding="utf-8"?>
<formControlPr xmlns="http://schemas.microsoft.com/office/spreadsheetml/2009/9/main" objectType="CheckBox" fmlaLink="$S$47" lockText="1"/>
</file>

<file path=xl/ctrlProps/ctrlProp214.xml><?xml version="1.0" encoding="utf-8"?>
<formControlPr xmlns="http://schemas.microsoft.com/office/spreadsheetml/2009/9/main" objectType="CheckBox" fmlaLink="$S$46" lockText="1"/>
</file>

<file path=xl/ctrlProps/ctrlProp215.xml><?xml version="1.0" encoding="utf-8"?>
<formControlPr xmlns="http://schemas.microsoft.com/office/spreadsheetml/2009/9/main" objectType="CheckBox" fmlaLink="$S$106" lockText="1"/>
</file>

<file path=xl/ctrlProps/ctrlProp216.xml><?xml version="1.0" encoding="utf-8"?>
<formControlPr xmlns="http://schemas.microsoft.com/office/spreadsheetml/2009/9/main" objectType="CheckBox" fmlaLink="$S$107" lockText="1"/>
</file>

<file path=xl/ctrlProps/ctrlProp217.xml><?xml version="1.0" encoding="utf-8"?>
<formControlPr xmlns="http://schemas.microsoft.com/office/spreadsheetml/2009/9/main" objectType="CheckBox" fmlaLink="$S$109" lockText="1"/>
</file>

<file path=xl/ctrlProps/ctrlProp218.xml><?xml version="1.0" encoding="utf-8"?>
<formControlPr xmlns="http://schemas.microsoft.com/office/spreadsheetml/2009/9/main" objectType="CheckBox" fmlaLink="$S$108" lockText="1"/>
</file>

<file path=xl/ctrlProps/ctrlProp219.xml><?xml version="1.0" encoding="utf-8"?>
<formControlPr xmlns="http://schemas.microsoft.com/office/spreadsheetml/2009/9/main" objectType="CheckBox" fmlaLink="$S$182" lockText="1"/>
</file>

<file path=xl/ctrlProps/ctrlProp22.xml><?xml version="1.0" encoding="utf-8"?>
<formControlPr xmlns="http://schemas.microsoft.com/office/spreadsheetml/2009/9/main" objectType="CheckBox" fmlaLink="$S$283" lockText="1"/>
</file>

<file path=xl/ctrlProps/ctrlProp220.xml><?xml version="1.0" encoding="utf-8"?>
<formControlPr xmlns="http://schemas.microsoft.com/office/spreadsheetml/2009/9/main" objectType="CheckBox" fmlaLink="$S$183" lockText="1"/>
</file>

<file path=xl/ctrlProps/ctrlProp221.xml><?xml version="1.0" encoding="utf-8"?>
<formControlPr xmlns="http://schemas.microsoft.com/office/spreadsheetml/2009/9/main" objectType="CheckBox" fmlaLink="$S$185" lockText="1"/>
</file>

<file path=xl/ctrlProps/ctrlProp222.xml><?xml version="1.0" encoding="utf-8"?>
<formControlPr xmlns="http://schemas.microsoft.com/office/spreadsheetml/2009/9/main" objectType="CheckBox" fmlaLink="$S$184" lockText="1"/>
</file>

<file path=xl/ctrlProps/ctrlProp223.xml><?xml version="1.0" encoding="utf-8"?>
<formControlPr xmlns="http://schemas.microsoft.com/office/spreadsheetml/2009/9/main" objectType="CheckBox" fmlaLink="$S$258" lockText="1"/>
</file>

<file path=xl/ctrlProps/ctrlProp224.xml><?xml version="1.0" encoding="utf-8"?>
<formControlPr xmlns="http://schemas.microsoft.com/office/spreadsheetml/2009/9/main" objectType="CheckBox" fmlaLink="$S$259" lockText="1"/>
</file>

<file path=xl/ctrlProps/ctrlProp225.xml><?xml version="1.0" encoding="utf-8"?>
<formControlPr xmlns="http://schemas.microsoft.com/office/spreadsheetml/2009/9/main" objectType="CheckBox" fmlaLink="$S$261" lockText="1"/>
</file>

<file path=xl/ctrlProps/ctrlProp226.xml><?xml version="1.0" encoding="utf-8"?>
<formControlPr xmlns="http://schemas.microsoft.com/office/spreadsheetml/2009/9/main" objectType="CheckBox" fmlaLink="$S$260" lockText="1"/>
</file>

<file path=xl/ctrlProps/ctrlProp227.xml><?xml version="1.0" encoding="utf-8"?>
<formControlPr xmlns="http://schemas.microsoft.com/office/spreadsheetml/2009/9/main" objectType="CheckBox" fmlaLink="$S$333" lockText="1"/>
</file>

<file path=xl/ctrlProps/ctrlProp228.xml><?xml version="1.0" encoding="utf-8"?>
<formControlPr xmlns="http://schemas.microsoft.com/office/spreadsheetml/2009/9/main" objectType="CheckBox" fmlaLink="$S$334" lockText="1"/>
</file>

<file path=xl/ctrlProps/ctrlProp229.xml><?xml version="1.0" encoding="utf-8"?>
<formControlPr xmlns="http://schemas.microsoft.com/office/spreadsheetml/2009/9/main" objectType="CheckBox" fmlaLink="$S$336" lockText="1"/>
</file>

<file path=xl/ctrlProps/ctrlProp23.xml><?xml version="1.0" encoding="utf-8"?>
<formControlPr xmlns="http://schemas.microsoft.com/office/spreadsheetml/2009/9/main" objectType="CheckBox" fmlaLink="$S$284" lockText="1"/>
</file>

<file path=xl/ctrlProps/ctrlProp230.xml><?xml version="1.0" encoding="utf-8"?>
<formControlPr xmlns="http://schemas.microsoft.com/office/spreadsheetml/2009/9/main" objectType="CheckBox" fmlaLink="$S$335" lockText="1"/>
</file>

<file path=xl/ctrlProps/ctrlProp231.xml><?xml version="1.0" encoding="utf-8"?>
<formControlPr xmlns="http://schemas.microsoft.com/office/spreadsheetml/2009/9/main" objectType="CheckBox" fmlaLink="$S$577" lockText="1"/>
</file>

<file path=xl/ctrlProps/ctrlProp232.xml><?xml version="1.0" encoding="utf-8"?>
<formControlPr xmlns="http://schemas.microsoft.com/office/spreadsheetml/2009/9/main" objectType="CheckBox" fmlaLink="$R$460" lockText="1"/>
</file>

<file path=xl/ctrlProps/ctrlProp233.xml><?xml version="1.0" encoding="utf-8"?>
<formControlPr xmlns="http://schemas.microsoft.com/office/spreadsheetml/2009/9/main" objectType="CheckBox" fmlaLink="$R$461" lockText="1"/>
</file>

<file path=xl/ctrlProps/ctrlProp234.xml><?xml version="1.0" encoding="utf-8"?>
<formControlPr xmlns="http://schemas.microsoft.com/office/spreadsheetml/2009/9/main" objectType="CheckBox" fmlaLink="$R$462" lockText="1"/>
</file>

<file path=xl/ctrlProps/ctrlProp235.xml><?xml version="1.0" encoding="utf-8"?>
<formControlPr xmlns="http://schemas.microsoft.com/office/spreadsheetml/2009/9/main" objectType="CheckBox" fmlaLink="$R$463" lockText="1"/>
</file>

<file path=xl/ctrlProps/ctrlProp236.xml><?xml version="1.0" encoding="utf-8"?>
<formControlPr xmlns="http://schemas.microsoft.com/office/spreadsheetml/2009/9/main" objectType="CheckBox" fmlaLink="$R$464" lockText="1"/>
</file>

<file path=xl/ctrlProps/ctrlProp237.xml><?xml version="1.0" encoding="utf-8"?>
<formControlPr xmlns="http://schemas.microsoft.com/office/spreadsheetml/2009/9/main" objectType="CheckBox" fmlaLink="$R$475" lockText="1"/>
</file>

<file path=xl/ctrlProps/ctrlProp238.xml><?xml version="1.0" encoding="utf-8"?>
<formControlPr xmlns="http://schemas.microsoft.com/office/spreadsheetml/2009/9/main" objectType="CheckBox" fmlaLink="$R$476" lockText="1"/>
</file>

<file path=xl/ctrlProps/ctrlProp239.xml><?xml version="1.0" encoding="utf-8"?>
<formControlPr xmlns="http://schemas.microsoft.com/office/spreadsheetml/2009/9/main" objectType="CheckBox" fmlaLink="$R$467" lockText="1"/>
</file>

<file path=xl/ctrlProps/ctrlProp24.xml><?xml version="1.0" encoding="utf-8"?>
<formControlPr xmlns="http://schemas.microsoft.com/office/spreadsheetml/2009/9/main" objectType="CheckBox" fmlaLink="$S$357" lockText="1"/>
</file>

<file path=xl/ctrlProps/ctrlProp240.xml><?xml version="1.0" encoding="utf-8"?>
<formControlPr xmlns="http://schemas.microsoft.com/office/spreadsheetml/2009/9/main" objectType="CheckBox" fmlaLink="$R$321" lockText="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Radio" firstButton="1" fmlaLink="$Z$460" lockText="1"/>
</file>

<file path=xl/ctrlProps/ctrlProp243.xml><?xml version="1.0" encoding="utf-8"?>
<formControlPr xmlns="http://schemas.microsoft.com/office/spreadsheetml/2009/9/main" objectType="Radio" checked="Checked" lockText="1"/>
</file>

<file path=xl/ctrlProps/ctrlProp244.xml><?xml version="1.0" encoding="utf-8"?>
<formControlPr xmlns="http://schemas.microsoft.com/office/spreadsheetml/2009/9/main" objectType="Radio" lockText="1"/>
</file>

<file path=xl/ctrlProps/ctrlProp245.xml><?xml version="1.0" encoding="utf-8"?>
<formControlPr xmlns="http://schemas.microsoft.com/office/spreadsheetml/2009/9/main" objectType="CheckBox" fmlaLink="$R$469" lockText="1"/>
</file>

<file path=xl/ctrlProps/ctrlProp246.xml><?xml version="1.0" encoding="utf-8"?>
<formControlPr xmlns="http://schemas.microsoft.com/office/spreadsheetml/2009/9/main" objectType="CheckBox" fmlaLink="$R$470" lockText="1"/>
</file>

<file path=xl/ctrlProps/ctrlProp247.xml><?xml version="1.0" encoding="utf-8"?>
<formControlPr xmlns="http://schemas.microsoft.com/office/spreadsheetml/2009/9/main" objectType="CheckBox" fmlaLink="$R$471" lockText="1"/>
</file>

<file path=xl/ctrlProps/ctrlProp248.xml><?xml version="1.0" encoding="utf-8"?>
<formControlPr xmlns="http://schemas.microsoft.com/office/spreadsheetml/2009/9/main" objectType="CheckBox" fmlaLink="$R$472" lockText="1"/>
</file>

<file path=xl/ctrlProps/ctrlProp249.xml><?xml version="1.0" encoding="utf-8"?>
<formControlPr xmlns="http://schemas.microsoft.com/office/spreadsheetml/2009/9/main" objectType="CheckBox" fmlaLink="$R$473" lockText="1"/>
</file>

<file path=xl/ctrlProps/ctrlProp25.xml><?xml version="1.0" encoding="utf-8"?>
<formControlPr xmlns="http://schemas.microsoft.com/office/spreadsheetml/2009/9/main" objectType="CheckBox" fmlaLink="$S$358" lockText="1"/>
</file>

<file path=xl/ctrlProps/ctrlProp250.xml><?xml version="1.0" encoding="utf-8"?>
<formControlPr xmlns="http://schemas.microsoft.com/office/spreadsheetml/2009/9/main" objectType="CheckBox" fmlaLink="$R$474" lockText="1"/>
</file>

<file path=xl/ctrlProps/ctrlProp251.xml><?xml version="1.0" encoding="utf-8"?>
<formControlPr xmlns="http://schemas.microsoft.com/office/spreadsheetml/2009/9/main" objectType="Label" lockText="1"/>
</file>

<file path=xl/ctrlProps/ctrlProp252.xml><?xml version="1.0" encoding="utf-8"?>
<formControlPr xmlns="http://schemas.microsoft.com/office/spreadsheetml/2009/9/main" objectType="CheckBox" fmlaLink="$R$468" lockText="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Radio" checked="Checked" firstButton="1" fmlaLink="$S$412" lockText="1"/>
</file>

<file path=xl/ctrlProps/ctrlProp255.xml><?xml version="1.0" encoding="utf-8"?>
<formControlPr xmlns="http://schemas.microsoft.com/office/spreadsheetml/2009/9/main" objectType="Radio" lockText="1"/>
</file>

<file path=xl/ctrlProps/ctrlProp256.xml><?xml version="1.0" encoding="utf-8"?>
<formControlPr xmlns="http://schemas.microsoft.com/office/spreadsheetml/2009/9/main" objectType="Radio" lockText="1"/>
</file>

<file path=xl/ctrlProps/ctrlProp257.xml><?xml version="1.0" encoding="utf-8"?>
<formControlPr xmlns="http://schemas.microsoft.com/office/spreadsheetml/2009/9/main" objectType="GBox" noThreeD="1"/>
</file>

<file path=xl/ctrlProps/ctrlProp258.xml><?xml version="1.0" encoding="utf-8"?>
<formControlPr xmlns="http://schemas.microsoft.com/office/spreadsheetml/2009/9/main" objectType="Radio" checked="Checked" firstButton="1" fmlaLink="$S$413" lockText="1"/>
</file>

<file path=xl/ctrlProps/ctrlProp259.xml><?xml version="1.0" encoding="utf-8"?>
<formControlPr xmlns="http://schemas.microsoft.com/office/spreadsheetml/2009/9/main" objectType="Radio" lockText="1"/>
</file>

<file path=xl/ctrlProps/ctrlProp26.xml><?xml version="1.0" encoding="utf-8"?>
<formControlPr xmlns="http://schemas.microsoft.com/office/spreadsheetml/2009/9/main" objectType="CheckBox" fmlaLink="$S$359" lockText="1"/>
</file>

<file path=xl/ctrlProps/ctrlProp260.xml><?xml version="1.0" encoding="utf-8"?>
<formControlPr xmlns="http://schemas.microsoft.com/office/spreadsheetml/2009/9/main" objectType="Radio" lockText="1"/>
</file>

<file path=xl/ctrlProps/ctrlProp261.xml><?xml version="1.0" encoding="utf-8"?>
<formControlPr xmlns="http://schemas.microsoft.com/office/spreadsheetml/2009/9/main" objectType="GBox" noThreeD="1"/>
</file>

<file path=xl/ctrlProps/ctrlProp262.xml><?xml version="1.0" encoding="utf-8"?>
<formControlPr xmlns="http://schemas.microsoft.com/office/spreadsheetml/2009/9/main" objectType="Radio" checked="Checked" firstButton="1" fmlaLink="$S$415" lockText="1"/>
</file>

<file path=xl/ctrlProps/ctrlProp263.xml><?xml version="1.0" encoding="utf-8"?>
<formControlPr xmlns="http://schemas.microsoft.com/office/spreadsheetml/2009/9/main" objectType="Radio" lockText="1"/>
</file>

<file path=xl/ctrlProps/ctrlProp264.xml><?xml version="1.0" encoding="utf-8"?>
<formControlPr xmlns="http://schemas.microsoft.com/office/spreadsheetml/2009/9/main" objectType="Radio" lockText="1"/>
</file>

<file path=xl/ctrlProps/ctrlProp265.xml><?xml version="1.0" encoding="utf-8"?>
<formControlPr xmlns="http://schemas.microsoft.com/office/spreadsheetml/2009/9/main" objectType="GBox" noThreeD="1"/>
</file>

<file path=xl/ctrlProps/ctrlProp266.xml><?xml version="1.0" encoding="utf-8"?>
<formControlPr xmlns="http://schemas.microsoft.com/office/spreadsheetml/2009/9/main" objectType="Radio" checked="Checked" firstButton="1" fmlaLink="$S$416" lockText="1"/>
</file>

<file path=xl/ctrlProps/ctrlProp267.xml><?xml version="1.0" encoding="utf-8"?>
<formControlPr xmlns="http://schemas.microsoft.com/office/spreadsheetml/2009/9/main" objectType="Radio" lockText="1"/>
</file>

<file path=xl/ctrlProps/ctrlProp268.xml><?xml version="1.0" encoding="utf-8"?>
<formControlPr xmlns="http://schemas.microsoft.com/office/spreadsheetml/2009/9/main" objectType="Radio" lockText="1"/>
</file>

<file path=xl/ctrlProps/ctrlProp269.xml><?xml version="1.0" encoding="utf-8"?>
<formControlPr xmlns="http://schemas.microsoft.com/office/spreadsheetml/2009/9/main" objectType="GBox" noThreeD="1"/>
</file>

<file path=xl/ctrlProps/ctrlProp27.xml><?xml version="1.0" encoding="utf-8"?>
<formControlPr xmlns="http://schemas.microsoft.com/office/spreadsheetml/2009/9/main" objectType="CheckBox" fmlaLink="$R$386" lockText="1"/>
</file>

<file path=xl/ctrlProps/ctrlProp270.xml><?xml version="1.0" encoding="utf-8"?>
<formControlPr xmlns="http://schemas.microsoft.com/office/spreadsheetml/2009/9/main" objectType="Radio" checked="Checked" firstButton="1" fmlaLink="$Z$482" lockText="1"/>
</file>

<file path=xl/ctrlProps/ctrlProp271.xml><?xml version="1.0" encoding="utf-8"?>
<formControlPr xmlns="http://schemas.microsoft.com/office/spreadsheetml/2009/9/main" objectType="Radio" lockText="1"/>
</file>

<file path=xl/ctrlProps/ctrlProp272.xml><?xml version="1.0" encoding="utf-8"?>
<formControlPr xmlns="http://schemas.microsoft.com/office/spreadsheetml/2009/9/main" objectType="Radio" lockText="1"/>
</file>

<file path=xl/ctrlProps/ctrlProp273.xml><?xml version="1.0" encoding="utf-8"?>
<formControlPr xmlns="http://schemas.microsoft.com/office/spreadsheetml/2009/9/main" objectType="GBox" noThreeD="1"/>
</file>

<file path=xl/ctrlProps/ctrlProp274.xml><?xml version="1.0" encoding="utf-8"?>
<formControlPr xmlns="http://schemas.microsoft.com/office/spreadsheetml/2009/9/main" objectType="Radio" checked="Checked" firstButton="1" fmlaLink="$Z$497" lockText="1"/>
</file>

<file path=xl/ctrlProps/ctrlProp275.xml><?xml version="1.0" encoding="utf-8"?>
<formControlPr xmlns="http://schemas.microsoft.com/office/spreadsheetml/2009/9/main" objectType="Radio" lockText="1"/>
</file>

<file path=xl/ctrlProps/ctrlProp276.xml><?xml version="1.0" encoding="utf-8"?>
<formControlPr xmlns="http://schemas.microsoft.com/office/spreadsheetml/2009/9/main" objectType="Radio" lockText="1"/>
</file>

<file path=xl/ctrlProps/ctrlProp277.xml><?xml version="1.0" encoding="utf-8"?>
<formControlPr xmlns="http://schemas.microsoft.com/office/spreadsheetml/2009/9/main" objectType="GBox" noThreeD="1"/>
</file>

<file path=xl/ctrlProps/ctrlProp278.xml><?xml version="1.0" encoding="utf-8"?>
<formControlPr xmlns="http://schemas.microsoft.com/office/spreadsheetml/2009/9/main" objectType="Radio" checked="Checked" firstButton="1" fmlaLink="$R$579" lockText="1"/>
</file>

<file path=xl/ctrlProps/ctrlProp279.xml><?xml version="1.0" encoding="utf-8"?>
<formControlPr xmlns="http://schemas.microsoft.com/office/spreadsheetml/2009/9/main" objectType="Radio" lockText="1"/>
</file>

<file path=xl/ctrlProps/ctrlProp28.xml><?xml version="1.0" encoding="utf-8"?>
<formControlPr xmlns="http://schemas.microsoft.com/office/spreadsheetml/2009/9/main" objectType="CheckBox" fmlaLink="$R$387" lockText="1"/>
</file>

<file path=xl/ctrlProps/ctrlProp280.xml><?xml version="1.0" encoding="utf-8"?>
<formControlPr xmlns="http://schemas.microsoft.com/office/spreadsheetml/2009/9/main" objectType="Radio" lockText="1"/>
</file>

<file path=xl/ctrlProps/ctrlProp281.xml><?xml version="1.0" encoding="utf-8"?>
<formControlPr xmlns="http://schemas.microsoft.com/office/spreadsheetml/2009/9/main" objectType="GBox" noThreeD="1"/>
</file>

<file path=xl/ctrlProps/ctrlProp282.xml><?xml version="1.0" encoding="utf-8"?>
<formControlPr xmlns="http://schemas.microsoft.com/office/spreadsheetml/2009/9/main" objectType="Radio" checked="Checked" firstButton="1" fmlaLink="$R$580" lockText="1"/>
</file>

<file path=xl/ctrlProps/ctrlProp283.xml><?xml version="1.0" encoding="utf-8"?>
<formControlPr xmlns="http://schemas.microsoft.com/office/spreadsheetml/2009/9/main" objectType="Radio" lockText="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Radio" checked="Checked" firstButton="1" fmlaLink="$R$581" lockText="1"/>
</file>

<file path=xl/ctrlProps/ctrlProp286.xml><?xml version="1.0" encoding="utf-8"?>
<formControlPr xmlns="http://schemas.microsoft.com/office/spreadsheetml/2009/9/main" objectType="Radio" lockText="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Radio" firstButton="1" fmlaLink="$R$588" lockText="1"/>
</file>

<file path=xl/ctrlProps/ctrlProp289.xml><?xml version="1.0" encoding="utf-8"?>
<formControlPr xmlns="http://schemas.microsoft.com/office/spreadsheetml/2009/9/main" objectType="Radio" checked="Checked" lockText="1"/>
</file>

<file path=xl/ctrlProps/ctrlProp29.xml><?xml version="1.0" encoding="utf-8"?>
<formControlPr xmlns="http://schemas.microsoft.com/office/spreadsheetml/2009/9/main" objectType="CheckBox" fmlaLink="$R$388" lockText="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Radio" checked="Checked" firstButton="1" fmlaLink="$R$385" lockText="1"/>
</file>

<file path=xl/ctrlProps/ctrlProp292.xml><?xml version="1.0" encoding="utf-8"?>
<formControlPr xmlns="http://schemas.microsoft.com/office/spreadsheetml/2009/9/main" objectType="Radio" lockText="1"/>
</file>

<file path=xl/ctrlProps/ctrlProp293.xml><?xml version="1.0" encoding="utf-8"?>
<formControlPr xmlns="http://schemas.microsoft.com/office/spreadsheetml/2009/9/main" objectType="Radio" lockText="1"/>
</file>

<file path=xl/ctrlProps/ctrlProp294.xml><?xml version="1.0" encoding="utf-8"?>
<formControlPr xmlns="http://schemas.microsoft.com/office/spreadsheetml/2009/9/main" objectType="CheckBox" fmlaLink="$R$281" lockText="1"/>
</file>

<file path=xl/ctrlProps/ctrlProp295.xml><?xml version="1.0" encoding="utf-8"?>
<formControlPr xmlns="http://schemas.microsoft.com/office/spreadsheetml/2009/9/main" objectType="CheckBox" fmlaLink="$R$282" lockText="1"/>
</file>

<file path=xl/ctrlProps/ctrlProp296.xml><?xml version="1.0" encoding="utf-8"?>
<formControlPr xmlns="http://schemas.microsoft.com/office/spreadsheetml/2009/9/main" objectType="CheckBox" fmlaLink="$R$283" lockText="1"/>
</file>

<file path=xl/ctrlProps/ctrlProp297.xml><?xml version="1.0" encoding="utf-8"?>
<formControlPr xmlns="http://schemas.microsoft.com/office/spreadsheetml/2009/9/main" objectType="CheckBox" fmlaLink="$R$284" lockText="1"/>
</file>

<file path=xl/ctrlProps/ctrlProp298.xml><?xml version="1.0" encoding="utf-8"?>
<formControlPr xmlns="http://schemas.microsoft.com/office/spreadsheetml/2009/9/main" objectType="CheckBox" fmlaLink="$R$285" lockText="1"/>
</file>

<file path=xl/ctrlProps/ctrlProp299.xml><?xml version="1.0" encoding="utf-8"?>
<formControlPr xmlns="http://schemas.microsoft.com/office/spreadsheetml/2009/9/main" objectType="CheckBox" fmlaLink="$R$287" lockText="1"/>
</file>

<file path=xl/ctrlProps/ctrlProp3.xml><?xml version="1.0" encoding="utf-8"?>
<formControlPr xmlns="http://schemas.microsoft.com/office/spreadsheetml/2009/9/main" objectType="CheckBox" fmlaLink="$R$6" lockText="1"/>
</file>

<file path=xl/ctrlProps/ctrlProp30.xml><?xml version="1.0" encoding="utf-8"?>
<formControlPr xmlns="http://schemas.microsoft.com/office/spreadsheetml/2009/9/main" objectType="CheckBox" fmlaLink="$R$389" lockText="1"/>
</file>

<file path=xl/ctrlProps/ctrlProp300.xml><?xml version="1.0" encoding="utf-8"?>
<formControlPr xmlns="http://schemas.microsoft.com/office/spreadsheetml/2009/9/main" objectType="CheckBox" fmlaLink="$R$288" lockText="1"/>
</file>

<file path=xl/ctrlProps/ctrlProp301.xml><?xml version="1.0" encoding="utf-8"?>
<formControlPr xmlns="http://schemas.microsoft.com/office/spreadsheetml/2009/9/main" objectType="CheckBox" fmlaLink="$R$289" lockText="1"/>
</file>

<file path=xl/ctrlProps/ctrlProp302.xml><?xml version="1.0" encoding="utf-8"?>
<formControlPr xmlns="http://schemas.microsoft.com/office/spreadsheetml/2009/9/main" objectType="CheckBox" fmlaLink="$R$290" lockText="1"/>
</file>

<file path=xl/ctrlProps/ctrlProp303.xml><?xml version="1.0" encoding="utf-8"?>
<formControlPr xmlns="http://schemas.microsoft.com/office/spreadsheetml/2009/9/main" objectType="CheckBox" fmlaLink="$R$291" lockText="1"/>
</file>

<file path=xl/ctrlProps/ctrlProp304.xml><?xml version="1.0" encoding="utf-8"?>
<formControlPr xmlns="http://schemas.microsoft.com/office/spreadsheetml/2009/9/main" objectType="CheckBox" fmlaLink="$R$293" lockText="1"/>
</file>

<file path=xl/ctrlProps/ctrlProp305.xml><?xml version="1.0" encoding="utf-8"?>
<formControlPr xmlns="http://schemas.microsoft.com/office/spreadsheetml/2009/9/main" objectType="CheckBox" fmlaLink="$R$294" lockText="1"/>
</file>

<file path=xl/ctrlProps/ctrlProp306.xml><?xml version="1.0" encoding="utf-8"?>
<formControlPr xmlns="http://schemas.microsoft.com/office/spreadsheetml/2009/9/main" objectType="CheckBox" fmlaLink="$R$295" lockText="1"/>
</file>

<file path=xl/ctrlProps/ctrlProp307.xml><?xml version="1.0" encoding="utf-8"?>
<formControlPr xmlns="http://schemas.microsoft.com/office/spreadsheetml/2009/9/main" objectType="CheckBox" fmlaLink="$R$296" lockText="1"/>
</file>

<file path=xl/ctrlProps/ctrlProp308.xml><?xml version="1.0" encoding="utf-8"?>
<formControlPr xmlns="http://schemas.microsoft.com/office/spreadsheetml/2009/9/main" objectType="CheckBox" fmlaLink="$R$297" lockText="1"/>
</file>

<file path=xl/ctrlProps/ctrlProp309.xml><?xml version="1.0" encoding="utf-8"?>
<formControlPr xmlns="http://schemas.microsoft.com/office/spreadsheetml/2009/9/main" objectType="CheckBox" fmlaLink="$R$301" lockText="1"/>
</file>

<file path=xl/ctrlProps/ctrlProp31.xml><?xml version="1.0" encoding="utf-8"?>
<formControlPr xmlns="http://schemas.microsoft.com/office/spreadsheetml/2009/9/main" objectType="CheckBox" fmlaLink="$R$390" lockText="1"/>
</file>

<file path=xl/ctrlProps/ctrlProp310.xml><?xml version="1.0" encoding="utf-8"?>
<formControlPr xmlns="http://schemas.microsoft.com/office/spreadsheetml/2009/9/main" objectType="CheckBox" fmlaLink="$R$302" lockText="1"/>
</file>

<file path=xl/ctrlProps/ctrlProp311.xml><?xml version="1.0" encoding="utf-8"?>
<formControlPr xmlns="http://schemas.microsoft.com/office/spreadsheetml/2009/9/main" objectType="CheckBox" fmlaLink="$R$309" lockText="1"/>
</file>

<file path=xl/ctrlProps/ctrlProp312.xml><?xml version="1.0" encoding="utf-8"?>
<formControlPr xmlns="http://schemas.microsoft.com/office/spreadsheetml/2009/9/main" objectType="CheckBox" fmlaLink="$R$310" lockText="1"/>
</file>

<file path=xl/ctrlProps/ctrlProp313.xml><?xml version="1.0" encoding="utf-8"?>
<formControlPr xmlns="http://schemas.microsoft.com/office/spreadsheetml/2009/9/main" objectType="CheckBox" fmlaLink="$R$311" lockText="1"/>
</file>

<file path=xl/ctrlProps/ctrlProp314.xml><?xml version="1.0" encoding="utf-8"?>
<formControlPr xmlns="http://schemas.microsoft.com/office/spreadsheetml/2009/9/main" objectType="CheckBox" fmlaLink="$R$312" lockText="1"/>
</file>

<file path=xl/ctrlProps/ctrlProp315.xml><?xml version="1.0" encoding="utf-8"?>
<formControlPr xmlns="http://schemas.microsoft.com/office/spreadsheetml/2009/9/main" objectType="CheckBox" fmlaLink="$R$313" lockText="1"/>
</file>

<file path=xl/ctrlProps/ctrlProp316.xml><?xml version="1.0" encoding="utf-8"?>
<formControlPr xmlns="http://schemas.microsoft.com/office/spreadsheetml/2009/9/main" objectType="CheckBox" fmlaLink="$R$314" lockText="1"/>
</file>

<file path=xl/ctrlProps/ctrlProp317.xml><?xml version="1.0" encoding="utf-8"?>
<formControlPr xmlns="http://schemas.microsoft.com/office/spreadsheetml/2009/9/main" objectType="CheckBox" fmlaLink="$R$315" lockText="1"/>
</file>

<file path=xl/ctrlProps/ctrlProp318.xml><?xml version="1.0" encoding="utf-8"?>
<formControlPr xmlns="http://schemas.microsoft.com/office/spreadsheetml/2009/9/main" objectType="CheckBox" fmlaLink="$R$316" lockText="1"/>
</file>

<file path=xl/ctrlProps/ctrlProp319.xml><?xml version="1.0" encoding="utf-8"?>
<formControlPr xmlns="http://schemas.microsoft.com/office/spreadsheetml/2009/9/main" objectType="CheckBox" fmlaLink="$R$317" lockText="1"/>
</file>

<file path=xl/ctrlProps/ctrlProp32.xml><?xml version="1.0" encoding="utf-8"?>
<formControlPr xmlns="http://schemas.microsoft.com/office/spreadsheetml/2009/9/main" objectType="CheckBox" fmlaLink="$S$422" lockText="1"/>
</file>

<file path=xl/ctrlProps/ctrlProp320.xml><?xml version="1.0" encoding="utf-8"?>
<formControlPr xmlns="http://schemas.microsoft.com/office/spreadsheetml/2009/9/main" objectType="CheckBox" fmlaLink="$R$319" lockText="1"/>
</file>

<file path=xl/ctrlProps/ctrlProp321.xml><?xml version="1.0" encoding="utf-8"?>
<formControlPr xmlns="http://schemas.microsoft.com/office/spreadsheetml/2009/9/main" objectType="CheckBox" fmlaLink="$R$321" lockText="1"/>
</file>

<file path=xl/ctrlProps/ctrlProp322.xml><?xml version="1.0" encoding="utf-8"?>
<formControlPr xmlns="http://schemas.microsoft.com/office/spreadsheetml/2009/9/main" objectType="CheckBox" fmlaLink="$R$322" lockText="1"/>
</file>

<file path=xl/ctrlProps/ctrlProp323.xml><?xml version="1.0" encoding="utf-8"?>
<formControlPr xmlns="http://schemas.microsoft.com/office/spreadsheetml/2009/9/main" objectType="CheckBox" fmlaLink="$R$323" lockText="1"/>
</file>

<file path=xl/ctrlProps/ctrlProp324.xml><?xml version="1.0" encoding="utf-8"?>
<formControlPr xmlns="http://schemas.microsoft.com/office/spreadsheetml/2009/9/main" objectType="CheckBox" fmlaLink="$R$324" lockText="1"/>
</file>

<file path=xl/ctrlProps/ctrlProp325.xml><?xml version="1.0" encoding="utf-8"?>
<formControlPr xmlns="http://schemas.microsoft.com/office/spreadsheetml/2009/9/main" objectType="CheckBox" fmlaLink="$R$325" lockText="1"/>
</file>

<file path=xl/ctrlProps/ctrlProp326.xml><?xml version="1.0" encoding="utf-8"?>
<formControlPr xmlns="http://schemas.microsoft.com/office/spreadsheetml/2009/9/main" objectType="CheckBox" fmlaLink="$R$326" lockText="1"/>
</file>

<file path=xl/ctrlProps/ctrlProp327.xml><?xml version="1.0" encoding="utf-8"?>
<formControlPr xmlns="http://schemas.microsoft.com/office/spreadsheetml/2009/9/main" objectType="CheckBox" fmlaLink="$R$327" lockText="1"/>
</file>

<file path=xl/ctrlProps/ctrlProp328.xml><?xml version="1.0" encoding="utf-8"?>
<formControlPr xmlns="http://schemas.microsoft.com/office/spreadsheetml/2009/9/main" objectType="CheckBox" fmlaLink="$R$330" lockText="1"/>
</file>

<file path=xl/ctrlProps/ctrlProp329.xml><?xml version="1.0" encoding="utf-8"?>
<formControlPr xmlns="http://schemas.microsoft.com/office/spreadsheetml/2009/9/main" objectType="CheckBox" fmlaLink="$R$331" lockText="1"/>
</file>

<file path=xl/ctrlProps/ctrlProp33.xml><?xml version="1.0" encoding="utf-8"?>
<formControlPr xmlns="http://schemas.microsoft.com/office/spreadsheetml/2009/9/main" objectType="CheckBox" fmlaLink="$R$446" lockText="1"/>
</file>

<file path=xl/ctrlProps/ctrlProp330.xml><?xml version="1.0" encoding="utf-8"?>
<formControlPr xmlns="http://schemas.microsoft.com/office/spreadsheetml/2009/9/main" objectType="CheckBox" fmlaLink="$R$332" lockText="1"/>
</file>

<file path=xl/ctrlProps/ctrlProp331.xml><?xml version="1.0" encoding="utf-8"?>
<formControlPr xmlns="http://schemas.microsoft.com/office/spreadsheetml/2009/9/main" objectType="CheckBox" fmlaLink="$R$333" lockText="1"/>
</file>

<file path=xl/ctrlProps/ctrlProp332.xml><?xml version="1.0" encoding="utf-8"?>
<formControlPr xmlns="http://schemas.microsoft.com/office/spreadsheetml/2009/9/main" objectType="CheckBox" fmlaLink="$R$334" lockText="1"/>
</file>

<file path=xl/ctrlProps/ctrlProp333.xml><?xml version="1.0" encoding="utf-8"?>
<formControlPr xmlns="http://schemas.microsoft.com/office/spreadsheetml/2009/9/main" objectType="CheckBox" fmlaLink="$R$336" lockText="1"/>
</file>

<file path=xl/ctrlProps/ctrlProp334.xml><?xml version="1.0" encoding="utf-8"?>
<formControlPr xmlns="http://schemas.microsoft.com/office/spreadsheetml/2009/9/main" objectType="CheckBox" fmlaLink="$R$298" lockText="1"/>
</file>

<file path=xl/ctrlProps/ctrlProp335.xml><?xml version="1.0" encoding="utf-8"?>
<formControlPr xmlns="http://schemas.microsoft.com/office/spreadsheetml/2009/9/main" objectType="CheckBox" fmlaLink="$R$308" lockText="1"/>
</file>

<file path=xl/ctrlProps/ctrlProp336.xml><?xml version="1.0" encoding="utf-8"?>
<formControlPr xmlns="http://schemas.microsoft.com/office/spreadsheetml/2009/9/main" objectType="CheckBox" fmlaLink="$R$300" lockText="1"/>
</file>

<file path=xl/ctrlProps/ctrlProp337.xml><?xml version="1.0" encoding="utf-8"?>
<formControlPr xmlns="http://schemas.microsoft.com/office/spreadsheetml/2009/9/main" objectType="CheckBox" fmlaLink="$R$329" lockText="1"/>
</file>

<file path=xl/ctrlProps/ctrlProp338.xml><?xml version="1.0" encoding="utf-8"?>
<formControlPr xmlns="http://schemas.microsoft.com/office/spreadsheetml/2009/9/main" objectType="CheckBox" fmlaLink="$S$68" lockText="1"/>
</file>

<file path=xl/ctrlProps/ctrlProp339.xml><?xml version="1.0" encoding="utf-8"?>
<formControlPr xmlns="http://schemas.microsoft.com/office/spreadsheetml/2009/9/main" objectType="CheckBox" fmlaLink="$S$69" lockText="1"/>
</file>

<file path=xl/ctrlProps/ctrlProp34.xml><?xml version="1.0" encoding="utf-8"?>
<formControlPr xmlns="http://schemas.microsoft.com/office/spreadsheetml/2009/9/main" objectType="CheckBox" fmlaLink="$R$447" lockText="1"/>
</file>

<file path=xl/ctrlProps/ctrlProp340.xml><?xml version="1.0" encoding="utf-8"?>
<formControlPr xmlns="http://schemas.microsoft.com/office/spreadsheetml/2009/9/main" objectType="CheckBox" fmlaLink="$S$70" lockText="1"/>
</file>

<file path=xl/ctrlProps/ctrlProp341.xml><?xml version="1.0" encoding="utf-8"?>
<formControlPr xmlns="http://schemas.microsoft.com/office/spreadsheetml/2009/9/main" objectType="CheckBox" fmlaLink="$S$108" lockText="1"/>
</file>

<file path=xl/ctrlProps/ctrlProp342.xml><?xml version="1.0" encoding="utf-8"?>
<formControlPr xmlns="http://schemas.microsoft.com/office/spreadsheetml/2009/9/main" objectType="CheckBox" fmlaLink="$S$109" lockText="1"/>
</file>

<file path=xl/ctrlProps/ctrlProp343.xml><?xml version="1.0" encoding="utf-8"?>
<formControlPr xmlns="http://schemas.microsoft.com/office/spreadsheetml/2009/9/main" objectType="CheckBox" fmlaLink="$S$110" lockText="1"/>
</file>

<file path=xl/ctrlProps/ctrlProp344.xml><?xml version="1.0" encoding="utf-8"?>
<formControlPr xmlns="http://schemas.microsoft.com/office/spreadsheetml/2009/9/main" objectType="CheckBox" fmlaLink="$S$148" lockText="1"/>
</file>

<file path=xl/ctrlProps/ctrlProp345.xml><?xml version="1.0" encoding="utf-8"?>
<formControlPr xmlns="http://schemas.microsoft.com/office/spreadsheetml/2009/9/main" objectType="CheckBox" fmlaLink="$S$149" lockText="1"/>
</file>

<file path=xl/ctrlProps/ctrlProp346.xml><?xml version="1.0" encoding="utf-8"?>
<formControlPr xmlns="http://schemas.microsoft.com/office/spreadsheetml/2009/9/main" objectType="CheckBox" fmlaLink="$S$150" lockText="1"/>
</file>

<file path=xl/ctrlProps/ctrlProp347.xml><?xml version="1.0" encoding="utf-8"?>
<formControlPr xmlns="http://schemas.microsoft.com/office/spreadsheetml/2009/9/main" objectType="CheckBox" fmlaLink="$S$188" lockText="1"/>
</file>

<file path=xl/ctrlProps/ctrlProp348.xml><?xml version="1.0" encoding="utf-8"?>
<formControlPr xmlns="http://schemas.microsoft.com/office/spreadsheetml/2009/9/main" objectType="CheckBox" fmlaLink="$S$189" lockText="1"/>
</file>

<file path=xl/ctrlProps/ctrlProp349.xml><?xml version="1.0" encoding="utf-8"?>
<formControlPr xmlns="http://schemas.microsoft.com/office/spreadsheetml/2009/9/main" objectType="CheckBox" fmlaLink="$S$190" lockText="1"/>
</file>

<file path=xl/ctrlProps/ctrlProp35.xml><?xml version="1.0" encoding="utf-8"?>
<formControlPr xmlns="http://schemas.microsoft.com/office/spreadsheetml/2009/9/main" objectType="CheckBox" fmlaLink="$R$448" lockText="1"/>
</file>

<file path=xl/ctrlProps/ctrlProp350.xml><?xml version="1.0" encoding="utf-8"?>
<formControlPr xmlns="http://schemas.microsoft.com/office/spreadsheetml/2009/9/main" objectType="CheckBox" fmlaLink="$S$69" lockText="1"/>
</file>

<file path=xl/ctrlProps/ctrlProp351.xml><?xml version="1.0" encoding="utf-8"?>
<formControlPr xmlns="http://schemas.microsoft.com/office/spreadsheetml/2009/9/main" objectType="CheckBox" fmlaLink="$S$70" lockText="1"/>
</file>

<file path=xl/ctrlProps/ctrlProp352.xml><?xml version="1.0" encoding="utf-8"?>
<formControlPr xmlns="http://schemas.microsoft.com/office/spreadsheetml/2009/9/main" objectType="CheckBox" fmlaLink="$S$30" lockText="1"/>
</file>

<file path=xl/ctrlProps/ctrlProp353.xml><?xml version="1.0" encoding="utf-8"?>
<formControlPr xmlns="http://schemas.microsoft.com/office/spreadsheetml/2009/9/main" objectType="CheckBox" fmlaLink="$S$31" lockText="1"/>
</file>

<file path=xl/ctrlProps/ctrlProp354.xml><?xml version="1.0" encoding="utf-8"?>
<formControlPr xmlns="http://schemas.microsoft.com/office/spreadsheetml/2009/9/main" objectType="CheckBox" fmlaLink="$R$208" lockText="1"/>
</file>

<file path=xl/ctrlProps/ctrlProp355.xml><?xml version="1.0" encoding="utf-8"?>
<formControlPr xmlns="http://schemas.microsoft.com/office/spreadsheetml/2009/9/main" objectType="CheckBox" fmlaLink="$R$209" lockText="1"/>
</file>

<file path=xl/ctrlProps/ctrlProp356.xml><?xml version="1.0" encoding="utf-8"?>
<formControlPr xmlns="http://schemas.microsoft.com/office/spreadsheetml/2009/9/main" objectType="CheckBox" fmlaLink="$R$210" lockText="1"/>
</file>

<file path=xl/ctrlProps/ctrlProp357.xml><?xml version="1.0" encoding="utf-8"?>
<formControlPr xmlns="http://schemas.microsoft.com/office/spreadsheetml/2009/9/main" objectType="CheckBox" fmlaLink="$R$211" lockText="1"/>
</file>

<file path=xl/ctrlProps/ctrlProp358.xml><?xml version="1.0" encoding="utf-8"?>
<formControlPr xmlns="http://schemas.microsoft.com/office/spreadsheetml/2009/9/main" objectType="CheckBox" fmlaLink="$R$212" lockText="1"/>
</file>

<file path=xl/ctrlProps/ctrlProp359.xml><?xml version="1.0" encoding="utf-8"?>
<formControlPr xmlns="http://schemas.microsoft.com/office/spreadsheetml/2009/9/main" objectType="CheckBox" fmlaLink="$R$215" lockText="1"/>
</file>

<file path=xl/ctrlProps/ctrlProp36.xml><?xml version="1.0" encoding="utf-8"?>
<formControlPr xmlns="http://schemas.microsoft.com/office/spreadsheetml/2009/9/main" objectType="CheckBox" fmlaLink="$R$449" lockText="1"/>
</file>

<file path=xl/ctrlProps/ctrlProp360.xml><?xml version="1.0" encoding="utf-8"?>
<formControlPr xmlns="http://schemas.microsoft.com/office/spreadsheetml/2009/9/main" objectType="CheckBox" fmlaLink="$R$216" lockText="1"/>
</file>

<file path=xl/ctrlProps/ctrlProp361.xml><?xml version="1.0" encoding="utf-8"?>
<formControlPr xmlns="http://schemas.microsoft.com/office/spreadsheetml/2009/9/main" objectType="CheckBox" fmlaLink="$R$217" lockText="1"/>
</file>

<file path=xl/ctrlProps/ctrlProp362.xml><?xml version="1.0" encoding="utf-8"?>
<formControlPr xmlns="http://schemas.microsoft.com/office/spreadsheetml/2009/9/main" objectType="CheckBox" fmlaLink="$R$218" lockText="1"/>
</file>

<file path=xl/ctrlProps/ctrlProp363.xml><?xml version="1.0" encoding="utf-8"?>
<formControlPr xmlns="http://schemas.microsoft.com/office/spreadsheetml/2009/9/main" objectType="CheckBox" fmlaLink="$R$219" lockText="1"/>
</file>

<file path=xl/ctrlProps/ctrlProp364.xml><?xml version="1.0" encoding="utf-8"?>
<formControlPr xmlns="http://schemas.microsoft.com/office/spreadsheetml/2009/9/main" objectType="CheckBox" fmlaLink="$R$248" lockText="1"/>
</file>

<file path=xl/ctrlProps/ctrlProp365.xml><?xml version="1.0" encoding="utf-8"?>
<formControlPr xmlns="http://schemas.microsoft.com/office/spreadsheetml/2009/9/main" objectType="CheckBox" fmlaLink="$R$250" lockText="1"/>
</file>

<file path=xl/ctrlProps/ctrlProp366.xml><?xml version="1.0" encoding="utf-8"?>
<formControlPr xmlns="http://schemas.microsoft.com/office/spreadsheetml/2009/9/main" objectType="CheckBox" fmlaLink="$R$257" lockText="1"/>
</file>

<file path=xl/ctrlProps/ctrlProp367.xml><?xml version="1.0" encoding="utf-8"?>
<formControlPr xmlns="http://schemas.microsoft.com/office/spreadsheetml/2009/9/main" objectType="CheckBox" fmlaLink="$R$258" lockText="1"/>
</file>

<file path=xl/ctrlProps/ctrlProp368.xml><?xml version="1.0" encoding="utf-8"?>
<formControlPr xmlns="http://schemas.microsoft.com/office/spreadsheetml/2009/9/main" objectType="CheckBox" fmlaLink="$R$259" lockText="1"/>
</file>

<file path=xl/ctrlProps/ctrlProp369.xml><?xml version="1.0" encoding="utf-8"?>
<formControlPr xmlns="http://schemas.microsoft.com/office/spreadsheetml/2009/9/main" objectType="CheckBox" fmlaLink="$R$260" lockText="1"/>
</file>

<file path=xl/ctrlProps/ctrlProp37.xml><?xml version="1.0" encoding="utf-8"?>
<formControlPr xmlns="http://schemas.microsoft.com/office/spreadsheetml/2009/9/main" objectType="CheckBox" fmlaLink="$R$450" lockText="1"/>
</file>

<file path=xl/ctrlProps/ctrlProp370.xml><?xml version="1.0" encoding="utf-8"?>
<formControlPr xmlns="http://schemas.microsoft.com/office/spreadsheetml/2009/9/main" objectType="CheckBox" fmlaLink="$R$261" lockText="1"/>
</file>

<file path=xl/ctrlProps/ctrlProp371.xml><?xml version="1.0" encoding="utf-8"?>
<formControlPr xmlns="http://schemas.microsoft.com/office/spreadsheetml/2009/9/main" objectType="CheckBox" fmlaLink="$R$262" lockText="1"/>
</file>

<file path=xl/ctrlProps/ctrlProp372.xml><?xml version="1.0" encoding="utf-8"?>
<formControlPr xmlns="http://schemas.microsoft.com/office/spreadsheetml/2009/9/main" objectType="CheckBox" fmlaLink="$R$263" lockText="1"/>
</file>

<file path=xl/ctrlProps/ctrlProp373.xml><?xml version="1.0" encoding="utf-8"?>
<formControlPr xmlns="http://schemas.microsoft.com/office/spreadsheetml/2009/9/main" objectType="Radio" checked="Checked" firstButton="1" fmlaLink="$R$413" lockText="1"/>
</file>

<file path=xl/ctrlProps/ctrlProp374.xml><?xml version="1.0" encoding="utf-8"?>
<formControlPr xmlns="http://schemas.microsoft.com/office/spreadsheetml/2009/9/main" objectType="Radio" lockText="1"/>
</file>

<file path=xl/ctrlProps/ctrlProp375.xml><?xml version="1.0" encoding="utf-8"?>
<formControlPr xmlns="http://schemas.microsoft.com/office/spreadsheetml/2009/9/main" objectType="Radio" lockText="1"/>
</file>

<file path=xl/ctrlProps/ctrlProp376.xml><?xml version="1.0" encoding="utf-8"?>
<formControlPr xmlns="http://schemas.microsoft.com/office/spreadsheetml/2009/9/main" objectType="Radio" lockText="1"/>
</file>

<file path=xl/ctrlProps/ctrlProp377.xml><?xml version="1.0" encoding="utf-8"?>
<formControlPr xmlns="http://schemas.microsoft.com/office/spreadsheetml/2009/9/main" objectType="Radio" lockText="1"/>
</file>

<file path=xl/ctrlProps/ctrlProp378.xml><?xml version="1.0" encoding="utf-8"?>
<formControlPr xmlns="http://schemas.microsoft.com/office/spreadsheetml/2009/9/main" objectType="GBox" noThreeD="1"/>
</file>

<file path=xl/ctrlProps/ctrlProp379.xml><?xml version="1.0" encoding="utf-8"?>
<formControlPr xmlns="http://schemas.microsoft.com/office/spreadsheetml/2009/9/main" objectType="CheckBox" fmlaLink="$R$417" lockText="1"/>
</file>

<file path=xl/ctrlProps/ctrlProp38.xml><?xml version="1.0" encoding="utf-8"?>
<formControlPr xmlns="http://schemas.microsoft.com/office/spreadsheetml/2009/9/main" objectType="CheckBox" fmlaLink="$R$454" lockText="1"/>
</file>

<file path=xl/ctrlProps/ctrlProp380.xml><?xml version="1.0" encoding="utf-8"?>
<formControlPr xmlns="http://schemas.microsoft.com/office/spreadsheetml/2009/9/main" objectType="CheckBox" fmlaLink="$R$418" lockText="1"/>
</file>

<file path=xl/ctrlProps/ctrlProp381.xml><?xml version="1.0" encoding="utf-8"?>
<formControlPr xmlns="http://schemas.microsoft.com/office/spreadsheetml/2009/9/main" objectType="CheckBox" fmlaLink="$R$430" lockText="1"/>
</file>

<file path=xl/ctrlProps/ctrlProp382.xml><?xml version="1.0" encoding="utf-8"?>
<formControlPr xmlns="http://schemas.microsoft.com/office/spreadsheetml/2009/9/main" objectType="CheckBox" fmlaLink="$R$431" lockText="1"/>
</file>

<file path=xl/ctrlProps/ctrlProp383.xml><?xml version="1.0" encoding="utf-8"?>
<formControlPr xmlns="http://schemas.microsoft.com/office/spreadsheetml/2009/9/main" objectType="CheckBox" fmlaLink="$R$432" lockText="1"/>
</file>

<file path=xl/ctrlProps/ctrlProp384.xml><?xml version="1.0" encoding="utf-8"?>
<formControlPr xmlns="http://schemas.microsoft.com/office/spreadsheetml/2009/9/main" objectType="CheckBox" fmlaLink="$R$433" lockText="1"/>
</file>

<file path=xl/ctrlProps/ctrlProp385.xml><?xml version="1.0" encoding="utf-8"?>
<formControlPr xmlns="http://schemas.microsoft.com/office/spreadsheetml/2009/9/main" objectType="CheckBox" fmlaLink="$R$434" lockText="1"/>
</file>

<file path=xl/ctrlProps/ctrlProp386.xml><?xml version="1.0" encoding="utf-8"?>
<formControlPr xmlns="http://schemas.microsoft.com/office/spreadsheetml/2009/9/main" objectType="CheckBox" fmlaLink="$R$435" lockText="1"/>
</file>

<file path=xl/ctrlProps/ctrlProp387.xml><?xml version="1.0" encoding="utf-8"?>
<formControlPr xmlns="http://schemas.microsoft.com/office/spreadsheetml/2009/9/main" objectType="CheckBox" fmlaLink="$R$436" lockText="1"/>
</file>

<file path=xl/ctrlProps/ctrlProp388.xml><?xml version="1.0" encoding="utf-8"?>
<formControlPr xmlns="http://schemas.microsoft.com/office/spreadsheetml/2009/9/main" objectType="CheckBox" fmlaLink="$R$244" lockText="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CheckBox" fmlaLink="$R$455" lockText="1"/>
</file>

<file path=xl/ctrlProps/ctrlProp390.xml><?xml version="1.0" encoding="utf-8"?>
<formControlPr xmlns="http://schemas.microsoft.com/office/spreadsheetml/2009/9/main" objectType="Radio" firstButton="1" fmlaLink="$Z$296" lockText="1"/>
</file>

<file path=xl/ctrlProps/ctrlProp391.xml><?xml version="1.0" encoding="utf-8"?>
<formControlPr xmlns="http://schemas.microsoft.com/office/spreadsheetml/2009/9/main" objectType="Radio" lockText="1"/>
</file>

<file path=xl/ctrlProps/ctrlProp392.xml><?xml version="1.0" encoding="utf-8"?>
<formControlPr xmlns="http://schemas.microsoft.com/office/spreadsheetml/2009/9/main" objectType="Radio" lockText="1"/>
</file>

<file path=xl/ctrlProps/ctrlProp393.xml><?xml version="1.0" encoding="utf-8"?>
<formControlPr xmlns="http://schemas.microsoft.com/office/spreadsheetml/2009/9/main" objectType="Radio" lockText="1"/>
</file>

<file path=xl/ctrlProps/ctrlProp394.xml><?xml version="1.0" encoding="utf-8"?>
<formControlPr xmlns="http://schemas.microsoft.com/office/spreadsheetml/2009/9/main" objectType="Radio" lockText="1"/>
</file>

<file path=xl/ctrlProps/ctrlProp395.xml><?xml version="1.0" encoding="utf-8"?>
<formControlPr xmlns="http://schemas.microsoft.com/office/spreadsheetml/2009/9/main" objectType="Radio" lockText="1"/>
</file>

<file path=xl/ctrlProps/ctrlProp396.xml><?xml version="1.0" encoding="utf-8"?>
<formControlPr xmlns="http://schemas.microsoft.com/office/spreadsheetml/2009/9/main" objectType="Radio" checked="Checked" lockText="1"/>
</file>

<file path=xl/ctrlProps/ctrlProp397.xml><?xml version="1.0" encoding="utf-8"?>
<formControlPr xmlns="http://schemas.microsoft.com/office/spreadsheetml/2009/9/main" objectType="GBox" noThreeD="1"/>
</file>

<file path=xl/ctrlProps/ctrlProp398.xml><?xml version="1.0" encoding="utf-8"?>
<formControlPr xmlns="http://schemas.microsoft.com/office/spreadsheetml/2009/9/main" objectType="Radio" firstButton="1" fmlaLink="$Z$295" lockText="1"/>
</file>

<file path=xl/ctrlProps/ctrlProp399.xml><?xml version="1.0" encoding="utf-8"?>
<formControlPr xmlns="http://schemas.microsoft.com/office/spreadsheetml/2009/9/main" objectType="Radio" checked="Checked" lockText="1"/>
</file>

<file path=xl/ctrlProps/ctrlProp4.xml><?xml version="1.0" encoding="utf-8"?>
<formControlPr xmlns="http://schemas.microsoft.com/office/spreadsheetml/2009/9/main" objectType="CheckBox" checked="Checked" fmlaLink="$S$44" lockText="1"/>
</file>

<file path=xl/ctrlProps/ctrlProp40.xml><?xml version="1.0" encoding="utf-8"?>
<formControlPr xmlns="http://schemas.microsoft.com/office/spreadsheetml/2009/9/main" objectType="CheckBox" fmlaLink="$R$456" lockText="1"/>
</file>

<file path=xl/ctrlProps/ctrlProp400.xml><?xml version="1.0" encoding="utf-8"?>
<formControlPr xmlns="http://schemas.microsoft.com/office/spreadsheetml/2009/9/main" objectType="Radio" lockText="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Radio" firstButton="1" fmlaLink="$Z$297" lockText="1"/>
</file>

<file path=xl/ctrlProps/ctrlProp403.xml><?xml version="1.0" encoding="utf-8"?>
<formControlPr xmlns="http://schemas.microsoft.com/office/spreadsheetml/2009/9/main" objectType="Radio" checked="Checked" lockText="1"/>
</file>

<file path=xl/ctrlProps/ctrlProp404.xml><?xml version="1.0" encoding="utf-8"?>
<formControlPr xmlns="http://schemas.microsoft.com/office/spreadsheetml/2009/9/main" objectType="Radio" lockText="1"/>
</file>

<file path=xl/ctrlProps/ctrlProp405.xml><?xml version="1.0" encoding="utf-8"?>
<formControlPr xmlns="http://schemas.microsoft.com/office/spreadsheetml/2009/9/main" objectType="Radio" lockText="1"/>
</file>

<file path=xl/ctrlProps/ctrlProp406.xml><?xml version="1.0" encoding="utf-8"?>
<formControlPr xmlns="http://schemas.microsoft.com/office/spreadsheetml/2009/9/main" objectType="Radio" lockText="1"/>
</file>

<file path=xl/ctrlProps/ctrlProp407.xml><?xml version="1.0" encoding="utf-8"?>
<formControlPr xmlns="http://schemas.microsoft.com/office/spreadsheetml/2009/9/main" objectType="Radio" lockText="1"/>
</file>

<file path=xl/ctrlProps/ctrlProp408.xml><?xml version="1.0" encoding="utf-8"?>
<formControlPr xmlns="http://schemas.microsoft.com/office/spreadsheetml/2009/9/main" objectType="Radio" lockText="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CheckBox" fmlaLink="$R$457" lockText="1"/>
</file>

<file path=xl/ctrlProps/ctrlProp410.xml><?xml version="1.0" encoding="utf-8"?>
<formControlPr xmlns="http://schemas.microsoft.com/office/spreadsheetml/2009/9/main" objectType="Radio" checked="Checked" firstButton="1" fmlaLink="$S$247" lockText="1"/>
</file>

<file path=xl/ctrlProps/ctrlProp411.xml><?xml version="1.0" encoding="utf-8"?>
<formControlPr xmlns="http://schemas.microsoft.com/office/spreadsheetml/2009/9/main" objectType="Radio" lockText="1"/>
</file>

<file path=xl/ctrlProps/ctrlProp412.xml><?xml version="1.0" encoding="utf-8"?>
<formControlPr xmlns="http://schemas.microsoft.com/office/spreadsheetml/2009/9/main" objectType="Radio" lockText="1"/>
</file>

<file path=xl/ctrlProps/ctrlProp413.xml><?xml version="1.0" encoding="utf-8"?>
<formControlPr xmlns="http://schemas.microsoft.com/office/spreadsheetml/2009/9/main" objectType="GBox" noThreeD="1"/>
</file>

<file path=xl/ctrlProps/ctrlProp414.xml><?xml version="1.0" encoding="utf-8"?>
<formControlPr xmlns="http://schemas.microsoft.com/office/spreadsheetml/2009/9/main" objectType="Radio" firstButton="1" fmlaLink="$S$254" lockText="1"/>
</file>

<file path=xl/ctrlProps/ctrlProp415.xml><?xml version="1.0" encoding="utf-8"?>
<formControlPr xmlns="http://schemas.microsoft.com/office/spreadsheetml/2009/9/main" objectType="Radio" checked="Checked" lockText="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Radio" firstButton="1" fmlaLink="$S$267" lockText="1"/>
</file>

<file path=xl/ctrlProps/ctrlProp418.xml><?xml version="1.0" encoding="utf-8"?>
<formControlPr xmlns="http://schemas.microsoft.com/office/spreadsheetml/2009/9/main" objectType="Radio" checked="Checked" lockText="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CheckBox" fmlaLink="$R$460" lockText="1"/>
</file>

<file path=xl/ctrlProps/ctrlProp420.xml><?xml version="1.0" encoding="utf-8"?>
<formControlPr xmlns="http://schemas.microsoft.com/office/spreadsheetml/2009/9/main" objectType="Radio" checked="Checked" firstButton="1" fmlaLink="$R$404" lockText="1"/>
</file>

<file path=xl/ctrlProps/ctrlProp421.xml><?xml version="1.0" encoding="utf-8"?>
<formControlPr xmlns="http://schemas.microsoft.com/office/spreadsheetml/2009/9/main" objectType="Radio" lockText="1"/>
</file>

<file path=xl/ctrlProps/ctrlProp422.xml><?xml version="1.0" encoding="utf-8"?>
<formControlPr xmlns="http://schemas.microsoft.com/office/spreadsheetml/2009/9/main" objectType="Radio" lockText="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Radio" firstButton="1" fmlaLink="$R$426" lockText="1"/>
</file>

<file path=xl/ctrlProps/ctrlProp425.xml><?xml version="1.0" encoding="utf-8"?>
<formControlPr xmlns="http://schemas.microsoft.com/office/spreadsheetml/2009/9/main" objectType="Radio" lockText="1"/>
</file>

<file path=xl/ctrlProps/ctrlProp426.xml><?xml version="1.0" encoding="utf-8"?>
<formControlPr xmlns="http://schemas.microsoft.com/office/spreadsheetml/2009/9/main" objectType="Radio" lockText="1"/>
</file>

<file path=xl/ctrlProps/ctrlProp427.xml><?xml version="1.0" encoding="utf-8"?>
<formControlPr xmlns="http://schemas.microsoft.com/office/spreadsheetml/2009/9/main" objectType="Radio" lockText="1"/>
</file>

<file path=xl/ctrlProps/ctrlProp428.xml><?xml version="1.0" encoding="utf-8"?>
<formControlPr xmlns="http://schemas.microsoft.com/office/spreadsheetml/2009/9/main" objectType="Radio" checked="Checked" lockText="1"/>
</file>

<file path=xl/ctrlProps/ctrlProp429.xml><?xml version="1.0" encoding="utf-8"?>
<formControlPr xmlns="http://schemas.microsoft.com/office/spreadsheetml/2009/9/main" objectType="GBox" noThreeD="1"/>
</file>

<file path=xl/ctrlProps/ctrlProp43.xml><?xml version="1.0" encoding="utf-8"?>
<formControlPr xmlns="http://schemas.microsoft.com/office/spreadsheetml/2009/9/main" objectType="CheckBox" fmlaLink="$R$461" lockText="1"/>
</file>

<file path=xl/ctrlProps/ctrlProp430.xml><?xml version="1.0" encoding="utf-8"?>
<formControlPr xmlns="http://schemas.microsoft.com/office/spreadsheetml/2009/9/main" objectType="Radio" firstButton="1" fmlaLink="$R$439" lockText="1"/>
</file>

<file path=xl/ctrlProps/ctrlProp431.xml><?xml version="1.0" encoding="utf-8"?>
<formControlPr xmlns="http://schemas.microsoft.com/office/spreadsheetml/2009/9/main" objectType="Radio" checked="Checked" lockText="1"/>
</file>

<file path=xl/ctrlProps/ctrlProp432.xml><?xml version="1.0" encoding="utf-8"?>
<formControlPr xmlns="http://schemas.microsoft.com/office/spreadsheetml/2009/9/main" objectType="GBox" noThreeD="1"/>
</file>

<file path=xl/ctrlProps/ctrlProp433.xml><?xml version="1.0" encoding="utf-8"?>
<formControlPr xmlns="http://schemas.microsoft.com/office/spreadsheetml/2009/9/main" objectType="Radio" firstButton="1" fmlaLink="$R$443" lockText="1"/>
</file>

<file path=xl/ctrlProps/ctrlProp434.xml><?xml version="1.0" encoding="utf-8"?>
<formControlPr xmlns="http://schemas.microsoft.com/office/spreadsheetml/2009/9/main" objectType="Radio" checked="Checked" lockText="1"/>
</file>

<file path=xl/ctrlProps/ctrlProp435.xml><?xml version="1.0" encoding="utf-8"?>
<formControlPr xmlns="http://schemas.microsoft.com/office/spreadsheetml/2009/9/main" objectType="GBox" noThreeD="1"/>
</file>

<file path=xl/ctrlProps/ctrlProp436.xml><?xml version="1.0" encoding="utf-8"?>
<formControlPr xmlns="http://schemas.microsoft.com/office/spreadsheetml/2009/9/main" objectType="Radio" checked="Checked" firstButton="1" fmlaLink="$R$373" lockText="1"/>
</file>

<file path=xl/ctrlProps/ctrlProp437.xml><?xml version="1.0" encoding="utf-8"?>
<formControlPr xmlns="http://schemas.microsoft.com/office/spreadsheetml/2009/9/main" objectType="Radio" lockText="1"/>
</file>

<file path=xl/ctrlProps/ctrlProp438.xml><?xml version="1.0" encoding="utf-8"?>
<formControlPr xmlns="http://schemas.microsoft.com/office/spreadsheetml/2009/9/main" objectType="CheckBox" fmlaLink="$R$281" lockText="1"/>
</file>

<file path=xl/ctrlProps/ctrlProp439.xml><?xml version="1.0" encoding="utf-8"?>
<formControlPr xmlns="http://schemas.microsoft.com/office/spreadsheetml/2009/9/main" objectType="CheckBox" fmlaLink="$R$282" lockText="1"/>
</file>

<file path=xl/ctrlProps/ctrlProp44.xml><?xml version="1.0" encoding="utf-8"?>
<formControlPr xmlns="http://schemas.microsoft.com/office/spreadsheetml/2009/9/main" objectType="CheckBox" fmlaLink="$R$462" lockText="1"/>
</file>

<file path=xl/ctrlProps/ctrlProp440.xml><?xml version="1.0" encoding="utf-8"?>
<formControlPr xmlns="http://schemas.microsoft.com/office/spreadsheetml/2009/9/main" objectType="CheckBox" fmlaLink="$R$283" lockText="1"/>
</file>

<file path=xl/ctrlProps/ctrlProp441.xml><?xml version="1.0" encoding="utf-8"?>
<formControlPr xmlns="http://schemas.microsoft.com/office/spreadsheetml/2009/9/main" objectType="CheckBox" fmlaLink="$R$284" lockText="1"/>
</file>

<file path=xl/ctrlProps/ctrlProp442.xml><?xml version="1.0" encoding="utf-8"?>
<formControlPr xmlns="http://schemas.microsoft.com/office/spreadsheetml/2009/9/main" objectType="CheckBox" fmlaLink="$R$285" lockText="1"/>
</file>

<file path=xl/ctrlProps/ctrlProp443.xml><?xml version="1.0" encoding="utf-8"?>
<formControlPr xmlns="http://schemas.microsoft.com/office/spreadsheetml/2009/9/main" objectType="CheckBox" fmlaLink="$R$287" lockText="1"/>
</file>

<file path=xl/ctrlProps/ctrlProp444.xml><?xml version="1.0" encoding="utf-8"?>
<formControlPr xmlns="http://schemas.microsoft.com/office/spreadsheetml/2009/9/main" objectType="CheckBox" fmlaLink="$R$288" lockText="1"/>
</file>

<file path=xl/ctrlProps/ctrlProp445.xml><?xml version="1.0" encoding="utf-8"?>
<formControlPr xmlns="http://schemas.microsoft.com/office/spreadsheetml/2009/9/main" objectType="CheckBox" fmlaLink="$R$289" lockText="1"/>
</file>

<file path=xl/ctrlProps/ctrlProp446.xml><?xml version="1.0" encoding="utf-8"?>
<formControlPr xmlns="http://schemas.microsoft.com/office/spreadsheetml/2009/9/main" objectType="CheckBox" fmlaLink="$R$290" lockText="1"/>
</file>

<file path=xl/ctrlProps/ctrlProp447.xml><?xml version="1.0" encoding="utf-8"?>
<formControlPr xmlns="http://schemas.microsoft.com/office/spreadsheetml/2009/9/main" objectType="CheckBox" fmlaLink="$R$291" lockText="1"/>
</file>

<file path=xl/ctrlProps/ctrlProp448.xml><?xml version="1.0" encoding="utf-8"?>
<formControlPr xmlns="http://schemas.microsoft.com/office/spreadsheetml/2009/9/main" objectType="CheckBox" fmlaLink="$R$293" lockText="1"/>
</file>

<file path=xl/ctrlProps/ctrlProp449.xml><?xml version="1.0" encoding="utf-8"?>
<formControlPr xmlns="http://schemas.microsoft.com/office/spreadsheetml/2009/9/main" objectType="CheckBox" fmlaLink="$R$294" lockText="1"/>
</file>

<file path=xl/ctrlProps/ctrlProp45.xml><?xml version="1.0" encoding="utf-8"?>
<formControlPr xmlns="http://schemas.microsoft.com/office/spreadsheetml/2009/9/main" objectType="CheckBox" fmlaLink="$R$463" lockText="1"/>
</file>

<file path=xl/ctrlProps/ctrlProp450.xml><?xml version="1.0" encoding="utf-8"?>
<formControlPr xmlns="http://schemas.microsoft.com/office/spreadsheetml/2009/9/main" objectType="CheckBox" fmlaLink="$R$295" lockText="1"/>
</file>

<file path=xl/ctrlProps/ctrlProp451.xml><?xml version="1.0" encoding="utf-8"?>
<formControlPr xmlns="http://schemas.microsoft.com/office/spreadsheetml/2009/9/main" objectType="CheckBox" fmlaLink="$R$296" lockText="1"/>
</file>

<file path=xl/ctrlProps/ctrlProp452.xml><?xml version="1.0" encoding="utf-8"?>
<formControlPr xmlns="http://schemas.microsoft.com/office/spreadsheetml/2009/9/main" objectType="CheckBox" fmlaLink="$R$297" lockText="1"/>
</file>

<file path=xl/ctrlProps/ctrlProp453.xml><?xml version="1.0" encoding="utf-8"?>
<formControlPr xmlns="http://schemas.microsoft.com/office/spreadsheetml/2009/9/main" objectType="CheckBox" fmlaLink="$R$301" lockText="1"/>
</file>

<file path=xl/ctrlProps/ctrlProp454.xml><?xml version="1.0" encoding="utf-8"?>
<formControlPr xmlns="http://schemas.microsoft.com/office/spreadsheetml/2009/9/main" objectType="CheckBox" fmlaLink="$R$302" lockText="1"/>
</file>

<file path=xl/ctrlProps/ctrlProp455.xml><?xml version="1.0" encoding="utf-8"?>
<formControlPr xmlns="http://schemas.microsoft.com/office/spreadsheetml/2009/9/main" objectType="CheckBox" fmlaLink="$R$309" lockText="1"/>
</file>

<file path=xl/ctrlProps/ctrlProp456.xml><?xml version="1.0" encoding="utf-8"?>
<formControlPr xmlns="http://schemas.microsoft.com/office/spreadsheetml/2009/9/main" objectType="CheckBox" fmlaLink="$R$310" lockText="1"/>
</file>

<file path=xl/ctrlProps/ctrlProp457.xml><?xml version="1.0" encoding="utf-8"?>
<formControlPr xmlns="http://schemas.microsoft.com/office/spreadsheetml/2009/9/main" objectType="CheckBox" fmlaLink="$R$311" lockText="1"/>
</file>

<file path=xl/ctrlProps/ctrlProp458.xml><?xml version="1.0" encoding="utf-8"?>
<formControlPr xmlns="http://schemas.microsoft.com/office/spreadsheetml/2009/9/main" objectType="CheckBox" fmlaLink="$R$312" lockText="1"/>
</file>

<file path=xl/ctrlProps/ctrlProp459.xml><?xml version="1.0" encoding="utf-8"?>
<formControlPr xmlns="http://schemas.microsoft.com/office/spreadsheetml/2009/9/main" objectType="CheckBox" fmlaLink="$R$313" lockText="1"/>
</file>

<file path=xl/ctrlProps/ctrlProp46.xml><?xml version="1.0" encoding="utf-8"?>
<formControlPr xmlns="http://schemas.microsoft.com/office/spreadsheetml/2009/9/main" objectType="CheckBox" fmlaLink="$R$464" lockText="1"/>
</file>

<file path=xl/ctrlProps/ctrlProp460.xml><?xml version="1.0" encoding="utf-8"?>
<formControlPr xmlns="http://schemas.microsoft.com/office/spreadsheetml/2009/9/main" objectType="CheckBox" fmlaLink="$R$314" lockText="1"/>
</file>

<file path=xl/ctrlProps/ctrlProp461.xml><?xml version="1.0" encoding="utf-8"?>
<formControlPr xmlns="http://schemas.microsoft.com/office/spreadsheetml/2009/9/main" objectType="CheckBox" fmlaLink="$R$315" lockText="1"/>
</file>

<file path=xl/ctrlProps/ctrlProp462.xml><?xml version="1.0" encoding="utf-8"?>
<formControlPr xmlns="http://schemas.microsoft.com/office/spreadsheetml/2009/9/main" objectType="CheckBox" fmlaLink="$R$316" lockText="1"/>
</file>

<file path=xl/ctrlProps/ctrlProp463.xml><?xml version="1.0" encoding="utf-8"?>
<formControlPr xmlns="http://schemas.microsoft.com/office/spreadsheetml/2009/9/main" objectType="CheckBox" fmlaLink="$R$317" lockText="1"/>
</file>

<file path=xl/ctrlProps/ctrlProp464.xml><?xml version="1.0" encoding="utf-8"?>
<formControlPr xmlns="http://schemas.microsoft.com/office/spreadsheetml/2009/9/main" objectType="CheckBox" fmlaLink="$R$319" lockText="1"/>
</file>

<file path=xl/ctrlProps/ctrlProp465.xml><?xml version="1.0" encoding="utf-8"?>
<formControlPr xmlns="http://schemas.microsoft.com/office/spreadsheetml/2009/9/main" objectType="CheckBox" fmlaLink="$R$321" lockText="1"/>
</file>

<file path=xl/ctrlProps/ctrlProp466.xml><?xml version="1.0" encoding="utf-8"?>
<formControlPr xmlns="http://schemas.microsoft.com/office/spreadsheetml/2009/9/main" objectType="CheckBox" fmlaLink="$R$322" lockText="1"/>
</file>

<file path=xl/ctrlProps/ctrlProp467.xml><?xml version="1.0" encoding="utf-8"?>
<formControlPr xmlns="http://schemas.microsoft.com/office/spreadsheetml/2009/9/main" objectType="CheckBox" fmlaLink="$R$323" lockText="1"/>
</file>

<file path=xl/ctrlProps/ctrlProp468.xml><?xml version="1.0" encoding="utf-8"?>
<formControlPr xmlns="http://schemas.microsoft.com/office/spreadsheetml/2009/9/main" objectType="CheckBox" fmlaLink="$R$324" lockText="1"/>
</file>

<file path=xl/ctrlProps/ctrlProp469.xml><?xml version="1.0" encoding="utf-8"?>
<formControlPr xmlns="http://schemas.microsoft.com/office/spreadsheetml/2009/9/main" objectType="CheckBox" fmlaLink="$R$325" lockText="1"/>
</file>

<file path=xl/ctrlProps/ctrlProp47.xml><?xml version="1.0" encoding="utf-8"?>
<formControlPr xmlns="http://schemas.microsoft.com/office/spreadsheetml/2009/9/main" objectType="CheckBox" fmlaLink="$R$475" lockText="1"/>
</file>

<file path=xl/ctrlProps/ctrlProp470.xml><?xml version="1.0" encoding="utf-8"?>
<formControlPr xmlns="http://schemas.microsoft.com/office/spreadsheetml/2009/9/main" objectType="CheckBox" fmlaLink="$R$326" lockText="1"/>
</file>

<file path=xl/ctrlProps/ctrlProp471.xml><?xml version="1.0" encoding="utf-8"?>
<formControlPr xmlns="http://schemas.microsoft.com/office/spreadsheetml/2009/9/main" objectType="CheckBox" fmlaLink="$R$327" lockText="1"/>
</file>

<file path=xl/ctrlProps/ctrlProp472.xml><?xml version="1.0" encoding="utf-8"?>
<formControlPr xmlns="http://schemas.microsoft.com/office/spreadsheetml/2009/9/main" objectType="CheckBox" fmlaLink="$R$330" lockText="1"/>
</file>

<file path=xl/ctrlProps/ctrlProp473.xml><?xml version="1.0" encoding="utf-8"?>
<formControlPr xmlns="http://schemas.microsoft.com/office/spreadsheetml/2009/9/main" objectType="CheckBox" fmlaLink="$R$331" lockText="1"/>
</file>

<file path=xl/ctrlProps/ctrlProp474.xml><?xml version="1.0" encoding="utf-8"?>
<formControlPr xmlns="http://schemas.microsoft.com/office/spreadsheetml/2009/9/main" objectType="CheckBox" fmlaLink="$R$332" lockText="1"/>
</file>

<file path=xl/ctrlProps/ctrlProp475.xml><?xml version="1.0" encoding="utf-8"?>
<formControlPr xmlns="http://schemas.microsoft.com/office/spreadsheetml/2009/9/main" objectType="CheckBox" fmlaLink="$R$333" lockText="1"/>
</file>

<file path=xl/ctrlProps/ctrlProp476.xml><?xml version="1.0" encoding="utf-8"?>
<formControlPr xmlns="http://schemas.microsoft.com/office/spreadsheetml/2009/9/main" objectType="CheckBox" fmlaLink="$R$334" lockText="1"/>
</file>

<file path=xl/ctrlProps/ctrlProp477.xml><?xml version="1.0" encoding="utf-8"?>
<formControlPr xmlns="http://schemas.microsoft.com/office/spreadsheetml/2009/9/main" objectType="CheckBox" fmlaLink="$R$336" lockText="1"/>
</file>

<file path=xl/ctrlProps/ctrlProp478.xml><?xml version="1.0" encoding="utf-8"?>
<formControlPr xmlns="http://schemas.microsoft.com/office/spreadsheetml/2009/9/main" objectType="CheckBox" fmlaLink="$R$298" lockText="1"/>
</file>

<file path=xl/ctrlProps/ctrlProp479.xml><?xml version="1.0" encoding="utf-8"?>
<formControlPr xmlns="http://schemas.microsoft.com/office/spreadsheetml/2009/9/main" objectType="CheckBox" fmlaLink="$R$308" lockText="1"/>
</file>

<file path=xl/ctrlProps/ctrlProp48.xml><?xml version="1.0" encoding="utf-8"?>
<formControlPr xmlns="http://schemas.microsoft.com/office/spreadsheetml/2009/9/main" objectType="CheckBox" fmlaLink="$R$476" lockText="1"/>
</file>

<file path=xl/ctrlProps/ctrlProp480.xml><?xml version="1.0" encoding="utf-8"?>
<formControlPr xmlns="http://schemas.microsoft.com/office/spreadsheetml/2009/9/main" objectType="CheckBox" fmlaLink="$R$300" lockText="1"/>
</file>

<file path=xl/ctrlProps/ctrlProp481.xml><?xml version="1.0" encoding="utf-8"?>
<formControlPr xmlns="http://schemas.microsoft.com/office/spreadsheetml/2009/9/main" objectType="CheckBox" fmlaLink="$R$329" lockText="1"/>
</file>

<file path=xl/ctrlProps/ctrlProp482.xml><?xml version="1.0" encoding="utf-8"?>
<formControlPr xmlns="http://schemas.microsoft.com/office/spreadsheetml/2009/9/main" objectType="CheckBox" fmlaLink="$S$68" lockText="1"/>
</file>

<file path=xl/ctrlProps/ctrlProp483.xml><?xml version="1.0" encoding="utf-8"?>
<formControlPr xmlns="http://schemas.microsoft.com/office/spreadsheetml/2009/9/main" objectType="CheckBox" fmlaLink="$S$69" lockText="1"/>
</file>

<file path=xl/ctrlProps/ctrlProp484.xml><?xml version="1.0" encoding="utf-8"?>
<formControlPr xmlns="http://schemas.microsoft.com/office/spreadsheetml/2009/9/main" objectType="CheckBox" fmlaLink="$S$70" lockText="1"/>
</file>

<file path=xl/ctrlProps/ctrlProp485.xml><?xml version="1.0" encoding="utf-8"?>
<formControlPr xmlns="http://schemas.microsoft.com/office/spreadsheetml/2009/9/main" objectType="CheckBox" fmlaLink="$S$108" lockText="1"/>
</file>

<file path=xl/ctrlProps/ctrlProp486.xml><?xml version="1.0" encoding="utf-8"?>
<formControlPr xmlns="http://schemas.microsoft.com/office/spreadsheetml/2009/9/main" objectType="CheckBox" fmlaLink="$S$109" lockText="1"/>
</file>

<file path=xl/ctrlProps/ctrlProp487.xml><?xml version="1.0" encoding="utf-8"?>
<formControlPr xmlns="http://schemas.microsoft.com/office/spreadsheetml/2009/9/main" objectType="CheckBox" fmlaLink="$S$110" lockText="1"/>
</file>

<file path=xl/ctrlProps/ctrlProp488.xml><?xml version="1.0" encoding="utf-8"?>
<formControlPr xmlns="http://schemas.microsoft.com/office/spreadsheetml/2009/9/main" objectType="CheckBox" fmlaLink="$S$148" lockText="1"/>
</file>

<file path=xl/ctrlProps/ctrlProp489.xml><?xml version="1.0" encoding="utf-8"?>
<formControlPr xmlns="http://schemas.microsoft.com/office/spreadsheetml/2009/9/main" objectType="CheckBox" fmlaLink="$S$149" lockText="1"/>
</file>

<file path=xl/ctrlProps/ctrlProp49.xml><?xml version="1.0" encoding="utf-8"?>
<formControlPr xmlns="http://schemas.microsoft.com/office/spreadsheetml/2009/9/main" objectType="CheckBox" fmlaLink="$R$491" lockText="1"/>
</file>

<file path=xl/ctrlProps/ctrlProp490.xml><?xml version="1.0" encoding="utf-8"?>
<formControlPr xmlns="http://schemas.microsoft.com/office/spreadsheetml/2009/9/main" objectType="CheckBox" fmlaLink="$S$150" lockText="1"/>
</file>

<file path=xl/ctrlProps/ctrlProp491.xml><?xml version="1.0" encoding="utf-8"?>
<formControlPr xmlns="http://schemas.microsoft.com/office/spreadsheetml/2009/9/main" objectType="CheckBox" fmlaLink="$S$188" lockText="1"/>
</file>

<file path=xl/ctrlProps/ctrlProp492.xml><?xml version="1.0" encoding="utf-8"?>
<formControlPr xmlns="http://schemas.microsoft.com/office/spreadsheetml/2009/9/main" objectType="CheckBox" fmlaLink="$S$189" lockText="1"/>
</file>

<file path=xl/ctrlProps/ctrlProp493.xml><?xml version="1.0" encoding="utf-8"?>
<formControlPr xmlns="http://schemas.microsoft.com/office/spreadsheetml/2009/9/main" objectType="CheckBox" fmlaLink="$S$190" lockText="1"/>
</file>

<file path=xl/ctrlProps/ctrlProp494.xml><?xml version="1.0" encoding="utf-8"?>
<formControlPr xmlns="http://schemas.microsoft.com/office/spreadsheetml/2009/9/main" objectType="CheckBox" fmlaLink="$S$69" lockText="1"/>
</file>

<file path=xl/ctrlProps/ctrlProp495.xml><?xml version="1.0" encoding="utf-8"?>
<formControlPr xmlns="http://schemas.microsoft.com/office/spreadsheetml/2009/9/main" objectType="CheckBox" fmlaLink="$S$70" lockText="1"/>
</file>

<file path=xl/ctrlProps/ctrlProp496.xml><?xml version="1.0" encoding="utf-8"?>
<formControlPr xmlns="http://schemas.microsoft.com/office/spreadsheetml/2009/9/main" objectType="CheckBox" fmlaLink="$S$30" lockText="1"/>
</file>

<file path=xl/ctrlProps/ctrlProp497.xml><?xml version="1.0" encoding="utf-8"?>
<formControlPr xmlns="http://schemas.microsoft.com/office/spreadsheetml/2009/9/main" objectType="CheckBox" fmlaLink="$S$31" lockText="1"/>
</file>

<file path=xl/ctrlProps/ctrlProp498.xml><?xml version="1.0" encoding="utf-8"?>
<formControlPr xmlns="http://schemas.microsoft.com/office/spreadsheetml/2009/9/main" objectType="CheckBox" fmlaLink="$R$208" lockText="1"/>
</file>

<file path=xl/ctrlProps/ctrlProp499.xml><?xml version="1.0" encoding="utf-8"?>
<formControlPr xmlns="http://schemas.microsoft.com/office/spreadsheetml/2009/9/main" objectType="CheckBox" fmlaLink="$R$209" lockText="1"/>
</file>

<file path=xl/ctrlProps/ctrlProp5.xml><?xml version="1.0" encoding="utf-8"?>
<formControlPr xmlns="http://schemas.microsoft.com/office/spreadsheetml/2009/9/main" objectType="CheckBox" fmlaLink="$S$45" lockText="1"/>
</file>

<file path=xl/ctrlProps/ctrlProp50.xml><?xml version="1.0" encoding="utf-8"?>
<formControlPr xmlns="http://schemas.microsoft.com/office/spreadsheetml/2009/9/main" objectType="CheckBox" fmlaLink="$R$467" lockText="1"/>
</file>

<file path=xl/ctrlProps/ctrlProp500.xml><?xml version="1.0" encoding="utf-8"?>
<formControlPr xmlns="http://schemas.microsoft.com/office/spreadsheetml/2009/9/main" objectType="CheckBox" fmlaLink="$R$210" lockText="1"/>
</file>

<file path=xl/ctrlProps/ctrlProp501.xml><?xml version="1.0" encoding="utf-8"?>
<formControlPr xmlns="http://schemas.microsoft.com/office/spreadsheetml/2009/9/main" objectType="CheckBox" fmlaLink="$R$211" lockText="1"/>
</file>

<file path=xl/ctrlProps/ctrlProp502.xml><?xml version="1.0" encoding="utf-8"?>
<formControlPr xmlns="http://schemas.microsoft.com/office/spreadsheetml/2009/9/main" objectType="CheckBox" fmlaLink="$R$212" lockText="1"/>
</file>

<file path=xl/ctrlProps/ctrlProp503.xml><?xml version="1.0" encoding="utf-8"?>
<formControlPr xmlns="http://schemas.microsoft.com/office/spreadsheetml/2009/9/main" objectType="CheckBox" fmlaLink="$R$215" lockText="1"/>
</file>

<file path=xl/ctrlProps/ctrlProp504.xml><?xml version="1.0" encoding="utf-8"?>
<formControlPr xmlns="http://schemas.microsoft.com/office/spreadsheetml/2009/9/main" objectType="CheckBox" fmlaLink="$R$216" lockText="1"/>
</file>

<file path=xl/ctrlProps/ctrlProp505.xml><?xml version="1.0" encoding="utf-8"?>
<formControlPr xmlns="http://schemas.microsoft.com/office/spreadsheetml/2009/9/main" objectType="CheckBox" fmlaLink="$R$217" lockText="1"/>
</file>

<file path=xl/ctrlProps/ctrlProp506.xml><?xml version="1.0" encoding="utf-8"?>
<formControlPr xmlns="http://schemas.microsoft.com/office/spreadsheetml/2009/9/main" objectType="CheckBox" fmlaLink="$R$218" lockText="1"/>
</file>

<file path=xl/ctrlProps/ctrlProp507.xml><?xml version="1.0" encoding="utf-8"?>
<formControlPr xmlns="http://schemas.microsoft.com/office/spreadsheetml/2009/9/main" objectType="CheckBox" fmlaLink="$R$219" lockText="1"/>
</file>

<file path=xl/ctrlProps/ctrlProp508.xml><?xml version="1.0" encoding="utf-8"?>
<formControlPr xmlns="http://schemas.microsoft.com/office/spreadsheetml/2009/9/main" objectType="CheckBox" fmlaLink="$R$248" lockText="1"/>
</file>

<file path=xl/ctrlProps/ctrlProp509.xml><?xml version="1.0" encoding="utf-8"?>
<formControlPr xmlns="http://schemas.microsoft.com/office/spreadsheetml/2009/9/main" objectType="CheckBox" fmlaLink="$R$250" lockText="1"/>
</file>

<file path=xl/ctrlProps/ctrlProp51.xml><?xml version="1.0" encoding="utf-8"?>
<formControlPr xmlns="http://schemas.microsoft.com/office/spreadsheetml/2009/9/main" objectType="CheckBox" fmlaLink="$R$490" lockText="1"/>
</file>

<file path=xl/ctrlProps/ctrlProp510.xml><?xml version="1.0" encoding="utf-8"?>
<formControlPr xmlns="http://schemas.microsoft.com/office/spreadsheetml/2009/9/main" objectType="CheckBox" fmlaLink="$R$257" lockText="1"/>
</file>

<file path=xl/ctrlProps/ctrlProp511.xml><?xml version="1.0" encoding="utf-8"?>
<formControlPr xmlns="http://schemas.microsoft.com/office/spreadsheetml/2009/9/main" objectType="CheckBox" fmlaLink="$R$258" lockText="1"/>
</file>

<file path=xl/ctrlProps/ctrlProp512.xml><?xml version="1.0" encoding="utf-8"?>
<formControlPr xmlns="http://schemas.microsoft.com/office/spreadsheetml/2009/9/main" objectType="CheckBox" fmlaLink="$R$259" lockText="1"/>
</file>

<file path=xl/ctrlProps/ctrlProp513.xml><?xml version="1.0" encoding="utf-8"?>
<formControlPr xmlns="http://schemas.microsoft.com/office/spreadsheetml/2009/9/main" objectType="CheckBox" fmlaLink="$R$260" lockText="1"/>
</file>

<file path=xl/ctrlProps/ctrlProp514.xml><?xml version="1.0" encoding="utf-8"?>
<formControlPr xmlns="http://schemas.microsoft.com/office/spreadsheetml/2009/9/main" objectType="CheckBox" fmlaLink="$R$261" lockText="1"/>
</file>

<file path=xl/ctrlProps/ctrlProp515.xml><?xml version="1.0" encoding="utf-8"?>
<formControlPr xmlns="http://schemas.microsoft.com/office/spreadsheetml/2009/9/main" objectType="CheckBox" fmlaLink="$R$262" lockText="1"/>
</file>

<file path=xl/ctrlProps/ctrlProp516.xml><?xml version="1.0" encoding="utf-8"?>
<formControlPr xmlns="http://schemas.microsoft.com/office/spreadsheetml/2009/9/main" objectType="CheckBox" fmlaLink="$R$263" lockText="1"/>
</file>

<file path=xl/ctrlProps/ctrlProp517.xml><?xml version="1.0" encoding="utf-8"?>
<formControlPr xmlns="http://schemas.microsoft.com/office/spreadsheetml/2009/9/main" objectType="CheckBox" fmlaLink="$R$417" lockText="1"/>
</file>

<file path=xl/ctrlProps/ctrlProp518.xml><?xml version="1.0" encoding="utf-8"?>
<formControlPr xmlns="http://schemas.microsoft.com/office/spreadsheetml/2009/9/main" objectType="CheckBox" fmlaLink="$R$418" lockText="1"/>
</file>

<file path=xl/ctrlProps/ctrlProp519.xml><?xml version="1.0" encoding="utf-8"?>
<formControlPr xmlns="http://schemas.microsoft.com/office/spreadsheetml/2009/9/main" objectType="CheckBox" fmlaLink="$R$430" lockText="1"/>
</file>

<file path=xl/ctrlProps/ctrlProp52.xml><?xml version="1.0" encoding="utf-8"?>
<formControlPr xmlns="http://schemas.microsoft.com/office/spreadsheetml/2009/9/main" objectType="CheckBox" fmlaLink="$R$321" lockText="1"/>
</file>

<file path=xl/ctrlProps/ctrlProp520.xml><?xml version="1.0" encoding="utf-8"?>
<formControlPr xmlns="http://schemas.microsoft.com/office/spreadsheetml/2009/9/main" objectType="CheckBox" fmlaLink="$R$431" lockText="1"/>
</file>

<file path=xl/ctrlProps/ctrlProp521.xml><?xml version="1.0" encoding="utf-8"?>
<formControlPr xmlns="http://schemas.microsoft.com/office/spreadsheetml/2009/9/main" objectType="CheckBox" fmlaLink="$R$432" lockText="1"/>
</file>

<file path=xl/ctrlProps/ctrlProp522.xml><?xml version="1.0" encoding="utf-8"?>
<formControlPr xmlns="http://schemas.microsoft.com/office/spreadsheetml/2009/9/main" objectType="CheckBox" fmlaLink="$R$433" lockText="1"/>
</file>

<file path=xl/ctrlProps/ctrlProp523.xml><?xml version="1.0" encoding="utf-8"?>
<formControlPr xmlns="http://schemas.microsoft.com/office/spreadsheetml/2009/9/main" objectType="CheckBox" fmlaLink="$R$434" lockText="1"/>
</file>

<file path=xl/ctrlProps/ctrlProp524.xml><?xml version="1.0" encoding="utf-8"?>
<formControlPr xmlns="http://schemas.microsoft.com/office/spreadsheetml/2009/9/main" objectType="CheckBox" fmlaLink="$R$435" lockText="1"/>
</file>

<file path=xl/ctrlProps/ctrlProp525.xml><?xml version="1.0" encoding="utf-8"?>
<formControlPr xmlns="http://schemas.microsoft.com/office/spreadsheetml/2009/9/main" objectType="CheckBox" fmlaLink="$R$436" lockText="1"/>
</file>

<file path=xl/ctrlProps/ctrlProp526.xml><?xml version="1.0" encoding="utf-8"?>
<formControlPr xmlns="http://schemas.microsoft.com/office/spreadsheetml/2009/9/main" objectType="CheckBox" fmlaLink="$R$244" lockText="1"/>
</file>

<file path=xl/ctrlProps/ctrlProp527.xml><?xml version="1.0" encoding="utf-8"?>
<formControlPr xmlns="http://schemas.microsoft.com/office/spreadsheetml/2009/9/main" objectType="GBox" noThreeD="1"/>
</file>

<file path=xl/ctrlProps/ctrlProp528.xml><?xml version="1.0" encoding="utf-8"?>
<formControlPr xmlns="http://schemas.microsoft.com/office/spreadsheetml/2009/9/main" objectType="Radio" checked="Checked" firstButton="1" fmlaLink="$Z$296" lockText="1"/>
</file>

<file path=xl/ctrlProps/ctrlProp529.xml><?xml version="1.0" encoding="utf-8"?>
<formControlPr xmlns="http://schemas.microsoft.com/office/spreadsheetml/2009/9/main" objectType="Radio" lockText="1"/>
</file>

<file path=xl/ctrlProps/ctrlProp53.xml><?xml version="1.0" encoding="utf-8"?>
<formControlPr xmlns="http://schemas.microsoft.com/office/spreadsheetml/2009/9/main" objectType="GBox" noThreeD="1"/>
</file>

<file path=xl/ctrlProps/ctrlProp530.xml><?xml version="1.0" encoding="utf-8"?>
<formControlPr xmlns="http://schemas.microsoft.com/office/spreadsheetml/2009/9/main" objectType="Radio" lockText="1"/>
</file>

<file path=xl/ctrlProps/ctrlProp531.xml><?xml version="1.0" encoding="utf-8"?>
<formControlPr xmlns="http://schemas.microsoft.com/office/spreadsheetml/2009/9/main" objectType="Radio" lockText="1"/>
</file>

<file path=xl/ctrlProps/ctrlProp532.xml><?xml version="1.0" encoding="utf-8"?>
<formControlPr xmlns="http://schemas.microsoft.com/office/spreadsheetml/2009/9/main" objectType="Radio" lockText="1"/>
</file>

<file path=xl/ctrlProps/ctrlProp533.xml><?xml version="1.0" encoding="utf-8"?>
<formControlPr xmlns="http://schemas.microsoft.com/office/spreadsheetml/2009/9/main" objectType="Radio" lockText="1"/>
</file>

<file path=xl/ctrlProps/ctrlProp534.xml><?xml version="1.0" encoding="utf-8"?>
<formControlPr xmlns="http://schemas.microsoft.com/office/spreadsheetml/2009/9/main" objectType="Radio" firstButton="1" lockText="1"/>
</file>

<file path=xl/ctrlProps/ctrlProp535.xml><?xml version="1.0" encoding="utf-8"?>
<formControlPr xmlns="http://schemas.microsoft.com/office/spreadsheetml/2009/9/main" objectType="GBox" noThreeD="1"/>
</file>

<file path=xl/ctrlProps/ctrlProp536.xml><?xml version="1.0" encoding="utf-8"?>
<formControlPr xmlns="http://schemas.microsoft.com/office/spreadsheetml/2009/9/main" objectType="Radio" checked="Checked" firstButton="1" fmlaLink="$Z$295" lockText="1"/>
</file>

<file path=xl/ctrlProps/ctrlProp537.xml><?xml version="1.0" encoding="utf-8"?>
<formControlPr xmlns="http://schemas.microsoft.com/office/spreadsheetml/2009/9/main" objectType="Radio" lockText="1"/>
</file>

<file path=xl/ctrlProps/ctrlProp538.xml><?xml version="1.0" encoding="utf-8"?>
<formControlPr xmlns="http://schemas.microsoft.com/office/spreadsheetml/2009/9/main" objectType="Radio" lockText="1"/>
</file>

<file path=xl/ctrlProps/ctrlProp539.xml><?xml version="1.0" encoding="utf-8"?>
<formControlPr xmlns="http://schemas.microsoft.com/office/spreadsheetml/2009/9/main" objectType="GBox" noThreeD="1"/>
</file>

<file path=xl/ctrlProps/ctrlProp54.xml><?xml version="1.0" encoding="utf-8"?>
<formControlPr xmlns="http://schemas.microsoft.com/office/spreadsheetml/2009/9/main" objectType="Radio" checked="Checked" firstButton="1" fmlaLink="$Z$460" lockText="1"/>
</file>

<file path=xl/ctrlProps/ctrlProp540.xml><?xml version="1.0" encoding="utf-8"?>
<formControlPr xmlns="http://schemas.microsoft.com/office/spreadsheetml/2009/9/main" objectType="Radio" checked="Checked" firstButton="1" fmlaLink="$Z$297" lockText="1"/>
</file>

<file path=xl/ctrlProps/ctrlProp541.xml><?xml version="1.0" encoding="utf-8"?>
<formControlPr xmlns="http://schemas.microsoft.com/office/spreadsheetml/2009/9/main" objectType="Radio" lockText="1"/>
</file>

<file path=xl/ctrlProps/ctrlProp542.xml><?xml version="1.0" encoding="utf-8"?>
<formControlPr xmlns="http://schemas.microsoft.com/office/spreadsheetml/2009/9/main" objectType="Radio" lockText="1"/>
</file>

<file path=xl/ctrlProps/ctrlProp543.xml><?xml version="1.0" encoding="utf-8"?>
<formControlPr xmlns="http://schemas.microsoft.com/office/spreadsheetml/2009/9/main" objectType="Radio" lockText="1"/>
</file>

<file path=xl/ctrlProps/ctrlProp544.xml><?xml version="1.0" encoding="utf-8"?>
<formControlPr xmlns="http://schemas.microsoft.com/office/spreadsheetml/2009/9/main" objectType="Radio" lockText="1"/>
</file>

<file path=xl/ctrlProps/ctrlProp545.xml><?xml version="1.0" encoding="utf-8"?>
<formControlPr xmlns="http://schemas.microsoft.com/office/spreadsheetml/2009/9/main" objectType="Radio" lockText="1"/>
</file>

<file path=xl/ctrlProps/ctrlProp546.xml><?xml version="1.0" encoding="utf-8"?>
<formControlPr xmlns="http://schemas.microsoft.com/office/spreadsheetml/2009/9/main" objectType="Radio" lockText="1"/>
</file>

<file path=xl/ctrlProps/ctrlProp547.xml><?xml version="1.0" encoding="utf-8"?>
<formControlPr xmlns="http://schemas.microsoft.com/office/spreadsheetml/2009/9/main" objectType="GBox" noThreeD="1"/>
</file>

<file path=xl/ctrlProps/ctrlProp548.xml><?xml version="1.0" encoding="utf-8"?>
<formControlPr xmlns="http://schemas.microsoft.com/office/spreadsheetml/2009/9/main" objectType="Radio" checked="Checked" firstButton="1" fmlaLink="$S$247" lockText="1"/>
</file>

<file path=xl/ctrlProps/ctrlProp549.xml><?xml version="1.0" encoding="utf-8"?>
<formControlPr xmlns="http://schemas.microsoft.com/office/spreadsheetml/2009/9/main" objectType="Radio" lockText="1"/>
</file>

<file path=xl/ctrlProps/ctrlProp55.xml><?xml version="1.0" encoding="utf-8"?>
<formControlPr xmlns="http://schemas.microsoft.com/office/spreadsheetml/2009/9/main" objectType="Radio" lockText="1"/>
</file>

<file path=xl/ctrlProps/ctrlProp550.xml><?xml version="1.0" encoding="utf-8"?>
<formControlPr xmlns="http://schemas.microsoft.com/office/spreadsheetml/2009/9/main" objectType="Radio" lockText="1"/>
</file>

<file path=xl/ctrlProps/ctrlProp551.xml><?xml version="1.0" encoding="utf-8"?>
<formControlPr xmlns="http://schemas.microsoft.com/office/spreadsheetml/2009/9/main" objectType="GBox" noThreeD="1"/>
</file>

<file path=xl/ctrlProps/ctrlProp552.xml><?xml version="1.0" encoding="utf-8"?>
<formControlPr xmlns="http://schemas.microsoft.com/office/spreadsheetml/2009/9/main" objectType="Radio" firstButton="1" fmlaLink="$S$254" lockText="1"/>
</file>

<file path=xl/ctrlProps/ctrlProp553.xml><?xml version="1.0" encoding="utf-8"?>
<formControlPr xmlns="http://schemas.microsoft.com/office/spreadsheetml/2009/9/main" objectType="Radio" checked="Checked" lockText="1"/>
</file>

<file path=xl/ctrlProps/ctrlProp554.xml><?xml version="1.0" encoding="utf-8"?>
<formControlPr xmlns="http://schemas.microsoft.com/office/spreadsheetml/2009/9/main" objectType="GBox" noThreeD="1"/>
</file>

<file path=xl/ctrlProps/ctrlProp555.xml><?xml version="1.0" encoding="utf-8"?>
<formControlPr xmlns="http://schemas.microsoft.com/office/spreadsheetml/2009/9/main" objectType="Radio" firstButton="1" fmlaLink="$S$267" lockText="1"/>
</file>

<file path=xl/ctrlProps/ctrlProp556.xml><?xml version="1.0" encoding="utf-8"?>
<formControlPr xmlns="http://schemas.microsoft.com/office/spreadsheetml/2009/9/main" objectType="Radio" checked="Checked" lockText="1"/>
</file>

<file path=xl/ctrlProps/ctrlProp557.xml><?xml version="1.0" encoding="utf-8"?>
<formControlPr xmlns="http://schemas.microsoft.com/office/spreadsheetml/2009/9/main" objectType="GBox" noThreeD="1"/>
</file>

<file path=xl/ctrlProps/ctrlProp558.xml><?xml version="1.0" encoding="utf-8"?>
<formControlPr xmlns="http://schemas.microsoft.com/office/spreadsheetml/2009/9/main" objectType="Radio" checked="Checked" firstButton="1" fmlaLink="$R$404" lockText="1"/>
</file>

<file path=xl/ctrlProps/ctrlProp559.xml><?xml version="1.0" encoding="utf-8"?>
<formControlPr xmlns="http://schemas.microsoft.com/office/spreadsheetml/2009/9/main" objectType="Radio" lockText="1"/>
</file>

<file path=xl/ctrlProps/ctrlProp56.xml><?xml version="1.0" encoding="utf-8"?>
<formControlPr xmlns="http://schemas.microsoft.com/office/spreadsheetml/2009/9/main" objectType="Radio" lockText="1"/>
</file>

<file path=xl/ctrlProps/ctrlProp560.xml><?xml version="1.0" encoding="utf-8"?>
<formControlPr xmlns="http://schemas.microsoft.com/office/spreadsheetml/2009/9/main" objectType="Radio" lockText="1"/>
</file>

<file path=xl/ctrlProps/ctrlProp561.xml><?xml version="1.0" encoding="utf-8"?>
<formControlPr xmlns="http://schemas.microsoft.com/office/spreadsheetml/2009/9/main" objectType="Radio" checked="Checked" firstButton="1" fmlaLink="$R$413" lockText="1"/>
</file>

<file path=xl/ctrlProps/ctrlProp562.xml><?xml version="1.0" encoding="utf-8"?>
<formControlPr xmlns="http://schemas.microsoft.com/office/spreadsheetml/2009/9/main" objectType="Radio" lockText="1"/>
</file>

<file path=xl/ctrlProps/ctrlProp563.xml><?xml version="1.0" encoding="utf-8"?>
<formControlPr xmlns="http://schemas.microsoft.com/office/spreadsheetml/2009/9/main" objectType="Radio" lockText="1"/>
</file>

<file path=xl/ctrlProps/ctrlProp564.xml><?xml version="1.0" encoding="utf-8"?>
<formControlPr xmlns="http://schemas.microsoft.com/office/spreadsheetml/2009/9/main" objectType="Radio" lockText="1"/>
</file>

<file path=xl/ctrlProps/ctrlProp565.xml><?xml version="1.0" encoding="utf-8"?>
<formControlPr xmlns="http://schemas.microsoft.com/office/spreadsheetml/2009/9/main" objectType="Radio" lockText="1"/>
</file>

<file path=xl/ctrlProps/ctrlProp566.xml><?xml version="1.0" encoding="utf-8"?>
<formControlPr xmlns="http://schemas.microsoft.com/office/spreadsheetml/2009/9/main" objectType="GBox" noThreeD="1"/>
</file>

<file path=xl/ctrlProps/ctrlProp567.xml><?xml version="1.0" encoding="utf-8"?>
<formControlPr xmlns="http://schemas.microsoft.com/office/spreadsheetml/2009/9/main" objectType="GBox" noThreeD="1"/>
</file>

<file path=xl/ctrlProps/ctrlProp568.xml><?xml version="1.0" encoding="utf-8"?>
<formControlPr xmlns="http://schemas.microsoft.com/office/spreadsheetml/2009/9/main" objectType="Radio" firstButton="1" fmlaLink="$R$426" lockText="1"/>
</file>

<file path=xl/ctrlProps/ctrlProp569.xml><?xml version="1.0" encoding="utf-8"?>
<formControlPr xmlns="http://schemas.microsoft.com/office/spreadsheetml/2009/9/main" objectType="Radio" lockText="1"/>
</file>

<file path=xl/ctrlProps/ctrlProp57.xml><?xml version="1.0" encoding="utf-8"?>
<formControlPr xmlns="http://schemas.microsoft.com/office/spreadsheetml/2009/9/main" objectType="CheckBox" fmlaLink="$R$469" lockText="1"/>
</file>

<file path=xl/ctrlProps/ctrlProp570.xml><?xml version="1.0" encoding="utf-8"?>
<formControlPr xmlns="http://schemas.microsoft.com/office/spreadsheetml/2009/9/main" objectType="Radio" lockText="1"/>
</file>

<file path=xl/ctrlProps/ctrlProp571.xml><?xml version="1.0" encoding="utf-8"?>
<formControlPr xmlns="http://schemas.microsoft.com/office/spreadsheetml/2009/9/main" objectType="Radio" lockText="1"/>
</file>

<file path=xl/ctrlProps/ctrlProp572.xml><?xml version="1.0" encoding="utf-8"?>
<formControlPr xmlns="http://schemas.microsoft.com/office/spreadsheetml/2009/9/main" objectType="Radio" checked="Checked" lockText="1"/>
</file>

<file path=xl/ctrlProps/ctrlProp573.xml><?xml version="1.0" encoding="utf-8"?>
<formControlPr xmlns="http://schemas.microsoft.com/office/spreadsheetml/2009/9/main" objectType="GBox" noThreeD="1"/>
</file>

<file path=xl/ctrlProps/ctrlProp574.xml><?xml version="1.0" encoding="utf-8"?>
<formControlPr xmlns="http://schemas.microsoft.com/office/spreadsheetml/2009/9/main" objectType="Radio" firstButton="1" fmlaLink="$R$439" lockText="1"/>
</file>

<file path=xl/ctrlProps/ctrlProp575.xml><?xml version="1.0" encoding="utf-8"?>
<formControlPr xmlns="http://schemas.microsoft.com/office/spreadsheetml/2009/9/main" objectType="Radio" checked="Checked" lockText="1"/>
</file>

<file path=xl/ctrlProps/ctrlProp576.xml><?xml version="1.0" encoding="utf-8"?>
<formControlPr xmlns="http://schemas.microsoft.com/office/spreadsheetml/2009/9/main" objectType="GBox" noThreeD="1"/>
</file>

<file path=xl/ctrlProps/ctrlProp577.xml><?xml version="1.0" encoding="utf-8"?>
<formControlPr xmlns="http://schemas.microsoft.com/office/spreadsheetml/2009/9/main" objectType="Radio" firstButton="1" fmlaLink="$R$443" lockText="1"/>
</file>

<file path=xl/ctrlProps/ctrlProp578.xml><?xml version="1.0" encoding="utf-8"?>
<formControlPr xmlns="http://schemas.microsoft.com/office/spreadsheetml/2009/9/main" objectType="Radio" checked="Checked" lockText="1"/>
</file>

<file path=xl/ctrlProps/ctrlProp579.xml><?xml version="1.0" encoding="utf-8"?>
<formControlPr xmlns="http://schemas.microsoft.com/office/spreadsheetml/2009/9/main" objectType="GBox" noThreeD="1"/>
</file>

<file path=xl/ctrlProps/ctrlProp58.xml><?xml version="1.0" encoding="utf-8"?>
<formControlPr xmlns="http://schemas.microsoft.com/office/spreadsheetml/2009/9/main" objectType="CheckBox" fmlaLink="$R$470" lockText="1"/>
</file>

<file path=xl/ctrlProps/ctrlProp580.xml><?xml version="1.0" encoding="utf-8"?>
<formControlPr xmlns="http://schemas.microsoft.com/office/spreadsheetml/2009/9/main" objectType="Radio" checked="Checked" firstButton="1" fmlaLink="$R$373" lockText="1"/>
</file>

<file path=xl/ctrlProps/ctrlProp581.xml><?xml version="1.0" encoding="utf-8"?>
<formControlPr xmlns="http://schemas.microsoft.com/office/spreadsheetml/2009/9/main" objectType="Radio" lockText="1"/>
</file>

<file path=xl/ctrlProps/ctrlProp582.xml><?xml version="1.0" encoding="utf-8"?>
<formControlPr xmlns="http://schemas.microsoft.com/office/spreadsheetml/2009/9/main" objectType="CheckBox" fmlaLink="$R$219" lockText="1"/>
</file>

<file path=xl/ctrlProps/ctrlProp583.xml><?xml version="1.0" encoding="utf-8"?>
<formControlPr xmlns="http://schemas.microsoft.com/office/spreadsheetml/2009/9/main" objectType="CheckBox" fmlaLink="$U$8" lockText="1"/>
</file>

<file path=xl/ctrlProps/ctrlProp584.xml><?xml version="1.0" encoding="utf-8"?>
<formControlPr xmlns="http://schemas.microsoft.com/office/spreadsheetml/2009/9/main" objectType="CheckBox" fmlaLink="$S$8" lockText="1"/>
</file>

<file path=xl/ctrlProps/ctrlProp585.xml><?xml version="1.0" encoding="utf-8"?>
<formControlPr xmlns="http://schemas.microsoft.com/office/spreadsheetml/2009/9/main" objectType="CheckBox" fmlaLink="$T$8" lockText="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Radio" firstButton="1" fmlaLink="$S$5" lockText="1"/>
</file>

<file path=xl/ctrlProps/ctrlProp588.xml><?xml version="1.0" encoding="utf-8"?>
<formControlPr xmlns="http://schemas.microsoft.com/office/spreadsheetml/2009/9/main" objectType="Radio" lockText="1"/>
</file>

<file path=xl/ctrlProps/ctrlProp589.xml><?xml version="1.0" encoding="utf-8"?>
<formControlPr xmlns="http://schemas.microsoft.com/office/spreadsheetml/2009/9/main" objectType="GBox" noThreeD="1"/>
</file>

<file path=xl/ctrlProps/ctrlProp59.xml><?xml version="1.0" encoding="utf-8"?>
<formControlPr xmlns="http://schemas.microsoft.com/office/spreadsheetml/2009/9/main" objectType="CheckBox" fmlaLink="$R$471" lockText="1"/>
</file>

<file path=xl/ctrlProps/ctrlProp590.xml><?xml version="1.0" encoding="utf-8"?>
<formControlPr xmlns="http://schemas.microsoft.com/office/spreadsheetml/2009/9/main" objectType="Radio" checked="Checked" firstButton="1" fmlaLink="$AL$16" lockText="1"/>
</file>

<file path=xl/ctrlProps/ctrlProp591.xml><?xml version="1.0" encoding="utf-8"?>
<formControlPr xmlns="http://schemas.microsoft.com/office/spreadsheetml/2009/9/main" objectType="Radio" lockText="1"/>
</file>

<file path=xl/ctrlProps/ctrlProp592.xml><?xml version="1.0" encoding="utf-8"?>
<formControlPr xmlns="http://schemas.microsoft.com/office/spreadsheetml/2009/9/main" objectType="Radio" lockText="1"/>
</file>

<file path=xl/ctrlProps/ctrlProp593.xml><?xml version="1.0" encoding="utf-8"?>
<formControlPr xmlns="http://schemas.microsoft.com/office/spreadsheetml/2009/9/main" objectType="GBox" noThreeD="1"/>
</file>

<file path=xl/ctrlProps/ctrlProp594.xml><?xml version="1.0" encoding="utf-8"?>
<formControlPr xmlns="http://schemas.microsoft.com/office/spreadsheetml/2009/9/main" objectType="Radio" checked="Checked" firstButton="1" fmlaLink="$AL$17" lockText="1"/>
</file>

<file path=xl/ctrlProps/ctrlProp595.xml><?xml version="1.0" encoding="utf-8"?>
<formControlPr xmlns="http://schemas.microsoft.com/office/spreadsheetml/2009/9/main" objectType="Radio" lockText="1"/>
</file>

<file path=xl/ctrlProps/ctrlProp596.xml><?xml version="1.0" encoding="utf-8"?>
<formControlPr xmlns="http://schemas.microsoft.com/office/spreadsheetml/2009/9/main" objectType="Radio" lockText="1"/>
</file>

<file path=xl/ctrlProps/ctrlProp597.xml><?xml version="1.0" encoding="utf-8"?>
<formControlPr xmlns="http://schemas.microsoft.com/office/spreadsheetml/2009/9/main" objectType="CheckBox" fmlaLink="$AK$20" lockText="1"/>
</file>

<file path=xl/ctrlProps/ctrlProp598.xml><?xml version="1.0" encoding="utf-8"?>
<formControlPr xmlns="http://schemas.microsoft.com/office/spreadsheetml/2009/9/main" objectType="CheckBox" fmlaLink="$AL$20" lockText="1"/>
</file>

<file path=xl/ctrlProps/ctrlProp599.xml><?xml version="1.0" encoding="utf-8"?>
<formControlPr xmlns="http://schemas.microsoft.com/office/spreadsheetml/2009/9/main" objectType="CheckBox" fmlaLink="$AL$56" lockText="1"/>
</file>

<file path=xl/ctrlProps/ctrlProp6.xml><?xml version="1.0" encoding="utf-8"?>
<formControlPr xmlns="http://schemas.microsoft.com/office/spreadsheetml/2009/9/main" objectType="CheckBox" fmlaLink="$S$46" lockText="1"/>
</file>

<file path=xl/ctrlProps/ctrlProp60.xml><?xml version="1.0" encoding="utf-8"?>
<formControlPr xmlns="http://schemas.microsoft.com/office/spreadsheetml/2009/9/main" objectType="CheckBox" fmlaLink="$R$472" lockText="1"/>
</file>

<file path=xl/ctrlProps/ctrlProp600.xml><?xml version="1.0" encoding="utf-8"?>
<formControlPr xmlns="http://schemas.microsoft.com/office/spreadsheetml/2009/9/main" objectType="CheckBox" fmlaLink="$AM$56" lockText="1"/>
</file>

<file path=xl/ctrlProps/ctrlProp601.xml><?xml version="1.0" encoding="utf-8"?>
<formControlPr xmlns="http://schemas.microsoft.com/office/spreadsheetml/2009/9/main" objectType="CheckBox" fmlaLink="$R$31" lockText="1"/>
</file>

<file path=xl/ctrlProps/ctrlProp602.xml><?xml version="1.0" encoding="utf-8"?>
<formControlPr xmlns="http://schemas.microsoft.com/office/spreadsheetml/2009/9/main" objectType="CheckBox" fmlaLink="$R$32" lockText="1"/>
</file>

<file path=xl/ctrlProps/ctrlProp603.xml><?xml version="1.0" encoding="utf-8"?>
<formControlPr xmlns="http://schemas.microsoft.com/office/spreadsheetml/2009/9/main" objectType="GBox" noThreeD="1"/>
</file>

<file path=xl/ctrlProps/ctrlProp604.xml><?xml version="1.0" encoding="utf-8"?>
<formControlPr xmlns="http://schemas.microsoft.com/office/spreadsheetml/2009/9/main" objectType="Radio" firstButton="1" fmlaLink="$R$88" lockText="1"/>
</file>

<file path=xl/ctrlProps/ctrlProp605.xml><?xml version="1.0" encoding="utf-8"?>
<formControlPr xmlns="http://schemas.microsoft.com/office/spreadsheetml/2009/9/main" objectType="Radio" checked="Checked" lockText="1"/>
</file>

<file path=xl/ctrlProps/ctrlProp606.xml><?xml version="1.0" encoding="utf-8"?>
<formControlPr xmlns="http://schemas.microsoft.com/office/spreadsheetml/2009/9/main" objectType="GBox" noThreeD="1"/>
</file>

<file path=xl/ctrlProps/ctrlProp607.xml><?xml version="1.0" encoding="utf-8"?>
<formControlPr xmlns="http://schemas.microsoft.com/office/spreadsheetml/2009/9/main" objectType="Radio" firstButton="1" fmlaLink="$S$22" lockText="1"/>
</file>

<file path=xl/ctrlProps/ctrlProp608.xml><?xml version="1.0" encoding="utf-8"?>
<formControlPr xmlns="http://schemas.microsoft.com/office/spreadsheetml/2009/9/main" objectType="Radio" lockText="1"/>
</file>

<file path=xl/ctrlProps/ctrlProp609.xml><?xml version="1.0" encoding="utf-8"?>
<formControlPr xmlns="http://schemas.microsoft.com/office/spreadsheetml/2009/9/main" objectType="Radio" checked="Checked" lockText="1"/>
</file>

<file path=xl/ctrlProps/ctrlProp61.xml><?xml version="1.0" encoding="utf-8"?>
<formControlPr xmlns="http://schemas.microsoft.com/office/spreadsheetml/2009/9/main" objectType="CheckBox" fmlaLink="$R$473" lockText="1"/>
</file>

<file path=xl/ctrlProps/ctrlProp610.xml><?xml version="1.0" encoding="utf-8"?>
<formControlPr xmlns="http://schemas.microsoft.com/office/spreadsheetml/2009/9/main" objectType="GBox" noThreeD="1"/>
</file>

<file path=xl/ctrlProps/ctrlProp611.xml><?xml version="1.0" encoding="utf-8"?>
<formControlPr xmlns="http://schemas.microsoft.com/office/spreadsheetml/2009/9/main" objectType="Radio" firstButton="1" fmlaLink="$S$23" lockText="1"/>
</file>

<file path=xl/ctrlProps/ctrlProp612.xml><?xml version="1.0" encoding="utf-8"?>
<formControlPr xmlns="http://schemas.microsoft.com/office/spreadsheetml/2009/9/main" objectType="Radio" checked="Checked" lockText="1"/>
</file>

<file path=xl/ctrlProps/ctrlProp613.xml><?xml version="1.0" encoding="utf-8"?>
<formControlPr xmlns="http://schemas.microsoft.com/office/spreadsheetml/2009/9/main" objectType="GBox" noThreeD="1"/>
</file>

<file path=xl/ctrlProps/ctrlProp614.xml><?xml version="1.0" encoding="utf-8"?>
<formControlPr xmlns="http://schemas.microsoft.com/office/spreadsheetml/2009/9/main" objectType="Radio" firstButton="1" fmlaLink="$S$24" lockText="1"/>
</file>

<file path=xl/ctrlProps/ctrlProp615.xml><?xml version="1.0" encoding="utf-8"?>
<formControlPr xmlns="http://schemas.microsoft.com/office/spreadsheetml/2009/9/main" objectType="Radio" checked="Checked" lockText="1"/>
</file>

<file path=xl/ctrlProps/ctrlProp616.xml><?xml version="1.0" encoding="utf-8"?>
<formControlPr xmlns="http://schemas.microsoft.com/office/spreadsheetml/2009/9/main" objectType="GBox" noThreeD="1"/>
</file>

<file path=xl/ctrlProps/ctrlProp617.xml><?xml version="1.0" encoding="utf-8"?>
<formControlPr xmlns="http://schemas.microsoft.com/office/spreadsheetml/2009/9/main" objectType="Radio" firstButton="1" fmlaLink="$S$25" lockText="1"/>
</file>

<file path=xl/ctrlProps/ctrlProp618.xml><?xml version="1.0" encoding="utf-8"?>
<formControlPr xmlns="http://schemas.microsoft.com/office/spreadsheetml/2009/9/main" objectType="Radio" checked="Checked" lockText="1"/>
</file>

<file path=xl/ctrlProps/ctrlProp619.xml><?xml version="1.0" encoding="utf-8"?>
<formControlPr xmlns="http://schemas.microsoft.com/office/spreadsheetml/2009/9/main" objectType="CheckBox" fmlaLink="$R$31" lockText="1"/>
</file>

<file path=xl/ctrlProps/ctrlProp62.xml><?xml version="1.0" encoding="utf-8"?>
<formControlPr xmlns="http://schemas.microsoft.com/office/spreadsheetml/2009/9/main" objectType="CheckBox" fmlaLink="$R$474" lockText="1"/>
</file>

<file path=xl/ctrlProps/ctrlProp620.xml><?xml version="1.0" encoding="utf-8"?>
<formControlPr xmlns="http://schemas.microsoft.com/office/spreadsheetml/2009/9/main" objectType="CheckBox" fmlaLink="$R$32" lockText="1"/>
</file>

<file path=xl/ctrlProps/ctrlProp621.xml><?xml version="1.0" encoding="utf-8"?>
<formControlPr xmlns="http://schemas.microsoft.com/office/spreadsheetml/2009/9/main" objectType="GBox" noThreeD="1"/>
</file>

<file path=xl/ctrlProps/ctrlProp622.xml><?xml version="1.0" encoding="utf-8"?>
<formControlPr xmlns="http://schemas.microsoft.com/office/spreadsheetml/2009/9/main" objectType="Radio" firstButton="1" fmlaLink="$R$88" lockText="1"/>
</file>

<file path=xl/ctrlProps/ctrlProp623.xml><?xml version="1.0" encoding="utf-8"?>
<formControlPr xmlns="http://schemas.microsoft.com/office/spreadsheetml/2009/9/main" objectType="Radio" checked="Checked" lockText="1"/>
</file>

<file path=xl/ctrlProps/ctrlProp624.xml><?xml version="1.0" encoding="utf-8"?>
<formControlPr xmlns="http://schemas.microsoft.com/office/spreadsheetml/2009/9/main" objectType="GBox" noThreeD="1"/>
</file>

<file path=xl/ctrlProps/ctrlProp625.xml><?xml version="1.0" encoding="utf-8"?>
<formControlPr xmlns="http://schemas.microsoft.com/office/spreadsheetml/2009/9/main" objectType="Radio" firstButton="1" fmlaLink="$S$22" lockText="1"/>
</file>

<file path=xl/ctrlProps/ctrlProp626.xml><?xml version="1.0" encoding="utf-8"?>
<formControlPr xmlns="http://schemas.microsoft.com/office/spreadsheetml/2009/9/main" objectType="Radio" lockText="1"/>
</file>

<file path=xl/ctrlProps/ctrlProp627.xml><?xml version="1.0" encoding="utf-8"?>
<formControlPr xmlns="http://schemas.microsoft.com/office/spreadsheetml/2009/9/main" objectType="Radio" checked="Checked" lockText="1"/>
</file>

<file path=xl/ctrlProps/ctrlProp628.xml><?xml version="1.0" encoding="utf-8"?>
<formControlPr xmlns="http://schemas.microsoft.com/office/spreadsheetml/2009/9/main" objectType="GBox" noThreeD="1"/>
</file>

<file path=xl/ctrlProps/ctrlProp629.xml><?xml version="1.0" encoding="utf-8"?>
<formControlPr xmlns="http://schemas.microsoft.com/office/spreadsheetml/2009/9/main" objectType="Radio" firstButton="1" fmlaLink="$S$23" lockText="1"/>
</file>

<file path=xl/ctrlProps/ctrlProp63.xml><?xml version="1.0" encoding="utf-8"?>
<formControlPr xmlns="http://schemas.microsoft.com/office/spreadsheetml/2009/9/main" objectType="CheckBox" fmlaLink="$R$479" lockText="1"/>
</file>

<file path=xl/ctrlProps/ctrlProp630.xml><?xml version="1.0" encoding="utf-8"?>
<formControlPr xmlns="http://schemas.microsoft.com/office/spreadsheetml/2009/9/main" objectType="Radio" checked="Checked" lockText="1"/>
</file>

<file path=xl/ctrlProps/ctrlProp631.xml><?xml version="1.0" encoding="utf-8"?>
<formControlPr xmlns="http://schemas.microsoft.com/office/spreadsheetml/2009/9/main" objectType="GBox" noThreeD="1"/>
</file>

<file path=xl/ctrlProps/ctrlProp632.xml><?xml version="1.0" encoding="utf-8"?>
<formControlPr xmlns="http://schemas.microsoft.com/office/spreadsheetml/2009/9/main" objectType="Radio" firstButton="1" fmlaLink="$S$24" lockText="1"/>
</file>

<file path=xl/ctrlProps/ctrlProp633.xml><?xml version="1.0" encoding="utf-8"?>
<formControlPr xmlns="http://schemas.microsoft.com/office/spreadsheetml/2009/9/main" objectType="Radio" checked="Checked" lockText="1"/>
</file>

<file path=xl/ctrlProps/ctrlProp634.xml><?xml version="1.0" encoding="utf-8"?>
<formControlPr xmlns="http://schemas.microsoft.com/office/spreadsheetml/2009/9/main" objectType="GBox" noThreeD="1"/>
</file>

<file path=xl/ctrlProps/ctrlProp635.xml><?xml version="1.0" encoding="utf-8"?>
<formControlPr xmlns="http://schemas.microsoft.com/office/spreadsheetml/2009/9/main" objectType="Radio" firstButton="1" fmlaLink="$S$25" lockText="1"/>
</file>

<file path=xl/ctrlProps/ctrlProp636.xml><?xml version="1.0" encoding="utf-8"?>
<formControlPr xmlns="http://schemas.microsoft.com/office/spreadsheetml/2009/9/main" objectType="Radio" checked="Checked" lockText="1"/>
</file>

<file path=xl/ctrlProps/ctrlProp637.xml><?xml version="1.0" encoding="utf-8"?>
<formControlPr xmlns="http://schemas.microsoft.com/office/spreadsheetml/2009/9/main" objectType="GBox" noThreeD="1"/>
</file>

<file path=xl/ctrlProps/ctrlProp638.xml><?xml version="1.0" encoding="utf-8"?>
<formControlPr xmlns="http://schemas.microsoft.com/office/spreadsheetml/2009/9/main" objectType="Radio" firstButton="1" fmlaLink="$R$24" lockText="1"/>
</file>

<file path=xl/ctrlProps/ctrlProp639.xml><?xml version="1.0" encoding="utf-8"?>
<formControlPr xmlns="http://schemas.microsoft.com/office/spreadsheetml/2009/9/main" objectType="Radio" checked="Checked" lockText="1"/>
</file>

<file path=xl/ctrlProps/ctrlProp64.xml><?xml version="1.0" encoding="utf-8"?>
<formControlPr xmlns="http://schemas.microsoft.com/office/spreadsheetml/2009/9/main" objectType="CheckBox" fmlaLink="$R$480" lockText="1"/>
</file>

<file path=xl/ctrlProps/ctrlProp640.xml><?xml version="1.0" encoding="utf-8"?>
<formControlPr xmlns="http://schemas.microsoft.com/office/spreadsheetml/2009/9/main" objectType="GBox" noThreeD="1"/>
</file>

<file path=xl/ctrlProps/ctrlProp641.xml><?xml version="1.0" encoding="utf-8"?>
<formControlPr xmlns="http://schemas.microsoft.com/office/spreadsheetml/2009/9/main" objectType="Radio" firstButton="1" fmlaLink="$R$25" lockText="1"/>
</file>

<file path=xl/ctrlProps/ctrlProp642.xml><?xml version="1.0" encoding="utf-8"?>
<formControlPr xmlns="http://schemas.microsoft.com/office/spreadsheetml/2009/9/main" objectType="Radio" checked="Checked" lockText="1"/>
</file>

<file path=xl/ctrlProps/ctrlProp643.xml><?xml version="1.0" encoding="utf-8"?>
<formControlPr xmlns="http://schemas.microsoft.com/office/spreadsheetml/2009/9/main" objectType="GBox" noThreeD="1"/>
</file>

<file path=xl/ctrlProps/ctrlProp644.xml><?xml version="1.0" encoding="utf-8"?>
<formControlPr xmlns="http://schemas.microsoft.com/office/spreadsheetml/2009/9/main" objectType="Radio" firstButton="1" fmlaLink="$R$29" lockText="1"/>
</file>

<file path=xl/ctrlProps/ctrlProp645.xml><?xml version="1.0" encoding="utf-8"?>
<formControlPr xmlns="http://schemas.microsoft.com/office/spreadsheetml/2009/9/main" objectType="Radio" checked="Checked" lockText="1"/>
</file>

<file path=xl/ctrlProps/ctrlProp646.xml><?xml version="1.0" encoding="utf-8"?>
<formControlPr xmlns="http://schemas.microsoft.com/office/spreadsheetml/2009/9/main" objectType="GBox" noThreeD="1"/>
</file>

<file path=xl/ctrlProps/ctrlProp647.xml><?xml version="1.0" encoding="utf-8"?>
<formControlPr xmlns="http://schemas.microsoft.com/office/spreadsheetml/2009/9/main" objectType="Radio" firstButton="1" fmlaLink="$R$24" lockText="1"/>
</file>

<file path=xl/ctrlProps/ctrlProp648.xml><?xml version="1.0" encoding="utf-8"?>
<formControlPr xmlns="http://schemas.microsoft.com/office/spreadsheetml/2009/9/main" objectType="Radio" checked="Checked" lockText="1"/>
</file>

<file path=xl/ctrlProps/ctrlProp649.xml><?xml version="1.0" encoding="utf-8"?>
<formControlPr xmlns="http://schemas.microsoft.com/office/spreadsheetml/2009/9/main" objectType="GBox" noThreeD="1"/>
</file>

<file path=xl/ctrlProps/ctrlProp65.xml><?xml version="1.0" encoding="utf-8"?>
<formControlPr xmlns="http://schemas.microsoft.com/office/spreadsheetml/2009/9/main" objectType="CheckBox" fmlaLink="$R$481" lockText="1"/>
</file>

<file path=xl/ctrlProps/ctrlProp650.xml><?xml version="1.0" encoding="utf-8"?>
<formControlPr xmlns="http://schemas.microsoft.com/office/spreadsheetml/2009/9/main" objectType="Radio" firstButton="1" fmlaLink="$R$25" lockText="1"/>
</file>

<file path=xl/ctrlProps/ctrlProp651.xml><?xml version="1.0" encoding="utf-8"?>
<formControlPr xmlns="http://schemas.microsoft.com/office/spreadsheetml/2009/9/main" objectType="Radio" checked="Checked" lockText="1"/>
</file>

<file path=xl/ctrlProps/ctrlProp652.xml><?xml version="1.0" encoding="utf-8"?>
<formControlPr xmlns="http://schemas.microsoft.com/office/spreadsheetml/2009/9/main" objectType="GBox" noThreeD="1"/>
</file>

<file path=xl/ctrlProps/ctrlProp653.xml><?xml version="1.0" encoding="utf-8"?>
<formControlPr xmlns="http://schemas.microsoft.com/office/spreadsheetml/2009/9/main" objectType="Radio" firstButton="1" fmlaLink="$R$29" lockText="1"/>
</file>

<file path=xl/ctrlProps/ctrlProp654.xml><?xml version="1.0" encoding="utf-8"?>
<formControlPr xmlns="http://schemas.microsoft.com/office/spreadsheetml/2009/9/main" objectType="Radio" checked="Checked" lockText="1"/>
</file>

<file path=xl/ctrlProps/ctrlProp655.xml><?xml version="1.0" encoding="utf-8"?>
<formControlPr xmlns="http://schemas.microsoft.com/office/spreadsheetml/2009/9/main" objectType="GBox" noThreeD="1"/>
</file>

<file path=xl/ctrlProps/ctrlProp656.xml><?xml version="1.0" encoding="utf-8"?>
<formControlPr xmlns="http://schemas.microsoft.com/office/spreadsheetml/2009/9/main" objectType="Radio" firstButton="1" fmlaLink="$R$35" lockText="1"/>
</file>

<file path=xl/ctrlProps/ctrlProp657.xml><?xml version="1.0" encoding="utf-8"?>
<formControlPr xmlns="http://schemas.microsoft.com/office/spreadsheetml/2009/9/main" objectType="Radio" checked="Checked" lockText="1"/>
</file>

<file path=xl/ctrlProps/ctrlProp658.xml><?xml version="1.0" encoding="utf-8"?>
<formControlPr xmlns="http://schemas.microsoft.com/office/spreadsheetml/2009/9/main" objectType="GBox" noThreeD="1"/>
</file>

<file path=xl/ctrlProps/ctrlProp659.xml><?xml version="1.0" encoding="utf-8"?>
<formControlPr xmlns="http://schemas.microsoft.com/office/spreadsheetml/2009/9/main" objectType="Radio" firstButton="1" fmlaLink="$R$130" lockText="1"/>
</file>

<file path=xl/ctrlProps/ctrlProp66.xml><?xml version="1.0" encoding="utf-8"?>
<formControlPr xmlns="http://schemas.microsoft.com/office/spreadsheetml/2009/9/main" objectType="CheckBox" fmlaLink="$R$482" lockText="1"/>
</file>

<file path=xl/ctrlProps/ctrlProp660.xml><?xml version="1.0" encoding="utf-8"?>
<formControlPr xmlns="http://schemas.microsoft.com/office/spreadsheetml/2009/9/main" objectType="Radio" checked="Checked" lockText="1"/>
</file>

<file path=xl/ctrlProps/ctrlProp661.xml><?xml version="1.0" encoding="utf-8"?>
<formControlPr xmlns="http://schemas.microsoft.com/office/spreadsheetml/2009/9/main" objectType="GBox" noThreeD="1"/>
</file>

<file path=xl/ctrlProps/ctrlProp662.xml><?xml version="1.0" encoding="utf-8"?>
<formControlPr xmlns="http://schemas.microsoft.com/office/spreadsheetml/2009/9/main" objectType="Radio" firstButton="1" fmlaLink="$R$85" lockText="1"/>
</file>

<file path=xl/ctrlProps/ctrlProp663.xml><?xml version="1.0" encoding="utf-8"?>
<formControlPr xmlns="http://schemas.microsoft.com/office/spreadsheetml/2009/9/main" objectType="Radio" checked="Checked" lockText="1"/>
</file>

<file path=xl/ctrlProps/ctrlProp664.xml><?xml version="1.0" encoding="utf-8"?>
<formControlPr xmlns="http://schemas.microsoft.com/office/spreadsheetml/2009/9/main" objectType="CheckBox" fmlaLink="$R$6" lockText="1"/>
</file>

<file path=xl/ctrlProps/ctrlProp665.xml><?xml version="1.0" encoding="utf-8"?>
<formControlPr xmlns="http://schemas.microsoft.com/office/spreadsheetml/2009/9/main" objectType="CheckBox" fmlaLink="$R$7" lockText="1"/>
</file>

<file path=xl/ctrlProps/ctrlProp666.xml><?xml version="1.0" encoding="utf-8"?>
<formControlPr xmlns="http://schemas.microsoft.com/office/spreadsheetml/2009/9/main" objectType="CheckBox" fmlaLink="$R$8" lockText="1"/>
</file>

<file path=xl/ctrlProps/ctrlProp667.xml><?xml version="1.0" encoding="utf-8"?>
<formControlPr xmlns="http://schemas.microsoft.com/office/spreadsheetml/2009/9/main" objectType="CheckBox" fmlaLink="$R$9" lockText="1"/>
</file>

<file path=xl/ctrlProps/ctrlProp668.xml><?xml version="1.0" encoding="utf-8"?>
<formControlPr xmlns="http://schemas.microsoft.com/office/spreadsheetml/2009/9/main" objectType="CheckBox" fmlaLink="$R$10" lockText="1"/>
</file>

<file path=xl/ctrlProps/ctrlProp669.xml><?xml version="1.0" encoding="utf-8"?>
<formControlPr xmlns="http://schemas.microsoft.com/office/spreadsheetml/2009/9/main" objectType="CheckBox" fmlaLink="$R$11" lockText="1"/>
</file>

<file path=xl/ctrlProps/ctrlProp67.xml><?xml version="1.0" encoding="utf-8"?>
<formControlPr xmlns="http://schemas.microsoft.com/office/spreadsheetml/2009/9/main" objectType="CheckBox" fmlaLink="$R$483" lockText="1"/>
</file>

<file path=xl/ctrlProps/ctrlProp670.xml><?xml version="1.0" encoding="utf-8"?>
<formControlPr xmlns="http://schemas.microsoft.com/office/spreadsheetml/2009/9/main" objectType="CheckBox" fmlaLink="$R$12" lockText="1"/>
</file>

<file path=xl/ctrlProps/ctrlProp671.xml><?xml version="1.0" encoding="utf-8"?>
<formControlPr xmlns="http://schemas.microsoft.com/office/spreadsheetml/2009/9/main" objectType="CheckBox" fmlaLink="$R$15" lockText="1"/>
</file>

<file path=xl/ctrlProps/ctrlProp672.xml><?xml version="1.0" encoding="utf-8"?>
<formControlPr xmlns="http://schemas.microsoft.com/office/spreadsheetml/2009/9/main" objectType="CheckBox" fmlaLink="$R$16" lockText="1"/>
</file>

<file path=xl/ctrlProps/ctrlProp673.xml><?xml version="1.0" encoding="utf-8"?>
<formControlPr xmlns="http://schemas.microsoft.com/office/spreadsheetml/2009/9/main" objectType="CheckBox" fmlaLink="$R$13" lockText="1"/>
</file>

<file path=xl/ctrlProps/ctrlProp674.xml><?xml version="1.0" encoding="utf-8"?>
<formControlPr xmlns="http://schemas.microsoft.com/office/spreadsheetml/2009/9/main" objectType="CheckBox" fmlaLink="$R$14" lockText="1"/>
</file>

<file path=xl/ctrlProps/ctrlProp675.xml><?xml version="1.0" encoding="utf-8"?>
<formControlPr xmlns="http://schemas.microsoft.com/office/spreadsheetml/2009/9/main" objectType="GBox"/>
</file>

<file path=xl/ctrlProps/ctrlProp676.xml><?xml version="1.0" encoding="utf-8"?>
<formControlPr xmlns="http://schemas.microsoft.com/office/spreadsheetml/2009/9/main" objectType="Radio" checked="Checked" firstButton="1" fmlaLink="$S$4" lockText="1"/>
</file>

<file path=xl/ctrlProps/ctrlProp677.xml><?xml version="1.0" encoding="utf-8"?>
<formControlPr xmlns="http://schemas.microsoft.com/office/spreadsheetml/2009/9/main" objectType="Radio" lockText="1"/>
</file>

<file path=xl/ctrlProps/ctrlProp678.xml><?xml version="1.0" encoding="utf-8"?>
<formControlPr xmlns="http://schemas.microsoft.com/office/spreadsheetml/2009/9/main" objectType="Radio" lockText="1"/>
</file>

<file path=xl/ctrlProps/ctrlProp679.xml><?xml version="1.0" encoding="utf-8"?>
<formControlPr xmlns="http://schemas.microsoft.com/office/spreadsheetml/2009/9/main" objectType="Radio" lockText="1"/>
</file>

<file path=xl/ctrlProps/ctrlProp68.xml><?xml version="1.0" encoding="utf-8"?>
<formControlPr xmlns="http://schemas.microsoft.com/office/spreadsheetml/2009/9/main" objectType="CheckBox" fmlaLink="$R$484" lockText="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Radio" firstButton="1" fmlaLink="R5" lockText="1"/>
</file>

<file path=xl/ctrlProps/ctrlProp682.xml><?xml version="1.0" encoding="utf-8"?>
<formControlPr xmlns="http://schemas.microsoft.com/office/spreadsheetml/2009/9/main" objectType="Radio" checked="Checked" lockText="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Radio" checked="Checked" firstButton="1" fmlaLink="$S$5" lockText="1"/>
</file>

<file path=xl/ctrlProps/ctrlProp685.xml><?xml version="1.0" encoding="utf-8"?>
<formControlPr xmlns="http://schemas.microsoft.com/office/spreadsheetml/2009/9/main" objectType="Radio" lockText="1"/>
</file>

<file path=xl/ctrlProps/ctrlProp686.xml><?xml version="1.0" encoding="utf-8"?>
<formControlPr xmlns="http://schemas.microsoft.com/office/spreadsheetml/2009/9/main" objectType="Radio" lockText="1"/>
</file>

<file path=xl/ctrlProps/ctrlProp687.xml><?xml version="1.0" encoding="utf-8"?>
<formControlPr xmlns="http://schemas.microsoft.com/office/spreadsheetml/2009/9/main" objectType="Radio" lockText="1"/>
</file>

<file path=xl/ctrlProps/ctrlProp688.xml><?xml version="1.0" encoding="utf-8"?>
<formControlPr xmlns="http://schemas.microsoft.com/office/spreadsheetml/2009/9/main" objectType="Radio" lockText="1"/>
</file>

<file path=xl/ctrlProps/ctrlProp689.xml><?xml version="1.0" encoding="utf-8"?>
<formControlPr xmlns="http://schemas.microsoft.com/office/spreadsheetml/2009/9/main" objectType="GBox" noThreeD="1"/>
</file>

<file path=xl/ctrlProps/ctrlProp69.xml><?xml version="1.0" encoding="utf-8"?>
<formControlPr xmlns="http://schemas.microsoft.com/office/spreadsheetml/2009/9/main" objectType="CheckBox" fmlaLink="$R$485" lockText="1"/>
</file>

<file path=xl/ctrlProps/ctrlProp690.xml><?xml version="1.0" encoding="utf-8"?>
<formControlPr xmlns="http://schemas.microsoft.com/office/spreadsheetml/2009/9/main" objectType="Radio" checked="Checked" firstButton="1" fmlaLink="$S$10" lockText="1"/>
</file>

<file path=xl/ctrlProps/ctrlProp691.xml><?xml version="1.0" encoding="utf-8"?>
<formControlPr xmlns="http://schemas.microsoft.com/office/spreadsheetml/2009/9/main" objectType="Radio" lockText="1"/>
</file>

<file path=xl/ctrlProps/ctrlProp692.xml><?xml version="1.0" encoding="utf-8"?>
<formControlPr xmlns="http://schemas.microsoft.com/office/spreadsheetml/2009/9/main" objectType="Radio" lockText="1"/>
</file>

<file path=xl/ctrlProps/ctrlProp693.xml><?xml version="1.0" encoding="utf-8"?>
<formControlPr xmlns="http://schemas.microsoft.com/office/spreadsheetml/2009/9/main" objectType="Radio" lockText="1"/>
</file>

<file path=xl/ctrlProps/ctrlProp694.xml><?xml version="1.0" encoding="utf-8"?>
<formControlPr xmlns="http://schemas.microsoft.com/office/spreadsheetml/2009/9/main" objectType="Radio" lockText="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Radio" checked="Checked" firstButton="1" fmlaLink="$S$9" lockText="1"/>
</file>

<file path=xl/ctrlProps/ctrlProp697.xml><?xml version="1.0" encoding="utf-8"?>
<formControlPr xmlns="http://schemas.microsoft.com/office/spreadsheetml/2009/9/main" objectType="Radio" lockText="1"/>
</file>

<file path=xl/ctrlProps/ctrlProp698.xml><?xml version="1.0" encoding="utf-8"?>
<formControlPr xmlns="http://schemas.microsoft.com/office/spreadsheetml/2009/9/main" objectType="Radio" lockText="1"/>
</file>

<file path=xl/ctrlProps/ctrlProp699.xml><?xml version="1.0" encoding="utf-8"?>
<formControlPr xmlns="http://schemas.microsoft.com/office/spreadsheetml/2009/9/main" objectType="Radio" lockText="1"/>
</file>

<file path=xl/ctrlProps/ctrlProp7.xml><?xml version="1.0" encoding="utf-8"?>
<formControlPr xmlns="http://schemas.microsoft.com/office/spreadsheetml/2009/9/main" objectType="CheckBox" fmlaLink="S47" lockText="1"/>
</file>

<file path=xl/ctrlProps/ctrlProp70.xml><?xml version="1.0" encoding="utf-8"?>
<formControlPr xmlns="http://schemas.microsoft.com/office/spreadsheetml/2009/9/main" objectType="CheckBox" fmlaLink="$R$486" lockText="1"/>
</file>

<file path=xl/ctrlProps/ctrlProp700.xml><?xml version="1.0" encoding="utf-8"?>
<formControlPr xmlns="http://schemas.microsoft.com/office/spreadsheetml/2009/9/main" objectType="Radio" lockText="1"/>
</file>

<file path=xl/ctrlProps/ctrlProp701.xml><?xml version="1.0" encoding="utf-8"?>
<formControlPr xmlns="http://schemas.microsoft.com/office/spreadsheetml/2009/9/main" objectType="GBox" noThreeD="1"/>
</file>

<file path=xl/ctrlProps/ctrlProp702.xml><?xml version="1.0" encoding="utf-8"?>
<formControlPr xmlns="http://schemas.microsoft.com/office/spreadsheetml/2009/9/main" objectType="Radio" checked="Checked" firstButton="1" fmlaLink="$S$8" lockText="1"/>
</file>

<file path=xl/ctrlProps/ctrlProp703.xml><?xml version="1.0" encoding="utf-8"?>
<formControlPr xmlns="http://schemas.microsoft.com/office/spreadsheetml/2009/9/main" objectType="Radio" lockText="1"/>
</file>

<file path=xl/ctrlProps/ctrlProp704.xml><?xml version="1.0" encoding="utf-8"?>
<formControlPr xmlns="http://schemas.microsoft.com/office/spreadsheetml/2009/9/main" objectType="Radio" lockText="1"/>
</file>

<file path=xl/ctrlProps/ctrlProp705.xml><?xml version="1.0" encoding="utf-8"?>
<formControlPr xmlns="http://schemas.microsoft.com/office/spreadsheetml/2009/9/main" objectType="Radio" lockText="1"/>
</file>

<file path=xl/ctrlProps/ctrlProp706.xml><?xml version="1.0" encoding="utf-8"?>
<formControlPr xmlns="http://schemas.microsoft.com/office/spreadsheetml/2009/9/main" objectType="Radio" lockText="1"/>
</file>

<file path=xl/ctrlProps/ctrlProp707.xml><?xml version="1.0" encoding="utf-8"?>
<formControlPr xmlns="http://schemas.microsoft.com/office/spreadsheetml/2009/9/main" objectType="GBox" noThreeD="1"/>
</file>

<file path=xl/ctrlProps/ctrlProp708.xml><?xml version="1.0" encoding="utf-8"?>
<formControlPr xmlns="http://schemas.microsoft.com/office/spreadsheetml/2009/9/main" objectType="Radio" checked="Checked" firstButton="1" fmlaLink="$S$7" lockText="1"/>
</file>

<file path=xl/ctrlProps/ctrlProp709.xml><?xml version="1.0" encoding="utf-8"?>
<formControlPr xmlns="http://schemas.microsoft.com/office/spreadsheetml/2009/9/main" objectType="Radio" lockText="1"/>
</file>

<file path=xl/ctrlProps/ctrlProp71.xml><?xml version="1.0" encoding="utf-8"?>
<formControlPr xmlns="http://schemas.microsoft.com/office/spreadsheetml/2009/9/main" objectType="CheckBox" fmlaLink="$R$487" lockText="1"/>
</file>

<file path=xl/ctrlProps/ctrlProp710.xml><?xml version="1.0" encoding="utf-8"?>
<formControlPr xmlns="http://schemas.microsoft.com/office/spreadsheetml/2009/9/main" objectType="Radio" lockText="1"/>
</file>

<file path=xl/ctrlProps/ctrlProp711.xml><?xml version="1.0" encoding="utf-8"?>
<formControlPr xmlns="http://schemas.microsoft.com/office/spreadsheetml/2009/9/main" objectType="Radio" lockText="1"/>
</file>

<file path=xl/ctrlProps/ctrlProp712.xml><?xml version="1.0" encoding="utf-8"?>
<formControlPr xmlns="http://schemas.microsoft.com/office/spreadsheetml/2009/9/main" objectType="Radio" lockText="1"/>
</file>

<file path=xl/ctrlProps/ctrlProp713.xml><?xml version="1.0" encoding="utf-8"?>
<formControlPr xmlns="http://schemas.microsoft.com/office/spreadsheetml/2009/9/main" objectType="GBox" noThreeD="1"/>
</file>

<file path=xl/ctrlProps/ctrlProp714.xml><?xml version="1.0" encoding="utf-8"?>
<formControlPr xmlns="http://schemas.microsoft.com/office/spreadsheetml/2009/9/main" objectType="Radio" checked="Checked" firstButton="1" fmlaLink="S6" lockText="1"/>
</file>

<file path=xl/ctrlProps/ctrlProp715.xml><?xml version="1.0" encoding="utf-8"?>
<formControlPr xmlns="http://schemas.microsoft.com/office/spreadsheetml/2009/9/main" objectType="Radio" lockText="1"/>
</file>

<file path=xl/ctrlProps/ctrlProp716.xml><?xml version="1.0" encoding="utf-8"?>
<formControlPr xmlns="http://schemas.microsoft.com/office/spreadsheetml/2009/9/main" objectType="Radio" lockText="1"/>
</file>

<file path=xl/ctrlProps/ctrlProp717.xml><?xml version="1.0" encoding="utf-8"?>
<formControlPr xmlns="http://schemas.microsoft.com/office/spreadsheetml/2009/9/main" objectType="Radio" lockText="1"/>
</file>

<file path=xl/ctrlProps/ctrlProp718.xml><?xml version="1.0" encoding="utf-8"?>
<formControlPr xmlns="http://schemas.microsoft.com/office/spreadsheetml/2009/9/main" objectType="Radio" lockText="1"/>
</file>

<file path=xl/ctrlProps/ctrlProp719.xml><?xml version="1.0" encoding="utf-8"?>
<formControlPr xmlns="http://schemas.microsoft.com/office/spreadsheetml/2009/9/main" objectType="GBox" noThreeD="1"/>
</file>

<file path=xl/ctrlProps/ctrlProp72.xml><?xml version="1.0" encoding="utf-8"?>
<formControlPr xmlns="http://schemas.microsoft.com/office/spreadsheetml/2009/9/main" objectType="CheckBox" fmlaLink="$R$488" lockText="1"/>
</file>

<file path=xl/ctrlProps/ctrlProp720.xml><?xml version="1.0" encoding="utf-8"?>
<formControlPr xmlns="http://schemas.microsoft.com/office/spreadsheetml/2009/9/main" objectType="Radio" firstButton="1" fmlaLink="$S$11" lockText="1"/>
</file>

<file path=xl/ctrlProps/ctrlProp721.xml><?xml version="1.0" encoding="utf-8"?>
<formControlPr xmlns="http://schemas.microsoft.com/office/spreadsheetml/2009/9/main" objectType="Radio" checked="Checked" lockText="1"/>
</file>

<file path=xl/ctrlProps/ctrlProp722.xml><?xml version="1.0" encoding="utf-8"?>
<formControlPr xmlns="http://schemas.microsoft.com/office/spreadsheetml/2009/9/main" objectType="GBox" noThreeD="1"/>
</file>

<file path=xl/ctrlProps/ctrlProp723.xml><?xml version="1.0" encoding="utf-8"?>
<formControlPr xmlns="http://schemas.microsoft.com/office/spreadsheetml/2009/9/main" objectType="Radio" checked="Checked" firstButton="1" fmlaLink="$S$5" lockText="1"/>
</file>

<file path=xl/ctrlProps/ctrlProp724.xml><?xml version="1.0" encoding="utf-8"?>
<formControlPr xmlns="http://schemas.microsoft.com/office/spreadsheetml/2009/9/main" objectType="Radio" lockText="1"/>
</file>

<file path=xl/ctrlProps/ctrlProp725.xml><?xml version="1.0" encoding="utf-8"?>
<formControlPr xmlns="http://schemas.microsoft.com/office/spreadsheetml/2009/9/main" objectType="Radio" lockText="1"/>
</file>

<file path=xl/ctrlProps/ctrlProp726.xml><?xml version="1.0" encoding="utf-8"?>
<formControlPr xmlns="http://schemas.microsoft.com/office/spreadsheetml/2009/9/main" objectType="Radio" lockText="1"/>
</file>

<file path=xl/ctrlProps/ctrlProp727.xml><?xml version="1.0" encoding="utf-8"?>
<formControlPr xmlns="http://schemas.microsoft.com/office/spreadsheetml/2009/9/main" objectType="Radio" lockText="1"/>
</file>

<file path=xl/ctrlProps/ctrlProp728.xml><?xml version="1.0" encoding="utf-8"?>
<formControlPr xmlns="http://schemas.microsoft.com/office/spreadsheetml/2009/9/main" objectType="GBox" noThreeD="1"/>
</file>

<file path=xl/ctrlProps/ctrlProp729.xml><?xml version="1.0" encoding="utf-8"?>
<formControlPr xmlns="http://schemas.microsoft.com/office/spreadsheetml/2009/9/main" objectType="Radio" checked="Checked" firstButton="1" fmlaLink="$S$6" lockText="1"/>
</file>

<file path=xl/ctrlProps/ctrlProp73.xml><?xml version="1.0" encoding="utf-8"?>
<formControlPr xmlns="http://schemas.microsoft.com/office/spreadsheetml/2009/9/main" objectType="CheckBox" fmlaLink="$R$489" lockText="1"/>
</file>

<file path=xl/ctrlProps/ctrlProp730.xml><?xml version="1.0" encoding="utf-8"?>
<formControlPr xmlns="http://schemas.microsoft.com/office/spreadsheetml/2009/9/main" objectType="Radio" lockText="1"/>
</file>

<file path=xl/ctrlProps/ctrlProp731.xml><?xml version="1.0" encoding="utf-8"?>
<formControlPr xmlns="http://schemas.microsoft.com/office/spreadsheetml/2009/9/main" objectType="Radio" lockText="1"/>
</file>

<file path=xl/ctrlProps/ctrlProp732.xml><?xml version="1.0" encoding="utf-8"?>
<formControlPr xmlns="http://schemas.microsoft.com/office/spreadsheetml/2009/9/main" objectType="Radio" lockText="1"/>
</file>

<file path=xl/ctrlProps/ctrlProp733.xml><?xml version="1.0" encoding="utf-8"?>
<formControlPr xmlns="http://schemas.microsoft.com/office/spreadsheetml/2009/9/main" objectType="Radio" lockText="1"/>
</file>

<file path=xl/ctrlProps/ctrlProp734.xml><?xml version="1.0" encoding="utf-8"?>
<formControlPr xmlns="http://schemas.microsoft.com/office/spreadsheetml/2009/9/main" objectType="GBox" noThreeD="1"/>
</file>

<file path=xl/ctrlProps/ctrlProp735.xml><?xml version="1.0" encoding="utf-8"?>
<formControlPr xmlns="http://schemas.microsoft.com/office/spreadsheetml/2009/9/main" objectType="Radio" firstButton="1" fmlaLink="$S$8" lockText="1"/>
</file>

<file path=xl/ctrlProps/ctrlProp736.xml><?xml version="1.0" encoding="utf-8"?>
<formControlPr xmlns="http://schemas.microsoft.com/office/spreadsheetml/2009/9/main" objectType="Radio" checked="Checked" lockText="1"/>
</file>

<file path=xl/ctrlProps/ctrlProp737.xml><?xml version="1.0" encoding="utf-8"?>
<formControlPr xmlns="http://schemas.microsoft.com/office/spreadsheetml/2009/9/main" objectType="GBox" noThreeD="1"/>
</file>

<file path=xl/ctrlProps/ctrlProp738.xml><?xml version="1.0" encoding="utf-8"?>
<formControlPr xmlns="http://schemas.microsoft.com/office/spreadsheetml/2009/9/main" objectType="Radio" checked="Checked" firstButton="1" fmlaLink="$S$7" lockText="1"/>
</file>

<file path=xl/ctrlProps/ctrlProp739.xml><?xml version="1.0" encoding="utf-8"?>
<formControlPr xmlns="http://schemas.microsoft.com/office/spreadsheetml/2009/9/main" objectType="Radio" lockText="1"/>
</file>

<file path=xl/ctrlProps/ctrlProp74.xml><?xml version="1.0" encoding="utf-8"?>
<formControlPr xmlns="http://schemas.microsoft.com/office/spreadsheetml/2009/9/main" objectType="CheckBox" fmlaLink="$R$495" lockText="1"/>
</file>

<file path=xl/ctrlProps/ctrlProp740.xml><?xml version="1.0" encoding="utf-8"?>
<formControlPr xmlns="http://schemas.microsoft.com/office/spreadsheetml/2009/9/main" objectType="Radio" lockText="1"/>
</file>

<file path=xl/ctrlProps/ctrlProp741.xml><?xml version="1.0" encoding="utf-8"?>
<formControlPr xmlns="http://schemas.microsoft.com/office/spreadsheetml/2009/9/main" objectType="Radio" lockText="1"/>
</file>

<file path=xl/ctrlProps/ctrlProp742.xml><?xml version="1.0" encoding="utf-8"?>
<formControlPr xmlns="http://schemas.microsoft.com/office/spreadsheetml/2009/9/main" objectType="Radio" lockText="1"/>
</file>

<file path=xl/ctrlProps/ctrlProp743.xml><?xml version="1.0" encoding="utf-8"?>
<formControlPr xmlns="http://schemas.microsoft.com/office/spreadsheetml/2009/9/main" objectType="Radio" lockText="1"/>
</file>

<file path=xl/ctrlProps/ctrlProp744.xml><?xml version="1.0" encoding="utf-8"?>
<formControlPr xmlns="http://schemas.microsoft.com/office/spreadsheetml/2009/9/main" objectType="CheckBox" fmlaLink="$R$4" lockText="1"/>
</file>

<file path=xl/ctrlProps/ctrlProp745.xml><?xml version="1.0" encoding="utf-8"?>
<formControlPr xmlns="http://schemas.microsoft.com/office/spreadsheetml/2009/9/main" objectType="CheckBox" fmlaLink="$R$14" lockText="1"/>
</file>

<file path=xl/ctrlProps/ctrlProp746.xml><?xml version="1.0" encoding="utf-8"?>
<formControlPr xmlns="http://schemas.microsoft.com/office/spreadsheetml/2009/9/main" objectType="CheckBox" fmlaLink="$R$11" lockText="1"/>
</file>

<file path=xl/ctrlProps/ctrlProp747.xml><?xml version="1.0" encoding="utf-8"?>
<formControlPr xmlns="http://schemas.microsoft.com/office/spreadsheetml/2009/9/main" objectType="CheckBox" fmlaLink="$R$26" lockText="1"/>
</file>

<file path=xl/ctrlProps/ctrlProp748.xml><?xml version="1.0" encoding="utf-8"?>
<formControlPr xmlns="http://schemas.microsoft.com/office/spreadsheetml/2009/9/main" objectType="CheckBox" fmlaLink="$R$12" lockText="1"/>
</file>

<file path=xl/ctrlProps/ctrlProp749.xml><?xml version="1.0" encoding="utf-8"?>
<formControlPr xmlns="http://schemas.microsoft.com/office/spreadsheetml/2009/9/main" objectType="CheckBox" fmlaLink="$R$38" lockText="1"/>
</file>

<file path=xl/ctrlProps/ctrlProp75.xml><?xml version="1.0" encoding="utf-8"?>
<formControlPr xmlns="http://schemas.microsoft.com/office/spreadsheetml/2009/9/main" objectType="CheckBox" fmlaLink="$R$496" lockText="1"/>
</file>

<file path=xl/ctrlProps/ctrlProp750.xml><?xml version="1.0" encoding="utf-8"?>
<formControlPr xmlns="http://schemas.microsoft.com/office/spreadsheetml/2009/9/main" objectType="GBox" noThreeD="1"/>
</file>

<file path=xl/ctrlProps/ctrlProp751.xml><?xml version="1.0" encoding="utf-8"?>
<formControlPr xmlns="http://schemas.microsoft.com/office/spreadsheetml/2009/9/main" objectType="Radio" checked="Checked" firstButton="1" fmlaLink="$S$8" lockText="1"/>
</file>

<file path=xl/ctrlProps/ctrlProp752.xml><?xml version="1.0" encoding="utf-8"?>
<formControlPr xmlns="http://schemas.microsoft.com/office/spreadsheetml/2009/9/main" objectType="Radio" lockText="1"/>
</file>

<file path=xl/ctrlProps/ctrlProp753.xml><?xml version="1.0" encoding="utf-8"?>
<formControlPr xmlns="http://schemas.microsoft.com/office/spreadsheetml/2009/9/main" objectType="Radio" lockText="1"/>
</file>

<file path=xl/ctrlProps/ctrlProp754.xml><?xml version="1.0" encoding="utf-8"?>
<formControlPr xmlns="http://schemas.microsoft.com/office/spreadsheetml/2009/9/main" objectType="GBox" noThreeD="1"/>
</file>

<file path=xl/ctrlProps/ctrlProp755.xml><?xml version="1.0" encoding="utf-8"?>
<formControlPr xmlns="http://schemas.microsoft.com/office/spreadsheetml/2009/9/main" objectType="Radio" checked="Checked" firstButton="1" fmlaLink="$S$21" lockText="1"/>
</file>

<file path=xl/ctrlProps/ctrlProp756.xml><?xml version="1.0" encoding="utf-8"?>
<formControlPr xmlns="http://schemas.microsoft.com/office/spreadsheetml/2009/9/main" objectType="Radio" lockText="1"/>
</file>

<file path=xl/ctrlProps/ctrlProp757.xml><?xml version="1.0" encoding="utf-8"?>
<formControlPr xmlns="http://schemas.microsoft.com/office/spreadsheetml/2009/9/main" objectType="Radio" lockText="1"/>
</file>

<file path=xl/ctrlProps/ctrlProp758.xml><?xml version="1.0" encoding="utf-8"?>
<formControlPr xmlns="http://schemas.microsoft.com/office/spreadsheetml/2009/9/main" objectType="Radio" lockText="1"/>
</file>

<file path=xl/ctrlProps/ctrlProp759.xml><?xml version="1.0" encoding="utf-8"?>
<formControlPr xmlns="http://schemas.microsoft.com/office/spreadsheetml/2009/9/main" objectType="Radio" lockText="1"/>
</file>

<file path=xl/ctrlProps/ctrlProp76.xml><?xml version="1.0" encoding="utf-8"?>
<formControlPr xmlns="http://schemas.microsoft.com/office/spreadsheetml/2009/9/main" objectType="CheckBox" fmlaLink="$R$497" lockText="1"/>
</file>

<file path=xl/ctrlProps/ctrlProp760.xml><?xml version="1.0" encoding="utf-8"?>
<formControlPr xmlns="http://schemas.microsoft.com/office/spreadsheetml/2009/9/main" objectType="GBox" noThreeD="1"/>
</file>

<file path=xl/ctrlProps/ctrlProp761.xml><?xml version="1.0" encoding="utf-8"?>
<formControlPr xmlns="http://schemas.microsoft.com/office/spreadsheetml/2009/9/main" objectType="Radio" checked="Checked" firstButton="1" fmlaLink="$R$32" lockText="1"/>
</file>

<file path=xl/ctrlProps/ctrlProp762.xml><?xml version="1.0" encoding="utf-8"?>
<formControlPr xmlns="http://schemas.microsoft.com/office/spreadsheetml/2009/9/main" objectType="Radio" lockText="1"/>
</file>

<file path=xl/ctrlProps/ctrlProp763.xml><?xml version="1.0" encoding="utf-8"?>
<formControlPr xmlns="http://schemas.microsoft.com/office/spreadsheetml/2009/9/main" objectType="Radio" lockText="1"/>
</file>

<file path=xl/ctrlProps/ctrlProp764.xml><?xml version="1.0" encoding="utf-8"?>
<formControlPr xmlns="http://schemas.microsoft.com/office/spreadsheetml/2009/9/main" objectType="Radio" lockText="1"/>
</file>

<file path=xl/ctrlProps/ctrlProp765.xml><?xml version="1.0" encoding="utf-8"?>
<formControlPr xmlns="http://schemas.microsoft.com/office/spreadsheetml/2009/9/main" objectType="Radio" lockText="1"/>
</file>

<file path=xl/ctrlProps/ctrlProp766.xml><?xml version="1.0" encoding="utf-8"?>
<formControlPr xmlns="http://schemas.microsoft.com/office/spreadsheetml/2009/9/main" objectType="Radio" lockText="1"/>
</file>

<file path=xl/ctrlProps/ctrlProp767.xml><?xml version="1.0" encoding="utf-8"?>
<formControlPr xmlns="http://schemas.microsoft.com/office/spreadsheetml/2009/9/main" objectType="Radio" lockText="1"/>
</file>

<file path=xl/ctrlProps/ctrlProp768.xml><?xml version="1.0" encoding="utf-8"?>
<formControlPr xmlns="http://schemas.microsoft.com/office/spreadsheetml/2009/9/main" objectType="GBox" noThreeD="1"/>
</file>

<file path=xl/ctrlProps/ctrlProp769.xml><?xml version="1.0" encoding="utf-8"?>
<formControlPr xmlns="http://schemas.microsoft.com/office/spreadsheetml/2009/9/main" objectType="Radio" checked="Checked" firstButton="1" fmlaLink="$S$16" lockText="1"/>
</file>

<file path=xl/ctrlProps/ctrlProp77.xml><?xml version="1.0" encoding="utf-8"?>
<formControlPr xmlns="http://schemas.microsoft.com/office/spreadsheetml/2009/9/main" objectType="CheckBox" fmlaLink="$R$498" lockText="1"/>
</file>

<file path=xl/ctrlProps/ctrlProp770.xml><?xml version="1.0" encoding="utf-8"?>
<formControlPr xmlns="http://schemas.microsoft.com/office/spreadsheetml/2009/9/main" objectType="Radio" lockText="1"/>
</file>

<file path=xl/ctrlProps/ctrlProp771.xml><?xml version="1.0" encoding="utf-8"?>
<formControlPr xmlns="http://schemas.microsoft.com/office/spreadsheetml/2009/9/main" objectType="Radio" lockText="1"/>
</file>

<file path=xl/ctrlProps/ctrlProp772.xml><?xml version="1.0" encoding="utf-8"?>
<formControlPr xmlns="http://schemas.microsoft.com/office/spreadsheetml/2009/9/main" objectType="Radio" lockText="1"/>
</file>

<file path=xl/ctrlProps/ctrlProp773.xml><?xml version="1.0" encoding="utf-8"?>
<formControlPr xmlns="http://schemas.microsoft.com/office/spreadsheetml/2009/9/main" objectType="Radio" lockText="1"/>
</file>

<file path=xl/ctrlProps/ctrlProp774.xml><?xml version="1.0" encoding="utf-8"?>
<formControlPr xmlns="http://schemas.microsoft.com/office/spreadsheetml/2009/9/main" objectType="GBox" noThreeD="1"/>
</file>

<file path=xl/ctrlProps/ctrlProp775.xml><?xml version="1.0" encoding="utf-8"?>
<formControlPr xmlns="http://schemas.microsoft.com/office/spreadsheetml/2009/9/main" objectType="Radio" checked="Checked" firstButton="1" fmlaLink="$S$5" lockText="1"/>
</file>

<file path=xl/ctrlProps/ctrlProp776.xml><?xml version="1.0" encoding="utf-8"?>
<formControlPr xmlns="http://schemas.microsoft.com/office/spreadsheetml/2009/9/main" objectType="Radio" lockText="1"/>
</file>

<file path=xl/ctrlProps/ctrlProp777.xml><?xml version="1.0" encoding="utf-8"?>
<formControlPr xmlns="http://schemas.microsoft.com/office/spreadsheetml/2009/9/main" objectType="Radio" lockText="1"/>
</file>

<file path=xl/ctrlProps/ctrlProp778.xml><?xml version="1.0" encoding="utf-8"?>
<formControlPr xmlns="http://schemas.microsoft.com/office/spreadsheetml/2009/9/main" objectType="Radio" lockText="1"/>
</file>

<file path=xl/ctrlProps/ctrlProp779.xml><?xml version="1.0" encoding="utf-8"?>
<formControlPr xmlns="http://schemas.microsoft.com/office/spreadsheetml/2009/9/main" objectType="Radio" lockText="1"/>
</file>

<file path=xl/ctrlProps/ctrlProp78.xml><?xml version="1.0" encoding="utf-8"?>
<formControlPr xmlns="http://schemas.microsoft.com/office/spreadsheetml/2009/9/main" objectType="CheckBox" fmlaLink="$R$499" lockText="1"/>
</file>

<file path=xl/ctrlProps/ctrlProp780.xml><?xml version="1.0" encoding="utf-8"?>
<formControlPr xmlns="http://schemas.microsoft.com/office/spreadsheetml/2009/9/main" objectType="Radio" lockText="1"/>
</file>

<file path=xl/ctrlProps/ctrlProp781.xml><?xml version="1.0" encoding="utf-8"?>
<formControlPr xmlns="http://schemas.microsoft.com/office/spreadsheetml/2009/9/main" objectType="Radio" checked="Checked" firstButton="1" fmlaLink="$S$12" lockText="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Radio" lockText="1"/>
</file>

<file path=xl/ctrlProps/ctrlProp784.xml><?xml version="1.0" encoding="utf-8"?>
<formControlPr xmlns="http://schemas.microsoft.com/office/spreadsheetml/2009/9/main" objectType="Radio" lockText="1"/>
</file>

<file path=xl/ctrlProps/ctrlProp785.xml><?xml version="1.0" encoding="utf-8"?>
<formControlPr xmlns="http://schemas.microsoft.com/office/spreadsheetml/2009/9/main" objectType="Radio" lockText="1"/>
</file>

<file path=xl/ctrlProps/ctrlProp786.xml><?xml version="1.0" encoding="utf-8"?>
<formControlPr xmlns="http://schemas.microsoft.com/office/spreadsheetml/2009/9/main" objectType="Radio" lockText="1"/>
</file>

<file path=xl/ctrlProps/ctrlProp787.xml><?xml version="1.0" encoding="utf-8"?>
<formControlPr xmlns="http://schemas.microsoft.com/office/spreadsheetml/2009/9/main" objectType="Radio" lockText="1"/>
</file>

<file path=xl/ctrlProps/ctrlProp788.xml><?xml version="1.0" encoding="utf-8"?>
<formControlPr xmlns="http://schemas.microsoft.com/office/spreadsheetml/2009/9/main" objectType="Radio" lockText="1"/>
</file>

<file path=xl/ctrlProps/ctrlProp789.xml><?xml version="1.0" encoding="utf-8"?>
<formControlPr xmlns="http://schemas.microsoft.com/office/spreadsheetml/2009/9/main" objectType="Radio" lockText="1"/>
</file>

<file path=xl/ctrlProps/ctrlProp79.xml><?xml version="1.0" encoding="utf-8"?>
<formControlPr xmlns="http://schemas.microsoft.com/office/spreadsheetml/2009/9/main" objectType="CheckBox" fmlaLink="$R$500" lockText="1"/>
</file>

<file path=xl/ctrlProps/ctrlProp790.xml><?xml version="1.0" encoding="utf-8"?>
<formControlPr xmlns="http://schemas.microsoft.com/office/spreadsheetml/2009/9/main" objectType="Radio" lockText="1"/>
</file>

<file path=xl/ctrlProps/ctrlProp791.xml><?xml version="1.0" encoding="utf-8"?>
<formControlPr xmlns="http://schemas.microsoft.com/office/spreadsheetml/2009/9/main" objectType="Radio" lockText="1"/>
</file>

<file path=xl/ctrlProps/ctrlProp792.xml><?xml version="1.0" encoding="utf-8"?>
<formControlPr xmlns="http://schemas.microsoft.com/office/spreadsheetml/2009/9/main" objectType="Radio" lockText="1"/>
</file>

<file path=xl/ctrlProps/ctrlProp793.xml><?xml version="1.0" encoding="utf-8"?>
<formControlPr xmlns="http://schemas.microsoft.com/office/spreadsheetml/2009/9/main" objectType="Radio" checked="Checked" firstButton="1" fmlaLink="$S$8" lockText="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Radio" lockText="1"/>
</file>

<file path=xl/ctrlProps/ctrlProp796.xml><?xml version="1.0" encoding="utf-8"?>
<formControlPr xmlns="http://schemas.microsoft.com/office/spreadsheetml/2009/9/main" objectType="Radio" lockText="1"/>
</file>

<file path=xl/ctrlProps/ctrlProp797.xml><?xml version="1.0" encoding="utf-8"?>
<formControlPr xmlns="http://schemas.microsoft.com/office/spreadsheetml/2009/9/main" objectType="Radio" lockText="1"/>
</file>

<file path=xl/ctrlProps/ctrlProp798.xml><?xml version="1.0" encoding="utf-8"?>
<formControlPr xmlns="http://schemas.microsoft.com/office/spreadsheetml/2009/9/main" objectType="Radio" lockText="1"/>
</file>

<file path=xl/ctrlProps/ctrlProp799.xml><?xml version="1.0" encoding="utf-8"?>
<formControlPr xmlns="http://schemas.microsoft.com/office/spreadsheetml/2009/9/main" objectType="Radio" lockText="1"/>
</file>

<file path=xl/ctrlProps/ctrlProp8.xml><?xml version="1.0" encoding="utf-8"?>
<formControlPr xmlns="http://schemas.microsoft.com/office/spreadsheetml/2009/9/main" objectType="CheckBox" fmlaLink="$S$44" lockText="1"/>
</file>

<file path=xl/ctrlProps/ctrlProp80.xml><?xml version="1.0" encoding="utf-8"?>
<formControlPr xmlns="http://schemas.microsoft.com/office/spreadsheetml/2009/9/main" objectType="CheckBox" fmlaLink="$R$501" lockText="1"/>
</file>

<file path=xl/ctrlProps/ctrlProp800.xml><?xml version="1.0" encoding="utf-8"?>
<formControlPr xmlns="http://schemas.microsoft.com/office/spreadsheetml/2009/9/main" objectType="Radio" lockText="1"/>
</file>

<file path=xl/ctrlProps/ctrlProp801.xml><?xml version="1.0" encoding="utf-8"?>
<formControlPr xmlns="http://schemas.microsoft.com/office/spreadsheetml/2009/9/main" objectType="Radio" lockText="1"/>
</file>

<file path=xl/ctrlProps/ctrlProp802.xml><?xml version="1.0" encoding="utf-8"?>
<formControlPr xmlns="http://schemas.microsoft.com/office/spreadsheetml/2009/9/main" objectType="Radio" checked="Checked" firstButton="1" fmlaLink="$S$4" lockText="1"/>
</file>

<file path=xl/ctrlProps/ctrlProp803.xml><?xml version="1.0" encoding="utf-8"?>
<formControlPr xmlns="http://schemas.microsoft.com/office/spreadsheetml/2009/9/main" objectType="GBox" noThreeD="1"/>
</file>

<file path=xl/ctrlProps/ctrlProp804.xml><?xml version="1.0" encoding="utf-8"?>
<formControlPr xmlns="http://schemas.microsoft.com/office/spreadsheetml/2009/9/main" objectType="Radio" lockText="1"/>
</file>

<file path=xl/ctrlProps/ctrlProp805.xml><?xml version="1.0" encoding="utf-8"?>
<formControlPr xmlns="http://schemas.microsoft.com/office/spreadsheetml/2009/9/main" objectType="Radio" lockText="1"/>
</file>

<file path=xl/ctrlProps/ctrlProp806.xml><?xml version="1.0" encoding="utf-8"?>
<formControlPr xmlns="http://schemas.microsoft.com/office/spreadsheetml/2009/9/main" objectType="Radio" lockText="1"/>
</file>

<file path=xl/ctrlProps/ctrlProp807.xml><?xml version="1.0" encoding="utf-8"?>
<formControlPr xmlns="http://schemas.microsoft.com/office/spreadsheetml/2009/9/main" objectType="Radio" lockText="1"/>
</file>

<file path=xl/ctrlProps/ctrlProp808.xml><?xml version="1.0" encoding="utf-8"?>
<formControlPr xmlns="http://schemas.microsoft.com/office/spreadsheetml/2009/9/main" objectType="Radio" lockText="1"/>
</file>

<file path=xl/ctrlProps/ctrlProp809.xml><?xml version="1.0" encoding="utf-8"?>
<formControlPr xmlns="http://schemas.microsoft.com/office/spreadsheetml/2009/9/main" objectType="Radio" lockText="1"/>
</file>

<file path=xl/ctrlProps/ctrlProp81.xml><?xml version="1.0" encoding="utf-8"?>
<formControlPr xmlns="http://schemas.microsoft.com/office/spreadsheetml/2009/9/main" objectType="CheckBox" fmlaLink="$R$502" lockText="1"/>
</file>

<file path=xl/ctrlProps/ctrlProp810.xml><?xml version="1.0" encoding="utf-8"?>
<formControlPr xmlns="http://schemas.microsoft.com/office/spreadsheetml/2009/9/main" objectType="GBox" noThreeD="1"/>
</file>

<file path=xl/ctrlProps/ctrlProp811.xml><?xml version="1.0" encoding="utf-8"?>
<formControlPr xmlns="http://schemas.microsoft.com/office/spreadsheetml/2009/9/main" objectType="Radio" checked="Checked" firstButton="1" fmlaLink="$S$5" lockText="1"/>
</file>

<file path=xl/ctrlProps/ctrlProp812.xml><?xml version="1.0" encoding="utf-8"?>
<formControlPr xmlns="http://schemas.microsoft.com/office/spreadsheetml/2009/9/main" objectType="Radio" lockText="1"/>
</file>

<file path=xl/ctrlProps/ctrlProp813.xml><?xml version="1.0" encoding="utf-8"?>
<formControlPr xmlns="http://schemas.microsoft.com/office/spreadsheetml/2009/9/main" objectType="Radio" lockText="1"/>
</file>

<file path=xl/ctrlProps/ctrlProp814.xml><?xml version="1.0" encoding="utf-8"?>
<formControlPr xmlns="http://schemas.microsoft.com/office/spreadsheetml/2009/9/main" objectType="Radio" lockText="1"/>
</file>

<file path=xl/ctrlProps/ctrlProp815.xml><?xml version="1.0" encoding="utf-8"?>
<formControlPr xmlns="http://schemas.microsoft.com/office/spreadsheetml/2009/9/main" objectType="GBox" noThreeD="1"/>
</file>

<file path=xl/ctrlProps/ctrlProp816.xml><?xml version="1.0" encoding="utf-8"?>
<formControlPr xmlns="http://schemas.microsoft.com/office/spreadsheetml/2009/9/main" objectType="Radio" checked="Checked" firstButton="1" fmlaLink="$S$9" lockText="1"/>
</file>

<file path=xl/ctrlProps/ctrlProp817.xml><?xml version="1.0" encoding="utf-8"?>
<formControlPr xmlns="http://schemas.microsoft.com/office/spreadsheetml/2009/9/main" objectType="Radio" lockText="1"/>
</file>

<file path=xl/ctrlProps/ctrlProp818.xml><?xml version="1.0" encoding="utf-8"?>
<formControlPr xmlns="http://schemas.microsoft.com/office/spreadsheetml/2009/9/main" objectType="Radio" lockText="1"/>
</file>

<file path=xl/ctrlProps/ctrlProp819.xml><?xml version="1.0" encoding="utf-8"?>
<formControlPr xmlns="http://schemas.microsoft.com/office/spreadsheetml/2009/9/main" objectType="Radio" lockText="1"/>
</file>

<file path=xl/ctrlProps/ctrlProp82.xml><?xml version="1.0" encoding="utf-8"?>
<formControlPr xmlns="http://schemas.microsoft.com/office/spreadsheetml/2009/9/main" objectType="CheckBox" fmlaLink="$R$503" lockText="1"/>
</file>

<file path=xl/ctrlProps/ctrlProp820.xml><?xml version="1.0" encoding="utf-8"?>
<formControlPr xmlns="http://schemas.microsoft.com/office/spreadsheetml/2009/9/main" objectType="Radio" lockText="1"/>
</file>

<file path=xl/ctrlProps/ctrlProp821.xml><?xml version="1.0" encoding="utf-8"?>
<formControlPr xmlns="http://schemas.microsoft.com/office/spreadsheetml/2009/9/main" objectType="GBox" noThreeD="1"/>
</file>

<file path=xl/ctrlProps/ctrlProp822.xml><?xml version="1.0" encoding="utf-8"?>
<formControlPr xmlns="http://schemas.microsoft.com/office/spreadsheetml/2009/9/main" objectType="Radio" checked="Checked" firstButton="1" fmlaLink="$S$14" lockText="1"/>
</file>

<file path=xl/ctrlProps/ctrlProp823.xml><?xml version="1.0" encoding="utf-8"?>
<formControlPr xmlns="http://schemas.microsoft.com/office/spreadsheetml/2009/9/main" objectType="Radio" lockText="1"/>
</file>

<file path=xl/ctrlProps/ctrlProp824.xml><?xml version="1.0" encoding="utf-8"?>
<formControlPr xmlns="http://schemas.microsoft.com/office/spreadsheetml/2009/9/main" objectType="Radio" lockText="1"/>
</file>

<file path=xl/ctrlProps/ctrlProp825.xml><?xml version="1.0" encoding="utf-8"?>
<formControlPr xmlns="http://schemas.microsoft.com/office/spreadsheetml/2009/9/main" objectType="GBox" noThreeD="1"/>
</file>

<file path=xl/ctrlProps/ctrlProp826.xml><?xml version="1.0" encoding="utf-8"?>
<formControlPr xmlns="http://schemas.microsoft.com/office/spreadsheetml/2009/9/main" objectType="Radio" checked="Checked" firstButton="1" fmlaLink="$S$4" lockText="1"/>
</file>

<file path=xl/ctrlProps/ctrlProp827.xml><?xml version="1.0" encoding="utf-8"?>
<formControlPr xmlns="http://schemas.microsoft.com/office/spreadsheetml/2009/9/main" objectType="Radio" lockText="1"/>
</file>

<file path=xl/ctrlProps/ctrlProp828.xml><?xml version="1.0" encoding="utf-8"?>
<formControlPr xmlns="http://schemas.microsoft.com/office/spreadsheetml/2009/9/main" objectType="Radio" lockText="1"/>
</file>

<file path=xl/ctrlProps/ctrlProp829.xml><?xml version="1.0" encoding="utf-8"?>
<formControlPr xmlns="http://schemas.microsoft.com/office/spreadsheetml/2009/9/main" objectType="Radio" lockText="1"/>
</file>

<file path=xl/ctrlProps/ctrlProp83.xml><?xml version="1.0" encoding="utf-8"?>
<formControlPr xmlns="http://schemas.microsoft.com/office/spreadsheetml/2009/9/main" objectType="CheckBox" fmlaLink="$R$504" lockText="1"/>
</file>

<file path=xl/ctrlProps/ctrlProp830.xml><?xml version="1.0" encoding="utf-8"?>
<formControlPr xmlns="http://schemas.microsoft.com/office/spreadsheetml/2009/9/main" objectType="CheckBox" fmlaLink="$S$27" lockText="1"/>
</file>

<file path=xl/ctrlProps/ctrlProp831.xml><?xml version="1.0" encoding="utf-8"?>
<formControlPr xmlns="http://schemas.microsoft.com/office/spreadsheetml/2009/9/main" objectType="CheckBox" fmlaLink="$S$38" lockText="1"/>
</file>

<file path=xl/ctrlProps/ctrlProp832.xml><?xml version="1.0" encoding="utf-8"?>
<formControlPr xmlns="http://schemas.microsoft.com/office/spreadsheetml/2009/9/main" objectType="GBox" noThreeD="1"/>
</file>

<file path=xl/ctrlProps/ctrlProp833.xml><?xml version="1.0" encoding="utf-8"?>
<formControlPr xmlns="http://schemas.microsoft.com/office/spreadsheetml/2009/9/main" objectType="Radio" checked="Checked" firstButton="1" fmlaLink="$S$8" lockText="1"/>
</file>

<file path=xl/ctrlProps/ctrlProp834.xml><?xml version="1.0" encoding="utf-8"?>
<formControlPr xmlns="http://schemas.microsoft.com/office/spreadsheetml/2009/9/main" objectType="Radio" lockText="1"/>
</file>

<file path=xl/ctrlProps/ctrlProp835.xml><?xml version="1.0" encoding="utf-8"?>
<formControlPr xmlns="http://schemas.microsoft.com/office/spreadsheetml/2009/9/main" objectType="Radio" lockText="1"/>
</file>

<file path=xl/ctrlProps/ctrlProp836.xml><?xml version="1.0" encoding="utf-8"?>
<formControlPr xmlns="http://schemas.microsoft.com/office/spreadsheetml/2009/9/main" objectType="Radio" lockText="1"/>
</file>

<file path=xl/ctrlProps/ctrlProp837.xml><?xml version="1.0" encoding="utf-8"?>
<formControlPr xmlns="http://schemas.microsoft.com/office/spreadsheetml/2009/9/main" objectType="Radio" lockText="1"/>
</file>

<file path=xl/ctrlProps/ctrlProp838.xml><?xml version="1.0" encoding="utf-8"?>
<formControlPr xmlns="http://schemas.microsoft.com/office/spreadsheetml/2009/9/main" objectType="GBox" noThreeD="1"/>
</file>

<file path=xl/ctrlProps/ctrlProp839.xml><?xml version="1.0" encoding="utf-8"?>
<formControlPr xmlns="http://schemas.microsoft.com/office/spreadsheetml/2009/9/main" objectType="Radio" checked="Checked" firstButton="1" fmlaLink="$S$13" lockText="1"/>
</file>

<file path=xl/ctrlProps/ctrlProp84.xml><?xml version="1.0" encoding="utf-8"?>
<formControlPr xmlns="http://schemas.microsoft.com/office/spreadsheetml/2009/9/main" objectType="CheckBox" fmlaLink="$R$505" lockText="1"/>
</file>

<file path=xl/ctrlProps/ctrlProp840.xml><?xml version="1.0" encoding="utf-8"?>
<formControlPr xmlns="http://schemas.microsoft.com/office/spreadsheetml/2009/9/main" objectType="Radio" lockText="1"/>
</file>

<file path=xl/ctrlProps/ctrlProp841.xml><?xml version="1.0" encoding="utf-8"?>
<formControlPr xmlns="http://schemas.microsoft.com/office/spreadsheetml/2009/9/main" objectType="Radio" lockText="1"/>
</file>

<file path=xl/ctrlProps/ctrlProp842.xml><?xml version="1.0" encoding="utf-8"?>
<formControlPr xmlns="http://schemas.microsoft.com/office/spreadsheetml/2009/9/main" objectType="Radio" lockText="1"/>
</file>

<file path=xl/ctrlProps/ctrlProp843.xml><?xml version="1.0" encoding="utf-8"?>
<formControlPr xmlns="http://schemas.microsoft.com/office/spreadsheetml/2009/9/main" objectType="Radio" lockText="1"/>
</file>

<file path=xl/ctrlProps/ctrlProp844.xml><?xml version="1.0" encoding="utf-8"?>
<formControlPr xmlns="http://schemas.microsoft.com/office/spreadsheetml/2009/9/main" objectType="GBox" noThreeD="1"/>
</file>

<file path=xl/ctrlProps/ctrlProp845.xml><?xml version="1.0" encoding="utf-8"?>
<formControlPr xmlns="http://schemas.microsoft.com/office/spreadsheetml/2009/9/main" objectType="Radio" checked="Checked" firstButton="1" fmlaLink="$S$18" lockText="1"/>
</file>

<file path=xl/ctrlProps/ctrlProp846.xml><?xml version="1.0" encoding="utf-8"?>
<formControlPr xmlns="http://schemas.microsoft.com/office/spreadsheetml/2009/9/main" objectType="Radio" lockText="1"/>
</file>

<file path=xl/ctrlProps/ctrlProp847.xml><?xml version="1.0" encoding="utf-8"?>
<formControlPr xmlns="http://schemas.microsoft.com/office/spreadsheetml/2009/9/main" objectType="Radio" lockText="1"/>
</file>

<file path=xl/ctrlProps/ctrlProp848.xml><?xml version="1.0" encoding="utf-8"?>
<formControlPr xmlns="http://schemas.microsoft.com/office/spreadsheetml/2009/9/main" objectType="Radio" lockText="1"/>
</file>

<file path=xl/ctrlProps/ctrlProp849.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Radio" checked="Checked" firstButton="1" fmlaLink="$S$22" lockText="1"/>
</file>

<file path=xl/ctrlProps/ctrlProp851.xml><?xml version="1.0" encoding="utf-8"?>
<formControlPr xmlns="http://schemas.microsoft.com/office/spreadsheetml/2009/9/main" objectType="Radio" lockText="1"/>
</file>

<file path=xl/ctrlProps/ctrlProp852.xml><?xml version="1.0" encoding="utf-8"?>
<formControlPr xmlns="http://schemas.microsoft.com/office/spreadsheetml/2009/9/main" objectType="Radio" lockText="1"/>
</file>

<file path=xl/ctrlProps/ctrlProp853.xml><?xml version="1.0" encoding="utf-8"?>
<formControlPr xmlns="http://schemas.microsoft.com/office/spreadsheetml/2009/9/main" objectType="Radio" lockText="1"/>
</file>

<file path=xl/ctrlProps/ctrlProp854.xml><?xml version="1.0" encoding="utf-8"?>
<formControlPr xmlns="http://schemas.microsoft.com/office/spreadsheetml/2009/9/main" objectType="Radio" lockText="1"/>
</file>

<file path=xl/ctrlProps/ctrlProp855.xml><?xml version="1.0" encoding="utf-8"?>
<formControlPr xmlns="http://schemas.microsoft.com/office/spreadsheetml/2009/9/main" objectType="GBox" noThreeD="1"/>
</file>

<file path=xl/ctrlProps/ctrlProp856.xml><?xml version="1.0" encoding="utf-8"?>
<formControlPr xmlns="http://schemas.microsoft.com/office/spreadsheetml/2009/9/main" objectType="Radio" checked="Checked" firstButton="1" fmlaLink="$S$28" lockText="1"/>
</file>

<file path=xl/ctrlProps/ctrlProp857.xml><?xml version="1.0" encoding="utf-8"?>
<formControlPr xmlns="http://schemas.microsoft.com/office/spreadsheetml/2009/9/main" objectType="Radio" lockText="1"/>
</file>

<file path=xl/ctrlProps/ctrlProp858.xml><?xml version="1.0" encoding="utf-8"?>
<formControlPr xmlns="http://schemas.microsoft.com/office/spreadsheetml/2009/9/main" objectType="Radio" lockText="1"/>
</file>

<file path=xl/ctrlProps/ctrlProp859.xml><?xml version="1.0" encoding="utf-8"?>
<formControlPr xmlns="http://schemas.microsoft.com/office/spreadsheetml/2009/9/main" objectType="Radio" lockText="1"/>
</file>

<file path=xl/ctrlProps/ctrlProp86.xml><?xml version="1.0" encoding="utf-8"?>
<formControlPr xmlns="http://schemas.microsoft.com/office/spreadsheetml/2009/9/main" objectType="Radio" firstButton="1" fmlaLink="$R$514" lockText="1"/>
</file>

<file path=xl/ctrlProps/ctrlProp860.xml><?xml version="1.0" encoding="utf-8"?>
<formControlPr xmlns="http://schemas.microsoft.com/office/spreadsheetml/2009/9/main" objectType="Radio" lockText="1"/>
</file>

<file path=xl/ctrlProps/ctrlProp861.xml><?xml version="1.0" encoding="utf-8"?>
<formControlPr xmlns="http://schemas.microsoft.com/office/spreadsheetml/2009/9/main" objectType="GBox" noThreeD="1"/>
</file>

<file path=xl/ctrlProps/ctrlProp862.xml><?xml version="1.0" encoding="utf-8"?>
<formControlPr xmlns="http://schemas.microsoft.com/office/spreadsheetml/2009/9/main" objectType="Radio" checked="Checked" firstButton="1" fmlaLink="$S$33" lockText="1"/>
</file>

<file path=xl/ctrlProps/ctrlProp863.xml><?xml version="1.0" encoding="utf-8"?>
<formControlPr xmlns="http://schemas.microsoft.com/office/spreadsheetml/2009/9/main" objectType="Radio" lockText="1"/>
</file>

<file path=xl/ctrlProps/ctrlProp864.xml><?xml version="1.0" encoding="utf-8"?>
<formControlPr xmlns="http://schemas.microsoft.com/office/spreadsheetml/2009/9/main" objectType="Radio" lockText="1"/>
</file>

<file path=xl/ctrlProps/ctrlProp865.xml><?xml version="1.0" encoding="utf-8"?>
<formControlPr xmlns="http://schemas.microsoft.com/office/spreadsheetml/2009/9/main" objectType="Radio" lockText="1"/>
</file>

<file path=xl/ctrlProps/ctrlProp866.xml><?xml version="1.0" encoding="utf-8"?>
<formControlPr xmlns="http://schemas.microsoft.com/office/spreadsheetml/2009/9/main" objectType="Radio" lockText="1"/>
</file>

<file path=xl/ctrlProps/ctrlProp867.xml><?xml version="1.0" encoding="utf-8"?>
<formControlPr xmlns="http://schemas.microsoft.com/office/spreadsheetml/2009/9/main" objectType="GBox" noThreeD="1"/>
</file>

<file path=xl/ctrlProps/ctrlProp868.xml><?xml version="1.0" encoding="utf-8"?>
<formControlPr xmlns="http://schemas.microsoft.com/office/spreadsheetml/2009/9/main" objectType="Radio" checked="Checked" firstButton="1" fmlaLink="$S$39" lockText="1"/>
</file>

<file path=xl/ctrlProps/ctrlProp869.xml><?xml version="1.0" encoding="utf-8"?>
<formControlPr xmlns="http://schemas.microsoft.com/office/spreadsheetml/2009/9/main" objectType="Radio" lockText="1"/>
</file>

<file path=xl/ctrlProps/ctrlProp87.xml><?xml version="1.0" encoding="utf-8"?>
<formControlPr xmlns="http://schemas.microsoft.com/office/spreadsheetml/2009/9/main" objectType="Radio" checked="Checked" lockText="1"/>
</file>

<file path=xl/ctrlProps/ctrlProp870.xml><?xml version="1.0" encoding="utf-8"?>
<formControlPr xmlns="http://schemas.microsoft.com/office/spreadsheetml/2009/9/main" objectType="Radio" lockText="1"/>
</file>

<file path=xl/ctrlProps/ctrlProp871.xml><?xml version="1.0" encoding="utf-8"?>
<formControlPr xmlns="http://schemas.microsoft.com/office/spreadsheetml/2009/9/main" objectType="Radio" lockText="1"/>
</file>

<file path=xl/ctrlProps/ctrlProp872.xml><?xml version="1.0" encoding="utf-8"?>
<formControlPr xmlns="http://schemas.microsoft.com/office/spreadsheetml/2009/9/main" objectType="GBox" noThreeD="1"/>
</file>

<file path=xl/ctrlProps/ctrlProp873.xml><?xml version="1.0" encoding="utf-8"?>
<formControlPr xmlns="http://schemas.microsoft.com/office/spreadsheetml/2009/9/main" objectType="Radio" checked="Checked" firstButton="1" fmlaLink="$S$43" lockText="1"/>
</file>

<file path=xl/ctrlProps/ctrlProp874.xml><?xml version="1.0" encoding="utf-8"?>
<formControlPr xmlns="http://schemas.microsoft.com/office/spreadsheetml/2009/9/main" objectType="Radio" lockText="1"/>
</file>

<file path=xl/ctrlProps/ctrlProp875.xml><?xml version="1.0" encoding="utf-8"?>
<formControlPr xmlns="http://schemas.microsoft.com/office/spreadsheetml/2009/9/main" objectType="Radio" lockText="1"/>
</file>

<file path=xl/ctrlProps/ctrlProp876.xml><?xml version="1.0" encoding="utf-8"?>
<formControlPr xmlns="http://schemas.microsoft.com/office/spreadsheetml/2009/9/main" objectType="Radio" lockText="1"/>
</file>

<file path=xl/ctrlProps/ctrlProp877.xml><?xml version="1.0" encoding="utf-8"?>
<formControlPr xmlns="http://schemas.microsoft.com/office/spreadsheetml/2009/9/main" objectType="Radio" lockText="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Radio" checked="Checked" firstButton="1" fmlaLink="$S$48" lockText="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Radio" lockText="1"/>
</file>

<file path=xl/ctrlProps/ctrlProp881.xml><?xml version="1.0" encoding="utf-8"?>
<formControlPr xmlns="http://schemas.microsoft.com/office/spreadsheetml/2009/9/main" objectType="Radio" lockText="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Radio" checked="Checked" firstButton="1" fmlaLink="$S$51" lockText="1"/>
</file>

<file path=xl/ctrlProps/ctrlProp884.xml><?xml version="1.0" encoding="utf-8"?>
<formControlPr xmlns="http://schemas.microsoft.com/office/spreadsheetml/2009/9/main" objectType="Radio" lockText="1"/>
</file>

<file path=xl/ctrlProps/ctrlProp885.xml><?xml version="1.0" encoding="utf-8"?>
<formControlPr xmlns="http://schemas.microsoft.com/office/spreadsheetml/2009/9/main" objectType="Radio" lockText="1"/>
</file>

<file path=xl/ctrlProps/ctrlProp886.xml><?xml version="1.0" encoding="utf-8"?>
<formControlPr xmlns="http://schemas.microsoft.com/office/spreadsheetml/2009/9/main" objectType="Radio" lockText="1"/>
</file>

<file path=xl/ctrlProps/ctrlProp887.xml><?xml version="1.0" encoding="utf-8"?>
<formControlPr xmlns="http://schemas.microsoft.com/office/spreadsheetml/2009/9/main" objectType="Radio" lockText="1"/>
</file>

<file path=xl/ctrlProps/ctrlProp888.xml><?xml version="1.0" encoding="utf-8"?>
<formControlPr xmlns="http://schemas.microsoft.com/office/spreadsheetml/2009/9/main" objectType="Radio" lockText="1"/>
</file>

<file path=xl/ctrlProps/ctrlProp889.xml><?xml version="1.0" encoding="utf-8"?>
<formControlPr xmlns="http://schemas.microsoft.com/office/spreadsheetml/2009/9/main" objectType="Radio" lockText="1"/>
</file>

<file path=xl/ctrlProps/ctrlProp89.xml><?xml version="1.0" encoding="utf-8"?>
<formControlPr xmlns="http://schemas.microsoft.com/office/spreadsheetml/2009/9/main" objectType="Radio" checked="Checked" firstButton="1" fmlaLink="$R$558" lockText="1"/>
</file>

<file path=xl/ctrlProps/ctrlProp890.xml><?xml version="1.0" encoding="utf-8"?>
<formControlPr xmlns="http://schemas.microsoft.com/office/spreadsheetml/2009/9/main" objectType="Radio" lockText="1"/>
</file>

<file path=xl/ctrlProps/ctrlProp891.xml><?xml version="1.0" encoding="utf-8"?>
<formControlPr xmlns="http://schemas.microsoft.com/office/spreadsheetml/2009/9/main" objectType="Radio" lockText="1"/>
</file>

<file path=xl/ctrlProps/ctrlProp892.xml><?xml version="1.0" encoding="utf-8"?>
<formControlPr xmlns="http://schemas.microsoft.com/office/spreadsheetml/2009/9/main" objectType="Radio" lockText="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Radio" checked="Checked" firstButton="1" fmlaLink="$S$58" lockText="1"/>
</file>

<file path=xl/ctrlProps/ctrlProp895.xml><?xml version="1.0" encoding="utf-8"?>
<formControlPr xmlns="http://schemas.microsoft.com/office/spreadsheetml/2009/9/main" objectType="Radio" lockText="1"/>
</file>

<file path=xl/ctrlProps/ctrlProp896.xml><?xml version="1.0" encoding="utf-8"?>
<formControlPr xmlns="http://schemas.microsoft.com/office/spreadsheetml/2009/9/main" objectType="Radio" lockText="1"/>
</file>

<file path=xl/ctrlProps/ctrlProp897.xml><?xml version="1.0" encoding="utf-8"?>
<formControlPr xmlns="http://schemas.microsoft.com/office/spreadsheetml/2009/9/main" objectType="Radio" lockText="1"/>
</file>

<file path=xl/ctrlProps/ctrlProp898.xml><?xml version="1.0" encoding="utf-8"?>
<formControlPr xmlns="http://schemas.microsoft.com/office/spreadsheetml/2009/9/main" objectType="GBox" noThreeD="1"/>
</file>

<file path=xl/ctrlProps/ctrlProp899.xml><?xml version="1.0" encoding="utf-8"?>
<formControlPr xmlns="http://schemas.microsoft.com/office/spreadsheetml/2009/9/main" objectType="Radio" checked="Checked" firstButton="1" fmlaLink="$S$4" lockText="1"/>
</file>

<file path=xl/ctrlProps/ctrlProp9.xml><?xml version="1.0" encoding="utf-8"?>
<formControlPr xmlns="http://schemas.microsoft.com/office/spreadsheetml/2009/9/main" objectType="CheckBox" fmlaLink="$S$45" lockText="1"/>
</file>

<file path=xl/ctrlProps/ctrlProp90.xml><?xml version="1.0" encoding="utf-8"?>
<formControlPr xmlns="http://schemas.microsoft.com/office/spreadsheetml/2009/9/main" objectType="Radio" lockText="1"/>
</file>

<file path=xl/ctrlProps/ctrlProp900.xml><?xml version="1.0" encoding="utf-8"?>
<formControlPr xmlns="http://schemas.microsoft.com/office/spreadsheetml/2009/9/main" objectType="Radio" lockText="1"/>
</file>

<file path=xl/ctrlProps/ctrlProp901.xml><?xml version="1.0" encoding="utf-8"?>
<formControlPr xmlns="http://schemas.microsoft.com/office/spreadsheetml/2009/9/main" objectType="Radio" lockText="1"/>
</file>

<file path=xl/ctrlProps/ctrlProp902.xml><?xml version="1.0" encoding="utf-8"?>
<formControlPr xmlns="http://schemas.microsoft.com/office/spreadsheetml/2009/9/main" objectType="Radio" lockText="1"/>
</file>

<file path=xl/ctrlProps/ctrlProp903.xml><?xml version="1.0" encoding="utf-8"?>
<formControlPr xmlns="http://schemas.microsoft.com/office/spreadsheetml/2009/9/main" objectType="GBox" noThreeD="1"/>
</file>

<file path=xl/ctrlProps/ctrlProp904.xml><?xml version="1.0" encoding="utf-8"?>
<formControlPr xmlns="http://schemas.microsoft.com/office/spreadsheetml/2009/9/main" objectType="Radio" checked="Checked" firstButton="1" fmlaLink="$S$8" lockText="1"/>
</file>

<file path=xl/ctrlProps/ctrlProp905.xml><?xml version="1.0" encoding="utf-8"?>
<formControlPr xmlns="http://schemas.microsoft.com/office/spreadsheetml/2009/9/main" objectType="Radio" lockText="1"/>
</file>

<file path=xl/ctrlProps/ctrlProp906.xml><?xml version="1.0" encoding="utf-8"?>
<formControlPr xmlns="http://schemas.microsoft.com/office/spreadsheetml/2009/9/main" objectType="Radio" lockText="1"/>
</file>

<file path=xl/ctrlProps/ctrlProp907.xml><?xml version="1.0" encoding="utf-8"?>
<formControlPr xmlns="http://schemas.microsoft.com/office/spreadsheetml/2009/9/main" objectType="GBox" noThreeD="1"/>
</file>

<file path=xl/ctrlProps/ctrlProp908.xml><?xml version="1.0" encoding="utf-8"?>
<formControlPr xmlns="http://schemas.microsoft.com/office/spreadsheetml/2009/9/main" objectType="Radio" checked="Checked" firstButton="1" fmlaLink="$S$11" lockText="1"/>
</file>

<file path=xl/ctrlProps/ctrlProp909.xml><?xml version="1.0" encoding="utf-8"?>
<formControlPr xmlns="http://schemas.microsoft.com/office/spreadsheetml/2009/9/main" objectType="Radio" lockText="1"/>
</file>

<file path=xl/ctrlProps/ctrlProp91.xml><?xml version="1.0" encoding="utf-8"?>
<formControlPr xmlns="http://schemas.microsoft.com/office/spreadsheetml/2009/9/main" objectType="CheckBox" fmlaLink="$S$107" lockText="1"/>
</file>

<file path=xl/ctrlProps/ctrlProp910.xml><?xml version="1.0" encoding="utf-8"?>
<formControlPr xmlns="http://schemas.microsoft.com/office/spreadsheetml/2009/9/main" objectType="Radio" lockText="1"/>
</file>

<file path=xl/ctrlProps/ctrlProp911.xml><?xml version="1.0" encoding="utf-8"?>
<formControlPr xmlns="http://schemas.microsoft.com/office/spreadsheetml/2009/9/main" objectType="Radio" lockText="1"/>
</file>

<file path=xl/ctrlProps/ctrlProp912.xml><?xml version="1.0" encoding="utf-8"?>
<formControlPr xmlns="http://schemas.microsoft.com/office/spreadsheetml/2009/9/main" objectType="GBox" noThreeD="1"/>
</file>

<file path=xl/ctrlProps/ctrlProp913.xml><?xml version="1.0" encoding="utf-8"?>
<formControlPr xmlns="http://schemas.microsoft.com/office/spreadsheetml/2009/9/main" objectType="Radio" checked="Checked" firstButton="1" fmlaLink="$S$15" lockText="1"/>
</file>

<file path=xl/ctrlProps/ctrlProp914.xml><?xml version="1.0" encoding="utf-8"?>
<formControlPr xmlns="http://schemas.microsoft.com/office/spreadsheetml/2009/9/main" objectType="Radio" lockText="1"/>
</file>

<file path=xl/ctrlProps/ctrlProp915.xml><?xml version="1.0" encoding="utf-8"?>
<formControlPr xmlns="http://schemas.microsoft.com/office/spreadsheetml/2009/9/main" objectType="Radio" lockText="1"/>
</file>

<file path=xl/ctrlProps/ctrlProp916.xml><?xml version="1.0" encoding="utf-8"?>
<formControlPr xmlns="http://schemas.microsoft.com/office/spreadsheetml/2009/9/main" objectType="GBox" noThreeD="1"/>
</file>

<file path=xl/ctrlProps/ctrlProp917.xml><?xml version="1.0" encoding="utf-8"?>
<formControlPr xmlns="http://schemas.microsoft.com/office/spreadsheetml/2009/9/main" objectType="Radio" checked="Checked" firstButton="1" fmlaLink="$S$18" lockText="1"/>
</file>

<file path=xl/ctrlProps/ctrlProp918.xml><?xml version="1.0" encoding="utf-8"?>
<formControlPr xmlns="http://schemas.microsoft.com/office/spreadsheetml/2009/9/main" objectType="Radio" lockText="1"/>
</file>

<file path=xl/ctrlProps/ctrlProp919.xml><?xml version="1.0" encoding="utf-8"?>
<formControlPr xmlns="http://schemas.microsoft.com/office/spreadsheetml/2009/9/main" objectType="Radio" lockText="1"/>
</file>

<file path=xl/ctrlProps/ctrlProp92.xml><?xml version="1.0" encoding="utf-8"?>
<formControlPr xmlns="http://schemas.microsoft.com/office/spreadsheetml/2009/9/main" objectType="CheckBox" fmlaLink="$S$109" lockText="1"/>
</file>

<file path=xl/ctrlProps/ctrlProp920.xml><?xml version="1.0" encoding="utf-8"?>
<formControlPr xmlns="http://schemas.microsoft.com/office/spreadsheetml/2009/9/main" objectType="Radio" lockText="1"/>
</file>

<file path=xl/ctrlProps/ctrlProp921.xml><?xml version="1.0" encoding="utf-8"?>
<formControlPr xmlns="http://schemas.microsoft.com/office/spreadsheetml/2009/9/main" objectType="GBox" noThreeD="1"/>
</file>

<file path=xl/ctrlProps/ctrlProp922.xml><?xml version="1.0" encoding="utf-8"?>
<formControlPr xmlns="http://schemas.microsoft.com/office/spreadsheetml/2009/9/main" objectType="Radio" checked="Checked" firstButton="1" fmlaLink="$S$22" lockText="1"/>
</file>

<file path=xl/ctrlProps/ctrlProp923.xml><?xml version="1.0" encoding="utf-8"?>
<formControlPr xmlns="http://schemas.microsoft.com/office/spreadsheetml/2009/9/main" objectType="Radio" lockText="1"/>
</file>

<file path=xl/ctrlProps/ctrlProp924.xml><?xml version="1.0" encoding="utf-8"?>
<formControlPr xmlns="http://schemas.microsoft.com/office/spreadsheetml/2009/9/main" objectType="Radio" lockText="1"/>
</file>

<file path=xl/ctrlProps/ctrlProp925.xml><?xml version="1.0" encoding="utf-8"?>
<formControlPr xmlns="http://schemas.microsoft.com/office/spreadsheetml/2009/9/main" objectType="Radio" lockText="1"/>
</file>

<file path=xl/ctrlProps/ctrlProp926.xml><?xml version="1.0" encoding="utf-8"?>
<formControlPr xmlns="http://schemas.microsoft.com/office/spreadsheetml/2009/9/main" objectType="GBox" noThreeD="1"/>
</file>

<file path=xl/ctrlProps/ctrlProp927.xml><?xml version="1.0" encoding="utf-8"?>
<formControlPr xmlns="http://schemas.microsoft.com/office/spreadsheetml/2009/9/main" objectType="Radio" checked="Checked" firstButton="1" fmlaLink="$S$26" lockText="1"/>
</file>

<file path=xl/ctrlProps/ctrlProp928.xml><?xml version="1.0" encoding="utf-8"?>
<formControlPr xmlns="http://schemas.microsoft.com/office/spreadsheetml/2009/9/main" objectType="Radio" lockText="1"/>
</file>

<file path=xl/ctrlProps/ctrlProp929.xml><?xml version="1.0" encoding="utf-8"?>
<formControlPr xmlns="http://schemas.microsoft.com/office/spreadsheetml/2009/9/main" objectType="Radio" lockText="1"/>
</file>

<file path=xl/ctrlProps/ctrlProp93.xml><?xml version="1.0" encoding="utf-8"?>
<formControlPr xmlns="http://schemas.microsoft.com/office/spreadsheetml/2009/9/main" objectType="CheckBox" fmlaLink="$S$108" lockText="1"/>
</file>

<file path=xl/ctrlProps/ctrlProp930.xml><?xml version="1.0" encoding="utf-8"?>
<formControlPr xmlns="http://schemas.microsoft.com/office/spreadsheetml/2009/9/main" objectType="Radio" lockText="1"/>
</file>

<file path=xl/ctrlProps/ctrlProp931.xml><?xml version="1.0" encoding="utf-8"?>
<formControlPr xmlns="http://schemas.microsoft.com/office/spreadsheetml/2009/9/main" objectType="GBox" noThreeD="1"/>
</file>

<file path=xl/ctrlProps/ctrlProp932.xml><?xml version="1.0" encoding="utf-8"?>
<formControlPr xmlns="http://schemas.microsoft.com/office/spreadsheetml/2009/9/main" objectType="Radio" checked="Checked" firstButton="1" fmlaLink="$S$30" lockText="1"/>
</file>

<file path=xl/ctrlProps/ctrlProp933.xml><?xml version="1.0" encoding="utf-8"?>
<formControlPr xmlns="http://schemas.microsoft.com/office/spreadsheetml/2009/9/main" objectType="Radio" lockText="1"/>
</file>

<file path=xl/ctrlProps/ctrlProp934.xml><?xml version="1.0" encoding="utf-8"?>
<formControlPr xmlns="http://schemas.microsoft.com/office/spreadsheetml/2009/9/main" objectType="Radio" lockText="1"/>
</file>

<file path=xl/ctrlProps/ctrlProp935.xml><?xml version="1.0" encoding="utf-8"?>
<formControlPr xmlns="http://schemas.microsoft.com/office/spreadsheetml/2009/9/main" objectType="Radio" lockText="1"/>
</file>

<file path=xl/ctrlProps/ctrlProp936.xml><?xml version="1.0" encoding="utf-8"?>
<formControlPr xmlns="http://schemas.microsoft.com/office/spreadsheetml/2009/9/main" objectType="Radio" lockText="1"/>
</file>

<file path=xl/ctrlProps/ctrlProp937.xml><?xml version="1.0" encoding="utf-8"?>
<formControlPr xmlns="http://schemas.microsoft.com/office/spreadsheetml/2009/9/main" objectType="GBox" noThreeD="1"/>
</file>

<file path=xl/ctrlProps/ctrlProp938.xml><?xml version="1.0" encoding="utf-8"?>
<formControlPr xmlns="http://schemas.microsoft.com/office/spreadsheetml/2009/9/main" objectType="Radio" checked="Checked" firstButton="1" fmlaLink="$S$38" lockText="1"/>
</file>

<file path=xl/ctrlProps/ctrlProp939.xml><?xml version="1.0" encoding="utf-8"?>
<formControlPr xmlns="http://schemas.microsoft.com/office/spreadsheetml/2009/9/main" objectType="Radio" lockText="1"/>
</file>

<file path=xl/ctrlProps/ctrlProp94.xml><?xml version="1.0" encoding="utf-8"?>
<formControlPr xmlns="http://schemas.microsoft.com/office/spreadsheetml/2009/9/main" objectType="CheckBox" fmlaLink="$S$182" lockText="1"/>
</file>

<file path=xl/ctrlProps/ctrlProp940.xml><?xml version="1.0" encoding="utf-8"?>
<formControlPr xmlns="http://schemas.microsoft.com/office/spreadsheetml/2009/9/main" objectType="Radio" lockText="1"/>
</file>

<file path=xl/ctrlProps/ctrlProp941.xml><?xml version="1.0" encoding="utf-8"?>
<formControlPr xmlns="http://schemas.microsoft.com/office/spreadsheetml/2009/9/main" objectType="GBox" noThreeD="1"/>
</file>

<file path=xl/ctrlProps/ctrlProp942.xml><?xml version="1.0" encoding="utf-8"?>
<formControlPr xmlns="http://schemas.microsoft.com/office/spreadsheetml/2009/9/main" objectType="Radio" checked="Checked" firstButton="1" fmlaLink="$S$35" lockText="1"/>
</file>

<file path=xl/ctrlProps/ctrlProp943.xml><?xml version="1.0" encoding="utf-8"?>
<formControlPr xmlns="http://schemas.microsoft.com/office/spreadsheetml/2009/9/main" objectType="Radio" lockText="1"/>
</file>

<file path=xl/ctrlProps/ctrlProp944.xml><?xml version="1.0" encoding="utf-8"?>
<formControlPr xmlns="http://schemas.microsoft.com/office/spreadsheetml/2009/9/main" objectType="Radio" lockText="1"/>
</file>

<file path=xl/ctrlProps/ctrlProp945.xml><?xml version="1.0" encoding="utf-8"?>
<formControlPr xmlns="http://schemas.microsoft.com/office/spreadsheetml/2009/9/main" objectType="GBox" noThreeD="1"/>
</file>

<file path=xl/ctrlProps/ctrlProp946.xml><?xml version="1.0" encoding="utf-8"?>
<formControlPr xmlns="http://schemas.microsoft.com/office/spreadsheetml/2009/9/main" objectType="Radio" checked="Checked" firstButton="1" fmlaLink="$S$12" lockText="1"/>
</file>

<file path=xl/ctrlProps/ctrlProp947.xml><?xml version="1.0" encoding="utf-8"?>
<formControlPr xmlns="http://schemas.microsoft.com/office/spreadsheetml/2009/9/main" objectType="Radio" lockText="1"/>
</file>

<file path=xl/ctrlProps/ctrlProp948.xml><?xml version="1.0" encoding="utf-8"?>
<formControlPr xmlns="http://schemas.microsoft.com/office/spreadsheetml/2009/9/main" objectType="Radio" lockText="1"/>
</file>

<file path=xl/ctrlProps/ctrlProp949.xml><?xml version="1.0" encoding="utf-8"?>
<formControlPr xmlns="http://schemas.microsoft.com/office/spreadsheetml/2009/9/main" objectType="Radio" lockText="1"/>
</file>

<file path=xl/ctrlProps/ctrlProp95.xml><?xml version="1.0" encoding="utf-8"?>
<formControlPr xmlns="http://schemas.microsoft.com/office/spreadsheetml/2009/9/main" objectType="CheckBox" fmlaLink="$S$183" lockText="1"/>
</file>

<file path=xl/ctrlProps/ctrlProp950.xml><?xml version="1.0" encoding="utf-8"?>
<formControlPr xmlns="http://schemas.microsoft.com/office/spreadsheetml/2009/9/main" objectType="GBox" noThreeD="1"/>
</file>

<file path=xl/ctrlProps/ctrlProp951.xml><?xml version="1.0" encoding="utf-8"?>
<formControlPr xmlns="http://schemas.microsoft.com/office/spreadsheetml/2009/9/main" objectType="Radio" checked="Checked" firstButton="1" fmlaLink="$S$6" lockText="1"/>
</file>

<file path=xl/ctrlProps/ctrlProp952.xml><?xml version="1.0" encoding="utf-8"?>
<formControlPr xmlns="http://schemas.microsoft.com/office/spreadsheetml/2009/9/main" objectType="Radio" lockText="1"/>
</file>

<file path=xl/ctrlProps/ctrlProp953.xml><?xml version="1.0" encoding="utf-8"?>
<formControlPr xmlns="http://schemas.microsoft.com/office/spreadsheetml/2009/9/main" objectType="Radio" lockText="1"/>
</file>

<file path=xl/ctrlProps/ctrlProp954.xml><?xml version="1.0" encoding="utf-8"?>
<formControlPr xmlns="http://schemas.microsoft.com/office/spreadsheetml/2009/9/main" objectType="Radio" lockText="1"/>
</file>

<file path=xl/ctrlProps/ctrlProp955.xml><?xml version="1.0" encoding="utf-8"?>
<formControlPr xmlns="http://schemas.microsoft.com/office/spreadsheetml/2009/9/main" objectType="Radio" lockText="1"/>
</file>

<file path=xl/ctrlProps/ctrlProp956.xml><?xml version="1.0" encoding="utf-8"?>
<formControlPr xmlns="http://schemas.microsoft.com/office/spreadsheetml/2009/9/main" objectType="Radio" lockText="1"/>
</file>

<file path=xl/ctrlProps/ctrlProp957.xml><?xml version="1.0" encoding="utf-8"?>
<formControlPr xmlns="http://schemas.microsoft.com/office/spreadsheetml/2009/9/main" objectType="Radio" checked="Checked" firstButton="1" fmlaLink="$S$4" lockText="1"/>
</file>

<file path=xl/ctrlProps/ctrlProp958.xml><?xml version="1.0" encoding="utf-8"?>
<formControlPr xmlns="http://schemas.microsoft.com/office/spreadsheetml/2009/9/main" objectType="Radio" lockText="1"/>
</file>

<file path=xl/ctrlProps/ctrlProp959.xml><?xml version="1.0" encoding="utf-8"?>
<formControlPr xmlns="http://schemas.microsoft.com/office/spreadsheetml/2009/9/main" objectType="Radio" lockText="1"/>
</file>

<file path=xl/ctrlProps/ctrlProp96.xml><?xml version="1.0" encoding="utf-8"?>
<formControlPr xmlns="http://schemas.microsoft.com/office/spreadsheetml/2009/9/main" objectType="CheckBox" fmlaLink="$S$185" lockText="1"/>
</file>

<file path=xl/ctrlProps/ctrlProp960.xml><?xml version="1.0" encoding="utf-8"?>
<formControlPr xmlns="http://schemas.microsoft.com/office/spreadsheetml/2009/9/main" objectType="Radio" lockText="1"/>
</file>

<file path=xl/ctrlProps/ctrlProp961.xml><?xml version="1.0" encoding="utf-8"?>
<formControlPr xmlns="http://schemas.microsoft.com/office/spreadsheetml/2009/9/main" objectType="GBox" noThreeD="1"/>
</file>

<file path=xl/ctrlProps/ctrlProp97.xml><?xml version="1.0" encoding="utf-8"?>
<formControlPr xmlns="http://schemas.microsoft.com/office/spreadsheetml/2009/9/main" objectType="CheckBox" fmlaLink="$S$184" lockText="1"/>
</file>

<file path=xl/ctrlProps/ctrlProp98.xml><?xml version="1.0" encoding="utf-8"?>
<formControlPr xmlns="http://schemas.microsoft.com/office/spreadsheetml/2009/9/main" objectType="CheckBox" fmlaLink="$S$258" lockText="1"/>
</file>

<file path=xl/ctrlProps/ctrlProp99.xml><?xml version="1.0" encoding="utf-8"?>
<formControlPr xmlns="http://schemas.microsoft.com/office/spreadsheetml/2009/9/main" objectType="CheckBox" fmlaLink="$S$259" lockText="1"/>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emf"/></Relationships>
</file>

<file path=xl/drawings/_rels/vmlDrawing2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3.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38100</xdr:colOff>
          <xdr:row>6</xdr:row>
          <xdr:rowOff>238125</xdr:rowOff>
        </xdr:from>
        <xdr:to>
          <xdr:col>7</xdr:col>
          <xdr:colOff>76200</xdr:colOff>
          <xdr:row>7</xdr:row>
          <xdr:rowOff>180975</xdr:rowOff>
        </xdr:to>
        <xdr:sp macro="" textlink="">
          <xdr:nvSpPr>
            <xdr:cNvPr id="39982" name="Check Box 46" hidden="1">
              <a:extLst>
                <a:ext uri="{63B3BB69-23CF-44E3-9099-C40C66FF867C}">
                  <a14:compatExt spid="_x0000_s39982"/>
                </a:ext>
                <a:ext uri="{FF2B5EF4-FFF2-40B4-BE49-F238E27FC236}">
                  <a16:creationId xmlns:a16="http://schemas.microsoft.com/office/drawing/2014/main" id="{00000000-0008-0000-0100-00002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38100</xdr:colOff>
          <xdr:row>10</xdr:row>
          <xdr:rowOff>133350</xdr:rowOff>
        </xdr:from>
        <xdr:to>
          <xdr:col>15</xdr:col>
          <xdr:colOff>714375</xdr:colOff>
          <xdr:row>12</xdr:row>
          <xdr:rowOff>76200</xdr:rowOff>
        </xdr:to>
        <xdr:sp macro="" textlink="">
          <xdr:nvSpPr>
            <xdr:cNvPr id="39965" name="Object 29" hidden="1">
              <a:extLst>
                <a:ext uri="{63B3BB69-23CF-44E3-9099-C40C66FF867C}">
                  <a14:compatExt spid="_x0000_s39965"/>
                </a:ext>
                <a:ext uri="{FF2B5EF4-FFF2-40B4-BE49-F238E27FC236}">
                  <a16:creationId xmlns:a16="http://schemas.microsoft.com/office/drawing/2014/main" id="{00000000-0008-0000-0100-00001D9C0000}"/>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47625</xdr:colOff>
          <xdr:row>19</xdr:row>
          <xdr:rowOff>171450</xdr:rowOff>
        </xdr:from>
        <xdr:to>
          <xdr:col>15</xdr:col>
          <xdr:colOff>704850</xdr:colOff>
          <xdr:row>21</xdr:row>
          <xdr:rowOff>95250</xdr:rowOff>
        </xdr:to>
        <xdr:sp macro="" textlink="">
          <xdr:nvSpPr>
            <xdr:cNvPr id="39966" name="Object 30" hidden="1">
              <a:extLst>
                <a:ext uri="{63B3BB69-23CF-44E3-9099-C40C66FF867C}">
                  <a14:compatExt spid="_x0000_s39966"/>
                </a:ext>
                <a:ext uri="{FF2B5EF4-FFF2-40B4-BE49-F238E27FC236}">
                  <a16:creationId xmlns:a16="http://schemas.microsoft.com/office/drawing/2014/main" id="{00000000-0008-0000-0100-00001E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133350</xdr:rowOff>
        </xdr:from>
        <xdr:to>
          <xdr:col>7</xdr:col>
          <xdr:colOff>76200</xdr:colOff>
          <xdr:row>5</xdr:row>
          <xdr:rowOff>66675</xdr:rowOff>
        </xdr:to>
        <xdr:sp macro="" textlink="">
          <xdr:nvSpPr>
            <xdr:cNvPr id="39980" name="Check Box 44" hidden="1">
              <a:extLst>
                <a:ext uri="{63B3BB69-23CF-44E3-9099-C40C66FF867C}">
                  <a14:compatExt spid="_x0000_s39980"/>
                </a:ext>
                <a:ext uri="{FF2B5EF4-FFF2-40B4-BE49-F238E27FC236}">
                  <a16:creationId xmlns:a16="http://schemas.microsoft.com/office/drawing/2014/main" id="{00000000-0008-0000-0100-00002C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285750</xdr:rowOff>
        </xdr:from>
        <xdr:to>
          <xdr:col>7</xdr:col>
          <xdr:colOff>76200</xdr:colOff>
          <xdr:row>5</xdr:row>
          <xdr:rowOff>266700</xdr:rowOff>
        </xdr:to>
        <xdr:sp macro="" textlink="">
          <xdr:nvSpPr>
            <xdr:cNvPr id="39981" name="Check Box 45" hidden="1">
              <a:extLst>
                <a:ext uri="{63B3BB69-23CF-44E3-9099-C40C66FF867C}">
                  <a14:compatExt spid="_x0000_s39981"/>
                </a:ext>
                <a:ext uri="{FF2B5EF4-FFF2-40B4-BE49-F238E27FC236}">
                  <a16:creationId xmlns:a16="http://schemas.microsoft.com/office/drawing/2014/main" id="{00000000-0008-0000-0100-00002D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15875</xdr:colOff>
      <xdr:row>64</xdr:row>
      <xdr:rowOff>23812</xdr:rowOff>
    </xdr:from>
    <xdr:to>
      <xdr:col>9</xdr:col>
      <xdr:colOff>230188</xdr:colOff>
      <xdr:row>64</xdr:row>
      <xdr:rowOff>214312</xdr:rowOff>
    </xdr:to>
    <xdr:sp macro="" textlink="">
      <xdr:nvSpPr>
        <xdr:cNvPr id="2" name="Arrow: Down 1">
          <a:extLst>
            <a:ext uri="{FF2B5EF4-FFF2-40B4-BE49-F238E27FC236}">
              <a16:creationId xmlns:a16="http://schemas.microsoft.com/office/drawing/2014/main" id="{00000000-0008-0000-0100-000002000000}"/>
            </a:ext>
          </a:extLst>
        </xdr:cNvPr>
        <xdr:cNvSpPr/>
      </xdr:nvSpPr>
      <xdr:spPr bwMode="auto">
        <a:xfrm>
          <a:off x="3095625" y="1731168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9</xdr:col>
      <xdr:colOff>31751</xdr:colOff>
      <xdr:row>59</xdr:row>
      <xdr:rowOff>23812</xdr:rowOff>
    </xdr:from>
    <xdr:to>
      <xdr:col>9</xdr:col>
      <xdr:colOff>246064</xdr:colOff>
      <xdr:row>59</xdr:row>
      <xdr:rowOff>214312</xdr:rowOff>
    </xdr:to>
    <xdr:sp macro="" textlink="">
      <xdr:nvSpPr>
        <xdr:cNvPr id="8" name="Arrow: Down 7">
          <a:extLst>
            <a:ext uri="{FF2B5EF4-FFF2-40B4-BE49-F238E27FC236}">
              <a16:creationId xmlns:a16="http://schemas.microsoft.com/office/drawing/2014/main" id="{00000000-0008-0000-0100-000008000000}"/>
            </a:ext>
          </a:extLst>
        </xdr:cNvPr>
        <xdr:cNvSpPr/>
      </xdr:nvSpPr>
      <xdr:spPr bwMode="auto">
        <a:xfrm>
          <a:off x="3111501" y="16160750"/>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43657</xdr:colOff>
      <xdr:row>56</xdr:row>
      <xdr:rowOff>3969</xdr:rowOff>
    </xdr:from>
    <xdr:to>
      <xdr:col>10</xdr:col>
      <xdr:colOff>234157</xdr:colOff>
      <xdr:row>56</xdr:row>
      <xdr:rowOff>218282</xdr:rowOff>
    </xdr:to>
    <xdr:sp macro="" textlink="">
      <xdr:nvSpPr>
        <xdr:cNvPr id="9" name="Arrow: Down 8">
          <a:extLst>
            <a:ext uri="{FF2B5EF4-FFF2-40B4-BE49-F238E27FC236}">
              <a16:creationId xmlns:a16="http://schemas.microsoft.com/office/drawing/2014/main" id="{00000000-0008-0000-0100-000009000000}"/>
            </a:ext>
          </a:extLst>
        </xdr:cNvPr>
        <xdr:cNvSpPr/>
      </xdr:nvSpPr>
      <xdr:spPr bwMode="auto">
        <a:xfrm rot="5400000">
          <a:off x="3381375" y="15462251"/>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15</xdr:col>
          <xdr:colOff>0</xdr:colOff>
          <xdr:row>25</xdr:row>
          <xdr:rowOff>0</xdr:rowOff>
        </xdr:to>
        <xdr:grpSp>
          <xdr:nvGrpSpPr>
            <xdr:cNvPr id="38382" name="Group 26">
              <a:extLst>
                <a:ext uri="{FF2B5EF4-FFF2-40B4-BE49-F238E27FC236}">
                  <a16:creationId xmlns:a16="http://schemas.microsoft.com/office/drawing/2014/main" id="{00000000-0008-0000-0B00-0000EE950000}"/>
                </a:ext>
              </a:extLst>
            </xdr:cNvPr>
            <xdr:cNvGrpSpPr>
              <a:grpSpLocks/>
            </xdr:cNvGrpSpPr>
          </xdr:nvGrpSpPr>
          <xdr:grpSpPr bwMode="auto">
            <a:xfrm>
              <a:off x="95250" y="6492875"/>
              <a:ext cx="5524500" cy="984250"/>
              <a:chOff x="10" y="663"/>
              <a:chExt cx="579" cy="104"/>
            </a:xfrm>
          </xdr:grpSpPr>
          <xdr:sp macro="" textlink="">
            <xdr:nvSpPr>
              <xdr:cNvPr id="37890" name="Group Box 2" hidden="1">
                <a:extLst>
                  <a:ext uri="{63B3BB69-23CF-44E3-9099-C40C66FF867C}">
                    <a14:compatExt spid="_x0000_s37890"/>
                  </a:ext>
                  <a:ext uri="{FF2B5EF4-FFF2-40B4-BE49-F238E27FC236}">
                    <a16:creationId xmlns:a16="http://schemas.microsoft.com/office/drawing/2014/main" id="{00000000-0008-0000-0B00-000002940000}"/>
                  </a:ext>
                </a:extLst>
              </xdr:cNvPr>
              <xdr:cNvSpPr/>
            </xdr:nvSpPr>
            <xdr:spPr bwMode="auto">
              <a:xfrm>
                <a:off x="10" y="663"/>
                <a:ext cx="579" cy="26"/>
              </a:xfrm>
              <a:prstGeom prst="rect">
                <a:avLst/>
              </a:prstGeom>
              <a:noFill/>
              <a:ln w="9525">
                <a:miter lim="800000"/>
                <a:headEnd/>
                <a:tailEnd/>
              </a:ln>
              <a:extLst>
                <a:ext uri="{909E8E84-426E-40DD-AFC4-6F175D3DCCD1}">
                  <a14:hiddenFill>
                    <a:noFill/>
                  </a14:hiddenFill>
                </a:ext>
              </a:extLst>
            </xdr:spPr>
          </xdr:sp>
          <xdr:sp macro="" textlink="">
            <xdr:nvSpPr>
              <xdr:cNvPr id="37891" name="Option Button 3" hidden="1">
                <a:extLst>
                  <a:ext uri="{63B3BB69-23CF-44E3-9099-C40C66FF867C}">
                    <a14:compatExt spid="_x0000_s37891"/>
                  </a:ext>
                  <a:ext uri="{FF2B5EF4-FFF2-40B4-BE49-F238E27FC236}">
                    <a16:creationId xmlns:a16="http://schemas.microsoft.com/office/drawing/2014/main" id="{00000000-0008-0000-0B00-000003940000}"/>
                  </a:ext>
                </a:extLst>
              </xdr:cNvPr>
              <xdr:cNvSpPr/>
            </xdr:nvSpPr>
            <xdr:spPr bwMode="auto">
              <a:xfrm>
                <a:off x="13" y="664"/>
                <a:ext cx="14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Clavicle: Total resection</a:t>
                </a:r>
              </a:p>
            </xdr:txBody>
          </xdr:sp>
          <xdr:sp macro="" textlink="">
            <xdr:nvSpPr>
              <xdr:cNvPr id="37892" name="Option Button 4" hidden="1">
                <a:extLst>
                  <a:ext uri="{63B3BB69-23CF-44E3-9099-C40C66FF867C}">
                    <a14:compatExt spid="_x0000_s37892"/>
                  </a:ext>
                  <a:ext uri="{FF2B5EF4-FFF2-40B4-BE49-F238E27FC236}">
                    <a16:creationId xmlns:a16="http://schemas.microsoft.com/office/drawing/2014/main" id="{00000000-0008-0000-0B00-000004940000}"/>
                  </a:ext>
                </a:extLst>
              </xdr:cNvPr>
              <xdr:cNvSpPr/>
            </xdr:nvSpPr>
            <xdr:spPr bwMode="auto">
              <a:xfrm>
                <a:off x="192" y="664"/>
                <a:ext cx="1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Clavicle: Partial resection</a:t>
                </a:r>
              </a:p>
            </xdr:txBody>
          </xdr:sp>
          <xdr:sp macro="" textlink="">
            <xdr:nvSpPr>
              <xdr:cNvPr id="37893" name="Option Button 5" hidden="1">
                <a:extLst>
                  <a:ext uri="{63B3BB69-23CF-44E3-9099-C40C66FF867C}">
                    <a14:compatExt spid="_x0000_s37893"/>
                  </a:ext>
                  <a:ext uri="{FF2B5EF4-FFF2-40B4-BE49-F238E27FC236}">
                    <a16:creationId xmlns:a16="http://schemas.microsoft.com/office/drawing/2014/main" id="{00000000-0008-0000-0B00-000005940000}"/>
                  </a:ext>
                </a:extLst>
              </xdr:cNvPr>
              <xdr:cNvSpPr/>
            </xdr:nvSpPr>
            <xdr:spPr bwMode="auto">
              <a:xfrm>
                <a:off x="373" y="664"/>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894" name="Group Box 6" hidden="1">
                <a:extLst>
                  <a:ext uri="{63B3BB69-23CF-44E3-9099-C40C66FF867C}">
                    <a14:compatExt spid="_x0000_s37894"/>
                  </a:ext>
                  <a:ext uri="{FF2B5EF4-FFF2-40B4-BE49-F238E27FC236}">
                    <a16:creationId xmlns:a16="http://schemas.microsoft.com/office/drawing/2014/main" id="{00000000-0008-0000-0B00-000006940000}"/>
                  </a:ext>
                </a:extLst>
              </xdr:cNvPr>
              <xdr:cNvSpPr/>
            </xdr:nvSpPr>
            <xdr:spPr bwMode="auto">
              <a:xfrm>
                <a:off x="10" y="689"/>
                <a:ext cx="579" cy="26"/>
              </a:xfrm>
              <a:prstGeom prst="rect">
                <a:avLst/>
              </a:prstGeom>
              <a:noFill/>
              <a:ln w="9525">
                <a:miter lim="800000"/>
                <a:headEnd/>
                <a:tailEnd/>
              </a:ln>
              <a:extLst>
                <a:ext uri="{909E8E84-426E-40DD-AFC4-6F175D3DCCD1}">
                  <a14:hiddenFill>
                    <a:noFill/>
                  </a14:hiddenFill>
                </a:ext>
              </a:extLst>
            </xdr:spPr>
          </xdr:sp>
          <xdr:sp macro="" textlink="">
            <xdr:nvSpPr>
              <xdr:cNvPr id="37895" name="Option Button 7" hidden="1">
                <a:extLst>
                  <a:ext uri="{63B3BB69-23CF-44E3-9099-C40C66FF867C}">
                    <a14:compatExt spid="_x0000_s37895"/>
                  </a:ext>
                  <a:ext uri="{FF2B5EF4-FFF2-40B4-BE49-F238E27FC236}">
                    <a16:creationId xmlns:a16="http://schemas.microsoft.com/office/drawing/2014/main" id="{00000000-0008-0000-0B00-000007940000}"/>
                  </a:ext>
                </a:extLst>
              </xdr:cNvPr>
              <xdr:cNvSpPr/>
            </xdr:nvSpPr>
            <xdr:spPr bwMode="auto">
              <a:xfrm>
                <a:off x="13" y="690"/>
                <a:ext cx="1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Acromion: Partial resection</a:t>
                </a:r>
              </a:p>
            </xdr:txBody>
          </xdr:sp>
          <xdr:sp macro="" textlink="">
            <xdr:nvSpPr>
              <xdr:cNvPr id="37896" name="Option Button 8" hidden="1">
                <a:extLst>
                  <a:ext uri="{63B3BB69-23CF-44E3-9099-C40C66FF867C}">
                    <a14:compatExt spid="_x0000_s37896"/>
                  </a:ext>
                  <a:ext uri="{FF2B5EF4-FFF2-40B4-BE49-F238E27FC236}">
                    <a16:creationId xmlns:a16="http://schemas.microsoft.com/office/drawing/2014/main" id="{00000000-0008-0000-0B00-000008940000}"/>
                  </a:ext>
                </a:extLst>
              </xdr:cNvPr>
              <xdr:cNvSpPr/>
            </xdr:nvSpPr>
            <xdr:spPr bwMode="auto">
              <a:xfrm>
                <a:off x="373" y="690"/>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897" name="Group Box 9" hidden="1">
                <a:extLst>
                  <a:ext uri="{63B3BB69-23CF-44E3-9099-C40C66FF867C}">
                    <a14:compatExt spid="_x0000_s37897"/>
                  </a:ext>
                  <a:ext uri="{FF2B5EF4-FFF2-40B4-BE49-F238E27FC236}">
                    <a16:creationId xmlns:a16="http://schemas.microsoft.com/office/drawing/2014/main" id="{00000000-0008-0000-0B00-000009940000}"/>
                  </a:ext>
                </a:extLst>
              </xdr:cNvPr>
              <xdr:cNvSpPr/>
            </xdr:nvSpPr>
            <xdr:spPr bwMode="auto">
              <a:xfrm>
                <a:off x="10" y="715"/>
                <a:ext cx="579" cy="26"/>
              </a:xfrm>
              <a:prstGeom prst="rect">
                <a:avLst/>
              </a:prstGeom>
              <a:noFill/>
              <a:ln w="9525">
                <a:miter lim="800000"/>
                <a:headEnd/>
                <a:tailEnd/>
              </a:ln>
              <a:extLst>
                <a:ext uri="{909E8E84-426E-40DD-AFC4-6F175D3DCCD1}">
                  <a14:hiddenFill>
                    <a:noFill/>
                  </a14:hiddenFill>
                </a:ext>
              </a:extLst>
            </xdr:spPr>
          </xdr:sp>
          <xdr:sp macro="" textlink="">
            <xdr:nvSpPr>
              <xdr:cNvPr id="37898" name="Option Button 10" hidden="1">
                <a:extLst>
                  <a:ext uri="{63B3BB69-23CF-44E3-9099-C40C66FF867C}">
                    <a14:compatExt spid="_x0000_s37898"/>
                  </a:ext>
                  <a:ext uri="{FF2B5EF4-FFF2-40B4-BE49-F238E27FC236}">
                    <a16:creationId xmlns:a16="http://schemas.microsoft.com/office/drawing/2014/main" id="{00000000-0008-0000-0B00-00000A940000}"/>
                  </a:ext>
                </a:extLst>
              </xdr:cNvPr>
              <xdr:cNvSpPr/>
            </xdr:nvSpPr>
            <xdr:spPr bwMode="auto">
              <a:xfrm>
                <a:off x="13" y="71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shoulder arthroplasty</a:t>
                </a:r>
              </a:p>
            </xdr:txBody>
          </xdr:sp>
          <xdr:sp macro="" textlink="">
            <xdr:nvSpPr>
              <xdr:cNvPr id="37899" name="Option Button 11" hidden="1">
                <a:extLst>
                  <a:ext uri="{63B3BB69-23CF-44E3-9099-C40C66FF867C}">
                    <a14:compatExt spid="_x0000_s37899"/>
                  </a:ext>
                  <a:ext uri="{FF2B5EF4-FFF2-40B4-BE49-F238E27FC236}">
                    <a16:creationId xmlns:a16="http://schemas.microsoft.com/office/drawing/2014/main" id="{00000000-0008-0000-0B00-00000B940000}"/>
                  </a:ext>
                </a:extLst>
              </xdr:cNvPr>
              <xdr:cNvSpPr/>
            </xdr:nvSpPr>
            <xdr:spPr bwMode="auto">
              <a:xfrm>
                <a:off x="373" y="716"/>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7900" name="Group Box 12" hidden="1">
                <a:extLst>
                  <a:ext uri="{63B3BB69-23CF-44E3-9099-C40C66FF867C}">
                    <a14:compatExt spid="_x0000_s37900"/>
                  </a:ext>
                  <a:ext uri="{FF2B5EF4-FFF2-40B4-BE49-F238E27FC236}">
                    <a16:creationId xmlns:a16="http://schemas.microsoft.com/office/drawing/2014/main" id="{00000000-0008-0000-0B00-00000C940000}"/>
                  </a:ext>
                </a:extLst>
              </xdr:cNvPr>
              <xdr:cNvSpPr/>
            </xdr:nvSpPr>
            <xdr:spPr bwMode="auto">
              <a:xfrm>
                <a:off x="10" y="741"/>
                <a:ext cx="579" cy="26"/>
              </a:xfrm>
              <a:prstGeom prst="rect">
                <a:avLst/>
              </a:prstGeom>
              <a:noFill/>
              <a:ln w="9525">
                <a:miter lim="800000"/>
                <a:headEnd/>
                <a:tailEnd/>
              </a:ln>
              <a:extLst>
                <a:ext uri="{909E8E84-426E-40DD-AFC4-6F175D3DCCD1}">
                  <a14:hiddenFill>
                    <a:noFill/>
                  </a14:hiddenFill>
                </a:ext>
              </a:extLst>
            </xdr:spPr>
          </xdr:sp>
          <xdr:sp macro="" textlink="">
            <xdr:nvSpPr>
              <xdr:cNvPr id="37901" name="Option Button 13" hidden="1">
                <a:extLst>
                  <a:ext uri="{63B3BB69-23CF-44E3-9099-C40C66FF867C}">
                    <a14:compatExt spid="_x0000_s37901"/>
                  </a:ext>
                  <a:ext uri="{FF2B5EF4-FFF2-40B4-BE49-F238E27FC236}">
                    <a16:creationId xmlns:a16="http://schemas.microsoft.com/office/drawing/2014/main" id="{00000000-0008-0000-0B00-00000D940000}"/>
                  </a:ext>
                </a:extLst>
              </xdr:cNvPr>
              <xdr:cNvSpPr/>
            </xdr:nvSpPr>
            <xdr:spPr bwMode="auto">
              <a:xfrm>
                <a:off x="13" y="742"/>
                <a:ext cx="192"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Repeat total shoulder arthroplasty</a:t>
                </a:r>
              </a:p>
            </xdr:txBody>
          </xdr:sp>
          <xdr:sp macro="" textlink="">
            <xdr:nvSpPr>
              <xdr:cNvPr id="37902" name="Option Button 14" hidden="1">
                <a:extLst>
                  <a:ext uri="{63B3BB69-23CF-44E3-9099-C40C66FF867C}">
                    <a14:compatExt spid="_x0000_s37902"/>
                  </a:ext>
                  <a:ext uri="{FF2B5EF4-FFF2-40B4-BE49-F238E27FC236}">
                    <a16:creationId xmlns:a16="http://schemas.microsoft.com/office/drawing/2014/main" id="{00000000-0008-0000-0B00-00000E940000}"/>
                  </a:ext>
                </a:extLst>
              </xdr:cNvPr>
              <xdr:cNvSpPr/>
            </xdr:nvSpPr>
            <xdr:spPr bwMode="auto">
              <a:xfrm>
                <a:off x="373" y="742"/>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9525</xdr:rowOff>
        </xdr:from>
        <xdr:to>
          <xdr:col>4</xdr:col>
          <xdr:colOff>152400</xdr:colOff>
          <xdr:row>31</xdr:row>
          <xdr:rowOff>0</xdr:rowOff>
        </xdr:to>
        <xdr:sp macro="" textlink="">
          <xdr:nvSpPr>
            <xdr:cNvPr id="37903" name="Check Box 15" hidden="1">
              <a:extLst>
                <a:ext uri="{63B3BB69-23CF-44E3-9099-C40C66FF867C}">
                  <a14:compatExt spid="_x0000_s37903"/>
                </a:ext>
                <a:ext uri="{FF2B5EF4-FFF2-40B4-BE49-F238E27FC236}">
                  <a16:creationId xmlns:a16="http://schemas.microsoft.com/office/drawing/2014/main" id="{00000000-0008-0000-0B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Chronic dislocations of the shoulder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31</xdr:row>
          <xdr:rowOff>0</xdr:rowOff>
        </xdr:from>
        <xdr:to>
          <xdr:col>4</xdr:col>
          <xdr:colOff>47625</xdr:colOff>
          <xdr:row>31</xdr:row>
          <xdr:rowOff>247650</xdr:rowOff>
        </xdr:to>
        <xdr:sp macro="" textlink="">
          <xdr:nvSpPr>
            <xdr:cNvPr id="37904" name="Check Box 16" hidden="1">
              <a:extLst>
                <a:ext uri="{63B3BB69-23CF-44E3-9099-C40C66FF867C}">
                  <a14:compatExt spid="_x0000_s37904"/>
                </a:ext>
                <a:ext uri="{FF2B5EF4-FFF2-40B4-BE49-F238E27FC236}">
                  <a16:creationId xmlns:a16="http://schemas.microsoft.com/office/drawing/2014/main" id="{00000000-0008-0000-0B00-00001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Diastasis of the sternal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87</xdr:row>
          <xdr:rowOff>9525</xdr:rowOff>
        </xdr:from>
        <xdr:to>
          <xdr:col>15</xdr:col>
          <xdr:colOff>9525</xdr:colOff>
          <xdr:row>88</xdr:row>
          <xdr:rowOff>0</xdr:rowOff>
        </xdr:to>
        <xdr:sp macro="" textlink="">
          <xdr:nvSpPr>
            <xdr:cNvPr id="37905" name="Group Box 17" hidden="1">
              <a:extLst>
                <a:ext uri="{63B3BB69-23CF-44E3-9099-C40C66FF867C}">
                  <a14:compatExt spid="_x0000_s37905"/>
                </a:ext>
                <a:ext uri="{FF2B5EF4-FFF2-40B4-BE49-F238E27FC236}">
                  <a16:creationId xmlns:a16="http://schemas.microsoft.com/office/drawing/2014/main" id="{00000000-0008-0000-0B00-000011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87</xdr:row>
          <xdr:rowOff>9525</xdr:rowOff>
        </xdr:from>
        <xdr:to>
          <xdr:col>12</xdr:col>
          <xdr:colOff>285750</xdr:colOff>
          <xdr:row>87</xdr:row>
          <xdr:rowOff>228600</xdr:rowOff>
        </xdr:to>
        <xdr:sp macro="" textlink="">
          <xdr:nvSpPr>
            <xdr:cNvPr id="37906" name="Option Button 18" hidden="1">
              <a:extLst>
                <a:ext uri="{63B3BB69-23CF-44E3-9099-C40C66FF867C}">
                  <a14:compatExt spid="_x0000_s37906"/>
                </a:ext>
                <a:ext uri="{FF2B5EF4-FFF2-40B4-BE49-F238E27FC236}">
                  <a16:creationId xmlns:a16="http://schemas.microsoft.com/office/drawing/2014/main" id="{00000000-0008-0000-0B00-00001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87</xdr:row>
          <xdr:rowOff>9525</xdr:rowOff>
        </xdr:from>
        <xdr:to>
          <xdr:col>14</xdr:col>
          <xdr:colOff>638175</xdr:colOff>
          <xdr:row>87</xdr:row>
          <xdr:rowOff>228600</xdr:rowOff>
        </xdr:to>
        <xdr:sp macro="" textlink="">
          <xdr:nvSpPr>
            <xdr:cNvPr id="37907" name="Option Button 19" hidden="1">
              <a:extLst>
                <a:ext uri="{63B3BB69-23CF-44E3-9099-C40C66FF867C}">
                  <a14:compatExt spid="_x0000_s37907"/>
                </a:ext>
                <a:ext uri="{FF2B5EF4-FFF2-40B4-BE49-F238E27FC236}">
                  <a16:creationId xmlns:a16="http://schemas.microsoft.com/office/drawing/2014/main" id="{00000000-0008-0000-0B00-00001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grpSp>
          <xdr:nvGrpSpPr>
            <xdr:cNvPr id="86303" name="Group 18">
              <a:extLst>
                <a:ext uri="{FF2B5EF4-FFF2-40B4-BE49-F238E27FC236}">
                  <a16:creationId xmlns:a16="http://schemas.microsoft.com/office/drawing/2014/main" id="{00000000-0008-0000-0C00-00001F510100}"/>
                </a:ext>
              </a:extLst>
            </xdr:cNvPr>
            <xdr:cNvGrpSpPr>
              <a:grpSpLocks/>
            </xdr:cNvGrpSpPr>
          </xdr:nvGrpSpPr>
          <xdr:grpSpPr bwMode="auto">
            <a:xfrm>
              <a:off x="3905250" y="8834438"/>
              <a:ext cx="1658938" cy="254000"/>
              <a:chOff x="404" y="941"/>
              <a:chExt cx="174" cy="27"/>
            </a:xfrm>
          </xdr:grpSpPr>
          <xdr:sp macro="" textlink="">
            <xdr:nvSpPr>
              <xdr:cNvPr id="38916" name="Group Box 4" hidden="1">
                <a:extLst>
                  <a:ext uri="{63B3BB69-23CF-44E3-9099-C40C66FF867C}">
                    <a14:compatExt spid="_x0000_s38916"/>
                  </a:ext>
                  <a:ext uri="{FF2B5EF4-FFF2-40B4-BE49-F238E27FC236}">
                    <a16:creationId xmlns:a16="http://schemas.microsoft.com/office/drawing/2014/main" id="{00000000-0008-0000-0C00-000004980000}"/>
                  </a:ext>
                </a:extLst>
              </xdr:cNvPr>
              <xdr:cNvSpPr/>
            </xdr:nvSpPr>
            <xdr:spPr bwMode="auto">
              <a:xfrm>
                <a:off x="404" y="941"/>
                <a:ext cx="174" cy="27"/>
              </a:xfrm>
              <a:prstGeom prst="rect">
                <a:avLst/>
              </a:prstGeom>
              <a:noFill/>
              <a:ln w="9525">
                <a:miter lim="800000"/>
                <a:headEnd/>
                <a:tailEnd/>
              </a:ln>
              <a:extLst>
                <a:ext uri="{909E8E84-426E-40DD-AFC4-6F175D3DCCD1}">
                  <a14:hiddenFill>
                    <a:noFill/>
                  </a14:hiddenFill>
                </a:ext>
              </a:extLst>
            </xdr:spPr>
          </xdr:sp>
          <xdr:sp macro="" textlink="">
            <xdr:nvSpPr>
              <xdr:cNvPr id="38917" name="Option Button 5" hidden="1">
                <a:extLst>
                  <a:ext uri="{63B3BB69-23CF-44E3-9099-C40C66FF867C}">
                    <a14:compatExt spid="_x0000_s38917"/>
                  </a:ext>
                  <a:ext uri="{FF2B5EF4-FFF2-40B4-BE49-F238E27FC236}">
                    <a16:creationId xmlns:a16="http://schemas.microsoft.com/office/drawing/2014/main" id="{00000000-0008-0000-0C00-000005980000}"/>
                  </a:ext>
                </a:extLst>
              </xdr:cNvPr>
              <xdr:cNvSpPr/>
            </xdr:nvSpPr>
            <xdr:spPr bwMode="auto">
              <a:xfrm>
                <a:off x="412" y="942"/>
                <a:ext cx="75"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sp macro="" textlink="">
            <xdr:nvSpPr>
              <xdr:cNvPr id="38918" name="Option Button 6" hidden="1">
                <a:extLst>
                  <a:ext uri="{63B3BB69-23CF-44E3-9099-C40C66FF867C}">
                    <a14:compatExt spid="_x0000_s38918"/>
                  </a:ext>
                  <a:ext uri="{FF2B5EF4-FFF2-40B4-BE49-F238E27FC236}">
                    <a16:creationId xmlns:a16="http://schemas.microsoft.com/office/drawing/2014/main" id="{00000000-0008-0000-0C00-000006980000}"/>
                  </a:ext>
                </a:extLst>
              </xdr:cNvPr>
              <xdr:cNvSpPr/>
            </xdr:nvSpPr>
            <xdr:spPr bwMode="auto">
              <a:xfrm>
                <a:off x="495" y="942"/>
                <a:ext cx="80"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274637</xdr:colOff>
          <xdr:row>23</xdr:row>
          <xdr:rowOff>4762</xdr:rowOff>
        </xdr:from>
        <xdr:to>
          <xdr:col>9</xdr:col>
          <xdr:colOff>363537</xdr:colOff>
          <xdr:row>25</xdr:row>
          <xdr:rowOff>9525</xdr:rowOff>
        </xdr:to>
        <xdr:grpSp>
          <xdr:nvGrpSpPr>
            <xdr:cNvPr id="86304" name="Group 17">
              <a:extLst>
                <a:ext uri="{FF2B5EF4-FFF2-40B4-BE49-F238E27FC236}">
                  <a16:creationId xmlns:a16="http://schemas.microsoft.com/office/drawing/2014/main" id="{00000000-0008-0000-0C00-000020510100}"/>
                </a:ext>
              </a:extLst>
            </xdr:cNvPr>
            <xdr:cNvGrpSpPr>
              <a:grpSpLocks/>
            </xdr:cNvGrpSpPr>
          </xdr:nvGrpSpPr>
          <xdr:grpSpPr bwMode="auto">
            <a:xfrm>
              <a:off x="2219325" y="7370762"/>
              <a:ext cx="1676400" cy="504826"/>
              <a:chOff x="228" y="769"/>
              <a:chExt cx="176" cy="55"/>
            </a:xfrm>
          </xdr:grpSpPr>
          <xdr:sp macro="" textlink="">
            <xdr:nvSpPr>
              <xdr:cNvPr id="38921" name="Group Box 9" hidden="1">
                <a:extLst>
                  <a:ext uri="{63B3BB69-23CF-44E3-9099-C40C66FF867C}">
                    <a14:compatExt spid="_x0000_s38921"/>
                  </a:ext>
                  <a:ext uri="{FF2B5EF4-FFF2-40B4-BE49-F238E27FC236}">
                    <a16:creationId xmlns:a16="http://schemas.microsoft.com/office/drawing/2014/main" id="{00000000-0008-0000-0C00-000009980000}"/>
                  </a:ext>
                </a:extLst>
              </xdr:cNvPr>
              <xdr:cNvSpPr/>
            </xdr:nvSpPr>
            <xdr:spPr bwMode="auto">
              <a:xfrm>
                <a:off x="228" y="769"/>
                <a:ext cx="176" cy="28"/>
              </a:xfrm>
              <a:prstGeom prst="rect">
                <a:avLst/>
              </a:prstGeom>
              <a:noFill/>
              <a:ln w="9525">
                <a:miter lim="800000"/>
                <a:headEnd/>
                <a:tailEnd/>
              </a:ln>
              <a:extLst>
                <a:ext uri="{909E8E84-426E-40DD-AFC4-6F175D3DCCD1}">
                  <a14:hiddenFill>
                    <a:noFill/>
                  </a14:hiddenFill>
                </a:ext>
              </a:extLst>
            </xdr:spPr>
          </xdr:sp>
          <xdr:sp macro="" textlink="">
            <xdr:nvSpPr>
              <xdr:cNvPr id="38923" name="Option Button 11" hidden="1">
                <a:extLst>
                  <a:ext uri="{63B3BB69-23CF-44E3-9099-C40C66FF867C}">
                    <a14:compatExt spid="_x0000_s38923"/>
                  </a:ext>
                  <a:ext uri="{FF2B5EF4-FFF2-40B4-BE49-F238E27FC236}">
                    <a16:creationId xmlns:a16="http://schemas.microsoft.com/office/drawing/2014/main" id="{00000000-0008-0000-0C00-00000B980000}"/>
                  </a:ext>
                </a:extLst>
              </xdr:cNvPr>
              <xdr:cNvSpPr/>
            </xdr:nvSpPr>
            <xdr:spPr bwMode="auto">
              <a:xfrm>
                <a:off x="241" y="771"/>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38924" name="Option Button 12" hidden="1">
                <a:extLst>
                  <a:ext uri="{63B3BB69-23CF-44E3-9099-C40C66FF867C}">
                    <a14:compatExt spid="_x0000_s38924"/>
                  </a:ext>
                  <a:ext uri="{FF2B5EF4-FFF2-40B4-BE49-F238E27FC236}">
                    <a16:creationId xmlns:a16="http://schemas.microsoft.com/office/drawing/2014/main" id="{00000000-0008-0000-0C00-00000C980000}"/>
                  </a:ext>
                </a:extLst>
              </xdr:cNvPr>
              <xdr:cNvSpPr/>
            </xdr:nvSpPr>
            <xdr:spPr bwMode="auto">
              <a:xfrm>
                <a:off x="329" y="770"/>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nvGrpSpPr>
              <xdr:cNvPr id="86305" name="Group 16">
                <a:extLst>
                  <a:ext uri="{FF2B5EF4-FFF2-40B4-BE49-F238E27FC236}">
                    <a16:creationId xmlns:a16="http://schemas.microsoft.com/office/drawing/2014/main" id="{00000000-0008-0000-0C00-000021510100}"/>
                  </a:ext>
                </a:extLst>
              </xdr:cNvPr>
              <xdr:cNvGrpSpPr>
                <a:grpSpLocks/>
              </xdr:cNvGrpSpPr>
            </xdr:nvGrpSpPr>
            <xdr:grpSpPr bwMode="auto">
              <a:xfrm>
                <a:off x="228" y="797"/>
                <a:ext cx="176" cy="27"/>
                <a:chOff x="228" y="797"/>
                <a:chExt cx="176" cy="27"/>
              </a:xfrm>
            </xdr:grpSpPr>
            <xdr:sp macro="" textlink="">
              <xdr:nvSpPr>
                <xdr:cNvPr id="38922" name="Group Box 10" hidden="1">
                  <a:extLst>
                    <a:ext uri="{63B3BB69-23CF-44E3-9099-C40C66FF867C}">
                      <a14:compatExt spid="_x0000_s38922"/>
                    </a:ext>
                    <a:ext uri="{FF2B5EF4-FFF2-40B4-BE49-F238E27FC236}">
                      <a16:creationId xmlns:a16="http://schemas.microsoft.com/office/drawing/2014/main" id="{00000000-0008-0000-0C00-00000A980000}"/>
                    </a:ext>
                  </a:extLst>
                </xdr:cNvPr>
                <xdr:cNvSpPr/>
              </xdr:nvSpPr>
              <xdr:spPr bwMode="auto">
                <a:xfrm>
                  <a:off x="228" y="797"/>
                  <a:ext cx="176" cy="27"/>
                </a:xfrm>
                <a:prstGeom prst="rect">
                  <a:avLst/>
                </a:prstGeom>
                <a:noFill/>
                <a:ln w="9525">
                  <a:miter lim="800000"/>
                  <a:headEnd/>
                  <a:tailEnd/>
                </a:ln>
                <a:extLst>
                  <a:ext uri="{909E8E84-426E-40DD-AFC4-6F175D3DCCD1}">
                    <a14:hiddenFill>
                      <a:noFill/>
                    </a14:hiddenFill>
                  </a:ext>
                </a:extLst>
              </xdr:spPr>
            </xdr:sp>
            <xdr:sp macro="" textlink="">
              <xdr:nvSpPr>
                <xdr:cNvPr id="38925" name="Option Button 13" hidden="1">
                  <a:extLst>
                    <a:ext uri="{63B3BB69-23CF-44E3-9099-C40C66FF867C}">
                      <a14:compatExt spid="_x0000_s38925"/>
                    </a:ext>
                    <a:ext uri="{FF2B5EF4-FFF2-40B4-BE49-F238E27FC236}">
                      <a16:creationId xmlns:a16="http://schemas.microsoft.com/office/drawing/2014/main" id="{00000000-0008-0000-0C00-00000D980000}"/>
                    </a:ext>
                  </a:extLst>
                </xdr:cNvPr>
                <xdr:cNvSpPr/>
              </xdr:nvSpPr>
              <xdr:spPr bwMode="auto">
                <a:xfrm>
                  <a:off x="241" y="799"/>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38926" name="Option Button 14" hidden="1">
                  <a:extLst>
                    <a:ext uri="{63B3BB69-23CF-44E3-9099-C40C66FF867C}">
                      <a14:compatExt spid="_x0000_s38926"/>
                    </a:ext>
                    <a:ext uri="{FF2B5EF4-FFF2-40B4-BE49-F238E27FC236}">
                      <a16:creationId xmlns:a16="http://schemas.microsoft.com/office/drawing/2014/main" id="{00000000-0008-0000-0C00-00000E980000}"/>
                    </a:ext>
                  </a:extLst>
                </xdr:cNvPr>
                <xdr:cNvSpPr/>
              </xdr:nvSpPr>
              <xdr:spPr bwMode="auto">
                <a:xfrm>
                  <a:off x="329" y="798"/>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grp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10</xdr:col>
          <xdr:colOff>0</xdr:colOff>
          <xdr:row>28</xdr:row>
          <xdr:rowOff>0</xdr:rowOff>
        </xdr:from>
        <xdr:to>
          <xdr:col>15</xdr:col>
          <xdr:colOff>0</xdr:colOff>
          <xdr:row>29</xdr:row>
          <xdr:rowOff>0</xdr:rowOff>
        </xdr:to>
        <xdr:grpSp>
          <xdr:nvGrpSpPr>
            <xdr:cNvPr id="87320" name="Group 14">
              <a:extLst>
                <a:ext uri="{FF2B5EF4-FFF2-40B4-BE49-F238E27FC236}">
                  <a16:creationId xmlns:a16="http://schemas.microsoft.com/office/drawing/2014/main" id="{00000000-0008-0000-0D00-000018550100}"/>
                </a:ext>
              </a:extLst>
            </xdr:cNvPr>
            <xdr:cNvGrpSpPr>
              <a:grpSpLocks/>
            </xdr:cNvGrpSpPr>
          </xdr:nvGrpSpPr>
          <xdr:grpSpPr bwMode="auto">
            <a:xfrm>
              <a:off x="3857625" y="8778875"/>
              <a:ext cx="1658938" cy="254000"/>
              <a:chOff x="404" y="941"/>
              <a:chExt cx="174" cy="27"/>
            </a:xfrm>
          </xdr:grpSpPr>
          <xdr:sp macro="" textlink="">
            <xdr:nvSpPr>
              <xdr:cNvPr id="41987" name="Group Box 3" hidden="1">
                <a:extLst>
                  <a:ext uri="{63B3BB69-23CF-44E3-9099-C40C66FF867C}">
                    <a14:compatExt spid="_x0000_s41987"/>
                  </a:ext>
                  <a:ext uri="{FF2B5EF4-FFF2-40B4-BE49-F238E27FC236}">
                    <a16:creationId xmlns:a16="http://schemas.microsoft.com/office/drawing/2014/main" id="{00000000-0008-0000-0D00-000003A40000}"/>
                  </a:ext>
                </a:extLst>
              </xdr:cNvPr>
              <xdr:cNvSpPr/>
            </xdr:nvSpPr>
            <xdr:spPr bwMode="auto">
              <a:xfrm>
                <a:off x="404" y="941"/>
                <a:ext cx="174" cy="27"/>
              </a:xfrm>
              <a:prstGeom prst="rect">
                <a:avLst/>
              </a:prstGeom>
              <a:noFill/>
              <a:ln w="9525">
                <a:miter lim="800000"/>
                <a:headEnd/>
                <a:tailEnd/>
              </a:ln>
              <a:extLst>
                <a:ext uri="{909E8E84-426E-40DD-AFC4-6F175D3DCCD1}">
                  <a14:hiddenFill>
                    <a:noFill/>
                  </a14:hiddenFill>
                </a:ext>
              </a:extLst>
            </xdr:spPr>
          </xdr:sp>
          <xdr:sp macro="" textlink="">
            <xdr:nvSpPr>
              <xdr:cNvPr id="41988" name="Option Button 4" hidden="1">
                <a:extLst>
                  <a:ext uri="{63B3BB69-23CF-44E3-9099-C40C66FF867C}">
                    <a14:compatExt spid="_x0000_s41988"/>
                  </a:ext>
                  <a:ext uri="{FF2B5EF4-FFF2-40B4-BE49-F238E27FC236}">
                    <a16:creationId xmlns:a16="http://schemas.microsoft.com/office/drawing/2014/main" id="{00000000-0008-0000-0D00-000004A40000}"/>
                  </a:ext>
                </a:extLst>
              </xdr:cNvPr>
              <xdr:cNvSpPr/>
            </xdr:nvSpPr>
            <xdr:spPr bwMode="auto">
              <a:xfrm>
                <a:off x="412" y="942"/>
                <a:ext cx="75"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sp macro="" textlink="">
            <xdr:nvSpPr>
              <xdr:cNvPr id="41989" name="Option Button 5" hidden="1">
                <a:extLst>
                  <a:ext uri="{63B3BB69-23CF-44E3-9099-C40C66FF867C}">
                    <a14:compatExt spid="_x0000_s41989"/>
                  </a:ext>
                  <a:ext uri="{FF2B5EF4-FFF2-40B4-BE49-F238E27FC236}">
                    <a16:creationId xmlns:a16="http://schemas.microsoft.com/office/drawing/2014/main" id="{00000000-0008-0000-0D00-000005A40000}"/>
                  </a:ext>
                </a:extLst>
              </xdr:cNvPr>
              <xdr:cNvSpPr/>
            </xdr:nvSpPr>
            <xdr:spPr bwMode="auto">
              <a:xfrm>
                <a:off x="495" y="942"/>
                <a:ext cx="80" cy="2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3</xdr:col>
          <xdr:colOff>274637</xdr:colOff>
          <xdr:row>23</xdr:row>
          <xdr:rowOff>0</xdr:rowOff>
        </xdr:from>
        <xdr:to>
          <xdr:col>9</xdr:col>
          <xdr:colOff>363537</xdr:colOff>
          <xdr:row>25</xdr:row>
          <xdr:rowOff>4762</xdr:rowOff>
        </xdr:to>
        <xdr:grpSp>
          <xdr:nvGrpSpPr>
            <xdr:cNvPr id="87321" name="Group 6">
              <a:extLst>
                <a:ext uri="{FF2B5EF4-FFF2-40B4-BE49-F238E27FC236}">
                  <a16:creationId xmlns:a16="http://schemas.microsoft.com/office/drawing/2014/main" id="{00000000-0008-0000-0D00-000019550100}"/>
                </a:ext>
              </a:extLst>
            </xdr:cNvPr>
            <xdr:cNvGrpSpPr>
              <a:grpSpLocks/>
            </xdr:cNvGrpSpPr>
          </xdr:nvGrpSpPr>
          <xdr:grpSpPr bwMode="auto">
            <a:xfrm>
              <a:off x="2171700" y="7318375"/>
              <a:ext cx="1676400" cy="504825"/>
              <a:chOff x="228" y="769"/>
              <a:chExt cx="176" cy="55"/>
            </a:xfrm>
          </xdr:grpSpPr>
          <xdr:sp macro="" textlink="">
            <xdr:nvSpPr>
              <xdr:cNvPr id="41991" name="Group Box 7" hidden="1">
                <a:extLst>
                  <a:ext uri="{63B3BB69-23CF-44E3-9099-C40C66FF867C}">
                    <a14:compatExt spid="_x0000_s41991"/>
                  </a:ext>
                  <a:ext uri="{FF2B5EF4-FFF2-40B4-BE49-F238E27FC236}">
                    <a16:creationId xmlns:a16="http://schemas.microsoft.com/office/drawing/2014/main" id="{00000000-0008-0000-0D00-000007A40000}"/>
                  </a:ext>
                </a:extLst>
              </xdr:cNvPr>
              <xdr:cNvSpPr/>
            </xdr:nvSpPr>
            <xdr:spPr bwMode="auto">
              <a:xfrm>
                <a:off x="228" y="769"/>
                <a:ext cx="176" cy="28"/>
              </a:xfrm>
              <a:prstGeom prst="rect">
                <a:avLst/>
              </a:prstGeom>
              <a:noFill/>
              <a:ln w="9525">
                <a:miter lim="800000"/>
                <a:headEnd/>
                <a:tailEnd/>
              </a:ln>
              <a:extLst>
                <a:ext uri="{909E8E84-426E-40DD-AFC4-6F175D3DCCD1}">
                  <a14:hiddenFill>
                    <a:noFill/>
                  </a14:hiddenFill>
                </a:ext>
              </a:extLst>
            </xdr:spPr>
          </xdr:sp>
          <xdr:sp macro="" textlink="">
            <xdr:nvSpPr>
              <xdr:cNvPr id="41992" name="Option Button 8" hidden="1">
                <a:extLst>
                  <a:ext uri="{63B3BB69-23CF-44E3-9099-C40C66FF867C}">
                    <a14:compatExt spid="_x0000_s41992"/>
                  </a:ext>
                  <a:ext uri="{FF2B5EF4-FFF2-40B4-BE49-F238E27FC236}">
                    <a16:creationId xmlns:a16="http://schemas.microsoft.com/office/drawing/2014/main" id="{00000000-0008-0000-0D00-000008A40000}"/>
                  </a:ext>
                </a:extLst>
              </xdr:cNvPr>
              <xdr:cNvSpPr/>
            </xdr:nvSpPr>
            <xdr:spPr bwMode="auto">
              <a:xfrm>
                <a:off x="241" y="771"/>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1993" name="Option Button 9" hidden="1">
                <a:extLst>
                  <a:ext uri="{63B3BB69-23CF-44E3-9099-C40C66FF867C}">
                    <a14:compatExt spid="_x0000_s41993"/>
                  </a:ext>
                  <a:ext uri="{FF2B5EF4-FFF2-40B4-BE49-F238E27FC236}">
                    <a16:creationId xmlns:a16="http://schemas.microsoft.com/office/drawing/2014/main" id="{00000000-0008-0000-0D00-000009A40000}"/>
                  </a:ext>
                </a:extLst>
              </xdr:cNvPr>
              <xdr:cNvSpPr/>
            </xdr:nvSpPr>
            <xdr:spPr bwMode="auto">
              <a:xfrm>
                <a:off x="329" y="770"/>
                <a:ext cx="67"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nvGrpSpPr>
              <xdr:cNvPr id="87322" name="Group 10">
                <a:extLst>
                  <a:ext uri="{FF2B5EF4-FFF2-40B4-BE49-F238E27FC236}">
                    <a16:creationId xmlns:a16="http://schemas.microsoft.com/office/drawing/2014/main" id="{00000000-0008-0000-0D00-00001A550100}"/>
                  </a:ext>
                </a:extLst>
              </xdr:cNvPr>
              <xdr:cNvGrpSpPr>
                <a:grpSpLocks/>
              </xdr:cNvGrpSpPr>
            </xdr:nvGrpSpPr>
            <xdr:grpSpPr bwMode="auto">
              <a:xfrm>
                <a:off x="228" y="797"/>
                <a:ext cx="176" cy="27"/>
                <a:chOff x="228" y="797"/>
                <a:chExt cx="176" cy="27"/>
              </a:xfrm>
            </xdr:grpSpPr>
            <xdr:sp macro="" textlink="">
              <xdr:nvSpPr>
                <xdr:cNvPr id="41995" name="Group Box 11" hidden="1">
                  <a:extLst>
                    <a:ext uri="{63B3BB69-23CF-44E3-9099-C40C66FF867C}">
                      <a14:compatExt spid="_x0000_s41995"/>
                    </a:ext>
                    <a:ext uri="{FF2B5EF4-FFF2-40B4-BE49-F238E27FC236}">
                      <a16:creationId xmlns:a16="http://schemas.microsoft.com/office/drawing/2014/main" id="{00000000-0008-0000-0D00-00000BA40000}"/>
                    </a:ext>
                  </a:extLst>
                </xdr:cNvPr>
                <xdr:cNvSpPr/>
              </xdr:nvSpPr>
              <xdr:spPr bwMode="auto">
                <a:xfrm>
                  <a:off x="228" y="797"/>
                  <a:ext cx="176" cy="27"/>
                </a:xfrm>
                <a:prstGeom prst="rect">
                  <a:avLst/>
                </a:prstGeom>
                <a:noFill/>
                <a:ln w="9525">
                  <a:miter lim="800000"/>
                  <a:headEnd/>
                  <a:tailEnd/>
                </a:ln>
                <a:extLst>
                  <a:ext uri="{909E8E84-426E-40DD-AFC4-6F175D3DCCD1}">
                    <a14:hiddenFill>
                      <a:noFill/>
                    </a14:hiddenFill>
                  </a:ext>
                </a:extLst>
              </xdr:spPr>
            </xdr:sp>
            <xdr:sp macro="" textlink="">
              <xdr:nvSpPr>
                <xdr:cNvPr id="41996" name="Option Button 12" hidden="1">
                  <a:extLst>
                    <a:ext uri="{63B3BB69-23CF-44E3-9099-C40C66FF867C}">
                      <a14:compatExt spid="_x0000_s41996"/>
                    </a:ext>
                    <a:ext uri="{FF2B5EF4-FFF2-40B4-BE49-F238E27FC236}">
                      <a16:creationId xmlns:a16="http://schemas.microsoft.com/office/drawing/2014/main" id="{00000000-0008-0000-0D00-00000CA40000}"/>
                    </a:ext>
                  </a:extLst>
                </xdr:cNvPr>
                <xdr:cNvSpPr/>
              </xdr:nvSpPr>
              <xdr:spPr bwMode="auto">
                <a:xfrm>
                  <a:off x="241" y="799"/>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1997" name="Option Button 13" hidden="1">
                  <a:extLst>
                    <a:ext uri="{63B3BB69-23CF-44E3-9099-C40C66FF867C}">
                      <a14:compatExt spid="_x0000_s41997"/>
                    </a:ext>
                    <a:ext uri="{FF2B5EF4-FFF2-40B4-BE49-F238E27FC236}">
                      <a16:creationId xmlns:a16="http://schemas.microsoft.com/office/drawing/2014/main" id="{00000000-0008-0000-0D00-00000DA40000}"/>
                    </a:ext>
                  </a:extLst>
                </xdr:cNvPr>
                <xdr:cNvSpPr/>
              </xdr:nvSpPr>
              <xdr:spPr bwMode="auto">
                <a:xfrm>
                  <a:off x="329" y="798"/>
                  <a:ext cx="58" cy="24"/>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grp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0</xdr:colOff>
          <xdr:row>34</xdr:row>
          <xdr:rowOff>0</xdr:rowOff>
        </xdr:from>
        <xdr:to>
          <xdr:col>15</xdr:col>
          <xdr:colOff>0</xdr:colOff>
          <xdr:row>35</xdr:row>
          <xdr:rowOff>0</xdr:rowOff>
        </xdr:to>
        <xdr:sp macro="" textlink="">
          <xdr:nvSpPr>
            <xdr:cNvPr id="40963" name="Group Box 3" hidden="1">
              <a:extLst>
                <a:ext uri="{63B3BB69-23CF-44E3-9099-C40C66FF867C}">
                  <a14:compatExt spid="_x0000_s40963"/>
                </a:ext>
                <a:ext uri="{FF2B5EF4-FFF2-40B4-BE49-F238E27FC236}">
                  <a16:creationId xmlns:a16="http://schemas.microsoft.com/office/drawing/2014/main" id="{00000000-0008-0000-0E00-000003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34</xdr:row>
          <xdr:rowOff>38100</xdr:rowOff>
        </xdr:from>
        <xdr:to>
          <xdr:col>11</xdr:col>
          <xdr:colOff>361950</xdr:colOff>
          <xdr:row>34</xdr:row>
          <xdr:rowOff>257175</xdr:rowOff>
        </xdr:to>
        <xdr:sp macro="" textlink="">
          <xdr:nvSpPr>
            <xdr:cNvPr id="40966" name="Option Button 6" hidden="1">
              <a:extLst>
                <a:ext uri="{63B3BB69-23CF-44E3-9099-C40C66FF867C}">
                  <a14:compatExt spid="_x0000_s40966"/>
                </a:ext>
                <a:ext uri="{FF2B5EF4-FFF2-40B4-BE49-F238E27FC236}">
                  <a16:creationId xmlns:a16="http://schemas.microsoft.com/office/drawing/2014/main" id="{00000000-0008-0000-0E00-00000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34</xdr:row>
          <xdr:rowOff>38100</xdr:rowOff>
        </xdr:from>
        <xdr:to>
          <xdr:col>13</xdr:col>
          <xdr:colOff>333375</xdr:colOff>
          <xdr:row>34</xdr:row>
          <xdr:rowOff>257175</xdr:rowOff>
        </xdr:to>
        <xdr:sp macro="" textlink="">
          <xdr:nvSpPr>
            <xdr:cNvPr id="40967" name="Option Button 7" hidden="1">
              <a:extLst>
                <a:ext uri="{63B3BB69-23CF-44E3-9099-C40C66FF867C}">
                  <a14:compatExt spid="_x0000_s40967"/>
                </a:ext>
                <a:ext uri="{FF2B5EF4-FFF2-40B4-BE49-F238E27FC236}">
                  <a16:creationId xmlns:a16="http://schemas.microsoft.com/office/drawing/2014/main" id="{00000000-0008-0000-0E00-000007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129</xdr:row>
          <xdr:rowOff>0</xdr:rowOff>
        </xdr:from>
        <xdr:to>
          <xdr:col>15</xdr:col>
          <xdr:colOff>0</xdr:colOff>
          <xdr:row>130</xdr:row>
          <xdr:rowOff>0</xdr:rowOff>
        </xdr:to>
        <xdr:sp macro="" textlink="">
          <xdr:nvSpPr>
            <xdr:cNvPr id="40968" name="Group Box 8" hidden="1">
              <a:extLst>
                <a:ext uri="{63B3BB69-23CF-44E3-9099-C40C66FF867C}">
                  <a14:compatExt spid="_x0000_s40968"/>
                </a:ext>
                <a:ext uri="{FF2B5EF4-FFF2-40B4-BE49-F238E27FC236}">
                  <a16:creationId xmlns:a16="http://schemas.microsoft.com/office/drawing/2014/main" id="{00000000-0008-0000-0E00-000008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129</xdr:row>
          <xdr:rowOff>38100</xdr:rowOff>
        </xdr:from>
        <xdr:to>
          <xdr:col>11</xdr:col>
          <xdr:colOff>361950</xdr:colOff>
          <xdr:row>129</xdr:row>
          <xdr:rowOff>257175</xdr:rowOff>
        </xdr:to>
        <xdr:sp macro="" textlink="">
          <xdr:nvSpPr>
            <xdr:cNvPr id="40969" name="Option Button 9" hidden="1">
              <a:extLst>
                <a:ext uri="{63B3BB69-23CF-44E3-9099-C40C66FF867C}">
                  <a14:compatExt spid="_x0000_s40969"/>
                </a:ext>
                <a:ext uri="{FF2B5EF4-FFF2-40B4-BE49-F238E27FC236}">
                  <a16:creationId xmlns:a16="http://schemas.microsoft.com/office/drawing/2014/main" id="{00000000-0008-0000-0E00-000009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129</xdr:row>
          <xdr:rowOff>38100</xdr:rowOff>
        </xdr:from>
        <xdr:to>
          <xdr:col>13</xdr:col>
          <xdr:colOff>342900</xdr:colOff>
          <xdr:row>129</xdr:row>
          <xdr:rowOff>257175</xdr:rowOff>
        </xdr:to>
        <xdr:sp macro="" textlink="">
          <xdr:nvSpPr>
            <xdr:cNvPr id="40970" name="Option Button 10" hidden="1">
              <a:extLst>
                <a:ext uri="{63B3BB69-23CF-44E3-9099-C40C66FF867C}">
                  <a14:compatExt spid="_x0000_s40970"/>
                </a:ext>
                <a:ext uri="{FF2B5EF4-FFF2-40B4-BE49-F238E27FC236}">
                  <a16:creationId xmlns:a16="http://schemas.microsoft.com/office/drawing/2014/main" id="{00000000-0008-0000-0E00-00000A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0</xdr:colOff>
          <xdr:row>84</xdr:row>
          <xdr:rowOff>0</xdr:rowOff>
        </xdr:from>
        <xdr:to>
          <xdr:col>15</xdr:col>
          <xdr:colOff>0</xdr:colOff>
          <xdr:row>85</xdr:row>
          <xdr:rowOff>0</xdr:rowOff>
        </xdr:to>
        <xdr:sp macro="" textlink="">
          <xdr:nvSpPr>
            <xdr:cNvPr id="40980" name="Group Box 20" hidden="1">
              <a:extLst>
                <a:ext uri="{63B3BB69-23CF-44E3-9099-C40C66FF867C}">
                  <a14:compatExt spid="_x0000_s40980"/>
                </a:ext>
                <a:ext uri="{FF2B5EF4-FFF2-40B4-BE49-F238E27FC236}">
                  <a16:creationId xmlns:a16="http://schemas.microsoft.com/office/drawing/2014/main" id="{00000000-0008-0000-0E00-000014A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295275</xdr:colOff>
          <xdr:row>84</xdr:row>
          <xdr:rowOff>38100</xdr:rowOff>
        </xdr:from>
        <xdr:to>
          <xdr:col>11</xdr:col>
          <xdr:colOff>361950</xdr:colOff>
          <xdr:row>84</xdr:row>
          <xdr:rowOff>257175</xdr:rowOff>
        </xdr:to>
        <xdr:sp macro="" textlink="">
          <xdr:nvSpPr>
            <xdr:cNvPr id="40981" name="Option Button 21" hidden="1">
              <a:extLst>
                <a:ext uri="{63B3BB69-23CF-44E3-9099-C40C66FF867C}">
                  <a14:compatExt spid="_x0000_s40981"/>
                </a:ext>
                <a:ext uri="{FF2B5EF4-FFF2-40B4-BE49-F238E27FC236}">
                  <a16:creationId xmlns:a16="http://schemas.microsoft.com/office/drawing/2014/main" id="{00000000-0008-0000-0E00-000015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266700</xdr:colOff>
          <xdr:row>84</xdr:row>
          <xdr:rowOff>38100</xdr:rowOff>
        </xdr:from>
        <xdr:to>
          <xdr:col>13</xdr:col>
          <xdr:colOff>333375</xdr:colOff>
          <xdr:row>84</xdr:row>
          <xdr:rowOff>257175</xdr:rowOff>
        </xdr:to>
        <xdr:sp macro="" textlink="">
          <xdr:nvSpPr>
            <xdr:cNvPr id="40982" name="Option Button 22" hidden="1">
              <a:extLst>
                <a:ext uri="{63B3BB69-23CF-44E3-9099-C40C66FF867C}">
                  <a14:compatExt spid="_x0000_s40982"/>
                </a:ext>
                <a:ext uri="{FF2B5EF4-FFF2-40B4-BE49-F238E27FC236}">
                  <a16:creationId xmlns:a16="http://schemas.microsoft.com/office/drawing/2014/main" id="{00000000-0008-0000-0E00-000016A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3</xdr:col>
          <xdr:colOff>123825</xdr:colOff>
          <xdr:row>5</xdr:row>
          <xdr:rowOff>219075</xdr:rowOff>
        </xdr:to>
        <xdr:sp macro="" textlink="">
          <xdr:nvSpPr>
            <xdr:cNvPr id="33793" name="Check Box 1" hidden="1">
              <a:extLst>
                <a:ext uri="{63B3BB69-23CF-44E3-9099-C40C66FF867C}">
                  <a14:compatExt spid="_x0000_s33793"/>
                </a:ext>
                <a:ext uri="{FF2B5EF4-FFF2-40B4-BE49-F238E27FC236}">
                  <a16:creationId xmlns:a16="http://schemas.microsoft.com/office/drawing/2014/main" id="{00000000-0008-0000-0F00-00000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3</xdr:col>
          <xdr:colOff>123825</xdr:colOff>
          <xdr:row>6</xdr:row>
          <xdr:rowOff>219075</xdr:rowOff>
        </xdr:to>
        <xdr:sp macro="" textlink="">
          <xdr:nvSpPr>
            <xdr:cNvPr id="33794" name="Check Box 2" hidden="1">
              <a:extLst>
                <a:ext uri="{63B3BB69-23CF-44E3-9099-C40C66FF867C}">
                  <a14:compatExt spid="_x0000_s33794"/>
                </a:ext>
                <a:ext uri="{FF2B5EF4-FFF2-40B4-BE49-F238E27FC236}">
                  <a16:creationId xmlns:a16="http://schemas.microsoft.com/office/drawing/2014/main" id="{00000000-0008-0000-0F00-00000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3</xdr:col>
          <xdr:colOff>123825</xdr:colOff>
          <xdr:row>7</xdr:row>
          <xdr:rowOff>219075</xdr:rowOff>
        </xdr:to>
        <xdr:sp macro="" textlink="">
          <xdr:nvSpPr>
            <xdr:cNvPr id="33795" name="Check Box 3" hidden="1">
              <a:extLst>
                <a:ext uri="{63B3BB69-23CF-44E3-9099-C40C66FF867C}">
                  <a14:compatExt spid="_x0000_s33795"/>
                </a:ext>
                <a:ext uri="{FF2B5EF4-FFF2-40B4-BE49-F238E27FC236}">
                  <a16:creationId xmlns:a16="http://schemas.microsoft.com/office/drawing/2014/main" id="{00000000-0008-0000-0F00-00000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3</xdr:col>
          <xdr:colOff>123825</xdr:colOff>
          <xdr:row>8</xdr:row>
          <xdr:rowOff>219075</xdr:rowOff>
        </xdr:to>
        <xdr:sp macro="" textlink="">
          <xdr:nvSpPr>
            <xdr:cNvPr id="33796" name="Check Box 4" hidden="1">
              <a:extLst>
                <a:ext uri="{63B3BB69-23CF-44E3-9099-C40C66FF867C}">
                  <a14:compatExt spid="_x0000_s33796"/>
                </a:ext>
                <a:ext uri="{FF2B5EF4-FFF2-40B4-BE49-F238E27FC236}">
                  <a16:creationId xmlns:a16="http://schemas.microsoft.com/office/drawing/2014/main" id="{00000000-0008-0000-0F00-00000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3</xdr:col>
          <xdr:colOff>123825</xdr:colOff>
          <xdr:row>10</xdr:row>
          <xdr:rowOff>0</xdr:rowOff>
        </xdr:to>
        <xdr:sp macro="" textlink="">
          <xdr:nvSpPr>
            <xdr:cNvPr id="33797" name="Check Box 5" hidden="1">
              <a:extLst>
                <a:ext uri="{63B3BB69-23CF-44E3-9099-C40C66FF867C}">
                  <a14:compatExt spid="_x0000_s33797"/>
                </a:ext>
                <a:ext uri="{FF2B5EF4-FFF2-40B4-BE49-F238E27FC236}">
                  <a16:creationId xmlns:a16="http://schemas.microsoft.com/office/drawing/2014/main" id="{00000000-0008-0000-0F00-00000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9525</xdr:rowOff>
        </xdr:from>
        <xdr:to>
          <xdr:col>3</xdr:col>
          <xdr:colOff>123825</xdr:colOff>
          <xdr:row>11</xdr:row>
          <xdr:rowOff>0</xdr:rowOff>
        </xdr:to>
        <xdr:sp macro="" textlink="">
          <xdr:nvSpPr>
            <xdr:cNvPr id="33798" name="Check Box 6" hidden="1">
              <a:extLst>
                <a:ext uri="{63B3BB69-23CF-44E3-9099-C40C66FF867C}">
                  <a14:compatExt spid="_x0000_s33798"/>
                </a:ext>
                <a:ext uri="{FF2B5EF4-FFF2-40B4-BE49-F238E27FC236}">
                  <a16:creationId xmlns:a16="http://schemas.microsoft.com/office/drawing/2014/main" id="{00000000-0008-0000-0F00-00000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9525</xdr:rowOff>
        </xdr:from>
        <xdr:to>
          <xdr:col>3</xdr:col>
          <xdr:colOff>123825</xdr:colOff>
          <xdr:row>12</xdr:row>
          <xdr:rowOff>0</xdr:rowOff>
        </xdr:to>
        <xdr:sp macro="" textlink="">
          <xdr:nvSpPr>
            <xdr:cNvPr id="33799" name="Check Box 7" hidden="1">
              <a:extLst>
                <a:ext uri="{63B3BB69-23CF-44E3-9099-C40C66FF867C}">
                  <a14:compatExt spid="_x0000_s33799"/>
                </a:ext>
                <a:ext uri="{FF2B5EF4-FFF2-40B4-BE49-F238E27FC236}">
                  <a16:creationId xmlns:a16="http://schemas.microsoft.com/office/drawing/2014/main" id="{00000000-0008-0000-0F00-00000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9525</xdr:rowOff>
        </xdr:from>
        <xdr:to>
          <xdr:col>3</xdr:col>
          <xdr:colOff>123825</xdr:colOff>
          <xdr:row>15</xdr:row>
          <xdr:rowOff>0</xdr:rowOff>
        </xdr:to>
        <xdr:sp macro="" textlink="">
          <xdr:nvSpPr>
            <xdr:cNvPr id="33800" name="Check Box 8" hidden="1">
              <a:extLst>
                <a:ext uri="{63B3BB69-23CF-44E3-9099-C40C66FF867C}">
                  <a14:compatExt spid="_x0000_s33800"/>
                </a:ext>
                <a:ext uri="{FF2B5EF4-FFF2-40B4-BE49-F238E27FC236}">
                  <a16:creationId xmlns:a16="http://schemas.microsoft.com/office/drawing/2014/main" id="{00000000-0008-0000-0F00-00000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xdr:row>
          <xdr:rowOff>19050</xdr:rowOff>
        </xdr:from>
        <xdr:to>
          <xdr:col>3</xdr:col>
          <xdr:colOff>123825</xdr:colOff>
          <xdr:row>16</xdr:row>
          <xdr:rowOff>19050</xdr:rowOff>
        </xdr:to>
        <xdr:sp macro="" textlink="">
          <xdr:nvSpPr>
            <xdr:cNvPr id="33810" name="Check Box 18" hidden="1">
              <a:extLst>
                <a:ext uri="{63B3BB69-23CF-44E3-9099-C40C66FF867C}">
                  <a14:compatExt spid="_x0000_s33810"/>
                </a:ext>
                <a:ext uri="{FF2B5EF4-FFF2-40B4-BE49-F238E27FC236}">
                  <a16:creationId xmlns:a16="http://schemas.microsoft.com/office/drawing/2014/main" id="{00000000-0008-0000-0F00-000012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0</xdr:rowOff>
        </xdr:from>
        <xdr:to>
          <xdr:col>3</xdr:col>
          <xdr:colOff>123825</xdr:colOff>
          <xdr:row>12</xdr:row>
          <xdr:rowOff>219075</xdr:rowOff>
        </xdr:to>
        <xdr:sp macro="" textlink="">
          <xdr:nvSpPr>
            <xdr:cNvPr id="33811" name="Check Box 19" hidden="1">
              <a:extLst>
                <a:ext uri="{63B3BB69-23CF-44E3-9099-C40C66FF867C}">
                  <a14:compatExt spid="_x0000_s33811"/>
                </a:ext>
                <a:ext uri="{FF2B5EF4-FFF2-40B4-BE49-F238E27FC236}">
                  <a16:creationId xmlns:a16="http://schemas.microsoft.com/office/drawing/2014/main" id="{00000000-0008-0000-0F00-000013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1514475</xdr:colOff>
          <xdr:row>13</xdr:row>
          <xdr:rowOff>9525</xdr:rowOff>
        </xdr:from>
        <xdr:to>
          <xdr:col>3</xdr:col>
          <xdr:colOff>123825</xdr:colOff>
          <xdr:row>14</xdr:row>
          <xdr:rowOff>0</xdr:rowOff>
        </xdr:to>
        <xdr:sp macro="" textlink="">
          <xdr:nvSpPr>
            <xdr:cNvPr id="33812" name="Check Box 20" hidden="1">
              <a:extLst>
                <a:ext uri="{63B3BB69-23CF-44E3-9099-C40C66FF867C}">
                  <a14:compatExt spid="_x0000_s33812"/>
                </a:ext>
                <a:ext uri="{FF2B5EF4-FFF2-40B4-BE49-F238E27FC236}">
                  <a16:creationId xmlns:a16="http://schemas.microsoft.com/office/drawing/2014/main" id="{00000000-0008-0000-0F00-00001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3</xdr:row>
          <xdr:rowOff>19050</xdr:rowOff>
        </xdr:from>
        <xdr:to>
          <xdr:col>1</xdr:col>
          <xdr:colOff>1504950</xdr:colOff>
          <xdr:row>5</xdr:row>
          <xdr:rowOff>314325</xdr:rowOff>
        </xdr:to>
        <xdr:sp macro="" textlink="">
          <xdr:nvSpPr>
            <xdr:cNvPr id="5138" name="Group Box 18" hidden="1">
              <a:extLst>
                <a:ext uri="{63B3BB69-23CF-44E3-9099-C40C66FF867C}">
                  <a14:compatExt spid="_x0000_s5138"/>
                </a:ext>
                <a:ext uri="{FF2B5EF4-FFF2-40B4-BE49-F238E27FC236}">
                  <a16:creationId xmlns:a16="http://schemas.microsoft.com/office/drawing/2014/main" id="{00000000-0008-0000-1000-0000121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3</xdr:row>
          <xdr:rowOff>57150</xdr:rowOff>
        </xdr:from>
        <xdr:to>
          <xdr:col>1</xdr:col>
          <xdr:colOff>942975</xdr:colOff>
          <xdr:row>3</xdr:row>
          <xdr:rowOff>276225</xdr:rowOff>
        </xdr:to>
        <xdr:sp macro="" textlink="">
          <xdr:nvSpPr>
            <xdr:cNvPr id="5139" name="Option Button 19" hidden="1">
              <a:extLst>
                <a:ext uri="{63B3BB69-23CF-44E3-9099-C40C66FF867C}">
                  <a14:compatExt spid="_x0000_s5139"/>
                </a:ext>
                <a:ext uri="{FF2B5EF4-FFF2-40B4-BE49-F238E27FC236}">
                  <a16:creationId xmlns:a16="http://schemas.microsoft.com/office/drawing/2014/main" id="{00000000-0008-0000-1000-00001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3</xdr:row>
          <xdr:rowOff>209550</xdr:rowOff>
        </xdr:from>
        <xdr:to>
          <xdr:col>1</xdr:col>
          <xdr:colOff>1447800</xdr:colOff>
          <xdr:row>3</xdr:row>
          <xdr:rowOff>428625</xdr:rowOff>
        </xdr:to>
        <xdr:sp macro="" textlink="">
          <xdr:nvSpPr>
            <xdr:cNvPr id="5140" name="Option Button 20" hidden="1">
              <a:extLst>
                <a:ext uri="{63B3BB69-23CF-44E3-9099-C40C66FF867C}">
                  <a14:compatExt spid="_x0000_s5140"/>
                </a:ext>
                <a:ext uri="{FF2B5EF4-FFF2-40B4-BE49-F238E27FC236}">
                  <a16:creationId xmlns:a16="http://schemas.microsoft.com/office/drawing/2014/main" id="{00000000-0008-0000-1000-00001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4</xdr:row>
          <xdr:rowOff>104775</xdr:rowOff>
        </xdr:from>
        <xdr:to>
          <xdr:col>1</xdr:col>
          <xdr:colOff>1447800</xdr:colOff>
          <xdr:row>4</xdr:row>
          <xdr:rowOff>323850</xdr:rowOff>
        </xdr:to>
        <xdr:sp macro="" textlink="">
          <xdr:nvSpPr>
            <xdr:cNvPr id="5141" name="Option Button 21" hidden="1">
              <a:extLst>
                <a:ext uri="{63B3BB69-23CF-44E3-9099-C40C66FF867C}">
                  <a14:compatExt spid="_x0000_s5141"/>
                </a:ext>
                <a:ext uri="{FF2B5EF4-FFF2-40B4-BE49-F238E27FC236}">
                  <a16:creationId xmlns:a16="http://schemas.microsoft.com/office/drawing/2014/main" id="{00000000-0008-0000-1000-00001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5</xdr:row>
          <xdr:rowOff>28575</xdr:rowOff>
        </xdr:from>
        <xdr:to>
          <xdr:col>1</xdr:col>
          <xdr:colOff>1447800</xdr:colOff>
          <xdr:row>5</xdr:row>
          <xdr:rowOff>247650</xdr:rowOff>
        </xdr:to>
        <xdr:sp macro="" textlink="">
          <xdr:nvSpPr>
            <xdr:cNvPr id="5142" name="Option Button 22" hidden="1">
              <a:extLst>
                <a:ext uri="{63B3BB69-23CF-44E3-9099-C40C66FF867C}">
                  <a14:compatExt spid="_x0000_s5142"/>
                </a:ext>
                <a:ext uri="{FF2B5EF4-FFF2-40B4-BE49-F238E27FC236}">
                  <a16:creationId xmlns:a16="http://schemas.microsoft.com/office/drawing/2014/main" id="{00000000-0008-0000-1000-00001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11</xdr:col>
          <xdr:colOff>0</xdr:colOff>
          <xdr:row>4</xdr:row>
          <xdr:rowOff>0</xdr:rowOff>
        </xdr:from>
        <xdr:to>
          <xdr:col>15</xdr:col>
          <xdr:colOff>0</xdr:colOff>
          <xdr:row>5</xdr:row>
          <xdr:rowOff>0</xdr:rowOff>
        </xdr:to>
        <xdr:grpSp>
          <xdr:nvGrpSpPr>
            <xdr:cNvPr id="57776" name="Group 1">
              <a:extLst>
                <a:ext uri="{FF2B5EF4-FFF2-40B4-BE49-F238E27FC236}">
                  <a16:creationId xmlns:a16="http://schemas.microsoft.com/office/drawing/2014/main" id="{00000000-0008-0000-1100-0000B0E10000}"/>
                </a:ext>
              </a:extLst>
            </xdr:cNvPr>
            <xdr:cNvGrpSpPr>
              <a:grpSpLocks/>
            </xdr:cNvGrpSpPr>
          </xdr:nvGrpSpPr>
          <xdr:grpSpPr bwMode="auto">
            <a:xfrm>
              <a:off x="3706813" y="1127125"/>
              <a:ext cx="1349375" cy="269875"/>
              <a:chOff x="390" y="105"/>
              <a:chExt cx="142" cy="28"/>
            </a:xfrm>
          </xdr:grpSpPr>
          <xdr:sp macro="" textlink="">
            <xdr:nvSpPr>
              <xdr:cNvPr id="57346" name="Group Box 2" hidden="1">
                <a:extLst>
                  <a:ext uri="{63B3BB69-23CF-44E3-9099-C40C66FF867C}">
                    <a14:compatExt spid="_x0000_s57346"/>
                  </a:ext>
                  <a:ext uri="{FF2B5EF4-FFF2-40B4-BE49-F238E27FC236}">
                    <a16:creationId xmlns:a16="http://schemas.microsoft.com/office/drawing/2014/main" id="{00000000-0008-0000-1100-000002E00000}"/>
                  </a:ext>
                </a:extLst>
              </xdr:cNvPr>
              <xdr:cNvSpPr/>
            </xdr:nvSpPr>
            <xdr:spPr bwMode="auto">
              <a:xfrm>
                <a:off x="390" y="105"/>
                <a:ext cx="142" cy="28"/>
              </a:xfrm>
              <a:prstGeom prst="rect">
                <a:avLst/>
              </a:prstGeom>
              <a:noFill/>
              <a:ln w="9525">
                <a:miter lim="800000"/>
                <a:headEnd/>
                <a:tailEnd/>
              </a:ln>
              <a:extLst>
                <a:ext uri="{909E8E84-426E-40DD-AFC4-6F175D3DCCD1}">
                  <a14:hiddenFill>
                    <a:noFill/>
                  </a14:hiddenFill>
                </a:ext>
              </a:extLst>
            </xdr:spPr>
          </xdr:sp>
          <xdr:sp macro="" textlink="">
            <xdr:nvSpPr>
              <xdr:cNvPr id="57347" name="Option Button 3" hidden="1">
                <a:extLst>
                  <a:ext uri="{63B3BB69-23CF-44E3-9099-C40C66FF867C}">
                    <a14:compatExt spid="_x0000_s57347"/>
                  </a:ext>
                  <a:ext uri="{FF2B5EF4-FFF2-40B4-BE49-F238E27FC236}">
                    <a16:creationId xmlns:a16="http://schemas.microsoft.com/office/drawing/2014/main" id="{00000000-0008-0000-1100-000003E00000}"/>
                  </a:ext>
                </a:extLst>
              </xdr:cNvPr>
              <xdr:cNvSpPr/>
            </xdr:nvSpPr>
            <xdr:spPr bwMode="auto">
              <a:xfrm>
                <a:off x="406" y="107"/>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57348" name="Option Button 4" hidden="1">
                <a:extLst>
                  <a:ext uri="{63B3BB69-23CF-44E3-9099-C40C66FF867C}">
                    <a14:compatExt spid="_x0000_s57348"/>
                  </a:ext>
                  <a:ext uri="{FF2B5EF4-FFF2-40B4-BE49-F238E27FC236}">
                    <a16:creationId xmlns:a16="http://schemas.microsoft.com/office/drawing/2014/main" id="{00000000-0008-0000-1100-000004E00000}"/>
                  </a:ext>
                </a:extLst>
              </xdr:cNvPr>
              <xdr:cNvSpPr/>
            </xdr:nvSpPr>
            <xdr:spPr bwMode="auto">
              <a:xfrm>
                <a:off x="463" y="107"/>
                <a:ext cx="4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12</xdr:col>
          <xdr:colOff>0</xdr:colOff>
          <xdr:row>5</xdr:row>
          <xdr:rowOff>0</xdr:rowOff>
        </xdr:to>
        <xdr:sp macro="" textlink="">
          <xdr:nvSpPr>
            <xdr:cNvPr id="26626" name="Group Box 2" hidden="1">
              <a:extLst>
                <a:ext uri="{63B3BB69-23CF-44E3-9099-C40C66FF867C}">
                  <a14:compatExt spid="_x0000_s26626"/>
                </a:ext>
                <a:ext uri="{FF2B5EF4-FFF2-40B4-BE49-F238E27FC236}">
                  <a16:creationId xmlns:a16="http://schemas.microsoft.com/office/drawing/2014/main" id="{00000000-0008-0000-1200-000002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4</xdr:row>
          <xdr:rowOff>19050</xdr:rowOff>
        </xdr:from>
        <xdr:to>
          <xdr:col>6</xdr:col>
          <xdr:colOff>66675</xdr:colOff>
          <xdr:row>4</xdr:row>
          <xdr:rowOff>247650</xdr:rowOff>
        </xdr:to>
        <xdr:sp macro="" textlink="">
          <xdr:nvSpPr>
            <xdr:cNvPr id="26627" name="Option Button 3" hidden="1">
              <a:extLst>
                <a:ext uri="{63B3BB69-23CF-44E3-9099-C40C66FF867C}">
                  <a14:compatExt spid="_x0000_s26627"/>
                </a:ext>
                <a:ext uri="{FF2B5EF4-FFF2-40B4-BE49-F238E27FC236}">
                  <a16:creationId xmlns:a16="http://schemas.microsoft.com/office/drawing/2014/main" id="{00000000-0008-0000-12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4</xdr:row>
          <xdr:rowOff>19050</xdr:rowOff>
        </xdr:from>
        <xdr:to>
          <xdr:col>7</xdr:col>
          <xdr:colOff>180975</xdr:colOff>
          <xdr:row>4</xdr:row>
          <xdr:rowOff>247650</xdr:rowOff>
        </xdr:to>
        <xdr:sp macro="" textlink="">
          <xdr:nvSpPr>
            <xdr:cNvPr id="26628" name="Option Button 4" hidden="1">
              <a:extLst>
                <a:ext uri="{63B3BB69-23CF-44E3-9099-C40C66FF867C}">
                  <a14:compatExt spid="_x0000_s26628"/>
                </a:ext>
                <a:ext uri="{FF2B5EF4-FFF2-40B4-BE49-F238E27FC236}">
                  <a16:creationId xmlns:a16="http://schemas.microsoft.com/office/drawing/2014/main" id="{00000000-0008-0000-12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4</xdr:row>
          <xdr:rowOff>19050</xdr:rowOff>
        </xdr:from>
        <xdr:to>
          <xdr:col>8</xdr:col>
          <xdr:colOff>238125</xdr:colOff>
          <xdr:row>4</xdr:row>
          <xdr:rowOff>247650</xdr:rowOff>
        </xdr:to>
        <xdr:sp macro="" textlink="">
          <xdr:nvSpPr>
            <xdr:cNvPr id="26629" name="Option Button 5" hidden="1">
              <a:extLst>
                <a:ext uri="{63B3BB69-23CF-44E3-9099-C40C66FF867C}">
                  <a14:compatExt spid="_x0000_s26629"/>
                </a:ext>
                <a:ext uri="{FF2B5EF4-FFF2-40B4-BE49-F238E27FC236}">
                  <a16:creationId xmlns:a16="http://schemas.microsoft.com/office/drawing/2014/main" id="{00000000-0008-0000-12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4</xdr:row>
          <xdr:rowOff>19050</xdr:rowOff>
        </xdr:from>
        <xdr:to>
          <xdr:col>10</xdr:col>
          <xdr:colOff>57150</xdr:colOff>
          <xdr:row>4</xdr:row>
          <xdr:rowOff>247650</xdr:rowOff>
        </xdr:to>
        <xdr:sp macro="" textlink="">
          <xdr:nvSpPr>
            <xdr:cNvPr id="26630" name="Option Button 6" hidden="1">
              <a:extLst>
                <a:ext uri="{63B3BB69-23CF-44E3-9099-C40C66FF867C}">
                  <a14:compatExt spid="_x0000_s26630"/>
                </a:ext>
                <a:ext uri="{FF2B5EF4-FFF2-40B4-BE49-F238E27FC236}">
                  <a16:creationId xmlns:a16="http://schemas.microsoft.com/office/drawing/2014/main" id="{00000000-0008-0000-12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4</xdr:row>
          <xdr:rowOff>19050</xdr:rowOff>
        </xdr:from>
        <xdr:to>
          <xdr:col>11</xdr:col>
          <xdr:colOff>123825</xdr:colOff>
          <xdr:row>4</xdr:row>
          <xdr:rowOff>247650</xdr:rowOff>
        </xdr:to>
        <xdr:sp macro="" textlink="">
          <xdr:nvSpPr>
            <xdr:cNvPr id="26631" name="Option Button 7" hidden="1">
              <a:extLst>
                <a:ext uri="{63B3BB69-23CF-44E3-9099-C40C66FF867C}">
                  <a14:compatExt spid="_x0000_s26631"/>
                </a:ext>
                <a:ext uri="{FF2B5EF4-FFF2-40B4-BE49-F238E27FC236}">
                  <a16:creationId xmlns:a16="http://schemas.microsoft.com/office/drawing/2014/main" id="{00000000-0008-0000-12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9</xdr:row>
          <xdr:rowOff>0</xdr:rowOff>
        </xdr:from>
        <xdr:to>
          <xdr:col>12</xdr:col>
          <xdr:colOff>0</xdr:colOff>
          <xdr:row>10</xdr:row>
          <xdr:rowOff>0</xdr:rowOff>
        </xdr:to>
        <xdr:sp macro="" textlink="">
          <xdr:nvSpPr>
            <xdr:cNvPr id="26633" name="Group Box 9" hidden="1">
              <a:extLst>
                <a:ext uri="{63B3BB69-23CF-44E3-9099-C40C66FF867C}">
                  <a14:compatExt spid="_x0000_s26633"/>
                </a:ext>
                <a:ext uri="{FF2B5EF4-FFF2-40B4-BE49-F238E27FC236}">
                  <a16:creationId xmlns:a16="http://schemas.microsoft.com/office/drawing/2014/main" id="{00000000-0008-0000-1200-00000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9</xdr:row>
          <xdr:rowOff>38100</xdr:rowOff>
        </xdr:from>
        <xdr:to>
          <xdr:col>6</xdr:col>
          <xdr:colOff>66675</xdr:colOff>
          <xdr:row>9</xdr:row>
          <xdr:rowOff>257175</xdr:rowOff>
        </xdr:to>
        <xdr:sp macro="" textlink="">
          <xdr:nvSpPr>
            <xdr:cNvPr id="26634" name="Option Button 10" hidden="1">
              <a:extLst>
                <a:ext uri="{63B3BB69-23CF-44E3-9099-C40C66FF867C}">
                  <a14:compatExt spid="_x0000_s26634"/>
                </a:ext>
                <a:ext uri="{FF2B5EF4-FFF2-40B4-BE49-F238E27FC236}">
                  <a16:creationId xmlns:a16="http://schemas.microsoft.com/office/drawing/2014/main" id="{00000000-0008-0000-12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9</xdr:row>
          <xdr:rowOff>38100</xdr:rowOff>
        </xdr:from>
        <xdr:to>
          <xdr:col>7</xdr:col>
          <xdr:colOff>180975</xdr:colOff>
          <xdr:row>9</xdr:row>
          <xdr:rowOff>257175</xdr:rowOff>
        </xdr:to>
        <xdr:sp macro="" textlink="">
          <xdr:nvSpPr>
            <xdr:cNvPr id="26635" name="Option Button 11" hidden="1">
              <a:extLst>
                <a:ext uri="{63B3BB69-23CF-44E3-9099-C40C66FF867C}">
                  <a14:compatExt spid="_x0000_s26635"/>
                </a:ext>
                <a:ext uri="{FF2B5EF4-FFF2-40B4-BE49-F238E27FC236}">
                  <a16:creationId xmlns:a16="http://schemas.microsoft.com/office/drawing/2014/main" id="{00000000-0008-0000-12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9</xdr:row>
          <xdr:rowOff>38100</xdr:rowOff>
        </xdr:from>
        <xdr:to>
          <xdr:col>8</xdr:col>
          <xdr:colOff>238125</xdr:colOff>
          <xdr:row>9</xdr:row>
          <xdr:rowOff>257175</xdr:rowOff>
        </xdr:to>
        <xdr:sp macro="" textlink="">
          <xdr:nvSpPr>
            <xdr:cNvPr id="26636" name="Option Button 12" hidden="1">
              <a:extLst>
                <a:ext uri="{63B3BB69-23CF-44E3-9099-C40C66FF867C}">
                  <a14:compatExt spid="_x0000_s26636"/>
                </a:ext>
                <a:ext uri="{FF2B5EF4-FFF2-40B4-BE49-F238E27FC236}">
                  <a16:creationId xmlns:a16="http://schemas.microsoft.com/office/drawing/2014/main" id="{00000000-0008-0000-12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9</xdr:row>
          <xdr:rowOff>38100</xdr:rowOff>
        </xdr:from>
        <xdr:to>
          <xdr:col>10</xdr:col>
          <xdr:colOff>57150</xdr:colOff>
          <xdr:row>9</xdr:row>
          <xdr:rowOff>257175</xdr:rowOff>
        </xdr:to>
        <xdr:sp macro="" textlink="">
          <xdr:nvSpPr>
            <xdr:cNvPr id="26637" name="Option Button 13" hidden="1">
              <a:extLst>
                <a:ext uri="{63B3BB69-23CF-44E3-9099-C40C66FF867C}">
                  <a14:compatExt spid="_x0000_s26637"/>
                </a:ext>
                <a:ext uri="{FF2B5EF4-FFF2-40B4-BE49-F238E27FC236}">
                  <a16:creationId xmlns:a16="http://schemas.microsoft.com/office/drawing/2014/main" id="{00000000-0008-0000-12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9</xdr:row>
          <xdr:rowOff>38100</xdr:rowOff>
        </xdr:from>
        <xdr:to>
          <xdr:col>11</xdr:col>
          <xdr:colOff>123825</xdr:colOff>
          <xdr:row>9</xdr:row>
          <xdr:rowOff>257175</xdr:rowOff>
        </xdr:to>
        <xdr:sp macro="" textlink="">
          <xdr:nvSpPr>
            <xdr:cNvPr id="26638" name="Option Button 14" hidden="1">
              <a:extLst>
                <a:ext uri="{63B3BB69-23CF-44E3-9099-C40C66FF867C}">
                  <a14:compatExt spid="_x0000_s26638"/>
                </a:ext>
                <a:ext uri="{FF2B5EF4-FFF2-40B4-BE49-F238E27FC236}">
                  <a16:creationId xmlns:a16="http://schemas.microsoft.com/office/drawing/2014/main" id="{00000000-0008-0000-12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8</xdr:row>
          <xdr:rowOff>0</xdr:rowOff>
        </xdr:from>
        <xdr:to>
          <xdr:col>12</xdr:col>
          <xdr:colOff>0</xdr:colOff>
          <xdr:row>9</xdr:row>
          <xdr:rowOff>0</xdr:rowOff>
        </xdr:to>
        <xdr:sp macro="" textlink="">
          <xdr:nvSpPr>
            <xdr:cNvPr id="26640" name="Group Box 16" hidden="1">
              <a:extLst>
                <a:ext uri="{63B3BB69-23CF-44E3-9099-C40C66FF867C}">
                  <a14:compatExt spid="_x0000_s26640"/>
                </a:ext>
                <a:ext uri="{FF2B5EF4-FFF2-40B4-BE49-F238E27FC236}">
                  <a16:creationId xmlns:a16="http://schemas.microsoft.com/office/drawing/2014/main" id="{00000000-0008-0000-1200-000010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8</xdr:row>
          <xdr:rowOff>9525</xdr:rowOff>
        </xdr:from>
        <xdr:to>
          <xdr:col>6</xdr:col>
          <xdr:colOff>66675</xdr:colOff>
          <xdr:row>9</xdr:row>
          <xdr:rowOff>0</xdr:rowOff>
        </xdr:to>
        <xdr:sp macro="" textlink="">
          <xdr:nvSpPr>
            <xdr:cNvPr id="26641" name="Option Button 17" hidden="1">
              <a:extLst>
                <a:ext uri="{63B3BB69-23CF-44E3-9099-C40C66FF867C}">
                  <a14:compatExt spid="_x0000_s26641"/>
                </a:ext>
                <a:ext uri="{FF2B5EF4-FFF2-40B4-BE49-F238E27FC236}">
                  <a16:creationId xmlns:a16="http://schemas.microsoft.com/office/drawing/2014/main" id="{00000000-0008-0000-12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8</xdr:row>
          <xdr:rowOff>9525</xdr:rowOff>
        </xdr:from>
        <xdr:to>
          <xdr:col>7</xdr:col>
          <xdr:colOff>180975</xdr:colOff>
          <xdr:row>9</xdr:row>
          <xdr:rowOff>0</xdr:rowOff>
        </xdr:to>
        <xdr:sp macro="" textlink="">
          <xdr:nvSpPr>
            <xdr:cNvPr id="26642" name="Option Button 18" hidden="1">
              <a:extLst>
                <a:ext uri="{63B3BB69-23CF-44E3-9099-C40C66FF867C}">
                  <a14:compatExt spid="_x0000_s26642"/>
                </a:ext>
                <a:ext uri="{FF2B5EF4-FFF2-40B4-BE49-F238E27FC236}">
                  <a16:creationId xmlns:a16="http://schemas.microsoft.com/office/drawing/2014/main" id="{00000000-0008-0000-12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8</xdr:row>
          <xdr:rowOff>9525</xdr:rowOff>
        </xdr:from>
        <xdr:to>
          <xdr:col>8</xdr:col>
          <xdr:colOff>238125</xdr:colOff>
          <xdr:row>9</xdr:row>
          <xdr:rowOff>0</xdr:rowOff>
        </xdr:to>
        <xdr:sp macro="" textlink="">
          <xdr:nvSpPr>
            <xdr:cNvPr id="26643" name="Option Button 19" hidden="1">
              <a:extLst>
                <a:ext uri="{63B3BB69-23CF-44E3-9099-C40C66FF867C}">
                  <a14:compatExt spid="_x0000_s26643"/>
                </a:ext>
                <a:ext uri="{FF2B5EF4-FFF2-40B4-BE49-F238E27FC236}">
                  <a16:creationId xmlns:a16="http://schemas.microsoft.com/office/drawing/2014/main" id="{00000000-0008-0000-12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8</xdr:row>
          <xdr:rowOff>9525</xdr:rowOff>
        </xdr:from>
        <xdr:to>
          <xdr:col>10</xdr:col>
          <xdr:colOff>57150</xdr:colOff>
          <xdr:row>9</xdr:row>
          <xdr:rowOff>0</xdr:rowOff>
        </xdr:to>
        <xdr:sp macro="" textlink="">
          <xdr:nvSpPr>
            <xdr:cNvPr id="26644" name="Option Button 20" hidden="1">
              <a:extLst>
                <a:ext uri="{63B3BB69-23CF-44E3-9099-C40C66FF867C}">
                  <a14:compatExt spid="_x0000_s26644"/>
                </a:ext>
                <a:ext uri="{FF2B5EF4-FFF2-40B4-BE49-F238E27FC236}">
                  <a16:creationId xmlns:a16="http://schemas.microsoft.com/office/drawing/2014/main" id="{00000000-0008-0000-12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8</xdr:row>
          <xdr:rowOff>9525</xdr:rowOff>
        </xdr:from>
        <xdr:to>
          <xdr:col>11</xdr:col>
          <xdr:colOff>123825</xdr:colOff>
          <xdr:row>9</xdr:row>
          <xdr:rowOff>0</xdr:rowOff>
        </xdr:to>
        <xdr:sp macro="" textlink="">
          <xdr:nvSpPr>
            <xdr:cNvPr id="26645" name="Option Button 21" hidden="1">
              <a:extLst>
                <a:ext uri="{63B3BB69-23CF-44E3-9099-C40C66FF867C}">
                  <a14:compatExt spid="_x0000_s26645"/>
                </a:ext>
                <a:ext uri="{FF2B5EF4-FFF2-40B4-BE49-F238E27FC236}">
                  <a16:creationId xmlns:a16="http://schemas.microsoft.com/office/drawing/2014/main" id="{00000000-0008-0000-12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12</xdr:col>
          <xdr:colOff>0</xdr:colOff>
          <xdr:row>8</xdr:row>
          <xdr:rowOff>0</xdr:rowOff>
        </xdr:to>
        <xdr:sp macro="" textlink="">
          <xdr:nvSpPr>
            <xdr:cNvPr id="26647" name="Group Box 23" hidden="1">
              <a:extLst>
                <a:ext uri="{63B3BB69-23CF-44E3-9099-C40C66FF867C}">
                  <a14:compatExt spid="_x0000_s26647"/>
                </a:ext>
                <a:ext uri="{FF2B5EF4-FFF2-40B4-BE49-F238E27FC236}">
                  <a16:creationId xmlns:a16="http://schemas.microsoft.com/office/drawing/2014/main" id="{00000000-0008-0000-1200-00001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7</xdr:row>
          <xdr:rowOff>28575</xdr:rowOff>
        </xdr:from>
        <xdr:to>
          <xdr:col>6</xdr:col>
          <xdr:colOff>66675</xdr:colOff>
          <xdr:row>7</xdr:row>
          <xdr:rowOff>247650</xdr:rowOff>
        </xdr:to>
        <xdr:sp macro="" textlink="">
          <xdr:nvSpPr>
            <xdr:cNvPr id="26648" name="Option Button 24" hidden="1">
              <a:extLst>
                <a:ext uri="{63B3BB69-23CF-44E3-9099-C40C66FF867C}">
                  <a14:compatExt spid="_x0000_s26648"/>
                </a:ext>
                <a:ext uri="{FF2B5EF4-FFF2-40B4-BE49-F238E27FC236}">
                  <a16:creationId xmlns:a16="http://schemas.microsoft.com/office/drawing/2014/main" id="{00000000-0008-0000-12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7</xdr:row>
          <xdr:rowOff>28575</xdr:rowOff>
        </xdr:from>
        <xdr:to>
          <xdr:col>7</xdr:col>
          <xdr:colOff>180975</xdr:colOff>
          <xdr:row>7</xdr:row>
          <xdr:rowOff>247650</xdr:rowOff>
        </xdr:to>
        <xdr:sp macro="" textlink="">
          <xdr:nvSpPr>
            <xdr:cNvPr id="26649" name="Option Button 25" hidden="1">
              <a:extLst>
                <a:ext uri="{63B3BB69-23CF-44E3-9099-C40C66FF867C}">
                  <a14:compatExt spid="_x0000_s26649"/>
                </a:ext>
                <a:ext uri="{FF2B5EF4-FFF2-40B4-BE49-F238E27FC236}">
                  <a16:creationId xmlns:a16="http://schemas.microsoft.com/office/drawing/2014/main" id="{00000000-0008-0000-12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7</xdr:row>
          <xdr:rowOff>28575</xdr:rowOff>
        </xdr:from>
        <xdr:to>
          <xdr:col>8</xdr:col>
          <xdr:colOff>238125</xdr:colOff>
          <xdr:row>7</xdr:row>
          <xdr:rowOff>247650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2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7</xdr:row>
          <xdr:rowOff>28575</xdr:rowOff>
        </xdr:from>
        <xdr:to>
          <xdr:col>10</xdr:col>
          <xdr:colOff>57150</xdr:colOff>
          <xdr:row>7</xdr:row>
          <xdr:rowOff>247650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2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7</xdr:row>
          <xdr:rowOff>28575</xdr:rowOff>
        </xdr:from>
        <xdr:to>
          <xdr:col>11</xdr:col>
          <xdr:colOff>123825</xdr:colOff>
          <xdr:row>7</xdr:row>
          <xdr:rowOff>247650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2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12</xdr:col>
          <xdr:colOff>0</xdr:colOff>
          <xdr:row>7</xdr:row>
          <xdr:rowOff>0</xdr:rowOff>
        </xdr:to>
        <xdr:sp macro="" textlink="">
          <xdr:nvSpPr>
            <xdr:cNvPr id="26654" name="Group Box 30" hidden="1">
              <a:extLst>
                <a:ext uri="{63B3BB69-23CF-44E3-9099-C40C66FF867C}">
                  <a14:compatExt spid="_x0000_s26654"/>
                </a:ext>
                <a:ext uri="{FF2B5EF4-FFF2-40B4-BE49-F238E27FC236}">
                  <a16:creationId xmlns:a16="http://schemas.microsoft.com/office/drawing/2014/main" id="{00000000-0008-0000-1200-00001E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6</xdr:row>
          <xdr:rowOff>66675</xdr:rowOff>
        </xdr:from>
        <xdr:to>
          <xdr:col>6</xdr:col>
          <xdr:colOff>66675</xdr:colOff>
          <xdr:row>6</xdr:row>
          <xdr:rowOff>285750</xdr:rowOff>
        </xdr:to>
        <xdr:sp macro="" textlink="">
          <xdr:nvSpPr>
            <xdr:cNvPr id="26655" name="Option Button 31" hidden="1">
              <a:extLst>
                <a:ext uri="{63B3BB69-23CF-44E3-9099-C40C66FF867C}">
                  <a14:compatExt spid="_x0000_s26655"/>
                </a:ext>
                <a:ext uri="{FF2B5EF4-FFF2-40B4-BE49-F238E27FC236}">
                  <a16:creationId xmlns:a16="http://schemas.microsoft.com/office/drawing/2014/main" id="{00000000-0008-0000-12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6</xdr:row>
          <xdr:rowOff>66675</xdr:rowOff>
        </xdr:from>
        <xdr:to>
          <xdr:col>7</xdr:col>
          <xdr:colOff>180975</xdr:colOff>
          <xdr:row>6</xdr:row>
          <xdr:rowOff>285750</xdr:rowOff>
        </xdr:to>
        <xdr:sp macro="" textlink="">
          <xdr:nvSpPr>
            <xdr:cNvPr id="26656" name="Option Button 32" hidden="1">
              <a:extLst>
                <a:ext uri="{63B3BB69-23CF-44E3-9099-C40C66FF867C}">
                  <a14:compatExt spid="_x0000_s26656"/>
                </a:ext>
                <a:ext uri="{FF2B5EF4-FFF2-40B4-BE49-F238E27FC236}">
                  <a16:creationId xmlns:a16="http://schemas.microsoft.com/office/drawing/2014/main" id="{00000000-0008-0000-12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6</xdr:row>
          <xdr:rowOff>66675</xdr:rowOff>
        </xdr:from>
        <xdr:to>
          <xdr:col>8</xdr:col>
          <xdr:colOff>238125</xdr:colOff>
          <xdr:row>6</xdr:row>
          <xdr:rowOff>285750</xdr:rowOff>
        </xdr:to>
        <xdr:sp macro="" textlink="">
          <xdr:nvSpPr>
            <xdr:cNvPr id="26657" name="Option Button 33" hidden="1">
              <a:extLst>
                <a:ext uri="{63B3BB69-23CF-44E3-9099-C40C66FF867C}">
                  <a14:compatExt spid="_x0000_s26657"/>
                </a:ext>
                <a:ext uri="{FF2B5EF4-FFF2-40B4-BE49-F238E27FC236}">
                  <a16:creationId xmlns:a16="http://schemas.microsoft.com/office/drawing/2014/main" id="{00000000-0008-0000-12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6</xdr:row>
          <xdr:rowOff>66675</xdr:rowOff>
        </xdr:from>
        <xdr:to>
          <xdr:col>10</xdr:col>
          <xdr:colOff>57150</xdr:colOff>
          <xdr:row>6</xdr:row>
          <xdr:rowOff>285750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2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6</xdr:row>
          <xdr:rowOff>66675</xdr:rowOff>
        </xdr:from>
        <xdr:to>
          <xdr:col>11</xdr:col>
          <xdr:colOff>123825</xdr:colOff>
          <xdr:row>6</xdr:row>
          <xdr:rowOff>285750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2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12</xdr:col>
          <xdr:colOff>0</xdr:colOff>
          <xdr:row>6</xdr:row>
          <xdr:rowOff>0</xdr:rowOff>
        </xdr:to>
        <xdr:sp macro="" textlink="">
          <xdr:nvSpPr>
            <xdr:cNvPr id="26661" name="Group Box 37" hidden="1">
              <a:extLst>
                <a:ext uri="{63B3BB69-23CF-44E3-9099-C40C66FF867C}">
                  <a14:compatExt spid="_x0000_s26661"/>
                </a:ext>
                <a:ext uri="{FF2B5EF4-FFF2-40B4-BE49-F238E27FC236}">
                  <a16:creationId xmlns:a16="http://schemas.microsoft.com/office/drawing/2014/main" id="{00000000-0008-0000-1200-00002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5</xdr:row>
          <xdr:rowOff>28575</xdr:rowOff>
        </xdr:from>
        <xdr:to>
          <xdr:col>6</xdr:col>
          <xdr:colOff>66675</xdr:colOff>
          <xdr:row>6</xdr:row>
          <xdr:rowOff>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2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5</xdr:row>
          <xdr:rowOff>28575</xdr:rowOff>
        </xdr:from>
        <xdr:to>
          <xdr:col>7</xdr:col>
          <xdr:colOff>180975</xdr:colOff>
          <xdr:row>6</xdr:row>
          <xdr:rowOff>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2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5</xdr:row>
          <xdr:rowOff>28575</xdr:rowOff>
        </xdr:from>
        <xdr:to>
          <xdr:col>8</xdr:col>
          <xdr:colOff>238125</xdr:colOff>
          <xdr:row>6</xdr:row>
          <xdr:rowOff>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2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0</xdr:colOff>
          <xdr:row>5</xdr:row>
          <xdr:rowOff>28575</xdr:rowOff>
        </xdr:from>
        <xdr:to>
          <xdr:col>10</xdr:col>
          <xdr:colOff>57150</xdr:colOff>
          <xdr:row>6</xdr:row>
          <xdr:rowOff>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2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5</xdr:row>
          <xdr:rowOff>28575</xdr:rowOff>
        </xdr:from>
        <xdr:to>
          <xdr:col>11</xdr:col>
          <xdr:colOff>123825</xdr:colOff>
          <xdr:row>6</xdr:row>
          <xdr:rowOff>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2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10</xdr:row>
          <xdr:rowOff>0</xdr:rowOff>
        </xdr:from>
        <xdr:to>
          <xdr:col>12</xdr:col>
          <xdr:colOff>0</xdr:colOff>
          <xdr:row>11</xdr:row>
          <xdr:rowOff>0</xdr:rowOff>
        </xdr:to>
        <xdr:sp macro="" textlink="">
          <xdr:nvSpPr>
            <xdr:cNvPr id="26668" name="Group Box 44" hidden="1">
              <a:extLst>
                <a:ext uri="{63B3BB69-23CF-44E3-9099-C40C66FF867C}">
                  <a14:compatExt spid="_x0000_s26668"/>
                </a:ext>
                <a:ext uri="{FF2B5EF4-FFF2-40B4-BE49-F238E27FC236}">
                  <a16:creationId xmlns:a16="http://schemas.microsoft.com/office/drawing/2014/main" id="{00000000-0008-0000-1200-00002C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123825</xdr:colOff>
          <xdr:row>10</xdr:row>
          <xdr:rowOff>38100</xdr:rowOff>
        </xdr:from>
        <xdr:to>
          <xdr:col>6</xdr:col>
          <xdr:colOff>66675</xdr:colOff>
          <xdr:row>10</xdr:row>
          <xdr:rowOff>257175</xdr:rowOff>
        </xdr:to>
        <xdr:sp macro="" textlink="">
          <xdr:nvSpPr>
            <xdr:cNvPr id="26669" name="Option Button 45" hidden="1">
              <a:extLst>
                <a:ext uri="{63B3BB69-23CF-44E3-9099-C40C66FF867C}">
                  <a14:compatExt spid="_x0000_s26669"/>
                </a:ext>
                <a:ext uri="{FF2B5EF4-FFF2-40B4-BE49-F238E27FC236}">
                  <a16:creationId xmlns:a16="http://schemas.microsoft.com/office/drawing/2014/main" id="{00000000-0008-0000-12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123825</xdr:colOff>
          <xdr:row>10</xdr:row>
          <xdr:rowOff>38100</xdr:rowOff>
        </xdr:from>
        <xdr:to>
          <xdr:col>8</xdr:col>
          <xdr:colOff>142875</xdr:colOff>
          <xdr:row>10</xdr:row>
          <xdr:rowOff>257175</xdr:rowOff>
        </xdr:to>
        <xdr:sp macro="" textlink="">
          <xdr:nvSpPr>
            <xdr:cNvPr id="26670" name="Option Button 46" hidden="1">
              <a:extLst>
                <a:ext uri="{63B3BB69-23CF-44E3-9099-C40C66FF867C}">
                  <a14:compatExt spid="_x0000_s26670"/>
                </a:ext>
                <a:ext uri="{FF2B5EF4-FFF2-40B4-BE49-F238E27FC236}">
                  <a16:creationId xmlns:a16="http://schemas.microsoft.com/office/drawing/2014/main" id="{00000000-0008-0000-12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13</xdr:row>
          <xdr:rowOff>104775</xdr:rowOff>
        </xdr:from>
        <xdr:to>
          <xdr:col>7</xdr:col>
          <xdr:colOff>133350</xdr:colOff>
          <xdr:row>19</xdr:row>
          <xdr:rowOff>0</xdr:rowOff>
        </xdr:to>
        <xdr:sp macro="" textlink="">
          <xdr:nvSpPr>
            <xdr:cNvPr id="26671" name="Object 47" hidden="1">
              <a:extLst>
                <a:ext uri="{63B3BB69-23CF-44E3-9099-C40C66FF867C}">
                  <a14:compatExt spid="_x0000_s26671"/>
                </a:ext>
                <a:ext uri="{FF2B5EF4-FFF2-40B4-BE49-F238E27FC236}">
                  <a16:creationId xmlns:a16="http://schemas.microsoft.com/office/drawing/2014/main" id="{00000000-0008-0000-1200-00002F6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4</xdr:row>
          <xdr:rowOff>0</xdr:rowOff>
        </xdr:from>
        <xdr:to>
          <xdr:col>12</xdr:col>
          <xdr:colOff>0</xdr:colOff>
          <xdr:row>5</xdr:row>
          <xdr:rowOff>0</xdr:rowOff>
        </xdr:to>
        <xdr:sp macro="" textlink="">
          <xdr:nvSpPr>
            <xdr:cNvPr id="34818" name="Group Box 2" hidden="1">
              <a:extLst>
                <a:ext uri="{63B3BB69-23CF-44E3-9099-C40C66FF867C}">
                  <a14:compatExt spid="_x0000_s34818"/>
                </a:ext>
                <a:ext uri="{FF2B5EF4-FFF2-40B4-BE49-F238E27FC236}">
                  <a16:creationId xmlns:a16="http://schemas.microsoft.com/office/drawing/2014/main" id="{00000000-0008-0000-1300-000002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142875</xdr:colOff>
          <xdr:row>4</xdr:row>
          <xdr:rowOff>19050</xdr:rowOff>
        </xdr:from>
        <xdr:to>
          <xdr:col>6</xdr:col>
          <xdr:colOff>104775</xdr:colOff>
          <xdr:row>4</xdr:row>
          <xdr:rowOff>257175</xdr:rowOff>
        </xdr:to>
        <xdr:sp macro="" textlink="">
          <xdr:nvSpPr>
            <xdr:cNvPr id="34819" name="Option Button 3" hidden="1">
              <a:extLst>
                <a:ext uri="{63B3BB69-23CF-44E3-9099-C40C66FF867C}">
                  <a14:compatExt spid="_x0000_s34819"/>
                </a:ext>
                <a:ext uri="{FF2B5EF4-FFF2-40B4-BE49-F238E27FC236}">
                  <a16:creationId xmlns:a16="http://schemas.microsoft.com/office/drawing/2014/main" id="{00000000-0008-0000-1300-000003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4</xdr:row>
          <xdr:rowOff>19050</xdr:rowOff>
        </xdr:from>
        <xdr:to>
          <xdr:col>7</xdr:col>
          <xdr:colOff>161925</xdr:colOff>
          <xdr:row>4</xdr:row>
          <xdr:rowOff>257175</xdr:rowOff>
        </xdr:to>
        <xdr:sp macro="" textlink="">
          <xdr:nvSpPr>
            <xdr:cNvPr id="34820" name="Option Button 4" hidden="1">
              <a:extLst>
                <a:ext uri="{63B3BB69-23CF-44E3-9099-C40C66FF867C}">
                  <a14:compatExt spid="_x0000_s34820"/>
                </a:ext>
                <a:ext uri="{FF2B5EF4-FFF2-40B4-BE49-F238E27FC236}">
                  <a16:creationId xmlns:a16="http://schemas.microsoft.com/office/drawing/2014/main" id="{00000000-0008-0000-1300-000004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4</xdr:row>
          <xdr:rowOff>19050</xdr:rowOff>
        </xdr:from>
        <xdr:to>
          <xdr:col>9</xdr:col>
          <xdr:colOff>0</xdr:colOff>
          <xdr:row>4</xdr:row>
          <xdr:rowOff>257175</xdr:rowOff>
        </xdr:to>
        <xdr:sp macro="" textlink="">
          <xdr:nvSpPr>
            <xdr:cNvPr id="34821" name="Option Button 5" hidden="1">
              <a:extLst>
                <a:ext uri="{63B3BB69-23CF-44E3-9099-C40C66FF867C}">
                  <a14:compatExt spid="_x0000_s34821"/>
                </a:ext>
                <a:ext uri="{FF2B5EF4-FFF2-40B4-BE49-F238E27FC236}">
                  <a16:creationId xmlns:a16="http://schemas.microsoft.com/office/drawing/2014/main" id="{00000000-0008-0000-1300-00000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4</xdr:row>
          <xdr:rowOff>19050</xdr:rowOff>
        </xdr:from>
        <xdr:to>
          <xdr:col>10</xdr:col>
          <xdr:colOff>76200</xdr:colOff>
          <xdr:row>4</xdr:row>
          <xdr:rowOff>257175</xdr:rowOff>
        </xdr:to>
        <xdr:sp macro="" textlink="">
          <xdr:nvSpPr>
            <xdr:cNvPr id="34822" name="Option Button 6" hidden="1">
              <a:extLst>
                <a:ext uri="{63B3BB69-23CF-44E3-9099-C40C66FF867C}">
                  <a14:compatExt spid="_x0000_s34822"/>
                </a:ext>
                <a:ext uri="{FF2B5EF4-FFF2-40B4-BE49-F238E27FC236}">
                  <a16:creationId xmlns:a16="http://schemas.microsoft.com/office/drawing/2014/main" id="{00000000-0008-0000-1300-00000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76200</xdr:colOff>
          <xdr:row>4</xdr:row>
          <xdr:rowOff>19050</xdr:rowOff>
        </xdr:from>
        <xdr:to>
          <xdr:col>11</xdr:col>
          <xdr:colOff>142875</xdr:colOff>
          <xdr:row>4</xdr:row>
          <xdr:rowOff>257175</xdr:rowOff>
        </xdr:to>
        <xdr:sp macro="" textlink="">
          <xdr:nvSpPr>
            <xdr:cNvPr id="34823" name="Option Button 7" hidden="1">
              <a:extLst>
                <a:ext uri="{63B3BB69-23CF-44E3-9099-C40C66FF867C}">
                  <a14:compatExt spid="_x0000_s34823"/>
                </a:ext>
                <a:ext uri="{FF2B5EF4-FFF2-40B4-BE49-F238E27FC236}">
                  <a16:creationId xmlns:a16="http://schemas.microsoft.com/office/drawing/2014/main" id="{00000000-0008-0000-1300-00000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xdr:row>
          <xdr:rowOff>0</xdr:rowOff>
        </xdr:from>
        <xdr:to>
          <xdr:col>12</xdr:col>
          <xdr:colOff>0</xdr:colOff>
          <xdr:row>6</xdr:row>
          <xdr:rowOff>0</xdr:rowOff>
        </xdr:to>
        <xdr:sp macro="" textlink="">
          <xdr:nvSpPr>
            <xdr:cNvPr id="34825" name="Group Box 9" hidden="1">
              <a:extLst>
                <a:ext uri="{63B3BB69-23CF-44E3-9099-C40C66FF867C}">
                  <a14:compatExt spid="_x0000_s34825"/>
                </a:ext>
                <a:ext uri="{FF2B5EF4-FFF2-40B4-BE49-F238E27FC236}">
                  <a16:creationId xmlns:a16="http://schemas.microsoft.com/office/drawing/2014/main" id="{00000000-0008-0000-1300-000009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5</xdr:row>
          <xdr:rowOff>9525</xdr:rowOff>
        </xdr:from>
        <xdr:to>
          <xdr:col>6</xdr:col>
          <xdr:colOff>76200</xdr:colOff>
          <xdr:row>6</xdr:row>
          <xdr:rowOff>0</xdr:rowOff>
        </xdr:to>
        <xdr:sp macro="" textlink="">
          <xdr:nvSpPr>
            <xdr:cNvPr id="34826" name="Option Button 10" hidden="1">
              <a:extLst>
                <a:ext uri="{63B3BB69-23CF-44E3-9099-C40C66FF867C}">
                  <a14:compatExt spid="_x0000_s34826"/>
                </a:ext>
                <a:ext uri="{FF2B5EF4-FFF2-40B4-BE49-F238E27FC236}">
                  <a16:creationId xmlns:a16="http://schemas.microsoft.com/office/drawing/2014/main" id="{00000000-0008-0000-1300-00000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5</xdr:row>
          <xdr:rowOff>9525</xdr:rowOff>
        </xdr:from>
        <xdr:to>
          <xdr:col>7</xdr:col>
          <xdr:colOff>161925</xdr:colOff>
          <xdr:row>6</xdr:row>
          <xdr:rowOff>0</xdr:rowOff>
        </xdr:to>
        <xdr:sp macro="" textlink="">
          <xdr:nvSpPr>
            <xdr:cNvPr id="34827" name="Option Button 11" hidden="1">
              <a:extLst>
                <a:ext uri="{63B3BB69-23CF-44E3-9099-C40C66FF867C}">
                  <a14:compatExt spid="_x0000_s34827"/>
                </a:ext>
                <a:ext uri="{FF2B5EF4-FFF2-40B4-BE49-F238E27FC236}">
                  <a16:creationId xmlns:a16="http://schemas.microsoft.com/office/drawing/2014/main" id="{00000000-0008-0000-1300-00000B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5</xdr:row>
          <xdr:rowOff>9525</xdr:rowOff>
        </xdr:from>
        <xdr:to>
          <xdr:col>8</xdr:col>
          <xdr:colOff>238125</xdr:colOff>
          <xdr:row>6</xdr:row>
          <xdr:rowOff>0</xdr:rowOff>
        </xdr:to>
        <xdr:sp macro="" textlink="">
          <xdr:nvSpPr>
            <xdr:cNvPr id="34828" name="Option Button 12" hidden="1">
              <a:extLst>
                <a:ext uri="{63B3BB69-23CF-44E3-9099-C40C66FF867C}">
                  <a14:compatExt spid="_x0000_s34828"/>
                </a:ext>
                <a:ext uri="{FF2B5EF4-FFF2-40B4-BE49-F238E27FC236}">
                  <a16:creationId xmlns:a16="http://schemas.microsoft.com/office/drawing/2014/main" id="{00000000-0008-0000-1300-00000C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5</xdr:row>
          <xdr:rowOff>9525</xdr:rowOff>
        </xdr:from>
        <xdr:to>
          <xdr:col>10</xdr:col>
          <xdr:colOff>66675</xdr:colOff>
          <xdr:row>6</xdr:row>
          <xdr:rowOff>0</xdr:rowOff>
        </xdr:to>
        <xdr:sp macro="" textlink="">
          <xdr:nvSpPr>
            <xdr:cNvPr id="34829" name="Option Button 13" hidden="1">
              <a:extLst>
                <a:ext uri="{63B3BB69-23CF-44E3-9099-C40C66FF867C}">
                  <a14:compatExt spid="_x0000_s34829"/>
                </a:ext>
                <a:ext uri="{FF2B5EF4-FFF2-40B4-BE49-F238E27FC236}">
                  <a16:creationId xmlns:a16="http://schemas.microsoft.com/office/drawing/2014/main" id="{00000000-0008-0000-1300-00000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5</xdr:row>
          <xdr:rowOff>9525</xdr:rowOff>
        </xdr:from>
        <xdr:to>
          <xdr:col>11</xdr:col>
          <xdr:colOff>123825</xdr:colOff>
          <xdr:row>6</xdr:row>
          <xdr:rowOff>0</xdr:rowOff>
        </xdr:to>
        <xdr:sp macro="" textlink="">
          <xdr:nvSpPr>
            <xdr:cNvPr id="34830" name="Option Button 14" hidden="1">
              <a:extLst>
                <a:ext uri="{63B3BB69-23CF-44E3-9099-C40C66FF867C}">
                  <a14:compatExt spid="_x0000_s34830"/>
                </a:ext>
                <a:ext uri="{FF2B5EF4-FFF2-40B4-BE49-F238E27FC236}">
                  <a16:creationId xmlns:a16="http://schemas.microsoft.com/office/drawing/2014/main" id="{00000000-0008-0000-1300-00000E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15</xdr:col>
          <xdr:colOff>0</xdr:colOff>
          <xdr:row>8</xdr:row>
          <xdr:rowOff>0</xdr:rowOff>
        </xdr:to>
        <xdr:sp macro="" textlink="">
          <xdr:nvSpPr>
            <xdr:cNvPr id="34832" name="Group Box 16" hidden="1">
              <a:extLst>
                <a:ext uri="{63B3BB69-23CF-44E3-9099-C40C66FF867C}">
                  <a14:compatExt spid="_x0000_s34832"/>
                </a:ext>
                <a:ext uri="{FF2B5EF4-FFF2-40B4-BE49-F238E27FC236}">
                  <a16:creationId xmlns:a16="http://schemas.microsoft.com/office/drawing/2014/main" id="{00000000-0008-0000-1300-000010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7</xdr:row>
          <xdr:rowOff>114300</xdr:rowOff>
        </xdr:from>
        <xdr:to>
          <xdr:col>6</xdr:col>
          <xdr:colOff>76200</xdr:colOff>
          <xdr:row>7</xdr:row>
          <xdr:rowOff>333375</xdr:rowOff>
        </xdr:to>
        <xdr:sp macro="" textlink="">
          <xdr:nvSpPr>
            <xdr:cNvPr id="34833" name="Option Button 17" hidden="1">
              <a:extLst>
                <a:ext uri="{63B3BB69-23CF-44E3-9099-C40C66FF867C}">
                  <a14:compatExt spid="_x0000_s34833"/>
                </a:ext>
                <a:ext uri="{FF2B5EF4-FFF2-40B4-BE49-F238E27FC236}">
                  <a16:creationId xmlns:a16="http://schemas.microsoft.com/office/drawing/2014/main" id="{00000000-0008-0000-1300-00001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7</xdr:row>
          <xdr:rowOff>114300</xdr:rowOff>
        </xdr:from>
        <xdr:to>
          <xdr:col>8</xdr:col>
          <xdr:colOff>123825</xdr:colOff>
          <xdr:row>7</xdr:row>
          <xdr:rowOff>333375</xdr:rowOff>
        </xdr:to>
        <xdr:sp macro="" textlink="">
          <xdr:nvSpPr>
            <xdr:cNvPr id="34834" name="Option Button 18" hidden="1">
              <a:extLst>
                <a:ext uri="{63B3BB69-23CF-44E3-9099-C40C66FF867C}">
                  <a14:compatExt spid="_x0000_s34834"/>
                </a:ext>
                <a:ext uri="{FF2B5EF4-FFF2-40B4-BE49-F238E27FC236}">
                  <a16:creationId xmlns:a16="http://schemas.microsoft.com/office/drawing/2014/main" id="{00000000-0008-0000-1300-000012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6</xdr:row>
          <xdr:rowOff>0</xdr:rowOff>
        </xdr:from>
        <xdr:to>
          <xdr:col>12</xdr:col>
          <xdr:colOff>0</xdr:colOff>
          <xdr:row>7</xdr:row>
          <xdr:rowOff>0</xdr:rowOff>
        </xdr:to>
        <xdr:sp macro="" textlink="">
          <xdr:nvSpPr>
            <xdr:cNvPr id="34836" name="Group Box 20" hidden="1">
              <a:extLst>
                <a:ext uri="{63B3BB69-23CF-44E3-9099-C40C66FF867C}">
                  <a14:compatExt spid="_x0000_s34836"/>
                </a:ext>
                <a:ext uri="{FF2B5EF4-FFF2-40B4-BE49-F238E27FC236}">
                  <a16:creationId xmlns:a16="http://schemas.microsoft.com/office/drawing/2014/main" id="{00000000-0008-0000-1300-0000148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3</xdr:col>
          <xdr:colOff>133350</xdr:colOff>
          <xdr:row>6</xdr:row>
          <xdr:rowOff>47625</xdr:rowOff>
        </xdr:from>
        <xdr:to>
          <xdr:col>6</xdr:col>
          <xdr:colOff>76200</xdr:colOff>
          <xdr:row>7</xdr:row>
          <xdr:rowOff>0</xdr:rowOff>
        </xdr:to>
        <xdr:sp macro="" textlink="">
          <xdr:nvSpPr>
            <xdr:cNvPr id="34837" name="Option Button 21" hidden="1">
              <a:extLst>
                <a:ext uri="{63B3BB69-23CF-44E3-9099-C40C66FF867C}">
                  <a14:compatExt spid="_x0000_s34837"/>
                </a:ext>
                <a:ext uri="{FF2B5EF4-FFF2-40B4-BE49-F238E27FC236}">
                  <a16:creationId xmlns:a16="http://schemas.microsoft.com/office/drawing/2014/main" id="{00000000-0008-0000-1300-000015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0 (None)</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104775</xdr:colOff>
          <xdr:row>6</xdr:row>
          <xdr:rowOff>47625</xdr:rowOff>
        </xdr:from>
        <xdr:to>
          <xdr:col>7</xdr:col>
          <xdr:colOff>161925</xdr:colOff>
          <xdr:row>7</xdr:row>
          <xdr:rowOff>0</xdr:rowOff>
        </xdr:to>
        <xdr:sp macro="" textlink="">
          <xdr:nvSpPr>
            <xdr:cNvPr id="34838" name="Option Button 22" hidden="1">
              <a:extLst>
                <a:ext uri="{63B3BB69-23CF-44E3-9099-C40C66FF867C}">
                  <a14:compatExt spid="_x0000_s34838"/>
                </a:ext>
                <a:ext uri="{FF2B5EF4-FFF2-40B4-BE49-F238E27FC236}">
                  <a16:creationId xmlns:a16="http://schemas.microsoft.com/office/drawing/2014/main" id="{00000000-0008-0000-1300-000016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180975</xdr:colOff>
          <xdr:row>6</xdr:row>
          <xdr:rowOff>47625</xdr:rowOff>
        </xdr:from>
        <xdr:to>
          <xdr:col>8</xdr:col>
          <xdr:colOff>238125</xdr:colOff>
          <xdr:row>7</xdr:row>
          <xdr:rowOff>0</xdr:rowOff>
        </xdr:to>
        <xdr:sp macro="" textlink="">
          <xdr:nvSpPr>
            <xdr:cNvPr id="34839" name="Option Button 23" hidden="1">
              <a:extLst>
                <a:ext uri="{63B3BB69-23CF-44E3-9099-C40C66FF867C}">
                  <a14:compatExt spid="_x0000_s34839"/>
                </a:ext>
                <a:ext uri="{FF2B5EF4-FFF2-40B4-BE49-F238E27FC236}">
                  <a16:creationId xmlns:a16="http://schemas.microsoft.com/office/drawing/2014/main" id="{00000000-0008-0000-1300-000017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2</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6</xdr:row>
          <xdr:rowOff>47625</xdr:rowOff>
        </xdr:from>
        <xdr:to>
          <xdr:col>10</xdr:col>
          <xdr:colOff>66675</xdr:colOff>
          <xdr:row>7</xdr:row>
          <xdr:rowOff>0</xdr:rowOff>
        </xdr:to>
        <xdr:sp macro="" textlink="">
          <xdr:nvSpPr>
            <xdr:cNvPr id="34840" name="Option Button 24" hidden="1">
              <a:extLst>
                <a:ext uri="{63B3BB69-23CF-44E3-9099-C40C66FF867C}">
                  <a14:compatExt spid="_x0000_s34840"/>
                </a:ext>
                <a:ext uri="{FF2B5EF4-FFF2-40B4-BE49-F238E27FC236}">
                  <a16:creationId xmlns:a16="http://schemas.microsoft.com/office/drawing/2014/main" id="{00000000-0008-0000-1300-000018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a:t>
              </a:r>
            </a:p>
          </xdr:txBody>
        </xdr:sp>
        <xdr:clientData/>
      </xdr:twoCellAnchor>
    </mc:Choice>
    <mc:Fallback/>
  </mc:AlternateContent>
  <mc:AlternateContent xmlns:mc="http://schemas.openxmlformats.org/markup-compatibility/2006">
    <mc:Choice xmlns:a14="http://schemas.microsoft.com/office/drawing/2010/main" Requires="a14">
      <xdr:twoCellAnchor>
        <xdr:from>
          <xdr:col>10</xdr:col>
          <xdr:colOff>66675</xdr:colOff>
          <xdr:row>6</xdr:row>
          <xdr:rowOff>47625</xdr:rowOff>
        </xdr:from>
        <xdr:to>
          <xdr:col>11</xdr:col>
          <xdr:colOff>123825</xdr:colOff>
          <xdr:row>7</xdr:row>
          <xdr:rowOff>0</xdr:rowOff>
        </xdr:to>
        <xdr:sp macro="" textlink="">
          <xdr:nvSpPr>
            <xdr:cNvPr id="34841" name="Option Button 25" hidden="1">
              <a:extLst>
                <a:ext uri="{63B3BB69-23CF-44E3-9099-C40C66FF867C}">
                  <a14:compatExt spid="_x0000_s34841"/>
                </a:ext>
                <a:ext uri="{FF2B5EF4-FFF2-40B4-BE49-F238E27FC236}">
                  <a16:creationId xmlns:a16="http://schemas.microsoft.com/office/drawing/2014/main" id="{00000000-0008-0000-1300-000019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4</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133350</xdr:colOff>
          <xdr:row>6</xdr:row>
          <xdr:rowOff>47625</xdr:rowOff>
        </xdr:from>
        <xdr:to>
          <xdr:col>11</xdr:col>
          <xdr:colOff>438150</xdr:colOff>
          <xdr:row>7</xdr:row>
          <xdr:rowOff>0</xdr:rowOff>
        </xdr:to>
        <xdr:sp macro="" textlink="">
          <xdr:nvSpPr>
            <xdr:cNvPr id="34842" name="Option Button 26" hidden="1">
              <a:extLst>
                <a:ext uri="{63B3BB69-23CF-44E3-9099-C40C66FF867C}">
                  <a14:compatExt spid="_x0000_s34842"/>
                </a:ext>
                <a:ext uri="{FF2B5EF4-FFF2-40B4-BE49-F238E27FC236}">
                  <a16:creationId xmlns:a16="http://schemas.microsoft.com/office/drawing/2014/main" id="{00000000-0008-0000-1300-00001A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xdr:row>
          <xdr:rowOff>85725</xdr:rowOff>
        </xdr:from>
        <xdr:to>
          <xdr:col>7</xdr:col>
          <xdr:colOff>133350</xdr:colOff>
          <xdr:row>15</xdr:row>
          <xdr:rowOff>142875</xdr:rowOff>
        </xdr:to>
        <xdr:sp macro="" textlink="">
          <xdr:nvSpPr>
            <xdr:cNvPr id="34843" name="Object 27" hidden="1">
              <a:extLst>
                <a:ext uri="{63B3BB69-23CF-44E3-9099-C40C66FF867C}">
                  <a14:compatExt spid="_x0000_s34843"/>
                </a:ext>
                <a:ext uri="{FF2B5EF4-FFF2-40B4-BE49-F238E27FC236}">
                  <a16:creationId xmlns:a16="http://schemas.microsoft.com/office/drawing/2014/main" id="{00000000-0008-0000-1300-00001B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66675</xdr:colOff>
          <xdr:row>3</xdr:row>
          <xdr:rowOff>104775</xdr:rowOff>
        </xdr:from>
        <xdr:to>
          <xdr:col>4</xdr:col>
          <xdr:colOff>47625</xdr:colOff>
          <xdr:row>3</xdr:row>
          <xdr:rowOff>323850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4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9525</xdr:rowOff>
        </xdr:from>
        <xdr:to>
          <xdr:col>4</xdr:col>
          <xdr:colOff>38100</xdr:colOff>
          <xdr:row>14</xdr:row>
          <xdr:rowOff>9525</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4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76200</xdr:rowOff>
        </xdr:from>
        <xdr:to>
          <xdr:col>4</xdr:col>
          <xdr:colOff>38100</xdr:colOff>
          <xdr:row>10</xdr:row>
          <xdr:rowOff>295275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4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25</xdr:row>
          <xdr:rowOff>47625</xdr:rowOff>
        </xdr:from>
        <xdr:to>
          <xdr:col>4</xdr:col>
          <xdr:colOff>28575</xdr:colOff>
          <xdr:row>25</xdr:row>
          <xdr:rowOff>266700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4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14</xdr:row>
          <xdr:rowOff>0</xdr:rowOff>
        </xdr:from>
        <xdr:to>
          <xdr:col>15</xdr:col>
          <xdr:colOff>0</xdr:colOff>
          <xdr:row>19</xdr:row>
          <xdr:rowOff>0</xdr:rowOff>
        </xdr:to>
        <xdr:grpSp>
          <xdr:nvGrpSpPr>
            <xdr:cNvPr id="79570" name="Group 5">
              <a:extLst>
                <a:ext uri="{FF2B5EF4-FFF2-40B4-BE49-F238E27FC236}">
                  <a16:creationId xmlns:a16="http://schemas.microsoft.com/office/drawing/2014/main" id="{00000000-0008-0000-1400-0000D2360100}"/>
                </a:ext>
              </a:extLst>
            </xdr:cNvPr>
            <xdr:cNvGrpSpPr>
              <a:grpSpLocks/>
            </xdr:cNvGrpSpPr>
          </xdr:nvGrpSpPr>
          <xdr:grpSpPr bwMode="auto">
            <a:xfrm>
              <a:off x="1293815" y="4357688"/>
              <a:ext cx="3714756" cy="1508125"/>
              <a:chOff x="136" y="446"/>
              <a:chExt cx="415" cy="180"/>
            </a:xfrm>
          </xdr:grpSpPr>
          <xdr:sp macro="" textlink="">
            <xdr:nvSpPr>
              <xdr:cNvPr id="25606" name="Group Box 6" hidden="1">
                <a:extLst>
                  <a:ext uri="{63B3BB69-23CF-44E3-9099-C40C66FF867C}">
                    <a14:compatExt spid="_x0000_s25606"/>
                  </a:ext>
                  <a:ext uri="{FF2B5EF4-FFF2-40B4-BE49-F238E27FC236}">
                    <a16:creationId xmlns:a16="http://schemas.microsoft.com/office/drawing/2014/main" id="{00000000-0008-0000-1400-000006640000}"/>
                  </a:ext>
                </a:extLst>
              </xdr:cNvPr>
              <xdr:cNvSpPr/>
            </xdr:nvSpPr>
            <xdr:spPr bwMode="auto">
              <a:xfrm>
                <a:off x="136" y="446"/>
                <a:ext cx="415" cy="180"/>
              </a:xfrm>
              <a:prstGeom prst="rect">
                <a:avLst/>
              </a:prstGeom>
              <a:noFill/>
              <a:ln w="9525">
                <a:miter lim="800000"/>
                <a:headEnd/>
                <a:tailEnd/>
              </a:ln>
              <a:extLst>
                <a:ext uri="{909E8E84-426E-40DD-AFC4-6F175D3DCCD1}">
                  <a14:hiddenFill>
                    <a:noFill/>
                  </a14:hiddenFill>
                </a:ext>
              </a:extLst>
            </xdr:spPr>
          </xdr:sp>
          <xdr:sp macro="" textlink="">
            <xdr:nvSpPr>
              <xdr:cNvPr id="25607" name="Option Button 7" hidden="1">
                <a:extLst>
                  <a:ext uri="{63B3BB69-23CF-44E3-9099-C40C66FF867C}">
                    <a14:compatExt spid="_x0000_s25607"/>
                  </a:ext>
                  <a:ext uri="{FF2B5EF4-FFF2-40B4-BE49-F238E27FC236}">
                    <a16:creationId xmlns:a16="http://schemas.microsoft.com/office/drawing/2014/main" id="{00000000-0008-0000-1400-000007640000}"/>
                  </a:ext>
                </a:extLst>
              </xdr:cNvPr>
              <xdr:cNvSpPr/>
            </xdr:nvSpPr>
            <xdr:spPr bwMode="auto">
              <a:xfrm>
                <a:off x="143" y="45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8" name="Option Button 8" hidden="1">
                <a:extLst>
                  <a:ext uri="{63B3BB69-23CF-44E3-9099-C40C66FF867C}">
                    <a14:compatExt spid="_x0000_s25608"/>
                  </a:ext>
                  <a:ext uri="{FF2B5EF4-FFF2-40B4-BE49-F238E27FC236}">
                    <a16:creationId xmlns:a16="http://schemas.microsoft.com/office/drawing/2014/main" id="{00000000-0008-0000-1400-000008640000}"/>
                  </a:ext>
                </a:extLst>
              </xdr:cNvPr>
              <xdr:cNvSpPr/>
            </xdr:nvSpPr>
            <xdr:spPr bwMode="auto">
              <a:xfrm>
                <a:off x="143" y="49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09" name="Option Button 9" hidden="1">
                <a:extLst>
                  <a:ext uri="{63B3BB69-23CF-44E3-9099-C40C66FF867C}">
                    <a14:compatExt spid="_x0000_s25609"/>
                  </a:ext>
                  <a:ext uri="{FF2B5EF4-FFF2-40B4-BE49-F238E27FC236}">
                    <a16:creationId xmlns:a16="http://schemas.microsoft.com/office/drawing/2014/main" id="{00000000-0008-0000-1400-000009640000}"/>
                  </a:ext>
                </a:extLst>
              </xdr:cNvPr>
              <xdr:cNvSpPr/>
            </xdr:nvSpPr>
            <xdr:spPr bwMode="auto">
              <a:xfrm>
                <a:off x="143" y="52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0" name="Option Button 10" hidden="1">
                <a:extLst>
                  <a:ext uri="{63B3BB69-23CF-44E3-9099-C40C66FF867C}">
                    <a14:compatExt spid="_x0000_s25610"/>
                  </a:ext>
                  <a:ext uri="{FF2B5EF4-FFF2-40B4-BE49-F238E27FC236}">
                    <a16:creationId xmlns:a16="http://schemas.microsoft.com/office/drawing/2014/main" id="{00000000-0008-0000-1400-00000A640000}"/>
                  </a:ext>
                </a:extLst>
              </xdr:cNvPr>
              <xdr:cNvSpPr/>
            </xdr:nvSpPr>
            <xdr:spPr bwMode="auto">
              <a:xfrm>
                <a:off x="143" y="56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1" name="Option Button 11" hidden="1">
                <a:extLst>
                  <a:ext uri="{63B3BB69-23CF-44E3-9099-C40C66FF867C}">
                    <a14:compatExt spid="_x0000_s25611"/>
                  </a:ext>
                  <a:ext uri="{FF2B5EF4-FFF2-40B4-BE49-F238E27FC236}">
                    <a16:creationId xmlns:a16="http://schemas.microsoft.com/office/drawing/2014/main" id="{00000000-0008-0000-1400-00000B640000}"/>
                  </a:ext>
                </a:extLst>
              </xdr:cNvPr>
              <xdr:cNvSpPr/>
            </xdr:nvSpPr>
            <xdr:spPr bwMode="auto">
              <a:xfrm>
                <a:off x="143" y="59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7</xdr:row>
          <xdr:rowOff>0</xdr:rowOff>
        </xdr:from>
        <xdr:to>
          <xdr:col>15</xdr:col>
          <xdr:colOff>0</xdr:colOff>
          <xdr:row>10</xdr:row>
          <xdr:rowOff>0</xdr:rowOff>
        </xdr:to>
        <xdr:grpSp>
          <xdr:nvGrpSpPr>
            <xdr:cNvPr id="79571" name="Group 12">
              <a:extLst>
                <a:ext uri="{FF2B5EF4-FFF2-40B4-BE49-F238E27FC236}">
                  <a16:creationId xmlns:a16="http://schemas.microsoft.com/office/drawing/2014/main" id="{00000000-0008-0000-1400-0000D3360100}"/>
                </a:ext>
              </a:extLst>
            </xdr:cNvPr>
            <xdr:cNvGrpSpPr>
              <a:grpSpLocks/>
            </xdr:cNvGrpSpPr>
          </xdr:nvGrpSpPr>
          <xdr:grpSpPr bwMode="auto">
            <a:xfrm>
              <a:off x="1293815" y="2087563"/>
              <a:ext cx="3714756" cy="1023937"/>
              <a:chOff x="136" y="194"/>
              <a:chExt cx="415" cy="108"/>
            </a:xfrm>
          </xdr:grpSpPr>
          <xdr:sp macro="" textlink="">
            <xdr:nvSpPr>
              <xdr:cNvPr id="25613" name="Group Box 13" hidden="1">
                <a:extLst>
                  <a:ext uri="{63B3BB69-23CF-44E3-9099-C40C66FF867C}">
                    <a14:compatExt spid="_x0000_s25613"/>
                  </a:ext>
                  <a:ext uri="{FF2B5EF4-FFF2-40B4-BE49-F238E27FC236}">
                    <a16:creationId xmlns:a16="http://schemas.microsoft.com/office/drawing/2014/main" id="{00000000-0008-0000-1400-00000D640000}"/>
                  </a:ext>
                </a:extLst>
              </xdr:cNvPr>
              <xdr:cNvSpPr/>
            </xdr:nvSpPr>
            <xdr:spPr bwMode="auto">
              <a:xfrm>
                <a:off x="136" y="194"/>
                <a:ext cx="415" cy="108"/>
              </a:xfrm>
              <a:prstGeom prst="rect">
                <a:avLst/>
              </a:prstGeom>
              <a:noFill/>
              <a:ln w="9525">
                <a:miter lim="800000"/>
                <a:headEnd/>
                <a:tailEnd/>
              </a:ln>
              <a:extLst>
                <a:ext uri="{909E8E84-426E-40DD-AFC4-6F175D3DCCD1}">
                  <a14:hiddenFill>
                    <a:noFill/>
                  </a14:hiddenFill>
                </a:ext>
              </a:extLst>
            </xdr:spPr>
          </xdr:sp>
          <xdr:sp macro="" textlink="">
            <xdr:nvSpPr>
              <xdr:cNvPr id="25614" name="Option Button 14" hidden="1">
                <a:extLst>
                  <a:ext uri="{63B3BB69-23CF-44E3-9099-C40C66FF867C}">
                    <a14:compatExt spid="_x0000_s25614"/>
                  </a:ext>
                  <a:ext uri="{FF2B5EF4-FFF2-40B4-BE49-F238E27FC236}">
                    <a16:creationId xmlns:a16="http://schemas.microsoft.com/office/drawing/2014/main" id="{00000000-0008-0000-1400-00000E640000}"/>
                  </a:ext>
                </a:extLst>
              </xdr:cNvPr>
              <xdr:cNvSpPr/>
            </xdr:nvSpPr>
            <xdr:spPr bwMode="auto">
              <a:xfrm>
                <a:off x="142" y="20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5" name="Option Button 15" hidden="1">
                <a:extLst>
                  <a:ext uri="{63B3BB69-23CF-44E3-9099-C40C66FF867C}">
                    <a14:compatExt spid="_x0000_s25615"/>
                  </a:ext>
                  <a:ext uri="{FF2B5EF4-FFF2-40B4-BE49-F238E27FC236}">
                    <a16:creationId xmlns:a16="http://schemas.microsoft.com/office/drawing/2014/main" id="{00000000-0008-0000-1400-00000F640000}"/>
                  </a:ext>
                </a:extLst>
              </xdr:cNvPr>
              <xdr:cNvSpPr/>
            </xdr:nvSpPr>
            <xdr:spPr bwMode="auto">
              <a:xfrm>
                <a:off x="142" y="24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16" name="Option Button 16" hidden="1">
                <a:extLst>
                  <a:ext uri="{63B3BB69-23CF-44E3-9099-C40C66FF867C}">
                    <a14:compatExt spid="_x0000_s25616"/>
                  </a:ext>
                  <a:ext uri="{FF2B5EF4-FFF2-40B4-BE49-F238E27FC236}">
                    <a16:creationId xmlns:a16="http://schemas.microsoft.com/office/drawing/2014/main" id="{00000000-0008-0000-1400-000010640000}"/>
                  </a:ext>
                </a:extLst>
              </xdr:cNvPr>
              <xdr:cNvSpPr/>
            </xdr:nvSpPr>
            <xdr:spPr bwMode="auto">
              <a:xfrm>
                <a:off x="142" y="27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20</xdr:row>
          <xdr:rowOff>0</xdr:rowOff>
        </xdr:from>
        <xdr:to>
          <xdr:col>15</xdr:col>
          <xdr:colOff>9525</xdr:colOff>
          <xdr:row>25</xdr:row>
          <xdr:rowOff>0</xdr:rowOff>
        </xdr:to>
        <xdr:grpSp>
          <xdr:nvGrpSpPr>
            <xdr:cNvPr id="79572" name="Group 17">
              <a:extLst>
                <a:ext uri="{FF2B5EF4-FFF2-40B4-BE49-F238E27FC236}">
                  <a16:creationId xmlns:a16="http://schemas.microsoft.com/office/drawing/2014/main" id="{00000000-0008-0000-1400-0000D4360100}"/>
                </a:ext>
              </a:extLst>
            </xdr:cNvPr>
            <xdr:cNvGrpSpPr>
              <a:grpSpLocks/>
            </xdr:cNvGrpSpPr>
          </xdr:nvGrpSpPr>
          <xdr:grpSpPr bwMode="auto">
            <a:xfrm>
              <a:off x="1293813" y="6096000"/>
              <a:ext cx="3724275" cy="2508250"/>
              <a:chOff x="136" y="702"/>
              <a:chExt cx="415" cy="219"/>
            </a:xfrm>
          </xdr:grpSpPr>
          <xdr:sp macro="" textlink="">
            <xdr:nvSpPr>
              <xdr:cNvPr id="25618" name="Group Box 18" hidden="1">
                <a:extLst>
                  <a:ext uri="{63B3BB69-23CF-44E3-9099-C40C66FF867C}">
                    <a14:compatExt spid="_x0000_s25618"/>
                  </a:ext>
                  <a:ext uri="{FF2B5EF4-FFF2-40B4-BE49-F238E27FC236}">
                    <a16:creationId xmlns:a16="http://schemas.microsoft.com/office/drawing/2014/main" id="{00000000-0008-0000-1400-000012640000}"/>
                  </a:ext>
                </a:extLst>
              </xdr:cNvPr>
              <xdr:cNvSpPr/>
            </xdr:nvSpPr>
            <xdr:spPr bwMode="auto">
              <a:xfrm>
                <a:off x="136" y="702"/>
                <a:ext cx="415" cy="219"/>
              </a:xfrm>
              <a:prstGeom prst="rect">
                <a:avLst/>
              </a:prstGeom>
              <a:noFill/>
              <a:ln w="9525">
                <a:miter lim="800000"/>
                <a:headEnd/>
                <a:tailEnd/>
              </a:ln>
              <a:extLst>
                <a:ext uri="{909E8E84-426E-40DD-AFC4-6F175D3DCCD1}">
                  <a14:hiddenFill>
                    <a:noFill/>
                  </a14:hiddenFill>
                </a:ext>
              </a:extLst>
            </xdr:spPr>
          </xdr:sp>
          <xdr:sp macro="" textlink="">
            <xdr:nvSpPr>
              <xdr:cNvPr id="25619" name="Option Button 19" hidden="1">
                <a:extLst>
                  <a:ext uri="{63B3BB69-23CF-44E3-9099-C40C66FF867C}">
                    <a14:compatExt spid="_x0000_s25619"/>
                  </a:ext>
                  <a:ext uri="{FF2B5EF4-FFF2-40B4-BE49-F238E27FC236}">
                    <a16:creationId xmlns:a16="http://schemas.microsoft.com/office/drawing/2014/main" id="{00000000-0008-0000-1400-000013640000}"/>
                  </a:ext>
                </a:extLst>
              </xdr:cNvPr>
              <xdr:cNvSpPr/>
            </xdr:nvSpPr>
            <xdr:spPr bwMode="auto">
              <a:xfrm>
                <a:off x="142" y="70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0" name="Option Button 20" hidden="1">
                <a:extLst>
                  <a:ext uri="{63B3BB69-23CF-44E3-9099-C40C66FF867C}">
                    <a14:compatExt spid="_x0000_s25620"/>
                  </a:ext>
                  <a:ext uri="{FF2B5EF4-FFF2-40B4-BE49-F238E27FC236}">
                    <a16:creationId xmlns:a16="http://schemas.microsoft.com/office/drawing/2014/main" id="{00000000-0008-0000-1400-000014640000}"/>
                  </a:ext>
                </a:extLst>
              </xdr:cNvPr>
              <xdr:cNvSpPr/>
            </xdr:nvSpPr>
            <xdr:spPr bwMode="auto">
              <a:xfrm>
                <a:off x="142" y="74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1" name="Option Button 21" hidden="1">
                <a:extLst>
                  <a:ext uri="{63B3BB69-23CF-44E3-9099-C40C66FF867C}">
                    <a14:compatExt spid="_x0000_s25621"/>
                  </a:ext>
                  <a:ext uri="{FF2B5EF4-FFF2-40B4-BE49-F238E27FC236}">
                    <a16:creationId xmlns:a16="http://schemas.microsoft.com/office/drawing/2014/main" id="{00000000-0008-0000-1400-000015640000}"/>
                  </a:ext>
                </a:extLst>
              </xdr:cNvPr>
              <xdr:cNvSpPr/>
            </xdr:nvSpPr>
            <xdr:spPr bwMode="auto">
              <a:xfrm>
                <a:off x="142" y="788"/>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2" name="Option Button 22" hidden="1">
                <a:extLst>
                  <a:ext uri="{63B3BB69-23CF-44E3-9099-C40C66FF867C}">
                    <a14:compatExt spid="_x0000_s25622"/>
                  </a:ext>
                  <a:ext uri="{FF2B5EF4-FFF2-40B4-BE49-F238E27FC236}">
                    <a16:creationId xmlns:a16="http://schemas.microsoft.com/office/drawing/2014/main" id="{00000000-0008-0000-1400-000016640000}"/>
                  </a:ext>
                </a:extLst>
              </xdr:cNvPr>
              <xdr:cNvSpPr/>
            </xdr:nvSpPr>
            <xdr:spPr bwMode="auto">
              <a:xfrm>
                <a:off x="142" y="83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3" name="Option Button 23" hidden="1">
                <a:extLst>
                  <a:ext uri="{63B3BB69-23CF-44E3-9099-C40C66FF867C}">
                    <a14:compatExt spid="_x0000_s25623"/>
                  </a:ext>
                  <a:ext uri="{FF2B5EF4-FFF2-40B4-BE49-F238E27FC236}">
                    <a16:creationId xmlns:a16="http://schemas.microsoft.com/office/drawing/2014/main" id="{00000000-0008-0000-1400-000017640000}"/>
                  </a:ext>
                </a:extLst>
              </xdr:cNvPr>
              <xdr:cNvSpPr/>
            </xdr:nvSpPr>
            <xdr:spPr bwMode="auto">
              <a:xfrm>
                <a:off x="142" y="88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47625</xdr:colOff>
          <xdr:row>34</xdr:row>
          <xdr:rowOff>66675</xdr:rowOff>
        </xdr:from>
        <xdr:to>
          <xdr:col>1</xdr:col>
          <xdr:colOff>1076325</xdr:colOff>
          <xdr:row>36</xdr:row>
          <xdr:rowOff>200025</xdr:rowOff>
        </xdr:to>
        <xdr:sp macro="" textlink="">
          <xdr:nvSpPr>
            <xdr:cNvPr id="25624" name="Object 24" hidden="1">
              <a:extLst>
                <a:ext uri="{63B3BB69-23CF-44E3-9099-C40C66FF867C}">
                  <a14:compatExt spid="_x0000_s25624"/>
                </a:ext>
                <a:ext uri="{FF2B5EF4-FFF2-40B4-BE49-F238E27FC236}">
                  <a16:creationId xmlns:a16="http://schemas.microsoft.com/office/drawing/2014/main" id="{00000000-0008-0000-1400-000018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2</xdr:col>
          <xdr:colOff>0</xdr:colOff>
          <xdr:row>30</xdr:row>
          <xdr:rowOff>0</xdr:rowOff>
        </xdr:from>
        <xdr:to>
          <xdr:col>4</xdr:col>
          <xdr:colOff>9525</xdr:colOff>
          <xdr:row>37</xdr:row>
          <xdr:rowOff>0</xdr:rowOff>
        </xdr:to>
        <xdr:grpSp>
          <xdr:nvGrpSpPr>
            <xdr:cNvPr id="79573" name="Group 25">
              <a:extLst>
                <a:ext uri="{FF2B5EF4-FFF2-40B4-BE49-F238E27FC236}">
                  <a16:creationId xmlns:a16="http://schemas.microsoft.com/office/drawing/2014/main" id="{00000000-0008-0000-1400-0000D5360100}"/>
                </a:ext>
              </a:extLst>
            </xdr:cNvPr>
            <xdr:cNvGrpSpPr>
              <a:grpSpLocks/>
            </xdr:cNvGrpSpPr>
          </xdr:nvGrpSpPr>
          <xdr:grpSpPr bwMode="auto">
            <a:xfrm>
              <a:off x="1293813" y="10366375"/>
              <a:ext cx="334962" cy="2389188"/>
              <a:chOff x="136" y="1085"/>
              <a:chExt cx="35" cy="253"/>
            </a:xfrm>
          </xdr:grpSpPr>
          <xdr:sp macro="" textlink="">
            <xdr:nvSpPr>
              <xdr:cNvPr id="25626" name="Group Box 26" hidden="1">
                <a:extLst>
                  <a:ext uri="{63B3BB69-23CF-44E3-9099-C40C66FF867C}">
                    <a14:compatExt spid="_x0000_s25626"/>
                  </a:ext>
                  <a:ext uri="{FF2B5EF4-FFF2-40B4-BE49-F238E27FC236}">
                    <a16:creationId xmlns:a16="http://schemas.microsoft.com/office/drawing/2014/main" id="{00000000-0008-0000-1400-00001A640000}"/>
                  </a:ext>
                </a:extLst>
              </xdr:cNvPr>
              <xdr:cNvSpPr/>
            </xdr:nvSpPr>
            <xdr:spPr bwMode="auto">
              <a:xfrm>
                <a:off x="136" y="1085"/>
                <a:ext cx="34" cy="253"/>
              </a:xfrm>
              <a:prstGeom prst="rect">
                <a:avLst/>
              </a:prstGeom>
              <a:noFill/>
              <a:ln w="9525">
                <a:miter lim="800000"/>
                <a:headEnd/>
                <a:tailEnd/>
              </a:ln>
              <a:extLst>
                <a:ext uri="{909E8E84-426E-40DD-AFC4-6F175D3DCCD1}">
                  <a14:hiddenFill>
                    <a:noFill/>
                  </a14:hiddenFill>
                </a:ext>
              </a:extLst>
            </xdr:spPr>
          </xdr:sp>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400-00001B640000}"/>
                  </a:ext>
                </a:extLst>
              </xdr:cNvPr>
              <xdr:cNvSpPr/>
            </xdr:nvSpPr>
            <xdr:spPr bwMode="auto">
              <a:xfrm>
                <a:off x="139" y="110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400-00001C640000}"/>
                  </a:ext>
                </a:extLst>
              </xdr:cNvPr>
              <xdr:cNvSpPr/>
            </xdr:nvSpPr>
            <xdr:spPr bwMode="auto">
              <a:xfrm>
                <a:off x="139" y="1135"/>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400-00001D640000}"/>
                  </a:ext>
                </a:extLst>
              </xdr:cNvPr>
              <xdr:cNvSpPr/>
            </xdr:nvSpPr>
            <xdr:spPr bwMode="auto">
              <a:xfrm>
                <a:off x="139" y="117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0" name="Option Button 30" hidden="1">
                <a:extLst>
                  <a:ext uri="{63B3BB69-23CF-44E3-9099-C40C66FF867C}">
                    <a14:compatExt spid="_x0000_s25630"/>
                  </a:ext>
                  <a:ext uri="{FF2B5EF4-FFF2-40B4-BE49-F238E27FC236}">
                    <a16:creationId xmlns:a16="http://schemas.microsoft.com/office/drawing/2014/main" id="{00000000-0008-0000-1400-00001E640000}"/>
                  </a:ext>
                </a:extLst>
              </xdr:cNvPr>
              <xdr:cNvSpPr/>
            </xdr:nvSpPr>
            <xdr:spPr bwMode="auto">
              <a:xfrm>
                <a:off x="139" y="120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1" name="Option Button 31" hidden="1">
                <a:extLst>
                  <a:ext uri="{63B3BB69-23CF-44E3-9099-C40C66FF867C}">
                    <a14:compatExt spid="_x0000_s25631"/>
                  </a:ext>
                  <a:ext uri="{FF2B5EF4-FFF2-40B4-BE49-F238E27FC236}">
                    <a16:creationId xmlns:a16="http://schemas.microsoft.com/office/drawing/2014/main" id="{00000000-0008-0000-1400-00001F640000}"/>
                  </a:ext>
                </a:extLst>
              </xdr:cNvPr>
              <xdr:cNvSpPr/>
            </xdr:nvSpPr>
            <xdr:spPr bwMode="auto">
              <a:xfrm>
                <a:off x="139" y="124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2" name="Option Button 32" hidden="1">
                <a:extLst>
                  <a:ext uri="{63B3BB69-23CF-44E3-9099-C40C66FF867C}">
                    <a14:compatExt spid="_x0000_s25632"/>
                  </a:ext>
                  <a:ext uri="{FF2B5EF4-FFF2-40B4-BE49-F238E27FC236}">
                    <a16:creationId xmlns:a16="http://schemas.microsoft.com/office/drawing/2014/main" id="{00000000-0008-0000-1400-000020640000}"/>
                  </a:ext>
                </a:extLst>
              </xdr:cNvPr>
              <xdr:cNvSpPr/>
            </xdr:nvSpPr>
            <xdr:spPr bwMode="auto">
              <a:xfrm>
                <a:off x="139" y="127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25633" name="Option Button 33" hidden="1">
                <a:extLst>
                  <a:ext uri="{63B3BB69-23CF-44E3-9099-C40C66FF867C}">
                    <a14:compatExt spid="_x0000_s25633"/>
                  </a:ext>
                  <a:ext uri="{FF2B5EF4-FFF2-40B4-BE49-F238E27FC236}">
                    <a16:creationId xmlns:a16="http://schemas.microsoft.com/office/drawing/2014/main" id="{00000000-0008-0000-1400-000021640000}"/>
                  </a:ext>
                </a:extLst>
              </xdr:cNvPr>
              <xdr:cNvSpPr/>
            </xdr:nvSpPr>
            <xdr:spPr bwMode="auto">
              <a:xfrm>
                <a:off x="139" y="131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76200</xdr:rowOff>
        </xdr:from>
        <xdr:to>
          <xdr:col>4</xdr:col>
          <xdr:colOff>38100</xdr:colOff>
          <xdr:row>11</xdr:row>
          <xdr:rowOff>295275</xdr:rowOff>
        </xdr:to>
        <xdr:sp macro="" textlink="">
          <xdr:nvSpPr>
            <xdr:cNvPr id="25634" name="Check Box 34" hidden="1">
              <a:extLst>
                <a:ext uri="{63B3BB69-23CF-44E3-9099-C40C66FF867C}">
                  <a14:compatExt spid="_x0000_s25634"/>
                </a:ext>
                <a:ext uri="{FF2B5EF4-FFF2-40B4-BE49-F238E27FC236}">
                  <a16:creationId xmlns:a16="http://schemas.microsoft.com/office/drawing/2014/main" id="{00000000-0008-0000-14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104775</xdr:rowOff>
        </xdr:from>
        <xdr:to>
          <xdr:col>4</xdr:col>
          <xdr:colOff>9525</xdr:colOff>
          <xdr:row>37</xdr:row>
          <xdr:rowOff>323850</xdr:rowOff>
        </xdr:to>
        <xdr:sp macro="" textlink="">
          <xdr:nvSpPr>
            <xdr:cNvPr id="26027" name="Check Box 427" hidden="1">
              <a:extLst>
                <a:ext uri="{63B3BB69-23CF-44E3-9099-C40C66FF867C}">
                  <a14:compatExt spid="_x0000_s26027"/>
                </a:ext>
                <a:ext uri="{FF2B5EF4-FFF2-40B4-BE49-F238E27FC236}">
                  <a16:creationId xmlns:a16="http://schemas.microsoft.com/office/drawing/2014/main" id="{00000000-0008-0000-1400-0000AB6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xdr:colOff>
          <xdr:row>42</xdr:row>
          <xdr:rowOff>247650</xdr:rowOff>
        </xdr:from>
        <xdr:to>
          <xdr:col>7</xdr:col>
          <xdr:colOff>95250</xdr:colOff>
          <xdr:row>43</xdr:row>
          <xdr:rowOff>200025</xdr:rowOff>
        </xdr:to>
        <xdr:sp macro="" textlink="">
          <xdr:nvSpPr>
            <xdr:cNvPr id="51216" name="Check Box 16" hidden="1">
              <a:extLst>
                <a:ext uri="{63B3BB69-23CF-44E3-9099-C40C66FF867C}">
                  <a14:compatExt spid="_x0000_s51216"/>
                </a:ext>
                <a:ext uri="{FF2B5EF4-FFF2-40B4-BE49-F238E27FC236}">
                  <a16:creationId xmlns:a16="http://schemas.microsoft.com/office/drawing/2014/main" id="{00000000-0008-0000-0200-000010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43</xdr:row>
          <xdr:rowOff>114300</xdr:rowOff>
        </xdr:from>
        <xdr:to>
          <xdr:col>7</xdr:col>
          <xdr:colOff>95250</xdr:colOff>
          <xdr:row>44</xdr:row>
          <xdr:rowOff>114300</xdr:rowOff>
        </xdr:to>
        <xdr:sp macro="" textlink="">
          <xdr:nvSpPr>
            <xdr:cNvPr id="51217" name="Check Box 17" hidden="1">
              <a:extLst>
                <a:ext uri="{63B3BB69-23CF-44E3-9099-C40C66FF867C}">
                  <a14:compatExt spid="_x0000_s51217"/>
                </a:ext>
                <a:ext uri="{FF2B5EF4-FFF2-40B4-BE49-F238E27FC236}">
                  <a16:creationId xmlns:a16="http://schemas.microsoft.com/office/drawing/2014/main" id="{00000000-0008-0000-0200-000011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44</xdr:row>
          <xdr:rowOff>152400</xdr:rowOff>
        </xdr:from>
        <xdr:to>
          <xdr:col>7</xdr:col>
          <xdr:colOff>95250</xdr:colOff>
          <xdr:row>45</xdr:row>
          <xdr:rowOff>104775</xdr:rowOff>
        </xdr:to>
        <xdr:sp macro="" textlink="">
          <xdr:nvSpPr>
            <xdr:cNvPr id="51218" name="Check Box 18" hidden="1">
              <a:extLst>
                <a:ext uri="{63B3BB69-23CF-44E3-9099-C40C66FF867C}">
                  <a14:compatExt spid="_x0000_s51218"/>
                </a:ext>
                <a:ext uri="{FF2B5EF4-FFF2-40B4-BE49-F238E27FC236}">
                  <a16:creationId xmlns:a16="http://schemas.microsoft.com/office/drawing/2014/main" id="{00000000-0008-0000-0200-000012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10</xdr:col>
      <xdr:colOff>43657</xdr:colOff>
      <xdr:row>80</xdr:row>
      <xdr:rowOff>3969</xdr:rowOff>
    </xdr:from>
    <xdr:to>
      <xdr:col>10</xdr:col>
      <xdr:colOff>234157</xdr:colOff>
      <xdr:row>80</xdr:row>
      <xdr:rowOff>218282</xdr:rowOff>
    </xdr:to>
    <xdr:sp macro="" textlink="">
      <xdr:nvSpPr>
        <xdr:cNvPr id="6" name="Arrow: Down 5">
          <a:extLst>
            <a:ext uri="{FF2B5EF4-FFF2-40B4-BE49-F238E27FC236}">
              <a16:creationId xmlns:a16="http://schemas.microsoft.com/office/drawing/2014/main" id="{00000000-0008-0000-0200-000006000000}"/>
            </a:ext>
          </a:extLst>
        </xdr:cNvPr>
        <xdr:cNvSpPr/>
      </xdr:nvSpPr>
      <xdr:spPr bwMode="auto">
        <a:xfrm rot="5400000">
          <a:off x="3375025" y="15341601"/>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31751</xdr:colOff>
      <xdr:row>83</xdr:row>
      <xdr:rowOff>23812</xdr:rowOff>
    </xdr:from>
    <xdr:to>
      <xdr:col>10</xdr:col>
      <xdr:colOff>246064</xdr:colOff>
      <xdr:row>83</xdr:row>
      <xdr:rowOff>214312</xdr:rowOff>
    </xdr:to>
    <xdr:sp macro="" textlink="">
      <xdr:nvSpPr>
        <xdr:cNvPr id="7" name="Arrow: Down 6">
          <a:extLst>
            <a:ext uri="{FF2B5EF4-FFF2-40B4-BE49-F238E27FC236}">
              <a16:creationId xmlns:a16="http://schemas.microsoft.com/office/drawing/2014/main" id="{00000000-0008-0000-0200-000007000000}"/>
            </a:ext>
          </a:extLst>
        </xdr:cNvPr>
        <xdr:cNvSpPr/>
      </xdr:nvSpPr>
      <xdr:spPr bwMode="auto">
        <a:xfrm>
          <a:off x="3108326" y="1603533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xdr:twoCellAnchor>
    <xdr:from>
      <xdr:col>10</xdr:col>
      <xdr:colOff>15875</xdr:colOff>
      <xdr:row>88</xdr:row>
      <xdr:rowOff>23812</xdr:rowOff>
    </xdr:from>
    <xdr:to>
      <xdr:col>10</xdr:col>
      <xdr:colOff>230188</xdr:colOff>
      <xdr:row>88</xdr:row>
      <xdr:rowOff>214312</xdr:rowOff>
    </xdr:to>
    <xdr:sp macro="" textlink="">
      <xdr:nvSpPr>
        <xdr:cNvPr id="8" name="Arrow: Down 7">
          <a:extLst>
            <a:ext uri="{FF2B5EF4-FFF2-40B4-BE49-F238E27FC236}">
              <a16:creationId xmlns:a16="http://schemas.microsoft.com/office/drawing/2014/main" id="{00000000-0008-0000-0200-000008000000}"/>
            </a:ext>
          </a:extLst>
        </xdr:cNvPr>
        <xdr:cNvSpPr/>
      </xdr:nvSpPr>
      <xdr:spPr bwMode="auto">
        <a:xfrm>
          <a:off x="3092450" y="17178337"/>
          <a:ext cx="214313" cy="190500"/>
        </a:xfrm>
        <a:prstGeom prst="downArrow">
          <a:avLst/>
        </a:prstGeom>
        <a:solidFill>
          <a:srgbClr val="FFFFFF"/>
        </a:solidFill>
        <a:ln w="9525" cap="flat" cmpd="sng" algn="ctr">
          <a:solidFill>
            <a:srgbClr val="000000"/>
          </a:solidFill>
          <a:prstDash val="solid"/>
          <a:round/>
          <a:headEnd type="none" w="med" len="med"/>
          <a:tailEnd type="none" w="med" len="med"/>
        </a:ln>
        <a:effectLst/>
      </xdr:spPr>
      <xdr:txBody>
        <a:bodyPr vertOverflow="clip" wrap="square" lIns="18288" tIns="0" rIns="0" bIns="0" rtlCol="0" anchor="ctr" upright="1"/>
        <a:lstStyle/>
        <a:p>
          <a:pPr algn="l"/>
          <a:endParaRPr lang="en-US" sz="1100"/>
        </a:p>
      </xdr:txBody>
    </xdr:sp>
    <xdr:clientData/>
  </xdr:twoCellAnchor>
  <mc:AlternateContent xmlns:mc="http://schemas.openxmlformats.org/markup-compatibility/2006">
    <mc:Choice xmlns:a14="http://schemas.microsoft.com/office/drawing/2010/main" Requires="a14">
      <xdr:twoCellAnchor editAs="oneCell">
        <xdr:from>
          <xdr:col>6</xdr:col>
          <xdr:colOff>19050</xdr:colOff>
          <xdr:row>45</xdr:row>
          <xdr:rowOff>190500</xdr:rowOff>
        </xdr:from>
        <xdr:to>
          <xdr:col>6</xdr:col>
          <xdr:colOff>209550</xdr:colOff>
          <xdr:row>46</xdr:row>
          <xdr:rowOff>142875</xdr:rowOff>
        </xdr:to>
        <xdr:sp macro="" textlink="">
          <xdr:nvSpPr>
            <xdr:cNvPr id="51311" name="Check Box 111" hidden="1">
              <a:extLst>
                <a:ext uri="{63B3BB69-23CF-44E3-9099-C40C66FF867C}">
                  <a14:compatExt spid="_x0000_s51311"/>
                </a:ext>
                <a:ext uri="{FF2B5EF4-FFF2-40B4-BE49-F238E27FC236}">
                  <a16:creationId xmlns:a16="http://schemas.microsoft.com/office/drawing/2014/main" id="{00000000-0008-0000-0200-00006FC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xdr:row>
          <xdr:rowOff>361950</xdr:rowOff>
        </xdr:from>
        <xdr:to>
          <xdr:col>14</xdr:col>
          <xdr:colOff>933450</xdr:colOff>
          <xdr:row>9</xdr:row>
          <xdr:rowOff>361950</xdr:rowOff>
        </xdr:to>
        <xdr:sp macro="" textlink="">
          <xdr:nvSpPr>
            <xdr:cNvPr id="36865" name="Group Box 1" hidden="1">
              <a:extLst>
                <a:ext uri="{63B3BB69-23CF-44E3-9099-C40C66FF867C}">
                  <a14:compatExt spid="_x0000_s36865"/>
                </a:ext>
                <a:ext uri="{FF2B5EF4-FFF2-40B4-BE49-F238E27FC236}">
                  <a16:creationId xmlns:a16="http://schemas.microsoft.com/office/drawing/2014/main" id="{00000000-0008-0000-1500-000001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4</xdr:row>
          <xdr:rowOff>47625</xdr:rowOff>
        </xdr:from>
        <xdr:to>
          <xdr:col>4</xdr:col>
          <xdr:colOff>38100</xdr:colOff>
          <xdr:row>4</xdr:row>
          <xdr:rowOff>266700</xdr:rowOff>
        </xdr:to>
        <xdr:sp macro="" textlink="">
          <xdr:nvSpPr>
            <xdr:cNvPr id="36866" name="Option Button 2" hidden="1">
              <a:extLst>
                <a:ext uri="{63B3BB69-23CF-44E3-9099-C40C66FF867C}">
                  <a14:compatExt spid="_x0000_s36866"/>
                </a:ext>
                <a:ext uri="{FF2B5EF4-FFF2-40B4-BE49-F238E27FC236}">
                  <a16:creationId xmlns:a16="http://schemas.microsoft.com/office/drawing/2014/main" id="{00000000-0008-0000-1500-000002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5</xdr:row>
          <xdr:rowOff>76200</xdr:rowOff>
        </xdr:from>
        <xdr:to>
          <xdr:col>4</xdr:col>
          <xdr:colOff>38100</xdr:colOff>
          <xdr:row>5</xdr:row>
          <xdr:rowOff>295275</xdr:rowOff>
        </xdr:to>
        <xdr:sp macro="" textlink="">
          <xdr:nvSpPr>
            <xdr:cNvPr id="36867" name="Option Button 3" hidden="1">
              <a:extLst>
                <a:ext uri="{63B3BB69-23CF-44E3-9099-C40C66FF867C}">
                  <a14:compatExt spid="_x0000_s36867"/>
                </a:ext>
                <a:ext uri="{FF2B5EF4-FFF2-40B4-BE49-F238E27FC236}">
                  <a16:creationId xmlns:a16="http://schemas.microsoft.com/office/drawing/2014/main" id="{00000000-0008-0000-1500-000003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6</xdr:row>
          <xdr:rowOff>85725</xdr:rowOff>
        </xdr:from>
        <xdr:to>
          <xdr:col>4</xdr:col>
          <xdr:colOff>38100</xdr:colOff>
          <xdr:row>6</xdr:row>
          <xdr:rowOff>304800</xdr:rowOff>
        </xdr:to>
        <xdr:sp macro="" textlink="">
          <xdr:nvSpPr>
            <xdr:cNvPr id="36868" name="Option Button 4" hidden="1">
              <a:extLst>
                <a:ext uri="{63B3BB69-23CF-44E3-9099-C40C66FF867C}">
                  <a14:compatExt spid="_x0000_s36868"/>
                </a:ext>
                <a:ext uri="{FF2B5EF4-FFF2-40B4-BE49-F238E27FC236}">
                  <a16:creationId xmlns:a16="http://schemas.microsoft.com/office/drawing/2014/main" id="{00000000-0008-0000-15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7</xdr:row>
          <xdr:rowOff>95250</xdr:rowOff>
        </xdr:from>
        <xdr:to>
          <xdr:col>4</xdr:col>
          <xdr:colOff>38100</xdr:colOff>
          <xdr:row>7</xdr:row>
          <xdr:rowOff>314325</xdr:rowOff>
        </xdr:to>
        <xdr:sp macro="" textlink="">
          <xdr:nvSpPr>
            <xdr:cNvPr id="36869" name="Option Button 5" hidden="1">
              <a:extLst>
                <a:ext uri="{63B3BB69-23CF-44E3-9099-C40C66FF867C}">
                  <a14:compatExt spid="_x0000_s36869"/>
                </a:ext>
                <a:ext uri="{FF2B5EF4-FFF2-40B4-BE49-F238E27FC236}">
                  <a16:creationId xmlns:a16="http://schemas.microsoft.com/office/drawing/2014/main" id="{00000000-0008-0000-15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8</xdr:row>
          <xdr:rowOff>95250</xdr:rowOff>
        </xdr:from>
        <xdr:to>
          <xdr:col>4</xdr:col>
          <xdr:colOff>38100</xdr:colOff>
          <xdr:row>8</xdr:row>
          <xdr:rowOff>314325</xdr:rowOff>
        </xdr:to>
        <xdr:sp macro="" textlink="">
          <xdr:nvSpPr>
            <xdr:cNvPr id="36870" name="Option Button 6" hidden="1">
              <a:extLst>
                <a:ext uri="{63B3BB69-23CF-44E3-9099-C40C66FF867C}">
                  <a14:compatExt spid="_x0000_s36870"/>
                </a:ext>
                <a:ext uri="{FF2B5EF4-FFF2-40B4-BE49-F238E27FC236}">
                  <a16:creationId xmlns:a16="http://schemas.microsoft.com/office/drawing/2014/main" id="{00000000-0008-0000-1500-00000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57150</xdr:colOff>
          <xdr:row>9</xdr:row>
          <xdr:rowOff>76200</xdr:rowOff>
        </xdr:from>
        <xdr:to>
          <xdr:col>4</xdr:col>
          <xdr:colOff>38100</xdr:colOff>
          <xdr:row>9</xdr:row>
          <xdr:rowOff>295275</xdr:rowOff>
        </xdr:to>
        <xdr:sp macro="" textlink="">
          <xdr:nvSpPr>
            <xdr:cNvPr id="36871" name="Option Button 7" hidden="1">
              <a:extLst>
                <a:ext uri="{63B3BB69-23CF-44E3-9099-C40C66FF867C}">
                  <a14:compatExt spid="_x0000_s36871"/>
                </a:ext>
                <a:ext uri="{FF2B5EF4-FFF2-40B4-BE49-F238E27FC236}">
                  <a16:creationId xmlns:a16="http://schemas.microsoft.com/office/drawing/2014/main" id="{00000000-0008-0000-1500-00000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3</xdr:row>
          <xdr:rowOff>0</xdr:rowOff>
        </xdr:from>
        <xdr:to>
          <xdr:col>12</xdr:col>
          <xdr:colOff>0</xdr:colOff>
          <xdr:row>6</xdr:row>
          <xdr:rowOff>0</xdr:rowOff>
        </xdr:to>
        <xdr:grpSp>
          <xdr:nvGrpSpPr>
            <xdr:cNvPr id="85290" name="Group 34">
              <a:extLst>
                <a:ext uri="{FF2B5EF4-FFF2-40B4-BE49-F238E27FC236}">
                  <a16:creationId xmlns:a16="http://schemas.microsoft.com/office/drawing/2014/main" id="{00000000-0008-0000-1600-00002A4D0100}"/>
                </a:ext>
              </a:extLst>
            </xdr:cNvPr>
            <xdr:cNvGrpSpPr>
              <a:grpSpLocks/>
            </xdr:cNvGrpSpPr>
          </xdr:nvGrpSpPr>
          <xdr:grpSpPr bwMode="auto">
            <a:xfrm>
              <a:off x="95250" y="508000"/>
              <a:ext cx="3873501" cy="833438"/>
              <a:chOff x="10" y="33"/>
              <a:chExt cx="410" cy="88"/>
            </a:xfrm>
          </xdr:grpSpPr>
          <xdr:sp macro="" textlink="">
            <xdr:nvSpPr>
              <xdr:cNvPr id="32769" name="Option Button 1" hidden="1">
                <a:extLst>
                  <a:ext uri="{63B3BB69-23CF-44E3-9099-C40C66FF867C}">
                    <a14:compatExt spid="_x0000_s32769"/>
                  </a:ext>
                  <a:ext uri="{FF2B5EF4-FFF2-40B4-BE49-F238E27FC236}">
                    <a16:creationId xmlns:a16="http://schemas.microsoft.com/office/drawing/2014/main" id="{00000000-0008-0000-1600-000001800000}"/>
                  </a:ext>
                </a:extLst>
              </xdr:cNvPr>
              <xdr:cNvSpPr/>
            </xdr:nvSpPr>
            <xdr:spPr bwMode="auto">
              <a:xfrm>
                <a:off x="374" y="36"/>
                <a:ext cx="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71" name="Group Box 3" hidden="1">
                <a:extLst>
                  <a:ext uri="{63B3BB69-23CF-44E3-9099-C40C66FF867C}">
                    <a14:compatExt spid="_x0000_s32771"/>
                  </a:ext>
                  <a:ext uri="{FF2B5EF4-FFF2-40B4-BE49-F238E27FC236}">
                    <a16:creationId xmlns:a16="http://schemas.microsoft.com/office/drawing/2014/main" id="{00000000-0008-0000-1600-000003800000}"/>
                  </a:ext>
                </a:extLst>
              </xdr:cNvPr>
              <xdr:cNvSpPr/>
            </xdr:nvSpPr>
            <xdr:spPr bwMode="auto">
              <a:xfrm>
                <a:off x="10" y="33"/>
                <a:ext cx="410" cy="88"/>
              </a:xfrm>
              <a:prstGeom prst="rect">
                <a:avLst/>
              </a:prstGeom>
              <a:noFill/>
              <a:ln w="9525">
                <a:miter lim="800000"/>
                <a:headEnd/>
                <a:tailEnd/>
              </a:ln>
              <a:extLst>
                <a:ext uri="{909E8E84-426E-40DD-AFC4-6F175D3DCCD1}">
                  <a14:hiddenFill>
                    <a:noFill/>
                  </a14:hiddenFill>
                </a:ext>
              </a:extLst>
            </xdr:spPr>
          </xdr:sp>
          <xdr:sp macro="" textlink="">
            <xdr:nvSpPr>
              <xdr:cNvPr id="32772" name="Option Button 4" hidden="1">
                <a:extLst>
                  <a:ext uri="{63B3BB69-23CF-44E3-9099-C40C66FF867C}">
                    <a14:compatExt spid="_x0000_s32772"/>
                  </a:ext>
                  <a:ext uri="{FF2B5EF4-FFF2-40B4-BE49-F238E27FC236}">
                    <a16:creationId xmlns:a16="http://schemas.microsoft.com/office/drawing/2014/main" id="{00000000-0008-0000-1600-000004800000}"/>
                  </a:ext>
                </a:extLst>
              </xdr:cNvPr>
              <xdr:cNvSpPr/>
            </xdr:nvSpPr>
            <xdr:spPr bwMode="auto">
              <a:xfrm>
                <a:off x="141" y="7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73" name="Option Button 5" hidden="1">
                <a:extLst>
                  <a:ext uri="{63B3BB69-23CF-44E3-9099-C40C66FF867C}">
                    <a14:compatExt spid="_x0000_s32773"/>
                  </a:ext>
                  <a:ext uri="{FF2B5EF4-FFF2-40B4-BE49-F238E27FC236}">
                    <a16:creationId xmlns:a16="http://schemas.microsoft.com/office/drawing/2014/main" id="{00000000-0008-0000-1600-000005800000}"/>
                  </a:ext>
                </a:extLst>
              </xdr:cNvPr>
              <xdr:cNvSpPr/>
            </xdr:nvSpPr>
            <xdr:spPr bwMode="auto">
              <a:xfrm>
                <a:off x="223" y="7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74" name="Option Button 6" hidden="1">
                <a:extLst>
                  <a:ext uri="{63B3BB69-23CF-44E3-9099-C40C66FF867C}">
                    <a14:compatExt spid="_x0000_s32774"/>
                  </a:ext>
                  <a:ext uri="{FF2B5EF4-FFF2-40B4-BE49-F238E27FC236}">
                    <a16:creationId xmlns:a16="http://schemas.microsoft.com/office/drawing/2014/main" id="{00000000-0008-0000-1600-000006800000}"/>
                  </a:ext>
                </a:extLst>
              </xdr:cNvPr>
              <xdr:cNvSpPr/>
            </xdr:nvSpPr>
            <xdr:spPr bwMode="auto">
              <a:xfrm>
                <a:off x="306" y="71"/>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75" name="Option Button 7" hidden="1">
                <a:extLst>
                  <a:ext uri="{63B3BB69-23CF-44E3-9099-C40C66FF867C}">
                    <a14:compatExt spid="_x0000_s32775"/>
                  </a:ext>
                  <a:ext uri="{FF2B5EF4-FFF2-40B4-BE49-F238E27FC236}">
                    <a16:creationId xmlns:a16="http://schemas.microsoft.com/office/drawing/2014/main" id="{00000000-0008-0000-1600-000007800000}"/>
                  </a:ext>
                </a:extLst>
              </xdr:cNvPr>
              <xdr:cNvSpPr/>
            </xdr:nvSpPr>
            <xdr:spPr bwMode="auto">
              <a:xfrm>
                <a:off x="141" y="97"/>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76" name="Option Button 8" hidden="1">
                <a:extLst>
                  <a:ext uri="{63B3BB69-23CF-44E3-9099-C40C66FF867C}">
                    <a14:compatExt spid="_x0000_s32776"/>
                  </a:ext>
                  <a:ext uri="{FF2B5EF4-FFF2-40B4-BE49-F238E27FC236}">
                    <a16:creationId xmlns:a16="http://schemas.microsoft.com/office/drawing/2014/main" id="{00000000-0008-0000-1600-000008800000}"/>
                  </a:ext>
                </a:extLst>
              </xdr:cNvPr>
              <xdr:cNvSpPr/>
            </xdr:nvSpPr>
            <xdr:spPr bwMode="auto">
              <a:xfrm>
                <a:off x="223" y="97"/>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77" name="Option Button 9" hidden="1">
                <a:extLst>
                  <a:ext uri="{63B3BB69-23CF-44E3-9099-C40C66FF867C}">
                    <a14:compatExt spid="_x0000_s32777"/>
                  </a:ext>
                  <a:ext uri="{FF2B5EF4-FFF2-40B4-BE49-F238E27FC236}">
                    <a16:creationId xmlns:a16="http://schemas.microsoft.com/office/drawing/2014/main" id="{00000000-0008-0000-1600-000009800000}"/>
                  </a:ext>
                </a:extLst>
              </xdr:cNvPr>
              <xdr:cNvSpPr/>
            </xdr:nvSpPr>
            <xdr:spPr bwMode="auto">
              <a:xfrm>
                <a:off x="306" y="97"/>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10</xdr:row>
          <xdr:rowOff>0</xdr:rowOff>
        </xdr:from>
        <xdr:to>
          <xdr:col>12</xdr:col>
          <xdr:colOff>0</xdr:colOff>
          <xdr:row>15</xdr:row>
          <xdr:rowOff>0</xdr:rowOff>
        </xdr:to>
        <xdr:grpSp>
          <xdr:nvGrpSpPr>
            <xdr:cNvPr id="85291" name="Group 36">
              <a:extLst>
                <a:ext uri="{FF2B5EF4-FFF2-40B4-BE49-F238E27FC236}">
                  <a16:creationId xmlns:a16="http://schemas.microsoft.com/office/drawing/2014/main" id="{00000000-0008-0000-1600-00002B4D0100}"/>
                </a:ext>
              </a:extLst>
            </xdr:cNvPr>
            <xdr:cNvGrpSpPr>
              <a:grpSpLocks/>
            </xdr:cNvGrpSpPr>
          </xdr:nvGrpSpPr>
          <xdr:grpSpPr bwMode="auto">
            <a:xfrm>
              <a:off x="95250" y="2420938"/>
              <a:ext cx="3873500" cy="1325562"/>
              <a:chOff x="10" y="225"/>
              <a:chExt cx="409" cy="130"/>
            </a:xfrm>
          </xdr:grpSpPr>
          <xdr:sp macro="" textlink="">
            <xdr:nvSpPr>
              <xdr:cNvPr id="32787" name="Option Button 19" hidden="1">
                <a:extLst>
                  <a:ext uri="{63B3BB69-23CF-44E3-9099-C40C66FF867C}">
                    <a14:compatExt spid="_x0000_s32787"/>
                  </a:ext>
                  <a:ext uri="{FF2B5EF4-FFF2-40B4-BE49-F238E27FC236}">
                    <a16:creationId xmlns:a16="http://schemas.microsoft.com/office/drawing/2014/main" id="{00000000-0008-0000-1600-000013800000}"/>
                  </a:ext>
                </a:extLst>
              </xdr:cNvPr>
              <xdr:cNvSpPr/>
            </xdr:nvSpPr>
            <xdr:spPr bwMode="auto">
              <a:xfrm>
                <a:off x="375" y="227"/>
                <a:ext cx="3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89" name="Group Box 21" hidden="1">
                <a:extLst>
                  <a:ext uri="{63B3BB69-23CF-44E3-9099-C40C66FF867C}">
                    <a14:compatExt spid="_x0000_s32789"/>
                  </a:ext>
                  <a:ext uri="{FF2B5EF4-FFF2-40B4-BE49-F238E27FC236}">
                    <a16:creationId xmlns:a16="http://schemas.microsoft.com/office/drawing/2014/main" id="{00000000-0008-0000-1600-000015800000}"/>
                  </a:ext>
                </a:extLst>
              </xdr:cNvPr>
              <xdr:cNvSpPr/>
            </xdr:nvSpPr>
            <xdr:spPr bwMode="auto">
              <a:xfrm>
                <a:off x="10" y="225"/>
                <a:ext cx="409" cy="130"/>
              </a:xfrm>
              <a:prstGeom prst="rect">
                <a:avLst/>
              </a:prstGeom>
              <a:noFill/>
              <a:ln w="9525">
                <a:miter lim="800000"/>
                <a:headEnd/>
                <a:tailEnd/>
              </a:ln>
              <a:extLst>
                <a:ext uri="{909E8E84-426E-40DD-AFC4-6F175D3DCCD1}">
                  <a14:hiddenFill>
                    <a:noFill/>
                  </a14:hiddenFill>
                </a:ext>
              </a:extLst>
            </xdr:spPr>
          </xdr:sp>
          <xdr:sp macro="" textlink="">
            <xdr:nvSpPr>
              <xdr:cNvPr id="32790" name="Option Button 22" hidden="1">
                <a:extLst>
                  <a:ext uri="{63B3BB69-23CF-44E3-9099-C40C66FF867C}">
                    <a14:compatExt spid="_x0000_s32790"/>
                  </a:ext>
                  <a:ext uri="{FF2B5EF4-FFF2-40B4-BE49-F238E27FC236}">
                    <a16:creationId xmlns:a16="http://schemas.microsoft.com/office/drawing/2014/main" id="{00000000-0008-0000-1600-000016800000}"/>
                  </a:ext>
                </a:extLst>
              </xdr:cNvPr>
              <xdr:cNvSpPr/>
            </xdr:nvSpPr>
            <xdr:spPr bwMode="auto">
              <a:xfrm>
                <a:off x="141" y="25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1" name="Option Button 23" hidden="1">
                <a:extLst>
                  <a:ext uri="{63B3BB69-23CF-44E3-9099-C40C66FF867C}">
                    <a14:compatExt spid="_x0000_s32791"/>
                  </a:ext>
                  <a:ext uri="{FF2B5EF4-FFF2-40B4-BE49-F238E27FC236}">
                    <a16:creationId xmlns:a16="http://schemas.microsoft.com/office/drawing/2014/main" id="{00000000-0008-0000-1600-000017800000}"/>
                  </a:ext>
                </a:extLst>
              </xdr:cNvPr>
              <xdr:cNvSpPr/>
            </xdr:nvSpPr>
            <xdr:spPr bwMode="auto">
              <a:xfrm>
                <a:off x="223" y="25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2" name="Option Button 24" hidden="1">
                <a:extLst>
                  <a:ext uri="{63B3BB69-23CF-44E3-9099-C40C66FF867C}">
                    <a14:compatExt spid="_x0000_s32792"/>
                  </a:ext>
                  <a:ext uri="{FF2B5EF4-FFF2-40B4-BE49-F238E27FC236}">
                    <a16:creationId xmlns:a16="http://schemas.microsoft.com/office/drawing/2014/main" id="{00000000-0008-0000-1600-000018800000}"/>
                  </a:ext>
                </a:extLst>
              </xdr:cNvPr>
              <xdr:cNvSpPr/>
            </xdr:nvSpPr>
            <xdr:spPr bwMode="auto">
              <a:xfrm>
                <a:off x="306" y="25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3" name="Option Button 25" hidden="1">
                <a:extLst>
                  <a:ext uri="{63B3BB69-23CF-44E3-9099-C40C66FF867C}">
                    <a14:compatExt spid="_x0000_s32793"/>
                  </a:ext>
                  <a:ext uri="{FF2B5EF4-FFF2-40B4-BE49-F238E27FC236}">
                    <a16:creationId xmlns:a16="http://schemas.microsoft.com/office/drawing/2014/main" id="{00000000-0008-0000-1600-000019800000}"/>
                  </a:ext>
                </a:extLst>
              </xdr:cNvPr>
              <xdr:cNvSpPr/>
            </xdr:nvSpPr>
            <xdr:spPr bwMode="auto">
              <a:xfrm>
                <a:off x="141" y="279"/>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600-00001A800000}"/>
                  </a:ext>
                </a:extLst>
              </xdr:cNvPr>
              <xdr:cNvSpPr/>
            </xdr:nvSpPr>
            <xdr:spPr bwMode="auto">
              <a:xfrm>
                <a:off x="223" y="279"/>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600-00001B800000}"/>
                  </a:ext>
                </a:extLst>
              </xdr:cNvPr>
              <xdr:cNvSpPr/>
            </xdr:nvSpPr>
            <xdr:spPr bwMode="auto">
              <a:xfrm>
                <a:off x="306" y="279"/>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600-00001C800000}"/>
                  </a:ext>
                </a:extLst>
              </xdr:cNvPr>
              <xdr:cNvSpPr/>
            </xdr:nvSpPr>
            <xdr:spPr bwMode="auto">
              <a:xfrm>
                <a:off x="141" y="3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600-00001D800000}"/>
                  </a:ext>
                </a:extLst>
              </xdr:cNvPr>
              <xdr:cNvSpPr/>
            </xdr:nvSpPr>
            <xdr:spPr bwMode="auto">
              <a:xfrm>
                <a:off x="223" y="30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98" name="Option Button 30" hidden="1">
                <a:extLst>
                  <a:ext uri="{63B3BB69-23CF-44E3-9099-C40C66FF867C}">
                    <a14:compatExt spid="_x0000_s32798"/>
                  </a:ext>
                  <a:ext uri="{FF2B5EF4-FFF2-40B4-BE49-F238E27FC236}">
                    <a16:creationId xmlns:a16="http://schemas.microsoft.com/office/drawing/2014/main" id="{00000000-0008-0000-1600-00001E800000}"/>
                  </a:ext>
                </a:extLst>
              </xdr:cNvPr>
              <xdr:cNvSpPr/>
            </xdr:nvSpPr>
            <xdr:spPr bwMode="auto">
              <a:xfrm>
                <a:off x="306" y="30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99" name="Option Button 31" hidden="1">
                <a:extLst>
                  <a:ext uri="{63B3BB69-23CF-44E3-9099-C40C66FF867C}">
                    <a14:compatExt spid="_x0000_s32799"/>
                  </a:ext>
                  <a:ext uri="{FF2B5EF4-FFF2-40B4-BE49-F238E27FC236}">
                    <a16:creationId xmlns:a16="http://schemas.microsoft.com/office/drawing/2014/main" id="{00000000-0008-0000-1600-00001F800000}"/>
                  </a:ext>
                </a:extLst>
              </xdr:cNvPr>
              <xdr:cNvSpPr/>
            </xdr:nvSpPr>
            <xdr:spPr bwMode="auto">
              <a:xfrm>
                <a:off x="141" y="331"/>
                <a:ext cx="13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Meets Class 4 criteria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15</xdr:row>
          <xdr:rowOff>9525</xdr:rowOff>
        </xdr:from>
        <xdr:to>
          <xdr:col>6</xdr:col>
          <xdr:colOff>161925</xdr:colOff>
          <xdr:row>18</xdr:row>
          <xdr:rowOff>200025</xdr:rowOff>
        </xdr:to>
        <xdr:sp macro="" textlink="">
          <xdr:nvSpPr>
            <xdr:cNvPr id="32800" name="Object 32" hidden="1">
              <a:extLst>
                <a:ext uri="{63B3BB69-23CF-44E3-9099-C40C66FF867C}">
                  <a14:compatExt spid="_x0000_s32800"/>
                </a:ext>
                <a:ext uri="{FF2B5EF4-FFF2-40B4-BE49-F238E27FC236}">
                  <a16:creationId xmlns:a16="http://schemas.microsoft.com/office/drawing/2014/main" id="{00000000-0008-0000-1600-0000208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6</xdr:row>
          <xdr:rowOff>0</xdr:rowOff>
        </xdr:from>
        <xdr:to>
          <xdr:col>12</xdr:col>
          <xdr:colOff>0</xdr:colOff>
          <xdr:row>10</xdr:row>
          <xdr:rowOff>0</xdr:rowOff>
        </xdr:to>
        <xdr:grpSp>
          <xdr:nvGrpSpPr>
            <xdr:cNvPr id="85292" name="Group 35">
              <a:extLst>
                <a:ext uri="{FF2B5EF4-FFF2-40B4-BE49-F238E27FC236}">
                  <a16:creationId xmlns:a16="http://schemas.microsoft.com/office/drawing/2014/main" id="{00000000-0008-0000-1600-00002C4D0100}"/>
                </a:ext>
              </a:extLst>
            </xdr:cNvPr>
            <xdr:cNvGrpSpPr>
              <a:grpSpLocks/>
            </xdr:cNvGrpSpPr>
          </xdr:nvGrpSpPr>
          <xdr:grpSpPr bwMode="auto">
            <a:xfrm>
              <a:off x="95250" y="1341438"/>
              <a:ext cx="3873500" cy="1079500"/>
              <a:chOff x="10" y="121"/>
              <a:chExt cx="409" cy="104"/>
            </a:xfrm>
          </xdr:grpSpPr>
          <xdr:sp macro="" textlink="">
            <xdr:nvSpPr>
              <xdr:cNvPr id="32778" name="Option Button 10" hidden="1">
                <a:extLst>
                  <a:ext uri="{63B3BB69-23CF-44E3-9099-C40C66FF867C}">
                    <a14:compatExt spid="_x0000_s32778"/>
                  </a:ext>
                  <a:ext uri="{FF2B5EF4-FFF2-40B4-BE49-F238E27FC236}">
                    <a16:creationId xmlns:a16="http://schemas.microsoft.com/office/drawing/2014/main" id="{00000000-0008-0000-1600-00000A800000}"/>
                  </a:ext>
                </a:extLst>
              </xdr:cNvPr>
              <xdr:cNvSpPr/>
            </xdr:nvSpPr>
            <xdr:spPr bwMode="auto">
              <a:xfrm>
                <a:off x="376" y="123"/>
                <a:ext cx="3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2780" name="Group Box 12" hidden="1">
                <a:extLst>
                  <a:ext uri="{63B3BB69-23CF-44E3-9099-C40C66FF867C}">
                    <a14:compatExt spid="_x0000_s32780"/>
                  </a:ext>
                  <a:ext uri="{FF2B5EF4-FFF2-40B4-BE49-F238E27FC236}">
                    <a16:creationId xmlns:a16="http://schemas.microsoft.com/office/drawing/2014/main" id="{00000000-0008-0000-1600-00000C800000}"/>
                  </a:ext>
                </a:extLst>
              </xdr:cNvPr>
              <xdr:cNvSpPr/>
            </xdr:nvSpPr>
            <xdr:spPr bwMode="auto">
              <a:xfrm>
                <a:off x="10" y="121"/>
                <a:ext cx="409" cy="104"/>
              </a:xfrm>
              <a:prstGeom prst="rect">
                <a:avLst/>
              </a:prstGeom>
              <a:noFill/>
              <a:ln w="9525">
                <a:miter lim="800000"/>
                <a:headEnd/>
                <a:tailEnd/>
              </a:ln>
              <a:extLst>
                <a:ext uri="{909E8E84-426E-40DD-AFC4-6F175D3DCCD1}">
                  <a14:hiddenFill>
                    <a:noFill/>
                  </a14:hiddenFill>
                </a:ext>
              </a:extLst>
            </xdr:spPr>
          </xdr:sp>
          <xdr:sp macro="" textlink="">
            <xdr:nvSpPr>
              <xdr:cNvPr id="32781" name="Option Button 13" hidden="1">
                <a:extLst>
                  <a:ext uri="{63B3BB69-23CF-44E3-9099-C40C66FF867C}">
                    <a14:compatExt spid="_x0000_s32781"/>
                  </a:ext>
                  <a:ext uri="{FF2B5EF4-FFF2-40B4-BE49-F238E27FC236}">
                    <a16:creationId xmlns:a16="http://schemas.microsoft.com/office/drawing/2014/main" id="{00000000-0008-0000-1600-00000D800000}"/>
                  </a:ext>
                </a:extLst>
              </xdr:cNvPr>
              <xdr:cNvSpPr/>
            </xdr:nvSpPr>
            <xdr:spPr bwMode="auto">
              <a:xfrm>
                <a:off x="141" y="17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82" name="Option Button 14" hidden="1">
                <a:extLst>
                  <a:ext uri="{63B3BB69-23CF-44E3-9099-C40C66FF867C}">
                    <a14:compatExt spid="_x0000_s32782"/>
                  </a:ext>
                  <a:ext uri="{FF2B5EF4-FFF2-40B4-BE49-F238E27FC236}">
                    <a16:creationId xmlns:a16="http://schemas.microsoft.com/office/drawing/2014/main" id="{00000000-0008-0000-1600-00000E800000}"/>
                  </a:ext>
                </a:extLst>
              </xdr:cNvPr>
              <xdr:cNvSpPr/>
            </xdr:nvSpPr>
            <xdr:spPr bwMode="auto">
              <a:xfrm>
                <a:off x="223" y="175"/>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83" name="Option Button 15" hidden="1">
                <a:extLst>
                  <a:ext uri="{63B3BB69-23CF-44E3-9099-C40C66FF867C}">
                    <a14:compatExt spid="_x0000_s32783"/>
                  </a:ext>
                  <a:ext uri="{FF2B5EF4-FFF2-40B4-BE49-F238E27FC236}">
                    <a16:creationId xmlns:a16="http://schemas.microsoft.com/office/drawing/2014/main" id="{00000000-0008-0000-1600-00000F800000}"/>
                  </a:ext>
                </a:extLst>
              </xdr:cNvPr>
              <xdr:cNvSpPr/>
            </xdr:nvSpPr>
            <xdr:spPr bwMode="auto">
              <a:xfrm>
                <a:off x="306" y="175"/>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784" name="Option Button 16" hidden="1">
                <a:extLst>
                  <a:ext uri="{63B3BB69-23CF-44E3-9099-C40C66FF867C}">
                    <a14:compatExt spid="_x0000_s32784"/>
                  </a:ext>
                  <a:ext uri="{FF2B5EF4-FFF2-40B4-BE49-F238E27FC236}">
                    <a16:creationId xmlns:a16="http://schemas.microsoft.com/office/drawing/2014/main" id="{00000000-0008-0000-1600-000010800000}"/>
                  </a:ext>
                </a:extLst>
              </xdr:cNvPr>
              <xdr:cNvSpPr/>
            </xdr:nvSpPr>
            <xdr:spPr bwMode="auto">
              <a:xfrm>
                <a:off x="141" y="2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Minimal</a:t>
                </a:r>
              </a:p>
            </xdr:txBody>
          </xdr:sp>
          <xdr:sp macro="" textlink="">
            <xdr:nvSpPr>
              <xdr:cNvPr id="32785" name="Option Button 17" hidden="1">
                <a:extLst>
                  <a:ext uri="{63B3BB69-23CF-44E3-9099-C40C66FF867C}">
                    <a14:compatExt spid="_x0000_s32785"/>
                  </a:ext>
                  <a:ext uri="{FF2B5EF4-FFF2-40B4-BE49-F238E27FC236}">
                    <a16:creationId xmlns:a16="http://schemas.microsoft.com/office/drawing/2014/main" id="{00000000-0008-0000-1600-000011800000}"/>
                  </a:ext>
                </a:extLst>
              </xdr:cNvPr>
              <xdr:cNvSpPr/>
            </xdr:nvSpPr>
            <xdr:spPr bwMode="auto">
              <a:xfrm>
                <a:off x="223" y="201"/>
                <a:ext cx="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Mild</a:t>
                </a:r>
              </a:p>
            </xdr:txBody>
          </xdr:sp>
          <xdr:sp macro="" textlink="">
            <xdr:nvSpPr>
              <xdr:cNvPr id="32786" name="Option Button 18" hidden="1">
                <a:extLst>
                  <a:ext uri="{63B3BB69-23CF-44E3-9099-C40C66FF867C}">
                    <a14:compatExt spid="_x0000_s32786"/>
                  </a:ext>
                  <a:ext uri="{FF2B5EF4-FFF2-40B4-BE49-F238E27FC236}">
                    <a16:creationId xmlns:a16="http://schemas.microsoft.com/office/drawing/2014/main" id="{00000000-0008-0000-1600-000012800000}"/>
                  </a:ext>
                </a:extLst>
              </xdr:cNvPr>
              <xdr:cNvSpPr/>
            </xdr:nvSpPr>
            <xdr:spPr bwMode="auto">
              <a:xfrm>
                <a:off x="306" y="201"/>
                <a:ext cx="7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a:t>
                </a:r>
              </a:p>
            </xdr:txBody>
          </xdr:sp>
          <xdr:sp macro="" textlink="">
            <xdr:nvSpPr>
              <xdr:cNvPr id="32801" name="Option Button 33" hidden="1">
                <a:extLst>
                  <a:ext uri="{63B3BB69-23CF-44E3-9099-C40C66FF867C}">
                    <a14:compatExt spid="_x0000_s32801"/>
                  </a:ext>
                  <a:ext uri="{FF2B5EF4-FFF2-40B4-BE49-F238E27FC236}">
                    <a16:creationId xmlns:a16="http://schemas.microsoft.com/office/drawing/2014/main" id="{00000000-0008-0000-1600-000021800000}"/>
                  </a:ext>
                </a:extLst>
              </xdr:cNvPr>
              <xdr:cNvSpPr/>
            </xdr:nvSpPr>
            <xdr:spPr bwMode="auto">
              <a:xfrm>
                <a:off x="141" y="150"/>
                <a:ext cx="16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Class 1 symptoms are present</a:t>
                </a:r>
              </a:p>
            </xdr:txBody>
          </xdr:sp>
        </xdr:grp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295275</xdr:rowOff>
        </xdr:from>
        <xdr:to>
          <xdr:col>14</xdr:col>
          <xdr:colOff>962025</xdr:colOff>
          <xdr:row>8</xdr:row>
          <xdr:rowOff>0</xdr:rowOff>
        </xdr:to>
        <xdr:sp macro="" textlink="">
          <xdr:nvSpPr>
            <xdr:cNvPr id="29697" name="Group Box 1" hidden="1">
              <a:extLst>
                <a:ext uri="{63B3BB69-23CF-44E3-9099-C40C66FF867C}">
                  <a14:compatExt spid="_x0000_s29697"/>
                </a:ext>
                <a:ext uri="{FF2B5EF4-FFF2-40B4-BE49-F238E27FC236}">
                  <a16:creationId xmlns:a16="http://schemas.microsoft.com/office/drawing/2014/main" id="{00000000-0008-0000-1700-000001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3</xdr:row>
          <xdr:rowOff>47625</xdr:rowOff>
        </xdr:from>
        <xdr:to>
          <xdr:col>4</xdr:col>
          <xdr:colOff>57150</xdr:colOff>
          <xdr:row>4</xdr:row>
          <xdr:rowOff>9525</xdr:rowOff>
        </xdr:to>
        <xdr:sp macro="" textlink="">
          <xdr:nvSpPr>
            <xdr:cNvPr id="29698" name="Option Button 2" hidden="1">
              <a:extLst>
                <a:ext uri="{63B3BB69-23CF-44E3-9099-C40C66FF867C}">
                  <a14:compatExt spid="_x0000_s29698"/>
                </a:ext>
                <a:ext uri="{FF2B5EF4-FFF2-40B4-BE49-F238E27FC236}">
                  <a16:creationId xmlns:a16="http://schemas.microsoft.com/office/drawing/2014/main" id="{00000000-0008-0000-17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4</xdr:row>
          <xdr:rowOff>180975</xdr:rowOff>
        </xdr:from>
        <xdr:to>
          <xdr:col>4</xdr:col>
          <xdr:colOff>57150</xdr:colOff>
          <xdr:row>4</xdr:row>
          <xdr:rowOff>400050</xdr:rowOff>
        </xdr:to>
        <xdr:sp macro="" textlink="">
          <xdr:nvSpPr>
            <xdr:cNvPr id="29699" name="Option Button 3" hidden="1">
              <a:extLst>
                <a:ext uri="{63B3BB69-23CF-44E3-9099-C40C66FF867C}">
                  <a14:compatExt spid="_x0000_s29699"/>
                </a:ext>
                <a:ext uri="{FF2B5EF4-FFF2-40B4-BE49-F238E27FC236}">
                  <a16:creationId xmlns:a16="http://schemas.microsoft.com/office/drawing/2014/main" id="{00000000-0008-0000-17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5</xdr:row>
          <xdr:rowOff>142875</xdr:rowOff>
        </xdr:from>
        <xdr:to>
          <xdr:col>4</xdr:col>
          <xdr:colOff>57150</xdr:colOff>
          <xdr:row>5</xdr:row>
          <xdr:rowOff>390525</xdr:rowOff>
        </xdr:to>
        <xdr:sp macro="" textlink="">
          <xdr:nvSpPr>
            <xdr:cNvPr id="29700" name="Option Button 4" hidden="1">
              <a:extLst>
                <a:ext uri="{63B3BB69-23CF-44E3-9099-C40C66FF867C}">
                  <a14:compatExt spid="_x0000_s29700"/>
                </a:ext>
                <a:ext uri="{FF2B5EF4-FFF2-40B4-BE49-F238E27FC236}">
                  <a16:creationId xmlns:a16="http://schemas.microsoft.com/office/drawing/2014/main" id="{00000000-0008-0000-17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6</xdr:row>
          <xdr:rowOff>333375</xdr:rowOff>
        </xdr:from>
        <xdr:to>
          <xdr:col>4</xdr:col>
          <xdr:colOff>57150</xdr:colOff>
          <xdr:row>6</xdr:row>
          <xdr:rowOff>552450</xdr:rowOff>
        </xdr:to>
        <xdr:sp macro="" textlink="">
          <xdr:nvSpPr>
            <xdr:cNvPr id="29701" name="Option Button 5" hidden="1">
              <a:extLst>
                <a:ext uri="{63B3BB69-23CF-44E3-9099-C40C66FF867C}">
                  <a14:compatExt spid="_x0000_s29701"/>
                </a:ext>
                <a:ext uri="{FF2B5EF4-FFF2-40B4-BE49-F238E27FC236}">
                  <a16:creationId xmlns:a16="http://schemas.microsoft.com/office/drawing/2014/main" id="{00000000-0008-0000-17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xdr:row>
          <xdr:rowOff>0</xdr:rowOff>
        </xdr:from>
        <xdr:to>
          <xdr:col>14</xdr:col>
          <xdr:colOff>962025</xdr:colOff>
          <xdr:row>13</xdr:row>
          <xdr:rowOff>9525</xdr:rowOff>
        </xdr:to>
        <xdr:sp macro="" textlink="">
          <xdr:nvSpPr>
            <xdr:cNvPr id="29702" name="Group Box 6" hidden="1">
              <a:extLst>
                <a:ext uri="{63B3BB69-23CF-44E3-9099-C40C66FF867C}">
                  <a14:compatExt spid="_x0000_s29702"/>
                </a:ext>
                <a:ext uri="{FF2B5EF4-FFF2-40B4-BE49-F238E27FC236}">
                  <a16:creationId xmlns:a16="http://schemas.microsoft.com/office/drawing/2014/main" id="{00000000-0008-0000-1700-00000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28575</xdr:rowOff>
        </xdr:from>
        <xdr:to>
          <xdr:col>4</xdr:col>
          <xdr:colOff>38100</xdr:colOff>
          <xdr:row>8</xdr:row>
          <xdr:rowOff>247650</xdr:rowOff>
        </xdr:to>
        <xdr:sp macro="" textlink="">
          <xdr:nvSpPr>
            <xdr:cNvPr id="29703" name="Option Button 7" hidden="1">
              <a:extLst>
                <a:ext uri="{63B3BB69-23CF-44E3-9099-C40C66FF867C}">
                  <a14:compatExt spid="_x0000_s29703"/>
                </a:ext>
                <a:ext uri="{FF2B5EF4-FFF2-40B4-BE49-F238E27FC236}">
                  <a16:creationId xmlns:a16="http://schemas.microsoft.com/office/drawing/2014/main" id="{00000000-0008-0000-17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9</xdr:row>
          <xdr:rowOff>161925</xdr:rowOff>
        </xdr:from>
        <xdr:to>
          <xdr:col>4</xdr:col>
          <xdr:colOff>47625</xdr:colOff>
          <xdr:row>10</xdr:row>
          <xdr:rowOff>0</xdr:rowOff>
        </xdr:to>
        <xdr:sp macro="" textlink="">
          <xdr:nvSpPr>
            <xdr:cNvPr id="29704" name="Option Button 8" hidden="1">
              <a:extLst>
                <a:ext uri="{63B3BB69-23CF-44E3-9099-C40C66FF867C}">
                  <a14:compatExt spid="_x0000_s29704"/>
                </a:ext>
                <a:ext uri="{FF2B5EF4-FFF2-40B4-BE49-F238E27FC236}">
                  <a16:creationId xmlns:a16="http://schemas.microsoft.com/office/drawing/2014/main" id="{00000000-0008-0000-17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xdr:row>
          <xdr:rowOff>161925</xdr:rowOff>
        </xdr:from>
        <xdr:to>
          <xdr:col>4</xdr:col>
          <xdr:colOff>47625</xdr:colOff>
          <xdr:row>10</xdr:row>
          <xdr:rowOff>381000</xdr:rowOff>
        </xdr:to>
        <xdr:sp macro="" textlink="">
          <xdr:nvSpPr>
            <xdr:cNvPr id="29705" name="Option Button 9" hidden="1">
              <a:extLst>
                <a:ext uri="{63B3BB69-23CF-44E3-9099-C40C66FF867C}">
                  <a14:compatExt spid="_x0000_s29705"/>
                </a:ext>
                <a:ext uri="{FF2B5EF4-FFF2-40B4-BE49-F238E27FC236}">
                  <a16:creationId xmlns:a16="http://schemas.microsoft.com/office/drawing/2014/main" id="{00000000-0008-0000-17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171450</xdr:rowOff>
        </xdr:from>
        <xdr:to>
          <xdr:col>4</xdr:col>
          <xdr:colOff>47625</xdr:colOff>
          <xdr:row>11</xdr:row>
          <xdr:rowOff>390525</xdr:rowOff>
        </xdr:to>
        <xdr:sp macro="" textlink="">
          <xdr:nvSpPr>
            <xdr:cNvPr id="29706" name="Option Button 10" hidden="1">
              <a:extLst>
                <a:ext uri="{63B3BB69-23CF-44E3-9099-C40C66FF867C}">
                  <a14:compatExt spid="_x0000_s29706"/>
                </a:ext>
                <a:ext uri="{FF2B5EF4-FFF2-40B4-BE49-F238E27FC236}">
                  <a16:creationId xmlns:a16="http://schemas.microsoft.com/office/drawing/2014/main" id="{00000000-0008-0000-17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180975</xdr:rowOff>
        </xdr:from>
        <xdr:to>
          <xdr:col>4</xdr:col>
          <xdr:colOff>47625</xdr:colOff>
          <xdr:row>12</xdr:row>
          <xdr:rowOff>400050</xdr:rowOff>
        </xdr:to>
        <xdr:sp macro="" textlink="">
          <xdr:nvSpPr>
            <xdr:cNvPr id="29707" name="Option Button 11" hidden="1">
              <a:extLst>
                <a:ext uri="{63B3BB69-23CF-44E3-9099-C40C66FF867C}">
                  <a14:compatExt spid="_x0000_s29707"/>
                </a:ext>
                <a:ext uri="{FF2B5EF4-FFF2-40B4-BE49-F238E27FC236}">
                  <a16:creationId xmlns:a16="http://schemas.microsoft.com/office/drawing/2014/main" id="{00000000-0008-0000-17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13</xdr:row>
          <xdr:rowOff>9525</xdr:rowOff>
        </xdr:from>
        <xdr:to>
          <xdr:col>14</xdr:col>
          <xdr:colOff>962025</xdr:colOff>
          <xdr:row>15</xdr:row>
          <xdr:rowOff>9525</xdr:rowOff>
        </xdr:to>
        <xdr:sp macro="" textlink="">
          <xdr:nvSpPr>
            <xdr:cNvPr id="29708" name="Group Box 12" hidden="1">
              <a:extLst>
                <a:ext uri="{63B3BB69-23CF-44E3-9099-C40C66FF867C}">
                  <a14:compatExt spid="_x0000_s29708"/>
                </a:ext>
                <a:ext uri="{FF2B5EF4-FFF2-40B4-BE49-F238E27FC236}">
                  <a16:creationId xmlns:a16="http://schemas.microsoft.com/office/drawing/2014/main" id="{00000000-0008-0000-1700-00000C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57150</xdr:rowOff>
        </xdr:from>
        <xdr:to>
          <xdr:col>4</xdr:col>
          <xdr:colOff>38100</xdr:colOff>
          <xdr:row>13</xdr:row>
          <xdr:rowOff>276225</xdr:rowOff>
        </xdr:to>
        <xdr:sp macro="" textlink="">
          <xdr:nvSpPr>
            <xdr:cNvPr id="29709" name="Option Button 13" hidden="1">
              <a:extLst>
                <a:ext uri="{63B3BB69-23CF-44E3-9099-C40C66FF867C}">
                  <a14:compatExt spid="_x0000_s29709"/>
                </a:ext>
                <a:ext uri="{FF2B5EF4-FFF2-40B4-BE49-F238E27FC236}">
                  <a16:creationId xmlns:a16="http://schemas.microsoft.com/office/drawing/2014/main" id="{00000000-0008-0000-17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400050</xdr:rowOff>
        </xdr:from>
        <xdr:to>
          <xdr:col>4</xdr:col>
          <xdr:colOff>38100</xdr:colOff>
          <xdr:row>15</xdr:row>
          <xdr:rowOff>9525</xdr:rowOff>
        </xdr:to>
        <xdr:sp macro="" textlink="">
          <xdr:nvSpPr>
            <xdr:cNvPr id="29710" name="Option Button 14" hidden="1">
              <a:extLst>
                <a:ext uri="{63B3BB69-23CF-44E3-9099-C40C66FF867C}">
                  <a14:compatExt spid="_x0000_s29710"/>
                </a:ext>
                <a:ext uri="{FF2B5EF4-FFF2-40B4-BE49-F238E27FC236}">
                  <a16:creationId xmlns:a16="http://schemas.microsoft.com/office/drawing/2014/main" id="{00000000-0008-0000-17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7</xdr:row>
          <xdr:rowOff>333375</xdr:rowOff>
        </xdr:from>
        <xdr:to>
          <xdr:col>4</xdr:col>
          <xdr:colOff>57150</xdr:colOff>
          <xdr:row>7</xdr:row>
          <xdr:rowOff>552450</xdr:rowOff>
        </xdr:to>
        <xdr:sp macro="" textlink="">
          <xdr:nvSpPr>
            <xdr:cNvPr id="29711" name="Option Button 15" hidden="1">
              <a:extLst>
                <a:ext uri="{63B3BB69-23CF-44E3-9099-C40C66FF867C}">
                  <a14:compatExt spid="_x0000_s29711"/>
                </a:ext>
                <a:ext uri="{FF2B5EF4-FFF2-40B4-BE49-F238E27FC236}">
                  <a16:creationId xmlns:a16="http://schemas.microsoft.com/office/drawing/2014/main" id="{00000000-0008-0000-17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2</xdr:row>
          <xdr:rowOff>295275</xdr:rowOff>
        </xdr:from>
        <xdr:to>
          <xdr:col>14</xdr:col>
          <xdr:colOff>800100</xdr:colOff>
          <xdr:row>6</xdr:row>
          <xdr:rowOff>352425</xdr:rowOff>
        </xdr:to>
        <xdr:sp macro="" textlink="">
          <xdr:nvSpPr>
            <xdr:cNvPr id="28673" name="Group Box 1" hidden="1">
              <a:extLst>
                <a:ext uri="{63B3BB69-23CF-44E3-9099-C40C66FF867C}">
                  <a14:compatExt spid="_x0000_s28673"/>
                </a:ext>
                <a:ext uri="{FF2B5EF4-FFF2-40B4-BE49-F238E27FC236}">
                  <a16:creationId xmlns:a16="http://schemas.microsoft.com/office/drawing/2014/main" id="{00000000-0008-0000-1800-00000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xdr:row>
          <xdr:rowOff>28575</xdr:rowOff>
        </xdr:from>
        <xdr:to>
          <xdr:col>4</xdr:col>
          <xdr:colOff>28575</xdr:colOff>
          <xdr:row>3</xdr:row>
          <xdr:rowOff>247650</xdr:rowOff>
        </xdr:to>
        <xdr:sp macro="" textlink="">
          <xdr:nvSpPr>
            <xdr:cNvPr id="28674" name="Option Button 2" hidden="1">
              <a:extLst>
                <a:ext uri="{63B3BB69-23CF-44E3-9099-C40C66FF867C}">
                  <a14:compatExt spid="_x0000_s28674"/>
                </a:ext>
                <a:ext uri="{FF2B5EF4-FFF2-40B4-BE49-F238E27FC236}">
                  <a16:creationId xmlns:a16="http://schemas.microsoft.com/office/drawing/2014/main" id="{00000000-0008-0000-18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xdr:row>
          <xdr:rowOff>19050</xdr:rowOff>
        </xdr:from>
        <xdr:to>
          <xdr:col>4</xdr:col>
          <xdr:colOff>28575</xdr:colOff>
          <xdr:row>4</xdr:row>
          <xdr:rowOff>238125</xdr:rowOff>
        </xdr:to>
        <xdr:sp macro="" textlink="">
          <xdr:nvSpPr>
            <xdr:cNvPr id="28675" name="Option Button 3" hidden="1">
              <a:extLst>
                <a:ext uri="{63B3BB69-23CF-44E3-9099-C40C66FF867C}">
                  <a14:compatExt spid="_x0000_s28675"/>
                </a:ext>
                <a:ext uri="{FF2B5EF4-FFF2-40B4-BE49-F238E27FC236}">
                  <a16:creationId xmlns:a16="http://schemas.microsoft.com/office/drawing/2014/main" id="{00000000-0008-0000-18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xdr:row>
          <xdr:rowOff>19050</xdr:rowOff>
        </xdr:from>
        <xdr:to>
          <xdr:col>4</xdr:col>
          <xdr:colOff>28575</xdr:colOff>
          <xdr:row>5</xdr:row>
          <xdr:rowOff>238125</xdr:rowOff>
        </xdr:to>
        <xdr:sp macro="" textlink="">
          <xdr:nvSpPr>
            <xdr:cNvPr id="28676" name="Option Button 4" hidden="1">
              <a:extLst>
                <a:ext uri="{63B3BB69-23CF-44E3-9099-C40C66FF867C}">
                  <a14:compatExt spid="_x0000_s28676"/>
                </a:ext>
                <a:ext uri="{FF2B5EF4-FFF2-40B4-BE49-F238E27FC236}">
                  <a16:creationId xmlns:a16="http://schemas.microsoft.com/office/drawing/2014/main" id="{00000000-0008-0000-18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xdr:row>
          <xdr:rowOff>66675</xdr:rowOff>
        </xdr:from>
        <xdr:to>
          <xdr:col>4</xdr:col>
          <xdr:colOff>38100</xdr:colOff>
          <xdr:row>6</xdr:row>
          <xdr:rowOff>285750</xdr:rowOff>
        </xdr:to>
        <xdr:sp macro="" textlink="">
          <xdr:nvSpPr>
            <xdr:cNvPr id="28677" name="Option Button 5" hidden="1">
              <a:extLst>
                <a:ext uri="{63B3BB69-23CF-44E3-9099-C40C66FF867C}">
                  <a14:compatExt spid="_x0000_s28677"/>
                </a:ext>
                <a:ext uri="{FF2B5EF4-FFF2-40B4-BE49-F238E27FC236}">
                  <a16:creationId xmlns:a16="http://schemas.microsoft.com/office/drawing/2014/main" id="{00000000-0008-0000-18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10</xdr:row>
          <xdr:rowOff>114300</xdr:rowOff>
        </xdr:from>
        <xdr:to>
          <xdr:col>1</xdr:col>
          <xdr:colOff>1028700</xdr:colOff>
          <xdr:row>10</xdr:row>
          <xdr:rowOff>800100</xdr:rowOff>
        </xdr:to>
        <xdr:sp macro="" textlink="">
          <xdr:nvSpPr>
            <xdr:cNvPr id="28678" name="Object 6" hidden="1">
              <a:extLst>
                <a:ext uri="{63B3BB69-23CF-44E3-9099-C40C66FF867C}">
                  <a14:compatExt spid="_x0000_s28678"/>
                </a:ext>
                <a:ext uri="{FF2B5EF4-FFF2-40B4-BE49-F238E27FC236}">
                  <a16:creationId xmlns:a16="http://schemas.microsoft.com/office/drawing/2014/main" id="{00000000-0008-0000-1800-0000067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26</xdr:row>
          <xdr:rowOff>38100</xdr:rowOff>
        </xdr:from>
        <xdr:to>
          <xdr:col>4</xdr:col>
          <xdr:colOff>47625</xdr:colOff>
          <xdr:row>26</xdr:row>
          <xdr:rowOff>257175</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8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57150</xdr:rowOff>
        </xdr:from>
        <xdr:to>
          <xdr:col>4</xdr:col>
          <xdr:colOff>38100</xdr:colOff>
          <xdr:row>38</xdr:row>
          <xdr:rowOff>9525</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8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9525</xdr:rowOff>
        </xdr:from>
        <xdr:to>
          <xdr:col>14</xdr:col>
          <xdr:colOff>800100</xdr:colOff>
          <xdr:row>11</xdr:row>
          <xdr:rowOff>1038225</xdr:rowOff>
        </xdr:to>
        <xdr:sp macro="" textlink="">
          <xdr:nvSpPr>
            <xdr:cNvPr id="28681" name="Group Box 9" hidden="1">
              <a:extLst>
                <a:ext uri="{63B3BB69-23CF-44E3-9099-C40C66FF867C}">
                  <a14:compatExt spid="_x0000_s28681"/>
                </a:ext>
                <a:ext uri="{FF2B5EF4-FFF2-40B4-BE49-F238E27FC236}">
                  <a16:creationId xmlns:a16="http://schemas.microsoft.com/office/drawing/2014/main" id="{00000000-0008-0000-1800-00000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47625</xdr:rowOff>
        </xdr:from>
        <xdr:to>
          <xdr:col>4</xdr:col>
          <xdr:colOff>38100</xdr:colOff>
          <xdr:row>7</xdr:row>
          <xdr:rowOff>266700</xdr:rowOff>
        </xdr:to>
        <xdr:sp macro="" textlink="">
          <xdr:nvSpPr>
            <xdr:cNvPr id="28682" name="Option Button 10" hidden="1">
              <a:extLst>
                <a:ext uri="{63B3BB69-23CF-44E3-9099-C40C66FF867C}">
                  <a14:compatExt spid="_x0000_s28682"/>
                </a:ext>
                <a:ext uri="{FF2B5EF4-FFF2-40B4-BE49-F238E27FC236}">
                  <a16:creationId xmlns:a16="http://schemas.microsoft.com/office/drawing/2014/main" id="{00000000-0008-0000-18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323850</xdr:rowOff>
        </xdr:from>
        <xdr:to>
          <xdr:col>4</xdr:col>
          <xdr:colOff>38100</xdr:colOff>
          <xdr:row>8</xdr:row>
          <xdr:rowOff>542925</xdr:rowOff>
        </xdr:to>
        <xdr:sp macro="" textlink="">
          <xdr:nvSpPr>
            <xdr:cNvPr id="28683" name="Option Button 11" hidden="1">
              <a:extLst>
                <a:ext uri="{63B3BB69-23CF-44E3-9099-C40C66FF867C}">
                  <a14:compatExt spid="_x0000_s28683"/>
                </a:ext>
                <a:ext uri="{FF2B5EF4-FFF2-40B4-BE49-F238E27FC236}">
                  <a16:creationId xmlns:a16="http://schemas.microsoft.com/office/drawing/2014/main" id="{00000000-0008-0000-18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361950</xdr:rowOff>
        </xdr:from>
        <xdr:to>
          <xdr:col>4</xdr:col>
          <xdr:colOff>38100</xdr:colOff>
          <xdr:row>9</xdr:row>
          <xdr:rowOff>581025</xdr:rowOff>
        </xdr:to>
        <xdr:sp macro="" textlink="">
          <xdr:nvSpPr>
            <xdr:cNvPr id="28684" name="Option Button 12" hidden="1">
              <a:extLst>
                <a:ext uri="{63B3BB69-23CF-44E3-9099-C40C66FF867C}">
                  <a14:compatExt spid="_x0000_s28684"/>
                </a:ext>
                <a:ext uri="{FF2B5EF4-FFF2-40B4-BE49-F238E27FC236}">
                  <a16:creationId xmlns:a16="http://schemas.microsoft.com/office/drawing/2014/main" id="{00000000-0008-0000-18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10</xdr:row>
          <xdr:rowOff>428625</xdr:rowOff>
        </xdr:from>
        <xdr:to>
          <xdr:col>4</xdr:col>
          <xdr:colOff>38100</xdr:colOff>
          <xdr:row>10</xdr:row>
          <xdr:rowOff>647700</xdr:rowOff>
        </xdr:to>
        <xdr:sp macro="" textlink="">
          <xdr:nvSpPr>
            <xdr:cNvPr id="28685" name="Option Button 13" hidden="1">
              <a:extLst>
                <a:ext uri="{63B3BB69-23CF-44E3-9099-C40C66FF867C}">
                  <a14:compatExt spid="_x0000_s28685"/>
                </a:ext>
                <a:ext uri="{FF2B5EF4-FFF2-40B4-BE49-F238E27FC236}">
                  <a16:creationId xmlns:a16="http://schemas.microsoft.com/office/drawing/2014/main" id="{00000000-0008-0000-18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11</xdr:row>
          <xdr:rowOff>428625</xdr:rowOff>
        </xdr:from>
        <xdr:to>
          <xdr:col>4</xdr:col>
          <xdr:colOff>38100</xdr:colOff>
          <xdr:row>11</xdr:row>
          <xdr:rowOff>647700</xdr:rowOff>
        </xdr:to>
        <xdr:sp macro="" textlink="">
          <xdr:nvSpPr>
            <xdr:cNvPr id="28686" name="Option Button 14" hidden="1">
              <a:extLst>
                <a:ext uri="{63B3BB69-23CF-44E3-9099-C40C66FF867C}">
                  <a14:compatExt spid="_x0000_s28686"/>
                </a:ext>
                <a:ext uri="{FF2B5EF4-FFF2-40B4-BE49-F238E27FC236}">
                  <a16:creationId xmlns:a16="http://schemas.microsoft.com/office/drawing/2014/main" id="{00000000-0008-0000-18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12</xdr:row>
          <xdr:rowOff>9525</xdr:rowOff>
        </xdr:from>
        <xdr:to>
          <xdr:col>14</xdr:col>
          <xdr:colOff>800100</xdr:colOff>
          <xdr:row>17</xdr:row>
          <xdr:rowOff>9525</xdr:rowOff>
        </xdr:to>
        <xdr:sp macro="" textlink="">
          <xdr:nvSpPr>
            <xdr:cNvPr id="28687" name="Group Box 15" hidden="1">
              <a:extLst>
                <a:ext uri="{63B3BB69-23CF-44E3-9099-C40C66FF867C}">
                  <a14:compatExt spid="_x0000_s28687"/>
                </a:ext>
                <a:ext uri="{FF2B5EF4-FFF2-40B4-BE49-F238E27FC236}">
                  <a16:creationId xmlns:a16="http://schemas.microsoft.com/office/drawing/2014/main" id="{00000000-0008-0000-1800-00000F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12</xdr:row>
          <xdr:rowOff>47625</xdr:rowOff>
        </xdr:from>
        <xdr:to>
          <xdr:col>4</xdr:col>
          <xdr:colOff>38100</xdr:colOff>
          <xdr:row>13</xdr:row>
          <xdr:rowOff>0</xdr:rowOff>
        </xdr:to>
        <xdr:sp macro="" textlink="">
          <xdr:nvSpPr>
            <xdr:cNvPr id="28688" name="Option Button 16" hidden="1">
              <a:extLst>
                <a:ext uri="{63B3BB69-23CF-44E3-9099-C40C66FF867C}">
                  <a14:compatExt spid="_x0000_s28688"/>
                </a:ext>
                <a:ext uri="{FF2B5EF4-FFF2-40B4-BE49-F238E27FC236}">
                  <a16:creationId xmlns:a16="http://schemas.microsoft.com/office/drawing/2014/main" id="{00000000-0008-0000-18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13</xdr:row>
          <xdr:rowOff>428625</xdr:rowOff>
        </xdr:from>
        <xdr:to>
          <xdr:col>4</xdr:col>
          <xdr:colOff>38100</xdr:colOff>
          <xdr:row>13</xdr:row>
          <xdr:rowOff>647700</xdr:rowOff>
        </xdr:to>
        <xdr:sp macro="" textlink="">
          <xdr:nvSpPr>
            <xdr:cNvPr id="28689" name="Option Button 17" hidden="1">
              <a:extLst>
                <a:ext uri="{63B3BB69-23CF-44E3-9099-C40C66FF867C}">
                  <a14:compatExt spid="_x0000_s28689"/>
                </a:ext>
                <a:ext uri="{FF2B5EF4-FFF2-40B4-BE49-F238E27FC236}">
                  <a16:creationId xmlns:a16="http://schemas.microsoft.com/office/drawing/2014/main" id="{00000000-0008-0000-18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390525</xdr:rowOff>
        </xdr:from>
        <xdr:to>
          <xdr:col>4</xdr:col>
          <xdr:colOff>38100</xdr:colOff>
          <xdr:row>14</xdr:row>
          <xdr:rowOff>609600</xdr:rowOff>
        </xdr:to>
        <xdr:sp macro="" textlink="">
          <xdr:nvSpPr>
            <xdr:cNvPr id="28690" name="Option Button 18" hidden="1">
              <a:extLst>
                <a:ext uri="{63B3BB69-23CF-44E3-9099-C40C66FF867C}">
                  <a14:compatExt spid="_x0000_s28690"/>
                </a:ext>
                <a:ext uri="{FF2B5EF4-FFF2-40B4-BE49-F238E27FC236}">
                  <a16:creationId xmlns:a16="http://schemas.microsoft.com/office/drawing/2014/main" id="{00000000-0008-0000-18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466725</xdr:rowOff>
        </xdr:from>
        <xdr:to>
          <xdr:col>4</xdr:col>
          <xdr:colOff>38100</xdr:colOff>
          <xdr:row>15</xdr:row>
          <xdr:rowOff>685800</xdr:rowOff>
        </xdr:to>
        <xdr:sp macro="" textlink="">
          <xdr:nvSpPr>
            <xdr:cNvPr id="28691" name="Option Button 19" hidden="1">
              <a:extLst>
                <a:ext uri="{63B3BB69-23CF-44E3-9099-C40C66FF867C}">
                  <a14:compatExt spid="_x0000_s28691"/>
                </a:ext>
                <a:ext uri="{FF2B5EF4-FFF2-40B4-BE49-F238E27FC236}">
                  <a16:creationId xmlns:a16="http://schemas.microsoft.com/office/drawing/2014/main" id="{00000000-0008-0000-18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600075</xdr:rowOff>
        </xdr:from>
        <xdr:to>
          <xdr:col>4</xdr:col>
          <xdr:colOff>38100</xdr:colOff>
          <xdr:row>16</xdr:row>
          <xdr:rowOff>819150</xdr:rowOff>
        </xdr:to>
        <xdr:sp macro="" textlink="">
          <xdr:nvSpPr>
            <xdr:cNvPr id="28692" name="Option Button 20" hidden="1">
              <a:extLst>
                <a:ext uri="{63B3BB69-23CF-44E3-9099-C40C66FF867C}">
                  <a14:compatExt spid="_x0000_s28692"/>
                </a:ext>
                <a:ext uri="{FF2B5EF4-FFF2-40B4-BE49-F238E27FC236}">
                  <a16:creationId xmlns:a16="http://schemas.microsoft.com/office/drawing/2014/main" id="{00000000-0008-0000-18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9525</xdr:rowOff>
        </xdr:from>
        <xdr:to>
          <xdr:col>14</xdr:col>
          <xdr:colOff>800100</xdr:colOff>
          <xdr:row>21</xdr:row>
          <xdr:rowOff>19050</xdr:rowOff>
        </xdr:to>
        <xdr:sp macro="" textlink="">
          <xdr:nvSpPr>
            <xdr:cNvPr id="28693" name="Group Box 21" hidden="1">
              <a:extLst>
                <a:ext uri="{63B3BB69-23CF-44E3-9099-C40C66FF867C}">
                  <a14:compatExt spid="_x0000_s28693"/>
                </a:ext>
                <a:ext uri="{FF2B5EF4-FFF2-40B4-BE49-F238E27FC236}">
                  <a16:creationId xmlns:a16="http://schemas.microsoft.com/office/drawing/2014/main" id="{00000000-0008-0000-1800-00001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17</xdr:row>
          <xdr:rowOff>47625</xdr:rowOff>
        </xdr:from>
        <xdr:to>
          <xdr:col>4</xdr:col>
          <xdr:colOff>38100</xdr:colOff>
          <xdr:row>18</xdr:row>
          <xdr:rowOff>0</xdr:rowOff>
        </xdr:to>
        <xdr:sp macro="" textlink="">
          <xdr:nvSpPr>
            <xdr:cNvPr id="28694" name="Option Button 22" hidden="1">
              <a:extLst>
                <a:ext uri="{63B3BB69-23CF-44E3-9099-C40C66FF867C}">
                  <a14:compatExt spid="_x0000_s28694"/>
                </a:ext>
                <a:ext uri="{FF2B5EF4-FFF2-40B4-BE49-F238E27FC236}">
                  <a16:creationId xmlns:a16="http://schemas.microsoft.com/office/drawing/2014/main" id="{00000000-0008-0000-18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18</xdr:row>
          <xdr:rowOff>276225</xdr:rowOff>
        </xdr:from>
        <xdr:to>
          <xdr:col>4</xdr:col>
          <xdr:colOff>38100</xdr:colOff>
          <xdr:row>18</xdr:row>
          <xdr:rowOff>495300</xdr:rowOff>
        </xdr:to>
        <xdr:sp macro="" textlink="">
          <xdr:nvSpPr>
            <xdr:cNvPr id="28695" name="Option Button 23" hidden="1">
              <a:extLst>
                <a:ext uri="{63B3BB69-23CF-44E3-9099-C40C66FF867C}">
                  <a14:compatExt spid="_x0000_s28695"/>
                </a:ext>
                <a:ext uri="{FF2B5EF4-FFF2-40B4-BE49-F238E27FC236}">
                  <a16:creationId xmlns:a16="http://schemas.microsoft.com/office/drawing/2014/main" id="{00000000-0008-0000-18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19</xdr:row>
          <xdr:rowOff>390525</xdr:rowOff>
        </xdr:from>
        <xdr:to>
          <xdr:col>4</xdr:col>
          <xdr:colOff>38100</xdr:colOff>
          <xdr:row>19</xdr:row>
          <xdr:rowOff>609600</xdr:rowOff>
        </xdr:to>
        <xdr:sp macro="" textlink="">
          <xdr:nvSpPr>
            <xdr:cNvPr id="28696" name="Option Button 24" hidden="1">
              <a:extLst>
                <a:ext uri="{63B3BB69-23CF-44E3-9099-C40C66FF867C}">
                  <a14:compatExt spid="_x0000_s28696"/>
                </a:ext>
                <a:ext uri="{FF2B5EF4-FFF2-40B4-BE49-F238E27FC236}">
                  <a16:creationId xmlns:a16="http://schemas.microsoft.com/office/drawing/2014/main" id="{00000000-0008-0000-18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20</xdr:row>
          <xdr:rowOff>333375</xdr:rowOff>
        </xdr:from>
        <xdr:to>
          <xdr:col>4</xdr:col>
          <xdr:colOff>38100</xdr:colOff>
          <xdr:row>20</xdr:row>
          <xdr:rowOff>552450</xdr:rowOff>
        </xdr:to>
        <xdr:sp macro="" textlink="">
          <xdr:nvSpPr>
            <xdr:cNvPr id="28697" name="Option Button 25" hidden="1">
              <a:extLst>
                <a:ext uri="{63B3BB69-23CF-44E3-9099-C40C66FF867C}">
                  <a14:compatExt spid="_x0000_s28697"/>
                </a:ext>
                <a:ext uri="{FF2B5EF4-FFF2-40B4-BE49-F238E27FC236}">
                  <a16:creationId xmlns:a16="http://schemas.microsoft.com/office/drawing/2014/main" id="{00000000-0008-0000-18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xdr:rowOff>
        </xdr:from>
        <xdr:to>
          <xdr:col>14</xdr:col>
          <xdr:colOff>800100</xdr:colOff>
          <xdr:row>26</xdr:row>
          <xdr:rowOff>0</xdr:rowOff>
        </xdr:to>
        <xdr:sp macro="" textlink="">
          <xdr:nvSpPr>
            <xdr:cNvPr id="28698" name="Group Box 26" hidden="1">
              <a:extLst>
                <a:ext uri="{63B3BB69-23CF-44E3-9099-C40C66FF867C}">
                  <a14:compatExt spid="_x0000_s28698"/>
                </a:ext>
                <a:ext uri="{FF2B5EF4-FFF2-40B4-BE49-F238E27FC236}">
                  <a16:creationId xmlns:a16="http://schemas.microsoft.com/office/drawing/2014/main" id="{00000000-0008-0000-1800-00001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57150</xdr:rowOff>
        </xdr:from>
        <xdr:to>
          <xdr:col>4</xdr:col>
          <xdr:colOff>38100</xdr:colOff>
          <xdr:row>22</xdr:row>
          <xdr:rowOff>9525</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8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504825</xdr:rowOff>
        </xdr:from>
        <xdr:to>
          <xdr:col>4</xdr:col>
          <xdr:colOff>38100</xdr:colOff>
          <xdr:row>22</xdr:row>
          <xdr:rowOff>723900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8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323850</xdr:rowOff>
        </xdr:from>
        <xdr:to>
          <xdr:col>4</xdr:col>
          <xdr:colOff>38100</xdr:colOff>
          <xdr:row>23</xdr:row>
          <xdr:rowOff>542925</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8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342900</xdr:rowOff>
        </xdr:from>
        <xdr:to>
          <xdr:col>4</xdr:col>
          <xdr:colOff>38100</xdr:colOff>
          <xdr:row>24</xdr:row>
          <xdr:rowOff>561975</xdr:rowOff>
        </xdr:to>
        <xdr:sp macro="" textlink="">
          <xdr:nvSpPr>
            <xdr:cNvPr id="28702" name="Option Button 30" hidden="1">
              <a:extLst>
                <a:ext uri="{63B3BB69-23CF-44E3-9099-C40C66FF867C}">
                  <a14:compatExt spid="_x0000_s28702"/>
                </a:ext>
                <a:ext uri="{FF2B5EF4-FFF2-40B4-BE49-F238E27FC236}">
                  <a16:creationId xmlns:a16="http://schemas.microsoft.com/office/drawing/2014/main" id="{00000000-0008-0000-18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361950</xdr:rowOff>
        </xdr:from>
        <xdr:to>
          <xdr:col>4</xdr:col>
          <xdr:colOff>38100</xdr:colOff>
          <xdr:row>25</xdr:row>
          <xdr:rowOff>581025</xdr:rowOff>
        </xdr:to>
        <xdr:sp macro="" textlink="">
          <xdr:nvSpPr>
            <xdr:cNvPr id="28703" name="Option Button 31" hidden="1">
              <a:extLst>
                <a:ext uri="{63B3BB69-23CF-44E3-9099-C40C66FF867C}">
                  <a14:compatExt spid="_x0000_s28703"/>
                </a:ext>
                <a:ext uri="{FF2B5EF4-FFF2-40B4-BE49-F238E27FC236}">
                  <a16:creationId xmlns:a16="http://schemas.microsoft.com/office/drawing/2014/main" id="{00000000-0008-0000-18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27</xdr:row>
          <xdr:rowOff>19050</xdr:rowOff>
        </xdr:from>
        <xdr:to>
          <xdr:col>14</xdr:col>
          <xdr:colOff>800100</xdr:colOff>
          <xdr:row>32</xdr:row>
          <xdr:rowOff>19050</xdr:rowOff>
        </xdr:to>
        <xdr:sp macro="" textlink="">
          <xdr:nvSpPr>
            <xdr:cNvPr id="28704" name="Group Box 32" hidden="1">
              <a:extLst>
                <a:ext uri="{63B3BB69-23CF-44E3-9099-C40C66FF867C}">
                  <a14:compatExt spid="_x0000_s28704"/>
                </a:ext>
                <a:ext uri="{FF2B5EF4-FFF2-40B4-BE49-F238E27FC236}">
                  <a16:creationId xmlns:a16="http://schemas.microsoft.com/office/drawing/2014/main" id="{00000000-0008-0000-1800-000020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27</xdr:row>
          <xdr:rowOff>66675</xdr:rowOff>
        </xdr:from>
        <xdr:to>
          <xdr:col>4</xdr:col>
          <xdr:colOff>47625</xdr:colOff>
          <xdr:row>28</xdr:row>
          <xdr:rowOff>28575</xdr:rowOff>
        </xdr:to>
        <xdr:sp macro="" textlink="">
          <xdr:nvSpPr>
            <xdr:cNvPr id="28705" name="Option Button 33" hidden="1">
              <a:extLst>
                <a:ext uri="{63B3BB69-23CF-44E3-9099-C40C66FF867C}">
                  <a14:compatExt spid="_x0000_s28705"/>
                </a:ext>
                <a:ext uri="{FF2B5EF4-FFF2-40B4-BE49-F238E27FC236}">
                  <a16:creationId xmlns:a16="http://schemas.microsoft.com/office/drawing/2014/main" id="{00000000-0008-0000-18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28</xdr:row>
          <xdr:rowOff>47625</xdr:rowOff>
        </xdr:from>
        <xdr:to>
          <xdr:col>4</xdr:col>
          <xdr:colOff>47625</xdr:colOff>
          <xdr:row>29</xdr:row>
          <xdr:rowOff>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8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29</xdr:row>
          <xdr:rowOff>76200</xdr:rowOff>
        </xdr:from>
        <xdr:to>
          <xdr:col>4</xdr:col>
          <xdr:colOff>47625</xdr:colOff>
          <xdr:row>29</xdr:row>
          <xdr:rowOff>295275</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8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30</xdr:row>
          <xdr:rowOff>76200</xdr:rowOff>
        </xdr:from>
        <xdr:to>
          <xdr:col>4</xdr:col>
          <xdr:colOff>47625</xdr:colOff>
          <xdr:row>30</xdr:row>
          <xdr:rowOff>295275</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8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31</xdr:row>
          <xdr:rowOff>85725</xdr:rowOff>
        </xdr:from>
        <xdr:to>
          <xdr:col>4</xdr:col>
          <xdr:colOff>47625</xdr:colOff>
          <xdr:row>31</xdr:row>
          <xdr:rowOff>304800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8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32</xdr:row>
          <xdr:rowOff>19050</xdr:rowOff>
        </xdr:from>
        <xdr:to>
          <xdr:col>14</xdr:col>
          <xdr:colOff>800100</xdr:colOff>
          <xdr:row>37</xdr:row>
          <xdr:rowOff>28575</xdr:rowOff>
        </xdr:to>
        <xdr:sp macro="" textlink="">
          <xdr:nvSpPr>
            <xdr:cNvPr id="28710" name="Group Box 38" hidden="1">
              <a:extLst>
                <a:ext uri="{63B3BB69-23CF-44E3-9099-C40C66FF867C}">
                  <a14:compatExt spid="_x0000_s28710"/>
                </a:ext>
                <a:ext uri="{FF2B5EF4-FFF2-40B4-BE49-F238E27FC236}">
                  <a16:creationId xmlns:a16="http://schemas.microsoft.com/office/drawing/2014/main" id="{00000000-0008-0000-1800-00002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32</xdr:row>
          <xdr:rowOff>66675</xdr:rowOff>
        </xdr:from>
        <xdr:to>
          <xdr:col>4</xdr:col>
          <xdr:colOff>47625</xdr:colOff>
          <xdr:row>33</xdr:row>
          <xdr:rowOff>28575</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8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33</xdr:row>
          <xdr:rowOff>352425</xdr:rowOff>
        </xdr:from>
        <xdr:to>
          <xdr:col>4</xdr:col>
          <xdr:colOff>47625</xdr:colOff>
          <xdr:row>33</xdr:row>
          <xdr:rowOff>571500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8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34</xdr:row>
          <xdr:rowOff>514350</xdr:rowOff>
        </xdr:from>
        <xdr:to>
          <xdr:col>4</xdr:col>
          <xdr:colOff>47625</xdr:colOff>
          <xdr:row>34</xdr:row>
          <xdr:rowOff>733425</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8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35</xdr:row>
          <xdr:rowOff>514350</xdr:rowOff>
        </xdr:from>
        <xdr:to>
          <xdr:col>4</xdr:col>
          <xdr:colOff>47625</xdr:colOff>
          <xdr:row>35</xdr:row>
          <xdr:rowOff>733425</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8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36</xdr:row>
          <xdr:rowOff>514350</xdr:rowOff>
        </xdr:from>
        <xdr:to>
          <xdr:col>4</xdr:col>
          <xdr:colOff>47625</xdr:colOff>
          <xdr:row>36</xdr:row>
          <xdr:rowOff>733425</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8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38</xdr:row>
          <xdr:rowOff>28575</xdr:rowOff>
        </xdr:from>
        <xdr:to>
          <xdr:col>14</xdr:col>
          <xdr:colOff>800100</xdr:colOff>
          <xdr:row>42</xdr:row>
          <xdr:rowOff>47625</xdr:rowOff>
        </xdr:to>
        <xdr:sp macro="" textlink="">
          <xdr:nvSpPr>
            <xdr:cNvPr id="28716" name="Group Box 44" hidden="1">
              <a:extLst>
                <a:ext uri="{63B3BB69-23CF-44E3-9099-C40C66FF867C}">
                  <a14:compatExt spid="_x0000_s28716"/>
                </a:ext>
                <a:ext uri="{FF2B5EF4-FFF2-40B4-BE49-F238E27FC236}">
                  <a16:creationId xmlns:a16="http://schemas.microsoft.com/office/drawing/2014/main" id="{00000000-0008-0000-1800-00002C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38</xdr:row>
          <xdr:rowOff>76200</xdr:rowOff>
        </xdr:from>
        <xdr:to>
          <xdr:col>4</xdr:col>
          <xdr:colOff>47625</xdr:colOff>
          <xdr:row>39</xdr:row>
          <xdr:rowOff>38100</xdr:rowOff>
        </xdr:to>
        <xdr:sp macro="" textlink="">
          <xdr:nvSpPr>
            <xdr:cNvPr id="28717" name="Option Button 45" hidden="1">
              <a:extLst>
                <a:ext uri="{63B3BB69-23CF-44E3-9099-C40C66FF867C}">
                  <a14:compatExt spid="_x0000_s28717"/>
                </a:ext>
                <a:ext uri="{FF2B5EF4-FFF2-40B4-BE49-F238E27FC236}">
                  <a16:creationId xmlns:a16="http://schemas.microsoft.com/office/drawing/2014/main" id="{00000000-0008-0000-18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39</xdr:row>
          <xdr:rowOff>57150</xdr:rowOff>
        </xdr:from>
        <xdr:to>
          <xdr:col>4</xdr:col>
          <xdr:colOff>47625</xdr:colOff>
          <xdr:row>40</xdr:row>
          <xdr:rowOff>9525</xdr:rowOff>
        </xdr:to>
        <xdr:sp macro="" textlink="">
          <xdr:nvSpPr>
            <xdr:cNvPr id="28718" name="Option Button 46" hidden="1">
              <a:extLst>
                <a:ext uri="{63B3BB69-23CF-44E3-9099-C40C66FF867C}">
                  <a14:compatExt spid="_x0000_s28718"/>
                </a:ext>
                <a:ext uri="{FF2B5EF4-FFF2-40B4-BE49-F238E27FC236}">
                  <a16:creationId xmlns:a16="http://schemas.microsoft.com/office/drawing/2014/main" id="{00000000-0008-0000-18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40</xdr:row>
          <xdr:rowOff>57150</xdr:rowOff>
        </xdr:from>
        <xdr:to>
          <xdr:col>4</xdr:col>
          <xdr:colOff>47625</xdr:colOff>
          <xdr:row>41</xdr:row>
          <xdr:rowOff>9525</xdr:rowOff>
        </xdr:to>
        <xdr:sp macro="" textlink="">
          <xdr:nvSpPr>
            <xdr:cNvPr id="28719" name="Option Button 47" hidden="1">
              <a:extLst>
                <a:ext uri="{63B3BB69-23CF-44E3-9099-C40C66FF867C}">
                  <a14:compatExt spid="_x0000_s28719"/>
                </a:ext>
                <a:ext uri="{FF2B5EF4-FFF2-40B4-BE49-F238E27FC236}">
                  <a16:creationId xmlns:a16="http://schemas.microsoft.com/office/drawing/2014/main" id="{00000000-0008-0000-18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41</xdr:row>
          <xdr:rowOff>57150</xdr:rowOff>
        </xdr:from>
        <xdr:to>
          <xdr:col>4</xdr:col>
          <xdr:colOff>47625</xdr:colOff>
          <xdr:row>42</xdr:row>
          <xdr:rowOff>9525</xdr:rowOff>
        </xdr:to>
        <xdr:sp macro="" textlink="">
          <xdr:nvSpPr>
            <xdr:cNvPr id="28720" name="Option Button 48" hidden="1">
              <a:extLst>
                <a:ext uri="{63B3BB69-23CF-44E3-9099-C40C66FF867C}">
                  <a14:compatExt spid="_x0000_s28720"/>
                </a:ext>
                <a:ext uri="{FF2B5EF4-FFF2-40B4-BE49-F238E27FC236}">
                  <a16:creationId xmlns:a16="http://schemas.microsoft.com/office/drawing/2014/main" id="{00000000-0008-0000-18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42</xdr:row>
          <xdr:rowOff>47625</xdr:rowOff>
        </xdr:from>
        <xdr:to>
          <xdr:col>14</xdr:col>
          <xdr:colOff>800100</xdr:colOff>
          <xdr:row>47</xdr:row>
          <xdr:rowOff>57150</xdr:rowOff>
        </xdr:to>
        <xdr:sp macro="" textlink="">
          <xdr:nvSpPr>
            <xdr:cNvPr id="28721" name="Group Box 49" hidden="1">
              <a:extLst>
                <a:ext uri="{63B3BB69-23CF-44E3-9099-C40C66FF867C}">
                  <a14:compatExt spid="_x0000_s28721"/>
                </a:ext>
                <a:ext uri="{FF2B5EF4-FFF2-40B4-BE49-F238E27FC236}">
                  <a16:creationId xmlns:a16="http://schemas.microsoft.com/office/drawing/2014/main" id="{00000000-0008-0000-1800-000031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42</xdr:row>
          <xdr:rowOff>95250</xdr:rowOff>
        </xdr:from>
        <xdr:to>
          <xdr:col>4</xdr:col>
          <xdr:colOff>47625</xdr:colOff>
          <xdr:row>43</xdr:row>
          <xdr:rowOff>47625</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8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43</xdr:row>
          <xdr:rowOff>209550</xdr:rowOff>
        </xdr:from>
        <xdr:to>
          <xdr:col>4</xdr:col>
          <xdr:colOff>47625</xdr:colOff>
          <xdr:row>43</xdr:row>
          <xdr:rowOff>428625</xdr:rowOff>
        </xdr:to>
        <xdr:sp macro="" textlink="">
          <xdr:nvSpPr>
            <xdr:cNvPr id="28723" name="Option Button 51" hidden="1">
              <a:extLst>
                <a:ext uri="{63B3BB69-23CF-44E3-9099-C40C66FF867C}">
                  <a14:compatExt spid="_x0000_s28723"/>
                </a:ext>
                <a:ext uri="{FF2B5EF4-FFF2-40B4-BE49-F238E27FC236}">
                  <a16:creationId xmlns:a16="http://schemas.microsoft.com/office/drawing/2014/main" id="{00000000-0008-0000-18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44</xdr:row>
          <xdr:rowOff>190500</xdr:rowOff>
        </xdr:from>
        <xdr:to>
          <xdr:col>4</xdr:col>
          <xdr:colOff>47625</xdr:colOff>
          <xdr:row>44</xdr:row>
          <xdr:rowOff>409575</xdr:rowOff>
        </xdr:to>
        <xdr:sp macro="" textlink="">
          <xdr:nvSpPr>
            <xdr:cNvPr id="28724" name="Option Button 52" hidden="1">
              <a:extLst>
                <a:ext uri="{63B3BB69-23CF-44E3-9099-C40C66FF867C}">
                  <a14:compatExt spid="_x0000_s28724"/>
                </a:ext>
                <a:ext uri="{FF2B5EF4-FFF2-40B4-BE49-F238E27FC236}">
                  <a16:creationId xmlns:a16="http://schemas.microsoft.com/office/drawing/2014/main" id="{00000000-0008-0000-18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45</xdr:row>
          <xdr:rowOff>142875</xdr:rowOff>
        </xdr:from>
        <xdr:to>
          <xdr:col>4</xdr:col>
          <xdr:colOff>47625</xdr:colOff>
          <xdr:row>45</xdr:row>
          <xdr:rowOff>361950</xdr:rowOff>
        </xdr:to>
        <xdr:sp macro="" textlink="">
          <xdr:nvSpPr>
            <xdr:cNvPr id="28725" name="Option Button 53" hidden="1">
              <a:extLst>
                <a:ext uri="{63B3BB69-23CF-44E3-9099-C40C66FF867C}">
                  <a14:compatExt spid="_x0000_s28725"/>
                </a:ext>
                <a:ext uri="{FF2B5EF4-FFF2-40B4-BE49-F238E27FC236}">
                  <a16:creationId xmlns:a16="http://schemas.microsoft.com/office/drawing/2014/main" id="{00000000-0008-0000-18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46</xdr:row>
          <xdr:rowOff>133350</xdr:rowOff>
        </xdr:from>
        <xdr:to>
          <xdr:col>4</xdr:col>
          <xdr:colOff>47625</xdr:colOff>
          <xdr:row>46</xdr:row>
          <xdr:rowOff>352425</xdr:rowOff>
        </xdr:to>
        <xdr:sp macro="" textlink="">
          <xdr:nvSpPr>
            <xdr:cNvPr id="28726" name="Option Button 54" hidden="1">
              <a:extLst>
                <a:ext uri="{63B3BB69-23CF-44E3-9099-C40C66FF867C}">
                  <a14:compatExt spid="_x0000_s28726"/>
                </a:ext>
                <a:ext uri="{FF2B5EF4-FFF2-40B4-BE49-F238E27FC236}">
                  <a16:creationId xmlns:a16="http://schemas.microsoft.com/office/drawing/2014/main" id="{00000000-0008-0000-18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47</xdr:row>
          <xdr:rowOff>57150</xdr:rowOff>
        </xdr:from>
        <xdr:to>
          <xdr:col>14</xdr:col>
          <xdr:colOff>800100</xdr:colOff>
          <xdr:row>50</xdr:row>
          <xdr:rowOff>57150</xdr:rowOff>
        </xdr:to>
        <xdr:sp macro="" textlink="">
          <xdr:nvSpPr>
            <xdr:cNvPr id="28727" name="Group Box 55" hidden="1">
              <a:extLst>
                <a:ext uri="{63B3BB69-23CF-44E3-9099-C40C66FF867C}">
                  <a14:compatExt spid="_x0000_s28727"/>
                </a:ext>
                <a:ext uri="{FF2B5EF4-FFF2-40B4-BE49-F238E27FC236}">
                  <a16:creationId xmlns:a16="http://schemas.microsoft.com/office/drawing/2014/main" id="{00000000-0008-0000-1800-00003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47</xdr:row>
          <xdr:rowOff>95250</xdr:rowOff>
        </xdr:from>
        <xdr:to>
          <xdr:col>4</xdr:col>
          <xdr:colOff>38100</xdr:colOff>
          <xdr:row>48</xdr:row>
          <xdr:rowOff>47625</xdr:rowOff>
        </xdr:to>
        <xdr:sp macro="" textlink="">
          <xdr:nvSpPr>
            <xdr:cNvPr id="28728" name="Option Button 56" hidden="1">
              <a:extLst>
                <a:ext uri="{63B3BB69-23CF-44E3-9099-C40C66FF867C}">
                  <a14:compatExt spid="_x0000_s28728"/>
                </a:ext>
                <a:ext uri="{FF2B5EF4-FFF2-40B4-BE49-F238E27FC236}">
                  <a16:creationId xmlns:a16="http://schemas.microsoft.com/office/drawing/2014/main" id="{00000000-0008-0000-18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48</xdr:row>
          <xdr:rowOff>133350</xdr:rowOff>
        </xdr:from>
        <xdr:to>
          <xdr:col>4</xdr:col>
          <xdr:colOff>38100</xdr:colOff>
          <xdr:row>49</xdr:row>
          <xdr:rowOff>9525</xdr:rowOff>
        </xdr:to>
        <xdr:sp macro="" textlink="">
          <xdr:nvSpPr>
            <xdr:cNvPr id="28729" name="Option Button 57" hidden="1">
              <a:extLst>
                <a:ext uri="{63B3BB69-23CF-44E3-9099-C40C66FF867C}">
                  <a14:compatExt spid="_x0000_s28729"/>
                </a:ext>
                <a:ext uri="{FF2B5EF4-FFF2-40B4-BE49-F238E27FC236}">
                  <a16:creationId xmlns:a16="http://schemas.microsoft.com/office/drawing/2014/main" id="{00000000-0008-0000-18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49</xdr:row>
          <xdr:rowOff>104775</xdr:rowOff>
        </xdr:from>
        <xdr:to>
          <xdr:col>4</xdr:col>
          <xdr:colOff>38100</xdr:colOff>
          <xdr:row>49</xdr:row>
          <xdr:rowOff>323850</xdr:rowOff>
        </xdr:to>
        <xdr:sp macro="" textlink="">
          <xdr:nvSpPr>
            <xdr:cNvPr id="28730" name="Option Button 58" hidden="1">
              <a:extLst>
                <a:ext uri="{63B3BB69-23CF-44E3-9099-C40C66FF867C}">
                  <a14:compatExt spid="_x0000_s28730"/>
                </a:ext>
                <a:ext uri="{FF2B5EF4-FFF2-40B4-BE49-F238E27FC236}">
                  <a16:creationId xmlns:a16="http://schemas.microsoft.com/office/drawing/2014/main" id="{00000000-0008-0000-18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50</xdr:row>
          <xdr:rowOff>57150</xdr:rowOff>
        </xdr:from>
        <xdr:to>
          <xdr:col>14</xdr:col>
          <xdr:colOff>800100</xdr:colOff>
          <xdr:row>57</xdr:row>
          <xdr:rowOff>57150</xdr:rowOff>
        </xdr:to>
        <xdr:sp macro="" textlink="">
          <xdr:nvSpPr>
            <xdr:cNvPr id="28731" name="Group Box 59" hidden="1">
              <a:extLst>
                <a:ext uri="{63B3BB69-23CF-44E3-9099-C40C66FF867C}">
                  <a14:compatExt spid="_x0000_s28731"/>
                </a:ext>
                <a:ext uri="{FF2B5EF4-FFF2-40B4-BE49-F238E27FC236}">
                  <a16:creationId xmlns:a16="http://schemas.microsoft.com/office/drawing/2014/main" id="{00000000-0008-0000-1800-00003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50</xdr:row>
          <xdr:rowOff>95250</xdr:rowOff>
        </xdr:from>
        <xdr:to>
          <xdr:col>4</xdr:col>
          <xdr:colOff>28575</xdr:colOff>
          <xdr:row>51</xdr:row>
          <xdr:rowOff>47625</xdr:rowOff>
        </xdr:to>
        <xdr:sp macro="" textlink="">
          <xdr:nvSpPr>
            <xdr:cNvPr id="28732" name="Option Button 60" hidden="1">
              <a:extLst>
                <a:ext uri="{63B3BB69-23CF-44E3-9099-C40C66FF867C}">
                  <a14:compatExt spid="_x0000_s28732"/>
                </a:ext>
                <a:ext uri="{FF2B5EF4-FFF2-40B4-BE49-F238E27FC236}">
                  <a16:creationId xmlns:a16="http://schemas.microsoft.com/office/drawing/2014/main" id="{00000000-0008-0000-18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52</xdr:row>
          <xdr:rowOff>76200</xdr:rowOff>
        </xdr:from>
        <xdr:to>
          <xdr:col>6</xdr:col>
          <xdr:colOff>238125</xdr:colOff>
          <xdr:row>53</xdr:row>
          <xdr:rowOff>28575</xdr:rowOff>
        </xdr:to>
        <xdr:sp macro="" textlink="">
          <xdr:nvSpPr>
            <xdr:cNvPr id="28733" name="Option Button 61" hidden="1">
              <a:extLst>
                <a:ext uri="{63B3BB69-23CF-44E3-9099-C40C66FF867C}">
                  <a14:compatExt spid="_x0000_s28733"/>
                </a:ext>
                <a:ext uri="{FF2B5EF4-FFF2-40B4-BE49-F238E27FC236}">
                  <a16:creationId xmlns:a16="http://schemas.microsoft.com/office/drawing/2014/main" id="{00000000-0008-0000-18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52</xdr:row>
          <xdr:rowOff>76200</xdr:rowOff>
        </xdr:from>
        <xdr:to>
          <xdr:col>10</xdr:col>
          <xdr:colOff>161925</xdr:colOff>
          <xdr:row>53</xdr:row>
          <xdr:rowOff>28575</xdr:rowOff>
        </xdr:to>
        <xdr:sp macro="" textlink="">
          <xdr:nvSpPr>
            <xdr:cNvPr id="28734" name="Option Button 62" hidden="1">
              <a:extLst>
                <a:ext uri="{63B3BB69-23CF-44E3-9099-C40C66FF867C}">
                  <a14:compatExt spid="_x0000_s28734"/>
                </a:ext>
                <a:ext uri="{FF2B5EF4-FFF2-40B4-BE49-F238E27FC236}">
                  <a16:creationId xmlns:a16="http://schemas.microsoft.com/office/drawing/2014/main" id="{00000000-0008-0000-18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52</xdr:row>
          <xdr:rowOff>76200</xdr:rowOff>
        </xdr:from>
        <xdr:to>
          <xdr:col>14</xdr:col>
          <xdr:colOff>19050</xdr:colOff>
          <xdr:row>53</xdr:row>
          <xdr:rowOff>28575</xdr:rowOff>
        </xdr:to>
        <xdr:sp macro="" textlink="">
          <xdr:nvSpPr>
            <xdr:cNvPr id="28735" name="Option Button 63" hidden="1">
              <a:extLst>
                <a:ext uri="{63B3BB69-23CF-44E3-9099-C40C66FF867C}">
                  <a14:compatExt spid="_x0000_s28735"/>
                </a:ext>
                <a:ext uri="{FF2B5EF4-FFF2-40B4-BE49-F238E27FC236}">
                  <a16:creationId xmlns:a16="http://schemas.microsoft.com/office/drawing/2014/main" id="{00000000-0008-0000-18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54</xdr:row>
          <xdr:rowOff>76200</xdr:rowOff>
        </xdr:from>
        <xdr:to>
          <xdr:col>6</xdr:col>
          <xdr:colOff>238125</xdr:colOff>
          <xdr:row>55</xdr:row>
          <xdr:rowOff>28575</xdr:rowOff>
        </xdr:to>
        <xdr:sp macro="" textlink="">
          <xdr:nvSpPr>
            <xdr:cNvPr id="28736" name="Option Button 64" hidden="1">
              <a:extLst>
                <a:ext uri="{63B3BB69-23CF-44E3-9099-C40C66FF867C}">
                  <a14:compatExt spid="_x0000_s28736"/>
                </a:ext>
                <a:ext uri="{FF2B5EF4-FFF2-40B4-BE49-F238E27FC236}">
                  <a16:creationId xmlns:a16="http://schemas.microsoft.com/office/drawing/2014/main" id="{00000000-0008-0000-18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54</xdr:row>
          <xdr:rowOff>76200</xdr:rowOff>
        </xdr:from>
        <xdr:to>
          <xdr:col>10</xdr:col>
          <xdr:colOff>161925</xdr:colOff>
          <xdr:row>55</xdr:row>
          <xdr:rowOff>28575</xdr:rowOff>
        </xdr:to>
        <xdr:sp macro="" textlink="">
          <xdr:nvSpPr>
            <xdr:cNvPr id="28737" name="Option Button 65" hidden="1">
              <a:extLst>
                <a:ext uri="{63B3BB69-23CF-44E3-9099-C40C66FF867C}">
                  <a14:compatExt spid="_x0000_s28737"/>
                </a:ext>
                <a:ext uri="{FF2B5EF4-FFF2-40B4-BE49-F238E27FC236}">
                  <a16:creationId xmlns:a16="http://schemas.microsoft.com/office/drawing/2014/main" id="{00000000-0008-0000-18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54</xdr:row>
          <xdr:rowOff>76200</xdr:rowOff>
        </xdr:from>
        <xdr:to>
          <xdr:col>14</xdr:col>
          <xdr:colOff>19050</xdr:colOff>
          <xdr:row>55</xdr:row>
          <xdr:rowOff>28575</xdr:rowOff>
        </xdr:to>
        <xdr:sp macro="" textlink="">
          <xdr:nvSpPr>
            <xdr:cNvPr id="28738" name="Option Button 66" hidden="1">
              <a:extLst>
                <a:ext uri="{63B3BB69-23CF-44E3-9099-C40C66FF867C}">
                  <a14:compatExt spid="_x0000_s28738"/>
                </a:ext>
                <a:ext uri="{FF2B5EF4-FFF2-40B4-BE49-F238E27FC236}">
                  <a16:creationId xmlns:a16="http://schemas.microsoft.com/office/drawing/2014/main" id="{00000000-0008-0000-18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56</xdr:row>
          <xdr:rowOff>66675</xdr:rowOff>
        </xdr:from>
        <xdr:to>
          <xdr:col>6</xdr:col>
          <xdr:colOff>238125</xdr:colOff>
          <xdr:row>57</xdr:row>
          <xdr:rowOff>19050</xdr:rowOff>
        </xdr:to>
        <xdr:sp macro="" textlink="">
          <xdr:nvSpPr>
            <xdr:cNvPr id="28739" name="Option Button 67" hidden="1">
              <a:extLst>
                <a:ext uri="{63B3BB69-23CF-44E3-9099-C40C66FF867C}">
                  <a14:compatExt spid="_x0000_s28739"/>
                </a:ext>
                <a:ext uri="{FF2B5EF4-FFF2-40B4-BE49-F238E27FC236}">
                  <a16:creationId xmlns:a16="http://schemas.microsoft.com/office/drawing/2014/main" id="{00000000-0008-0000-18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114300</xdr:colOff>
          <xdr:row>56</xdr:row>
          <xdr:rowOff>66675</xdr:rowOff>
        </xdr:from>
        <xdr:to>
          <xdr:col>10</xdr:col>
          <xdr:colOff>161925</xdr:colOff>
          <xdr:row>57</xdr:row>
          <xdr:rowOff>19050</xdr:rowOff>
        </xdr:to>
        <xdr:sp macro="" textlink="">
          <xdr:nvSpPr>
            <xdr:cNvPr id="28740" name="Option Button 68" hidden="1">
              <a:extLst>
                <a:ext uri="{63B3BB69-23CF-44E3-9099-C40C66FF867C}">
                  <a14:compatExt spid="_x0000_s28740"/>
                </a:ext>
                <a:ext uri="{FF2B5EF4-FFF2-40B4-BE49-F238E27FC236}">
                  <a16:creationId xmlns:a16="http://schemas.microsoft.com/office/drawing/2014/main" id="{00000000-0008-0000-18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56</xdr:row>
          <xdr:rowOff>66675</xdr:rowOff>
        </xdr:from>
        <xdr:to>
          <xdr:col>14</xdr:col>
          <xdr:colOff>19050</xdr:colOff>
          <xdr:row>57</xdr:row>
          <xdr:rowOff>19050</xdr:rowOff>
        </xdr:to>
        <xdr:sp macro="" textlink="">
          <xdr:nvSpPr>
            <xdr:cNvPr id="28741" name="Option Button 69" hidden="1">
              <a:extLst>
                <a:ext uri="{63B3BB69-23CF-44E3-9099-C40C66FF867C}">
                  <a14:compatExt spid="_x0000_s28741"/>
                </a:ext>
                <a:ext uri="{FF2B5EF4-FFF2-40B4-BE49-F238E27FC236}">
                  <a16:creationId xmlns:a16="http://schemas.microsoft.com/office/drawing/2014/main" id="{00000000-0008-0000-18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57</xdr:row>
          <xdr:rowOff>19050</xdr:rowOff>
        </xdr:from>
        <xdr:to>
          <xdr:col>14</xdr:col>
          <xdr:colOff>800100</xdr:colOff>
          <xdr:row>61</xdr:row>
          <xdr:rowOff>9525</xdr:rowOff>
        </xdr:to>
        <xdr:sp macro="" textlink="">
          <xdr:nvSpPr>
            <xdr:cNvPr id="28742" name="Group Box 70" hidden="1">
              <a:extLst>
                <a:ext uri="{63B3BB69-23CF-44E3-9099-C40C66FF867C}">
                  <a14:compatExt spid="_x0000_s28742"/>
                </a:ext>
                <a:ext uri="{FF2B5EF4-FFF2-40B4-BE49-F238E27FC236}">
                  <a16:creationId xmlns:a16="http://schemas.microsoft.com/office/drawing/2014/main" id="{00000000-0008-0000-1800-00004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57</xdr:row>
          <xdr:rowOff>104775</xdr:rowOff>
        </xdr:from>
        <xdr:to>
          <xdr:col>4</xdr:col>
          <xdr:colOff>38100</xdr:colOff>
          <xdr:row>58</xdr:row>
          <xdr:rowOff>66675</xdr:rowOff>
        </xdr:to>
        <xdr:sp macro="" textlink="">
          <xdr:nvSpPr>
            <xdr:cNvPr id="28743" name="Option Button 71" hidden="1">
              <a:extLst>
                <a:ext uri="{63B3BB69-23CF-44E3-9099-C40C66FF867C}">
                  <a14:compatExt spid="_x0000_s28743"/>
                </a:ext>
                <a:ext uri="{FF2B5EF4-FFF2-40B4-BE49-F238E27FC236}">
                  <a16:creationId xmlns:a16="http://schemas.microsoft.com/office/drawing/2014/main" id="{00000000-0008-0000-18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58</xdr:row>
          <xdr:rowOff>466725</xdr:rowOff>
        </xdr:from>
        <xdr:to>
          <xdr:col>4</xdr:col>
          <xdr:colOff>38100</xdr:colOff>
          <xdr:row>58</xdr:row>
          <xdr:rowOff>685800</xdr:rowOff>
        </xdr:to>
        <xdr:sp macro="" textlink="">
          <xdr:nvSpPr>
            <xdr:cNvPr id="28744" name="Option Button 72" hidden="1">
              <a:extLst>
                <a:ext uri="{63B3BB69-23CF-44E3-9099-C40C66FF867C}">
                  <a14:compatExt spid="_x0000_s28744"/>
                </a:ext>
                <a:ext uri="{FF2B5EF4-FFF2-40B4-BE49-F238E27FC236}">
                  <a16:creationId xmlns:a16="http://schemas.microsoft.com/office/drawing/2014/main" id="{00000000-0008-0000-18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59</xdr:row>
          <xdr:rowOff>247650</xdr:rowOff>
        </xdr:from>
        <xdr:to>
          <xdr:col>4</xdr:col>
          <xdr:colOff>38100</xdr:colOff>
          <xdr:row>59</xdr:row>
          <xdr:rowOff>466725</xdr:rowOff>
        </xdr:to>
        <xdr:sp macro="" textlink="">
          <xdr:nvSpPr>
            <xdr:cNvPr id="28745" name="Option Button 73" hidden="1">
              <a:extLst>
                <a:ext uri="{63B3BB69-23CF-44E3-9099-C40C66FF867C}">
                  <a14:compatExt spid="_x0000_s28745"/>
                </a:ext>
                <a:ext uri="{FF2B5EF4-FFF2-40B4-BE49-F238E27FC236}">
                  <a16:creationId xmlns:a16="http://schemas.microsoft.com/office/drawing/2014/main" id="{00000000-0008-0000-18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60</xdr:row>
          <xdr:rowOff>400050</xdr:rowOff>
        </xdr:from>
        <xdr:to>
          <xdr:col>4</xdr:col>
          <xdr:colOff>38100</xdr:colOff>
          <xdr:row>60</xdr:row>
          <xdr:rowOff>619125</xdr:rowOff>
        </xdr:to>
        <xdr:sp macro="" textlink="">
          <xdr:nvSpPr>
            <xdr:cNvPr id="28746" name="Option Button 74" hidden="1">
              <a:extLst>
                <a:ext uri="{63B3BB69-23CF-44E3-9099-C40C66FF867C}">
                  <a14:compatExt spid="_x0000_s28746"/>
                </a:ext>
                <a:ext uri="{FF2B5EF4-FFF2-40B4-BE49-F238E27FC236}">
                  <a16:creationId xmlns:a16="http://schemas.microsoft.com/office/drawing/2014/main" id="{00000000-0008-0000-18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3</xdr:row>
          <xdr:rowOff>0</xdr:rowOff>
        </xdr:from>
        <xdr:to>
          <xdr:col>14</xdr:col>
          <xdr:colOff>819150</xdr:colOff>
          <xdr:row>7</xdr:row>
          <xdr:rowOff>0</xdr:rowOff>
        </xdr:to>
        <xdr:sp macro="" textlink="">
          <xdr:nvSpPr>
            <xdr:cNvPr id="27649" name="Group Box 1" hidden="1">
              <a:extLst>
                <a:ext uri="{63B3BB69-23CF-44E3-9099-C40C66FF867C}">
                  <a14:compatExt spid="_x0000_s27649"/>
                </a:ext>
                <a:ext uri="{FF2B5EF4-FFF2-40B4-BE49-F238E27FC236}">
                  <a16:creationId xmlns:a16="http://schemas.microsoft.com/office/drawing/2014/main" id="{00000000-0008-0000-1900-000001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3</xdr:row>
          <xdr:rowOff>38100</xdr:rowOff>
        </xdr:from>
        <xdr:to>
          <xdr:col>4</xdr:col>
          <xdr:colOff>28575</xdr:colOff>
          <xdr:row>3</xdr:row>
          <xdr:rowOff>257175</xdr:rowOff>
        </xdr:to>
        <xdr:sp macro="" textlink="">
          <xdr:nvSpPr>
            <xdr:cNvPr id="27650" name="Option Button 2" hidden="1">
              <a:extLst>
                <a:ext uri="{63B3BB69-23CF-44E3-9099-C40C66FF867C}">
                  <a14:compatExt spid="_x0000_s27650"/>
                </a:ext>
                <a:ext uri="{FF2B5EF4-FFF2-40B4-BE49-F238E27FC236}">
                  <a16:creationId xmlns:a16="http://schemas.microsoft.com/office/drawing/2014/main" id="{00000000-0008-0000-19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xdr:row>
          <xdr:rowOff>47625</xdr:rowOff>
        </xdr:from>
        <xdr:to>
          <xdr:col>4</xdr:col>
          <xdr:colOff>28575</xdr:colOff>
          <xdr:row>4</xdr:row>
          <xdr:rowOff>266700</xdr:rowOff>
        </xdr:to>
        <xdr:sp macro="" textlink="">
          <xdr:nvSpPr>
            <xdr:cNvPr id="27651" name="Option Button 3" hidden="1">
              <a:extLst>
                <a:ext uri="{63B3BB69-23CF-44E3-9099-C40C66FF867C}">
                  <a14:compatExt spid="_x0000_s27651"/>
                </a:ext>
                <a:ext uri="{FF2B5EF4-FFF2-40B4-BE49-F238E27FC236}">
                  <a16:creationId xmlns:a16="http://schemas.microsoft.com/office/drawing/2014/main" id="{00000000-0008-0000-19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xdr:row>
          <xdr:rowOff>47625</xdr:rowOff>
        </xdr:from>
        <xdr:to>
          <xdr:col>4</xdr:col>
          <xdr:colOff>28575</xdr:colOff>
          <xdr:row>5</xdr:row>
          <xdr:rowOff>266700</xdr:rowOff>
        </xdr:to>
        <xdr:sp macro="" textlink="">
          <xdr:nvSpPr>
            <xdr:cNvPr id="27652" name="Option Button 4" hidden="1">
              <a:extLst>
                <a:ext uri="{63B3BB69-23CF-44E3-9099-C40C66FF867C}">
                  <a14:compatExt spid="_x0000_s27652"/>
                </a:ext>
                <a:ext uri="{FF2B5EF4-FFF2-40B4-BE49-F238E27FC236}">
                  <a16:creationId xmlns:a16="http://schemas.microsoft.com/office/drawing/2014/main" id="{00000000-0008-0000-19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6</xdr:row>
          <xdr:rowOff>47625</xdr:rowOff>
        </xdr:from>
        <xdr:to>
          <xdr:col>4</xdr:col>
          <xdr:colOff>28575</xdr:colOff>
          <xdr:row>6</xdr:row>
          <xdr:rowOff>266700</xdr:rowOff>
        </xdr:to>
        <xdr:sp macro="" textlink="">
          <xdr:nvSpPr>
            <xdr:cNvPr id="27653" name="Option Button 5" hidden="1">
              <a:extLst>
                <a:ext uri="{63B3BB69-23CF-44E3-9099-C40C66FF867C}">
                  <a14:compatExt spid="_x0000_s27653"/>
                </a:ext>
                <a:ext uri="{FF2B5EF4-FFF2-40B4-BE49-F238E27FC236}">
                  <a16:creationId xmlns:a16="http://schemas.microsoft.com/office/drawing/2014/main" id="{00000000-0008-0000-19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xdr:row>
          <xdr:rowOff>0</xdr:rowOff>
        </xdr:from>
        <xdr:to>
          <xdr:col>14</xdr:col>
          <xdr:colOff>819150</xdr:colOff>
          <xdr:row>10</xdr:row>
          <xdr:rowOff>0</xdr:rowOff>
        </xdr:to>
        <xdr:sp macro="" textlink="">
          <xdr:nvSpPr>
            <xdr:cNvPr id="27654" name="Group Box 6" hidden="1">
              <a:extLst>
                <a:ext uri="{63B3BB69-23CF-44E3-9099-C40C66FF867C}">
                  <a14:compatExt spid="_x0000_s27654"/>
                </a:ext>
                <a:ext uri="{FF2B5EF4-FFF2-40B4-BE49-F238E27FC236}">
                  <a16:creationId xmlns:a16="http://schemas.microsoft.com/office/drawing/2014/main" id="{00000000-0008-0000-1900-00000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7</xdr:row>
          <xdr:rowOff>47625</xdr:rowOff>
        </xdr:from>
        <xdr:to>
          <xdr:col>4</xdr:col>
          <xdr:colOff>38100</xdr:colOff>
          <xdr:row>8</xdr:row>
          <xdr:rowOff>0</xdr:rowOff>
        </xdr:to>
        <xdr:sp macro="" textlink="">
          <xdr:nvSpPr>
            <xdr:cNvPr id="27655" name="Option Button 7" hidden="1">
              <a:extLst>
                <a:ext uri="{63B3BB69-23CF-44E3-9099-C40C66FF867C}">
                  <a14:compatExt spid="_x0000_s27655"/>
                </a:ext>
                <a:ext uri="{FF2B5EF4-FFF2-40B4-BE49-F238E27FC236}">
                  <a16:creationId xmlns:a16="http://schemas.microsoft.com/office/drawing/2014/main" id="{00000000-0008-0000-19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8</xdr:row>
          <xdr:rowOff>323850</xdr:rowOff>
        </xdr:from>
        <xdr:to>
          <xdr:col>4</xdr:col>
          <xdr:colOff>38100</xdr:colOff>
          <xdr:row>8</xdr:row>
          <xdr:rowOff>542925</xdr:rowOff>
        </xdr:to>
        <xdr:sp macro="" textlink="">
          <xdr:nvSpPr>
            <xdr:cNvPr id="27656" name="Option Button 8" hidden="1">
              <a:extLst>
                <a:ext uri="{63B3BB69-23CF-44E3-9099-C40C66FF867C}">
                  <a14:compatExt spid="_x0000_s27656"/>
                </a:ext>
                <a:ext uri="{FF2B5EF4-FFF2-40B4-BE49-F238E27FC236}">
                  <a16:creationId xmlns:a16="http://schemas.microsoft.com/office/drawing/2014/main" id="{00000000-0008-0000-19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9</xdr:row>
          <xdr:rowOff>400050</xdr:rowOff>
        </xdr:from>
        <xdr:to>
          <xdr:col>4</xdr:col>
          <xdr:colOff>38100</xdr:colOff>
          <xdr:row>9</xdr:row>
          <xdr:rowOff>619125</xdr:rowOff>
        </xdr:to>
        <xdr:sp macro="" textlink="">
          <xdr:nvSpPr>
            <xdr:cNvPr id="27657" name="Option Button 9" hidden="1">
              <a:extLst>
                <a:ext uri="{63B3BB69-23CF-44E3-9099-C40C66FF867C}">
                  <a14:compatExt spid="_x0000_s27657"/>
                </a:ext>
                <a:ext uri="{FF2B5EF4-FFF2-40B4-BE49-F238E27FC236}">
                  <a16:creationId xmlns:a16="http://schemas.microsoft.com/office/drawing/2014/main" id="{00000000-0008-0000-19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xdr:row>
          <xdr:rowOff>0</xdr:rowOff>
        </xdr:from>
        <xdr:to>
          <xdr:col>14</xdr:col>
          <xdr:colOff>819150</xdr:colOff>
          <xdr:row>13</xdr:row>
          <xdr:rowOff>333375</xdr:rowOff>
        </xdr:to>
        <xdr:sp macro="" textlink="">
          <xdr:nvSpPr>
            <xdr:cNvPr id="27658" name="Group Box 10" hidden="1">
              <a:extLst>
                <a:ext uri="{63B3BB69-23CF-44E3-9099-C40C66FF867C}">
                  <a14:compatExt spid="_x0000_s27658"/>
                </a:ext>
                <a:ext uri="{FF2B5EF4-FFF2-40B4-BE49-F238E27FC236}">
                  <a16:creationId xmlns:a16="http://schemas.microsoft.com/office/drawing/2014/main" id="{00000000-0008-0000-1900-00000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10</xdr:row>
          <xdr:rowOff>38100</xdr:rowOff>
        </xdr:from>
        <xdr:to>
          <xdr:col>4</xdr:col>
          <xdr:colOff>47625</xdr:colOff>
          <xdr:row>10</xdr:row>
          <xdr:rowOff>257175</xdr:rowOff>
        </xdr:to>
        <xdr:sp macro="" textlink="">
          <xdr:nvSpPr>
            <xdr:cNvPr id="27659" name="Option Button 11" hidden="1">
              <a:extLst>
                <a:ext uri="{63B3BB69-23CF-44E3-9099-C40C66FF867C}">
                  <a14:compatExt spid="_x0000_s27659"/>
                </a:ext>
                <a:ext uri="{FF2B5EF4-FFF2-40B4-BE49-F238E27FC236}">
                  <a16:creationId xmlns:a16="http://schemas.microsoft.com/office/drawing/2014/main" id="{00000000-0008-0000-19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11</xdr:row>
          <xdr:rowOff>28575</xdr:rowOff>
        </xdr:from>
        <xdr:to>
          <xdr:col>4</xdr:col>
          <xdr:colOff>47625</xdr:colOff>
          <xdr:row>11</xdr:row>
          <xdr:rowOff>247650</xdr:rowOff>
        </xdr:to>
        <xdr:sp macro="" textlink="">
          <xdr:nvSpPr>
            <xdr:cNvPr id="27660" name="Option Button 12" hidden="1">
              <a:extLst>
                <a:ext uri="{63B3BB69-23CF-44E3-9099-C40C66FF867C}">
                  <a14:compatExt spid="_x0000_s27660"/>
                </a:ext>
                <a:ext uri="{FF2B5EF4-FFF2-40B4-BE49-F238E27FC236}">
                  <a16:creationId xmlns:a16="http://schemas.microsoft.com/office/drawing/2014/main" id="{00000000-0008-0000-19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12</xdr:row>
          <xdr:rowOff>66675</xdr:rowOff>
        </xdr:from>
        <xdr:to>
          <xdr:col>4</xdr:col>
          <xdr:colOff>47625</xdr:colOff>
          <xdr:row>12</xdr:row>
          <xdr:rowOff>285750</xdr:rowOff>
        </xdr:to>
        <xdr:sp macro="" textlink="">
          <xdr:nvSpPr>
            <xdr:cNvPr id="27661" name="Option Button 13" hidden="1">
              <a:extLst>
                <a:ext uri="{63B3BB69-23CF-44E3-9099-C40C66FF867C}">
                  <a14:compatExt spid="_x0000_s27661"/>
                </a:ext>
                <a:ext uri="{FF2B5EF4-FFF2-40B4-BE49-F238E27FC236}">
                  <a16:creationId xmlns:a16="http://schemas.microsoft.com/office/drawing/2014/main" id="{00000000-0008-0000-19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13</xdr:row>
          <xdr:rowOff>9525</xdr:rowOff>
        </xdr:from>
        <xdr:to>
          <xdr:col>4</xdr:col>
          <xdr:colOff>47625</xdr:colOff>
          <xdr:row>13</xdr:row>
          <xdr:rowOff>228600</xdr:rowOff>
        </xdr:to>
        <xdr:sp macro="" textlink="">
          <xdr:nvSpPr>
            <xdr:cNvPr id="27662" name="Option Button 14" hidden="1">
              <a:extLst>
                <a:ext uri="{63B3BB69-23CF-44E3-9099-C40C66FF867C}">
                  <a14:compatExt spid="_x0000_s27662"/>
                </a:ext>
                <a:ext uri="{FF2B5EF4-FFF2-40B4-BE49-F238E27FC236}">
                  <a16:creationId xmlns:a16="http://schemas.microsoft.com/office/drawing/2014/main" id="{00000000-0008-0000-19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14</xdr:row>
          <xdr:rowOff>9525</xdr:rowOff>
        </xdr:from>
        <xdr:to>
          <xdr:col>14</xdr:col>
          <xdr:colOff>819150</xdr:colOff>
          <xdr:row>17</xdr:row>
          <xdr:rowOff>9525</xdr:rowOff>
        </xdr:to>
        <xdr:sp macro="" textlink="">
          <xdr:nvSpPr>
            <xdr:cNvPr id="27663" name="Group Box 15" hidden="1">
              <a:extLst>
                <a:ext uri="{63B3BB69-23CF-44E3-9099-C40C66FF867C}">
                  <a14:compatExt spid="_x0000_s27663"/>
                </a:ext>
                <a:ext uri="{FF2B5EF4-FFF2-40B4-BE49-F238E27FC236}">
                  <a16:creationId xmlns:a16="http://schemas.microsoft.com/office/drawing/2014/main" id="{00000000-0008-0000-1900-00000F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14</xdr:row>
          <xdr:rowOff>57150</xdr:rowOff>
        </xdr:from>
        <xdr:to>
          <xdr:col>4</xdr:col>
          <xdr:colOff>38100</xdr:colOff>
          <xdr:row>15</xdr:row>
          <xdr:rowOff>9525</xdr:rowOff>
        </xdr:to>
        <xdr:sp macro="" textlink="">
          <xdr:nvSpPr>
            <xdr:cNvPr id="27664" name="Option Button 16" hidden="1">
              <a:extLst>
                <a:ext uri="{63B3BB69-23CF-44E3-9099-C40C66FF867C}">
                  <a14:compatExt spid="_x0000_s27664"/>
                </a:ext>
                <a:ext uri="{FF2B5EF4-FFF2-40B4-BE49-F238E27FC236}">
                  <a16:creationId xmlns:a16="http://schemas.microsoft.com/office/drawing/2014/main" id="{00000000-0008-0000-19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15</xdr:row>
          <xdr:rowOff>47625</xdr:rowOff>
        </xdr:from>
        <xdr:to>
          <xdr:col>4</xdr:col>
          <xdr:colOff>38100</xdr:colOff>
          <xdr:row>16</xdr:row>
          <xdr:rowOff>0</xdr:rowOff>
        </xdr:to>
        <xdr:sp macro="" textlink="">
          <xdr:nvSpPr>
            <xdr:cNvPr id="27665" name="Option Button 17" hidden="1">
              <a:extLst>
                <a:ext uri="{63B3BB69-23CF-44E3-9099-C40C66FF867C}">
                  <a14:compatExt spid="_x0000_s27665"/>
                </a:ext>
                <a:ext uri="{FF2B5EF4-FFF2-40B4-BE49-F238E27FC236}">
                  <a16:creationId xmlns:a16="http://schemas.microsoft.com/office/drawing/2014/main" id="{00000000-0008-0000-19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16</xdr:row>
          <xdr:rowOff>38100</xdr:rowOff>
        </xdr:from>
        <xdr:to>
          <xdr:col>4</xdr:col>
          <xdr:colOff>38100</xdr:colOff>
          <xdr:row>16</xdr:row>
          <xdr:rowOff>257175</xdr:rowOff>
        </xdr:to>
        <xdr:sp macro="" textlink="">
          <xdr:nvSpPr>
            <xdr:cNvPr id="27666" name="Option Button 18" hidden="1">
              <a:extLst>
                <a:ext uri="{63B3BB69-23CF-44E3-9099-C40C66FF867C}">
                  <a14:compatExt spid="_x0000_s27666"/>
                </a:ext>
                <a:ext uri="{FF2B5EF4-FFF2-40B4-BE49-F238E27FC236}">
                  <a16:creationId xmlns:a16="http://schemas.microsoft.com/office/drawing/2014/main" id="{00000000-0008-0000-19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17</xdr:row>
          <xdr:rowOff>9525</xdr:rowOff>
        </xdr:from>
        <xdr:to>
          <xdr:col>14</xdr:col>
          <xdr:colOff>819150</xdr:colOff>
          <xdr:row>20</xdr:row>
          <xdr:rowOff>333375</xdr:rowOff>
        </xdr:to>
        <xdr:sp macro="" textlink="">
          <xdr:nvSpPr>
            <xdr:cNvPr id="27667" name="Group Box 19" hidden="1">
              <a:extLst>
                <a:ext uri="{63B3BB69-23CF-44E3-9099-C40C66FF867C}">
                  <a14:compatExt spid="_x0000_s27667"/>
                </a:ext>
                <a:ext uri="{FF2B5EF4-FFF2-40B4-BE49-F238E27FC236}">
                  <a16:creationId xmlns:a16="http://schemas.microsoft.com/office/drawing/2014/main" id="{00000000-0008-0000-1900-00001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17</xdr:row>
          <xdr:rowOff>57150</xdr:rowOff>
        </xdr:from>
        <xdr:to>
          <xdr:col>4</xdr:col>
          <xdr:colOff>28575</xdr:colOff>
          <xdr:row>18</xdr:row>
          <xdr:rowOff>19050</xdr:rowOff>
        </xdr:to>
        <xdr:sp macro="" textlink="">
          <xdr:nvSpPr>
            <xdr:cNvPr id="27668" name="Option Button 20" hidden="1">
              <a:extLst>
                <a:ext uri="{63B3BB69-23CF-44E3-9099-C40C66FF867C}">
                  <a14:compatExt spid="_x0000_s27668"/>
                </a:ext>
                <a:ext uri="{FF2B5EF4-FFF2-40B4-BE49-F238E27FC236}">
                  <a16:creationId xmlns:a16="http://schemas.microsoft.com/office/drawing/2014/main" id="{00000000-0008-0000-19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18</xdr:row>
          <xdr:rowOff>47625</xdr:rowOff>
        </xdr:from>
        <xdr:to>
          <xdr:col>4</xdr:col>
          <xdr:colOff>28575</xdr:colOff>
          <xdr:row>18</xdr:row>
          <xdr:rowOff>266700</xdr:rowOff>
        </xdr:to>
        <xdr:sp macro="" textlink="">
          <xdr:nvSpPr>
            <xdr:cNvPr id="27669" name="Option Button 21" hidden="1">
              <a:extLst>
                <a:ext uri="{63B3BB69-23CF-44E3-9099-C40C66FF867C}">
                  <a14:compatExt spid="_x0000_s27669"/>
                </a:ext>
                <a:ext uri="{FF2B5EF4-FFF2-40B4-BE49-F238E27FC236}">
                  <a16:creationId xmlns:a16="http://schemas.microsoft.com/office/drawing/2014/main" id="{00000000-0008-0000-19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19</xdr:row>
          <xdr:rowOff>76200</xdr:rowOff>
        </xdr:from>
        <xdr:to>
          <xdr:col>4</xdr:col>
          <xdr:colOff>28575</xdr:colOff>
          <xdr:row>19</xdr:row>
          <xdr:rowOff>295275</xdr:rowOff>
        </xdr:to>
        <xdr:sp macro="" textlink="">
          <xdr:nvSpPr>
            <xdr:cNvPr id="27670" name="Option Button 22" hidden="1">
              <a:extLst>
                <a:ext uri="{63B3BB69-23CF-44E3-9099-C40C66FF867C}">
                  <a14:compatExt spid="_x0000_s27670"/>
                </a:ext>
                <a:ext uri="{FF2B5EF4-FFF2-40B4-BE49-F238E27FC236}">
                  <a16:creationId xmlns:a16="http://schemas.microsoft.com/office/drawing/2014/main" id="{00000000-0008-0000-19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20</xdr:row>
          <xdr:rowOff>76200</xdr:rowOff>
        </xdr:from>
        <xdr:to>
          <xdr:col>4</xdr:col>
          <xdr:colOff>28575</xdr:colOff>
          <xdr:row>20</xdr:row>
          <xdr:rowOff>295275</xdr:rowOff>
        </xdr:to>
        <xdr:sp macro="" textlink="">
          <xdr:nvSpPr>
            <xdr:cNvPr id="27671" name="Option Button 23" hidden="1">
              <a:extLst>
                <a:ext uri="{63B3BB69-23CF-44E3-9099-C40C66FF867C}">
                  <a14:compatExt spid="_x0000_s27671"/>
                </a:ext>
                <a:ext uri="{FF2B5EF4-FFF2-40B4-BE49-F238E27FC236}">
                  <a16:creationId xmlns:a16="http://schemas.microsoft.com/office/drawing/2014/main" id="{00000000-0008-0000-19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21</xdr:row>
          <xdr:rowOff>19050</xdr:rowOff>
        </xdr:from>
        <xdr:to>
          <xdr:col>14</xdr:col>
          <xdr:colOff>819150</xdr:colOff>
          <xdr:row>25</xdr:row>
          <xdr:rowOff>19050</xdr:rowOff>
        </xdr:to>
        <xdr:sp macro="" textlink="">
          <xdr:nvSpPr>
            <xdr:cNvPr id="27672" name="Group Box 24" hidden="1">
              <a:extLst>
                <a:ext uri="{63B3BB69-23CF-44E3-9099-C40C66FF867C}">
                  <a14:compatExt spid="_x0000_s27672"/>
                </a:ext>
                <a:ext uri="{FF2B5EF4-FFF2-40B4-BE49-F238E27FC236}">
                  <a16:creationId xmlns:a16="http://schemas.microsoft.com/office/drawing/2014/main" id="{00000000-0008-0000-1900-00001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21</xdr:row>
          <xdr:rowOff>66675</xdr:rowOff>
        </xdr:from>
        <xdr:to>
          <xdr:col>4</xdr:col>
          <xdr:colOff>38100</xdr:colOff>
          <xdr:row>22</xdr:row>
          <xdr:rowOff>19050</xdr:rowOff>
        </xdr:to>
        <xdr:sp macro="" textlink="">
          <xdr:nvSpPr>
            <xdr:cNvPr id="27673" name="Option Button 25" hidden="1">
              <a:extLst>
                <a:ext uri="{63B3BB69-23CF-44E3-9099-C40C66FF867C}">
                  <a14:compatExt spid="_x0000_s27673"/>
                </a:ext>
                <a:ext uri="{FF2B5EF4-FFF2-40B4-BE49-F238E27FC236}">
                  <a16:creationId xmlns:a16="http://schemas.microsoft.com/office/drawing/2014/main" id="{00000000-0008-0000-19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22</xdr:row>
          <xdr:rowOff>76200</xdr:rowOff>
        </xdr:from>
        <xdr:to>
          <xdr:col>4</xdr:col>
          <xdr:colOff>38100</xdr:colOff>
          <xdr:row>22</xdr:row>
          <xdr:rowOff>295275</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9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23</xdr:row>
          <xdr:rowOff>57150</xdr:rowOff>
        </xdr:from>
        <xdr:to>
          <xdr:col>4</xdr:col>
          <xdr:colOff>38100</xdr:colOff>
          <xdr:row>23</xdr:row>
          <xdr:rowOff>276225</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9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24</xdr:row>
          <xdr:rowOff>28575</xdr:rowOff>
        </xdr:from>
        <xdr:to>
          <xdr:col>4</xdr:col>
          <xdr:colOff>38100</xdr:colOff>
          <xdr:row>24</xdr:row>
          <xdr:rowOff>247650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9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25</xdr:row>
          <xdr:rowOff>19050</xdr:rowOff>
        </xdr:from>
        <xdr:to>
          <xdr:col>14</xdr:col>
          <xdr:colOff>819150</xdr:colOff>
          <xdr:row>29</xdr:row>
          <xdr:rowOff>19050</xdr:rowOff>
        </xdr:to>
        <xdr:sp macro="" textlink="">
          <xdr:nvSpPr>
            <xdr:cNvPr id="27677" name="Group Box 29" hidden="1">
              <a:extLst>
                <a:ext uri="{63B3BB69-23CF-44E3-9099-C40C66FF867C}">
                  <a14:compatExt spid="_x0000_s27677"/>
                </a:ext>
                <a:ext uri="{FF2B5EF4-FFF2-40B4-BE49-F238E27FC236}">
                  <a16:creationId xmlns:a16="http://schemas.microsoft.com/office/drawing/2014/main" id="{00000000-0008-0000-1900-00001D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25</xdr:row>
          <xdr:rowOff>57150</xdr:rowOff>
        </xdr:from>
        <xdr:to>
          <xdr:col>4</xdr:col>
          <xdr:colOff>38100</xdr:colOff>
          <xdr:row>26</xdr:row>
          <xdr:rowOff>9525</xdr:rowOff>
        </xdr:to>
        <xdr:sp macro="" textlink="">
          <xdr:nvSpPr>
            <xdr:cNvPr id="27678" name="Option Button 30" hidden="1">
              <a:extLst>
                <a:ext uri="{63B3BB69-23CF-44E3-9099-C40C66FF867C}">
                  <a14:compatExt spid="_x0000_s27678"/>
                </a:ext>
                <a:ext uri="{FF2B5EF4-FFF2-40B4-BE49-F238E27FC236}">
                  <a16:creationId xmlns:a16="http://schemas.microsoft.com/office/drawing/2014/main" id="{00000000-0008-0000-19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26</xdr:row>
          <xdr:rowOff>66675</xdr:rowOff>
        </xdr:from>
        <xdr:to>
          <xdr:col>4</xdr:col>
          <xdr:colOff>38100</xdr:colOff>
          <xdr:row>26</xdr:row>
          <xdr:rowOff>285750</xdr:rowOff>
        </xdr:to>
        <xdr:sp macro="" textlink="">
          <xdr:nvSpPr>
            <xdr:cNvPr id="27679" name="Option Button 31" hidden="1">
              <a:extLst>
                <a:ext uri="{63B3BB69-23CF-44E3-9099-C40C66FF867C}">
                  <a14:compatExt spid="_x0000_s27679"/>
                </a:ext>
                <a:ext uri="{FF2B5EF4-FFF2-40B4-BE49-F238E27FC236}">
                  <a16:creationId xmlns:a16="http://schemas.microsoft.com/office/drawing/2014/main" id="{00000000-0008-0000-19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27</xdr:row>
          <xdr:rowOff>66675</xdr:rowOff>
        </xdr:from>
        <xdr:to>
          <xdr:col>4</xdr:col>
          <xdr:colOff>38100</xdr:colOff>
          <xdr:row>27</xdr:row>
          <xdr:rowOff>285750</xdr:rowOff>
        </xdr:to>
        <xdr:sp macro="" textlink="">
          <xdr:nvSpPr>
            <xdr:cNvPr id="27680" name="Option Button 32" hidden="1">
              <a:extLst>
                <a:ext uri="{63B3BB69-23CF-44E3-9099-C40C66FF867C}">
                  <a14:compatExt spid="_x0000_s27680"/>
                </a:ext>
                <a:ext uri="{FF2B5EF4-FFF2-40B4-BE49-F238E27FC236}">
                  <a16:creationId xmlns:a16="http://schemas.microsoft.com/office/drawing/2014/main" id="{00000000-0008-0000-19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28</xdr:row>
          <xdr:rowOff>47625</xdr:rowOff>
        </xdr:from>
        <xdr:to>
          <xdr:col>4</xdr:col>
          <xdr:colOff>38100</xdr:colOff>
          <xdr:row>28</xdr:row>
          <xdr:rowOff>266700</xdr:rowOff>
        </xdr:to>
        <xdr:sp macro="" textlink="">
          <xdr:nvSpPr>
            <xdr:cNvPr id="27681" name="Option Button 33" hidden="1">
              <a:extLst>
                <a:ext uri="{63B3BB69-23CF-44E3-9099-C40C66FF867C}">
                  <a14:compatExt spid="_x0000_s27681"/>
                </a:ext>
                <a:ext uri="{FF2B5EF4-FFF2-40B4-BE49-F238E27FC236}">
                  <a16:creationId xmlns:a16="http://schemas.microsoft.com/office/drawing/2014/main" id="{00000000-0008-0000-19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29</xdr:row>
          <xdr:rowOff>19050</xdr:rowOff>
        </xdr:from>
        <xdr:to>
          <xdr:col>14</xdr:col>
          <xdr:colOff>819150</xdr:colOff>
          <xdr:row>34</xdr:row>
          <xdr:rowOff>9525</xdr:rowOff>
        </xdr:to>
        <xdr:sp macro="" textlink="">
          <xdr:nvSpPr>
            <xdr:cNvPr id="27682" name="Group Box 34" hidden="1">
              <a:extLst>
                <a:ext uri="{63B3BB69-23CF-44E3-9099-C40C66FF867C}">
                  <a14:compatExt spid="_x0000_s27682"/>
                </a:ext>
                <a:ext uri="{FF2B5EF4-FFF2-40B4-BE49-F238E27FC236}">
                  <a16:creationId xmlns:a16="http://schemas.microsoft.com/office/drawing/2014/main" id="{00000000-0008-0000-1900-000022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29</xdr:row>
          <xdr:rowOff>57150</xdr:rowOff>
        </xdr:from>
        <xdr:to>
          <xdr:col>4</xdr:col>
          <xdr:colOff>38100</xdr:colOff>
          <xdr:row>30</xdr:row>
          <xdr:rowOff>9525</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9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30</xdr:row>
          <xdr:rowOff>247650</xdr:rowOff>
        </xdr:from>
        <xdr:to>
          <xdr:col>4</xdr:col>
          <xdr:colOff>38100</xdr:colOff>
          <xdr:row>30</xdr:row>
          <xdr:rowOff>466725</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9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31</xdr:row>
          <xdr:rowOff>200025</xdr:rowOff>
        </xdr:from>
        <xdr:to>
          <xdr:col>4</xdr:col>
          <xdr:colOff>38100</xdr:colOff>
          <xdr:row>31</xdr:row>
          <xdr:rowOff>419100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9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32</xdr:row>
          <xdr:rowOff>66675</xdr:rowOff>
        </xdr:from>
        <xdr:to>
          <xdr:col>4</xdr:col>
          <xdr:colOff>38100</xdr:colOff>
          <xdr:row>32</xdr:row>
          <xdr:rowOff>285750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9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33</xdr:row>
          <xdr:rowOff>266700</xdr:rowOff>
        </xdr:from>
        <xdr:to>
          <xdr:col>4</xdr:col>
          <xdr:colOff>38100</xdr:colOff>
          <xdr:row>33</xdr:row>
          <xdr:rowOff>485775</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9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37</xdr:row>
          <xdr:rowOff>28575</xdr:rowOff>
        </xdr:from>
        <xdr:to>
          <xdr:col>14</xdr:col>
          <xdr:colOff>819150</xdr:colOff>
          <xdr:row>40</xdr:row>
          <xdr:rowOff>28575</xdr:rowOff>
        </xdr:to>
        <xdr:sp macro="" textlink="">
          <xdr:nvSpPr>
            <xdr:cNvPr id="27688" name="Group Box 40" hidden="1">
              <a:extLst>
                <a:ext uri="{63B3BB69-23CF-44E3-9099-C40C66FF867C}">
                  <a14:compatExt spid="_x0000_s27688"/>
                </a:ext>
                <a:ext uri="{FF2B5EF4-FFF2-40B4-BE49-F238E27FC236}">
                  <a16:creationId xmlns:a16="http://schemas.microsoft.com/office/drawing/2014/main" id="{00000000-0008-0000-1900-00002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37</xdr:row>
          <xdr:rowOff>76200</xdr:rowOff>
        </xdr:from>
        <xdr:to>
          <xdr:col>4</xdr:col>
          <xdr:colOff>38100</xdr:colOff>
          <xdr:row>38</xdr:row>
          <xdr:rowOff>28575</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9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38</xdr:row>
          <xdr:rowOff>95250</xdr:rowOff>
        </xdr:from>
        <xdr:to>
          <xdr:col>4</xdr:col>
          <xdr:colOff>38100</xdr:colOff>
          <xdr:row>38</xdr:row>
          <xdr:rowOff>314325</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9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39</xdr:row>
          <xdr:rowOff>95250</xdr:rowOff>
        </xdr:from>
        <xdr:to>
          <xdr:col>4</xdr:col>
          <xdr:colOff>38100</xdr:colOff>
          <xdr:row>39</xdr:row>
          <xdr:rowOff>314325</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9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34</xdr:row>
          <xdr:rowOff>28575</xdr:rowOff>
        </xdr:from>
        <xdr:to>
          <xdr:col>14</xdr:col>
          <xdr:colOff>819150</xdr:colOff>
          <xdr:row>37</xdr:row>
          <xdr:rowOff>28575</xdr:rowOff>
        </xdr:to>
        <xdr:sp macro="" textlink="">
          <xdr:nvSpPr>
            <xdr:cNvPr id="27692" name="Group Box 44" hidden="1">
              <a:extLst>
                <a:ext uri="{63B3BB69-23CF-44E3-9099-C40C66FF867C}">
                  <a14:compatExt spid="_x0000_s27692"/>
                </a:ext>
                <a:ext uri="{FF2B5EF4-FFF2-40B4-BE49-F238E27FC236}">
                  <a16:creationId xmlns:a16="http://schemas.microsoft.com/office/drawing/2014/main" id="{00000000-0008-0000-1900-00002C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34</xdr:row>
          <xdr:rowOff>66675</xdr:rowOff>
        </xdr:from>
        <xdr:to>
          <xdr:col>4</xdr:col>
          <xdr:colOff>38100</xdr:colOff>
          <xdr:row>35</xdr:row>
          <xdr:rowOff>19050</xdr:rowOff>
        </xdr:to>
        <xdr:sp macro="" textlink="">
          <xdr:nvSpPr>
            <xdr:cNvPr id="27693" name="Option Button 45" hidden="1">
              <a:extLst>
                <a:ext uri="{63B3BB69-23CF-44E3-9099-C40C66FF867C}">
                  <a14:compatExt spid="_x0000_s27693"/>
                </a:ext>
                <a:ext uri="{FF2B5EF4-FFF2-40B4-BE49-F238E27FC236}">
                  <a16:creationId xmlns:a16="http://schemas.microsoft.com/office/drawing/2014/main" id="{00000000-0008-0000-19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35</xdr:row>
          <xdr:rowOff>180975</xdr:rowOff>
        </xdr:from>
        <xdr:to>
          <xdr:col>4</xdr:col>
          <xdr:colOff>38100</xdr:colOff>
          <xdr:row>35</xdr:row>
          <xdr:rowOff>400050</xdr:rowOff>
        </xdr:to>
        <xdr:sp macro="" textlink="">
          <xdr:nvSpPr>
            <xdr:cNvPr id="27694" name="Option Button 46" hidden="1">
              <a:extLst>
                <a:ext uri="{63B3BB69-23CF-44E3-9099-C40C66FF867C}">
                  <a14:compatExt spid="_x0000_s27694"/>
                </a:ext>
                <a:ext uri="{FF2B5EF4-FFF2-40B4-BE49-F238E27FC236}">
                  <a16:creationId xmlns:a16="http://schemas.microsoft.com/office/drawing/2014/main" id="{00000000-0008-0000-19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36</xdr:row>
          <xdr:rowOff>200025</xdr:rowOff>
        </xdr:from>
        <xdr:to>
          <xdr:col>4</xdr:col>
          <xdr:colOff>38100</xdr:colOff>
          <xdr:row>36</xdr:row>
          <xdr:rowOff>419100</xdr:rowOff>
        </xdr:to>
        <xdr:sp macro="" textlink="">
          <xdr:nvSpPr>
            <xdr:cNvPr id="27695" name="Option Button 47" hidden="1">
              <a:extLst>
                <a:ext uri="{63B3BB69-23CF-44E3-9099-C40C66FF867C}">
                  <a14:compatExt spid="_x0000_s27695"/>
                </a:ext>
                <a:ext uri="{FF2B5EF4-FFF2-40B4-BE49-F238E27FC236}">
                  <a16:creationId xmlns:a16="http://schemas.microsoft.com/office/drawing/2014/main" id="{00000000-0008-0000-19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5</xdr:row>
          <xdr:rowOff>0</xdr:rowOff>
        </xdr:from>
        <xdr:to>
          <xdr:col>15</xdr:col>
          <xdr:colOff>0</xdr:colOff>
          <xdr:row>11</xdr:row>
          <xdr:rowOff>0</xdr:rowOff>
        </xdr:to>
        <xdr:grpSp>
          <xdr:nvGrpSpPr>
            <xdr:cNvPr id="32614" name="Group 1">
              <a:extLst>
                <a:ext uri="{FF2B5EF4-FFF2-40B4-BE49-F238E27FC236}">
                  <a16:creationId xmlns:a16="http://schemas.microsoft.com/office/drawing/2014/main" id="{00000000-0008-0000-1A00-0000667F0000}"/>
                </a:ext>
              </a:extLst>
            </xdr:cNvPr>
            <xdr:cNvGrpSpPr>
              <a:grpSpLocks/>
            </xdr:cNvGrpSpPr>
          </xdr:nvGrpSpPr>
          <xdr:grpSpPr bwMode="auto">
            <a:xfrm>
              <a:off x="1293814" y="1333500"/>
              <a:ext cx="3929064" cy="2928938"/>
              <a:chOff x="136" y="83"/>
              <a:chExt cx="415" cy="411"/>
            </a:xfrm>
          </xdr:grpSpPr>
          <xdr:sp macro="" textlink="">
            <xdr:nvSpPr>
              <xdr:cNvPr id="31746" name="Group Box 2" hidden="1">
                <a:extLst>
                  <a:ext uri="{63B3BB69-23CF-44E3-9099-C40C66FF867C}">
                    <a14:compatExt spid="_x0000_s31746"/>
                  </a:ext>
                  <a:ext uri="{FF2B5EF4-FFF2-40B4-BE49-F238E27FC236}">
                    <a16:creationId xmlns:a16="http://schemas.microsoft.com/office/drawing/2014/main" id="{00000000-0008-0000-1A00-0000027C0000}"/>
                  </a:ext>
                </a:extLst>
              </xdr:cNvPr>
              <xdr:cNvSpPr/>
            </xdr:nvSpPr>
            <xdr:spPr bwMode="auto">
              <a:xfrm>
                <a:off x="136" y="83"/>
                <a:ext cx="415" cy="411"/>
              </a:xfrm>
              <a:prstGeom prst="rect">
                <a:avLst/>
              </a:prstGeom>
              <a:noFill/>
              <a:ln w="9525">
                <a:miter lim="800000"/>
                <a:headEnd/>
                <a:tailEnd/>
              </a:ln>
              <a:extLst>
                <a:ext uri="{909E8E84-426E-40DD-AFC4-6F175D3DCCD1}">
                  <a14:hiddenFill>
                    <a:noFill/>
                  </a14:hiddenFill>
                </a:ext>
              </a:extLst>
            </xdr:spPr>
          </xdr:sp>
          <xdr:sp macro="" textlink="">
            <xdr:nvSpPr>
              <xdr:cNvPr id="31747" name="Option Button 3" hidden="1">
                <a:extLst>
                  <a:ext uri="{63B3BB69-23CF-44E3-9099-C40C66FF867C}">
                    <a14:compatExt spid="_x0000_s31747"/>
                  </a:ext>
                  <a:ext uri="{FF2B5EF4-FFF2-40B4-BE49-F238E27FC236}">
                    <a16:creationId xmlns:a16="http://schemas.microsoft.com/office/drawing/2014/main" id="{00000000-0008-0000-1A00-0000037C0000}"/>
                  </a:ext>
                </a:extLst>
              </xdr:cNvPr>
              <xdr:cNvSpPr/>
            </xdr:nvSpPr>
            <xdr:spPr bwMode="auto">
              <a:xfrm>
                <a:off x="142" y="87"/>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48" name="Option Button 4" hidden="1">
                <a:extLst>
                  <a:ext uri="{63B3BB69-23CF-44E3-9099-C40C66FF867C}">
                    <a14:compatExt spid="_x0000_s31748"/>
                  </a:ext>
                  <a:ext uri="{FF2B5EF4-FFF2-40B4-BE49-F238E27FC236}">
                    <a16:creationId xmlns:a16="http://schemas.microsoft.com/office/drawing/2014/main" id="{00000000-0008-0000-1A00-0000047C0000}"/>
                  </a:ext>
                </a:extLst>
              </xdr:cNvPr>
              <xdr:cNvSpPr/>
            </xdr:nvSpPr>
            <xdr:spPr bwMode="auto">
              <a:xfrm>
                <a:off x="142" y="13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49" name="Option Button 5" hidden="1">
                <a:extLst>
                  <a:ext uri="{63B3BB69-23CF-44E3-9099-C40C66FF867C}">
                    <a14:compatExt spid="_x0000_s31749"/>
                  </a:ext>
                  <a:ext uri="{FF2B5EF4-FFF2-40B4-BE49-F238E27FC236}">
                    <a16:creationId xmlns:a16="http://schemas.microsoft.com/office/drawing/2014/main" id="{00000000-0008-0000-1A00-0000057C0000}"/>
                  </a:ext>
                </a:extLst>
              </xdr:cNvPr>
              <xdr:cNvSpPr/>
            </xdr:nvSpPr>
            <xdr:spPr bwMode="auto">
              <a:xfrm>
                <a:off x="142" y="20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0" name="Option Button 6" hidden="1">
                <a:extLst>
                  <a:ext uri="{63B3BB69-23CF-44E3-9099-C40C66FF867C}">
                    <a14:compatExt spid="_x0000_s31750"/>
                  </a:ext>
                  <a:ext uri="{FF2B5EF4-FFF2-40B4-BE49-F238E27FC236}">
                    <a16:creationId xmlns:a16="http://schemas.microsoft.com/office/drawing/2014/main" id="{00000000-0008-0000-1A00-0000067C0000}"/>
                  </a:ext>
                </a:extLst>
              </xdr:cNvPr>
              <xdr:cNvSpPr/>
            </xdr:nvSpPr>
            <xdr:spPr bwMode="auto">
              <a:xfrm>
                <a:off x="142" y="27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1" name="Option Button 7" hidden="1">
                <a:extLst>
                  <a:ext uri="{63B3BB69-23CF-44E3-9099-C40C66FF867C}">
                    <a14:compatExt spid="_x0000_s31751"/>
                  </a:ext>
                  <a:ext uri="{FF2B5EF4-FFF2-40B4-BE49-F238E27FC236}">
                    <a16:creationId xmlns:a16="http://schemas.microsoft.com/office/drawing/2014/main" id="{00000000-0008-0000-1A00-0000077C0000}"/>
                  </a:ext>
                </a:extLst>
              </xdr:cNvPr>
              <xdr:cNvSpPr/>
            </xdr:nvSpPr>
            <xdr:spPr bwMode="auto">
              <a:xfrm>
                <a:off x="142" y="355"/>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2" name="Option Button 8" hidden="1">
                <a:extLst>
                  <a:ext uri="{63B3BB69-23CF-44E3-9099-C40C66FF867C}">
                    <a14:compatExt spid="_x0000_s31752"/>
                  </a:ext>
                  <a:ext uri="{FF2B5EF4-FFF2-40B4-BE49-F238E27FC236}">
                    <a16:creationId xmlns:a16="http://schemas.microsoft.com/office/drawing/2014/main" id="{00000000-0008-0000-1A00-0000087C0000}"/>
                  </a:ext>
                </a:extLst>
              </xdr:cNvPr>
              <xdr:cNvSpPr/>
            </xdr:nvSpPr>
            <xdr:spPr bwMode="auto">
              <a:xfrm>
                <a:off x="142" y="44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12</xdr:row>
          <xdr:rowOff>0</xdr:rowOff>
        </xdr:from>
        <xdr:to>
          <xdr:col>15</xdr:col>
          <xdr:colOff>0</xdr:colOff>
          <xdr:row>16</xdr:row>
          <xdr:rowOff>0</xdr:rowOff>
        </xdr:to>
        <xdr:grpSp>
          <xdr:nvGrpSpPr>
            <xdr:cNvPr id="32615" name="Group 15">
              <a:extLst>
                <a:ext uri="{FF2B5EF4-FFF2-40B4-BE49-F238E27FC236}">
                  <a16:creationId xmlns:a16="http://schemas.microsoft.com/office/drawing/2014/main" id="{00000000-0008-0000-1A00-0000677F0000}"/>
                </a:ext>
              </a:extLst>
            </xdr:cNvPr>
            <xdr:cNvGrpSpPr>
              <a:grpSpLocks/>
            </xdr:cNvGrpSpPr>
          </xdr:nvGrpSpPr>
          <xdr:grpSpPr bwMode="auto">
            <a:xfrm>
              <a:off x="1293814" y="4635500"/>
              <a:ext cx="3929064" cy="1262063"/>
              <a:chOff x="136" y="556"/>
              <a:chExt cx="415" cy="120"/>
            </a:xfrm>
          </xdr:grpSpPr>
          <xdr:sp macro="" textlink="">
            <xdr:nvSpPr>
              <xdr:cNvPr id="31754" name="Group Box 10" hidden="1">
                <a:extLst>
                  <a:ext uri="{63B3BB69-23CF-44E3-9099-C40C66FF867C}">
                    <a14:compatExt spid="_x0000_s31754"/>
                  </a:ext>
                  <a:ext uri="{FF2B5EF4-FFF2-40B4-BE49-F238E27FC236}">
                    <a16:creationId xmlns:a16="http://schemas.microsoft.com/office/drawing/2014/main" id="{00000000-0008-0000-1A00-00000A7C0000}"/>
                  </a:ext>
                </a:extLst>
              </xdr:cNvPr>
              <xdr:cNvSpPr/>
            </xdr:nvSpPr>
            <xdr:spPr bwMode="auto">
              <a:xfrm>
                <a:off x="136" y="556"/>
                <a:ext cx="415" cy="120"/>
              </a:xfrm>
              <a:prstGeom prst="rect">
                <a:avLst/>
              </a:prstGeom>
              <a:noFill/>
              <a:ln w="9525">
                <a:miter lim="800000"/>
                <a:headEnd/>
                <a:tailEnd/>
              </a:ln>
              <a:extLst>
                <a:ext uri="{909E8E84-426E-40DD-AFC4-6F175D3DCCD1}">
                  <a14:hiddenFill>
                    <a:noFill/>
                  </a14:hiddenFill>
                </a:ext>
              </a:extLst>
            </xdr:spPr>
          </xdr:sp>
          <xdr:sp macro="" textlink="">
            <xdr:nvSpPr>
              <xdr:cNvPr id="31755" name="Option Button 11" hidden="1">
                <a:extLst>
                  <a:ext uri="{63B3BB69-23CF-44E3-9099-C40C66FF867C}">
                    <a14:compatExt spid="_x0000_s31755"/>
                  </a:ext>
                  <a:ext uri="{FF2B5EF4-FFF2-40B4-BE49-F238E27FC236}">
                    <a16:creationId xmlns:a16="http://schemas.microsoft.com/office/drawing/2014/main" id="{00000000-0008-0000-1A00-00000B7C0000}"/>
                  </a:ext>
                </a:extLst>
              </xdr:cNvPr>
              <xdr:cNvSpPr/>
            </xdr:nvSpPr>
            <xdr:spPr bwMode="auto">
              <a:xfrm>
                <a:off x="143" y="561"/>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6" name="Option Button 12" hidden="1">
                <a:extLst>
                  <a:ext uri="{63B3BB69-23CF-44E3-9099-C40C66FF867C}">
                    <a14:compatExt spid="_x0000_s31756"/>
                  </a:ext>
                  <a:ext uri="{FF2B5EF4-FFF2-40B4-BE49-F238E27FC236}">
                    <a16:creationId xmlns:a16="http://schemas.microsoft.com/office/drawing/2014/main" id="{00000000-0008-0000-1A00-00000C7C0000}"/>
                  </a:ext>
                </a:extLst>
              </xdr:cNvPr>
              <xdr:cNvSpPr/>
            </xdr:nvSpPr>
            <xdr:spPr bwMode="auto">
              <a:xfrm>
                <a:off x="143" y="587"/>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7" name="Option Button 13" hidden="1">
                <a:extLst>
                  <a:ext uri="{63B3BB69-23CF-44E3-9099-C40C66FF867C}">
                    <a14:compatExt spid="_x0000_s31757"/>
                  </a:ext>
                  <a:ext uri="{FF2B5EF4-FFF2-40B4-BE49-F238E27FC236}">
                    <a16:creationId xmlns:a16="http://schemas.microsoft.com/office/drawing/2014/main" id="{00000000-0008-0000-1A00-00000D7C0000}"/>
                  </a:ext>
                </a:extLst>
              </xdr:cNvPr>
              <xdr:cNvSpPr/>
            </xdr:nvSpPr>
            <xdr:spPr bwMode="auto">
              <a:xfrm>
                <a:off x="143" y="618"/>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1758" name="Option Button 14" hidden="1">
                <a:extLst>
                  <a:ext uri="{63B3BB69-23CF-44E3-9099-C40C66FF867C}">
                    <a14:compatExt spid="_x0000_s31758"/>
                  </a:ext>
                  <a:ext uri="{FF2B5EF4-FFF2-40B4-BE49-F238E27FC236}">
                    <a16:creationId xmlns:a16="http://schemas.microsoft.com/office/drawing/2014/main" id="{00000000-0008-0000-1A00-00000E7C0000}"/>
                  </a:ext>
                </a:extLst>
              </xdr:cNvPr>
              <xdr:cNvSpPr/>
            </xdr:nvSpPr>
            <xdr:spPr bwMode="auto">
              <a:xfrm>
                <a:off x="143" y="643"/>
                <a:ext cx="32" cy="21"/>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0</xdr:colOff>
          <xdr:row>3</xdr:row>
          <xdr:rowOff>0</xdr:rowOff>
        </xdr:from>
        <xdr:to>
          <xdr:col>15</xdr:col>
          <xdr:colOff>0</xdr:colOff>
          <xdr:row>7</xdr:row>
          <xdr:rowOff>0</xdr:rowOff>
        </xdr:to>
        <xdr:grpSp>
          <xdr:nvGrpSpPr>
            <xdr:cNvPr id="31154" name="Group 1">
              <a:extLst>
                <a:ext uri="{FF2B5EF4-FFF2-40B4-BE49-F238E27FC236}">
                  <a16:creationId xmlns:a16="http://schemas.microsoft.com/office/drawing/2014/main" id="{00000000-0008-0000-1B00-0000B2790000}"/>
                </a:ext>
              </a:extLst>
            </xdr:cNvPr>
            <xdr:cNvGrpSpPr>
              <a:grpSpLocks/>
            </xdr:cNvGrpSpPr>
          </xdr:nvGrpSpPr>
          <xdr:grpSpPr bwMode="auto">
            <a:xfrm>
              <a:off x="1293814" y="650875"/>
              <a:ext cx="3929064" cy="1746250"/>
              <a:chOff x="136" y="42"/>
              <a:chExt cx="415" cy="168"/>
            </a:xfrm>
          </xdr:grpSpPr>
          <xdr:sp macro="" textlink="">
            <xdr:nvSpPr>
              <xdr:cNvPr id="30722" name="Option Button 2" hidden="1">
                <a:extLst>
                  <a:ext uri="{63B3BB69-23CF-44E3-9099-C40C66FF867C}">
                    <a14:compatExt spid="_x0000_s30722"/>
                  </a:ext>
                  <a:ext uri="{FF2B5EF4-FFF2-40B4-BE49-F238E27FC236}">
                    <a16:creationId xmlns:a16="http://schemas.microsoft.com/office/drawing/2014/main" id="{00000000-0008-0000-1B00-000002780000}"/>
                  </a:ext>
                </a:extLst>
              </xdr:cNvPr>
              <xdr:cNvSpPr/>
            </xdr:nvSpPr>
            <xdr:spPr bwMode="auto">
              <a:xfrm>
                <a:off x="142" y="51"/>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3" name="Option Button 3" hidden="1">
                <a:extLst>
                  <a:ext uri="{63B3BB69-23CF-44E3-9099-C40C66FF867C}">
                    <a14:compatExt spid="_x0000_s30723"/>
                  </a:ext>
                  <a:ext uri="{FF2B5EF4-FFF2-40B4-BE49-F238E27FC236}">
                    <a16:creationId xmlns:a16="http://schemas.microsoft.com/office/drawing/2014/main" id="{00000000-0008-0000-1B00-000003780000}"/>
                  </a:ext>
                </a:extLst>
              </xdr:cNvPr>
              <xdr:cNvSpPr/>
            </xdr:nvSpPr>
            <xdr:spPr bwMode="auto">
              <a:xfrm>
                <a:off x="142" y="92"/>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4" name="Option Button 4" hidden="1">
                <a:extLst>
                  <a:ext uri="{63B3BB69-23CF-44E3-9099-C40C66FF867C}">
                    <a14:compatExt spid="_x0000_s30724"/>
                  </a:ext>
                  <a:ext uri="{FF2B5EF4-FFF2-40B4-BE49-F238E27FC236}">
                    <a16:creationId xmlns:a16="http://schemas.microsoft.com/office/drawing/2014/main" id="{00000000-0008-0000-1B00-000004780000}"/>
                  </a:ext>
                </a:extLst>
              </xdr:cNvPr>
              <xdr:cNvSpPr/>
            </xdr:nvSpPr>
            <xdr:spPr bwMode="auto">
              <a:xfrm>
                <a:off x="142" y="13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5" name="Option Button 5" hidden="1">
                <a:extLst>
                  <a:ext uri="{63B3BB69-23CF-44E3-9099-C40C66FF867C}">
                    <a14:compatExt spid="_x0000_s30725"/>
                  </a:ext>
                  <a:ext uri="{FF2B5EF4-FFF2-40B4-BE49-F238E27FC236}">
                    <a16:creationId xmlns:a16="http://schemas.microsoft.com/office/drawing/2014/main" id="{00000000-0008-0000-1B00-000005780000}"/>
                  </a:ext>
                </a:extLst>
              </xdr:cNvPr>
              <xdr:cNvSpPr/>
            </xdr:nvSpPr>
            <xdr:spPr bwMode="auto">
              <a:xfrm>
                <a:off x="142" y="176"/>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30726" name="Group Box 6" hidden="1">
                <a:extLst>
                  <a:ext uri="{63B3BB69-23CF-44E3-9099-C40C66FF867C}">
                    <a14:compatExt spid="_x0000_s30726"/>
                  </a:ext>
                  <a:ext uri="{FF2B5EF4-FFF2-40B4-BE49-F238E27FC236}">
                    <a16:creationId xmlns:a16="http://schemas.microsoft.com/office/drawing/2014/main" id="{00000000-0008-0000-1B00-000006780000}"/>
                  </a:ext>
                </a:extLst>
              </xdr:cNvPr>
              <xdr:cNvSpPr/>
            </xdr:nvSpPr>
            <xdr:spPr bwMode="auto">
              <a:xfrm>
                <a:off x="136" y="42"/>
                <a:ext cx="415" cy="168"/>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42</xdr:row>
          <xdr:rowOff>104775</xdr:rowOff>
        </xdr:from>
        <xdr:to>
          <xdr:col>5</xdr:col>
          <xdr:colOff>95250</xdr:colOff>
          <xdr:row>44</xdr:row>
          <xdr:rowOff>19050</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0400-00000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161925</xdr:rowOff>
        </xdr:from>
        <xdr:to>
          <xdr:col>5</xdr:col>
          <xdr:colOff>95250</xdr:colOff>
          <xdr:row>45</xdr:row>
          <xdr:rowOff>28575</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0400-00000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133350</xdr:rowOff>
        </xdr:from>
        <xdr:to>
          <xdr:col>5</xdr:col>
          <xdr:colOff>95250</xdr:colOff>
          <xdr:row>47</xdr:row>
          <xdr:rowOff>28575</xdr:rowOff>
        </xdr:to>
        <xdr:sp macro="" textlink="">
          <xdr:nvSpPr>
            <xdr:cNvPr id="48131" name="Check Box 3" hidden="1">
              <a:extLst>
                <a:ext uri="{63B3BB69-23CF-44E3-9099-C40C66FF867C}">
                  <a14:compatExt spid="_x0000_s48131"/>
                </a:ext>
                <a:ext uri="{FF2B5EF4-FFF2-40B4-BE49-F238E27FC236}">
                  <a16:creationId xmlns:a16="http://schemas.microsoft.com/office/drawing/2014/main" id="{00000000-0008-0000-0400-00000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142875</xdr:rowOff>
        </xdr:from>
        <xdr:to>
          <xdr:col>5</xdr:col>
          <xdr:colOff>95250</xdr:colOff>
          <xdr:row>46</xdr:row>
          <xdr:rowOff>28575</xdr:rowOff>
        </xdr:to>
        <xdr:sp macro="" textlink="">
          <xdr:nvSpPr>
            <xdr:cNvPr id="48132" name="Check Box 4" hidden="1">
              <a:extLst>
                <a:ext uri="{63B3BB69-23CF-44E3-9099-C40C66FF867C}">
                  <a14:compatExt spid="_x0000_s48132"/>
                </a:ext>
                <a:ext uri="{FF2B5EF4-FFF2-40B4-BE49-F238E27FC236}">
                  <a16:creationId xmlns:a16="http://schemas.microsoft.com/office/drawing/2014/main" id="{00000000-0008-0000-0400-00000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52</xdr:row>
          <xdr:rowOff>123825</xdr:rowOff>
        </xdr:from>
        <xdr:to>
          <xdr:col>5</xdr:col>
          <xdr:colOff>66675</xdr:colOff>
          <xdr:row>54</xdr:row>
          <xdr:rowOff>19050</xdr:rowOff>
        </xdr:to>
        <xdr:sp macro="" textlink="">
          <xdr:nvSpPr>
            <xdr:cNvPr id="48133" name="Check Box 5" hidden="1">
              <a:extLst>
                <a:ext uri="{63B3BB69-23CF-44E3-9099-C40C66FF867C}">
                  <a14:compatExt spid="_x0000_s48133"/>
                </a:ext>
                <a:ext uri="{FF2B5EF4-FFF2-40B4-BE49-F238E27FC236}">
                  <a16:creationId xmlns:a16="http://schemas.microsoft.com/office/drawing/2014/main" id="{00000000-0008-0000-0400-00000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53</xdr:row>
          <xdr:rowOff>180975</xdr:rowOff>
        </xdr:from>
        <xdr:to>
          <xdr:col>5</xdr:col>
          <xdr:colOff>66675</xdr:colOff>
          <xdr:row>55</xdr:row>
          <xdr:rowOff>19050</xdr:rowOff>
        </xdr:to>
        <xdr:sp macro="" textlink="">
          <xdr:nvSpPr>
            <xdr:cNvPr id="48134" name="Check Box 6" hidden="1">
              <a:extLst>
                <a:ext uri="{63B3BB69-23CF-44E3-9099-C40C66FF867C}">
                  <a14:compatExt spid="_x0000_s48134"/>
                </a:ext>
                <a:ext uri="{FF2B5EF4-FFF2-40B4-BE49-F238E27FC236}">
                  <a16:creationId xmlns:a16="http://schemas.microsoft.com/office/drawing/2014/main" id="{00000000-0008-0000-0400-00000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142875</xdr:rowOff>
        </xdr:from>
        <xdr:to>
          <xdr:col>5</xdr:col>
          <xdr:colOff>95250</xdr:colOff>
          <xdr:row>106</xdr:row>
          <xdr:rowOff>38100</xdr:rowOff>
        </xdr:to>
        <xdr:sp macro="" textlink="">
          <xdr:nvSpPr>
            <xdr:cNvPr id="48135" name="Check Box 7" hidden="1">
              <a:extLst>
                <a:ext uri="{63B3BB69-23CF-44E3-9099-C40C66FF867C}">
                  <a14:compatExt spid="_x0000_s48135"/>
                </a:ext>
                <a:ext uri="{FF2B5EF4-FFF2-40B4-BE49-F238E27FC236}">
                  <a16:creationId xmlns:a16="http://schemas.microsoft.com/office/drawing/2014/main" id="{00000000-0008-0000-0400-00000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128</xdr:row>
          <xdr:rowOff>123825</xdr:rowOff>
        </xdr:from>
        <xdr:to>
          <xdr:col>4</xdr:col>
          <xdr:colOff>57150</xdr:colOff>
          <xdr:row>130</xdr:row>
          <xdr:rowOff>0</xdr:rowOff>
        </xdr:to>
        <xdr:sp macro="" textlink="">
          <xdr:nvSpPr>
            <xdr:cNvPr id="48139" name="Check Box 11" hidden="1">
              <a:extLst>
                <a:ext uri="{63B3BB69-23CF-44E3-9099-C40C66FF867C}">
                  <a14:compatExt spid="_x0000_s48139"/>
                </a:ext>
                <a:ext uri="{FF2B5EF4-FFF2-40B4-BE49-F238E27FC236}">
                  <a16:creationId xmlns:a16="http://schemas.microsoft.com/office/drawing/2014/main" id="{00000000-0008-0000-0400-00000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129</xdr:row>
          <xdr:rowOff>152400</xdr:rowOff>
        </xdr:from>
        <xdr:to>
          <xdr:col>4</xdr:col>
          <xdr:colOff>57150</xdr:colOff>
          <xdr:row>130</xdr:row>
          <xdr:rowOff>180975</xdr:rowOff>
        </xdr:to>
        <xdr:sp macro="" textlink="">
          <xdr:nvSpPr>
            <xdr:cNvPr id="48140" name="Check Box 12" hidden="1">
              <a:extLst>
                <a:ext uri="{63B3BB69-23CF-44E3-9099-C40C66FF867C}">
                  <a14:compatExt spid="_x0000_s48140"/>
                </a:ext>
                <a:ext uri="{FF2B5EF4-FFF2-40B4-BE49-F238E27FC236}">
                  <a16:creationId xmlns:a16="http://schemas.microsoft.com/office/drawing/2014/main" id="{00000000-0008-0000-0400-00000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130</xdr:row>
          <xdr:rowOff>161925</xdr:rowOff>
        </xdr:from>
        <xdr:to>
          <xdr:col>4</xdr:col>
          <xdr:colOff>57150</xdr:colOff>
          <xdr:row>132</xdr:row>
          <xdr:rowOff>0</xdr:rowOff>
        </xdr:to>
        <xdr:sp macro="" textlink="">
          <xdr:nvSpPr>
            <xdr:cNvPr id="48141" name="Check Box 13" hidden="1">
              <a:extLst>
                <a:ext uri="{63B3BB69-23CF-44E3-9099-C40C66FF867C}">
                  <a14:compatExt spid="_x0000_s48141"/>
                </a:ext>
                <a:ext uri="{FF2B5EF4-FFF2-40B4-BE49-F238E27FC236}">
                  <a16:creationId xmlns:a16="http://schemas.microsoft.com/office/drawing/2014/main" id="{00000000-0008-0000-0400-00000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204</xdr:row>
          <xdr:rowOff>123825</xdr:rowOff>
        </xdr:from>
        <xdr:to>
          <xdr:col>4</xdr:col>
          <xdr:colOff>57150</xdr:colOff>
          <xdr:row>206</xdr:row>
          <xdr:rowOff>0</xdr:rowOff>
        </xdr:to>
        <xdr:sp macro="" textlink="">
          <xdr:nvSpPr>
            <xdr:cNvPr id="48146" name="Check Box 18" hidden="1">
              <a:extLst>
                <a:ext uri="{63B3BB69-23CF-44E3-9099-C40C66FF867C}">
                  <a14:compatExt spid="_x0000_s48146"/>
                </a:ext>
                <a:ext uri="{FF2B5EF4-FFF2-40B4-BE49-F238E27FC236}">
                  <a16:creationId xmlns:a16="http://schemas.microsoft.com/office/drawing/2014/main" id="{00000000-0008-0000-0400-00001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205</xdr:row>
          <xdr:rowOff>152400</xdr:rowOff>
        </xdr:from>
        <xdr:to>
          <xdr:col>4</xdr:col>
          <xdr:colOff>57150</xdr:colOff>
          <xdr:row>206</xdr:row>
          <xdr:rowOff>180975</xdr:rowOff>
        </xdr:to>
        <xdr:sp macro="" textlink="">
          <xdr:nvSpPr>
            <xdr:cNvPr id="48147" name="Check Box 19" hidden="1">
              <a:extLst>
                <a:ext uri="{63B3BB69-23CF-44E3-9099-C40C66FF867C}">
                  <a14:compatExt spid="_x0000_s48147"/>
                </a:ext>
                <a:ext uri="{FF2B5EF4-FFF2-40B4-BE49-F238E27FC236}">
                  <a16:creationId xmlns:a16="http://schemas.microsoft.com/office/drawing/2014/main" id="{00000000-0008-0000-0400-00001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206</xdr:row>
          <xdr:rowOff>161925</xdr:rowOff>
        </xdr:from>
        <xdr:to>
          <xdr:col>4</xdr:col>
          <xdr:colOff>57150</xdr:colOff>
          <xdr:row>208</xdr:row>
          <xdr:rowOff>0</xdr:rowOff>
        </xdr:to>
        <xdr:sp macro="" textlink="">
          <xdr:nvSpPr>
            <xdr:cNvPr id="48148" name="Check Box 20" hidden="1">
              <a:extLst>
                <a:ext uri="{63B3BB69-23CF-44E3-9099-C40C66FF867C}">
                  <a14:compatExt spid="_x0000_s48148"/>
                </a:ext>
                <a:ext uri="{FF2B5EF4-FFF2-40B4-BE49-F238E27FC236}">
                  <a16:creationId xmlns:a16="http://schemas.microsoft.com/office/drawing/2014/main" id="{00000000-0008-0000-0400-00001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280</xdr:row>
          <xdr:rowOff>123825</xdr:rowOff>
        </xdr:from>
        <xdr:to>
          <xdr:col>4</xdr:col>
          <xdr:colOff>66675</xdr:colOff>
          <xdr:row>282</xdr:row>
          <xdr:rowOff>0</xdr:rowOff>
        </xdr:to>
        <xdr:sp macro="" textlink="">
          <xdr:nvSpPr>
            <xdr:cNvPr id="48153" name="Check Box 25" hidden="1">
              <a:extLst>
                <a:ext uri="{63B3BB69-23CF-44E3-9099-C40C66FF867C}">
                  <a14:compatExt spid="_x0000_s48153"/>
                </a:ext>
                <a:ext uri="{FF2B5EF4-FFF2-40B4-BE49-F238E27FC236}">
                  <a16:creationId xmlns:a16="http://schemas.microsoft.com/office/drawing/2014/main" id="{00000000-0008-0000-0400-00001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281</xdr:row>
          <xdr:rowOff>152400</xdr:rowOff>
        </xdr:from>
        <xdr:to>
          <xdr:col>4</xdr:col>
          <xdr:colOff>66675</xdr:colOff>
          <xdr:row>282</xdr:row>
          <xdr:rowOff>180975</xdr:rowOff>
        </xdr:to>
        <xdr:sp macro="" textlink="">
          <xdr:nvSpPr>
            <xdr:cNvPr id="48154" name="Check Box 26" hidden="1">
              <a:extLst>
                <a:ext uri="{63B3BB69-23CF-44E3-9099-C40C66FF867C}">
                  <a14:compatExt spid="_x0000_s48154"/>
                </a:ext>
                <a:ext uri="{FF2B5EF4-FFF2-40B4-BE49-F238E27FC236}">
                  <a16:creationId xmlns:a16="http://schemas.microsoft.com/office/drawing/2014/main" id="{00000000-0008-0000-0400-00001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282</xdr:row>
          <xdr:rowOff>161925</xdr:rowOff>
        </xdr:from>
        <xdr:to>
          <xdr:col>4</xdr:col>
          <xdr:colOff>66675</xdr:colOff>
          <xdr:row>284</xdr:row>
          <xdr:rowOff>0</xdr:rowOff>
        </xdr:to>
        <xdr:sp macro="" textlink="">
          <xdr:nvSpPr>
            <xdr:cNvPr id="48155" name="Check Box 27" hidden="1">
              <a:extLst>
                <a:ext uri="{63B3BB69-23CF-44E3-9099-C40C66FF867C}">
                  <a14:compatExt spid="_x0000_s48155"/>
                </a:ext>
                <a:ext uri="{FF2B5EF4-FFF2-40B4-BE49-F238E27FC236}">
                  <a16:creationId xmlns:a16="http://schemas.microsoft.com/office/drawing/2014/main" id="{00000000-0008-0000-0400-00001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356</xdr:row>
          <xdr:rowOff>9525</xdr:rowOff>
        </xdr:from>
        <xdr:to>
          <xdr:col>4</xdr:col>
          <xdr:colOff>76200</xdr:colOff>
          <xdr:row>357</xdr:row>
          <xdr:rowOff>38100</xdr:rowOff>
        </xdr:to>
        <xdr:sp macro="" textlink="">
          <xdr:nvSpPr>
            <xdr:cNvPr id="48160" name="Check Box 32" hidden="1">
              <a:extLst>
                <a:ext uri="{63B3BB69-23CF-44E3-9099-C40C66FF867C}">
                  <a14:compatExt spid="_x0000_s48160"/>
                </a:ext>
                <a:ext uri="{FF2B5EF4-FFF2-40B4-BE49-F238E27FC236}">
                  <a16:creationId xmlns:a16="http://schemas.microsoft.com/office/drawing/2014/main" id="{00000000-0008-0000-0400-00002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357</xdr:row>
          <xdr:rowOff>0</xdr:rowOff>
        </xdr:from>
        <xdr:to>
          <xdr:col>4</xdr:col>
          <xdr:colOff>76200</xdr:colOff>
          <xdr:row>358</xdr:row>
          <xdr:rowOff>28575</xdr:rowOff>
        </xdr:to>
        <xdr:sp macro="" textlink="">
          <xdr:nvSpPr>
            <xdr:cNvPr id="48161" name="Check Box 33" hidden="1">
              <a:extLst>
                <a:ext uri="{63B3BB69-23CF-44E3-9099-C40C66FF867C}">
                  <a14:compatExt spid="_x0000_s48161"/>
                </a:ext>
                <a:ext uri="{FF2B5EF4-FFF2-40B4-BE49-F238E27FC236}">
                  <a16:creationId xmlns:a16="http://schemas.microsoft.com/office/drawing/2014/main" id="{00000000-0008-0000-0400-00002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358</xdr:row>
          <xdr:rowOff>9525</xdr:rowOff>
        </xdr:from>
        <xdr:to>
          <xdr:col>4</xdr:col>
          <xdr:colOff>76200</xdr:colOff>
          <xdr:row>359</xdr:row>
          <xdr:rowOff>38100</xdr:rowOff>
        </xdr:to>
        <xdr:sp macro="" textlink="">
          <xdr:nvSpPr>
            <xdr:cNvPr id="48162" name="Check Box 34" hidden="1">
              <a:extLst>
                <a:ext uri="{63B3BB69-23CF-44E3-9099-C40C66FF867C}">
                  <a14:compatExt spid="_x0000_s48162"/>
                </a:ext>
                <a:ext uri="{FF2B5EF4-FFF2-40B4-BE49-F238E27FC236}">
                  <a16:creationId xmlns:a16="http://schemas.microsoft.com/office/drawing/2014/main" id="{00000000-0008-0000-0400-00002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385</xdr:row>
          <xdr:rowOff>38100</xdr:rowOff>
        </xdr:from>
        <xdr:to>
          <xdr:col>7</xdr:col>
          <xdr:colOff>238125</xdr:colOff>
          <xdr:row>386</xdr:row>
          <xdr:rowOff>28575</xdr:rowOff>
        </xdr:to>
        <xdr:sp macro="" textlink="">
          <xdr:nvSpPr>
            <xdr:cNvPr id="48163" name="Check Box 35" hidden="1">
              <a:extLst>
                <a:ext uri="{63B3BB69-23CF-44E3-9099-C40C66FF867C}">
                  <a14:compatExt spid="_x0000_s48163"/>
                </a:ext>
                <a:ext uri="{FF2B5EF4-FFF2-40B4-BE49-F238E27FC236}">
                  <a16:creationId xmlns:a16="http://schemas.microsoft.com/office/drawing/2014/main" id="{00000000-0008-0000-0400-00002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386</xdr:row>
          <xdr:rowOff>38100</xdr:rowOff>
        </xdr:from>
        <xdr:to>
          <xdr:col>7</xdr:col>
          <xdr:colOff>238125</xdr:colOff>
          <xdr:row>387</xdr:row>
          <xdr:rowOff>28575</xdr:rowOff>
        </xdr:to>
        <xdr:sp macro="" textlink="">
          <xdr:nvSpPr>
            <xdr:cNvPr id="48164" name="Check Box 36" hidden="1">
              <a:extLst>
                <a:ext uri="{63B3BB69-23CF-44E3-9099-C40C66FF867C}">
                  <a14:compatExt spid="_x0000_s48164"/>
                </a:ext>
                <a:ext uri="{FF2B5EF4-FFF2-40B4-BE49-F238E27FC236}">
                  <a16:creationId xmlns:a16="http://schemas.microsoft.com/office/drawing/2014/main" id="{00000000-0008-0000-0400-00002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387</xdr:row>
          <xdr:rowOff>38100</xdr:rowOff>
        </xdr:from>
        <xdr:to>
          <xdr:col>7</xdr:col>
          <xdr:colOff>238125</xdr:colOff>
          <xdr:row>388</xdr:row>
          <xdr:rowOff>28575</xdr:rowOff>
        </xdr:to>
        <xdr:sp macro="" textlink="">
          <xdr:nvSpPr>
            <xdr:cNvPr id="48165" name="Check Box 37" hidden="1">
              <a:extLst>
                <a:ext uri="{63B3BB69-23CF-44E3-9099-C40C66FF867C}">
                  <a14:compatExt spid="_x0000_s48165"/>
                </a:ext>
                <a:ext uri="{FF2B5EF4-FFF2-40B4-BE49-F238E27FC236}">
                  <a16:creationId xmlns:a16="http://schemas.microsoft.com/office/drawing/2014/main" id="{00000000-0008-0000-0400-00002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388</xdr:row>
          <xdr:rowOff>38100</xdr:rowOff>
        </xdr:from>
        <xdr:to>
          <xdr:col>7</xdr:col>
          <xdr:colOff>238125</xdr:colOff>
          <xdr:row>389</xdr:row>
          <xdr:rowOff>28575</xdr:rowOff>
        </xdr:to>
        <xdr:sp macro="" textlink="">
          <xdr:nvSpPr>
            <xdr:cNvPr id="48166" name="Check Box 38" hidden="1">
              <a:extLst>
                <a:ext uri="{63B3BB69-23CF-44E3-9099-C40C66FF867C}">
                  <a14:compatExt spid="_x0000_s48166"/>
                </a:ext>
                <a:ext uri="{FF2B5EF4-FFF2-40B4-BE49-F238E27FC236}">
                  <a16:creationId xmlns:a16="http://schemas.microsoft.com/office/drawing/2014/main" id="{00000000-0008-0000-0400-00002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389</xdr:row>
          <xdr:rowOff>38100</xdr:rowOff>
        </xdr:from>
        <xdr:to>
          <xdr:col>7</xdr:col>
          <xdr:colOff>238125</xdr:colOff>
          <xdr:row>390</xdr:row>
          <xdr:rowOff>38100</xdr:rowOff>
        </xdr:to>
        <xdr:sp macro="" textlink="">
          <xdr:nvSpPr>
            <xdr:cNvPr id="48167" name="Check Box 39" hidden="1">
              <a:extLst>
                <a:ext uri="{63B3BB69-23CF-44E3-9099-C40C66FF867C}">
                  <a14:compatExt spid="_x0000_s48167"/>
                </a:ext>
                <a:ext uri="{FF2B5EF4-FFF2-40B4-BE49-F238E27FC236}">
                  <a16:creationId xmlns:a16="http://schemas.microsoft.com/office/drawing/2014/main" id="{00000000-0008-0000-0400-00002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384</xdr:row>
          <xdr:rowOff>0</xdr:rowOff>
        </xdr:from>
        <xdr:to>
          <xdr:col>15</xdr:col>
          <xdr:colOff>0</xdr:colOff>
          <xdr:row>385</xdr:row>
          <xdr:rowOff>0</xdr:rowOff>
        </xdr:to>
        <xdr:grpSp>
          <xdr:nvGrpSpPr>
            <xdr:cNvPr id="90661" name="Group 40">
              <a:extLst>
                <a:ext uri="{FF2B5EF4-FFF2-40B4-BE49-F238E27FC236}">
                  <a16:creationId xmlns:a16="http://schemas.microsoft.com/office/drawing/2014/main" id="{00000000-0008-0000-0400-000025620100}"/>
                </a:ext>
              </a:extLst>
            </xdr:cNvPr>
            <xdr:cNvGrpSpPr>
              <a:grpSpLocks/>
            </xdr:cNvGrpSpPr>
          </xdr:nvGrpSpPr>
          <xdr:grpSpPr bwMode="auto">
            <a:xfrm>
              <a:off x="103188" y="71755000"/>
              <a:ext cx="5302250" cy="269875"/>
              <a:chOff x="11" y="6774"/>
              <a:chExt cx="554" cy="26"/>
            </a:xfrm>
          </xdr:grpSpPr>
          <xdr:sp macro="" textlink="">
            <xdr:nvSpPr>
              <xdr:cNvPr id="48169" name="Group Box 41" hidden="1">
                <a:extLst>
                  <a:ext uri="{63B3BB69-23CF-44E3-9099-C40C66FF867C}">
                    <a14:compatExt spid="_x0000_s48169"/>
                  </a:ext>
                  <a:ext uri="{FF2B5EF4-FFF2-40B4-BE49-F238E27FC236}">
                    <a16:creationId xmlns:a16="http://schemas.microsoft.com/office/drawing/2014/main" id="{00000000-0008-0000-0400-000029BC0000}"/>
                  </a:ext>
                </a:extLst>
              </xdr:cNvPr>
              <xdr:cNvSpPr/>
            </xdr:nvSpPr>
            <xdr:spPr bwMode="auto">
              <a:xfrm>
                <a:off x="11" y="6774"/>
                <a:ext cx="554" cy="26"/>
              </a:xfrm>
              <a:prstGeom prst="rect">
                <a:avLst/>
              </a:prstGeom>
              <a:noFill/>
              <a:ln w="9525">
                <a:miter lim="800000"/>
                <a:headEnd/>
                <a:tailEnd/>
              </a:ln>
              <a:extLst>
                <a:ext uri="{909E8E84-426E-40DD-AFC4-6F175D3DCCD1}">
                  <a14:hiddenFill>
                    <a:noFill/>
                  </a14:hiddenFill>
                </a:ext>
              </a:extLst>
            </xdr:spPr>
          </xdr:sp>
          <xdr:sp macro="" textlink="">
            <xdr:nvSpPr>
              <xdr:cNvPr id="48170" name="Option Button 42" hidden="1">
                <a:extLst>
                  <a:ext uri="{63B3BB69-23CF-44E3-9099-C40C66FF867C}">
                    <a14:compatExt spid="_x0000_s48170"/>
                  </a:ext>
                  <a:ext uri="{FF2B5EF4-FFF2-40B4-BE49-F238E27FC236}">
                    <a16:creationId xmlns:a16="http://schemas.microsoft.com/office/drawing/2014/main" id="{00000000-0008-0000-0400-00002ABC0000}"/>
                  </a:ext>
                </a:extLst>
              </xdr:cNvPr>
              <xdr:cNvSpPr/>
            </xdr:nvSpPr>
            <xdr:spPr bwMode="auto">
              <a:xfrm>
                <a:off x="12" y="6775"/>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71" name="Option Button 43" hidden="1">
                <a:extLst>
                  <a:ext uri="{63B3BB69-23CF-44E3-9099-C40C66FF867C}">
                    <a14:compatExt spid="_x0000_s48171"/>
                  </a:ext>
                  <a:ext uri="{FF2B5EF4-FFF2-40B4-BE49-F238E27FC236}">
                    <a16:creationId xmlns:a16="http://schemas.microsoft.com/office/drawing/2014/main" id="{00000000-0008-0000-0400-00002BBC0000}"/>
                  </a:ext>
                </a:extLst>
              </xdr:cNvPr>
              <xdr:cNvSpPr/>
            </xdr:nvSpPr>
            <xdr:spPr bwMode="auto">
              <a:xfrm>
                <a:off x="72" y="6775"/>
                <a:ext cx="1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hand at the carpal bones</a:t>
                </a:r>
              </a:p>
            </xdr:txBody>
          </xdr:sp>
          <xdr:sp macro="" textlink="">
            <xdr:nvSpPr>
              <xdr:cNvPr id="48172" name="Option Button 44" hidden="1">
                <a:extLst>
                  <a:ext uri="{63B3BB69-23CF-44E3-9099-C40C66FF867C}">
                    <a14:compatExt spid="_x0000_s48172"/>
                  </a:ext>
                  <a:ext uri="{FF2B5EF4-FFF2-40B4-BE49-F238E27FC236}">
                    <a16:creationId xmlns:a16="http://schemas.microsoft.com/office/drawing/2014/main" id="{00000000-0008-0000-0400-00002CBC0000}"/>
                  </a:ext>
                </a:extLst>
              </xdr:cNvPr>
              <xdr:cNvSpPr/>
            </xdr:nvSpPr>
            <xdr:spPr bwMode="auto">
              <a:xfrm>
                <a:off x="280" y="6774"/>
                <a:ext cx="2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forearm at or proximal to the wrist joint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412</xdr:row>
          <xdr:rowOff>0</xdr:rowOff>
        </xdr:to>
        <xdr:grpSp>
          <xdr:nvGrpSpPr>
            <xdr:cNvPr id="90662" name="Group 45">
              <a:extLst>
                <a:ext uri="{FF2B5EF4-FFF2-40B4-BE49-F238E27FC236}">
                  <a16:creationId xmlns:a16="http://schemas.microsoft.com/office/drawing/2014/main" id="{00000000-0008-0000-0400-000026620100}"/>
                </a:ext>
              </a:extLst>
            </xdr:cNvPr>
            <xdr:cNvGrpSpPr>
              <a:grpSpLocks/>
            </xdr:cNvGrpSpPr>
          </xdr:nvGrpSpPr>
          <xdr:grpSpPr bwMode="auto">
            <a:xfrm>
              <a:off x="1595438" y="77089000"/>
              <a:ext cx="3810000" cy="246063"/>
              <a:chOff x="168" y="7315"/>
              <a:chExt cx="398" cy="26"/>
            </a:xfrm>
          </xdr:grpSpPr>
          <xdr:sp macro="" textlink="">
            <xdr:nvSpPr>
              <xdr:cNvPr id="48174" name="Group Box 46" hidden="1">
                <a:extLst>
                  <a:ext uri="{63B3BB69-23CF-44E3-9099-C40C66FF867C}">
                    <a14:compatExt spid="_x0000_s48174"/>
                  </a:ext>
                  <a:ext uri="{FF2B5EF4-FFF2-40B4-BE49-F238E27FC236}">
                    <a16:creationId xmlns:a16="http://schemas.microsoft.com/office/drawing/2014/main" id="{00000000-0008-0000-0400-00002EBC0000}"/>
                  </a:ext>
                </a:extLst>
              </xdr:cNvPr>
              <xdr:cNvSpPr/>
            </xdr:nvSpPr>
            <xdr:spPr bwMode="auto">
              <a:xfrm>
                <a:off x="168" y="7315"/>
                <a:ext cx="398" cy="26"/>
              </a:xfrm>
              <a:prstGeom prst="rect">
                <a:avLst/>
              </a:prstGeom>
              <a:noFill/>
              <a:ln w="9525">
                <a:miter lim="800000"/>
                <a:headEnd/>
                <a:tailEnd/>
              </a:ln>
              <a:extLst>
                <a:ext uri="{909E8E84-426E-40DD-AFC4-6F175D3DCCD1}">
                  <a14:hiddenFill>
                    <a:noFill/>
                  </a14:hiddenFill>
                </a:ext>
              </a:extLst>
            </xdr:spPr>
          </xdr:sp>
          <xdr:sp macro="" textlink="">
            <xdr:nvSpPr>
              <xdr:cNvPr id="48175" name="Option Button 47" hidden="1">
                <a:extLst>
                  <a:ext uri="{63B3BB69-23CF-44E3-9099-C40C66FF867C}">
                    <a14:compatExt spid="_x0000_s48175"/>
                  </a:ext>
                  <a:ext uri="{FF2B5EF4-FFF2-40B4-BE49-F238E27FC236}">
                    <a16:creationId xmlns:a16="http://schemas.microsoft.com/office/drawing/2014/main" id="{00000000-0008-0000-0400-00002FBC0000}"/>
                  </a:ext>
                </a:extLst>
              </xdr:cNvPr>
              <xdr:cNvSpPr/>
            </xdr:nvSpPr>
            <xdr:spPr bwMode="auto">
              <a:xfrm>
                <a:off x="168" y="7317"/>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76" name="Option Button 48" hidden="1">
                <a:extLst>
                  <a:ext uri="{63B3BB69-23CF-44E3-9099-C40C66FF867C}">
                    <a14:compatExt spid="_x0000_s48176"/>
                  </a:ext>
                  <a:ext uri="{FF2B5EF4-FFF2-40B4-BE49-F238E27FC236}">
                    <a16:creationId xmlns:a16="http://schemas.microsoft.com/office/drawing/2014/main" id="{00000000-0008-0000-0400-000030BC0000}"/>
                  </a:ext>
                </a:extLst>
              </xdr:cNvPr>
              <xdr:cNvSpPr/>
            </xdr:nvSpPr>
            <xdr:spPr bwMode="auto">
              <a:xfrm>
                <a:off x="251" y="7317"/>
                <a:ext cx="13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8177" name="Option Button 49" hidden="1">
                <a:extLst>
                  <a:ext uri="{63B3BB69-23CF-44E3-9099-C40C66FF867C}">
                    <a14:compatExt spid="_x0000_s48177"/>
                  </a:ext>
                  <a:ext uri="{FF2B5EF4-FFF2-40B4-BE49-F238E27FC236}">
                    <a16:creationId xmlns:a16="http://schemas.microsoft.com/office/drawing/2014/main" id="{00000000-0008-0000-0400-000031BC0000}"/>
                  </a:ext>
                </a:extLst>
              </xdr:cNvPr>
              <xdr:cNvSpPr/>
            </xdr:nvSpPr>
            <xdr:spPr bwMode="auto">
              <a:xfrm>
                <a:off x="414" y="7317"/>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413</xdr:row>
          <xdr:rowOff>0</xdr:rowOff>
        </xdr:to>
        <xdr:grpSp>
          <xdr:nvGrpSpPr>
            <xdr:cNvPr id="90663" name="Group 50">
              <a:extLst>
                <a:ext uri="{FF2B5EF4-FFF2-40B4-BE49-F238E27FC236}">
                  <a16:creationId xmlns:a16="http://schemas.microsoft.com/office/drawing/2014/main" id="{00000000-0008-0000-0400-000027620100}"/>
                </a:ext>
              </a:extLst>
            </xdr:cNvPr>
            <xdr:cNvGrpSpPr>
              <a:grpSpLocks/>
            </xdr:cNvGrpSpPr>
          </xdr:nvGrpSpPr>
          <xdr:grpSpPr bwMode="auto">
            <a:xfrm>
              <a:off x="1595438" y="77335063"/>
              <a:ext cx="3810000" cy="246062"/>
              <a:chOff x="168" y="7341"/>
              <a:chExt cx="398" cy="26"/>
            </a:xfrm>
          </xdr:grpSpPr>
          <xdr:sp macro="" textlink="">
            <xdr:nvSpPr>
              <xdr:cNvPr id="48179" name="Group Box 51" hidden="1">
                <a:extLst>
                  <a:ext uri="{63B3BB69-23CF-44E3-9099-C40C66FF867C}">
                    <a14:compatExt spid="_x0000_s48179"/>
                  </a:ext>
                  <a:ext uri="{FF2B5EF4-FFF2-40B4-BE49-F238E27FC236}">
                    <a16:creationId xmlns:a16="http://schemas.microsoft.com/office/drawing/2014/main" id="{00000000-0008-0000-0400-000033BC0000}"/>
                  </a:ext>
                </a:extLst>
              </xdr:cNvPr>
              <xdr:cNvSpPr/>
            </xdr:nvSpPr>
            <xdr:spPr bwMode="auto">
              <a:xfrm>
                <a:off x="168" y="7341"/>
                <a:ext cx="398" cy="26"/>
              </a:xfrm>
              <a:prstGeom prst="rect">
                <a:avLst/>
              </a:prstGeom>
              <a:noFill/>
              <a:ln w="9525">
                <a:miter lim="800000"/>
                <a:headEnd/>
                <a:tailEnd/>
              </a:ln>
              <a:extLst>
                <a:ext uri="{909E8E84-426E-40DD-AFC4-6F175D3DCCD1}">
                  <a14:hiddenFill>
                    <a:noFill/>
                  </a14:hiddenFill>
                </a:ext>
              </a:extLst>
            </xdr:spPr>
          </xdr:sp>
          <xdr:sp macro="" textlink="">
            <xdr:nvSpPr>
              <xdr:cNvPr id="48180" name="Option Button 52" hidden="1">
                <a:extLst>
                  <a:ext uri="{63B3BB69-23CF-44E3-9099-C40C66FF867C}">
                    <a14:compatExt spid="_x0000_s48180"/>
                  </a:ext>
                  <a:ext uri="{FF2B5EF4-FFF2-40B4-BE49-F238E27FC236}">
                    <a16:creationId xmlns:a16="http://schemas.microsoft.com/office/drawing/2014/main" id="{00000000-0008-0000-0400-000034BC0000}"/>
                  </a:ext>
                </a:extLst>
              </xdr:cNvPr>
              <xdr:cNvSpPr/>
            </xdr:nvSpPr>
            <xdr:spPr bwMode="auto">
              <a:xfrm>
                <a:off x="168" y="7343"/>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81" name="Option Button 53" hidden="1">
                <a:extLst>
                  <a:ext uri="{63B3BB69-23CF-44E3-9099-C40C66FF867C}">
                    <a14:compatExt spid="_x0000_s48181"/>
                  </a:ext>
                  <a:ext uri="{FF2B5EF4-FFF2-40B4-BE49-F238E27FC236}">
                    <a16:creationId xmlns:a16="http://schemas.microsoft.com/office/drawing/2014/main" id="{00000000-0008-0000-0400-000035BC0000}"/>
                  </a:ext>
                </a:extLst>
              </xdr:cNvPr>
              <xdr:cNvSpPr/>
            </xdr:nvSpPr>
            <xdr:spPr bwMode="auto">
              <a:xfrm>
                <a:off x="251" y="7343"/>
                <a:ext cx="13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8182" name="Option Button 54" hidden="1">
                <a:extLst>
                  <a:ext uri="{63B3BB69-23CF-44E3-9099-C40C66FF867C}">
                    <a14:compatExt spid="_x0000_s48182"/>
                  </a:ext>
                  <a:ext uri="{FF2B5EF4-FFF2-40B4-BE49-F238E27FC236}">
                    <a16:creationId xmlns:a16="http://schemas.microsoft.com/office/drawing/2014/main" id="{00000000-0008-0000-0400-000036BC0000}"/>
                  </a:ext>
                </a:extLst>
              </xdr:cNvPr>
              <xdr:cNvSpPr/>
            </xdr:nvSpPr>
            <xdr:spPr bwMode="auto">
              <a:xfrm>
                <a:off x="414" y="7343"/>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414</xdr:row>
          <xdr:rowOff>0</xdr:rowOff>
        </xdr:from>
        <xdr:to>
          <xdr:col>15</xdr:col>
          <xdr:colOff>0</xdr:colOff>
          <xdr:row>415</xdr:row>
          <xdr:rowOff>0</xdr:rowOff>
        </xdr:to>
        <xdr:grpSp>
          <xdr:nvGrpSpPr>
            <xdr:cNvPr id="90664" name="Group 55">
              <a:extLst>
                <a:ext uri="{FF2B5EF4-FFF2-40B4-BE49-F238E27FC236}">
                  <a16:creationId xmlns:a16="http://schemas.microsoft.com/office/drawing/2014/main" id="{00000000-0008-0000-0400-000028620100}"/>
                </a:ext>
              </a:extLst>
            </xdr:cNvPr>
            <xdr:cNvGrpSpPr>
              <a:grpSpLocks/>
            </xdr:cNvGrpSpPr>
          </xdr:nvGrpSpPr>
          <xdr:grpSpPr bwMode="auto">
            <a:xfrm>
              <a:off x="1595438" y="77811313"/>
              <a:ext cx="3810000" cy="246062"/>
              <a:chOff x="169" y="7437"/>
              <a:chExt cx="397" cy="26"/>
            </a:xfrm>
          </xdr:grpSpPr>
          <xdr:sp macro="" textlink="">
            <xdr:nvSpPr>
              <xdr:cNvPr id="48184" name="Group Box 56" hidden="1">
                <a:extLst>
                  <a:ext uri="{63B3BB69-23CF-44E3-9099-C40C66FF867C}">
                    <a14:compatExt spid="_x0000_s48184"/>
                  </a:ext>
                  <a:ext uri="{FF2B5EF4-FFF2-40B4-BE49-F238E27FC236}">
                    <a16:creationId xmlns:a16="http://schemas.microsoft.com/office/drawing/2014/main" id="{00000000-0008-0000-0400-000038BC0000}"/>
                  </a:ext>
                </a:extLst>
              </xdr:cNvPr>
              <xdr:cNvSpPr/>
            </xdr:nvSpPr>
            <xdr:spPr bwMode="auto">
              <a:xfrm>
                <a:off x="169" y="7437"/>
                <a:ext cx="397" cy="26"/>
              </a:xfrm>
              <a:prstGeom prst="rect">
                <a:avLst/>
              </a:prstGeom>
              <a:noFill/>
              <a:ln w="9525">
                <a:miter lim="800000"/>
                <a:headEnd/>
                <a:tailEnd/>
              </a:ln>
              <a:extLst>
                <a:ext uri="{909E8E84-426E-40DD-AFC4-6F175D3DCCD1}">
                  <a14:hiddenFill>
                    <a:noFill/>
                  </a14:hiddenFill>
                </a:ext>
              </a:extLst>
            </xdr:spPr>
          </xdr:sp>
          <xdr:sp macro="" textlink="">
            <xdr:nvSpPr>
              <xdr:cNvPr id="48185" name="Option Button 57" hidden="1">
                <a:extLst>
                  <a:ext uri="{63B3BB69-23CF-44E3-9099-C40C66FF867C}">
                    <a14:compatExt spid="_x0000_s48185"/>
                  </a:ext>
                  <a:ext uri="{FF2B5EF4-FFF2-40B4-BE49-F238E27FC236}">
                    <a16:creationId xmlns:a16="http://schemas.microsoft.com/office/drawing/2014/main" id="{00000000-0008-0000-0400-000039BC0000}"/>
                  </a:ext>
                </a:extLst>
              </xdr:cNvPr>
              <xdr:cNvSpPr/>
            </xdr:nvSpPr>
            <xdr:spPr bwMode="auto">
              <a:xfrm>
                <a:off x="169" y="7439"/>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86" name="Option Button 58" hidden="1">
                <a:extLst>
                  <a:ext uri="{63B3BB69-23CF-44E3-9099-C40C66FF867C}">
                    <a14:compatExt spid="_x0000_s48186"/>
                  </a:ext>
                  <a:ext uri="{FF2B5EF4-FFF2-40B4-BE49-F238E27FC236}">
                    <a16:creationId xmlns:a16="http://schemas.microsoft.com/office/drawing/2014/main" id="{00000000-0008-0000-0400-00003ABC0000}"/>
                  </a:ext>
                </a:extLst>
              </xdr:cNvPr>
              <xdr:cNvSpPr/>
            </xdr:nvSpPr>
            <xdr:spPr bwMode="auto">
              <a:xfrm>
                <a:off x="251"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8187" name="Option Button 59" hidden="1">
                <a:extLst>
                  <a:ext uri="{63B3BB69-23CF-44E3-9099-C40C66FF867C}">
                    <a14:compatExt spid="_x0000_s48187"/>
                  </a:ext>
                  <a:ext uri="{FF2B5EF4-FFF2-40B4-BE49-F238E27FC236}">
                    <a16:creationId xmlns:a16="http://schemas.microsoft.com/office/drawing/2014/main" id="{00000000-0008-0000-0400-00003BBC0000}"/>
                  </a:ext>
                </a:extLst>
              </xdr:cNvPr>
              <xdr:cNvSpPr/>
            </xdr:nvSpPr>
            <xdr:spPr bwMode="auto">
              <a:xfrm>
                <a:off x="413"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415</xdr:row>
          <xdr:rowOff>0</xdr:rowOff>
        </xdr:from>
        <xdr:to>
          <xdr:col>15</xdr:col>
          <xdr:colOff>0</xdr:colOff>
          <xdr:row>416</xdr:row>
          <xdr:rowOff>0</xdr:rowOff>
        </xdr:to>
        <xdr:grpSp>
          <xdr:nvGrpSpPr>
            <xdr:cNvPr id="90665" name="Group 60">
              <a:extLst>
                <a:ext uri="{FF2B5EF4-FFF2-40B4-BE49-F238E27FC236}">
                  <a16:creationId xmlns:a16="http://schemas.microsoft.com/office/drawing/2014/main" id="{00000000-0008-0000-0400-000029620100}"/>
                </a:ext>
              </a:extLst>
            </xdr:cNvPr>
            <xdr:cNvGrpSpPr>
              <a:grpSpLocks/>
            </xdr:cNvGrpSpPr>
          </xdr:nvGrpSpPr>
          <xdr:grpSpPr bwMode="auto">
            <a:xfrm>
              <a:off x="1595438" y="78057375"/>
              <a:ext cx="3810000" cy="246063"/>
              <a:chOff x="169" y="7463"/>
              <a:chExt cx="397" cy="26"/>
            </a:xfrm>
          </xdr:grpSpPr>
          <xdr:sp macro="" textlink="">
            <xdr:nvSpPr>
              <xdr:cNvPr id="48189" name="Group Box 61" hidden="1">
                <a:extLst>
                  <a:ext uri="{63B3BB69-23CF-44E3-9099-C40C66FF867C}">
                    <a14:compatExt spid="_x0000_s48189"/>
                  </a:ext>
                  <a:ext uri="{FF2B5EF4-FFF2-40B4-BE49-F238E27FC236}">
                    <a16:creationId xmlns:a16="http://schemas.microsoft.com/office/drawing/2014/main" id="{00000000-0008-0000-0400-00003DBC0000}"/>
                  </a:ext>
                </a:extLst>
              </xdr:cNvPr>
              <xdr:cNvSpPr/>
            </xdr:nvSpPr>
            <xdr:spPr bwMode="auto">
              <a:xfrm>
                <a:off x="169" y="7463"/>
                <a:ext cx="397" cy="26"/>
              </a:xfrm>
              <a:prstGeom prst="rect">
                <a:avLst/>
              </a:prstGeom>
              <a:noFill/>
              <a:ln w="9525">
                <a:miter lim="800000"/>
                <a:headEnd/>
                <a:tailEnd/>
              </a:ln>
              <a:extLst>
                <a:ext uri="{909E8E84-426E-40DD-AFC4-6F175D3DCCD1}">
                  <a14:hiddenFill>
                    <a:noFill/>
                  </a14:hiddenFill>
                </a:ext>
              </a:extLst>
            </xdr:spPr>
          </xdr:sp>
          <xdr:sp macro="" textlink="">
            <xdr:nvSpPr>
              <xdr:cNvPr id="48190" name="Option Button 62" hidden="1">
                <a:extLst>
                  <a:ext uri="{63B3BB69-23CF-44E3-9099-C40C66FF867C}">
                    <a14:compatExt spid="_x0000_s48190"/>
                  </a:ext>
                  <a:ext uri="{FF2B5EF4-FFF2-40B4-BE49-F238E27FC236}">
                    <a16:creationId xmlns:a16="http://schemas.microsoft.com/office/drawing/2014/main" id="{00000000-0008-0000-0400-00003EBC0000}"/>
                  </a:ext>
                </a:extLst>
              </xdr:cNvPr>
              <xdr:cNvSpPr/>
            </xdr:nvSpPr>
            <xdr:spPr bwMode="auto">
              <a:xfrm>
                <a:off x="169" y="746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191" name="Option Button 63" hidden="1">
                <a:extLst>
                  <a:ext uri="{63B3BB69-23CF-44E3-9099-C40C66FF867C}">
                    <a14:compatExt spid="_x0000_s48191"/>
                  </a:ext>
                  <a:ext uri="{FF2B5EF4-FFF2-40B4-BE49-F238E27FC236}">
                    <a16:creationId xmlns:a16="http://schemas.microsoft.com/office/drawing/2014/main" id="{00000000-0008-0000-0400-00003FBC0000}"/>
                  </a:ext>
                </a:extLst>
              </xdr:cNvPr>
              <xdr:cNvSpPr/>
            </xdr:nvSpPr>
            <xdr:spPr bwMode="auto">
              <a:xfrm>
                <a:off x="251" y="7465"/>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8192" name="Option Button 64" hidden="1">
                <a:extLst>
                  <a:ext uri="{63B3BB69-23CF-44E3-9099-C40C66FF867C}">
                    <a14:compatExt spid="_x0000_s48192"/>
                  </a:ext>
                  <a:ext uri="{FF2B5EF4-FFF2-40B4-BE49-F238E27FC236}">
                    <a16:creationId xmlns:a16="http://schemas.microsoft.com/office/drawing/2014/main" id="{00000000-0008-0000-0400-000040BC0000}"/>
                  </a:ext>
                </a:extLst>
              </xdr:cNvPr>
              <xdr:cNvSpPr/>
            </xdr:nvSpPr>
            <xdr:spPr bwMode="auto">
              <a:xfrm>
                <a:off x="413" y="7465"/>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421</xdr:row>
          <xdr:rowOff>19050</xdr:rowOff>
        </xdr:from>
        <xdr:to>
          <xdr:col>7</xdr:col>
          <xdr:colOff>219075</xdr:colOff>
          <xdr:row>422</xdr:row>
          <xdr:rowOff>9525</xdr:rowOff>
        </xdr:to>
        <xdr:sp macro="" textlink="">
          <xdr:nvSpPr>
            <xdr:cNvPr id="48193" name="Check Box 65" hidden="1">
              <a:extLst>
                <a:ext uri="{63B3BB69-23CF-44E3-9099-C40C66FF867C}">
                  <a14:compatExt spid="_x0000_s48193"/>
                </a:ext>
                <a:ext uri="{FF2B5EF4-FFF2-40B4-BE49-F238E27FC236}">
                  <a16:creationId xmlns:a16="http://schemas.microsoft.com/office/drawing/2014/main" id="{00000000-0008-0000-0400-00004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444</xdr:row>
          <xdr:rowOff>180975</xdr:rowOff>
        </xdr:from>
        <xdr:to>
          <xdr:col>5</xdr:col>
          <xdr:colOff>104775</xdr:colOff>
          <xdr:row>446</xdr:row>
          <xdr:rowOff>19050</xdr:rowOff>
        </xdr:to>
        <xdr:sp macro="" textlink="">
          <xdr:nvSpPr>
            <xdr:cNvPr id="48195" name="Check Box 67" hidden="1">
              <a:extLst>
                <a:ext uri="{63B3BB69-23CF-44E3-9099-C40C66FF867C}">
                  <a14:compatExt spid="_x0000_s48195"/>
                </a:ext>
                <a:ext uri="{FF2B5EF4-FFF2-40B4-BE49-F238E27FC236}">
                  <a16:creationId xmlns:a16="http://schemas.microsoft.com/office/drawing/2014/main" id="{00000000-0008-0000-0400-00004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445</xdr:row>
          <xdr:rowOff>171450</xdr:rowOff>
        </xdr:from>
        <xdr:to>
          <xdr:col>5</xdr:col>
          <xdr:colOff>104775</xdr:colOff>
          <xdr:row>447</xdr:row>
          <xdr:rowOff>9525</xdr:rowOff>
        </xdr:to>
        <xdr:sp macro="" textlink="">
          <xdr:nvSpPr>
            <xdr:cNvPr id="48196" name="Check Box 68" hidden="1">
              <a:extLst>
                <a:ext uri="{63B3BB69-23CF-44E3-9099-C40C66FF867C}">
                  <a14:compatExt spid="_x0000_s48196"/>
                </a:ext>
                <a:ext uri="{FF2B5EF4-FFF2-40B4-BE49-F238E27FC236}">
                  <a16:creationId xmlns:a16="http://schemas.microsoft.com/office/drawing/2014/main" id="{00000000-0008-0000-0400-00004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446</xdr:row>
          <xdr:rowOff>161925</xdr:rowOff>
        </xdr:from>
        <xdr:to>
          <xdr:col>5</xdr:col>
          <xdr:colOff>104775</xdr:colOff>
          <xdr:row>448</xdr:row>
          <xdr:rowOff>0</xdr:rowOff>
        </xdr:to>
        <xdr:sp macro="" textlink="">
          <xdr:nvSpPr>
            <xdr:cNvPr id="48197" name="Check Box 69" hidden="1">
              <a:extLst>
                <a:ext uri="{63B3BB69-23CF-44E3-9099-C40C66FF867C}">
                  <a14:compatExt spid="_x0000_s48197"/>
                </a:ext>
                <a:ext uri="{FF2B5EF4-FFF2-40B4-BE49-F238E27FC236}">
                  <a16:creationId xmlns:a16="http://schemas.microsoft.com/office/drawing/2014/main" id="{00000000-0008-0000-0400-00004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447</xdr:row>
          <xdr:rowOff>152400</xdr:rowOff>
        </xdr:from>
        <xdr:to>
          <xdr:col>5</xdr:col>
          <xdr:colOff>104775</xdr:colOff>
          <xdr:row>448</xdr:row>
          <xdr:rowOff>180975</xdr:rowOff>
        </xdr:to>
        <xdr:sp macro="" textlink="">
          <xdr:nvSpPr>
            <xdr:cNvPr id="48198" name="Check Box 70" hidden="1">
              <a:extLst>
                <a:ext uri="{63B3BB69-23CF-44E3-9099-C40C66FF867C}">
                  <a14:compatExt spid="_x0000_s48198"/>
                </a:ext>
                <a:ext uri="{FF2B5EF4-FFF2-40B4-BE49-F238E27FC236}">
                  <a16:creationId xmlns:a16="http://schemas.microsoft.com/office/drawing/2014/main" id="{00000000-0008-0000-0400-00004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448</xdr:row>
          <xdr:rowOff>161925</xdr:rowOff>
        </xdr:from>
        <xdr:to>
          <xdr:col>5</xdr:col>
          <xdr:colOff>104775</xdr:colOff>
          <xdr:row>450</xdr:row>
          <xdr:rowOff>0</xdr:rowOff>
        </xdr:to>
        <xdr:sp macro="" textlink="">
          <xdr:nvSpPr>
            <xdr:cNvPr id="48199" name="Check Box 71" hidden="1">
              <a:extLst>
                <a:ext uri="{63B3BB69-23CF-44E3-9099-C40C66FF867C}">
                  <a14:compatExt spid="_x0000_s48199"/>
                </a:ext>
                <a:ext uri="{FF2B5EF4-FFF2-40B4-BE49-F238E27FC236}">
                  <a16:creationId xmlns:a16="http://schemas.microsoft.com/office/drawing/2014/main" id="{00000000-0008-0000-0400-00004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452</xdr:row>
          <xdr:rowOff>190500</xdr:rowOff>
        </xdr:from>
        <xdr:to>
          <xdr:col>5</xdr:col>
          <xdr:colOff>104775</xdr:colOff>
          <xdr:row>454</xdr:row>
          <xdr:rowOff>0</xdr:rowOff>
        </xdr:to>
        <xdr:sp macro="" textlink="">
          <xdr:nvSpPr>
            <xdr:cNvPr id="48200" name="Check Box 72" hidden="1">
              <a:extLst>
                <a:ext uri="{63B3BB69-23CF-44E3-9099-C40C66FF867C}">
                  <a14:compatExt spid="_x0000_s48200"/>
                </a:ext>
                <a:ext uri="{FF2B5EF4-FFF2-40B4-BE49-F238E27FC236}">
                  <a16:creationId xmlns:a16="http://schemas.microsoft.com/office/drawing/2014/main" id="{00000000-0008-0000-0400-00004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453</xdr:row>
          <xdr:rowOff>333375</xdr:rowOff>
        </xdr:from>
        <xdr:to>
          <xdr:col>5</xdr:col>
          <xdr:colOff>104775</xdr:colOff>
          <xdr:row>455</xdr:row>
          <xdr:rowOff>19050</xdr:rowOff>
        </xdr:to>
        <xdr:sp macro="" textlink="">
          <xdr:nvSpPr>
            <xdr:cNvPr id="48201" name="Check Box 73" hidden="1">
              <a:extLst>
                <a:ext uri="{63B3BB69-23CF-44E3-9099-C40C66FF867C}">
                  <a14:compatExt spid="_x0000_s48201"/>
                </a:ext>
                <a:ext uri="{FF2B5EF4-FFF2-40B4-BE49-F238E27FC236}">
                  <a16:creationId xmlns:a16="http://schemas.microsoft.com/office/drawing/2014/main" id="{00000000-0008-0000-0400-00004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454</xdr:row>
          <xdr:rowOff>171450</xdr:rowOff>
        </xdr:from>
        <xdr:to>
          <xdr:col>5</xdr:col>
          <xdr:colOff>104775</xdr:colOff>
          <xdr:row>456</xdr:row>
          <xdr:rowOff>9525</xdr:rowOff>
        </xdr:to>
        <xdr:sp macro="" textlink="">
          <xdr:nvSpPr>
            <xdr:cNvPr id="48202" name="Check Box 74" hidden="1">
              <a:extLst>
                <a:ext uri="{63B3BB69-23CF-44E3-9099-C40C66FF867C}">
                  <a14:compatExt spid="_x0000_s48202"/>
                </a:ext>
                <a:ext uri="{FF2B5EF4-FFF2-40B4-BE49-F238E27FC236}">
                  <a16:creationId xmlns:a16="http://schemas.microsoft.com/office/drawing/2014/main" id="{00000000-0008-0000-0400-00004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455</xdr:row>
          <xdr:rowOff>161925</xdr:rowOff>
        </xdr:from>
        <xdr:to>
          <xdr:col>5</xdr:col>
          <xdr:colOff>104775</xdr:colOff>
          <xdr:row>457</xdr:row>
          <xdr:rowOff>0</xdr:rowOff>
        </xdr:to>
        <xdr:sp macro="" textlink="">
          <xdr:nvSpPr>
            <xdr:cNvPr id="48203" name="Check Box 75" hidden="1">
              <a:extLst>
                <a:ext uri="{63B3BB69-23CF-44E3-9099-C40C66FF867C}">
                  <a14:compatExt spid="_x0000_s48203"/>
                </a:ext>
                <a:ext uri="{FF2B5EF4-FFF2-40B4-BE49-F238E27FC236}">
                  <a16:creationId xmlns:a16="http://schemas.microsoft.com/office/drawing/2014/main" id="{00000000-0008-0000-0400-00004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459</xdr:row>
          <xdr:rowOff>28575</xdr:rowOff>
        </xdr:from>
        <xdr:to>
          <xdr:col>5</xdr:col>
          <xdr:colOff>104775</xdr:colOff>
          <xdr:row>460</xdr:row>
          <xdr:rowOff>19050</xdr:rowOff>
        </xdr:to>
        <xdr:sp macro="" textlink="">
          <xdr:nvSpPr>
            <xdr:cNvPr id="48204" name="Check Box 76" hidden="1">
              <a:extLst>
                <a:ext uri="{63B3BB69-23CF-44E3-9099-C40C66FF867C}">
                  <a14:compatExt spid="_x0000_s48204"/>
                </a:ext>
                <a:ext uri="{FF2B5EF4-FFF2-40B4-BE49-F238E27FC236}">
                  <a16:creationId xmlns:a16="http://schemas.microsoft.com/office/drawing/2014/main" id="{00000000-0008-0000-0400-00004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460</xdr:row>
          <xdr:rowOff>19050</xdr:rowOff>
        </xdr:from>
        <xdr:to>
          <xdr:col>5</xdr:col>
          <xdr:colOff>104775</xdr:colOff>
          <xdr:row>461</xdr:row>
          <xdr:rowOff>9525</xdr:rowOff>
        </xdr:to>
        <xdr:sp macro="" textlink="">
          <xdr:nvSpPr>
            <xdr:cNvPr id="48205" name="Check Box 77" hidden="1">
              <a:extLst>
                <a:ext uri="{63B3BB69-23CF-44E3-9099-C40C66FF867C}">
                  <a14:compatExt spid="_x0000_s48205"/>
                </a:ext>
                <a:ext uri="{FF2B5EF4-FFF2-40B4-BE49-F238E27FC236}">
                  <a16:creationId xmlns:a16="http://schemas.microsoft.com/office/drawing/2014/main" id="{00000000-0008-0000-0400-00004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461</xdr:row>
          <xdr:rowOff>19050</xdr:rowOff>
        </xdr:from>
        <xdr:to>
          <xdr:col>5</xdr:col>
          <xdr:colOff>104775</xdr:colOff>
          <xdr:row>462</xdr:row>
          <xdr:rowOff>9525</xdr:rowOff>
        </xdr:to>
        <xdr:sp macro="" textlink="">
          <xdr:nvSpPr>
            <xdr:cNvPr id="48206" name="Check Box 78" hidden="1">
              <a:extLst>
                <a:ext uri="{63B3BB69-23CF-44E3-9099-C40C66FF867C}">
                  <a14:compatExt spid="_x0000_s48206"/>
                </a:ext>
                <a:ext uri="{FF2B5EF4-FFF2-40B4-BE49-F238E27FC236}">
                  <a16:creationId xmlns:a16="http://schemas.microsoft.com/office/drawing/2014/main" id="{00000000-0008-0000-0400-00004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462</xdr:row>
          <xdr:rowOff>19050</xdr:rowOff>
        </xdr:from>
        <xdr:to>
          <xdr:col>5</xdr:col>
          <xdr:colOff>104775</xdr:colOff>
          <xdr:row>463</xdr:row>
          <xdr:rowOff>9525</xdr:rowOff>
        </xdr:to>
        <xdr:sp macro="" textlink="">
          <xdr:nvSpPr>
            <xdr:cNvPr id="48207" name="Check Box 79" hidden="1">
              <a:extLst>
                <a:ext uri="{63B3BB69-23CF-44E3-9099-C40C66FF867C}">
                  <a14:compatExt spid="_x0000_s48207"/>
                </a:ext>
                <a:ext uri="{FF2B5EF4-FFF2-40B4-BE49-F238E27FC236}">
                  <a16:creationId xmlns:a16="http://schemas.microsoft.com/office/drawing/2014/main" id="{00000000-0008-0000-0400-00004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463</xdr:row>
          <xdr:rowOff>19050</xdr:rowOff>
        </xdr:from>
        <xdr:to>
          <xdr:col>5</xdr:col>
          <xdr:colOff>104775</xdr:colOff>
          <xdr:row>464</xdr:row>
          <xdr:rowOff>9525</xdr:rowOff>
        </xdr:to>
        <xdr:sp macro="" textlink="">
          <xdr:nvSpPr>
            <xdr:cNvPr id="48208" name="Check Box 80" hidden="1">
              <a:extLst>
                <a:ext uri="{63B3BB69-23CF-44E3-9099-C40C66FF867C}">
                  <a14:compatExt spid="_x0000_s48208"/>
                </a:ext>
                <a:ext uri="{FF2B5EF4-FFF2-40B4-BE49-F238E27FC236}">
                  <a16:creationId xmlns:a16="http://schemas.microsoft.com/office/drawing/2014/main" id="{00000000-0008-0000-0400-00005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473</xdr:row>
          <xdr:rowOff>190500</xdr:rowOff>
        </xdr:from>
        <xdr:to>
          <xdr:col>5</xdr:col>
          <xdr:colOff>104775</xdr:colOff>
          <xdr:row>475</xdr:row>
          <xdr:rowOff>28575</xdr:rowOff>
        </xdr:to>
        <xdr:sp macro="" textlink="">
          <xdr:nvSpPr>
            <xdr:cNvPr id="48209" name="Check Box 81" hidden="1">
              <a:extLst>
                <a:ext uri="{63B3BB69-23CF-44E3-9099-C40C66FF867C}">
                  <a14:compatExt spid="_x0000_s48209"/>
                </a:ext>
                <a:ext uri="{FF2B5EF4-FFF2-40B4-BE49-F238E27FC236}">
                  <a16:creationId xmlns:a16="http://schemas.microsoft.com/office/drawing/2014/main" id="{00000000-0008-0000-0400-00005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474</xdr:row>
          <xdr:rowOff>180975</xdr:rowOff>
        </xdr:from>
        <xdr:to>
          <xdr:col>5</xdr:col>
          <xdr:colOff>104775</xdr:colOff>
          <xdr:row>476</xdr:row>
          <xdr:rowOff>19050</xdr:rowOff>
        </xdr:to>
        <xdr:sp macro="" textlink="">
          <xdr:nvSpPr>
            <xdr:cNvPr id="48210" name="Check Box 82" hidden="1">
              <a:extLst>
                <a:ext uri="{63B3BB69-23CF-44E3-9099-C40C66FF867C}">
                  <a14:compatExt spid="_x0000_s48210"/>
                </a:ext>
                <a:ext uri="{FF2B5EF4-FFF2-40B4-BE49-F238E27FC236}">
                  <a16:creationId xmlns:a16="http://schemas.microsoft.com/office/drawing/2014/main" id="{00000000-0008-0000-0400-00005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489</xdr:row>
          <xdr:rowOff>190500</xdr:rowOff>
        </xdr:from>
        <xdr:to>
          <xdr:col>5</xdr:col>
          <xdr:colOff>104775</xdr:colOff>
          <xdr:row>491</xdr:row>
          <xdr:rowOff>28575</xdr:rowOff>
        </xdr:to>
        <xdr:sp macro="" textlink="">
          <xdr:nvSpPr>
            <xdr:cNvPr id="48211" name="Check Box 83" hidden="1">
              <a:extLst>
                <a:ext uri="{63B3BB69-23CF-44E3-9099-C40C66FF867C}">
                  <a14:compatExt spid="_x0000_s48211"/>
                </a:ext>
                <a:ext uri="{FF2B5EF4-FFF2-40B4-BE49-F238E27FC236}">
                  <a16:creationId xmlns:a16="http://schemas.microsoft.com/office/drawing/2014/main" id="{00000000-0008-0000-0400-00005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465</xdr:row>
          <xdr:rowOff>152400</xdr:rowOff>
        </xdr:from>
        <xdr:to>
          <xdr:col>5</xdr:col>
          <xdr:colOff>104775</xdr:colOff>
          <xdr:row>467</xdr:row>
          <xdr:rowOff>28575</xdr:rowOff>
        </xdr:to>
        <xdr:sp macro="" textlink="">
          <xdr:nvSpPr>
            <xdr:cNvPr id="48212" name="Check Box 84" hidden="1">
              <a:extLst>
                <a:ext uri="{63B3BB69-23CF-44E3-9099-C40C66FF867C}">
                  <a14:compatExt spid="_x0000_s48212"/>
                </a:ext>
                <a:ext uri="{FF2B5EF4-FFF2-40B4-BE49-F238E27FC236}">
                  <a16:creationId xmlns:a16="http://schemas.microsoft.com/office/drawing/2014/main" id="{00000000-0008-0000-0400-00005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488</xdr:row>
          <xdr:rowOff>171450</xdr:rowOff>
        </xdr:from>
        <xdr:to>
          <xdr:col>5</xdr:col>
          <xdr:colOff>104775</xdr:colOff>
          <xdr:row>490</xdr:row>
          <xdr:rowOff>9525</xdr:rowOff>
        </xdr:to>
        <xdr:sp macro="" textlink="">
          <xdr:nvSpPr>
            <xdr:cNvPr id="48213" name="Check Box 85" hidden="1">
              <a:extLst>
                <a:ext uri="{63B3BB69-23CF-44E3-9099-C40C66FF867C}">
                  <a14:compatExt spid="_x0000_s48213"/>
                </a:ext>
                <a:ext uri="{FF2B5EF4-FFF2-40B4-BE49-F238E27FC236}">
                  <a16:creationId xmlns:a16="http://schemas.microsoft.com/office/drawing/2014/main" id="{00000000-0008-0000-0400-00005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473</xdr:row>
          <xdr:rowOff>28575</xdr:rowOff>
        </xdr:from>
        <xdr:to>
          <xdr:col>5</xdr:col>
          <xdr:colOff>104775</xdr:colOff>
          <xdr:row>474</xdr:row>
          <xdr:rowOff>57150</xdr:rowOff>
        </xdr:to>
        <xdr:sp macro="" textlink="">
          <xdr:nvSpPr>
            <xdr:cNvPr id="48214" name="Check Box 86" hidden="1">
              <a:extLst>
                <a:ext uri="{63B3BB69-23CF-44E3-9099-C40C66FF867C}">
                  <a14:compatExt spid="_x0000_s48214"/>
                </a:ext>
                <a:ext uri="{FF2B5EF4-FFF2-40B4-BE49-F238E27FC236}">
                  <a16:creationId xmlns:a16="http://schemas.microsoft.com/office/drawing/2014/main" id="{00000000-0008-0000-0400-00005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9525</xdr:colOff>
          <xdr:row>459</xdr:row>
          <xdr:rowOff>38100</xdr:rowOff>
        </xdr:from>
        <xdr:to>
          <xdr:col>3</xdr:col>
          <xdr:colOff>257175</xdr:colOff>
          <xdr:row>464</xdr:row>
          <xdr:rowOff>38100</xdr:rowOff>
        </xdr:to>
        <xdr:sp macro="" textlink="">
          <xdr:nvSpPr>
            <xdr:cNvPr id="48216" name="Group Box 88" hidden="1">
              <a:extLst>
                <a:ext uri="{63B3BB69-23CF-44E3-9099-C40C66FF867C}">
                  <a14:compatExt spid="_x0000_s48216"/>
                </a:ext>
                <a:ext uri="{FF2B5EF4-FFF2-40B4-BE49-F238E27FC236}">
                  <a16:creationId xmlns:a16="http://schemas.microsoft.com/office/drawing/2014/main" id="{00000000-0008-0000-0400-000058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460</xdr:row>
          <xdr:rowOff>47625</xdr:rowOff>
        </xdr:from>
        <xdr:to>
          <xdr:col>3</xdr:col>
          <xdr:colOff>238125</xdr:colOff>
          <xdr:row>461</xdr:row>
          <xdr:rowOff>38100</xdr:rowOff>
        </xdr:to>
        <xdr:sp macro="" textlink="">
          <xdr:nvSpPr>
            <xdr:cNvPr id="48217" name="Option Button 89" hidden="1">
              <a:extLst>
                <a:ext uri="{63B3BB69-23CF-44E3-9099-C40C66FF867C}">
                  <a14:compatExt spid="_x0000_s48217"/>
                </a:ext>
                <a:ext uri="{FF2B5EF4-FFF2-40B4-BE49-F238E27FC236}">
                  <a16:creationId xmlns:a16="http://schemas.microsoft.com/office/drawing/2014/main" id="{00000000-0008-0000-0400-000059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461</xdr:row>
          <xdr:rowOff>38100</xdr:rowOff>
        </xdr:from>
        <xdr:to>
          <xdr:col>3</xdr:col>
          <xdr:colOff>238125</xdr:colOff>
          <xdr:row>462</xdr:row>
          <xdr:rowOff>28575</xdr:rowOff>
        </xdr:to>
        <xdr:sp macro="" textlink="">
          <xdr:nvSpPr>
            <xdr:cNvPr id="48218" name="Option Button 90" hidden="1">
              <a:extLst>
                <a:ext uri="{63B3BB69-23CF-44E3-9099-C40C66FF867C}">
                  <a14:compatExt spid="_x0000_s48218"/>
                </a:ext>
                <a:ext uri="{FF2B5EF4-FFF2-40B4-BE49-F238E27FC236}">
                  <a16:creationId xmlns:a16="http://schemas.microsoft.com/office/drawing/2014/main" id="{00000000-0008-0000-0400-00005A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Upper arm, with loss of triceps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462</xdr:row>
          <xdr:rowOff>161925</xdr:rowOff>
        </xdr:from>
        <xdr:to>
          <xdr:col>3</xdr:col>
          <xdr:colOff>238125</xdr:colOff>
          <xdr:row>463</xdr:row>
          <xdr:rowOff>152400</xdr:rowOff>
        </xdr:to>
        <xdr:sp macro="" textlink="">
          <xdr:nvSpPr>
            <xdr:cNvPr id="48219" name="Option Button 91" hidden="1">
              <a:extLst>
                <a:ext uri="{63B3BB69-23CF-44E3-9099-C40C66FF867C}">
                  <a14:compatExt spid="_x0000_s48219"/>
                </a:ext>
                <a:ext uri="{FF2B5EF4-FFF2-40B4-BE49-F238E27FC236}">
                  <a16:creationId xmlns:a16="http://schemas.microsoft.com/office/drawing/2014/main" id="{00000000-0008-0000-0400-00005BBC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Triceps only (25%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467</xdr:row>
          <xdr:rowOff>171450</xdr:rowOff>
        </xdr:from>
        <xdr:to>
          <xdr:col>5</xdr:col>
          <xdr:colOff>104775</xdr:colOff>
          <xdr:row>469</xdr:row>
          <xdr:rowOff>9525</xdr:rowOff>
        </xdr:to>
        <xdr:sp macro="" textlink="">
          <xdr:nvSpPr>
            <xdr:cNvPr id="48221" name="Check Box 93" hidden="1">
              <a:extLst>
                <a:ext uri="{63B3BB69-23CF-44E3-9099-C40C66FF867C}">
                  <a14:compatExt spid="_x0000_s48221"/>
                </a:ext>
                <a:ext uri="{FF2B5EF4-FFF2-40B4-BE49-F238E27FC236}">
                  <a16:creationId xmlns:a16="http://schemas.microsoft.com/office/drawing/2014/main" id="{00000000-0008-0000-0400-00005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468</xdr:row>
          <xdr:rowOff>171450</xdr:rowOff>
        </xdr:from>
        <xdr:to>
          <xdr:col>5</xdr:col>
          <xdr:colOff>104775</xdr:colOff>
          <xdr:row>470</xdr:row>
          <xdr:rowOff>9525</xdr:rowOff>
        </xdr:to>
        <xdr:sp macro="" textlink="">
          <xdr:nvSpPr>
            <xdr:cNvPr id="48222" name="Check Box 94" hidden="1">
              <a:extLst>
                <a:ext uri="{63B3BB69-23CF-44E3-9099-C40C66FF867C}">
                  <a14:compatExt spid="_x0000_s48222"/>
                </a:ext>
                <a:ext uri="{FF2B5EF4-FFF2-40B4-BE49-F238E27FC236}">
                  <a16:creationId xmlns:a16="http://schemas.microsoft.com/office/drawing/2014/main" id="{00000000-0008-0000-0400-00005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469</xdr:row>
          <xdr:rowOff>171450</xdr:rowOff>
        </xdr:from>
        <xdr:to>
          <xdr:col>5</xdr:col>
          <xdr:colOff>104775</xdr:colOff>
          <xdr:row>471</xdr:row>
          <xdr:rowOff>9525</xdr:rowOff>
        </xdr:to>
        <xdr:sp macro="" textlink="">
          <xdr:nvSpPr>
            <xdr:cNvPr id="48223" name="Check Box 95" hidden="1">
              <a:extLst>
                <a:ext uri="{63B3BB69-23CF-44E3-9099-C40C66FF867C}">
                  <a14:compatExt spid="_x0000_s48223"/>
                </a:ext>
                <a:ext uri="{FF2B5EF4-FFF2-40B4-BE49-F238E27FC236}">
                  <a16:creationId xmlns:a16="http://schemas.microsoft.com/office/drawing/2014/main" id="{00000000-0008-0000-0400-00005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470</xdr:row>
          <xdr:rowOff>161925</xdr:rowOff>
        </xdr:from>
        <xdr:to>
          <xdr:col>5</xdr:col>
          <xdr:colOff>104775</xdr:colOff>
          <xdr:row>472</xdr:row>
          <xdr:rowOff>0</xdr:rowOff>
        </xdr:to>
        <xdr:sp macro="" textlink="">
          <xdr:nvSpPr>
            <xdr:cNvPr id="48224" name="Check Box 96" hidden="1">
              <a:extLst>
                <a:ext uri="{63B3BB69-23CF-44E3-9099-C40C66FF867C}">
                  <a14:compatExt spid="_x0000_s48224"/>
                </a:ext>
                <a:ext uri="{FF2B5EF4-FFF2-40B4-BE49-F238E27FC236}">
                  <a16:creationId xmlns:a16="http://schemas.microsoft.com/office/drawing/2014/main" id="{00000000-0008-0000-0400-00006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471</xdr:row>
          <xdr:rowOff>171450</xdr:rowOff>
        </xdr:from>
        <xdr:to>
          <xdr:col>5</xdr:col>
          <xdr:colOff>104775</xdr:colOff>
          <xdr:row>473</xdr:row>
          <xdr:rowOff>9525</xdr:rowOff>
        </xdr:to>
        <xdr:sp macro="" textlink="">
          <xdr:nvSpPr>
            <xdr:cNvPr id="48225" name="Check Box 97" hidden="1">
              <a:extLst>
                <a:ext uri="{63B3BB69-23CF-44E3-9099-C40C66FF867C}">
                  <a14:compatExt spid="_x0000_s48225"/>
                </a:ext>
                <a:ext uri="{FF2B5EF4-FFF2-40B4-BE49-F238E27FC236}">
                  <a16:creationId xmlns:a16="http://schemas.microsoft.com/office/drawing/2014/main" id="{00000000-0008-0000-0400-00006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472</xdr:row>
          <xdr:rowOff>171450</xdr:rowOff>
        </xdr:from>
        <xdr:to>
          <xdr:col>5</xdr:col>
          <xdr:colOff>104775</xdr:colOff>
          <xdr:row>474</xdr:row>
          <xdr:rowOff>9525</xdr:rowOff>
        </xdr:to>
        <xdr:sp macro="" textlink="">
          <xdr:nvSpPr>
            <xdr:cNvPr id="48226" name="Check Box 98" hidden="1">
              <a:extLst>
                <a:ext uri="{63B3BB69-23CF-44E3-9099-C40C66FF867C}">
                  <a14:compatExt spid="_x0000_s48226"/>
                </a:ext>
                <a:ext uri="{FF2B5EF4-FFF2-40B4-BE49-F238E27FC236}">
                  <a16:creationId xmlns:a16="http://schemas.microsoft.com/office/drawing/2014/main" id="{00000000-0008-0000-0400-00006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477</xdr:row>
          <xdr:rowOff>152400</xdr:rowOff>
        </xdr:from>
        <xdr:to>
          <xdr:col>5</xdr:col>
          <xdr:colOff>104775</xdr:colOff>
          <xdr:row>479</xdr:row>
          <xdr:rowOff>28575</xdr:rowOff>
        </xdr:to>
        <xdr:sp macro="" textlink="">
          <xdr:nvSpPr>
            <xdr:cNvPr id="48227" name="Check Box 99" hidden="1">
              <a:extLst>
                <a:ext uri="{63B3BB69-23CF-44E3-9099-C40C66FF867C}">
                  <a14:compatExt spid="_x0000_s48227"/>
                </a:ext>
                <a:ext uri="{FF2B5EF4-FFF2-40B4-BE49-F238E27FC236}">
                  <a16:creationId xmlns:a16="http://schemas.microsoft.com/office/drawing/2014/main" id="{00000000-0008-0000-0400-00006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478</xdr:row>
          <xdr:rowOff>190500</xdr:rowOff>
        </xdr:from>
        <xdr:to>
          <xdr:col>5</xdr:col>
          <xdr:colOff>104775</xdr:colOff>
          <xdr:row>480</xdr:row>
          <xdr:rowOff>28575</xdr:rowOff>
        </xdr:to>
        <xdr:sp macro="" textlink="">
          <xdr:nvSpPr>
            <xdr:cNvPr id="48228" name="Check Box 100" hidden="1">
              <a:extLst>
                <a:ext uri="{63B3BB69-23CF-44E3-9099-C40C66FF867C}">
                  <a14:compatExt spid="_x0000_s48228"/>
                </a:ext>
                <a:ext uri="{FF2B5EF4-FFF2-40B4-BE49-F238E27FC236}">
                  <a16:creationId xmlns:a16="http://schemas.microsoft.com/office/drawing/2014/main" id="{00000000-0008-0000-0400-00006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479</xdr:row>
          <xdr:rowOff>171450</xdr:rowOff>
        </xdr:from>
        <xdr:to>
          <xdr:col>5</xdr:col>
          <xdr:colOff>104775</xdr:colOff>
          <xdr:row>481</xdr:row>
          <xdr:rowOff>9525</xdr:rowOff>
        </xdr:to>
        <xdr:sp macro="" textlink="">
          <xdr:nvSpPr>
            <xdr:cNvPr id="48229" name="Check Box 101" hidden="1">
              <a:extLst>
                <a:ext uri="{63B3BB69-23CF-44E3-9099-C40C66FF867C}">
                  <a14:compatExt spid="_x0000_s48229"/>
                </a:ext>
                <a:ext uri="{FF2B5EF4-FFF2-40B4-BE49-F238E27FC236}">
                  <a16:creationId xmlns:a16="http://schemas.microsoft.com/office/drawing/2014/main" id="{00000000-0008-0000-0400-00006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480</xdr:row>
          <xdr:rowOff>161925</xdr:rowOff>
        </xdr:from>
        <xdr:to>
          <xdr:col>5</xdr:col>
          <xdr:colOff>104775</xdr:colOff>
          <xdr:row>482</xdr:row>
          <xdr:rowOff>0</xdr:rowOff>
        </xdr:to>
        <xdr:sp macro="" textlink="">
          <xdr:nvSpPr>
            <xdr:cNvPr id="48230" name="Check Box 102" hidden="1">
              <a:extLst>
                <a:ext uri="{63B3BB69-23CF-44E3-9099-C40C66FF867C}">
                  <a14:compatExt spid="_x0000_s48230"/>
                </a:ext>
                <a:ext uri="{FF2B5EF4-FFF2-40B4-BE49-F238E27FC236}">
                  <a16:creationId xmlns:a16="http://schemas.microsoft.com/office/drawing/2014/main" id="{00000000-0008-0000-0400-00006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481</xdr:row>
          <xdr:rowOff>171450</xdr:rowOff>
        </xdr:from>
        <xdr:to>
          <xdr:col>5</xdr:col>
          <xdr:colOff>104775</xdr:colOff>
          <xdr:row>483</xdr:row>
          <xdr:rowOff>9525</xdr:rowOff>
        </xdr:to>
        <xdr:sp macro="" textlink="">
          <xdr:nvSpPr>
            <xdr:cNvPr id="48231" name="Check Box 103" hidden="1">
              <a:extLst>
                <a:ext uri="{63B3BB69-23CF-44E3-9099-C40C66FF867C}">
                  <a14:compatExt spid="_x0000_s48231"/>
                </a:ext>
                <a:ext uri="{FF2B5EF4-FFF2-40B4-BE49-F238E27FC236}">
                  <a16:creationId xmlns:a16="http://schemas.microsoft.com/office/drawing/2014/main" id="{00000000-0008-0000-0400-00006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482</xdr:row>
          <xdr:rowOff>171450</xdr:rowOff>
        </xdr:from>
        <xdr:to>
          <xdr:col>5</xdr:col>
          <xdr:colOff>104775</xdr:colOff>
          <xdr:row>484</xdr:row>
          <xdr:rowOff>9525</xdr:rowOff>
        </xdr:to>
        <xdr:sp macro="" textlink="">
          <xdr:nvSpPr>
            <xdr:cNvPr id="48232" name="Check Box 104" hidden="1">
              <a:extLst>
                <a:ext uri="{63B3BB69-23CF-44E3-9099-C40C66FF867C}">
                  <a14:compatExt spid="_x0000_s48232"/>
                </a:ext>
                <a:ext uri="{FF2B5EF4-FFF2-40B4-BE49-F238E27FC236}">
                  <a16:creationId xmlns:a16="http://schemas.microsoft.com/office/drawing/2014/main" id="{00000000-0008-0000-0400-00006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483</xdr:row>
          <xdr:rowOff>171450</xdr:rowOff>
        </xdr:from>
        <xdr:to>
          <xdr:col>5</xdr:col>
          <xdr:colOff>104775</xdr:colOff>
          <xdr:row>485</xdr:row>
          <xdr:rowOff>9525</xdr:rowOff>
        </xdr:to>
        <xdr:sp macro="" textlink="">
          <xdr:nvSpPr>
            <xdr:cNvPr id="48233" name="Check Box 105" hidden="1">
              <a:extLst>
                <a:ext uri="{63B3BB69-23CF-44E3-9099-C40C66FF867C}">
                  <a14:compatExt spid="_x0000_s48233"/>
                </a:ext>
                <a:ext uri="{FF2B5EF4-FFF2-40B4-BE49-F238E27FC236}">
                  <a16:creationId xmlns:a16="http://schemas.microsoft.com/office/drawing/2014/main" id="{00000000-0008-0000-0400-00006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484</xdr:row>
          <xdr:rowOff>190500</xdr:rowOff>
        </xdr:from>
        <xdr:to>
          <xdr:col>5</xdr:col>
          <xdr:colOff>104775</xdr:colOff>
          <xdr:row>486</xdr:row>
          <xdr:rowOff>28575</xdr:rowOff>
        </xdr:to>
        <xdr:sp macro="" textlink="">
          <xdr:nvSpPr>
            <xdr:cNvPr id="48234" name="Check Box 106" hidden="1">
              <a:extLst>
                <a:ext uri="{63B3BB69-23CF-44E3-9099-C40C66FF867C}">
                  <a14:compatExt spid="_x0000_s48234"/>
                </a:ext>
                <a:ext uri="{FF2B5EF4-FFF2-40B4-BE49-F238E27FC236}">
                  <a16:creationId xmlns:a16="http://schemas.microsoft.com/office/drawing/2014/main" id="{00000000-0008-0000-0400-00006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485</xdr:row>
          <xdr:rowOff>171450</xdr:rowOff>
        </xdr:from>
        <xdr:to>
          <xdr:col>5</xdr:col>
          <xdr:colOff>104775</xdr:colOff>
          <xdr:row>487</xdr:row>
          <xdr:rowOff>9525</xdr:rowOff>
        </xdr:to>
        <xdr:sp macro="" textlink="">
          <xdr:nvSpPr>
            <xdr:cNvPr id="48235" name="Check Box 107" hidden="1">
              <a:extLst>
                <a:ext uri="{63B3BB69-23CF-44E3-9099-C40C66FF867C}">
                  <a14:compatExt spid="_x0000_s48235"/>
                </a:ext>
                <a:ext uri="{FF2B5EF4-FFF2-40B4-BE49-F238E27FC236}">
                  <a16:creationId xmlns:a16="http://schemas.microsoft.com/office/drawing/2014/main" id="{00000000-0008-0000-0400-00006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486</xdr:row>
          <xdr:rowOff>180975</xdr:rowOff>
        </xdr:from>
        <xdr:to>
          <xdr:col>5</xdr:col>
          <xdr:colOff>104775</xdr:colOff>
          <xdr:row>488</xdr:row>
          <xdr:rowOff>19050</xdr:rowOff>
        </xdr:to>
        <xdr:sp macro="" textlink="">
          <xdr:nvSpPr>
            <xdr:cNvPr id="48236" name="Check Box 108" hidden="1">
              <a:extLst>
                <a:ext uri="{63B3BB69-23CF-44E3-9099-C40C66FF867C}">
                  <a14:compatExt spid="_x0000_s48236"/>
                </a:ext>
                <a:ext uri="{FF2B5EF4-FFF2-40B4-BE49-F238E27FC236}">
                  <a16:creationId xmlns:a16="http://schemas.microsoft.com/office/drawing/2014/main" id="{00000000-0008-0000-0400-00006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487</xdr:row>
          <xdr:rowOff>171450</xdr:rowOff>
        </xdr:from>
        <xdr:to>
          <xdr:col>5</xdr:col>
          <xdr:colOff>104775</xdr:colOff>
          <xdr:row>489</xdr:row>
          <xdr:rowOff>9525</xdr:rowOff>
        </xdr:to>
        <xdr:sp macro="" textlink="">
          <xdr:nvSpPr>
            <xdr:cNvPr id="48237" name="Check Box 109" hidden="1">
              <a:extLst>
                <a:ext uri="{63B3BB69-23CF-44E3-9099-C40C66FF867C}">
                  <a14:compatExt spid="_x0000_s48237"/>
                </a:ext>
                <a:ext uri="{FF2B5EF4-FFF2-40B4-BE49-F238E27FC236}">
                  <a16:creationId xmlns:a16="http://schemas.microsoft.com/office/drawing/2014/main" id="{00000000-0008-0000-0400-00006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478</xdr:row>
          <xdr:rowOff>0</xdr:rowOff>
        </xdr:from>
        <xdr:to>
          <xdr:col>4</xdr:col>
          <xdr:colOff>0</xdr:colOff>
          <xdr:row>491</xdr:row>
          <xdr:rowOff>0</xdr:rowOff>
        </xdr:to>
        <xdr:grpSp>
          <xdr:nvGrpSpPr>
            <xdr:cNvPr id="90666" name="Group 110">
              <a:extLst>
                <a:ext uri="{FF2B5EF4-FFF2-40B4-BE49-F238E27FC236}">
                  <a16:creationId xmlns:a16="http://schemas.microsoft.com/office/drawing/2014/main" id="{00000000-0008-0000-0400-00002A620100}"/>
                </a:ext>
              </a:extLst>
            </xdr:cNvPr>
            <xdr:cNvGrpSpPr>
              <a:grpSpLocks/>
            </xdr:cNvGrpSpPr>
          </xdr:nvGrpSpPr>
          <xdr:grpSpPr bwMode="auto">
            <a:xfrm>
              <a:off x="103188" y="91106625"/>
              <a:ext cx="1984375" cy="2476500"/>
              <a:chOff x="11" y="8643"/>
              <a:chExt cx="208" cy="261"/>
            </a:xfrm>
          </xdr:grpSpPr>
          <xdr:sp macro="" textlink="">
            <xdr:nvSpPr>
              <xdr:cNvPr id="48239" name="Group Box 111" hidden="1">
                <a:extLst>
                  <a:ext uri="{63B3BB69-23CF-44E3-9099-C40C66FF867C}">
                    <a14:compatExt spid="_x0000_s48239"/>
                  </a:ext>
                  <a:ext uri="{FF2B5EF4-FFF2-40B4-BE49-F238E27FC236}">
                    <a16:creationId xmlns:a16="http://schemas.microsoft.com/office/drawing/2014/main" id="{00000000-0008-0000-0400-00006FBC0000}"/>
                  </a:ext>
                </a:extLst>
              </xdr:cNvPr>
              <xdr:cNvSpPr/>
            </xdr:nvSpPr>
            <xdr:spPr bwMode="auto">
              <a:xfrm>
                <a:off x="11" y="8643"/>
                <a:ext cx="208" cy="261"/>
              </a:xfrm>
              <a:prstGeom prst="rect">
                <a:avLst/>
              </a:prstGeom>
              <a:noFill/>
              <a:ln w="9525">
                <a:miter lim="800000"/>
                <a:headEnd/>
                <a:tailEnd/>
              </a:ln>
              <a:extLst>
                <a:ext uri="{909E8E84-426E-40DD-AFC4-6F175D3DCCD1}">
                  <a14:hiddenFill>
                    <a:noFill/>
                  </a14:hiddenFill>
                </a:ext>
              </a:extLst>
            </xdr:spPr>
          </xdr:sp>
          <xdr:sp macro="" textlink="">
            <xdr:nvSpPr>
              <xdr:cNvPr id="48240" name="Option Button 112" hidden="1">
                <a:extLst>
                  <a:ext uri="{63B3BB69-23CF-44E3-9099-C40C66FF867C}">
                    <a14:compatExt spid="_x0000_s48240"/>
                  </a:ext>
                  <a:ext uri="{FF2B5EF4-FFF2-40B4-BE49-F238E27FC236}">
                    <a16:creationId xmlns:a16="http://schemas.microsoft.com/office/drawing/2014/main" id="{00000000-0008-0000-0400-000070BC0000}"/>
                  </a:ext>
                </a:extLst>
              </xdr:cNvPr>
              <xdr:cNvSpPr/>
            </xdr:nvSpPr>
            <xdr:spPr bwMode="auto">
              <a:xfrm>
                <a:off x="14" y="8667"/>
                <a:ext cx="196"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8241" name="Option Button 113" hidden="1">
                <a:extLst>
                  <a:ext uri="{63B3BB69-23CF-44E3-9099-C40C66FF867C}">
                    <a14:compatExt spid="_x0000_s48241"/>
                  </a:ext>
                  <a:ext uri="{FF2B5EF4-FFF2-40B4-BE49-F238E27FC236}">
                    <a16:creationId xmlns:a16="http://schemas.microsoft.com/office/drawing/2014/main" id="{00000000-0008-0000-0400-000071BC0000}"/>
                  </a:ext>
                </a:extLst>
              </xdr:cNvPr>
              <xdr:cNvSpPr/>
            </xdr:nvSpPr>
            <xdr:spPr bwMode="auto">
              <a:xfrm>
                <a:off x="14" y="8697"/>
                <a:ext cx="195" cy="28"/>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mid-forearm (69% forearm)</a:t>
                </a:r>
              </a:p>
            </xdr:txBody>
          </xdr:sp>
          <xdr:sp macro="" textlink="">
            <xdr:nvSpPr>
              <xdr:cNvPr id="48242" name="Option Button 114" hidden="1">
                <a:extLst>
                  <a:ext uri="{63B3BB69-23CF-44E3-9099-C40C66FF867C}">
                    <a14:compatExt spid="_x0000_s48242"/>
                  </a:ext>
                  <a:ext uri="{FF2B5EF4-FFF2-40B4-BE49-F238E27FC236}">
                    <a16:creationId xmlns:a16="http://schemas.microsoft.com/office/drawing/2014/main" id="{00000000-0008-0000-0400-000072BC0000}"/>
                  </a:ext>
                </a:extLst>
              </xdr:cNvPr>
              <xdr:cNvSpPr/>
            </xdr:nvSpPr>
            <xdr:spPr bwMode="auto">
              <a:xfrm>
                <a:off x="14" y="8727"/>
                <a:ext cx="191"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mid-forearm (44%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494</xdr:row>
          <xdr:rowOff>0</xdr:rowOff>
        </xdr:from>
        <xdr:to>
          <xdr:col>4</xdr:col>
          <xdr:colOff>0</xdr:colOff>
          <xdr:row>505</xdr:row>
          <xdr:rowOff>0</xdr:rowOff>
        </xdr:to>
        <xdr:grpSp>
          <xdr:nvGrpSpPr>
            <xdr:cNvPr id="90667" name="Group 115">
              <a:extLst>
                <a:ext uri="{FF2B5EF4-FFF2-40B4-BE49-F238E27FC236}">
                  <a16:creationId xmlns:a16="http://schemas.microsoft.com/office/drawing/2014/main" id="{00000000-0008-0000-0400-00002B620100}"/>
                </a:ext>
              </a:extLst>
            </xdr:cNvPr>
            <xdr:cNvGrpSpPr>
              <a:grpSpLocks/>
            </xdr:cNvGrpSpPr>
          </xdr:nvGrpSpPr>
          <xdr:grpSpPr bwMode="auto">
            <a:xfrm>
              <a:off x="95250" y="94043465"/>
              <a:ext cx="1992313" cy="2397124"/>
              <a:chOff x="10" y="8924"/>
              <a:chExt cx="209" cy="252"/>
            </a:xfrm>
          </xdr:grpSpPr>
          <xdr:sp macro="" textlink="">
            <xdr:nvSpPr>
              <xdr:cNvPr id="48244" name="Group Box 116" hidden="1">
                <a:extLst>
                  <a:ext uri="{63B3BB69-23CF-44E3-9099-C40C66FF867C}">
                    <a14:compatExt spid="_x0000_s48244"/>
                  </a:ext>
                  <a:ext uri="{FF2B5EF4-FFF2-40B4-BE49-F238E27FC236}">
                    <a16:creationId xmlns:a16="http://schemas.microsoft.com/office/drawing/2014/main" id="{00000000-0008-0000-0400-000074BC0000}"/>
                  </a:ext>
                </a:extLst>
              </xdr:cNvPr>
              <xdr:cNvSpPr/>
            </xdr:nvSpPr>
            <xdr:spPr bwMode="auto">
              <a:xfrm>
                <a:off x="10" y="8924"/>
                <a:ext cx="209" cy="252"/>
              </a:xfrm>
              <a:prstGeom prst="rect">
                <a:avLst/>
              </a:prstGeom>
              <a:noFill/>
              <a:ln w="9525">
                <a:miter lim="800000"/>
                <a:headEnd/>
                <a:tailEnd/>
              </a:ln>
              <a:extLst>
                <a:ext uri="{909E8E84-426E-40DD-AFC4-6F175D3DCCD1}">
                  <a14:hiddenFill>
                    <a:noFill/>
                  </a14:hiddenFill>
                </a:ext>
              </a:extLst>
            </xdr:spPr>
          </xdr:sp>
          <xdr:sp macro="" textlink="">
            <xdr:nvSpPr>
              <xdr:cNvPr id="48245" name="Option Button 117" hidden="1">
                <a:extLst>
                  <a:ext uri="{63B3BB69-23CF-44E3-9099-C40C66FF867C}">
                    <a14:compatExt spid="_x0000_s48245"/>
                  </a:ext>
                  <a:ext uri="{FF2B5EF4-FFF2-40B4-BE49-F238E27FC236}">
                    <a16:creationId xmlns:a16="http://schemas.microsoft.com/office/drawing/2014/main" id="{00000000-0008-0000-0400-000075BC0000}"/>
                  </a:ext>
                </a:extLst>
              </xdr:cNvPr>
              <xdr:cNvSpPr/>
            </xdr:nvSpPr>
            <xdr:spPr bwMode="auto">
              <a:xfrm>
                <a:off x="13" y="894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8246" name="Option Button 118" hidden="1">
                <a:extLst>
                  <a:ext uri="{63B3BB69-23CF-44E3-9099-C40C66FF867C}">
                    <a14:compatExt spid="_x0000_s48246"/>
                  </a:ext>
                  <a:ext uri="{FF2B5EF4-FFF2-40B4-BE49-F238E27FC236}">
                    <a16:creationId xmlns:a16="http://schemas.microsoft.com/office/drawing/2014/main" id="{00000000-0008-0000-0400-000076BC0000}"/>
                  </a:ext>
                </a:extLst>
              </xdr:cNvPr>
              <xdr:cNvSpPr/>
            </xdr:nvSpPr>
            <xdr:spPr bwMode="auto">
              <a:xfrm>
                <a:off x="13" y="897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mid-forearm (44% forearm)</a:t>
                </a:r>
              </a:p>
            </xdr:txBody>
          </xdr:sp>
          <xdr:sp macro="" textlink="">
            <xdr:nvSpPr>
              <xdr:cNvPr id="48247" name="Option Button 119" hidden="1">
                <a:extLst>
                  <a:ext uri="{63B3BB69-23CF-44E3-9099-C40C66FF867C}">
                    <a14:compatExt spid="_x0000_s48247"/>
                  </a:ext>
                  <a:ext uri="{FF2B5EF4-FFF2-40B4-BE49-F238E27FC236}">
                    <a16:creationId xmlns:a16="http://schemas.microsoft.com/office/drawing/2014/main" id="{00000000-0008-0000-0400-000077BC0000}"/>
                  </a:ext>
                </a:extLst>
              </xdr:cNvPr>
              <xdr:cNvSpPr/>
            </xdr:nvSpPr>
            <xdr:spPr bwMode="auto">
              <a:xfrm>
                <a:off x="14" y="9007"/>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mid-forearm (31%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494</xdr:row>
          <xdr:rowOff>9525</xdr:rowOff>
        </xdr:from>
        <xdr:to>
          <xdr:col>5</xdr:col>
          <xdr:colOff>104775</xdr:colOff>
          <xdr:row>495</xdr:row>
          <xdr:rowOff>38100</xdr:rowOff>
        </xdr:to>
        <xdr:sp macro="" textlink="">
          <xdr:nvSpPr>
            <xdr:cNvPr id="48248" name="Check Box 120" hidden="1">
              <a:extLst>
                <a:ext uri="{63B3BB69-23CF-44E3-9099-C40C66FF867C}">
                  <a14:compatExt spid="_x0000_s48248"/>
                </a:ext>
                <a:ext uri="{FF2B5EF4-FFF2-40B4-BE49-F238E27FC236}">
                  <a16:creationId xmlns:a16="http://schemas.microsoft.com/office/drawing/2014/main" id="{00000000-0008-0000-0400-00007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495</xdr:row>
          <xdr:rowOff>9525</xdr:rowOff>
        </xdr:from>
        <xdr:to>
          <xdr:col>5</xdr:col>
          <xdr:colOff>104775</xdr:colOff>
          <xdr:row>496</xdr:row>
          <xdr:rowOff>38100</xdr:rowOff>
        </xdr:to>
        <xdr:sp macro="" textlink="">
          <xdr:nvSpPr>
            <xdr:cNvPr id="48249" name="Check Box 121" hidden="1">
              <a:extLst>
                <a:ext uri="{63B3BB69-23CF-44E3-9099-C40C66FF867C}">
                  <a14:compatExt spid="_x0000_s48249"/>
                </a:ext>
                <a:ext uri="{FF2B5EF4-FFF2-40B4-BE49-F238E27FC236}">
                  <a16:creationId xmlns:a16="http://schemas.microsoft.com/office/drawing/2014/main" id="{00000000-0008-0000-0400-00007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495</xdr:row>
          <xdr:rowOff>142875</xdr:rowOff>
        </xdr:from>
        <xdr:to>
          <xdr:col>5</xdr:col>
          <xdr:colOff>104775</xdr:colOff>
          <xdr:row>497</xdr:row>
          <xdr:rowOff>9525</xdr:rowOff>
        </xdr:to>
        <xdr:sp macro="" textlink="">
          <xdr:nvSpPr>
            <xdr:cNvPr id="48250" name="Check Box 122" hidden="1">
              <a:extLst>
                <a:ext uri="{63B3BB69-23CF-44E3-9099-C40C66FF867C}">
                  <a14:compatExt spid="_x0000_s48250"/>
                </a:ext>
                <a:ext uri="{FF2B5EF4-FFF2-40B4-BE49-F238E27FC236}">
                  <a16:creationId xmlns:a16="http://schemas.microsoft.com/office/drawing/2014/main" id="{00000000-0008-0000-0400-00007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497</xdr:row>
          <xdr:rowOff>9525</xdr:rowOff>
        </xdr:from>
        <xdr:to>
          <xdr:col>5</xdr:col>
          <xdr:colOff>104775</xdr:colOff>
          <xdr:row>498</xdr:row>
          <xdr:rowOff>38100</xdr:rowOff>
        </xdr:to>
        <xdr:sp macro="" textlink="">
          <xdr:nvSpPr>
            <xdr:cNvPr id="48251" name="Check Box 123" hidden="1">
              <a:extLst>
                <a:ext uri="{63B3BB69-23CF-44E3-9099-C40C66FF867C}">
                  <a14:compatExt spid="_x0000_s48251"/>
                </a:ext>
                <a:ext uri="{FF2B5EF4-FFF2-40B4-BE49-F238E27FC236}">
                  <a16:creationId xmlns:a16="http://schemas.microsoft.com/office/drawing/2014/main" id="{00000000-0008-0000-0400-00007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498</xdr:row>
          <xdr:rowOff>9525</xdr:rowOff>
        </xdr:from>
        <xdr:to>
          <xdr:col>5</xdr:col>
          <xdr:colOff>104775</xdr:colOff>
          <xdr:row>499</xdr:row>
          <xdr:rowOff>38100</xdr:rowOff>
        </xdr:to>
        <xdr:sp macro="" textlink="">
          <xdr:nvSpPr>
            <xdr:cNvPr id="48252" name="Check Box 124" hidden="1">
              <a:extLst>
                <a:ext uri="{63B3BB69-23CF-44E3-9099-C40C66FF867C}">
                  <a14:compatExt spid="_x0000_s48252"/>
                </a:ext>
                <a:ext uri="{FF2B5EF4-FFF2-40B4-BE49-F238E27FC236}">
                  <a16:creationId xmlns:a16="http://schemas.microsoft.com/office/drawing/2014/main" id="{00000000-0008-0000-0400-00007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499</xdr:row>
          <xdr:rowOff>9525</xdr:rowOff>
        </xdr:from>
        <xdr:to>
          <xdr:col>5</xdr:col>
          <xdr:colOff>104775</xdr:colOff>
          <xdr:row>500</xdr:row>
          <xdr:rowOff>38100</xdr:rowOff>
        </xdr:to>
        <xdr:sp macro="" textlink="">
          <xdr:nvSpPr>
            <xdr:cNvPr id="48253" name="Check Box 125" hidden="1">
              <a:extLst>
                <a:ext uri="{63B3BB69-23CF-44E3-9099-C40C66FF867C}">
                  <a14:compatExt spid="_x0000_s48253"/>
                </a:ext>
                <a:ext uri="{FF2B5EF4-FFF2-40B4-BE49-F238E27FC236}">
                  <a16:creationId xmlns:a16="http://schemas.microsoft.com/office/drawing/2014/main" id="{00000000-0008-0000-0400-00007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500</xdr:row>
          <xdr:rowOff>9525</xdr:rowOff>
        </xdr:from>
        <xdr:to>
          <xdr:col>5</xdr:col>
          <xdr:colOff>104775</xdr:colOff>
          <xdr:row>501</xdr:row>
          <xdr:rowOff>38100</xdr:rowOff>
        </xdr:to>
        <xdr:sp macro="" textlink="">
          <xdr:nvSpPr>
            <xdr:cNvPr id="48254" name="Check Box 126" hidden="1">
              <a:extLst>
                <a:ext uri="{63B3BB69-23CF-44E3-9099-C40C66FF867C}">
                  <a14:compatExt spid="_x0000_s48254"/>
                </a:ext>
                <a:ext uri="{FF2B5EF4-FFF2-40B4-BE49-F238E27FC236}">
                  <a16:creationId xmlns:a16="http://schemas.microsoft.com/office/drawing/2014/main" id="{00000000-0008-0000-0400-00007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501</xdr:row>
          <xdr:rowOff>9525</xdr:rowOff>
        </xdr:from>
        <xdr:to>
          <xdr:col>5</xdr:col>
          <xdr:colOff>104775</xdr:colOff>
          <xdr:row>502</xdr:row>
          <xdr:rowOff>38100</xdr:rowOff>
        </xdr:to>
        <xdr:sp macro="" textlink="">
          <xdr:nvSpPr>
            <xdr:cNvPr id="48255" name="Check Box 127" hidden="1">
              <a:extLst>
                <a:ext uri="{63B3BB69-23CF-44E3-9099-C40C66FF867C}">
                  <a14:compatExt spid="_x0000_s48255"/>
                </a:ext>
                <a:ext uri="{FF2B5EF4-FFF2-40B4-BE49-F238E27FC236}">
                  <a16:creationId xmlns:a16="http://schemas.microsoft.com/office/drawing/2014/main" id="{00000000-0008-0000-0400-00007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502</xdr:row>
          <xdr:rowOff>9525</xdr:rowOff>
        </xdr:from>
        <xdr:to>
          <xdr:col>5</xdr:col>
          <xdr:colOff>104775</xdr:colOff>
          <xdr:row>503</xdr:row>
          <xdr:rowOff>38100</xdr:rowOff>
        </xdr:to>
        <xdr:sp macro="" textlink="">
          <xdr:nvSpPr>
            <xdr:cNvPr id="48256" name="Check Box 128" hidden="1">
              <a:extLst>
                <a:ext uri="{63B3BB69-23CF-44E3-9099-C40C66FF867C}">
                  <a14:compatExt spid="_x0000_s48256"/>
                </a:ext>
                <a:ext uri="{FF2B5EF4-FFF2-40B4-BE49-F238E27FC236}">
                  <a16:creationId xmlns:a16="http://schemas.microsoft.com/office/drawing/2014/main" id="{00000000-0008-0000-0400-00008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503</xdr:row>
          <xdr:rowOff>9525</xdr:rowOff>
        </xdr:from>
        <xdr:to>
          <xdr:col>5</xdr:col>
          <xdr:colOff>104775</xdr:colOff>
          <xdr:row>504</xdr:row>
          <xdr:rowOff>38100</xdr:rowOff>
        </xdr:to>
        <xdr:sp macro="" textlink="">
          <xdr:nvSpPr>
            <xdr:cNvPr id="48257" name="Check Box 129" hidden="1">
              <a:extLst>
                <a:ext uri="{63B3BB69-23CF-44E3-9099-C40C66FF867C}">
                  <a14:compatExt spid="_x0000_s48257"/>
                </a:ext>
                <a:ext uri="{FF2B5EF4-FFF2-40B4-BE49-F238E27FC236}">
                  <a16:creationId xmlns:a16="http://schemas.microsoft.com/office/drawing/2014/main" id="{00000000-0008-0000-0400-00008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503</xdr:row>
          <xdr:rowOff>142875</xdr:rowOff>
        </xdr:from>
        <xdr:to>
          <xdr:col>5</xdr:col>
          <xdr:colOff>104775</xdr:colOff>
          <xdr:row>505</xdr:row>
          <xdr:rowOff>0</xdr:rowOff>
        </xdr:to>
        <xdr:sp macro="" textlink="">
          <xdr:nvSpPr>
            <xdr:cNvPr id="48258" name="Check Box 130" hidden="1">
              <a:extLst>
                <a:ext uri="{63B3BB69-23CF-44E3-9099-C40C66FF867C}">
                  <a14:compatExt spid="_x0000_s48258"/>
                </a:ext>
                <a:ext uri="{FF2B5EF4-FFF2-40B4-BE49-F238E27FC236}">
                  <a16:creationId xmlns:a16="http://schemas.microsoft.com/office/drawing/2014/main" id="{00000000-0008-0000-0400-00008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513</xdr:row>
          <xdr:rowOff>9525</xdr:rowOff>
        </xdr:from>
        <xdr:to>
          <xdr:col>15</xdr:col>
          <xdr:colOff>9525</xdr:colOff>
          <xdr:row>514</xdr:row>
          <xdr:rowOff>0</xdr:rowOff>
        </xdr:to>
        <xdr:sp macro="" textlink="">
          <xdr:nvSpPr>
            <xdr:cNvPr id="48259" name="Group Box 131" hidden="1">
              <a:extLst>
                <a:ext uri="{63B3BB69-23CF-44E3-9099-C40C66FF867C}">
                  <a14:compatExt spid="_x0000_s48259"/>
                </a:ext>
                <a:ext uri="{FF2B5EF4-FFF2-40B4-BE49-F238E27FC236}">
                  <a16:creationId xmlns:a16="http://schemas.microsoft.com/office/drawing/2014/main" id="{00000000-0008-0000-0400-000083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513</xdr:row>
          <xdr:rowOff>66675</xdr:rowOff>
        </xdr:from>
        <xdr:to>
          <xdr:col>13</xdr:col>
          <xdr:colOff>66675</xdr:colOff>
          <xdr:row>514</xdr:row>
          <xdr:rowOff>38100</xdr:rowOff>
        </xdr:to>
        <xdr:sp macro="" textlink="">
          <xdr:nvSpPr>
            <xdr:cNvPr id="48260" name="Option Button 132" hidden="1">
              <a:extLst>
                <a:ext uri="{63B3BB69-23CF-44E3-9099-C40C66FF867C}">
                  <a14:compatExt spid="_x0000_s48260"/>
                </a:ext>
                <a:ext uri="{FF2B5EF4-FFF2-40B4-BE49-F238E27FC236}">
                  <a16:creationId xmlns:a16="http://schemas.microsoft.com/office/drawing/2014/main" id="{00000000-0008-0000-0400-00008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513</xdr:row>
          <xdr:rowOff>66675</xdr:rowOff>
        </xdr:from>
        <xdr:to>
          <xdr:col>14</xdr:col>
          <xdr:colOff>342900</xdr:colOff>
          <xdr:row>514</xdr:row>
          <xdr:rowOff>38100</xdr:rowOff>
        </xdr:to>
        <xdr:sp macro="" textlink="">
          <xdr:nvSpPr>
            <xdr:cNvPr id="48261" name="Option Button 133" hidden="1">
              <a:extLst>
                <a:ext uri="{63B3BB69-23CF-44E3-9099-C40C66FF867C}">
                  <a14:compatExt spid="_x0000_s48261"/>
                </a:ext>
                <a:ext uri="{FF2B5EF4-FFF2-40B4-BE49-F238E27FC236}">
                  <a16:creationId xmlns:a16="http://schemas.microsoft.com/office/drawing/2014/main" id="{00000000-0008-0000-0400-00008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557</xdr:row>
          <xdr:rowOff>19050</xdr:rowOff>
        </xdr:from>
        <xdr:to>
          <xdr:col>15</xdr:col>
          <xdr:colOff>19050</xdr:colOff>
          <xdr:row>558</xdr:row>
          <xdr:rowOff>19050</xdr:rowOff>
        </xdr:to>
        <xdr:sp macro="" textlink="">
          <xdr:nvSpPr>
            <xdr:cNvPr id="48262" name="Group Box 134" hidden="1">
              <a:extLst>
                <a:ext uri="{63B3BB69-23CF-44E3-9099-C40C66FF867C}">
                  <a14:compatExt spid="_x0000_s48262"/>
                </a:ext>
                <a:ext uri="{FF2B5EF4-FFF2-40B4-BE49-F238E27FC236}">
                  <a16:creationId xmlns:a16="http://schemas.microsoft.com/office/drawing/2014/main" id="{00000000-0008-0000-0400-000086B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557</xdr:row>
          <xdr:rowOff>28575</xdr:rowOff>
        </xdr:from>
        <xdr:to>
          <xdr:col>1</xdr:col>
          <xdr:colOff>628650</xdr:colOff>
          <xdr:row>558</xdr:row>
          <xdr:rowOff>19050</xdr:rowOff>
        </xdr:to>
        <xdr:sp macro="" textlink="">
          <xdr:nvSpPr>
            <xdr:cNvPr id="48263" name="Option Button 135" hidden="1">
              <a:extLst>
                <a:ext uri="{63B3BB69-23CF-44E3-9099-C40C66FF867C}">
                  <a14:compatExt spid="_x0000_s48263"/>
                </a:ext>
                <a:ext uri="{FF2B5EF4-FFF2-40B4-BE49-F238E27FC236}">
                  <a16:creationId xmlns:a16="http://schemas.microsoft.com/office/drawing/2014/main" id="{00000000-0008-0000-0400-00008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557</xdr:row>
          <xdr:rowOff>28575</xdr:rowOff>
        </xdr:from>
        <xdr:to>
          <xdr:col>15</xdr:col>
          <xdr:colOff>0</xdr:colOff>
          <xdr:row>558</xdr:row>
          <xdr:rowOff>19050</xdr:rowOff>
        </xdr:to>
        <xdr:sp macro="" textlink="">
          <xdr:nvSpPr>
            <xdr:cNvPr id="48264" name="Option Button 136" hidden="1">
              <a:extLst>
                <a:ext uri="{63B3BB69-23CF-44E3-9099-C40C66FF867C}">
                  <a14:compatExt spid="_x0000_s48264"/>
                </a:ext>
                <a:ext uri="{FF2B5EF4-FFF2-40B4-BE49-F238E27FC236}">
                  <a16:creationId xmlns:a16="http://schemas.microsoft.com/office/drawing/2014/main" id="{00000000-0008-0000-0400-00008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arm at or proximal to the elbow joint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578</xdr:row>
          <xdr:rowOff>0</xdr:rowOff>
        </xdr:from>
        <xdr:to>
          <xdr:col>15</xdr:col>
          <xdr:colOff>0</xdr:colOff>
          <xdr:row>579</xdr:row>
          <xdr:rowOff>0</xdr:rowOff>
        </xdr:to>
        <xdr:grpSp>
          <xdr:nvGrpSpPr>
            <xdr:cNvPr id="90668" name="Group 137">
              <a:extLst>
                <a:ext uri="{FF2B5EF4-FFF2-40B4-BE49-F238E27FC236}">
                  <a16:creationId xmlns:a16="http://schemas.microsoft.com/office/drawing/2014/main" id="{00000000-0008-0000-0400-00002C620100}"/>
                </a:ext>
              </a:extLst>
            </xdr:cNvPr>
            <xdr:cNvGrpSpPr>
              <a:grpSpLocks/>
            </xdr:cNvGrpSpPr>
          </xdr:nvGrpSpPr>
          <xdr:grpSpPr bwMode="auto">
            <a:xfrm>
              <a:off x="1595438" y="111601250"/>
              <a:ext cx="3810000" cy="492125"/>
              <a:chOff x="168" y="10650"/>
              <a:chExt cx="398" cy="52"/>
            </a:xfrm>
          </xdr:grpSpPr>
          <xdr:sp macro="" textlink="">
            <xdr:nvSpPr>
              <xdr:cNvPr id="48266" name="Group Box 138" hidden="1">
                <a:extLst>
                  <a:ext uri="{63B3BB69-23CF-44E3-9099-C40C66FF867C}">
                    <a14:compatExt spid="_x0000_s48266"/>
                  </a:ext>
                  <a:ext uri="{FF2B5EF4-FFF2-40B4-BE49-F238E27FC236}">
                    <a16:creationId xmlns:a16="http://schemas.microsoft.com/office/drawing/2014/main" id="{00000000-0008-0000-0400-00008ABC0000}"/>
                  </a:ext>
                </a:extLst>
              </xdr:cNvPr>
              <xdr:cNvSpPr/>
            </xdr:nvSpPr>
            <xdr:spPr bwMode="auto">
              <a:xfrm>
                <a:off x="168" y="10650"/>
                <a:ext cx="398" cy="52"/>
              </a:xfrm>
              <a:prstGeom prst="rect">
                <a:avLst/>
              </a:prstGeom>
              <a:noFill/>
              <a:ln w="9525">
                <a:miter lim="800000"/>
                <a:headEnd/>
                <a:tailEnd/>
              </a:ln>
              <a:extLst>
                <a:ext uri="{909E8E84-426E-40DD-AFC4-6F175D3DCCD1}">
                  <a14:hiddenFill>
                    <a:noFill/>
                  </a14:hiddenFill>
                </a:ext>
              </a:extLst>
            </xdr:spPr>
          </xdr:sp>
          <xdr:sp macro="" textlink="">
            <xdr:nvSpPr>
              <xdr:cNvPr id="48267" name="Option Button 139" hidden="1">
                <a:extLst>
                  <a:ext uri="{63B3BB69-23CF-44E3-9099-C40C66FF867C}">
                    <a14:compatExt spid="_x0000_s48267"/>
                  </a:ext>
                  <a:ext uri="{FF2B5EF4-FFF2-40B4-BE49-F238E27FC236}">
                    <a16:creationId xmlns:a16="http://schemas.microsoft.com/office/drawing/2014/main" id="{00000000-0008-0000-0400-00008BBC0000}"/>
                  </a:ext>
                </a:extLst>
              </xdr:cNvPr>
              <xdr:cNvSpPr/>
            </xdr:nvSpPr>
            <xdr:spPr bwMode="auto">
              <a:xfrm>
                <a:off x="170" y="10663"/>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68" name="Option Button 140" hidden="1">
                <a:extLst>
                  <a:ext uri="{63B3BB69-23CF-44E3-9099-C40C66FF867C}">
                    <a14:compatExt spid="_x0000_s48268"/>
                  </a:ext>
                  <a:ext uri="{FF2B5EF4-FFF2-40B4-BE49-F238E27FC236}">
                    <a16:creationId xmlns:a16="http://schemas.microsoft.com/office/drawing/2014/main" id="{00000000-0008-0000-0400-00008CBC0000}"/>
                  </a:ext>
                </a:extLst>
              </xdr:cNvPr>
              <xdr:cNvSpPr/>
            </xdr:nvSpPr>
            <xdr:spPr bwMode="auto">
              <a:xfrm>
                <a:off x="238" y="10650"/>
                <a:ext cx="26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Prosthetic radial head replacement</a:t>
                </a:r>
              </a:p>
            </xdr:txBody>
          </xdr:sp>
          <xdr:sp macro="" textlink="">
            <xdr:nvSpPr>
              <xdr:cNvPr id="48269" name="Option Button 141" hidden="1">
                <a:extLst>
                  <a:ext uri="{63B3BB69-23CF-44E3-9099-C40C66FF867C}">
                    <a14:compatExt spid="_x0000_s48269"/>
                  </a:ext>
                  <a:ext uri="{FF2B5EF4-FFF2-40B4-BE49-F238E27FC236}">
                    <a16:creationId xmlns:a16="http://schemas.microsoft.com/office/drawing/2014/main" id="{00000000-0008-0000-0400-00008DBC0000}"/>
                  </a:ext>
                </a:extLst>
              </xdr:cNvPr>
              <xdr:cNvSpPr/>
            </xdr:nvSpPr>
            <xdr:spPr bwMode="auto">
              <a:xfrm>
                <a:off x="238" y="10674"/>
                <a:ext cx="3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Radial head resection, without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579</xdr:row>
          <xdr:rowOff>0</xdr:rowOff>
        </xdr:from>
        <xdr:to>
          <xdr:col>15</xdr:col>
          <xdr:colOff>0</xdr:colOff>
          <xdr:row>580</xdr:row>
          <xdr:rowOff>0</xdr:rowOff>
        </xdr:to>
        <xdr:grpSp>
          <xdr:nvGrpSpPr>
            <xdr:cNvPr id="90669" name="Group 142">
              <a:extLst>
                <a:ext uri="{FF2B5EF4-FFF2-40B4-BE49-F238E27FC236}">
                  <a16:creationId xmlns:a16="http://schemas.microsoft.com/office/drawing/2014/main" id="{00000000-0008-0000-0400-00002D620100}"/>
                </a:ext>
              </a:extLst>
            </xdr:cNvPr>
            <xdr:cNvGrpSpPr>
              <a:grpSpLocks/>
            </xdr:cNvGrpSpPr>
          </xdr:nvGrpSpPr>
          <xdr:grpSpPr bwMode="auto">
            <a:xfrm>
              <a:off x="1595438" y="112093375"/>
              <a:ext cx="3810000" cy="246063"/>
              <a:chOff x="168" y="10702"/>
              <a:chExt cx="398" cy="26"/>
            </a:xfrm>
          </xdr:grpSpPr>
          <xdr:sp macro="" textlink="">
            <xdr:nvSpPr>
              <xdr:cNvPr id="48271" name="Group Box 143" hidden="1">
                <a:extLst>
                  <a:ext uri="{63B3BB69-23CF-44E3-9099-C40C66FF867C}">
                    <a14:compatExt spid="_x0000_s48271"/>
                  </a:ext>
                  <a:ext uri="{FF2B5EF4-FFF2-40B4-BE49-F238E27FC236}">
                    <a16:creationId xmlns:a16="http://schemas.microsoft.com/office/drawing/2014/main" id="{00000000-0008-0000-0400-00008FBC0000}"/>
                  </a:ext>
                </a:extLst>
              </xdr:cNvPr>
              <xdr:cNvSpPr/>
            </xdr:nvSpPr>
            <xdr:spPr bwMode="auto">
              <a:xfrm>
                <a:off x="168" y="10702"/>
                <a:ext cx="398" cy="26"/>
              </a:xfrm>
              <a:prstGeom prst="rect">
                <a:avLst/>
              </a:prstGeom>
              <a:noFill/>
              <a:ln w="9525">
                <a:miter lim="800000"/>
                <a:headEnd/>
                <a:tailEnd/>
              </a:ln>
              <a:extLst>
                <a:ext uri="{909E8E84-426E-40DD-AFC4-6F175D3DCCD1}">
                  <a14:hiddenFill>
                    <a:noFill/>
                  </a14:hiddenFill>
                </a:ext>
              </a:extLst>
            </xdr:spPr>
          </xdr:sp>
          <xdr:sp macro="" textlink="">
            <xdr:nvSpPr>
              <xdr:cNvPr id="48272" name="Option Button 144" hidden="1">
                <a:extLst>
                  <a:ext uri="{63B3BB69-23CF-44E3-9099-C40C66FF867C}">
                    <a14:compatExt spid="_x0000_s48272"/>
                  </a:ext>
                  <a:ext uri="{FF2B5EF4-FFF2-40B4-BE49-F238E27FC236}">
                    <a16:creationId xmlns:a16="http://schemas.microsoft.com/office/drawing/2014/main" id="{00000000-0008-0000-0400-000090BC0000}"/>
                  </a:ext>
                </a:extLst>
              </xdr:cNvPr>
              <xdr:cNvSpPr/>
            </xdr:nvSpPr>
            <xdr:spPr bwMode="auto">
              <a:xfrm>
                <a:off x="170" y="10703"/>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73" name="Option Button 145" hidden="1">
                <a:extLst>
                  <a:ext uri="{63B3BB69-23CF-44E3-9099-C40C66FF867C}">
                    <a14:compatExt spid="_x0000_s48273"/>
                  </a:ext>
                  <a:ext uri="{FF2B5EF4-FFF2-40B4-BE49-F238E27FC236}">
                    <a16:creationId xmlns:a16="http://schemas.microsoft.com/office/drawing/2014/main" id="{00000000-0008-0000-0400-000091BC0000}"/>
                  </a:ext>
                </a:extLst>
              </xdr:cNvPr>
              <xdr:cNvSpPr/>
            </xdr:nvSpPr>
            <xdr:spPr bwMode="auto">
              <a:xfrm>
                <a:off x="238" y="10704"/>
                <a:ext cx="29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Prosthetic elbow joint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580</xdr:row>
          <xdr:rowOff>0</xdr:rowOff>
        </xdr:from>
        <xdr:to>
          <xdr:col>15</xdr:col>
          <xdr:colOff>0</xdr:colOff>
          <xdr:row>581</xdr:row>
          <xdr:rowOff>0</xdr:rowOff>
        </xdr:to>
        <xdr:grpSp>
          <xdr:nvGrpSpPr>
            <xdr:cNvPr id="90670" name="Group 146">
              <a:extLst>
                <a:ext uri="{FF2B5EF4-FFF2-40B4-BE49-F238E27FC236}">
                  <a16:creationId xmlns:a16="http://schemas.microsoft.com/office/drawing/2014/main" id="{00000000-0008-0000-0400-00002E620100}"/>
                </a:ext>
              </a:extLst>
            </xdr:cNvPr>
            <xdr:cNvGrpSpPr>
              <a:grpSpLocks/>
            </xdr:cNvGrpSpPr>
          </xdr:nvGrpSpPr>
          <xdr:grpSpPr bwMode="auto">
            <a:xfrm>
              <a:off x="1595438" y="112339438"/>
              <a:ext cx="3810000" cy="246062"/>
              <a:chOff x="168" y="10728"/>
              <a:chExt cx="398" cy="26"/>
            </a:xfrm>
          </xdr:grpSpPr>
          <xdr:sp macro="" textlink="">
            <xdr:nvSpPr>
              <xdr:cNvPr id="48275" name="Group Box 147" hidden="1">
                <a:extLst>
                  <a:ext uri="{63B3BB69-23CF-44E3-9099-C40C66FF867C}">
                    <a14:compatExt spid="_x0000_s48275"/>
                  </a:ext>
                  <a:ext uri="{FF2B5EF4-FFF2-40B4-BE49-F238E27FC236}">
                    <a16:creationId xmlns:a16="http://schemas.microsoft.com/office/drawing/2014/main" id="{00000000-0008-0000-0400-000093BC0000}"/>
                  </a:ext>
                </a:extLst>
              </xdr:cNvPr>
              <xdr:cNvSpPr/>
            </xdr:nvSpPr>
            <xdr:spPr bwMode="auto">
              <a:xfrm>
                <a:off x="168" y="10728"/>
                <a:ext cx="398" cy="26"/>
              </a:xfrm>
              <a:prstGeom prst="rect">
                <a:avLst/>
              </a:prstGeom>
              <a:noFill/>
              <a:ln w="9525">
                <a:miter lim="800000"/>
                <a:headEnd/>
                <a:tailEnd/>
              </a:ln>
              <a:extLst>
                <a:ext uri="{909E8E84-426E-40DD-AFC4-6F175D3DCCD1}">
                  <a14:hiddenFill>
                    <a:noFill/>
                  </a14:hiddenFill>
                </a:ext>
              </a:extLst>
            </xdr:spPr>
          </xdr:sp>
          <xdr:sp macro="" textlink="">
            <xdr:nvSpPr>
              <xdr:cNvPr id="48276" name="Option Button 148" hidden="1">
                <a:extLst>
                  <a:ext uri="{63B3BB69-23CF-44E3-9099-C40C66FF867C}">
                    <a14:compatExt spid="_x0000_s48276"/>
                  </a:ext>
                  <a:ext uri="{FF2B5EF4-FFF2-40B4-BE49-F238E27FC236}">
                    <a16:creationId xmlns:a16="http://schemas.microsoft.com/office/drawing/2014/main" id="{00000000-0008-0000-0400-000094BC0000}"/>
                  </a:ext>
                </a:extLst>
              </xdr:cNvPr>
              <xdr:cNvSpPr/>
            </xdr:nvSpPr>
            <xdr:spPr bwMode="auto">
              <a:xfrm>
                <a:off x="170" y="10729"/>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8277" name="Option Button 149" hidden="1">
                <a:extLst>
                  <a:ext uri="{63B3BB69-23CF-44E3-9099-C40C66FF867C}">
                    <a14:compatExt spid="_x0000_s48277"/>
                  </a:ext>
                  <a:ext uri="{FF2B5EF4-FFF2-40B4-BE49-F238E27FC236}">
                    <a16:creationId xmlns:a16="http://schemas.microsoft.com/office/drawing/2014/main" id="{00000000-0008-0000-0400-000095BC0000}"/>
                  </a:ext>
                </a:extLst>
              </xdr:cNvPr>
              <xdr:cNvSpPr/>
            </xdr:nvSpPr>
            <xdr:spPr bwMode="auto">
              <a:xfrm>
                <a:off x="238" y="10730"/>
                <a:ext cx="2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Humeral head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587</xdr:row>
          <xdr:rowOff>0</xdr:rowOff>
        </xdr:from>
        <xdr:to>
          <xdr:col>15</xdr:col>
          <xdr:colOff>0</xdr:colOff>
          <xdr:row>588</xdr:row>
          <xdr:rowOff>0</xdr:rowOff>
        </xdr:to>
        <xdr:grpSp>
          <xdr:nvGrpSpPr>
            <xdr:cNvPr id="90671" name="Group 150">
              <a:extLst>
                <a:ext uri="{FF2B5EF4-FFF2-40B4-BE49-F238E27FC236}">
                  <a16:creationId xmlns:a16="http://schemas.microsoft.com/office/drawing/2014/main" id="{00000000-0008-0000-0400-00002F620100}"/>
                </a:ext>
              </a:extLst>
            </xdr:cNvPr>
            <xdr:cNvGrpSpPr>
              <a:grpSpLocks/>
            </xdr:cNvGrpSpPr>
          </xdr:nvGrpSpPr>
          <xdr:grpSpPr bwMode="auto">
            <a:xfrm>
              <a:off x="3841750" y="114022188"/>
              <a:ext cx="1563688" cy="246062"/>
              <a:chOff x="402" y="10927"/>
              <a:chExt cx="164" cy="26"/>
            </a:xfrm>
          </xdr:grpSpPr>
          <xdr:sp macro="" textlink="">
            <xdr:nvSpPr>
              <xdr:cNvPr id="48279" name="Group Box 151" hidden="1">
                <a:extLst>
                  <a:ext uri="{63B3BB69-23CF-44E3-9099-C40C66FF867C}">
                    <a14:compatExt spid="_x0000_s48279"/>
                  </a:ext>
                  <a:ext uri="{FF2B5EF4-FFF2-40B4-BE49-F238E27FC236}">
                    <a16:creationId xmlns:a16="http://schemas.microsoft.com/office/drawing/2014/main" id="{00000000-0008-0000-0400-000097BC0000}"/>
                  </a:ext>
                </a:extLst>
              </xdr:cNvPr>
              <xdr:cNvSpPr/>
            </xdr:nvSpPr>
            <xdr:spPr bwMode="auto">
              <a:xfrm>
                <a:off x="402" y="10927"/>
                <a:ext cx="164" cy="26"/>
              </a:xfrm>
              <a:prstGeom prst="rect">
                <a:avLst/>
              </a:prstGeom>
              <a:noFill/>
              <a:ln w="9525">
                <a:miter lim="800000"/>
                <a:headEnd/>
                <a:tailEnd/>
              </a:ln>
              <a:extLst>
                <a:ext uri="{909E8E84-426E-40DD-AFC4-6F175D3DCCD1}">
                  <a14:hiddenFill>
                    <a:noFill/>
                  </a14:hiddenFill>
                </a:ext>
              </a:extLst>
            </xdr:spPr>
          </xdr:sp>
          <xdr:sp macro="" textlink="">
            <xdr:nvSpPr>
              <xdr:cNvPr id="48280" name="Option Button 152" hidden="1">
                <a:extLst>
                  <a:ext uri="{63B3BB69-23CF-44E3-9099-C40C66FF867C}">
                    <a14:compatExt spid="_x0000_s48280"/>
                  </a:ext>
                  <a:ext uri="{FF2B5EF4-FFF2-40B4-BE49-F238E27FC236}">
                    <a16:creationId xmlns:a16="http://schemas.microsoft.com/office/drawing/2014/main" id="{00000000-0008-0000-0400-000098BC0000}"/>
                  </a:ext>
                </a:extLst>
              </xdr:cNvPr>
              <xdr:cNvSpPr/>
            </xdr:nvSpPr>
            <xdr:spPr bwMode="auto">
              <a:xfrm>
                <a:off x="421"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8281" name="Option Button 153" hidden="1">
                <a:extLst>
                  <a:ext uri="{63B3BB69-23CF-44E3-9099-C40C66FF867C}">
                    <a14:compatExt spid="_x0000_s48281"/>
                  </a:ext>
                  <a:ext uri="{FF2B5EF4-FFF2-40B4-BE49-F238E27FC236}">
                    <a16:creationId xmlns:a16="http://schemas.microsoft.com/office/drawing/2014/main" id="{00000000-0008-0000-0400-000099BC0000}"/>
                  </a:ext>
                </a:extLst>
              </xdr:cNvPr>
              <xdr:cNvSpPr/>
            </xdr:nvSpPr>
            <xdr:spPr bwMode="auto">
              <a:xfrm>
                <a:off x="480"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152400</xdr:rowOff>
        </xdr:from>
        <xdr:to>
          <xdr:col>5</xdr:col>
          <xdr:colOff>95250</xdr:colOff>
          <xdr:row>107</xdr:row>
          <xdr:rowOff>28575</xdr:rowOff>
        </xdr:to>
        <xdr:sp macro="" textlink="">
          <xdr:nvSpPr>
            <xdr:cNvPr id="48299" name="Check Box 171" hidden="1">
              <a:extLst>
                <a:ext uri="{63B3BB69-23CF-44E3-9099-C40C66FF867C}">
                  <a14:compatExt spid="_x0000_s48299"/>
                </a:ext>
                <a:ext uri="{FF2B5EF4-FFF2-40B4-BE49-F238E27FC236}">
                  <a16:creationId xmlns:a16="http://schemas.microsoft.com/office/drawing/2014/main" id="{00000000-0008-0000-0400-0000A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xdr:row>
          <xdr:rowOff>133350</xdr:rowOff>
        </xdr:from>
        <xdr:to>
          <xdr:col>5</xdr:col>
          <xdr:colOff>95250</xdr:colOff>
          <xdr:row>109</xdr:row>
          <xdr:rowOff>19050</xdr:rowOff>
        </xdr:to>
        <xdr:sp macro="" textlink="">
          <xdr:nvSpPr>
            <xdr:cNvPr id="48300" name="Check Box 172" hidden="1">
              <a:extLst>
                <a:ext uri="{63B3BB69-23CF-44E3-9099-C40C66FF867C}">
                  <a14:compatExt spid="_x0000_s48300"/>
                </a:ext>
                <a:ext uri="{FF2B5EF4-FFF2-40B4-BE49-F238E27FC236}">
                  <a16:creationId xmlns:a16="http://schemas.microsoft.com/office/drawing/2014/main" id="{00000000-0008-0000-0400-0000AC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133350</xdr:rowOff>
        </xdr:from>
        <xdr:to>
          <xdr:col>5</xdr:col>
          <xdr:colOff>95250</xdr:colOff>
          <xdr:row>108</xdr:row>
          <xdr:rowOff>19050</xdr:rowOff>
        </xdr:to>
        <xdr:sp macro="" textlink="">
          <xdr:nvSpPr>
            <xdr:cNvPr id="48301" name="Check Box 173" hidden="1">
              <a:extLst>
                <a:ext uri="{63B3BB69-23CF-44E3-9099-C40C66FF867C}">
                  <a14:compatExt spid="_x0000_s48301"/>
                </a:ext>
                <a:ext uri="{FF2B5EF4-FFF2-40B4-BE49-F238E27FC236}">
                  <a16:creationId xmlns:a16="http://schemas.microsoft.com/office/drawing/2014/main" id="{00000000-0008-0000-0400-0000AD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180</xdr:row>
          <xdr:rowOff>133350</xdr:rowOff>
        </xdr:from>
        <xdr:to>
          <xdr:col>5</xdr:col>
          <xdr:colOff>104775</xdr:colOff>
          <xdr:row>182</xdr:row>
          <xdr:rowOff>19050</xdr:rowOff>
        </xdr:to>
        <xdr:sp macro="" textlink="">
          <xdr:nvSpPr>
            <xdr:cNvPr id="48304" name="Check Box 176" hidden="1">
              <a:extLst>
                <a:ext uri="{63B3BB69-23CF-44E3-9099-C40C66FF867C}">
                  <a14:compatExt spid="_x0000_s48304"/>
                </a:ext>
                <a:ext uri="{FF2B5EF4-FFF2-40B4-BE49-F238E27FC236}">
                  <a16:creationId xmlns:a16="http://schemas.microsoft.com/office/drawing/2014/main" id="{00000000-0008-0000-0400-0000B0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152400</xdr:rowOff>
        </xdr:from>
        <xdr:to>
          <xdr:col>5</xdr:col>
          <xdr:colOff>95250</xdr:colOff>
          <xdr:row>183</xdr:row>
          <xdr:rowOff>28575</xdr:rowOff>
        </xdr:to>
        <xdr:sp macro="" textlink="">
          <xdr:nvSpPr>
            <xdr:cNvPr id="48305" name="Check Box 177" hidden="1">
              <a:extLst>
                <a:ext uri="{63B3BB69-23CF-44E3-9099-C40C66FF867C}">
                  <a14:compatExt spid="_x0000_s48305"/>
                </a:ext>
                <a:ext uri="{FF2B5EF4-FFF2-40B4-BE49-F238E27FC236}">
                  <a16:creationId xmlns:a16="http://schemas.microsoft.com/office/drawing/2014/main" id="{00000000-0008-0000-0400-0000B1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183</xdr:row>
          <xdr:rowOff>133350</xdr:rowOff>
        </xdr:from>
        <xdr:to>
          <xdr:col>5</xdr:col>
          <xdr:colOff>95250</xdr:colOff>
          <xdr:row>185</xdr:row>
          <xdr:rowOff>19050</xdr:rowOff>
        </xdr:to>
        <xdr:sp macro="" textlink="">
          <xdr:nvSpPr>
            <xdr:cNvPr id="48306" name="Check Box 178" hidden="1">
              <a:extLst>
                <a:ext uri="{63B3BB69-23CF-44E3-9099-C40C66FF867C}">
                  <a14:compatExt spid="_x0000_s48306"/>
                </a:ext>
                <a:ext uri="{FF2B5EF4-FFF2-40B4-BE49-F238E27FC236}">
                  <a16:creationId xmlns:a16="http://schemas.microsoft.com/office/drawing/2014/main" id="{00000000-0008-0000-0400-0000B2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182</xdr:row>
          <xdr:rowOff>133350</xdr:rowOff>
        </xdr:from>
        <xdr:to>
          <xdr:col>5</xdr:col>
          <xdr:colOff>95250</xdr:colOff>
          <xdr:row>184</xdr:row>
          <xdr:rowOff>28575</xdr:rowOff>
        </xdr:to>
        <xdr:sp macro="" textlink="">
          <xdr:nvSpPr>
            <xdr:cNvPr id="48307" name="Check Box 179" hidden="1">
              <a:extLst>
                <a:ext uri="{63B3BB69-23CF-44E3-9099-C40C66FF867C}">
                  <a14:compatExt spid="_x0000_s48307"/>
                </a:ext>
                <a:ext uri="{FF2B5EF4-FFF2-40B4-BE49-F238E27FC236}">
                  <a16:creationId xmlns:a16="http://schemas.microsoft.com/office/drawing/2014/main" id="{00000000-0008-0000-0400-0000B3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256</xdr:row>
          <xdr:rowOff>114300</xdr:rowOff>
        </xdr:from>
        <xdr:to>
          <xdr:col>5</xdr:col>
          <xdr:colOff>104775</xdr:colOff>
          <xdr:row>258</xdr:row>
          <xdr:rowOff>28575</xdr:rowOff>
        </xdr:to>
        <xdr:sp macro="" textlink="">
          <xdr:nvSpPr>
            <xdr:cNvPr id="48308" name="Check Box 180" hidden="1">
              <a:extLst>
                <a:ext uri="{63B3BB69-23CF-44E3-9099-C40C66FF867C}">
                  <a14:compatExt spid="_x0000_s48308"/>
                </a:ext>
                <a:ext uri="{FF2B5EF4-FFF2-40B4-BE49-F238E27FC236}">
                  <a16:creationId xmlns:a16="http://schemas.microsoft.com/office/drawing/2014/main" id="{00000000-0008-0000-0400-0000B4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257</xdr:row>
          <xdr:rowOff>152400</xdr:rowOff>
        </xdr:from>
        <xdr:to>
          <xdr:col>5</xdr:col>
          <xdr:colOff>95250</xdr:colOff>
          <xdr:row>259</xdr:row>
          <xdr:rowOff>28575</xdr:rowOff>
        </xdr:to>
        <xdr:sp macro="" textlink="">
          <xdr:nvSpPr>
            <xdr:cNvPr id="48309" name="Check Box 181" hidden="1">
              <a:extLst>
                <a:ext uri="{63B3BB69-23CF-44E3-9099-C40C66FF867C}">
                  <a14:compatExt spid="_x0000_s48309"/>
                </a:ext>
                <a:ext uri="{FF2B5EF4-FFF2-40B4-BE49-F238E27FC236}">
                  <a16:creationId xmlns:a16="http://schemas.microsoft.com/office/drawing/2014/main" id="{00000000-0008-0000-0400-0000B5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259</xdr:row>
          <xdr:rowOff>133350</xdr:rowOff>
        </xdr:from>
        <xdr:to>
          <xdr:col>5</xdr:col>
          <xdr:colOff>95250</xdr:colOff>
          <xdr:row>261</xdr:row>
          <xdr:rowOff>19050</xdr:rowOff>
        </xdr:to>
        <xdr:sp macro="" textlink="">
          <xdr:nvSpPr>
            <xdr:cNvPr id="48310" name="Check Box 182" hidden="1">
              <a:extLst>
                <a:ext uri="{63B3BB69-23CF-44E3-9099-C40C66FF867C}">
                  <a14:compatExt spid="_x0000_s48310"/>
                </a:ext>
                <a:ext uri="{FF2B5EF4-FFF2-40B4-BE49-F238E27FC236}">
                  <a16:creationId xmlns:a16="http://schemas.microsoft.com/office/drawing/2014/main" id="{00000000-0008-0000-0400-0000B6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258</xdr:row>
          <xdr:rowOff>123825</xdr:rowOff>
        </xdr:from>
        <xdr:to>
          <xdr:col>5</xdr:col>
          <xdr:colOff>95250</xdr:colOff>
          <xdr:row>260</xdr:row>
          <xdr:rowOff>19050</xdr:rowOff>
        </xdr:to>
        <xdr:sp macro="" textlink="">
          <xdr:nvSpPr>
            <xdr:cNvPr id="48311" name="Check Box 183" hidden="1">
              <a:extLst>
                <a:ext uri="{63B3BB69-23CF-44E3-9099-C40C66FF867C}">
                  <a14:compatExt spid="_x0000_s48311"/>
                </a:ext>
                <a:ext uri="{FF2B5EF4-FFF2-40B4-BE49-F238E27FC236}">
                  <a16:creationId xmlns:a16="http://schemas.microsoft.com/office/drawing/2014/main" id="{00000000-0008-0000-0400-0000B7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331</xdr:row>
          <xdr:rowOff>133350</xdr:rowOff>
        </xdr:from>
        <xdr:to>
          <xdr:col>5</xdr:col>
          <xdr:colOff>104775</xdr:colOff>
          <xdr:row>333</xdr:row>
          <xdr:rowOff>19050</xdr:rowOff>
        </xdr:to>
        <xdr:sp macro="" textlink="">
          <xdr:nvSpPr>
            <xdr:cNvPr id="48312" name="Check Box 184" hidden="1">
              <a:extLst>
                <a:ext uri="{63B3BB69-23CF-44E3-9099-C40C66FF867C}">
                  <a14:compatExt spid="_x0000_s48312"/>
                </a:ext>
                <a:ext uri="{FF2B5EF4-FFF2-40B4-BE49-F238E27FC236}">
                  <a16:creationId xmlns:a16="http://schemas.microsoft.com/office/drawing/2014/main" id="{00000000-0008-0000-0400-0000B8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332</xdr:row>
          <xdr:rowOff>142875</xdr:rowOff>
        </xdr:from>
        <xdr:to>
          <xdr:col>5</xdr:col>
          <xdr:colOff>95250</xdr:colOff>
          <xdr:row>334</xdr:row>
          <xdr:rowOff>19050</xdr:rowOff>
        </xdr:to>
        <xdr:sp macro="" textlink="">
          <xdr:nvSpPr>
            <xdr:cNvPr id="48313" name="Check Box 185" hidden="1">
              <a:extLst>
                <a:ext uri="{63B3BB69-23CF-44E3-9099-C40C66FF867C}">
                  <a14:compatExt spid="_x0000_s48313"/>
                </a:ext>
                <a:ext uri="{FF2B5EF4-FFF2-40B4-BE49-F238E27FC236}">
                  <a16:creationId xmlns:a16="http://schemas.microsoft.com/office/drawing/2014/main" id="{00000000-0008-0000-0400-0000B9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123825</xdr:rowOff>
        </xdr:from>
        <xdr:to>
          <xdr:col>5</xdr:col>
          <xdr:colOff>95250</xdr:colOff>
          <xdr:row>336</xdr:row>
          <xdr:rowOff>9525</xdr:rowOff>
        </xdr:to>
        <xdr:sp macro="" textlink="">
          <xdr:nvSpPr>
            <xdr:cNvPr id="48314" name="Check Box 186" hidden="1">
              <a:extLst>
                <a:ext uri="{63B3BB69-23CF-44E3-9099-C40C66FF867C}">
                  <a14:compatExt spid="_x0000_s48314"/>
                </a:ext>
                <a:ext uri="{FF2B5EF4-FFF2-40B4-BE49-F238E27FC236}">
                  <a16:creationId xmlns:a16="http://schemas.microsoft.com/office/drawing/2014/main" id="{00000000-0008-0000-0400-0000BA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333</xdr:row>
          <xdr:rowOff>114300</xdr:rowOff>
        </xdr:from>
        <xdr:to>
          <xdr:col>5</xdr:col>
          <xdr:colOff>95250</xdr:colOff>
          <xdr:row>335</xdr:row>
          <xdr:rowOff>9525</xdr:rowOff>
        </xdr:to>
        <xdr:sp macro="" textlink="">
          <xdr:nvSpPr>
            <xdr:cNvPr id="48315" name="Check Box 187" hidden="1">
              <a:extLst>
                <a:ext uri="{63B3BB69-23CF-44E3-9099-C40C66FF867C}">
                  <a14:compatExt spid="_x0000_s48315"/>
                </a:ext>
                <a:ext uri="{FF2B5EF4-FFF2-40B4-BE49-F238E27FC236}">
                  <a16:creationId xmlns:a16="http://schemas.microsoft.com/office/drawing/2014/main" id="{00000000-0008-0000-0400-0000BBBC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576</xdr:row>
          <xdr:rowOff>19050</xdr:rowOff>
        </xdr:from>
        <xdr:to>
          <xdr:col>8</xdr:col>
          <xdr:colOff>66675</xdr:colOff>
          <xdr:row>577</xdr:row>
          <xdr:rowOff>9525</xdr:rowOff>
        </xdr:to>
        <xdr:sp macro="" textlink="">
          <xdr:nvSpPr>
            <xdr:cNvPr id="48606" name="Check Box 478" hidden="1">
              <a:extLst>
                <a:ext uri="{63B3BB69-23CF-44E3-9099-C40C66FF867C}">
                  <a14:compatExt spid="_x0000_s48606"/>
                </a:ext>
                <a:ext uri="{FF2B5EF4-FFF2-40B4-BE49-F238E27FC236}">
                  <a16:creationId xmlns:a16="http://schemas.microsoft.com/office/drawing/2014/main" id="{00000000-0008-0000-0400-0000DEB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422</xdr:row>
          <xdr:rowOff>28575</xdr:rowOff>
        </xdr:from>
        <xdr:to>
          <xdr:col>7</xdr:col>
          <xdr:colOff>219075</xdr:colOff>
          <xdr:row>423</xdr:row>
          <xdr:rowOff>19050</xdr:rowOff>
        </xdr:to>
        <xdr:sp macro="" textlink="">
          <xdr:nvSpPr>
            <xdr:cNvPr id="48617" name="Check Box 489" hidden="1">
              <a:extLst>
                <a:ext uri="{63B3BB69-23CF-44E3-9099-C40C66FF867C}">
                  <a14:compatExt spid="_x0000_s48617"/>
                </a:ext>
                <a:ext uri="{FF2B5EF4-FFF2-40B4-BE49-F238E27FC236}">
                  <a16:creationId xmlns:a16="http://schemas.microsoft.com/office/drawing/2014/main" id="{00000000-0008-0000-0400-0000E9BD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200025</xdr:colOff>
          <xdr:row>462</xdr:row>
          <xdr:rowOff>9525</xdr:rowOff>
        </xdr:from>
        <xdr:to>
          <xdr:col>1</xdr:col>
          <xdr:colOff>819150</xdr:colOff>
          <xdr:row>462</xdr:row>
          <xdr:rowOff>152400</xdr:rowOff>
        </xdr:to>
        <xdr:sp macro="" textlink="">
          <xdr:nvSpPr>
            <xdr:cNvPr id="48647" name="Label 519" hidden="1">
              <a:extLst>
                <a:ext uri="{63B3BB69-23CF-44E3-9099-C40C66FF867C}">
                  <a14:compatExt spid="_x0000_s48647"/>
                </a:ext>
                <a:ext uri="{FF2B5EF4-FFF2-40B4-BE49-F238E27FC236}">
                  <a16:creationId xmlns:a16="http://schemas.microsoft.com/office/drawing/2014/main" id="{00000000-0008-0000-0400-000007BE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cs typeface="Segoe UI"/>
                </a:rPr>
                <a:t>(55%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466</xdr:row>
          <xdr:rowOff>180975</xdr:rowOff>
        </xdr:from>
        <xdr:to>
          <xdr:col>5</xdr:col>
          <xdr:colOff>104775</xdr:colOff>
          <xdr:row>468</xdr:row>
          <xdr:rowOff>19050</xdr:rowOff>
        </xdr:to>
        <xdr:sp macro="" textlink="">
          <xdr:nvSpPr>
            <xdr:cNvPr id="48649" name="Check Box 521" hidden="1">
              <a:extLst>
                <a:ext uri="{63B3BB69-23CF-44E3-9099-C40C66FF867C}">
                  <a14:compatExt spid="_x0000_s48649"/>
                </a:ext>
                <a:ext uri="{FF2B5EF4-FFF2-40B4-BE49-F238E27FC236}">
                  <a16:creationId xmlns:a16="http://schemas.microsoft.com/office/drawing/2014/main" id="{00000000-0008-0000-0400-000009BE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238125</xdr:colOff>
          <xdr:row>52</xdr:row>
          <xdr:rowOff>123825</xdr:rowOff>
        </xdr:from>
        <xdr:to>
          <xdr:col>5</xdr:col>
          <xdr:colOff>66675</xdr:colOff>
          <xdr:row>54</xdr:row>
          <xdr:rowOff>0</xdr:rowOff>
        </xdr:to>
        <xdr:sp macro="" textlink="">
          <xdr:nvSpPr>
            <xdr:cNvPr id="47109" name="Check Box 5" hidden="1">
              <a:extLst>
                <a:ext uri="{63B3BB69-23CF-44E3-9099-C40C66FF867C}">
                  <a14:compatExt spid="_x0000_s47109"/>
                </a:ext>
                <a:ext uri="{FF2B5EF4-FFF2-40B4-BE49-F238E27FC236}">
                  <a16:creationId xmlns:a16="http://schemas.microsoft.com/office/drawing/2014/main" id="{00000000-0008-0000-0500-00000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238125</xdr:colOff>
          <xdr:row>53</xdr:row>
          <xdr:rowOff>161925</xdr:rowOff>
        </xdr:from>
        <xdr:to>
          <xdr:col>5</xdr:col>
          <xdr:colOff>66675</xdr:colOff>
          <xdr:row>55</xdr:row>
          <xdr:rowOff>0</xdr:rowOff>
        </xdr:to>
        <xdr:sp macro="" textlink="">
          <xdr:nvSpPr>
            <xdr:cNvPr id="47110" name="Check Box 6" hidden="1">
              <a:extLst>
                <a:ext uri="{63B3BB69-23CF-44E3-9099-C40C66FF867C}">
                  <a14:compatExt spid="_x0000_s47110"/>
                </a:ext>
                <a:ext uri="{FF2B5EF4-FFF2-40B4-BE49-F238E27FC236}">
                  <a16:creationId xmlns:a16="http://schemas.microsoft.com/office/drawing/2014/main" id="{00000000-0008-0000-0500-00000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128</xdr:row>
          <xdr:rowOff>133350</xdr:rowOff>
        </xdr:from>
        <xdr:to>
          <xdr:col>4</xdr:col>
          <xdr:colOff>57150</xdr:colOff>
          <xdr:row>130</xdr:row>
          <xdr:rowOff>9525</xdr:rowOff>
        </xdr:to>
        <xdr:sp macro="" textlink="">
          <xdr:nvSpPr>
            <xdr:cNvPr id="47115" name="Check Box 11" hidden="1">
              <a:extLst>
                <a:ext uri="{63B3BB69-23CF-44E3-9099-C40C66FF867C}">
                  <a14:compatExt spid="_x0000_s47115"/>
                </a:ext>
                <a:ext uri="{FF2B5EF4-FFF2-40B4-BE49-F238E27FC236}">
                  <a16:creationId xmlns:a16="http://schemas.microsoft.com/office/drawing/2014/main" id="{00000000-0008-0000-0500-00000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129</xdr:row>
          <xdr:rowOff>161925</xdr:rowOff>
        </xdr:from>
        <xdr:to>
          <xdr:col>4</xdr:col>
          <xdr:colOff>57150</xdr:colOff>
          <xdr:row>131</xdr:row>
          <xdr:rowOff>0</xdr:rowOff>
        </xdr:to>
        <xdr:sp macro="" textlink="">
          <xdr:nvSpPr>
            <xdr:cNvPr id="47116" name="Check Box 12" hidden="1">
              <a:extLst>
                <a:ext uri="{63B3BB69-23CF-44E3-9099-C40C66FF867C}">
                  <a14:compatExt spid="_x0000_s47116"/>
                </a:ext>
                <a:ext uri="{FF2B5EF4-FFF2-40B4-BE49-F238E27FC236}">
                  <a16:creationId xmlns:a16="http://schemas.microsoft.com/office/drawing/2014/main" id="{00000000-0008-0000-0500-00000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130</xdr:row>
          <xdr:rowOff>171450</xdr:rowOff>
        </xdr:from>
        <xdr:to>
          <xdr:col>4</xdr:col>
          <xdr:colOff>57150</xdr:colOff>
          <xdr:row>132</xdr:row>
          <xdr:rowOff>9525</xdr:rowOff>
        </xdr:to>
        <xdr:sp macro="" textlink="">
          <xdr:nvSpPr>
            <xdr:cNvPr id="47117" name="Check Box 13" hidden="1">
              <a:extLst>
                <a:ext uri="{63B3BB69-23CF-44E3-9099-C40C66FF867C}">
                  <a14:compatExt spid="_x0000_s47117"/>
                </a:ext>
                <a:ext uri="{FF2B5EF4-FFF2-40B4-BE49-F238E27FC236}">
                  <a16:creationId xmlns:a16="http://schemas.microsoft.com/office/drawing/2014/main" id="{00000000-0008-0000-0500-00000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204</xdr:row>
          <xdr:rowOff>142875</xdr:rowOff>
        </xdr:from>
        <xdr:to>
          <xdr:col>4</xdr:col>
          <xdr:colOff>57150</xdr:colOff>
          <xdr:row>206</xdr:row>
          <xdr:rowOff>19050</xdr:rowOff>
        </xdr:to>
        <xdr:sp macro="" textlink="">
          <xdr:nvSpPr>
            <xdr:cNvPr id="47122" name="Check Box 18" hidden="1">
              <a:extLst>
                <a:ext uri="{63B3BB69-23CF-44E3-9099-C40C66FF867C}">
                  <a14:compatExt spid="_x0000_s47122"/>
                </a:ext>
                <a:ext uri="{FF2B5EF4-FFF2-40B4-BE49-F238E27FC236}">
                  <a16:creationId xmlns:a16="http://schemas.microsoft.com/office/drawing/2014/main" id="{00000000-0008-0000-0500-00001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205</xdr:row>
          <xdr:rowOff>171450</xdr:rowOff>
        </xdr:from>
        <xdr:to>
          <xdr:col>4</xdr:col>
          <xdr:colOff>57150</xdr:colOff>
          <xdr:row>207</xdr:row>
          <xdr:rowOff>9525</xdr:rowOff>
        </xdr:to>
        <xdr:sp macro="" textlink="">
          <xdr:nvSpPr>
            <xdr:cNvPr id="47123" name="Check Box 19" hidden="1">
              <a:extLst>
                <a:ext uri="{63B3BB69-23CF-44E3-9099-C40C66FF867C}">
                  <a14:compatExt spid="_x0000_s47123"/>
                </a:ext>
                <a:ext uri="{FF2B5EF4-FFF2-40B4-BE49-F238E27FC236}">
                  <a16:creationId xmlns:a16="http://schemas.microsoft.com/office/drawing/2014/main" id="{00000000-0008-0000-0500-00001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206</xdr:row>
          <xdr:rowOff>180975</xdr:rowOff>
        </xdr:from>
        <xdr:to>
          <xdr:col>4</xdr:col>
          <xdr:colOff>57150</xdr:colOff>
          <xdr:row>208</xdr:row>
          <xdr:rowOff>19050</xdr:rowOff>
        </xdr:to>
        <xdr:sp macro="" textlink="">
          <xdr:nvSpPr>
            <xdr:cNvPr id="47124" name="Check Box 20" hidden="1">
              <a:extLst>
                <a:ext uri="{63B3BB69-23CF-44E3-9099-C40C66FF867C}">
                  <a14:compatExt spid="_x0000_s47124"/>
                </a:ext>
                <a:ext uri="{FF2B5EF4-FFF2-40B4-BE49-F238E27FC236}">
                  <a16:creationId xmlns:a16="http://schemas.microsoft.com/office/drawing/2014/main" id="{00000000-0008-0000-0500-00001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280</xdr:row>
          <xdr:rowOff>133350</xdr:rowOff>
        </xdr:from>
        <xdr:to>
          <xdr:col>4</xdr:col>
          <xdr:colOff>66675</xdr:colOff>
          <xdr:row>282</xdr:row>
          <xdr:rowOff>9525</xdr:rowOff>
        </xdr:to>
        <xdr:sp macro="" textlink="">
          <xdr:nvSpPr>
            <xdr:cNvPr id="47129" name="Check Box 25" hidden="1">
              <a:extLst>
                <a:ext uri="{63B3BB69-23CF-44E3-9099-C40C66FF867C}">
                  <a14:compatExt spid="_x0000_s47129"/>
                </a:ext>
                <a:ext uri="{FF2B5EF4-FFF2-40B4-BE49-F238E27FC236}">
                  <a16:creationId xmlns:a16="http://schemas.microsoft.com/office/drawing/2014/main" id="{00000000-0008-0000-0500-00001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281</xdr:row>
          <xdr:rowOff>161925</xdr:rowOff>
        </xdr:from>
        <xdr:to>
          <xdr:col>4</xdr:col>
          <xdr:colOff>66675</xdr:colOff>
          <xdr:row>283</xdr:row>
          <xdr:rowOff>0</xdr:rowOff>
        </xdr:to>
        <xdr:sp macro="" textlink="">
          <xdr:nvSpPr>
            <xdr:cNvPr id="47130" name="Check Box 26" hidden="1">
              <a:extLst>
                <a:ext uri="{63B3BB69-23CF-44E3-9099-C40C66FF867C}">
                  <a14:compatExt spid="_x0000_s47130"/>
                </a:ext>
                <a:ext uri="{FF2B5EF4-FFF2-40B4-BE49-F238E27FC236}">
                  <a16:creationId xmlns:a16="http://schemas.microsoft.com/office/drawing/2014/main" id="{00000000-0008-0000-0500-00001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282</xdr:row>
          <xdr:rowOff>171450</xdr:rowOff>
        </xdr:from>
        <xdr:to>
          <xdr:col>4</xdr:col>
          <xdr:colOff>66675</xdr:colOff>
          <xdr:row>284</xdr:row>
          <xdr:rowOff>9525</xdr:rowOff>
        </xdr:to>
        <xdr:sp macro="" textlink="">
          <xdr:nvSpPr>
            <xdr:cNvPr id="47131" name="Check Box 27" hidden="1">
              <a:extLst>
                <a:ext uri="{63B3BB69-23CF-44E3-9099-C40C66FF867C}">
                  <a14:compatExt spid="_x0000_s47131"/>
                </a:ext>
                <a:ext uri="{FF2B5EF4-FFF2-40B4-BE49-F238E27FC236}">
                  <a16:creationId xmlns:a16="http://schemas.microsoft.com/office/drawing/2014/main" id="{00000000-0008-0000-0500-00001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355</xdr:row>
          <xdr:rowOff>133350</xdr:rowOff>
        </xdr:from>
        <xdr:to>
          <xdr:col>4</xdr:col>
          <xdr:colOff>76200</xdr:colOff>
          <xdr:row>357</xdr:row>
          <xdr:rowOff>9525</xdr:rowOff>
        </xdr:to>
        <xdr:sp macro="" textlink="">
          <xdr:nvSpPr>
            <xdr:cNvPr id="47136" name="Check Box 32" hidden="1">
              <a:extLst>
                <a:ext uri="{63B3BB69-23CF-44E3-9099-C40C66FF867C}">
                  <a14:compatExt spid="_x0000_s47136"/>
                </a:ext>
                <a:ext uri="{FF2B5EF4-FFF2-40B4-BE49-F238E27FC236}">
                  <a16:creationId xmlns:a16="http://schemas.microsoft.com/office/drawing/2014/main" id="{00000000-0008-0000-0500-00002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356</xdr:row>
          <xdr:rowOff>161925</xdr:rowOff>
        </xdr:from>
        <xdr:to>
          <xdr:col>4</xdr:col>
          <xdr:colOff>76200</xdr:colOff>
          <xdr:row>358</xdr:row>
          <xdr:rowOff>0</xdr:rowOff>
        </xdr:to>
        <xdr:sp macro="" textlink="">
          <xdr:nvSpPr>
            <xdr:cNvPr id="47137" name="Check Box 33" hidden="1">
              <a:extLst>
                <a:ext uri="{63B3BB69-23CF-44E3-9099-C40C66FF867C}">
                  <a14:compatExt spid="_x0000_s47137"/>
                </a:ext>
                <a:ext uri="{FF2B5EF4-FFF2-40B4-BE49-F238E27FC236}">
                  <a16:creationId xmlns:a16="http://schemas.microsoft.com/office/drawing/2014/main" id="{00000000-0008-0000-0500-00002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38100</xdr:colOff>
          <xdr:row>357</xdr:row>
          <xdr:rowOff>171450</xdr:rowOff>
        </xdr:from>
        <xdr:to>
          <xdr:col>4</xdr:col>
          <xdr:colOff>76200</xdr:colOff>
          <xdr:row>359</xdr:row>
          <xdr:rowOff>9525</xdr:rowOff>
        </xdr:to>
        <xdr:sp macro="" textlink="">
          <xdr:nvSpPr>
            <xdr:cNvPr id="47138" name="Check Box 34" hidden="1">
              <a:extLst>
                <a:ext uri="{63B3BB69-23CF-44E3-9099-C40C66FF867C}">
                  <a14:compatExt spid="_x0000_s47138"/>
                </a:ext>
                <a:ext uri="{FF2B5EF4-FFF2-40B4-BE49-F238E27FC236}">
                  <a16:creationId xmlns:a16="http://schemas.microsoft.com/office/drawing/2014/main" id="{00000000-0008-0000-0500-00002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384</xdr:row>
          <xdr:rowOff>266700</xdr:rowOff>
        </xdr:from>
        <xdr:to>
          <xdr:col>7</xdr:col>
          <xdr:colOff>238125</xdr:colOff>
          <xdr:row>385</xdr:row>
          <xdr:rowOff>219075</xdr:rowOff>
        </xdr:to>
        <xdr:sp macro="" textlink="">
          <xdr:nvSpPr>
            <xdr:cNvPr id="47139" name="Check Box 35" hidden="1">
              <a:extLst>
                <a:ext uri="{63B3BB69-23CF-44E3-9099-C40C66FF867C}">
                  <a14:compatExt spid="_x0000_s47139"/>
                </a:ext>
                <a:ext uri="{FF2B5EF4-FFF2-40B4-BE49-F238E27FC236}">
                  <a16:creationId xmlns:a16="http://schemas.microsoft.com/office/drawing/2014/main" id="{00000000-0008-0000-05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385</xdr:row>
          <xdr:rowOff>228600</xdr:rowOff>
        </xdr:from>
        <xdr:to>
          <xdr:col>7</xdr:col>
          <xdr:colOff>238125</xdr:colOff>
          <xdr:row>387</xdr:row>
          <xdr:rowOff>0</xdr:rowOff>
        </xdr:to>
        <xdr:sp macro="" textlink="">
          <xdr:nvSpPr>
            <xdr:cNvPr id="47140" name="Check Box 36" hidden="1">
              <a:extLst>
                <a:ext uri="{63B3BB69-23CF-44E3-9099-C40C66FF867C}">
                  <a14:compatExt spid="_x0000_s47140"/>
                </a:ext>
                <a:ext uri="{FF2B5EF4-FFF2-40B4-BE49-F238E27FC236}">
                  <a16:creationId xmlns:a16="http://schemas.microsoft.com/office/drawing/2014/main" id="{00000000-0008-0000-05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387</xdr:row>
          <xdr:rowOff>9525</xdr:rowOff>
        </xdr:from>
        <xdr:to>
          <xdr:col>7</xdr:col>
          <xdr:colOff>238125</xdr:colOff>
          <xdr:row>388</xdr:row>
          <xdr:rowOff>0</xdr:rowOff>
        </xdr:to>
        <xdr:sp macro="" textlink="">
          <xdr:nvSpPr>
            <xdr:cNvPr id="47141" name="Check Box 37" hidden="1">
              <a:extLst>
                <a:ext uri="{63B3BB69-23CF-44E3-9099-C40C66FF867C}">
                  <a14:compatExt spid="_x0000_s47141"/>
                </a:ext>
                <a:ext uri="{FF2B5EF4-FFF2-40B4-BE49-F238E27FC236}">
                  <a16:creationId xmlns:a16="http://schemas.microsoft.com/office/drawing/2014/main" id="{00000000-0008-0000-05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388</xdr:row>
          <xdr:rowOff>9525</xdr:rowOff>
        </xdr:from>
        <xdr:to>
          <xdr:col>7</xdr:col>
          <xdr:colOff>238125</xdr:colOff>
          <xdr:row>389</xdr:row>
          <xdr:rowOff>0</xdr:rowOff>
        </xdr:to>
        <xdr:sp macro="" textlink="">
          <xdr:nvSpPr>
            <xdr:cNvPr id="47142" name="Check Box 38" hidden="1">
              <a:extLst>
                <a:ext uri="{63B3BB69-23CF-44E3-9099-C40C66FF867C}">
                  <a14:compatExt spid="_x0000_s47142"/>
                </a:ext>
                <a:ext uri="{FF2B5EF4-FFF2-40B4-BE49-F238E27FC236}">
                  <a16:creationId xmlns:a16="http://schemas.microsoft.com/office/drawing/2014/main" id="{00000000-0008-0000-0500-00002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247650</xdr:colOff>
          <xdr:row>389</xdr:row>
          <xdr:rowOff>9525</xdr:rowOff>
        </xdr:from>
        <xdr:to>
          <xdr:col>7</xdr:col>
          <xdr:colOff>238125</xdr:colOff>
          <xdr:row>390</xdr:row>
          <xdr:rowOff>0</xdr:rowOff>
        </xdr:to>
        <xdr:sp macro="" textlink="">
          <xdr:nvSpPr>
            <xdr:cNvPr id="47143" name="Check Box 39" hidden="1">
              <a:extLst>
                <a:ext uri="{63B3BB69-23CF-44E3-9099-C40C66FF867C}">
                  <a14:compatExt spid="_x0000_s47143"/>
                </a:ext>
                <a:ext uri="{FF2B5EF4-FFF2-40B4-BE49-F238E27FC236}">
                  <a16:creationId xmlns:a16="http://schemas.microsoft.com/office/drawing/2014/main" id="{00000000-0008-0000-0500-00002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384</xdr:row>
          <xdr:rowOff>0</xdr:rowOff>
        </xdr:from>
        <xdr:to>
          <xdr:col>15</xdr:col>
          <xdr:colOff>0</xdr:colOff>
          <xdr:row>385</xdr:row>
          <xdr:rowOff>0</xdr:rowOff>
        </xdr:to>
        <xdr:grpSp>
          <xdr:nvGrpSpPr>
            <xdr:cNvPr id="91386" name="Group 40">
              <a:extLst>
                <a:ext uri="{FF2B5EF4-FFF2-40B4-BE49-F238E27FC236}">
                  <a16:creationId xmlns:a16="http://schemas.microsoft.com/office/drawing/2014/main" id="{00000000-0008-0000-0500-0000FA640100}"/>
                </a:ext>
              </a:extLst>
            </xdr:cNvPr>
            <xdr:cNvGrpSpPr>
              <a:grpSpLocks/>
            </xdr:cNvGrpSpPr>
          </xdr:nvGrpSpPr>
          <xdr:grpSpPr bwMode="auto">
            <a:xfrm>
              <a:off x="103188" y="72286813"/>
              <a:ext cx="5302250" cy="269875"/>
              <a:chOff x="11" y="6774"/>
              <a:chExt cx="554" cy="26"/>
            </a:xfrm>
          </xdr:grpSpPr>
          <xdr:sp macro="" textlink="">
            <xdr:nvSpPr>
              <xdr:cNvPr id="47145" name="Group Box 41" hidden="1">
                <a:extLst>
                  <a:ext uri="{63B3BB69-23CF-44E3-9099-C40C66FF867C}">
                    <a14:compatExt spid="_x0000_s47145"/>
                  </a:ext>
                  <a:ext uri="{FF2B5EF4-FFF2-40B4-BE49-F238E27FC236}">
                    <a16:creationId xmlns:a16="http://schemas.microsoft.com/office/drawing/2014/main" id="{00000000-0008-0000-0500-000029B80000}"/>
                  </a:ext>
                </a:extLst>
              </xdr:cNvPr>
              <xdr:cNvSpPr/>
            </xdr:nvSpPr>
            <xdr:spPr bwMode="auto">
              <a:xfrm>
                <a:off x="11" y="6774"/>
                <a:ext cx="554" cy="26"/>
              </a:xfrm>
              <a:prstGeom prst="rect">
                <a:avLst/>
              </a:prstGeom>
              <a:noFill/>
              <a:ln w="9525">
                <a:miter lim="800000"/>
                <a:headEnd/>
                <a:tailEnd/>
              </a:ln>
              <a:extLst>
                <a:ext uri="{909E8E84-426E-40DD-AFC4-6F175D3DCCD1}">
                  <a14:hiddenFill>
                    <a:noFill/>
                  </a14:hiddenFill>
                </a:ext>
              </a:extLst>
            </xdr:spPr>
          </xdr:sp>
          <xdr:sp macro="" textlink="">
            <xdr:nvSpPr>
              <xdr:cNvPr id="47146" name="Option Button 42" hidden="1">
                <a:extLst>
                  <a:ext uri="{63B3BB69-23CF-44E3-9099-C40C66FF867C}">
                    <a14:compatExt spid="_x0000_s47146"/>
                  </a:ext>
                  <a:ext uri="{FF2B5EF4-FFF2-40B4-BE49-F238E27FC236}">
                    <a16:creationId xmlns:a16="http://schemas.microsoft.com/office/drawing/2014/main" id="{00000000-0008-0000-0500-00002AB80000}"/>
                  </a:ext>
                </a:extLst>
              </xdr:cNvPr>
              <xdr:cNvSpPr/>
            </xdr:nvSpPr>
            <xdr:spPr bwMode="auto">
              <a:xfrm>
                <a:off x="12" y="6775"/>
                <a:ext cx="4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47" name="Option Button 43" hidden="1">
                <a:extLst>
                  <a:ext uri="{63B3BB69-23CF-44E3-9099-C40C66FF867C}">
                    <a14:compatExt spid="_x0000_s47147"/>
                  </a:ext>
                  <a:ext uri="{FF2B5EF4-FFF2-40B4-BE49-F238E27FC236}">
                    <a16:creationId xmlns:a16="http://schemas.microsoft.com/office/drawing/2014/main" id="{00000000-0008-0000-0500-00002BB80000}"/>
                  </a:ext>
                </a:extLst>
              </xdr:cNvPr>
              <xdr:cNvSpPr/>
            </xdr:nvSpPr>
            <xdr:spPr bwMode="auto">
              <a:xfrm>
                <a:off x="72" y="6775"/>
                <a:ext cx="19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hand at the carpal bones</a:t>
                </a:r>
              </a:p>
            </xdr:txBody>
          </xdr:sp>
          <xdr:sp macro="" textlink="">
            <xdr:nvSpPr>
              <xdr:cNvPr id="47148" name="Option Button 44" hidden="1">
                <a:extLst>
                  <a:ext uri="{63B3BB69-23CF-44E3-9099-C40C66FF867C}">
                    <a14:compatExt spid="_x0000_s47148"/>
                  </a:ext>
                  <a:ext uri="{FF2B5EF4-FFF2-40B4-BE49-F238E27FC236}">
                    <a16:creationId xmlns:a16="http://schemas.microsoft.com/office/drawing/2014/main" id="{00000000-0008-0000-0500-00002CB80000}"/>
                  </a:ext>
                </a:extLst>
              </xdr:cNvPr>
              <xdr:cNvSpPr/>
            </xdr:nvSpPr>
            <xdr:spPr bwMode="auto">
              <a:xfrm>
                <a:off x="280" y="6774"/>
                <a:ext cx="27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forearm at or proximal to the wrist joint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411</xdr:row>
          <xdr:rowOff>0</xdr:rowOff>
        </xdr:from>
        <xdr:to>
          <xdr:col>15</xdr:col>
          <xdr:colOff>0</xdr:colOff>
          <xdr:row>412</xdr:row>
          <xdr:rowOff>0</xdr:rowOff>
        </xdr:to>
        <xdr:grpSp>
          <xdr:nvGrpSpPr>
            <xdr:cNvPr id="91387" name="Group 45">
              <a:extLst>
                <a:ext uri="{FF2B5EF4-FFF2-40B4-BE49-F238E27FC236}">
                  <a16:creationId xmlns:a16="http://schemas.microsoft.com/office/drawing/2014/main" id="{00000000-0008-0000-0500-0000FB640100}"/>
                </a:ext>
              </a:extLst>
            </xdr:cNvPr>
            <xdr:cNvGrpSpPr>
              <a:grpSpLocks/>
            </xdr:cNvGrpSpPr>
          </xdr:nvGrpSpPr>
          <xdr:grpSpPr bwMode="auto">
            <a:xfrm>
              <a:off x="1595438" y="77747813"/>
              <a:ext cx="3810000" cy="246062"/>
              <a:chOff x="168" y="7315"/>
              <a:chExt cx="398" cy="26"/>
            </a:xfrm>
          </xdr:grpSpPr>
          <xdr:sp macro="" textlink="">
            <xdr:nvSpPr>
              <xdr:cNvPr id="47150" name="Group Box 46" hidden="1">
                <a:extLst>
                  <a:ext uri="{63B3BB69-23CF-44E3-9099-C40C66FF867C}">
                    <a14:compatExt spid="_x0000_s47150"/>
                  </a:ext>
                  <a:ext uri="{FF2B5EF4-FFF2-40B4-BE49-F238E27FC236}">
                    <a16:creationId xmlns:a16="http://schemas.microsoft.com/office/drawing/2014/main" id="{00000000-0008-0000-0500-00002EB80000}"/>
                  </a:ext>
                </a:extLst>
              </xdr:cNvPr>
              <xdr:cNvSpPr/>
            </xdr:nvSpPr>
            <xdr:spPr bwMode="auto">
              <a:xfrm>
                <a:off x="168" y="7315"/>
                <a:ext cx="398" cy="26"/>
              </a:xfrm>
              <a:prstGeom prst="rect">
                <a:avLst/>
              </a:prstGeom>
              <a:noFill/>
              <a:ln w="9525">
                <a:miter lim="800000"/>
                <a:headEnd/>
                <a:tailEnd/>
              </a:ln>
              <a:extLst>
                <a:ext uri="{909E8E84-426E-40DD-AFC4-6F175D3DCCD1}">
                  <a14:hiddenFill>
                    <a:noFill/>
                  </a14:hiddenFill>
                </a:ext>
              </a:extLst>
            </xdr:spPr>
          </xdr:sp>
          <xdr:sp macro="" textlink="">
            <xdr:nvSpPr>
              <xdr:cNvPr id="47151" name="Option Button 47" hidden="1">
                <a:extLst>
                  <a:ext uri="{63B3BB69-23CF-44E3-9099-C40C66FF867C}">
                    <a14:compatExt spid="_x0000_s47151"/>
                  </a:ext>
                  <a:ext uri="{FF2B5EF4-FFF2-40B4-BE49-F238E27FC236}">
                    <a16:creationId xmlns:a16="http://schemas.microsoft.com/office/drawing/2014/main" id="{00000000-0008-0000-0500-00002FB80000}"/>
                  </a:ext>
                </a:extLst>
              </xdr:cNvPr>
              <xdr:cNvSpPr/>
            </xdr:nvSpPr>
            <xdr:spPr bwMode="auto">
              <a:xfrm>
                <a:off x="168" y="7317"/>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52" name="Option Button 48" hidden="1">
                <a:extLst>
                  <a:ext uri="{63B3BB69-23CF-44E3-9099-C40C66FF867C}">
                    <a14:compatExt spid="_x0000_s47152"/>
                  </a:ext>
                  <a:ext uri="{FF2B5EF4-FFF2-40B4-BE49-F238E27FC236}">
                    <a16:creationId xmlns:a16="http://schemas.microsoft.com/office/drawing/2014/main" id="{00000000-0008-0000-0500-000030B80000}"/>
                  </a:ext>
                </a:extLst>
              </xdr:cNvPr>
              <xdr:cNvSpPr/>
            </xdr:nvSpPr>
            <xdr:spPr bwMode="auto">
              <a:xfrm>
                <a:off x="251" y="7317"/>
                <a:ext cx="13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7153" name="Option Button 49" hidden="1">
                <a:extLst>
                  <a:ext uri="{63B3BB69-23CF-44E3-9099-C40C66FF867C}">
                    <a14:compatExt spid="_x0000_s47153"/>
                  </a:ext>
                  <a:ext uri="{FF2B5EF4-FFF2-40B4-BE49-F238E27FC236}">
                    <a16:creationId xmlns:a16="http://schemas.microsoft.com/office/drawing/2014/main" id="{00000000-0008-0000-0500-000031B80000}"/>
                  </a:ext>
                </a:extLst>
              </xdr:cNvPr>
              <xdr:cNvSpPr/>
            </xdr:nvSpPr>
            <xdr:spPr bwMode="auto">
              <a:xfrm>
                <a:off x="414" y="7317"/>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413</xdr:row>
          <xdr:rowOff>0</xdr:rowOff>
        </xdr:to>
        <xdr:grpSp>
          <xdr:nvGrpSpPr>
            <xdr:cNvPr id="91388" name="Group 50">
              <a:extLst>
                <a:ext uri="{FF2B5EF4-FFF2-40B4-BE49-F238E27FC236}">
                  <a16:creationId xmlns:a16="http://schemas.microsoft.com/office/drawing/2014/main" id="{00000000-0008-0000-0500-0000FC640100}"/>
                </a:ext>
              </a:extLst>
            </xdr:cNvPr>
            <xdr:cNvGrpSpPr>
              <a:grpSpLocks/>
            </xdr:cNvGrpSpPr>
          </xdr:nvGrpSpPr>
          <xdr:grpSpPr bwMode="auto">
            <a:xfrm>
              <a:off x="1595438" y="77993875"/>
              <a:ext cx="3810000" cy="246063"/>
              <a:chOff x="168" y="7341"/>
              <a:chExt cx="398" cy="26"/>
            </a:xfrm>
          </xdr:grpSpPr>
          <xdr:sp macro="" textlink="">
            <xdr:nvSpPr>
              <xdr:cNvPr id="47155" name="Group Box 51" hidden="1">
                <a:extLst>
                  <a:ext uri="{63B3BB69-23CF-44E3-9099-C40C66FF867C}">
                    <a14:compatExt spid="_x0000_s47155"/>
                  </a:ext>
                  <a:ext uri="{FF2B5EF4-FFF2-40B4-BE49-F238E27FC236}">
                    <a16:creationId xmlns:a16="http://schemas.microsoft.com/office/drawing/2014/main" id="{00000000-0008-0000-0500-000033B80000}"/>
                  </a:ext>
                </a:extLst>
              </xdr:cNvPr>
              <xdr:cNvSpPr/>
            </xdr:nvSpPr>
            <xdr:spPr bwMode="auto">
              <a:xfrm>
                <a:off x="168" y="7341"/>
                <a:ext cx="398" cy="26"/>
              </a:xfrm>
              <a:prstGeom prst="rect">
                <a:avLst/>
              </a:prstGeom>
              <a:noFill/>
              <a:ln w="9525">
                <a:miter lim="800000"/>
                <a:headEnd/>
                <a:tailEnd/>
              </a:ln>
              <a:extLst>
                <a:ext uri="{909E8E84-426E-40DD-AFC4-6F175D3DCCD1}">
                  <a14:hiddenFill>
                    <a:noFill/>
                  </a14:hiddenFill>
                </a:ext>
              </a:extLst>
            </xdr:spPr>
          </xdr:sp>
          <xdr:sp macro="" textlink="">
            <xdr:nvSpPr>
              <xdr:cNvPr id="47156" name="Option Button 52" hidden="1">
                <a:extLst>
                  <a:ext uri="{63B3BB69-23CF-44E3-9099-C40C66FF867C}">
                    <a14:compatExt spid="_x0000_s47156"/>
                  </a:ext>
                  <a:ext uri="{FF2B5EF4-FFF2-40B4-BE49-F238E27FC236}">
                    <a16:creationId xmlns:a16="http://schemas.microsoft.com/office/drawing/2014/main" id="{00000000-0008-0000-0500-000034B80000}"/>
                  </a:ext>
                </a:extLst>
              </xdr:cNvPr>
              <xdr:cNvSpPr/>
            </xdr:nvSpPr>
            <xdr:spPr bwMode="auto">
              <a:xfrm>
                <a:off x="168" y="7343"/>
                <a:ext cx="7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57" name="Option Button 53" hidden="1">
                <a:extLst>
                  <a:ext uri="{63B3BB69-23CF-44E3-9099-C40C66FF867C}">
                    <a14:compatExt spid="_x0000_s47157"/>
                  </a:ext>
                  <a:ext uri="{FF2B5EF4-FFF2-40B4-BE49-F238E27FC236}">
                    <a16:creationId xmlns:a16="http://schemas.microsoft.com/office/drawing/2014/main" id="{00000000-0008-0000-0500-000035B80000}"/>
                  </a:ext>
                </a:extLst>
              </xdr:cNvPr>
              <xdr:cNvSpPr/>
            </xdr:nvSpPr>
            <xdr:spPr bwMode="auto">
              <a:xfrm>
                <a:off x="251" y="7343"/>
                <a:ext cx="130"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Protective sensation</a:t>
                </a:r>
              </a:p>
            </xdr:txBody>
          </xdr:sp>
          <xdr:sp macro="" textlink="">
            <xdr:nvSpPr>
              <xdr:cNvPr id="47158" name="Option Button 54" hidden="1">
                <a:extLst>
                  <a:ext uri="{63B3BB69-23CF-44E3-9099-C40C66FF867C}">
                    <a14:compatExt spid="_x0000_s47158"/>
                  </a:ext>
                  <a:ext uri="{FF2B5EF4-FFF2-40B4-BE49-F238E27FC236}">
                    <a16:creationId xmlns:a16="http://schemas.microsoft.com/office/drawing/2014/main" id="{00000000-0008-0000-0500-000036B80000}"/>
                  </a:ext>
                </a:extLst>
              </xdr:cNvPr>
              <xdr:cNvSpPr/>
            </xdr:nvSpPr>
            <xdr:spPr bwMode="auto">
              <a:xfrm>
                <a:off x="414" y="7343"/>
                <a:ext cx="13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loss of sensation</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414</xdr:row>
          <xdr:rowOff>0</xdr:rowOff>
        </xdr:from>
        <xdr:to>
          <xdr:col>15</xdr:col>
          <xdr:colOff>0</xdr:colOff>
          <xdr:row>415</xdr:row>
          <xdr:rowOff>0</xdr:rowOff>
        </xdr:to>
        <xdr:grpSp>
          <xdr:nvGrpSpPr>
            <xdr:cNvPr id="91389" name="Group 55">
              <a:extLst>
                <a:ext uri="{FF2B5EF4-FFF2-40B4-BE49-F238E27FC236}">
                  <a16:creationId xmlns:a16="http://schemas.microsoft.com/office/drawing/2014/main" id="{00000000-0008-0000-0500-0000FD640100}"/>
                </a:ext>
              </a:extLst>
            </xdr:cNvPr>
            <xdr:cNvGrpSpPr>
              <a:grpSpLocks/>
            </xdr:cNvGrpSpPr>
          </xdr:nvGrpSpPr>
          <xdr:grpSpPr bwMode="auto">
            <a:xfrm>
              <a:off x="1595438" y="78470125"/>
              <a:ext cx="3810000" cy="246063"/>
              <a:chOff x="169" y="7437"/>
              <a:chExt cx="397" cy="26"/>
            </a:xfrm>
          </xdr:grpSpPr>
          <xdr:sp macro="" textlink="">
            <xdr:nvSpPr>
              <xdr:cNvPr id="47160" name="Group Box 56" hidden="1">
                <a:extLst>
                  <a:ext uri="{63B3BB69-23CF-44E3-9099-C40C66FF867C}">
                    <a14:compatExt spid="_x0000_s47160"/>
                  </a:ext>
                  <a:ext uri="{FF2B5EF4-FFF2-40B4-BE49-F238E27FC236}">
                    <a16:creationId xmlns:a16="http://schemas.microsoft.com/office/drawing/2014/main" id="{00000000-0008-0000-0500-000038B80000}"/>
                  </a:ext>
                </a:extLst>
              </xdr:cNvPr>
              <xdr:cNvSpPr/>
            </xdr:nvSpPr>
            <xdr:spPr bwMode="auto">
              <a:xfrm>
                <a:off x="169" y="7437"/>
                <a:ext cx="397" cy="26"/>
              </a:xfrm>
              <a:prstGeom prst="rect">
                <a:avLst/>
              </a:prstGeom>
              <a:noFill/>
              <a:ln w="9525">
                <a:miter lim="800000"/>
                <a:headEnd/>
                <a:tailEnd/>
              </a:ln>
              <a:extLst>
                <a:ext uri="{909E8E84-426E-40DD-AFC4-6F175D3DCCD1}">
                  <a14:hiddenFill>
                    <a:noFill/>
                  </a14:hiddenFill>
                </a:ext>
              </a:extLst>
            </xdr:spPr>
          </xdr:sp>
          <xdr:sp macro="" textlink="">
            <xdr:nvSpPr>
              <xdr:cNvPr id="47161" name="Option Button 57" hidden="1">
                <a:extLst>
                  <a:ext uri="{63B3BB69-23CF-44E3-9099-C40C66FF867C}">
                    <a14:compatExt spid="_x0000_s47161"/>
                  </a:ext>
                  <a:ext uri="{FF2B5EF4-FFF2-40B4-BE49-F238E27FC236}">
                    <a16:creationId xmlns:a16="http://schemas.microsoft.com/office/drawing/2014/main" id="{00000000-0008-0000-0500-000039B80000}"/>
                  </a:ext>
                </a:extLst>
              </xdr:cNvPr>
              <xdr:cNvSpPr/>
            </xdr:nvSpPr>
            <xdr:spPr bwMode="auto">
              <a:xfrm>
                <a:off x="169" y="7439"/>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62" name="Option Button 58" hidden="1">
                <a:extLst>
                  <a:ext uri="{63B3BB69-23CF-44E3-9099-C40C66FF867C}">
                    <a14:compatExt spid="_x0000_s47162"/>
                  </a:ext>
                  <a:ext uri="{FF2B5EF4-FFF2-40B4-BE49-F238E27FC236}">
                    <a16:creationId xmlns:a16="http://schemas.microsoft.com/office/drawing/2014/main" id="{00000000-0008-0000-0500-00003AB80000}"/>
                  </a:ext>
                </a:extLst>
              </xdr:cNvPr>
              <xdr:cNvSpPr/>
            </xdr:nvSpPr>
            <xdr:spPr bwMode="auto">
              <a:xfrm>
                <a:off x="251"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7163" name="Option Button 59" hidden="1">
                <a:extLst>
                  <a:ext uri="{63B3BB69-23CF-44E3-9099-C40C66FF867C}">
                    <a14:compatExt spid="_x0000_s47163"/>
                  </a:ext>
                  <a:ext uri="{FF2B5EF4-FFF2-40B4-BE49-F238E27FC236}">
                    <a16:creationId xmlns:a16="http://schemas.microsoft.com/office/drawing/2014/main" id="{00000000-0008-0000-0500-00003BB80000}"/>
                  </a:ext>
                </a:extLst>
              </xdr:cNvPr>
              <xdr:cNvSpPr/>
            </xdr:nvSpPr>
            <xdr:spPr bwMode="auto">
              <a:xfrm>
                <a:off x="413" y="7439"/>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415</xdr:row>
          <xdr:rowOff>0</xdr:rowOff>
        </xdr:from>
        <xdr:to>
          <xdr:col>15</xdr:col>
          <xdr:colOff>0</xdr:colOff>
          <xdr:row>416</xdr:row>
          <xdr:rowOff>0</xdr:rowOff>
        </xdr:to>
        <xdr:grpSp>
          <xdr:nvGrpSpPr>
            <xdr:cNvPr id="91390" name="Group 60">
              <a:extLst>
                <a:ext uri="{FF2B5EF4-FFF2-40B4-BE49-F238E27FC236}">
                  <a16:creationId xmlns:a16="http://schemas.microsoft.com/office/drawing/2014/main" id="{00000000-0008-0000-0500-0000FE640100}"/>
                </a:ext>
              </a:extLst>
            </xdr:cNvPr>
            <xdr:cNvGrpSpPr>
              <a:grpSpLocks/>
            </xdr:cNvGrpSpPr>
          </xdr:nvGrpSpPr>
          <xdr:grpSpPr bwMode="auto">
            <a:xfrm>
              <a:off x="1595438" y="78716188"/>
              <a:ext cx="3810000" cy="246062"/>
              <a:chOff x="169" y="7463"/>
              <a:chExt cx="397" cy="26"/>
            </a:xfrm>
          </xdr:grpSpPr>
          <xdr:sp macro="" textlink="">
            <xdr:nvSpPr>
              <xdr:cNvPr id="47165" name="Group Box 61" hidden="1">
                <a:extLst>
                  <a:ext uri="{63B3BB69-23CF-44E3-9099-C40C66FF867C}">
                    <a14:compatExt spid="_x0000_s47165"/>
                  </a:ext>
                  <a:ext uri="{FF2B5EF4-FFF2-40B4-BE49-F238E27FC236}">
                    <a16:creationId xmlns:a16="http://schemas.microsoft.com/office/drawing/2014/main" id="{00000000-0008-0000-0500-00003DB80000}"/>
                  </a:ext>
                </a:extLst>
              </xdr:cNvPr>
              <xdr:cNvSpPr/>
            </xdr:nvSpPr>
            <xdr:spPr bwMode="auto">
              <a:xfrm>
                <a:off x="169" y="7463"/>
                <a:ext cx="397" cy="26"/>
              </a:xfrm>
              <a:prstGeom prst="rect">
                <a:avLst/>
              </a:prstGeom>
              <a:noFill/>
              <a:ln w="9525">
                <a:miter lim="800000"/>
                <a:headEnd/>
                <a:tailEnd/>
              </a:ln>
              <a:extLst>
                <a:ext uri="{909E8E84-426E-40DD-AFC4-6F175D3DCCD1}">
                  <a14:hiddenFill>
                    <a:noFill/>
                  </a14:hiddenFill>
                </a:ext>
              </a:extLst>
            </xdr:spPr>
          </xdr:sp>
          <xdr:sp macro="" textlink="">
            <xdr:nvSpPr>
              <xdr:cNvPr id="47166" name="Option Button 62" hidden="1">
                <a:extLst>
                  <a:ext uri="{63B3BB69-23CF-44E3-9099-C40C66FF867C}">
                    <a14:compatExt spid="_x0000_s47166"/>
                  </a:ext>
                  <a:ext uri="{FF2B5EF4-FFF2-40B4-BE49-F238E27FC236}">
                    <a16:creationId xmlns:a16="http://schemas.microsoft.com/office/drawing/2014/main" id="{00000000-0008-0000-0500-00003EB80000}"/>
                  </a:ext>
                </a:extLst>
              </xdr:cNvPr>
              <xdr:cNvSpPr/>
            </xdr:nvSpPr>
            <xdr:spPr bwMode="auto">
              <a:xfrm>
                <a:off x="169" y="7465"/>
                <a:ext cx="7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167" name="Option Button 63" hidden="1">
                <a:extLst>
                  <a:ext uri="{63B3BB69-23CF-44E3-9099-C40C66FF867C}">
                    <a14:compatExt spid="_x0000_s47167"/>
                  </a:ext>
                  <a:ext uri="{FF2B5EF4-FFF2-40B4-BE49-F238E27FC236}">
                    <a16:creationId xmlns:a16="http://schemas.microsoft.com/office/drawing/2014/main" id="{00000000-0008-0000-0500-00003FB80000}"/>
                  </a:ext>
                </a:extLst>
              </xdr:cNvPr>
              <xdr:cNvSpPr/>
            </xdr:nvSpPr>
            <xdr:spPr bwMode="auto">
              <a:xfrm>
                <a:off x="251" y="7465"/>
                <a:ext cx="15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Moderate hypersensitivity</a:t>
                </a:r>
              </a:p>
            </xdr:txBody>
          </xdr:sp>
          <xdr:sp macro="" textlink="">
            <xdr:nvSpPr>
              <xdr:cNvPr id="47168" name="Option Button 64" hidden="1">
                <a:extLst>
                  <a:ext uri="{63B3BB69-23CF-44E3-9099-C40C66FF867C}">
                    <a14:compatExt spid="_x0000_s47168"/>
                  </a:ext>
                  <a:ext uri="{FF2B5EF4-FFF2-40B4-BE49-F238E27FC236}">
                    <a16:creationId xmlns:a16="http://schemas.microsoft.com/office/drawing/2014/main" id="{00000000-0008-0000-0500-000040B80000}"/>
                  </a:ext>
                </a:extLst>
              </xdr:cNvPr>
              <xdr:cNvSpPr/>
            </xdr:nvSpPr>
            <xdr:spPr bwMode="auto">
              <a:xfrm>
                <a:off x="413" y="7465"/>
                <a:ext cx="14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Severe hypersensitivity</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420</xdr:row>
          <xdr:rowOff>123825</xdr:rowOff>
        </xdr:from>
        <xdr:to>
          <xdr:col>8</xdr:col>
          <xdr:colOff>66675</xdr:colOff>
          <xdr:row>421</xdr:row>
          <xdr:rowOff>200025</xdr:rowOff>
        </xdr:to>
        <xdr:sp macro="" textlink="">
          <xdr:nvSpPr>
            <xdr:cNvPr id="47169" name="Check Box 65" hidden="1">
              <a:extLst>
                <a:ext uri="{63B3BB69-23CF-44E3-9099-C40C66FF867C}">
                  <a14:compatExt spid="_x0000_s47169"/>
                </a:ext>
                <a:ext uri="{FF2B5EF4-FFF2-40B4-BE49-F238E27FC236}">
                  <a16:creationId xmlns:a16="http://schemas.microsoft.com/office/drawing/2014/main" id="{00000000-0008-0000-0500-00004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421</xdr:row>
          <xdr:rowOff>209550</xdr:rowOff>
        </xdr:from>
        <xdr:to>
          <xdr:col>8</xdr:col>
          <xdr:colOff>66675</xdr:colOff>
          <xdr:row>422</xdr:row>
          <xdr:rowOff>200025</xdr:rowOff>
        </xdr:to>
        <xdr:sp macro="" textlink="">
          <xdr:nvSpPr>
            <xdr:cNvPr id="47170" name="Check Box 66" hidden="1">
              <a:extLst>
                <a:ext uri="{63B3BB69-23CF-44E3-9099-C40C66FF867C}">
                  <a14:compatExt spid="_x0000_s47170"/>
                </a:ext>
                <a:ext uri="{FF2B5EF4-FFF2-40B4-BE49-F238E27FC236}">
                  <a16:creationId xmlns:a16="http://schemas.microsoft.com/office/drawing/2014/main" id="{00000000-0008-0000-0500-00004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444</xdr:row>
          <xdr:rowOff>190500</xdr:rowOff>
        </xdr:from>
        <xdr:to>
          <xdr:col>5</xdr:col>
          <xdr:colOff>104775</xdr:colOff>
          <xdr:row>446</xdr:row>
          <xdr:rowOff>28575</xdr:rowOff>
        </xdr:to>
        <xdr:sp macro="" textlink="">
          <xdr:nvSpPr>
            <xdr:cNvPr id="47171" name="Check Box 67" hidden="1">
              <a:extLst>
                <a:ext uri="{63B3BB69-23CF-44E3-9099-C40C66FF867C}">
                  <a14:compatExt spid="_x0000_s47171"/>
                </a:ext>
                <a:ext uri="{FF2B5EF4-FFF2-40B4-BE49-F238E27FC236}">
                  <a16:creationId xmlns:a16="http://schemas.microsoft.com/office/drawing/2014/main" id="{00000000-0008-0000-0500-00004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445</xdr:row>
          <xdr:rowOff>180975</xdr:rowOff>
        </xdr:from>
        <xdr:to>
          <xdr:col>5</xdr:col>
          <xdr:colOff>104775</xdr:colOff>
          <xdr:row>447</xdr:row>
          <xdr:rowOff>19050</xdr:rowOff>
        </xdr:to>
        <xdr:sp macro="" textlink="">
          <xdr:nvSpPr>
            <xdr:cNvPr id="47172" name="Check Box 68" hidden="1">
              <a:extLst>
                <a:ext uri="{63B3BB69-23CF-44E3-9099-C40C66FF867C}">
                  <a14:compatExt spid="_x0000_s47172"/>
                </a:ext>
                <a:ext uri="{FF2B5EF4-FFF2-40B4-BE49-F238E27FC236}">
                  <a16:creationId xmlns:a16="http://schemas.microsoft.com/office/drawing/2014/main" id="{00000000-0008-0000-0500-00004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446</xdr:row>
          <xdr:rowOff>171450</xdr:rowOff>
        </xdr:from>
        <xdr:to>
          <xdr:col>5</xdr:col>
          <xdr:colOff>104775</xdr:colOff>
          <xdr:row>448</xdr:row>
          <xdr:rowOff>9525</xdr:rowOff>
        </xdr:to>
        <xdr:sp macro="" textlink="">
          <xdr:nvSpPr>
            <xdr:cNvPr id="47173" name="Check Box 69" hidden="1">
              <a:extLst>
                <a:ext uri="{63B3BB69-23CF-44E3-9099-C40C66FF867C}">
                  <a14:compatExt spid="_x0000_s47173"/>
                </a:ext>
                <a:ext uri="{FF2B5EF4-FFF2-40B4-BE49-F238E27FC236}">
                  <a16:creationId xmlns:a16="http://schemas.microsoft.com/office/drawing/2014/main" id="{00000000-0008-0000-0500-00004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447</xdr:row>
          <xdr:rowOff>161925</xdr:rowOff>
        </xdr:from>
        <xdr:to>
          <xdr:col>5</xdr:col>
          <xdr:colOff>104775</xdr:colOff>
          <xdr:row>449</xdr:row>
          <xdr:rowOff>0</xdr:rowOff>
        </xdr:to>
        <xdr:sp macro="" textlink="">
          <xdr:nvSpPr>
            <xdr:cNvPr id="47174" name="Check Box 70" hidden="1">
              <a:extLst>
                <a:ext uri="{63B3BB69-23CF-44E3-9099-C40C66FF867C}">
                  <a14:compatExt spid="_x0000_s47174"/>
                </a:ext>
                <a:ext uri="{FF2B5EF4-FFF2-40B4-BE49-F238E27FC236}">
                  <a16:creationId xmlns:a16="http://schemas.microsoft.com/office/drawing/2014/main" id="{00000000-0008-0000-0500-00004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448</xdr:row>
          <xdr:rowOff>171450</xdr:rowOff>
        </xdr:from>
        <xdr:to>
          <xdr:col>5</xdr:col>
          <xdr:colOff>104775</xdr:colOff>
          <xdr:row>450</xdr:row>
          <xdr:rowOff>9525</xdr:rowOff>
        </xdr:to>
        <xdr:sp macro="" textlink="">
          <xdr:nvSpPr>
            <xdr:cNvPr id="47175" name="Check Box 71" hidden="1">
              <a:extLst>
                <a:ext uri="{63B3BB69-23CF-44E3-9099-C40C66FF867C}">
                  <a14:compatExt spid="_x0000_s47175"/>
                </a:ext>
                <a:ext uri="{FF2B5EF4-FFF2-40B4-BE49-F238E27FC236}">
                  <a16:creationId xmlns:a16="http://schemas.microsoft.com/office/drawing/2014/main" id="{00000000-0008-0000-0500-00004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452</xdr:row>
          <xdr:rowOff>180975</xdr:rowOff>
        </xdr:from>
        <xdr:to>
          <xdr:col>5</xdr:col>
          <xdr:colOff>104775</xdr:colOff>
          <xdr:row>453</xdr:row>
          <xdr:rowOff>333375</xdr:rowOff>
        </xdr:to>
        <xdr:sp macro="" textlink="">
          <xdr:nvSpPr>
            <xdr:cNvPr id="47176" name="Check Box 72" hidden="1">
              <a:extLst>
                <a:ext uri="{63B3BB69-23CF-44E3-9099-C40C66FF867C}">
                  <a14:compatExt spid="_x0000_s47176"/>
                </a:ext>
                <a:ext uri="{FF2B5EF4-FFF2-40B4-BE49-F238E27FC236}">
                  <a16:creationId xmlns:a16="http://schemas.microsoft.com/office/drawing/2014/main" id="{00000000-0008-0000-0500-00004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453</xdr:row>
          <xdr:rowOff>323850</xdr:rowOff>
        </xdr:from>
        <xdr:to>
          <xdr:col>5</xdr:col>
          <xdr:colOff>104775</xdr:colOff>
          <xdr:row>455</xdr:row>
          <xdr:rowOff>9525</xdr:rowOff>
        </xdr:to>
        <xdr:sp macro="" textlink="">
          <xdr:nvSpPr>
            <xdr:cNvPr id="47177" name="Check Box 73" hidden="1">
              <a:extLst>
                <a:ext uri="{63B3BB69-23CF-44E3-9099-C40C66FF867C}">
                  <a14:compatExt spid="_x0000_s47177"/>
                </a:ext>
                <a:ext uri="{FF2B5EF4-FFF2-40B4-BE49-F238E27FC236}">
                  <a16:creationId xmlns:a16="http://schemas.microsoft.com/office/drawing/2014/main" id="{00000000-0008-0000-0500-00004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454</xdr:row>
          <xdr:rowOff>161925</xdr:rowOff>
        </xdr:from>
        <xdr:to>
          <xdr:col>5</xdr:col>
          <xdr:colOff>104775</xdr:colOff>
          <xdr:row>456</xdr:row>
          <xdr:rowOff>0</xdr:rowOff>
        </xdr:to>
        <xdr:sp macro="" textlink="">
          <xdr:nvSpPr>
            <xdr:cNvPr id="47178" name="Check Box 74" hidden="1">
              <a:extLst>
                <a:ext uri="{63B3BB69-23CF-44E3-9099-C40C66FF867C}">
                  <a14:compatExt spid="_x0000_s47178"/>
                </a:ext>
                <a:ext uri="{FF2B5EF4-FFF2-40B4-BE49-F238E27FC236}">
                  <a16:creationId xmlns:a16="http://schemas.microsoft.com/office/drawing/2014/main" id="{00000000-0008-0000-0500-00004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455</xdr:row>
          <xdr:rowOff>152400</xdr:rowOff>
        </xdr:from>
        <xdr:to>
          <xdr:col>5</xdr:col>
          <xdr:colOff>104775</xdr:colOff>
          <xdr:row>456</xdr:row>
          <xdr:rowOff>180975</xdr:rowOff>
        </xdr:to>
        <xdr:sp macro="" textlink="">
          <xdr:nvSpPr>
            <xdr:cNvPr id="47179" name="Check Box 75" hidden="1">
              <a:extLst>
                <a:ext uri="{63B3BB69-23CF-44E3-9099-C40C66FF867C}">
                  <a14:compatExt spid="_x0000_s47179"/>
                </a:ext>
                <a:ext uri="{FF2B5EF4-FFF2-40B4-BE49-F238E27FC236}">
                  <a16:creationId xmlns:a16="http://schemas.microsoft.com/office/drawing/2014/main" id="{00000000-0008-0000-0500-00004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489</xdr:row>
          <xdr:rowOff>161925</xdr:rowOff>
        </xdr:from>
        <xdr:to>
          <xdr:col>5</xdr:col>
          <xdr:colOff>104775</xdr:colOff>
          <xdr:row>491</xdr:row>
          <xdr:rowOff>0</xdr:rowOff>
        </xdr:to>
        <xdr:sp macro="" textlink="">
          <xdr:nvSpPr>
            <xdr:cNvPr id="47187" name="Check Box 83" hidden="1">
              <a:extLst>
                <a:ext uri="{63B3BB69-23CF-44E3-9099-C40C66FF867C}">
                  <a14:compatExt spid="_x0000_s47187"/>
                </a:ext>
                <a:ext uri="{FF2B5EF4-FFF2-40B4-BE49-F238E27FC236}">
                  <a16:creationId xmlns:a16="http://schemas.microsoft.com/office/drawing/2014/main" id="{00000000-0008-0000-0500-00005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488</xdr:row>
          <xdr:rowOff>142875</xdr:rowOff>
        </xdr:from>
        <xdr:to>
          <xdr:col>5</xdr:col>
          <xdr:colOff>104775</xdr:colOff>
          <xdr:row>489</xdr:row>
          <xdr:rowOff>171450</xdr:rowOff>
        </xdr:to>
        <xdr:sp macro="" textlink="">
          <xdr:nvSpPr>
            <xdr:cNvPr id="47189" name="Check Box 85" hidden="1">
              <a:extLst>
                <a:ext uri="{63B3BB69-23CF-44E3-9099-C40C66FF867C}">
                  <a14:compatExt spid="_x0000_s47189"/>
                </a:ext>
                <a:ext uri="{FF2B5EF4-FFF2-40B4-BE49-F238E27FC236}">
                  <a16:creationId xmlns:a16="http://schemas.microsoft.com/office/drawing/2014/main" id="{00000000-0008-0000-0500-00005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477</xdr:row>
          <xdr:rowOff>161925</xdr:rowOff>
        </xdr:from>
        <xdr:to>
          <xdr:col>5</xdr:col>
          <xdr:colOff>104775</xdr:colOff>
          <xdr:row>479</xdr:row>
          <xdr:rowOff>0</xdr:rowOff>
        </xdr:to>
        <xdr:sp macro="" textlink="">
          <xdr:nvSpPr>
            <xdr:cNvPr id="47203" name="Check Box 99" hidden="1">
              <a:extLst>
                <a:ext uri="{63B3BB69-23CF-44E3-9099-C40C66FF867C}">
                  <a14:compatExt spid="_x0000_s47203"/>
                </a:ext>
                <a:ext uri="{FF2B5EF4-FFF2-40B4-BE49-F238E27FC236}">
                  <a16:creationId xmlns:a16="http://schemas.microsoft.com/office/drawing/2014/main" id="{00000000-0008-0000-0500-00006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478</xdr:row>
          <xdr:rowOff>161925</xdr:rowOff>
        </xdr:from>
        <xdr:to>
          <xdr:col>5</xdr:col>
          <xdr:colOff>104775</xdr:colOff>
          <xdr:row>480</xdr:row>
          <xdr:rowOff>0</xdr:rowOff>
        </xdr:to>
        <xdr:sp macro="" textlink="">
          <xdr:nvSpPr>
            <xdr:cNvPr id="47204" name="Check Box 100" hidden="1">
              <a:extLst>
                <a:ext uri="{63B3BB69-23CF-44E3-9099-C40C66FF867C}">
                  <a14:compatExt spid="_x0000_s47204"/>
                </a:ext>
                <a:ext uri="{FF2B5EF4-FFF2-40B4-BE49-F238E27FC236}">
                  <a16:creationId xmlns:a16="http://schemas.microsoft.com/office/drawing/2014/main" id="{00000000-0008-0000-0500-00006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479</xdr:row>
          <xdr:rowOff>142875</xdr:rowOff>
        </xdr:from>
        <xdr:to>
          <xdr:col>5</xdr:col>
          <xdr:colOff>104775</xdr:colOff>
          <xdr:row>480</xdr:row>
          <xdr:rowOff>171450</xdr:rowOff>
        </xdr:to>
        <xdr:sp macro="" textlink="">
          <xdr:nvSpPr>
            <xdr:cNvPr id="47205" name="Check Box 101" hidden="1">
              <a:extLst>
                <a:ext uri="{63B3BB69-23CF-44E3-9099-C40C66FF867C}">
                  <a14:compatExt spid="_x0000_s47205"/>
                </a:ext>
                <a:ext uri="{FF2B5EF4-FFF2-40B4-BE49-F238E27FC236}">
                  <a16:creationId xmlns:a16="http://schemas.microsoft.com/office/drawing/2014/main" id="{00000000-0008-0000-0500-00006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480</xdr:row>
          <xdr:rowOff>133350</xdr:rowOff>
        </xdr:from>
        <xdr:to>
          <xdr:col>5</xdr:col>
          <xdr:colOff>104775</xdr:colOff>
          <xdr:row>481</xdr:row>
          <xdr:rowOff>161925</xdr:rowOff>
        </xdr:to>
        <xdr:sp macro="" textlink="">
          <xdr:nvSpPr>
            <xdr:cNvPr id="47206" name="Check Box 102" hidden="1">
              <a:extLst>
                <a:ext uri="{63B3BB69-23CF-44E3-9099-C40C66FF867C}">
                  <a14:compatExt spid="_x0000_s47206"/>
                </a:ext>
                <a:ext uri="{FF2B5EF4-FFF2-40B4-BE49-F238E27FC236}">
                  <a16:creationId xmlns:a16="http://schemas.microsoft.com/office/drawing/2014/main" id="{00000000-0008-0000-0500-00006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481</xdr:row>
          <xdr:rowOff>142875</xdr:rowOff>
        </xdr:from>
        <xdr:to>
          <xdr:col>5</xdr:col>
          <xdr:colOff>104775</xdr:colOff>
          <xdr:row>482</xdr:row>
          <xdr:rowOff>171450</xdr:rowOff>
        </xdr:to>
        <xdr:sp macro="" textlink="">
          <xdr:nvSpPr>
            <xdr:cNvPr id="47207" name="Check Box 103" hidden="1">
              <a:extLst>
                <a:ext uri="{63B3BB69-23CF-44E3-9099-C40C66FF867C}">
                  <a14:compatExt spid="_x0000_s47207"/>
                </a:ext>
                <a:ext uri="{FF2B5EF4-FFF2-40B4-BE49-F238E27FC236}">
                  <a16:creationId xmlns:a16="http://schemas.microsoft.com/office/drawing/2014/main" id="{00000000-0008-0000-0500-00006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482</xdr:row>
          <xdr:rowOff>142875</xdr:rowOff>
        </xdr:from>
        <xdr:to>
          <xdr:col>5</xdr:col>
          <xdr:colOff>104775</xdr:colOff>
          <xdr:row>483</xdr:row>
          <xdr:rowOff>171450</xdr:rowOff>
        </xdr:to>
        <xdr:sp macro="" textlink="">
          <xdr:nvSpPr>
            <xdr:cNvPr id="47208" name="Check Box 104" hidden="1">
              <a:extLst>
                <a:ext uri="{63B3BB69-23CF-44E3-9099-C40C66FF867C}">
                  <a14:compatExt spid="_x0000_s47208"/>
                </a:ext>
                <a:ext uri="{FF2B5EF4-FFF2-40B4-BE49-F238E27FC236}">
                  <a16:creationId xmlns:a16="http://schemas.microsoft.com/office/drawing/2014/main" id="{00000000-0008-0000-0500-00006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483</xdr:row>
          <xdr:rowOff>142875</xdr:rowOff>
        </xdr:from>
        <xdr:to>
          <xdr:col>5</xdr:col>
          <xdr:colOff>104775</xdr:colOff>
          <xdr:row>484</xdr:row>
          <xdr:rowOff>171450</xdr:rowOff>
        </xdr:to>
        <xdr:sp macro="" textlink="">
          <xdr:nvSpPr>
            <xdr:cNvPr id="47209" name="Check Box 105" hidden="1">
              <a:extLst>
                <a:ext uri="{63B3BB69-23CF-44E3-9099-C40C66FF867C}">
                  <a14:compatExt spid="_x0000_s47209"/>
                </a:ext>
                <a:ext uri="{FF2B5EF4-FFF2-40B4-BE49-F238E27FC236}">
                  <a16:creationId xmlns:a16="http://schemas.microsoft.com/office/drawing/2014/main" id="{00000000-0008-0000-0500-00006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484</xdr:row>
          <xdr:rowOff>161925</xdr:rowOff>
        </xdr:from>
        <xdr:to>
          <xdr:col>5</xdr:col>
          <xdr:colOff>104775</xdr:colOff>
          <xdr:row>486</xdr:row>
          <xdr:rowOff>0</xdr:rowOff>
        </xdr:to>
        <xdr:sp macro="" textlink="">
          <xdr:nvSpPr>
            <xdr:cNvPr id="47210" name="Check Box 106" hidden="1">
              <a:extLst>
                <a:ext uri="{63B3BB69-23CF-44E3-9099-C40C66FF867C}">
                  <a14:compatExt spid="_x0000_s47210"/>
                </a:ext>
                <a:ext uri="{FF2B5EF4-FFF2-40B4-BE49-F238E27FC236}">
                  <a16:creationId xmlns:a16="http://schemas.microsoft.com/office/drawing/2014/main" id="{00000000-0008-0000-0500-00006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485</xdr:row>
          <xdr:rowOff>142875</xdr:rowOff>
        </xdr:from>
        <xdr:to>
          <xdr:col>5</xdr:col>
          <xdr:colOff>104775</xdr:colOff>
          <xdr:row>486</xdr:row>
          <xdr:rowOff>171450</xdr:rowOff>
        </xdr:to>
        <xdr:sp macro="" textlink="">
          <xdr:nvSpPr>
            <xdr:cNvPr id="47211" name="Check Box 107" hidden="1">
              <a:extLst>
                <a:ext uri="{63B3BB69-23CF-44E3-9099-C40C66FF867C}">
                  <a14:compatExt spid="_x0000_s47211"/>
                </a:ext>
                <a:ext uri="{FF2B5EF4-FFF2-40B4-BE49-F238E27FC236}">
                  <a16:creationId xmlns:a16="http://schemas.microsoft.com/office/drawing/2014/main" id="{00000000-0008-0000-0500-00006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486</xdr:row>
          <xdr:rowOff>152400</xdr:rowOff>
        </xdr:from>
        <xdr:to>
          <xdr:col>5</xdr:col>
          <xdr:colOff>104775</xdr:colOff>
          <xdr:row>487</xdr:row>
          <xdr:rowOff>180975</xdr:rowOff>
        </xdr:to>
        <xdr:sp macro="" textlink="">
          <xdr:nvSpPr>
            <xdr:cNvPr id="47212" name="Check Box 108" hidden="1">
              <a:extLst>
                <a:ext uri="{63B3BB69-23CF-44E3-9099-C40C66FF867C}">
                  <a14:compatExt spid="_x0000_s47212"/>
                </a:ext>
                <a:ext uri="{FF2B5EF4-FFF2-40B4-BE49-F238E27FC236}">
                  <a16:creationId xmlns:a16="http://schemas.microsoft.com/office/drawing/2014/main" id="{00000000-0008-0000-0500-00006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487</xdr:row>
          <xdr:rowOff>142875</xdr:rowOff>
        </xdr:from>
        <xdr:to>
          <xdr:col>5</xdr:col>
          <xdr:colOff>104775</xdr:colOff>
          <xdr:row>488</xdr:row>
          <xdr:rowOff>171450</xdr:rowOff>
        </xdr:to>
        <xdr:sp macro="" textlink="">
          <xdr:nvSpPr>
            <xdr:cNvPr id="47213" name="Check Box 109" hidden="1">
              <a:extLst>
                <a:ext uri="{63B3BB69-23CF-44E3-9099-C40C66FF867C}">
                  <a14:compatExt spid="_x0000_s47213"/>
                </a:ext>
                <a:ext uri="{FF2B5EF4-FFF2-40B4-BE49-F238E27FC236}">
                  <a16:creationId xmlns:a16="http://schemas.microsoft.com/office/drawing/2014/main" id="{00000000-0008-0000-0500-00006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478</xdr:row>
          <xdr:rowOff>0</xdr:rowOff>
        </xdr:from>
        <xdr:to>
          <xdr:col>4</xdr:col>
          <xdr:colOff>0</xdr:colOff>
          <xdr:row>491</xdr:row>
          <xdr:rowOff>0</xdr:rowOff>
        </xdr:to>
        <xdr:grpSp>
          <xdr:nvGrpSpPr>
            <xdr:cNvPr id="91391" name="Group 110">
              <a:extLst>
                <a:ext uri="{FF2B5EF4-FFF2-40B4-BE49-F238E27FC236}">
                  <a16:creationId xmlns:a16="http://schemas.microsoft.com/office/drawing/2014/main" id="{00000000-0008-0000-0500-0000FF640100}"/>
                </a:ext>
              </a:extLst>
            </xdr:cNvPr>
            <xdr:cNvGrpSpPr>
              <a:grpSpLocks/>
            </xdr:cNvGrpSpPr>
          </xdr:nvGrpSpPr>
          <xdr:grpSpPr bwMode="auto">
            <a:xfrm>
              <a:off x="103188" y="91813063"/>
              <a:ext cx="1984375" cy="2476500"/>
              <a:chOff x="11" y="8643"/>
              <a:chExt cx="208" cy="261"/>
            </a:xfrm>
          </xdr:grpSpPr>
          <xdr:sp macro="" textlink="">
            <xdr:nvSpPr>
              <xdr:cNvPr id="47215" name="Group Box 111" hidden="1">
                <a:extLst>
                  <a:ext uri="{63B3BB69-23CF-44E3-9099-C40C66FF867C}">
                    <a14:compatExt spid="_x0000_s47215"/>
                  </a:ext>
                  <a:ext uri="{FF2B5EF4-FFF2-40B4-BE49-F238E27FC236}">
                    <a16:creationId xmlns:a16="http://schemas.microsoft.com/office/drawing/2014/main" id="{00000000-0008-0000-0500-00006FB80000}"/>
                  </a:ext>
                </a:extLst>
              </xdr:cNvPr>
              <xdr:cNvSpPr/>
            </xdr:nvSpPr>
            <xdr:spPr bwMode="auto">
              <a:xfrm>
                <a:off x="11" y="8643"/>
                <a:ext cx="208" cy="261"/>
              </a:xfrm>
              <a:prstGeom prst="rect">
                <a:avLst/>
              </a:prstGeom>
              <a:noFill/>
              <a:ln w="9525">
                <a:miter lim="800000"/>
                <a:headEnd/>
                <a:tailEnd/>
              </a:ln>
              <a:extLst>
                <a:ext uri="{909E8E84-426E-40DD-AFC4-6F175D3DCCD1}">
                  <a14:hiddenFill>
                    <a:noFill/>
                  </a14:hiddenFill>
                </a:ext>
              </a:extLst>
            </xdr:spPr>
          </xdr:sp>
          <xdr:sp macro="" textlink="">
            <xdr:nvSpPr>
              <xdr:cNvPr id="47216" name="Option Button 112" hidden="1">
                <a:extLst>
                  <a:ext uri="{63B3BB69-23CF-44E3-9099-C40C66FF867C}">
                    <a14:compatExt spid="_x0000_s47216"/>
                  </a:ext>
                  <a:ext uri="{FF2B5EF4-FFF2-40B4-BE49-F238E27FC236}">
                    <a16:creationId xmlns:a16="http://schemas.microsoft.com/office/drawing/2014/main" id="{00000000-0008-0000-0500-000070B80000}"/>
                  </a:ext>
                </a:extLst>
              </xdr:cNvPr>
              <xdr:cNvSpPr/>
            </xdr:nvSpPr>
            <xdr:spPr bwMode="auto">
              <a:xfrm>
                <a:off x="14" y="8667"/>
                <a:ext cx="196"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7217" name="Option Button 113" hidden="1">
                <a:extLst>
                  <a:ext uri="{63B3BB69-23CF-44E3-9099-C40C66FF867C}">
                    <a14:compatExt spid="_x0000_s47217"/>
                  </a:ext>
                  <a:ext uri="{FF2B5EF4-FFF2-40B4-BE49-F238E27FC236}">
                    <a16:creationId xmlns:a16="http://schemas.microsoft.com/office/drawing/2014/main" id="{00000000-0008-0000-0500-000071B80000}"/>
                  </a:ext>
                </a:extLst>
              </xdr:cNvPr>
              <xdr:cNvSpPr/>
            </xdr:nvSpPr>
            <xdr:spPr bwMode="auto">
              <a:xfrm>
                <a:off x="14" y="8697"/>
                <a:ext cx="195" cy="28"/>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mid-forearm (69% forearm)</a:t>
                </a:r>
              </a:p>
            </xdr:txBody>
          </xdr:sp>
          <xdr:sp macro="" textlink="">
            <xdr:nvSpPr>
              <xdr:cNvPr id="47218" name="Option Button 114" hidden="1">
                <a:extLst>
                  <a:ext uri="{63B3BB69-23CF-44E3-9099-C40C66FF867C}">
                    <a14:compatExt spid="_x0000_s47218"/>
                  </a:ext>
                  <a:ext uri="{FF2B5EF4-FFF2-40B4-BE49-F238E27FC236}">
                    <a16:creationId xmlns:a16="http://schemas.microsoft.com/office/drawing/2014/main" id="{00000000-0008-0000-0500-000072B80000}"/>
                  </a:ext>
                </a:extLst>
              </xdr:cNvPr>
              <xdr:cNvSpPr/>
            </xdr:nvSpPr>
            <xdr:spPr bwMode="auto">
              <a:xfrm>
                <a:off x="14" y="8727"/>
                <a:ext cx="191" cy="27"/>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mid-forearm (44%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0</xdr:col>
          <xdr:colOff>95250</xdr:colOff>
          <xdr:row>494</xdr:row>
          <xdr:rowOff>0</xdr:rowOff>
        </xdr:from>
        <xdr:to>
          <xdr:col>4</xdr:col>
          <xdr:colOff>0</xdr:colOff>
          <xdr:row>505</xdr:row>
          <xdr:rowOff>0</xdr:rowOff>
        </xdr:to>
        <xdr:grpSp>
          <xdr:nvGrpSpPr>
            <xdr:cNvPr id="91392" name="Group 115">
              <a:extLst>
                <a:ext uri="{FF2B5EF4-FFF2-40B4-BE49-F238E27FC236}">
                  <a16:creationId xmlns:a16="http://schemas.microsoft.com/office/drawing/2014/main" id="{00000000-0008-0000-0500-000000650100}"/>
                </a:ext>
              </a:extLst>
            </xdr:cNvPr>
            <xdr:cNvGrpSpPr>
              <a:grpSpLocks/>
            </xdr:cNvGrpSpPr>
          </xdr:nvGrpSpPr>
          <xdr:grpSpPr bwMode="auto">
            <a:xfrm>
              <a:off x="95250" y="94781653"/>
              <a:ext cx="1992313" cy="2397124"/>
              <a:chOff x="10" y="8924"/>
              <a:chExt cx="209" cy="252"/>
            </a:xfrm>
          </xdr:grpSpPr>
          <xdr:sp macro="" textlink="">
            <xdr:nvSpPr>
              <xdr:cNvPr id="47220" name="Group Box 116" hidden="1">
                <a:extLst>
                  <a:ext uri="{63B3BB69-23CF-44E3-9099-C40C66FF867C}">
                    <a14:compatExt spid="_x0000_s47220"/>
                  </a:ext>
                  <a:ext uri="{FF2B5EF4-FFF2-40B4-BE49-F238E27FC236}">
                    <a16:creationId xmlns:a16="http://schemas.microsoft.com/office/drawing/2014/main" id="{00000000-0008-0000-0500-000074B80000}"/>
                  </a:ext>
                </a:extLst>
              </xdr:cNvPr>
              <xdr:cNvSpPr/>
            </xdr:nvSpPr>
            <xdr:spPr bwMode="auto">
              <a:xfrm>
                <a:off x="10" y="8924"/>
                <a:ext cx="209" cy="252"/>
              </a:xfrm>
              <a:prstGeom prst="rect">
                <a:avLst/>
              </a:prstGeom>
              <a:noFill/>
              <a:ln w="9525">
                <a:miter lim="800000"/>
                <a:headEnd/>
                <a:tailEnd/>
              </a:ln>
              <a:extLst>
                <a:ext uri="{909E8E84-426E-40DD-AFC4-6F175D3DCCD1}">
                  <a14:hiddenFill>
                    <a:noFill/>
                  </a14:hiddenFill>
                </a:ext>
              </a:extLst>
            </xdr:spPr>
          </xdr:sp>
          <xdr:sp macro="" textlink="">
            <xdr:nvSpPr>
              <xdr:cNvPr id="47221" name="Option Button 117" hidden="1">
                <a:extLst>
                  <a:ext uri="{63B3BB69-23CF-44E3-9099-C40C66FF867C}">
                    <a14:compatExt spid="_x0000_s47221"/>
                  </a:ext>
                  <a:ext uri="{FF2B5EF4-FFF2-40B4-BE49-F238E27FC236}">
                    <a16:creationId xmlns:a16="http://schemas.microsoft.com/office/drawing/2014/main" id="{00000000-0008-0000-0500-000075B80000}"/>
                  </a:ext>
                </a:extLst>
              </xdr:cNvPr>
              <xdr:cNvSpPr/>
            </xdr:nvSpPr>
            <xdr:spPr bwMode="auto">
              <a:xfrm>
                <a:off x="13" y="894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7222" name="Option Button 118" hidden="1">
                <a:extLst>
                  <a:ext uri="{63B3BB69-23CF-44E3-9099-C40C66FF867C}">
                    <a14:compatExt spid="_x0000_s47222"/>
                  </a:ext>
                  <a:ext uri="{FF2B5EF4-FFF2-40B4-BE49-F238E27FC236}">
                    <a16:creationId xmlns:a16="http://schemas.microsoft.com/office/drawing/2014/main" id="{00000000-0008-0000-0500-000076B80000}"/>
                  </a:ext>
                </a:extLst>
              </xdr:cNvPr>
              <xdr:cNvSpPr/>
            </xdr:nvSpPr>
            <xdr:spPr bwMode="auto">
              <a:xfrm>
                <a:off x="13" y="8975"/>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mid-forearm (44% forearm)</a:t>
                </a:r>
              </a:p>
            </xdr:txBody>
          </xdr:sp>
          <xdr:sp macro="" textlink="">
            <xdr:nvSpPr>
              <xdr:cNvPr id="47223" name="Option Button 119" hidden="1">
                <a:extLst>
                  <a:ext uri="{63B3BB69-23CF-44E3-9099-C40C66FF867C}">
                    <a14:compatExt spid="_x0000_s47223"/>
                  </a:ext>
                  <a:ext uri="{FF2B5EF4-FFF2-40B4-BE49-F238E27FC236}">
                    <a16:creationId xmlns:a16="http://schemas.microsoft.com/office/drawing/2014/main" id="{00000000-0008-0000-0500-000077B80000}"/>
                  </a:ext>
                </a:extLst>
              </xdr:cNvPr>
              <xdr:cNvSpPr/>
            </xdr:nvSpPr>
            <xdr:spPr bwMode="auto">
              <a:xfrm>
                <a:off x="14" y="9007"/>
                <a:ext cx="200" cy="26"/>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mid-forearm (31% forearm)</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493</xdr:row>
          <xdr:rowOff>133350</xdr:rowOff>
        </xdr:from>
        <xdr:to>
          <xdr:col>5</xdr:col>
          <xdr:colOff>104775</xdr:colOff>
          <xdr:row>495</xdr:row>
          <xdr:rowOff>9525</xdr:rowOff>
        </xdr:to>
        <xdr:sp macro="" textlink="">
          <xdr:nvSpPr>
            <xdr:cNvPr id="47224" name="Check Box 120" hidden="1">
              <a:extLst>
                <a:ext uri="{63B3BB69-23CF-44E3-9099-C40C66FF867C}">
                  <a14:compatExt spid="_x0000_s47224"/>
                </a:ext>
                <a:ext uri="{FF2B5EF4-FFF2-40B4-BE49-F238E27FC236}">
                  <a16:creationId xmlns:a16="http://schemas.microsoft.com/office/drawing/2014/main" id="{00000000-0008-0000-0500-00007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494</xdr:row>
          <xdr:rowOff>171450</xdr:rowOff>
        </xdr:from>
        <xdr:to>
          <xdr:col>5</xdr:col>
          <xdr:colOff>104775</xdr:colOff>
          <xdr:row>496</xdr:row>
          <xdr:rowOff>9525</xdr:rowOff>
        </xdr:to>
        <xdr:sp macro="" textlink="">
          <xdr:nvSpPr>
            <xdr:cNvPr id="47225" name="Check Box 121" hidden="1">
              <a:extLst>
                <a:ext uri="{63B3BB69-23CF-44E3-9099-C40C66FF867C}">
                  <a14:compatExt spid="_x0000_s47225"/>
                </a:ext>
                <a:ext uri="{FF2B5EF4-FFF2-40B4-BE49-F238E27FC236}">
                  <a16:creationId xmlns:a16="http://schemas.microsoft.com/office/drawing/2014/main" id="{00000000-0008-0000-0500-00007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496</xdr:row>
          <xdr:rowOff>9525</xdr:rowOff>
        </xdr:from>
        <xdr:to>
          <xdr:col>5</xdr:col>
          <xdr:colOff>104775</xdr:colOff>
          <xdr:row>496</xdr:row>
          <xdr:rowOff>228600</xdr:rowOff>
        </xdr:to>
        <xdr:sp macro="" textlink="">
          <xdr:nvSpPr>
            <xdr:cNvPr id="47226" name="Check Box 122" hidden="1">
              <a:extLst>
                <a:ext uri="{63B3BB69-23CF-44E3-9099-C40C66FF867C}">
                  <a14:compatExt spid="_x0000_s47226"/>
                </a:ext>
                <a:ext uri="{FF2B5EF4-FFF2-40B4-BE49-F238E27FC236}">
                  <a16:creationId xmlns:a16="http://schemas.microsoft.com/office/drawing/2014/main" id="{00000000-0008-0000-0500-00007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496</xdr:row>
          <xdr:rowOff>314325</xdr:rowOff>
        </xdr:from>
        <xdr:to>
          <xdr:col>5</xdr:col>
          <xdr:colOff>104775</xdr:colOff>
          <xdr:row>498</xdr:row>
          <xdr:rowOff>0</xdr:rowOff>
        </xdr:to>
        <xdr:sp macro="" textlink="">
          <xdr:nvSpPr>
            <xdr:cNvPr id="47227" name="Check Box 123" hidden="1">
              <a:extLst>
                <a:ext uri="{63B3BB69-23CF-44E3-9099-C40C66FF867C}">
                  <a14:compatExt spid="_x0000_s47227"/>
                </a:ext>
                <a:ext uri="{FF2B5EF4-FFF2-40B4-BE49-F238E27FC236}">
                  <a16:creationId xmlns:a16="http://schemas.microsoft.com/office/drawing/2014/main" id="{00000000-0008-0000-0500-00007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497</xdr:row>
          <xdr:rowOff>161925</xdr:rowOff>
        </xdr:from>
        <xdr:to>
          <xdr:col>5</xdr:col>
          <xdr:colOff>104775</xdr:colOff>
          <xdr:row>499</xdr:row>
          <xdr:rowOff>0</xdr:rowOff>
        </xdr:to>
        <xdr:sp macro="" textlink="">
          <xdr:nvSpPr>
            <xdr:cNvPr id="47228" name="Check Box 124" hidden="1">
              <a:extLst>
                <a:ext uri="{63B3BB69-23CF-44E3-9099-C40C66FF867C}">
                  <a14:compatExt spid="_x0000_s47228"/>
                </a:ext>
                <a:ext uri="{FF2B5EF4-FFF2-40B4-BE49-F238E27FC236}">
                  <a16:creationId xmlns:a16="http://schemas.microsoft.com/office/drawing/2014/main" id="{00000000-0008-0000-0500-00007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498</xdr:row>
          <xdr:rowOff>161925</xdr:rowOff>
        </xdr:from>
        <xdr:to>
          <xdr:col>5</xdr:col>
          <xdr:colOff>104775</xdr:colOff>
          <xdr:row>500</xdr:row>
          <xdr:rowOff>0</xdr:rowOff>
        </xdr:to>
        <xdr:sp macro="" textlink="">
          <xdr:nvSpPr>
            <xdr:cNvPr id="47229" name="Check Box 125" hidden="1">
              <a:extLst>
                <a:ext uri="{63B3BB69-23CF-44E3-9099-C40C66FF867C}">
                  <a14:compatExt spid="_x0000_s47229"/>
                </a:ext>
                <a:ext uri="{FF2B5EF4-FFF2-40B4-BE49-F238E27FC236}">
                  <a16:creationId xmlns:a16="http://schemas.microsoft.com/office/drawing/2014/main" id="{00000000-0008-0000-0500-00007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499</xdr:row>
          <xdr:rowOff>161925</xdr:rowOff>
        </xdr:from>
        <xdr:to>
          <xdr:col>5</xdr:col>
          <xdr:colOff>104775</xdr:colOff>
          <xdr:row>501</xdr:row>
          <xdr:rowOff>0</xdr:rowOff>
        </xdr:to>
        <xdr:sp macro="" textlink="">
          <xdr:nvSpPr>
            <xdr:cNvPr id="47230" name="Check Box 126" hidden="1">
              <a:extLst>
                <a:ext uri="{63B3BB69-23CF-44E3-9099-C40C66FF867C}">
                  <a14:compatExt spid="_x0000_s47230"/>
                </a:ext>
                <a:ext uri="{FF2B5EF4-FFF2-40B4-BE49-F238E27FC236}">
                  <a16:creationId xmlns:a16="http://schemas.microsoft.com/office/drawing/2014/main" id="{00000000-0008-0000-0500-00007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500</xdr:row>
          <xdr:rowOff>161925</xdr:rowOff>
        </xdr:from>
        <xdr:to>
          <xdr:col>5</xdr:col>
          <xdr:colOff>104775</xdr:colOff>
          <xdr:row>502</xdr:row>
          <xdr:rowOff>0</xdr:rowOff>
        </xdr:to>
        <xdr:sp macro="" textlink="">
          <xdr:nvSpPr>
            <xdr:cNvPr id="47231" name="Check Box 127" hidden="1">
              <a:extLst>
                <a:ext uri="{63B3BB69-23CF-44E3-9099-C40C66FF867C}">
                  <a14:compatExt spid="_x0000_s47231"/>
                </a:ext>
                <a:ext uri="{FF2B5EF4-FFF2-40B4-BE49-F238E27FC236}">
                  <a16:creationId xmlns:a16="http://schemas.microsoft.com/office/drawing/2014/main" id="{00000000-0008-0000-0500-00007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501</xdr:row>
          <xdr:rowOff>161925</xdr:rowOff>
        </xdr:from>
        <xdr:to>
          <xdr:col>5</xdr:col>
          <xdr:colOff>104775</xdr:colOff>
          <xdr:row>503</xdr:row>
          <xdr:rowOff>0</xdr:rowOff>
        </xdr:to>
        <xdr:sp macro="" textlink="">
          <xdr:nvSpPr>
            <xdr:cNvPr id="47232" name="Check Box 128" hidden="1">
              <a:extLst>
                <a:ext uri="{63B3BB69-23CF-44E3-9099-C40C66FF867C}">
                  <a14:compatExt spid="_x0000_s47232"/>
                </a:ext>
                <a:ext uri="{FF2B5EF4-FFF2-40B4-BE49-F238E27FC236}">
                  <a16:creationId xmlns:a16="http://schemas.microsoft.com/office/drawing/2014/main" id="{00000000-0008-0000-0500-00008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502</xdr:row>
          <xdr:rowOff>161925</xdr:rowOff>
        </xdr:from>
        <xdr:to>
          <xdr:col>5</xdr:col>
          <xdr:colOff>104775</xdr:colOff>
          <xdr:row>504</xdr:row>
          <xdr:rowOff>0</xdr:rowOff>
        </xdr:to>
        <xdr:sp macro="" textlink="">
          <xdr:nvSpPr>
            <xdr:cNvPr id="47233" name="Check Box 129" hidden="1">
              <a:extLst>
                <a:ext uri="{63B3BB69-23CF-44E3-9099-C40C66FF867C}">
                  <a14:compatExt spid="_x0000_s47233"/>
                </a:ext>
                <a:ext uri="{FF2B5EF4-FFF2-40B4-BE49-F238E27FC236}">
                  <a16:creationId xmlns:a16="http://schemas.microsoft.com/office/drawing/2014/main" id="{00000000-0008-0000-0500-00008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503</xdr:row>
          <xdr:rowOff>104775</xdr:rowOff>
        </xdr:from>
        <xdr:to>
          <xdr:col>5</xdr:col>
          <xdr:colOff>104775</xdr:colOff>
          <xdr:row>504</xdr:row>
          <xdr:rowOff>314325</xdr:rowOff>
        </xdr:to>
        <xdr:sp macro="" textlink="">
          <xdr:nvSpPr>
            <xdr:cNvPr id="47234" name="Check Box 130" hidden="1">
              <a:extLst>
                <a:ext uri="{63B3BB69-23CF-44E3-9099-C40C66FF867C}">
                  <a14:compatExt spid="_x0000_s47234"/>
                </a:ext>
                <a:ext uri="{FF2B5EF4-FFF2-40B4-BE49-F238E27FC236}">
                  <a16:creationId xmlns:a16="http://schemas.microsoft.com/office/drawing/2014/main" id="{00000000-0008-0000-0500-00008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512</xdr:row>
          <xdr:rowOff>514350</xdr:rowOff>
        </xdr:from>
        <xdr:to>
          <xdr:col>15</xdr:col>
          <xdr:colOff>19050</xdr:colOff>
          <xdr:row>514</xdr:row>
          <xdr:rowOff>0</xdr:rowOff>
        </xdr:to>
        <xdr:sp macro="" textlink="">
          <xdr:nvSpPr>
            <xdr:cNvPr id="47235" name="Group Box 131" hidden="1">
              <a:extLst>
                <a:ext uri="{63B3BB69-23CF-44E3-9099-C40C66FF867C}">
                  <a14:compatExt spid="_x0000_s47235"/>
                </a:ext>
                <a:ext uri="{FF2B5EF4-FFF2-40B4-BE49-F238E27FC236}">
                  <a16:creationId xmlns:a16="http://schemas.microsoft.com/office/drawing/2014/main" id="{00000000-0008-0000-0500-000083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190500</xdr:colOff>
          <xdr:row>512</xdr:row>
          <xdr:rowOff>514350</xdr:rowOff>
        </xdr:from>
        <xdr:to>
          <xdr:col>13</xdr:col>
          <xdr:colOff>66675</xdr:colOff>
          <xdr:row>513</xdr:row>
          <xdr:rowOff>228600</xdr:rowOff>
        </xdr:to>
        <xdr:sp macro="" textlink="">
          <xdr:nvSpPr>
            <xdr:cNvPr id="47236" name="Option Button 132" hidden="1">
              <a:extLst>
                <a:ext uri="{63B3BB69-23CF-44E3-9099-C40C66FF867C}">
                  <a14:compatExt spid="_x0000_s47236"/>
                </a:ext>
                <a:ext uri="{FF2B5EF4-FFF2-40B4-BE49-F238E27FC236}">
                  <a16:creationId xmlns:a16="http://schemas.microsoft.com/office/drawing/2014/main" id="{00000000-0008-0000-0500-00008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512</xdr:row>
          <xdr:rowOff>514350</xdr:rowOff>
        </xdr:from>
        <xdr:to>
          <xdr:col>14</xdr:col>
          <xdr:colOff>342900</xdr:colOff>
          <xdr:row>513</xdr:row>
          <xdr:rowOff>228600</xdr:rowOff>
        </xdr:to>
        <xdr:sp macro="" textlink="">
          <xdr:nvSpPr>
            <xdr:cNvPr id="47237" name="Option Button 133" hidden="1">
              <a:extLst>
                <a:ext uri="{63B3BB69-23CF-44E3-9099-C40C66FF867C}">
                  <a14:compatExt spid="_x0000_s47237"/>
                </a:ext>
                <a:ext uri="{FF2B5EF4-FFF2-40B4-BE49-F238E27FC236}">
                  <a16:creationId xmlns:a16="http://schemas.microsoft.com/office/drawing/2014/main" id="{00000000-0008-0000-0500-00008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557</xdr:row>
          <xdr:rowOff>0</xdr:rowOff>
        </xdr:from>
        <xdr:to>
          <xdr:col>15</xdr:col>
          <xdr:colOff>19050</xdr:colOff>
          <xdr:row>558</xdr:row>
          <xdr:rowOff>0</xdr:rowOff>
        </xdr:to>
        <xdr:sp macro="" textlink="">
          <xdr:nvSpPr>
            <xdr:cNvPr id="47238" name="Group Box 134" hidden="1">
              <a:extLst>
                <a:ext uri="{63B3BB69-23CF-44E3-9099-C40C66FF867C}">
                  <a14:compatExt spid="_x0000_s47238"/>
                </a:ext>
                <a:ext uri="{FF2B5EF4-FFF2-40B4-BE49-F238E27FC236}">
                  <a16:creationId xmlns:a16="http://schemas.microsoft.com/office/drawing/2014/main" id="{00000000-0008-0000-0500-000086B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557</xdr:row>
          <xdr:rowOff>0</xdr:rowOff>
        </xdr:from>
        <xdr:to>
          <xdr:col>1</xdr:col>
          <xdr:colOff>628650</xdr:colOff>
          <xdr:row>557</xdr:row>
          <xdr:rowOff>238125</xdr:rowOff>
        </xdr:to>
        <xdr:sp macro="" textlink="">
          <xdr:nvSpPr>
            <xdr:cNvPr id="47239" name="Option Button 135" hidden="1">
              <a:extLst>
                <a:ext uri="{63B3BB69-23CF-44E3-9099-C40C66FF867C}">
                  <a14:compatExt spid="_x0000_s47239"/>
                </a:ext>
                <a:ext uri="{FF2B5EF4-FFF2-40B4-BE49-F238E27FC236}">
                  <a16:creationId xmlns:a16="http://schemas.microsoft.com/office/drawing/2014/main" id="{00000000-0008-0000-0500-00008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557</xdr:row>
          <xdr:rowOff>0</xdr:rowOff>
        </xdr:from>
        <xdr:to>
          <xdr:col>15</xdr:col>
          <xdr:colOff>0</xdr:colOff>
          <xdr:row>557</xdr:row>
          <xdr:rowOff>238125</xdr:rowOff>
        </xdr:to>
        <xdr:sp macro="" textlink="">
          <xdr:nvSpPr>
            <xdr:cNvPr id="47240" name="Option Button 136" hidden="1">
              <a:extLst>
                <a:ext uri="{63B3BB69-23CF-44E3-9099-C40C66FF867C}">
                  <a14:compatExt spid="_x0000_s47240"/>
                </a:ext>
                <a:ext uri="{FF2B5EF4-FFF2-40B4-BE49-F238E27FC236}">
                  <a16:creationId xmlns:a16="http://schemas.microsoft.com/office/drawing/2014/main" id="{00000000-0008-0000-0500-00008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Loss of the arm at or proximal to the elbow joint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578</xdr:row>
          <xdr:rowOff>0</xdr:rowOff>
        </xdr:from>
        <xdr:to>
          <xdr:col>15</xdr:col>
          <xdr:colOff>0</xdr:colOff>
          <xdr:row>579</xdr:row>
          <xdr:rowOff>0</xdr:rowOff>
        </xdr:to>
        <xdr:grpSp>
          <xdr:nvGrpSpPr>
            <xdr:cNvPr id="91393" name="Group 137">
              <a:extLst>
                <a:ext uri="{FF2B5EF4-FFF2-40B4-BE49-F238E27FC236}">
                  <a16:creationId xmlns:a16="http://schemas.microsoft.com/office/drawing/2014/main" id="{00000000-0008-0000-0500-000001650100}"/>
                </a:ext>
              </a:extLst>
            </xdr:cNvPr>
            <xdr:cNvGrpSpPr>
              <a:grpSpLocks/>
            </xdr:cNvGrpSpPr>
          </xdr:nvGrpSpPr>
          <xdr:grpSpPr bwMode="auto">
            <a:xfrm>
              <a:off x="1595438" y="112553750"/>
              <a:ext cx="3810000" cy="492125"/>
              <a:chOff x="168" y="10650"/>
              <a:chExt cx="398" cy="52"/>
            </a:xfrm>
          </xdr:grpSpPr>
          <xdr:sp macro="" textlink="">
            <xdr:nvSpPr>
              <xdr:cNvPr id="47242" name="Group Box 138" hidden="1">
                <a:extLst>
                  <a:ext uri="{63B3BB69-23CF-44E3-9099-C40C66FF867C}">
                    <a14:compatExt spid="_x0000_s47242"/>
                  </a:ext>
                  <a:ext uri="{FF2B5EF4-FFF2-40B4-BE49-F238E27FC236}">
                    <a16:creationId xmlns:a16="http://schemas.microsoft.com/office/drawing/2014/main" id="{00000000-0008-0000-0500-00008AB80000}"/>
                  </a:ext>
                </a:extLst>
              </xdr:cNvPr>
              <xdr:cNvSpPr/>
            </xdr:nvSpPr>
            <xdr:spPr bwMode="auto">
              <a:xfrm>
                <a:off x="168" y="10650"/>
                <a:ext cx="398" cy="52"/>
              </a:xfrm>
              <a:prstGeom prst="rect">
                <a:avLst/>
              </a:prstGeom>
              <a:noFill/>
              <a:ln w="9525">
                <a:miter lim="800000"/>
                <a:headEnd/>
                <a:tailEnd/>
              </a:ln>
              <a:extLst>
                <a:ext uri="{909E8E84-426E-40DD-AFC4-6F175D3DCCD1}">
                  <a14:hiddenFill>
                    <a:noFill/>
                  </a14:hiddenFill>
                </a:ext>
              </a:extLst>
            </xdr:spPr>
          </xdr:sp>
          <xdr:sp macro="" textlink="">
            <xdr:nvSpPr>
              <xdr:cNvPr id="47243" name="Option Button 139" hidden="1">
                <a:extLst>
                  <a:ext uri="{63B3BB69-23CF-44E3-9099-C40C66FF867C}">
                    <a14:compatExt spid="_x0000_s47243"/>
                  </a:ext>
                  <a:ext uri="{FF2B5EF4-FFF2-40B4-BE49-F238E27FC236}">
                    <a16:creationId xmlns:a16="http://schemas.microsoft.com/office/drawing/2014/main" id="{00000000-0008-0000-0500-00008BB80000}"/>
                  </a:ext>
                </a:extLst>
              </xdr:cNvPr>
              <xdr:cNvSpPr/>
            </xdr:nvSpPr>
            <xdr:spPr bwMode="auto">
              <a:xfrm>
                <a:off x="170" y="10663"/>
                <a:ext cx="4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44" name="Option Button 140" hidden="1">
                <a:extLst>
                  <a:ext uri="{63B3BB69-23CF-44E3-9099-C40C66FF867C}">
                    <a14:compatExt spid="_x0000_s47244"/>
                  </a:ext>
                  <a:ext uri="{FF2B5EF4-FFF2-40B4-BE49-F238E27FC236}">
                    <a16:creationId xmlns:a16="http://schemas.microsoft.com/office/drawing/2014/main" id="{00000000-0008-0000-0500-00008CB80000}"/>
                  </a:ext>
                </a:extLst>
              </xdr:cNvPr>
              <xdr:cNvSpPr/>
            </xdr:nvSpPr>
            <xdr:spPr bwMode="auto">
              <a:xfrm>
                <a:off x="238" y="10650"/>
                <a:ext cx="26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Prosthetic radial head replacement</a:t>
                </a:r>
              </a:p>
            </xdr:txBody>
          </xdr:sp>
          <xdr:sp macro="" textlink="">
            <xdr:nvSpPr>
              <xdr:cNvPr id="47245" name="Option Button 141" hidden="1">
                <a:extLst>
                  <a:ext uri="{63B3BB69-23CF-44E3-9099-C40C66FF867C}">
                    <a14:compatExt spid="_x0000_s47245"/>
                  </a:ext>
                  <a:ext uri="{FF2B5EF4-FFF2-40B4-BE49-F238E27FC236}">
                    <a16:creationId xmlns:a16="http://schemas.microsoft.com/office/drawing/2014/main" id="{00000000-0008-0000-0500-00008DB80000}"/>
                  </a:ext>
                </a:extLst>
              </xdr:cNvPr>
              <xdr:cNvSpPr/>
            </xdr:nvSpPr>
            <xdr:spPr bwMode="auto">
              <a:xfrm>
                <a:off x="238" y="10674"/>
                <a:ext cx="30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Radial head resection, without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579</xdr:row>
          <xdr:rowOff>0</xdr:rowOff>
        </xdr:from>
        <xdr:to>
          <xdr:col>15</xdr:col>
          <xdr:colOff>0</xdr:colOff>
          <xdr:row>580</xdr:row>
          <xdr:rowOff>0</xdr:rowOff>
        </xdr:to>
        <xdr:grpSp>
          <xdr:nvGrpSpPr>
            <xdr:cNvPr id="91394" name="Group 142">
              <a:extLst>
                <a:ext uri="{FF2B5EF4-FFF2-40B4-BE49-F238E27FC236}">
                  <a16:creationId xmlns:a16="http://schemas.microsoft.com/office/drawing/2014/main" id="{00000000-0008-0000-0500-000002650100}"/>
                </a:ext>
              </a:extLst>
            </xdr:cNvPr>
            <xdr:cNvGrpSpPr>
              <a:grpSpLocks/>
            </xdr:cNvGrpSpPr>
          </xdr:nvGrpSpPr>
          <xdr:grpSpPr bwMode="auto">
            <a:xfrm>
              <a:off x="1595438" y="113045875"/>
              <a:ext cx="3810000" cy="246063"/>
              <a:chOff x="168" y="10702"/>
              <a:chExt cx="398" cy="26"/>
            </a:xfrm>
          </xdr:grpSpPr>
          <xdr:sp macro="" textlink="">
            <xdr:nvSpPr>
              <xdr:cNvPr id="47247" name="Group Box 143" hidden="1">
                <a:extLst>
                  <a:ext uri="{63B3BB69-23CF-44E3-9099-C40C66FF867C}">
                    <a14:compatExt spid="_x0000_s47247"/>
                  </a:ext>
                  <a:ext uri="{FF2B5EF4-FFF2-40B4-BE49-F238E27FC236}">
                    <a16:creationId xmlns:a16="http://schemas.microsoft.com/office/drawing/2014/main" id="{00000000-0008-0000-0500-00008FB80000}"/>
                  </a:ext>
                </a:extLst>
              </xdr:cNvPr>
              <xdr:cNvSpPr/>
            </xdr:nvSpPr>
            <xdr:spPr bwMode="auto">
              <a:xfrm>
                <a:off x="168" y="10702"/>
                <a:ext cx="398" cy="26"/>
              </a:xfrm>
              <a:prstGeom prst="rect">
                <a:avLst/>
              </a:prstGeom>
              <a:noFill/>
              <a:ln w="9525">
                <a:miter lim="800000"/>
                <a:headEnd/>
                <a:tailEnd/>
              </a:ln>
              <a:extLst>
                <a:ext uri="{909E8E84-426E-40DD-AFC4-6F175D3DCCD1}">
                  <a14:hiddenFill>
                    <a:noFill/>
                  </a14:hiddenFill>
                </a:ext>
              </a:extLst>
            </xdr:spPr>
          </xdr:sp>
          <xdr:sp macro="" textlink="">
            <xdr:nvSpPr>
              <xdr:cNvPr id="47248" name="Option Button 144" hidden="1">
                <a:extLst>
                  <a:ext uri="{63B3BB69-23CF-44E3-9099-C40C66FF867C}">
                    <a14:compatExt spid="_x0000_s47248"/>
                  </a:ext>
                  <a:ext uri="{FF2B5EF4-FFF2-40B4-BE49-F238E27FC236}">
                    <a16:creationId xmlns:a16="http://schemas.microsoft.com/office/drawing/2014/main" id="{00000000-0008-0000-0500-000090B80000}"/>
                  </a:ext>
                </a:extLst>
              </xdr:cNvPr>
              <xdr:cNvSpPr/>
            </xdr:nvSpPr>
            <xdr:spPr bwMode="auto">
              <a:xfrm>
                <a:off x="170" y="10703"/>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49" name="Option Button 145" hidden="1">
                <a:extLst>
                  <a:ext uri="{63B3BB69-23CF-44E3-9099-C40C66FF867C}">
                    <a14:compatExt spid="_x0000_s47249"/>
                  </a:ext>
                  <a:ext uri="{FF2B5EF4-FFF2-40B4-BE49-F238E27FC236}">
                    <a16:creationId xmlns:a16="http://schemas.microsoft.com/office/drawing/2014/main" id="{00000000-0008-0000-0500-000091B80000}"/>
                  </a:ext>
                </a:extLst>
              </xdr:cNvPr>
              <xdr:cNvSpPr/>
            </xdr:nvSpPr>
            <xdr:spPr bwMode="auto">
              <a:xfrm>
                <a:off x="238" y="10704"/>
                <a:ext cx="291"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Prosthetic elbow joint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580</xdr:row>
          <xdr:rowOff>0</xdr:rowOff>
        </xdr:from>
        <xdr:to>
          <xdr:col>15</xdr:col>
          <xdr:colOff>0</xdr:colOff>
          <xdr:row>581</xdr:row>
          <xdr:rowOff>0</xdr:rowOff>
        </xdr:to>
        <xdr:grpSp>
          <xdr:nvGrpSpPr>
            <xdr:cNvPr id="91395" name="Group 146">
              <a:extLst>
                <a:ext uri="{FF2B5EF4-FFF2-40B4-BE49-F238E27FC236}">
                  <a16:creationId xmlns:a16="http://schemas.microsoft.com/office/drawing/2014/main" id="{00000000-0008-0000-0500-000003650100}"/>
                </a:ext>
              </a:extLst>
            </xdr:cNvPr>
            <xdr:cNvGrpSpPr>
              <a:grpSpLocks/>
            </xdr:cNvGrpSpPr>
          </xdr:nvGrpSpPr>
          <xdr:grpSpPr bwMode="auto">
            <a:xfrm>
              <a:off x="1595438" y="113291938"/>
              <a:ext cx="3810000" cy="246062"/>
              <a:chOff x="168" y="10728"/>
              <a:chExt cx="398" cy="26"/>
            </a:xfrm>
          </xdr:grpSpPr>
          <xdr:sp macro="" textlink="">
            <xdr:nvSpPr>
              <xdr:cNvPr id="47251" name="Group Box 147" hidden="1">
                <a:extLst>
                  <a:ext uri="{63B3BB69-23CF-44E3-9099-C40C66FF867C}">
                    <a14:compatExt spid="_x0000_s47251"/>
                  </a:ext>
                  <a:ext uri="{FF2B5EF4-FFF2-40B4-BE49-F238E27FC236}">
                    <a16:creationId xmlns:a16="http://schemas.microsoft.com/office/drawing/2014/main" id="{00000000-0008-0000-0500-000093B80000}"/>
                  </a:ext>
                </a:extLst>
              </xdr:cNvPr>
              <xdr:cNvSpPr/>
            </xdr:nvSpPr>
            <xdr:spPr bwMode="auto">
              <a:xfrm>
                <a:off x="168" y="10728"/>
                <a:ext cx="398" cy="26"/>
              </a:xfrm>
              <a:prstGeom prst="rect">
                <a:avLst/>
              </a:prstGeom>
              <a:noFill/>
              <a:ln w="9525">
                <a:miter lim="800000"/>
                <a:headEnd/>
                <a:tailEnd/>
              </a:ln>
              <a:extLst>
                <a:ext uri="{909E8E84-426E-40DD-AFC4-6F175D3DCCD1}">
                  <a14:hiddenFill>
                    <a:noFill/>
                  </a14:hiddenFill>
                </a:ext>
              </a:extLst>
            </xdr:spPr>
          </xdr:sp>
          <xdr:sp macro="" textlink="">
            <xdr:nvSpPr>
              <xdr:cNvPr id="47252" name="Option Button 148" hidden="1">
                <a:extLst>
                  <a:ext uri="{63B3BB69-23CF-44E3-9099-C40C66FF867C}">
                    <a14:compatExt spid="_x0000_s47252"/>
                  </a:ext>
                  <a:ext uri="{FF2B5EF4-FFF2-40B4-BE49-F238E27FC236}">
                    <a16:creationId xmlns:a16="http://schemas.microsoft.com/office/drawing/2014/main" id="{00000000-0008-0000-0500-000094B80000}"/>
                  </a:ext>
                </a:extLst>
              </xdr:cNvPr>
              <xdr:cNvSpPr/>
            </xdr:nvSpPr>
            <xdr:spPr bwMode="auto">
              <a:xfrm>
                <a:off x="170" y="10729"/>
                <a:ext cx="59"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7253" name="Option Button 149" hidden="1">
                <a:extLst>
                  <a:ext uri="{63B3BB69-23CF-44E3-9099-C40C66FF867C}">
                    <a14:compatExt spid="_x0000_s47253"/>
                  </a:ext>
                  <a:ext uri="{FF2B5EF4-FFF2-40B4-BE49-F238E27FC236}">
                    <a16:creationId xmlns:a16="http://schemas.microsoft.com/office/drawing/2014/main" id="{00000000-0008-0000-0500-000095B80000}"/>
                  </a:ext>
                </a:extLst>
              </xdr:cNvPr>
              <xdr:cNvSpPr/>
            </xdr:nvSpPr>
            <xdr:spPr bwMode="auto">
              <a:xfrm>
                <a:off x="238" y="10730"/>
                <a:ext cx="257"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Humeral head replacement</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11</xdr:col>
          <xdr:colOff>0</xdr:colOff>
          <xdr:row>587</xdr:row>
          <xdr:rowOff>0</xdr:rowOff>
        </xdr:from>
        <xdr:to>
          <xdr:col>15</xdr:col>
          <xdr:colOff>0</xdr:colOff>
          <xdr:row>588</xdr:row>
          <xdr:rowOff>0</xdr:rowOff>
        </xdr:to>
        <xdr:grpSp>
          <xdr:nvGrpSpPr>
            <xdr:cNvPr id="91396" name="Group 150">
              <a:extLst>
                <a:ext uri="{FF2B5EF4-FFF2-40B4-BE49-F238E27FC236}">
                  <a16:creationId xmlns:a16="http://schemas.microsoft.com/office/drawing/2014/main" id="{00000000-0008-0000-0500-000004650100}"/>
                </a:ext>
              </a:extLst>
            </xdr:cNvPr>
            <xdr:cNvGrpSpPr>
              <a:grpSpLocks/>
            </xdr:cNvGrpSpPr>
          </xdr:nvGrpSpPr>
          <xdr:grpSpPr bwMode="auto">
            <a:xfrm>
              <a:off x="3841750" y="114935000"/>
              <a:ext cx="1563688" cy="246063"/>
              <a:chOff x="402" y="10927"/>
              <a:chExt cx="164" cy="26"/>
            </a:xfrm>
          </xdr:grpSpPr>
          <xdr:sp macro="" textlink="">
            <xdr:nvSpPr>
              <xdr:cNvPr id="47255" name="Group Box 151" hidden="1">
                <a:extLst>
                  <a:ext uri="{63B3BB69-23CF-44E3-9099-C40C66FF867C}">
                    <a14:compatExt spid="_x0000_s47255"/>
                  </a:ext>
                  <a:ext uri="{FF2B5EF4-FFF2-40B4-BE49-F238E27FC236}">
                    <a16:creationId xmlns:a16="http://schemas.microsoft.com/office/drawing/2014/main" id="{00000000-0008-0000-0500-000097B80000}"/>
                  </a:ext>
                </a:extLst>
              </xdr:cNvPr>
              <xdr:cNvSpPr/>
            </xdr:nvSpPr>
            <xdr:spPr bwMode="auto">
              <a:xfrm>
                <a:off x="402" y="10927"/>
                <a:ext cx="164" cy="26"/>
              </a:xfrm>
              <a:prstGeom prst="rect">
                <a:avLst/>
              </a:prstGeom>
              <a:noFill/>
              <a:ln w="9525">
                <a:miter lim="800000"/>
                <a:headEnd/>
                <a:tailEnd/>
              </a:ln>
              <a:extLst>
                <a:ext uri="{909E8E84-426E-40DD-AFC4-6F175D3DCCD1}">
                  <a14:hiddenFill>
                    <a:noFill/>
                  </a14:hiddenFill>
                </a:ext>
              </a:extLst>
            </xdr:spPr>
          </xdr:sp>
          <xdr:sp macro="" textlink="">
            <xdr:nvSpPr>
              <xdr:cNvPr id="47256" name="Option Button 152" hidden="1">
                <a:extLst>
                  <a:ext uri="{63B3BB69-23CF-44E3-9099-C40C66FF867C}">
                    <a14:compatExt spid="_x0000_s47256"/>
                  </a:ext>
                  <a:ext uri="{FF2B5EF4-FFF2-40B4-BE49-F238E27FC236}">
                    <a16:creationId xmlns:a16="http://schemas.microsoft.com/office/drawing/2014/main" id="{00000000-0008-0000-0500-000098B80000}"/>
                  </a:ext>
                </a:extLst>
              </xdr:cNvPr>
              <xdr:cNvSpPr/>
            </xdr:nvSpPr>
            <xdr:spPr bwMode="auto">
              <a:xfrm>
                <a:off x="421"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7257" name="Option Button 153" hidden="1">
                <a:extLst>
                  <a:ext uri="{63B3BB69-23CF-44E3-9099-C40C66FF867C}">
                    <a14:compatExt spid="_x0000_s47257"/>
                  </a:ext>
                  <a:ext uri="{FF2B5EF4-FFF2-40B4-BE49-F238E27FC236}">
                    <a16:creationId xmlns:a16="http://schemas.microsoft.com/office/drawing/2014/main" id="{00000000-0008-0000-0500-000099B80000}"/>
                  </a:ext>
                </a:extLst>
              </xdr:cNvPr>
              <xdr:cNvSpPr/>
            </xdr:nvSpPr>
            <xdr:spPr bwMode="auto">
              <a:xfrm>
                <a:off x="480" y="10929"/>
                <a:ext cx="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42</xdr:row>
          <xdr:rowOff>133350</xdr:rowOff>
        </xdr:from>
        <xdr:to>
          <xdr:col>5</xdr:col>
          <xdr:colOff>95250</xdr:colOff>
          <xdr:row>44</xdr:row>
          <xdr:rowOff>19050</xdr:rowOff>
        </xdr:to>
        <xdr:sp macro="" textlink="">
          <xdr:nvSpPr>
            <xdr:cNvPr id="47270" name="Check Box 166" hidden="1">
              <a:extLst>
                <a:ext uri="{63B3BB69-23CF-44E3-9099-C40C66FF867C}">
                  <a14:compatExt spid="_x0000_s47270"/>
                </a:ext>
                <a:ext uri="{FF2B5EF4-FFF2-40B4-BE49-F238E27FC236}">
                  <a16:creationId xmlns:a16="http://schemas.microsoft.com/office/drawing/2014/main" id="{00000000-0008-0000-0500-0000A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43</xdr:row>
          <xdr:rowOff>142875</xdr:rowOff>
        </xdr:from>
        <xdr:to>
          <xdr:col>5</xdr:col>
          <xdr:colOff>95250</xdr:colOff>
          <xdr:row>45</xdr:row>
          <xdr:rowOff>28575</xdr:rowOff>
        </xdr:to>
        <xdr:sp macro="" textlink="">
          <xdr:nvSpPr>
            <xdr:cNvPr id="47271" name="Check Box 167" hidden="1">
              <a:extLst>
                <a:ext uri="{63B3BB69-23CF-44E3-9099-C40C66FF867C}">
                  <a14:compatExt spid="_x0000_s47271"/>
                </a:ext>
                <a:ext uri="{FF2B5EF4-FFF2-40B4-BE49-F238E27FC236}">
                  <a16:creationId xmlns:a16="http://schemas.microsoft.com/office/drawing/2014/main" id="{00000000-0008-0000-0500-0000A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45</xdr:row>
          <xdr:rowOff>123825</xdr:rowOff>
        </xdr:from>
        <xdr:to>
          <xdr:col>5</xdr:col>
          <xdr:colOff>95250</xdr:colOff>
          <xdr:row>47</xdr:row>
          <xdr:rowOff>9525</xdr:rowOff>
        </xdr:to>
        <xdr:sp macro="" textlink="">
          <xdr:nvSpPr>
            <xdr:cNvPr id="47272" name="Check Box 168" hidden="1">
              <a:extLst>
                <a:ext uri="{63B3BB69-23CF-44E3-9099-C40C66FF867C}">
                  <a14:compatExt spid="_x0000_s47272"/>
                </a:ext>
                <a:ext uri="{FF2B5EF4-FFF2-40B4-BE49-F238E27FC236}">
                  <a16:creationId xmlns:a16="http://schemas.microsoft.com/office/drawing/2014/main" id="{00000000-0008-0000-0500-0000A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44</xdr:row>
          <xdr:rowOff>123825</xdr:rowOff>
        </xdr:from>
        <xdr:to>
          <xdr:col>5</xdr:col>
          <xdr:colOff>95250</xdr:colOff>
          <xdr:row>46</xdr:row>
          <xdr:rowOff>19050</xdr:rowOff>
        </xdr:to>
        <xdr:sp macro="" textlink="">
          <xdr:nvSpPr>
            <xdr:cNvPr id="47273" name="Check Box 169" hidden="1">
              <a:extLst>
                <a:ext uri="{63B3BB69-23CF-44E3-9099-C40C66FF867C}">
                  <a14:compatExt spid="_x0000_s47273"/>
                </a:ext>
                <a:ext uri="{FF2B5EF4-FFF2-40B4-BE49-F238E27FC236}">
                  <a16:creationId xmlns:a16="http://schemas.microsoft.com/office/drawing/2014/main" id="{00000000-0008-0000-0500-0000A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133350</xdr:rowOff>
        </xdr:from>
        <xdr:to>
          <xdr:col>5</xdr:col>
          <xdr:colOff>95250</xdr:colOff>
          <xdr:row>106</xdr:row>
          <xdr:rowOff>19050</xdr:rowOff>
        </xdr:to>
        <xdr:sp macro="" textlink="">
          <xdr:nvSpPr>
            <xdr:cNvPr id="47274" name="Check Box 170" hidden="1">
              <a:extLst>
                <a:ext uri="{63B3BB69-23CF-44E3-9099-C40C66FF867C}">
                  <a14:compatExt spid="_x0000_s47274"/>
                </a:ext>
                <a:ext uri="{FF2B5EF4-FFF2-40B4-BE49-F238E27FC236}">
                  <a16:creationId xmlns:a16="http://schemas.microsoft.com/office/drawing/2014/main" id="{00000000-0008-0000-0500-0000AA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105</xdr:row>
          <xdr:rowOff>142875</xdr:rowOff>
        </xdr:from>
        <xdr:to>
          <xdr:col>5</xdr:col>
          <xdr:colOff>95250</xdr:colOff>
          <xdr:row>107</xdr:row>
          <xdr:rowOff>38100</xdr:rowOff>
        </xdr:to>
        <xdr:sp macro="" textlink="">
          <xdr:nvSpPr>
            <xdr:cNvPr id="47275" name="Check Box 171" hidden="1">
              <a:extLst>
                <a:ext uri="{63B3BB69-23CF-44E3-9099-C40C66FF867C}">
                  <a14:compatExt spid="_x0000_s47275"/>
                </a:ext>
                <a:ext uri="{FF2B5EF4-FFF2-40B4-BE49-F238E27FC236}">
                  <a16:creationId xmlns:a16="http://schemas.microsoft.com/office/drawing/2014/main" id="{00000000-0008-0000-0500-0000AB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107</xdr:row>
          <xdr:rowOff>133350</xdr:rowOff>
        </xdr:from>
        <xdr:to>
          <xdr:col>5</xdr:col>
          <xdr:colOff>95250</xdr:colOff>
          <xdr:row>109</xdr:row>
          <xdr:rowOff>19050</xdr:rowOff>
        </xdr:to>
        <xdr:sp macro="" textlink="">
          <xdr:nvSpPr>
            <xdr:cNvPr id="47276" name="Check Box 172" hidden="1">
              <a:extLst>
                <a:ext uri="{63B3BB69-23CF-44E3-9099-C40C66FF867C}">
                  <a14:compatExt spid="_x0000_s47276"/>
                </a:ext>
                <a:ext uri="{FF2B5EF4-FFF2-40B4-BE49-F238E27FC236}">
                  <a16:creationId xmlns:a16="http://schemas.microsoft.com/office/drawing/2014/main" id="{00000000-0008-0000-0500-0000AC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106</xdr:row>
          <xdr:rowOff>133350</xdr:rowOff>
        </xdr:from>
        <xdr:to>
          <xdr:col>5</xdr:col>
          <xdr:colOff>95250</xdr:colOff>
          <xdr:row>108</xdr:row>
          <xdr:rowOff>19050</xdr:rowOff>
        </xdr:to>
        <xdr:sp macro="" textlink="">
          <xdr:nvSpPr>
            <xdr:cNvPr id="47277" name="Check Box 173" hidden="1">
              <a:extLst>
                <a:ext uri="{63B3BB69-23CF-44E3-9099-C40C66FF867C}">
                  <a14:compatExt spid="_x0000_s47277"/>
                </a:ext>
                <a:ext uri="{FF2B5EF4-FFF2-40B4-BE49-F238E27FC236}">
                  <a16:creationId xmlns:a16="http://schemas.microsoft.com/office/drawing/2014/main" id="{00000000-0008-0000-0500-0000AD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180</xdr:row>
          <xdr:rowOff>142875</xdr:rowOff>
        </xdr:from>
        <xdr:to>
          <xdr:col>5</xdr:col>
          <xdr:colOff>95250</xdr:colOff>
          <xdr:row>182</xdr:row>
          <xdr:rowOff>38100</xdr:rowOff>
        </xdr:to>
        <xdr:sp macro="" textlink="">
          <xdr:nvSpPr>
            <xdr:cNvPr id="47278" name="Check Box 174" hidden="1">
              <a:extLst>
                <a:ext uri="{63B3BB69-23CF-44E3-9099-C40C66FF867C}">
                  <a14:compatExt spid="_x0000_s47278"/>
                </a:ext>
                <a:ext uri="{FF2B5EF4-FFF2-40B4-BE49-F238E27FC236}">
                  <a16:creationId xmlns:a16="http://schemas.microsoft.com/office/drawing/2014/main" id="{00000000-0008-0000-0500-0000AE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181</xdr:row>
          <xdr:rowOff>142875</xdr:rowOff>
        </xdr:from>
        <xdr:to>
          <xdr:col>5</xdr:col>
          <xdr:colOff>95250</xdr:colOff>
          <xdr:row>183</xdr:row>
          <xdr:rowOff>47625</xdr:rowOff>
        </xdr:to>
        <xdr:sp macro="" textlink="">
          <xdr:nvSpPr>
            <xdr:cNvPr id="47279" name="Check Box 175" hidden="1">
              <a:extLst>
                <a:ext uri="{63B3BB69-23CF-44E3-9099-C40C66FF867C}">
                  <a14:compatExt spid="_x0000_s47279"/>
                </a:ext>
                <a:ext uri="{FF2B5EF4-FFF2-40B4-BE49-F238E27FC236}">
                  <a16:creationId xmlns:a16="http://schemas.microsoft.com/office/drawing/2014/main" id="{00000000-0008-0000-0500-0000AF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183</xdr:row>
          <xdr:rowOff>133350</xdr:rowOff>
        </xdr:from>
        <xdr:to>
          <xdr:col>5</xdr:col>
          <xdr:colOff>95250</xdr:colOff>
          <xdr:row>185</xdr:row>
          <xdr:rowOff>28575</xdr:rowOff>
        </xdr:to>
        <xdr:sp macro="" textlink="">
          <xdr:nvSpPr>
            <xdr:cNvPr id="47280" name="Check Box 176" hidden="1">
              <a:extLst>
                <a:ext uri="{63B3BB69-23CF-44E3-9099-C40C66FF867C}">
                  <a14:compatExt spid="_x0000_s47280"/>
                </a:ext>
                <a:ext uri="{FF2B5EF4-FFF2-40B4-BE49-F238E27FC236}">
                  <a16:creationId xmlns:a16="http://schemas.microsoft.com/office/drawing/2014/main" id="{00000000-0008-0000-0500-0000B0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182</xdr:row>
          <xdr:rowOff>142875</xdr:rowOff>
        </xdr:from>
        <xdr:to>
          <xdr:col>5</xdr:col>
          <xdr:colOff>95250</xdr:colOff>
          <xdr:row>184</xdr:row>
          <xdr:rowOff>28575</xdr:rowOff>
        </xdr:to>
        <xdr:sp macro="" textlink="">
          <xdr:nvSpPr>
            <xdr:cNvPr id="47281" name="Check Box 177" hidden="1">
              <a:extLst>
                <a:ext uri="{63B3BB69-23CF-44E3-9099-C40C66FF867C}">
                  <a14:compatExt spid="_x0000_s47281"/>
                </a:ext>
                <a:ext uri="{FF2B5EF4-FFF2-40B4-BE49-F238E27FC236}">
                  <a16:creationId xmlns:a16="http://schemas.microsoft.com/office/drawing/2014/main" id="{00000000-0008-0000-0500-0000B1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256</xdr:row>
          <xdr:rowOff>133350</xdr:rowOff>
        </xdr:from>
        <xdr:to>
          <xdr:col>5</xdr:col>
          <xdr:colOff>95250</xdr:colOff>
          <xdr:row>258</xdr:row>
          <xdr:rowOff>19050</xdr:rowOff>
        </xdr:to>
        <xdr:sp macro="" textlink="">
          <xdr:nvSpPr>
            <xdr:cNvPr id="47282" name="Check Box 178" hidden="1">
              <a:extLst>
                <a:ext uri="{63B3BB69-23CF-44E3-9099-C40C66FF867C}">
                  <a14:compatExt spid="_x0000_s47282"/>
                </a:ext>
                <a:ext uri="{FF2B5EF4-FFF2-40B4-BE49-F238E27FC236}">
                  <a16:creationId xmlns:a16="http://schemas.microsoft.com/office/drawing/2014/main" id="{00000000-0008-0000-0500-0000B2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257</xdr:row>
          <xdr:rowOff>152400</xdr:rowOff>
        </xdr:from>
        <xdr:to>
          <xdr:col>5</xdr:col>
          <xdr:colOff>95250</xdr:colOff>
          <xdr:row>259</xdr:row>
          <xdr:rowOff>47625</xdr:rowOff>
        </xdr:to>
        <xdr:sp macro="" textlink="">
          <xdr:nvSpPr>
            <xdr:cNvPr id="47283" name="Check Box 179" hidden="1">
              <a:extLst>
                <a:ext uri="{63B3BB69-23CF-44E3-9099-C40C66FF867C}">
                  <a14:compatExt spid="_x0000_s47283"/>
                </a:ext>
                <a:ext uri="{FF2B5EF4-FFF2-40B4-BE49-F238E27FC236}">
                  <a16:creationId xmlns:a16="http://schemas.microsoft.com/office/drawing/2014/main" id="{00000000-0008-0000-0500-0000B3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259</xdr:row>
          <xdr:rowOff>142875</xdr:rowOff>
        </xdr:from>
        <xdr:to>
          <xdr:col>5</xdr:col>
          <xdr:colOff>95250</xdr:colOff>
          <xdr:row>261</xdr:row>
          <xdr:rowOff>38100</xdr:rowOff>
        </xdr:to>
        <xdr:sp macro="" textlink="">
          <xdr:nvSpPr>
            <xdr:cNvPr id="47284" name="Check Box 180" hidden="1">
              <a:extLst>
                <a:ext uri="{63B3BB69-23CF-44E3-9099-C40C66FF867C}">
                  <a14:compatExt spid="_x0000_s47284"/>
                </a:ext>
                <a:ext uri="{FF2B5EF4-FFF2-40B4-BE49-F238E27FC236}">
                  <a16:creationId xmlns:a16="http://schemas.microsoft.com/office/drawing/2014/main" id="{00000000-0008-0000-0500-0000B4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258</xdr:row>
          <xdr:rowOff>133350</xdr:rowOff>
        </xdr:from>
        <xdr:to>
          <xdr:col>5</xdr:col>
          <xdr:colOff>95250</xdr:colOff>
          <xdr:row>260</xdr:row>
          <xdr:rowOff>28575</xdr:rowOff>
        </xdr:to>
        <xdr:sp macro="" textlink="">
          <xdr:nvSpPr>
            <xdr:cNvPr id="47285" name="Check Box 181" hidden="1">
              <a:extLst>
                <a:ext uri="{63B3BB69-23CF-44E3-9099-C40C66FF867C}">
                  <a14:compatExt spid="_x0000_s47285"/>
                </a:ext>
                <a:ext uri="{FF2B5EF4-FFF2-40B4-BE49-F238E27FC236}">
                  <a16:creationId xmlns:a16="http://schemas.microsoft.com/office/drawing/2014/main" id="{00000000-0008-0000-0500-0000B5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331</xdr:row>
          <xdr:rowOff>152400</xdr:rowOff>
        </xdr:from>
        <xdr:to>
          <xdr:col>5</xdr:col>
          <xdr:colOff>95250</xdr:colOff>
          <xdr:row>333</xdr:row>
          <xdr:rowOff>47625</xdr:rowOff>
        </xdr:to>
        <xdr:sp macro="" textlink="">
          <xdr:nvSpPr>
            <xdr:cNvPr id="47286" name="Check Box 182" hidden="1">
              <a:extLst>
                <a:ext uri="{63B3BB69-23CF-44E3-9099-C40C66FF867C}">
                  <a14:compatExt spid="_x0000_s47286"/>
                </a:ext>
                <a:ext uri="{FF2B5EF4-FFF2-40B4-BE49-F238E27FC236}">
                  <a16:creationId xmlns:a16="http://schemas.microsoft.com/office/drawing/2014/main" id="{00000000-0008-0000-0500-0000B6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332</xdr:row>
          <xdr:rowOff>152400</xdr:rowOff>
        </xdr:from>
        <xdr:to>
          <xdr:col>5</xdr:col>
          <xdr:colOff>95250</xdr:colOff>
          <xdr:row>334</xdr:row>
          <xdr:rowOff>57150</xdr:rowOff>
        </xdr:to>
        <xdr:sp macro="" textlink="">
          <xdr:nvSpPr>
            <xdr:cNvPr id="47287" name="Check Box 183" hidden="1">
              <a:extLst>
                <a:ext uri="{63B3BB69-23CF-44E3-9099-C40C66FF867C}">
                  <a14:compatExt spid="_x0000_s47287"/>
                </a:ext>
                <a:ext uri="{FF2B5EF4-FFF2-40B4-BE49-F238E27FC236}">
                  <a16:creationId xmlns:a16="http://schemas.microsoft.com/office/drawing/2014/main" id="{00000000-0008-0000-0500-0000B7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334</xdr:row>
          <xdr:rowOff>142875</xdr:rowOff>
        </xdr:from>
        <xdr:to>
          <xdr:col>5</xdr:col>
          <xdr:colOff>95250</xdr:colOff>
          <xdr:row>336</xdr:row>
          <xdr:rowOff>38100</xdr:rowOff>
        </xdr:to>
        <xdr:sp macro="" textlink="">
          <xdr:nvSpPr>
            <xdr:cNvPr id="47288" name="Check Box 184" hidden="1">
              <a:extLst>
                <a:ext uri="{63B3BB69-23CF-44E3-9099-C40C66FF867C}">
                  <a14:compatExt spid="_x0000_s47288"/>
                </a:ext>
                <a:ext uri="{FF2B5EF4-FFF2-40B4-BE49-F238E27FC236}">
                  <a16:creationId xmlns:a16="http://schemas.microsoft.com/office/drawing/2014/main" id="{00000000-0008-0000-0500-0000B8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333</xdr:row>
          <xdr:rowOff>133350</xdr:rowOff>
        </xdr:from>
        <xdr:to>
          <xdr:col>5</xdr:col>
          <xdr:colOff>95250</xdr:colOff>
          <xdr:row>335</xdr:row>
          <xdr:rowOff>28575</xdr:rowOff>
        </xdr:to>
        <xdr:sp macro="" textlink="">
          <xdr:nvSpPr>
            <xdr:cNvPr id="47289" name="Check Box 185" hidden="1">
              <a:extLst>
                <a:ext uri="{63B3BB69-23CF-44E3-9099-C40C66FF867C}">
                  <a14:compatExt spid="_x0000_s47289"/>
                </a:ext>
                <a:ext uri="{FF2B5EF4-FFF2-40B4-BE49-F238E27FC236}">
                  <a16:creationId xmlns:a16="http://schemas.microsoft.com/office/drawing/2014/main" id="{00000000-0008-0000-0500-0000B9B80000}"/>
                </a:ext>
              </a:extLst>
            </xdr:cNvPr>
            <xdr:cNvSpPr/>
          </xdr:nvSpPr>
          <xdr:spPr bwMode="auto">
            <a:xfrm>
              <a:off x="0" y="0"/>
              <a:ext cx="0" cy="0"/>
            </a:xfrm>
            <a:prstGeom prst="rect">
              <a:avLst/>
            </a:prstGeom>
            <a:noFill/>
            <a:ln>
              <a:noFill/>
            </a:ln>
            <a:extLst>
              <a:ext uri="{909E8E84-426E-40DD-AFC4-6F175D3DCCD1}">
                <a14:hiddenFill>
                  <a:solidFill>
                    <a:srgbClr val="CCFFCC" mc:Ignorable="a14" a14:legacySpreadsheetColorIndex="42"/>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576</xdr:row>
          <xdr:rowOff>28575</xdr:rowOff>
        </xdr:from>
        <xdr:to>
          <xdr:col>8</xdr:col>
          <xdr:colOff>66675</xdr:colOff>
          <xdr:row>577</xdr:row>
          <xdr:rowOff>9525</xdr:rowOff>
        </xdr:to>
        <xdr:sp macro="" textlink="">
          <xdr:nvSpPr>
            <xdr:cNvPr id="47391" name="Check Box 287" hidden="1">
              <a:extLst>
                <a:ext uri="{63B3BB69-23CF-44E3-9099-C40C66FF867C}">
                  <a14:compatExt spid="_x0000_s47391"/>
                </a:ext>
                <a:ext uri="{FF2B5EF4-FFF2-40B4-BE49-F238E27FC236}">
                  <a16:creationId xmlns:a16="http://schemas.microsoft.com/office/drawing/2014/main" id="{00000000-0008-0000-0500-00001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458</xdr:row>
          <xdr:rowOff>123825</xdr:rowOff>
        </xdr:from>
        <xdr:to>
          <xdr:col>5</xdr:col>
          <xdr:colOff>104775</xdr:colOff>
          <xdr:row>459</xdr:row>
          <xdr:rowOff>200025</xdr:rowOff>
        </xdr:to>
        <xdr:sp macro="" textlink="">
          <xdr:nvSpPr>
            <xdr:cNvPr id="47470" name="Check Box 366" hidden="1">
              <a:extLst>
                <a:ext uri="{63B3BB69-23CF-44E3-9099-C40C66FF867C}">
                  <a14:compatExt spid="_x0000_s47470"/>
                </a:ext>
                <a:ext uri="{FF2B5EF4-FFF2-40B4-BE49-F238E27FC236}">
                  <a16:creationId xmlns:a16="http://schemas.microsoft.com/office/drawing/2014/main" id="{00000000-0008-0000-0500-00006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459</xdr:row>
          <xdr:rowOff>200025</xdr:rowOff>
        </xdr:from>
        <xdr:to>
          <xdr:col>5</xdr:col>
          <xdr:colOff>104775</xdr:colOff>
          <xdr:row>460</xdr:row>
          <xdr:rowOff>190500</xdr:rowOff>
        </xdr:to>
        <xdr:sp macro="" textlink="">
          <xdr:nvSpPr>
            <xdr:cNvPr id="47471" name="Check Box 367" hidden="1">
              <a:extLst>
                <a:ext uri="{63B3BB69-23CF-44E3-9099-C40C66FF867C}">
                  <a14:compatExt spid="_x0000_s47471"/>
                </a:ext>
                <a:ext uri="{FF2B5EF4-FFF2-40B4-BE49-F238E27FC236}">
                  <a16:creationId xmlns:a16="http://schemas.microsoft.com/office/drawing/2014/main" id="{00000000-0008-0000-0500-00006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460</xdr:row>
          <xdr:rowOff>200025</xdr:rowOff>
        </xdr:from>
        <xdr:to>
          <xdr:col>5</xdr:col>
          <xdr:colOff>104775</xdr:colOff>
          <xdr:row>461</xdr:row>
          <xdr:rowOff>200025</xdr:rowOff>
        </xdr:to>
        <xdr:sp macro="" textlink="">
          <xdr:nvSpPr>
            <xdr:cNvPr id="47472" name="Check Box 368" hidden="1">
              <a:extLst>
                <a:ext uri="{63B3BB69-23CF-44E3-9099-C40C66FF867C}">
                  <a14:compatExt spid="_x0000_s47472"/>
                </a:ext>
                <a:ext uri="{FF2B5EF4-FFF2-40B4-BE49-F238E27FC236}">
                  <a16:creationId xmlns:a16="http://schemas.microsoft.com/office/drawing/2014/main" id="{00000000-0008-0000-0500-00007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461</xdr:row>
          <xdr:rowOff>209550</xdr:rowOff>
        </xdr:from>
        <xdr:to>
          <xdr:col>5</xdr:col>
          <xdr:colOff>104775</xdr:colOff>
          <xdr:row>462</xdr:row>
          <xdr:rowOff>200025</xdr:rowOff>
        </xdr:to>
        <xdr:sp macro="" textlink="">
          <xdr:nvSpPr>
            <xdr:cNvPr id="47473" name="Check Box 369" hidden="1">
              <a:extLst>
                <a:ext uri="{63B3BB69-23CF-44E3-9099-C40C66FF867C}">
                  <a14:compatExt spid="_x0000_s47473"/>
                </a:ext>
                <a:ext uri="{FF2B5EF4-FFF2-40B4-BE49-F238E27FC236}">
                  <a16:creationId xmlns:a16="http://schemas.microsoft.com/office/drawing/2014/main" id="{00000000-0008-0000-0500-000071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462</xdr:row>
          <xdr:rowOff>209550</xdr:rowOff>
        </xdr:from>
        <xdr:to>
          <xdr:col>5</xdr:col>
          <xdr:colOff>104775</xdr:colOff>
          <xdr:row>463</xdr:row>
          <xdr:rowOff>200025</xdr:rowOff>
        </xdr:to>
        <xdr:sp macro="" textlink="">
          <xdr:nvSpPr>
            <xdr:cNvPr id="47474" name="Check Box 370" hidden="1">
              <a:extLst>
                <a:ext uri="{63B3BB69-23CF-44E3-9099-C40C66FF867C}">
                  <a14:compatExt spid="_x0000_s47474"/>
                </a:ext>
                <a:ext uri="{FF2B5EF4-FFF2-40B4-BE49-F238E27FC236}">
                  <a16:creationId xmlns:a16="http://schemas.microsoft.com/office/drawing/2014/main" id="{00000000-0008-0000-0500-00007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473</xdr:row>
          <xdr:rowOff>161925</xdr:rowOff>
        </xdr:from>
        <xdr:to>
          <xdr:col>5</xdr:col>
          <xdr:colOff>104775</xdr:colOff>
          <xdr:row>475</xdr:row>
          <xdr:rowOff>0</xdr:rowOff>
        </xdr:to>
        <xdr:sp macro="" textlink="">
          <xdr:nvSpPr>
            <xdr:cNvPr id="47475" name="Check Box 371" hidden="1">
              <a:extLst>
                <a:ext uri="{63B3BB69-23CF-44E3-9099-C40C66FF867C}">
                  <a14:compatExt spid="_x0000_s47475"/>
                </a:ext>
                <a:ext uri="{FF2B5EF4-FFF2-40B4-BE49-F238E27FC236}">
                  <a16:creationId xmlns:a16="http://schemas.microsoft.com/office/drawing/2014/main" id="{00000000-0008-0000-0500-000073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474</xdr:row>
          <xdr:rowOff>152400</xdr:rowOff>
        </xdr:from>
        <xdr:to>
          <xdr:col>5</xdr:col>
          <xdr:colOff>104775</xdr:colOff>
          <xdr:row>475</xdr:row>
          <xdr:rowOff>180975</xdr:rowOff>
        </xdr:to>
        <xdr:sp macro="" textlink="">
          <xdr:nvSpPr>
            <xdr:cNvPr id="47476" name="Check Box 372" hidden="1">
              <a:extLst>
                <a:ext uri="{63B3BB69-23CF-44E3-9099-C40C66FF867C}">
                  <a14:compatExt spid="_x0000_s47476"/>
                </a:ext>
                <a:ext uri="{FF2B5EF4-FFF2-40B4-BE49-F238E27FC236}">
                  <a16:creationId xmlns:a16="http://schemas.microsoft.com/office/drawing/2014/main" id="{00000000-0008-0000-0500-000074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465</xdr:row>
          <xdr:rowOff>123825</xdr:rowOff>
        </xdr:from>
        <xdr:to>
          <xdr:col>5</xdr:col>
          <xdr:colOff>104775</xdr:colOff>
          <xdr:row>467</xdr:row>
          <xdr:rowOff>0</xdr:rowOff>
        </xdr:to>
        <xdr:sp macro="" textlink="">
          <xdr:nvSpPr>
            <xdr:cNvPr id="47477" name="Check Box 373" hidden="1">
              <a:extLst>
                <a:ext uri="{63B3BB69-23CF-44E3-9099-C40C66FF867C}">
                  <a14:compatExt spid="_x0000_s47477"/>
                </a:ext>
                <a:ext uri="{FF2B5EF4-FFF2-40B4-BE49-F238E27FC236}">
                  <a16:creationId xmlns:a16="http://schemas.microsoft.com/office/drawing/2014/main" id="{00000000-0008-0000-0500-000075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472</xdr:row>
          <xdr:rowOff>114300</xdr:rowOff>
        </xdr:from>
        <xdr:to>
          <xdr:col>5</xdr:col>
          <xdr:colOff>104775</xdr:colOff>
          <xdr:row>473</xdr:row>
          <xdr:rowOff>142875</xdr:rowOff>
        </xdr:to>
        <xdr:sp macro="" textlink="">
          <xdr:nvSpPr>
            <xdr:cNvPr id="47478" name="Check Box 374" hidden="1">
              <a:extLst>
                <a:ext uri="{63B3BB69-23CF-44E3-9099-C40C66FF867C}">
                  <a14:compatExt spid="_x0000_s47478"/>
                </a:ext>
                <a:ext uri="{FF2B5EF4-FFF2-40B4-BE49-F238E27FC236}">
                  <a16:creationId xmlns:a16="http://schemas.microsoft.com/office/drawing/2014/main" id="{00000000-0008-0000-0500-000076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9525</xdr:colOff>
          <xdr:row>458</xdr:row>
          <xdr:rowOff>76200</xdr:rowOff>
        </xdr:from>
        <xdr:to>
          <xdr:col>3</xdr:col>
          <xdr:colOff>257175</xdr:colOff>
          <xdr:row>463</xdr:row>
          <xdr:rowOff>161925</xdr:rowOff>
        </xdr:to>
        <xdr:sp macro="" textlink="">
          <xdr:nvSpPr>
            <xdr:cNvPr id="47479" name="Group Box 375" hidden="1">
              <a:extLst>
                <a:ext uri="{63B3BB69-23CF-44E3-9099-C40C66FF867C}">
                  <a14:compatExt spid="_x0000_s47479"/>
                </a:ext>
                <a:ext uri="{FF2B5EF4-FFF2-40B4-BE49-F238E27FC236}">
                  <a16:creationId xmlns:a16="http://schemas.microsoft.com/office/drawing/2014/main" id="{00000000-0008-0000-0500-000077B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460</xdr:row>
          <xdr:rowOff>47625</xdr:rowOff>
        </xdr:from>
        <xdr:to>
          <xdr:col>3</xdr:col>
          <xdr:colOff>238125</xdr:colOff>
          <xdr:row>461</xdr:row>
          <xdr:rowOff>47625</xdr:rowOff>
        </xdr:to>
        <xdr:sp macro="" textlink="">
          <xdr:nvSpPr>
            <xdr:cNvPr id="47480" name="Option Button 376" hidden="1">
              <a:extLst>
                <a:ext uri="{63B3BB69-23CF-44E3-9099-C40C66FF867C}">
                  <a14:compatExt spid="_x0000_s47480"/>
                </a:ext>
                <a:ext uri="{FF2B5EF4-FFF2-40B4-BE49-F238E27FC236}">
                  <a16:creationId xmlns:a16="http://schemas.microsoft.com/office/drawing/2014/main" id="{00000000-0008-0000-0500-000078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461</xdr:row>
          <xdr:rowOff>47625</xdr:rowOff>
        </xdr:from>
        <xdr:to>
          <xdr:col>3</xdr:col>
          <xdr:colOff>238125</xdr:colOff>
          <xdr:row>462</xdr:row>
          <xdr:rowOff>38100</xdr:rowOff>
        </xdr:to>
        <xdr:sp macro="" textlink="">
          <xdr:nvSpPr>
            <xdr:cNvPr id="47481" name="Option Button 377" hidden="1">
              <a:extLst>
                <a:ext uri="{63B3BB69-23CF-44E3-9099-C40C66FF867C}">
                  <a14:compatExt spid="_x0000_s47481"/>
                </a:ext>
                <a:ext uri="{FF2B5EF4-FFF2-40B4-BE49-F238E27FC236}">
                  <a16:creationId xmlns:a16="http://schemas.microsoft.com/office/drawing/2014/main" id="{00000000-0008-0000-0500-000079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Upper arm, with loss of triceps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462</xdr:row>
          <xdr:rowOff>171450</xdr:rowOff>
        </xdr:from>
        <xdr:to>
          <xdr:col>3</xdr:col>
          <xdr:colOff>238125</xdr:colOff>
          <xdr:row>463</xdr:row>
          <xdr:rowOff>161925</xdr:rowOff>
        </xdr:to>
        <xdr:sp macro="" textlink="">
          <xdr:nvSpPr>
            <xdr:cNvPr id="47482" name="Option Button 378" hidden="1">
              <a:extLst>
                <a:ext uri="{63B3BB69-23CF-44E3-9099-C40C66FF867C}">
                  <a14:compatExt spid="_x0000_s47482"/>
                </a:ext>
                <a:ext uri="{FF2B5EF4-FFF2-40B4-BE49-F238E27FC236}">
                  <a16:creationId xmlns:a16="http://schemas.microsoft.com/office/drawing/2014/main" id="{00000000-0008-0000-0500-00007AB9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Triceps only (25%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467</xdr:row>
          <xdr:rowOff>142875</xdr:rowOff>
        </xdr:from>
        <xdr:to>
          <xdr:col>5</xdr:col>
          <xdr:colOff>104775</xdr:colOff>
          <xdr:row>468</xdr:row>
          <xdr:rowOff>171450</xdr:rowOff>
        </xdr:to>
        <xdr:sp macro="" textlink="">
          <xdr:nvSpPr>
            <xdr:cNvPr id="47483" name="Check Box 379" hidden="1">
              <a:extLst>
                <a:ext uri="{63B3BB69-23CF-44E3-9099-C40C66FF867C}">
                  <a14:compatExt spid="_x0000_s47483"/>
                </a:ext>
                <a:ext uri="{FF2B5EF4-FFF2-40B4-BE49-F238E27FC236}">
                  <a16:creationId xmlns:a16="http://schemas.microsoft.com/office/drawing/2014/main" id="{00000000-0008-0000-0500-00007B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468</xdr:row>
          <xdr:rowOff>142875</xdr:rowOff>
        </xdr:from>
        <xdr:to>
          <xdr:col>5</xdr:col>
          <xdr:colOff>104775</xdr:colOff>
          <xdr:row>469</xdr:row>
          <xdr:rowOff>171450</xdr:rowOff>
        </xdr:to>
        <xdr:sp macro="" textlink="">
          <xdr:nvSpPr>
            <xdr:cNvPr id="47484" name="Check Box 380" hidden="1">
              <a:extLst>
                <a:ext uri="{63B3BB69-23CF-44E3-9099-C40C66FF867C}">
                  <a14:compatExt spid="_x0000_s47484"/>
                </a:ext>
                <a:ext uri="{FF2B5EF4-FFF2-40B4-BE49-F238E27FC236}">
                  <a16:creationId xmlns:a16="http://schemas.microsoft.com/office/drawing/2014/main" id="{00000000-0008-0000-0500-00007C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469</xdr:row>
          <xdr:rowOff>142875</xdr:rowOff>
        </xdr:from>
        <xdr:to>
          <xdr:col>5</xdr:col>
          <xdr:colOff>104775</xdr:colOff>
          <xdr:row>470</xdr:row>
          <xdr:rowOff>171450</xdr:rowOff>
        </xdr:to>
        <xdr:sp macro="" textlink="">
          <xdr:nvSpPr>
            <xdr:cNvPr id="47485" name="Check Box 381" hidden="1">
              <a:extLst>
                <a:ext uri="{63B3BB69-23CF-44E3-9099-C40C66FF867C}">
                  <a14:compatExt spid="_x0000_s47485"/>
                </a:ext>
                <a:ext uri="{FF2B5EF4-FFF2-40B4-BE49-F238E27FC236}">
                  <a16:creationId xmlns:a16="http://schemas.microsoft.com/office/drawing/2014/main" id="{00000000-0008-0000-0500-00007D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470</xdr:row>
          <xdr:rowOff>133350</xdr:rowOff>
        </xdr:from>
        <xdr:to>
          <xdr:col>5</xdr:col>
          <xdr:colOff>104775</xdr:colOff>
          <xdr:row>471</xdr:row>
          <xdr:rowOff>161925</xdr:rowOff>
        </xdr:to>
        <xdr:sp macro="" textlink="">
          <xdr:nvSpPr>
            <xdr:cNvPr id="47486" name="Check Box 382" hidden="1">
              <a:extLst>
                <a:ext uri="{63B3BB69-23CF-44E3-9099-C40C66FF867C}">
                  <a14:compatExt spid="_x0000_s47486"/>
                </a:ext>
                <a:ext uri="{FF2B5EF4-FFF2-40B4-BE49-F238E27FC236}">
                  <a16:creationId xmlns:a16="http://schemas.microsoft.com/office/drawing/2014/main" id="{00000000-0008-0000-0500-00007E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471</xdr:row>
          <xdr:rowOff>142875</xdr:rowOff>
        </xdr:from>
        <xdr:to>
          <xdr:col>5</xdr:col>
          <xdr:colOff>104775</xdr:colOff>
          <xdr:row>472</xdr:row>
          <xdr:rowOff>171450</xdr:rowOff>
        </xdr:to>
        <xdr:sp macro="" textlink="">
          <xdr:nvSpPr>
            <xdr:cNvPr id="47487" name="Check Box 383" hidden="1">
              <a:extLst>
                <a:ext uri="{63B3BB69-23CF-44E3-9099-C40C66FF867C}">
                  <a14:compatExt spid="_x0000_s47487"/>
                </a:ext>
                <a:ext uri="{FF2B5EF4-FFF2-40B4-BE49-F238E27FC236}">
                  <a16:creationId xmlns:a16="http://schemas.microsoft.com/office/drawing/2014/main" id="{00000000-0008-0000-0500-00007F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472</xdr:row>
          <xdr:rowOff>142875</xdr:rowOff>
        </xdr:from>
        <xdr:to>
          <xdr:col>5</xdr:col>
          <xdr:colOff>104775</xdr:colOff>
          <xdr:row>473</xdr:row>
          <xdr:rowOff>171450</xdr:rowOff>
        </xdr:to>
        <xdr:sp macro="" textlink="">
          <xdr:nvSpPr>
            <xdr:cNvPr id="47488" name="Check Box 384" hidden="1">
              <a:extLst>
                <a:ext uri="{63B3BB69-23CF-44E3-9099-C40C66FF867C}">
                  <a14:compatExt spid="_x0000_s47488"/>
                </a:ext>
                <a:ext uri="{FF2B5EF4-FFF2-40B4-BE49-F238E27FC236}">
                  <a16:creationId xmlns:a16="http://schemas.microsoft.com/office/drawing/2014/main" id="{00000000-0008-0000-0500-000080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200025</xdr:colOff>
          <xdr:row>462</xdr:row>
          <xdr:rowOff>19050</xdr:rowOff>
        </xdr:from>
        <xdr:to>
          <xdr:col>1</xdr:col>
          <xdr:colOff>819150</xdr:colOff>
          <xdr:row>462</xdr:row>
          <xdr:rowOff>161925</xdr:rowOff>
        </xdr:to>
        <xdr:sp macro="" textlink="">
          <xdr:nvSpPr>
            <xdr:cNvPr id="47489" name="Label 385" hidden="1">
              <a:extLst>
                <a:ext uri="{63B3BB69-23CF-44E3-9099-C40C66FF867C}">
                  <a14:compatExt spid="_x0000_s47489"/>
                </a:ext>
                <a:ext uri="{FF2B5EF4-FFF2-40B4-BE49-F238E27FC236}">
                  <a16:creationId xmlns:a16="http://schemas.microsoft.com/office/drawing/2014/main" id="{00000000-0008-0000-0500-000081B9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US" sz="800" b="0" i="0" u="none" strike="noStrike" baseline="0">
                  <a:solidFill>
                    <a:srgbClr val="000000"/>
                  </a:solidFill>
                  <a:latin typeface="Segoe UI"/>
                  <a:cs typeface="Segoe UI"/>
                </a:rPr>
                <a:t>(55% arm)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466</xdr:row>
          <xdr:rowOff>152400</xdr:rowOff>
        </xdr:from>
        <xdr:to>
          <xdr:col>5</xdr:col>
          <xdr:colOff>104775</xdr:colOff>
          <xdr:row>467</xdr:row>
          <xdr:rowOff>180975</xdr:rowOff>
        </xdr:to>
        <xdr:sp macro="" textlink="">
          <xdr:nvSpPr>
            <xdr:cNvPr id="47490" name="Check Box 386" hidden="1">
              <a:extLst>
                <a:ext uri="{63B3BB69-23CF-44E3-9099-C40C66FF867C}">
                  <a14:compatExt spid="_x0000_s47490"/>
                </a:ext>
                <a:ext uri="{FF2B5EF4-FFF2-40B4-BE49-F238E27FC236}">
                  <a16:creationId xmlns:a16="http://schemas.microsoft.com/office/drawing/2014/main" id="{00000000-0008-0000-0500-000082B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9525</xdr:colOff>
      <xdr:row>293</xdr:row>
      <xdr:rowOff>0</xdr:rowOff>
    </xdr:from>
    <xdr:to>
      <xdr:col>3</xdr:col>
      <xdr:colOff>276225</xdr:colOff>
      <xdr:row>302</xdr:row>
      <xdr:rowOff>0</xdr:rowOff>
    </xdr:to>
    <xdr:grpSp>
      <xdr:nvGrpSpPr>
        <xdr:cNvPr id="89731" name="Group 181">
          <a:extLst>
            <a:ext uri="{FF2B5EF4-FFF2-40B4-BE49-F238E27FC236}">
              <a16:creationId xmlns:a16="http://schemas.microsoft.com/office/drawing/2014/main" id="{00000000-0008-0000-0600-0000835E0100}"/>
            </a:ext>
          </a:extLst>
        </xdr:cNvPr>
        <xdr:cNvGrpSpPr>
          <a:grpSpLocks/>
        </xdr:cNvGrpSpPr>
      </xdr:nvGrpSpPr>
      <xdr:grpSpPr bwMode="auto">
        <a:xfrm>
          <a:off x="65088" y="64817625"/>
          <a:ext cx="1933575" cy="1849438"/>
          <a:chOff x="7" y="6197"/>
          <a:chExt cx="203" cy="194"/>
        </a:xfrm>
      </xdr:grpSpPr>
      <xdr:sp macro="" textlink="">
        <xdr:nvSpPr>
          <xdr:cNvPr id="89742" name="AutoShape 178">
            <a:extLst>
              <a:ext uri="{FF2B5EF4-FFF2-40B4-BE49-F238E27FC236}">
                <a16:creationId xmlns:a16="http://schemas.microsoft.com/office/drawing/2014/main" id="{00000000-0008-0000-0600-00008E5E0100}"/>
              </a:ext>
            </a:extLst>
          </xdr:cNvPr>
          <xdr:cNvSpPr>
            <a:spLocks/>
          </xdr:cNvSpPr>
        </xdr:nvSpPr>
        <xdr:spPr bwMode="auto">
          <a:xfrm>
            <a:off x="46" y="6255"/>
            <a:ext cx="8" cy="50"/>
          </a:xfrm>
          <a:prstGeom prst="leftBracket">
            <a:avLst>
              <a:gd name="adj" fmla="val 5208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9743" name="AutoShape 179">
            <a:extLst>
              <a:ext uri="{FF2B5EF4-FFF2-40B4-BE49-F238E27FC236}">
                <a16:creationId xmlns:a16="http://schemas.microsoft.com/office/drawing/2014/main" id="{00000000-0008-0000-0600-00008F5E0100}"/>
              </a:ext>
            </a:extLst>
          </xdr:cNvPr>
          <xdr:cNvSpPr>
            <a:spLocks/>
          </xdr:cNvSpPr>
        </xdr:nvSpPr>
        <xdr:spPr bwMode="auto">
          <a:xfrm>
            <a:off x="46" y="6308"/>
            <a:ext cx="8" cy="50"/>
          </a:xfrm>
          <a:prstGeom prst="leftBracket">
            <a:avLst>
              <a:gd name="adj" fmla="val 52083"/>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mc:AlternateContent xmlns:mc="http://schemas.openxmlformats.org/markup-compatibility/2006">
    <mc:Choice xmlns:a14="http://schemas.microsoft.com/office/drawing/2010/main" Requires="a14">
      <xdr:twoCellAnchor>
        <xdr:from>
          <xdr:col>1</xdr:col>
          <xdr:colOff>0</xdr:colOff>
          <xdr:row>287</xdr:row>
          <xdr:rowOff>0</xdr:rowOff>
        </xdr:from>
        <xdr:to>
          <xdr:col>3</xdr:col>
          <xdr:colOff>276225</xdr:colOff>
          <xdr:row>291</xdr:row>
          <xdr:rowOff>0</xdr:rowOff>
        </xdr:to>
        <xdr:grpSp>
          <xdr:nvGrpSpPr>
            <xdr:cNvPr id="89732" name="Group 1">
              <a:extLst>
                <a:ext uri="{FF2B5EF4-FFF2-40B4-BE49-F238E27FC236}">
                  <a16:creationId xmlns:a16="http://schemas.microsoft.com/office/drawing/2014/main" id="{00000000-0008-0000-0600-0000845E0100}"/>
                </a:ext>
              </a:extLst>
            </xdr:cNvPr>
            <xdr:cNvGrpSpPr>
              <a:grpSpLocks/>
            </xdr:cNvGrpSpPr>
          </xdr:nvGrpSpPr>
          <xdr:grpSpPr bwMode="auto">
            <a:xfrm>
              <a:off x="55564" y="63484125"/>
              <a:ext cx="1943101" cy="762000"/>
              <a:chOff x="16" y="7276"/>
              <a:chExt cx="200" cy="76"/>
            </a:xfrm>
          </xdr:grpSpPr>
          <xdr:sp macro="" textlink="">
            <xdr:nvSpPr>
              <xdr:cNvPr id="46082" name="Group Box 2" hidden="1">
                <a:extLst>
                  <a:ext uri="{63B3BB69-23CF-44E3-9099-C40C66FF867C}">
                    <a14:compatExt spid="_x0000_s46082"/>
                  </a:ext>
                  <a:ext uri="{FF2B5EF4-FFF2-40B4-BE49-F238E27FC236}">
                    <a16:creationId xmlns:a16="http://schemas.microsoft.com/office/drawing/2014/main" id="{00000000-0008-0000-0600-000002B40000}"/>
                  </a:ext>
                </a:extLst>
              </xdr:cNvPr>
              <xdr:cNvSpPr/>
            </xdr:nvSpPr>
            <xdr:spPr bwMode="auto">
              <a:xfrm>
                <a:off x="16" y="7276"/>
                <a:ext cx="200" cy="76"/>
              </a:xfrm>
              <a:prstGeom prst="rect">
                <a:avLst/>
              </a:prstGeom>
              <a:noFill/>
              <a:ln w="9525">
                <a:miter lim="800000"/>
                <a:headEnd/>
                <a:tailEnd/>
              </a:ln>
              <a:extLst>
                <a:ext uri="{909E8E84-426E-40DD-AFC4-6F175D3DCCD1}">
                  <a14:hiddenFill>
                    <a:noFill/>
                  </a14:hiddenFill>
                </a:ext>
              </a:extLst>
            </xdr:spPr>
          </xdr:sp>
          <xdr:sp macro="" textlink="">
            <xdr:nvSpPr>
              <xdr:cNvPr id="46083" name="Option Button 3" hidden="1">
                <a:extLst>
                  <a:ext uri="{63B3BB69-23CF-44E3-9099-C40C66FF867C}">
                    <a14:compatExt spid="_x0000_s46083"/>
                  </a:ext>
                  <a:ext uri="{FF2B5EF4-FFF2-40B4-BE49-F238E27FC236}">
                    <a16:creationId xmlns:a16="http://schemas.microsoft.com/office/drawing/2014/main" id="{00000000-0008-0000-0600-000003B40000}"/>
                  </a:ext>
                </a:extLst>
              </xdr:cNvPr>
              <xdr:cNvSpPr/>
            </xdr:nvSpPr>
            <xdr:spPr bwMode="auto">
              <a:xfrm>
                <a:off x="18" y="7278"/>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6084" name="Option Button 4" hidden="1">
                <a:extLst>
                  <a:ext uri="{63B3BB69-23CF-44E3-9099-C40C66FF867C}">
                    <a14:compatExt spid="_x0000_s46084"/>
                  </a:ext>
                  <a:ext uri="{FF2B5EF4-FFF2-40B4-BE49-F238E27FC236}">
                    <a16:creationId xmlns:a16="http://schemas.microsoft.com/office/drawing/2014/main" id="{00000000-0008-0000-0600-000004B40000}"/>
                  </a:ext>
                </a:extLst>
              </xdr:cNvPr>
              <xdr:cNvSpPr/>
            </xdr:nvSpPr>
            <xdr:spPr bwMode="auto">
              <a:xfrm>
                <a:off x="17" y="7302"/>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hamstring innerv. (75% leg)</a:t>
                </a:r>
              </a:p>
            </xdr:txBody>
          </xdr:sp>
          <xdr:sp macro="" textlink="">
            <xdr:nvSpPr>
              <xdr:cNvPr id="46085" name="Option Button 5" hidden="1">
                <a:extLst>
                  <a:ext uri="{63B3BB69-23CF-44E3-9099-C40C66FF867C}">
                    <a14:compatExt spid="_x0000_s46085"/>
                  </a:ext>
                  <a:ext uri="{FF2B5EF4-FFF2-40B4-BE49-F238E27FC236}">
                    <a16:creationId xmlns:a16="http://schemas.microsoft.com/office/drawing/2014/main" id="{00000000-0008-0000-0600-000005B40000}"/>
                  </a:ext>
                </a:extLst>
              </xdr:cNvPr>
              <xdr:cNvSpPr/>
            </xdr:nvSpPr>
            <xdr:spPr bwMode="auto">
              <a:xfrm>
                <a:off x="17" y="7325"/>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Hamstring only (40% leg)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280</xdr:row>
          <xdr:rowOff>0</xdr:rowOff>
        </xdr:from>
        <xdr:to>
          <xdr:col>5</xdr:col>
          <xdr:colOff>85725</xdr:colOff>
          <xdr:row>281</xdr:row>
          <xdr:rowOff>28575</xdr:rowOff>
        </xdr:to>
        <xdr:sp macro="" textlink="">
          <xdr:nvSpPr>
            <xdr:cNvPr id="46086" name="Check Box 6" hidden="1">
              <a:extLst>
                <a:ext uri="{63B3BB69-23CF-44E3-9099-C40C66FF867C}">
                  <a14:compatExt spid="_x0000_s46086"/>
                </a:ext>
                <a:ext uri="{FF2B5EF4-FFF2-40B4-BE49-F238E27FC236}">
                  <a16:creationId xmlns:a16="http://schemas.microsoft.com/office/drawing/2014/main" id="{00000000-0008-0000-06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280</xdr:row>
          <xdr:rowOff>180975</xdr:rowOff>
        </xdr:from>
        <xdr:to>
          <xdr:col>5</xdr:col>
          <xdr:colOff>85725</xdr:colOff>
          <xdr:row>282</xdr:row>
          <xdr:rowOff>19050</xdr:rowOff>
        </xdr:to>
        <xdr:sp macro="" textlink="">
          <xdr:nvSpPr>
            <xdr:cNvPr id="46087" name="Check Box 7" hidden="1">
              <a:extLst>
                <a:ext uri="{63B3BB69-23CF-44E3-9099-C40C66FF867C}">
                  <a14:compatExt spid="_x0000_s46087"/>
                </a:ext>
                <a:ext uri="{FF2B5EF4-FFF2-40B4-BE49-F238E27FC236}">
                  <a16:creationId xmlns:a16="http://schemas.microsoft.com/office/drawing/2014/main" id="{00000000-0008-0000-06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281</xdr:row>
          <xdr:rowOff>171450</xdr:rowOff>
        </xdr:from>
        <xdr:to>
          <xdr:col>5</xdr:col>
          <xdr:colOff>85725</xdr:colOff>
          <xdr:row>283</xdr:row>
          <xdr:rowOff>9525</xdr:rowOff>
        </xdr:to>
        <xdr:sp macro="" textlink="">
          <xdr:nvSpPr>
            <xdr:cNvPr id="46088" name="Check Box 8" hidden="1">
              <a:extLst>
                <a:ext uri="{63B3BB69-23CF-44E3-9099-C40C66FF867C}">
                  <a14:compatExt spid="_x0000_s46088"/>
                </a:ext>
                <a:ext uri="{FF2B5EF4-FFF2-40B4-BE49-F238E27FC236}">
                  <a16:creationId xmlns:a16="http://schemas.microsoft.com/office/drawing/2014/main" id="{00000000-0008-0000-06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282</xdr:row>
          <xdr:rowOff>161925</xdr:rowOff>
        </xdr:from>
        <xdr:to>
          <xdr:col>5</xdr:col>
          <xdr:colOff>85725</xdr:colOff>
          <xdr:row>284</xdr:row>
          <xdr:rowOff>0</xdr:rowOff>
        </xdr:to>
        <xdr:sp macro="" textlink="">
          <xdr:nvSpPr>
            <xdr:cNvPr id="46089" name="Check Box 9" hidden="1">
              <a:extLst>
                <a:ext uri="{63B3BB69-23CF-44E3-9099-C40C66FF867C}">
                  <a14:compatExt spid="_x0000_s46089"/>
                </a:ext>
                <a:ext uri="{FF2B5EF4-FFF2-40B4-BE49-F238E27FC236}">
                  <a16:creationId xmlns:a16="http://schemas.microsoft.com/office/drawing/2014/main" id="{00000000-0008-0000-06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283</xdr:row>
          <xdr:rowOff>171450</xdr:rowOff>
        </xdr:from>
        <xdr:to>
          <xdr:col>5</xdr:col>
          <xdr:colOff>85725</xdr:colOff>
          <xdr:row>285</xdr:row>
          <xdr:rowOff>9525</xdr:rowOff>
        </xdr:to>
        <xdr:sp macro="" textlink="">
          <xdr:nvSpPr>
            <xdr:cNvPr id="46090" name="Check Box 10" hidden="1">
              <a:extLst>
                <a:ext uri="{63B3BB69-23CF-44E3-9099-C40C66FF867C}">
                  <a14:compatExt spid="_x0000_s46090"/>
                </a:ext>
                <a:ext uri="{FF2B5EF4-FFF2-40B4-BE49-F238E27FC236}">
                  <a16:creationId xmlns:a16="http://schemas.microsoft.com/office/drawing/2014/main" id="{00000000-0008-0000-06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286</xdr:row>
          <xdr:rowOff>0</xdr:rowOff>
        </xdr:from>
        <xdr:to>
          <xdr:col>5</xdr:col>
          <xdr:colOff>85725</xdr:colOff>
          <xdr:row>286</xdr:row>
          <xdr:rowOff>219075</xdr:rowOff>
        </xdr:to>
        <xdr:sp macro="" textlink="">
          <xdr:nvSpPr>
            <xdr:cNvPr id="46091" name="Check Box 11" hidden="1">
              <a:extLst>
                <a:ext uri="{63B3BB69-23CF-44E3-9099-C40C66FF867C}">
                  <a14:compatExt spid="_x0000_s46091"/>
                </a:ext>
                <a:ext uri="{FF2B5EF4-FFF2-40B4-BE49-F238E27FC236}">
                  <a16:creationId xmlns:a16="http://schemas.microsoft.com/office/drawing/2014/main" id="{00000000-0008-0000-06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286</xdr:row>
          <xdr:rowOff>333375</xdr:rowOff>
        </xdr:from>
        <xdr:to>
          <xdr:col>5</xdr:col>
          <xdr:colOff>85725</xdr:colOff>
          <xdr:row>288</xdr:row>
          <xdr:rowOff>19050</xdr:rowOff>
        </xdr:to>
        <xdr:sp macro="" textlink="">
          <xdr:nvSpPr>
            <xdr:cNvPr id="46092" name="Check Box 12" hidden="1">
              <a:extLst>
                <a:ext uri="{63B3BB69-23CF-44E3-9099-C40C66FF867C}">
                  <a14:compatExt spid="_x0000_s46092"/>
                </a:ext>
                <a:ext uri="{FF2B5EF4-FFF2-40B4-BE49-F238E27FC236}">
                  <a16:creationId xmlns:a16="http://schemas.microsoft.com/office/drawing/2014/main" id="{00000000-0008-0000-06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287</xdr:row>
          <xdr:rowOff>171450</xdr:rowOff>
        </xdr:from>
        <xdr:to>
          <xdr:col>5</xdr:col>
          <xdr:colOff>85725</xdr:colOff>
          <xdr:row>289</xdr:row>
          <xdr:rowOff>9525</xdr:rowOff>
        </xdr:to>
        <xdr:sp macro="" textlink="">
          <xdr:nvSpPr>
            <xdr:cNvPr id="46093" name="Check Box 13" hidden="1">
              <a:extLst>
                <a:ext uri="{63B3BB69-23CF-44E3-9099-C40C66FF867C}">
                  <a14:compatExt spid="_x0000_s46093"/>
                </a:ext>
                <a:ext uri="{FF2B5EF4-FFF2-40B4-BE49-F238E27FC236}">
                  <a16:creationId xmlns:a16="http://schemas.microsoft.com/office/drawing/2014/main" id="{00000000-0008-0000-06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288</xdr:row>
          <xdr:rowOff>161925</xdr:rowOff>
        </xdr:from>
        <xdr:to>
          <xdr:col>5</xdr:col>
          <xdr:colOff>85725</xdr:colOff>
          <xdr:row>290</xdr:row>
          <xdr:rowOff>0</xdr:rowOff>
        </xdr:to>
        <xdr:sp macro="" textlink="">
          <xdr:nvSpPr>
            <xdr:cNvPr id="46094" name="Check Box 14" hidden="1">
              <a:extLst>
                <a:ext uri="{63B3BB69-23CF-44E3-9099-C40C66FF867C}">
                  <a14:compatExt spid="_x0000_s46094"/>
                </a:ext>
                <a:ext uri="{FF2B5EF4-FFF2-40B4-BE49-F238E27FC236}">
                  <a16:creationId xmlns:a16="http://schemas.microsoft.com/office/drawing/2014/main" id="{00000000-0008-0000-0600-00000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289</xdr:row>
          <xdr:rowOff>171450</xdr:rowOff>
        </xdr:from>
        <xdr:to>
          <xdr:col>5</xdr:col>
          <xdr:colOff>85725</xdr:colOff>
          <xdr:row>291</xdr:row>
          <xdr:rowOff>9525</xdr:rowOff>
        </xdr:to>
        <xdr:sp macro="" textlink="">
          <xdr:nvSpPr>
            <xdr:cNvPr id="46095" name="Check Box 15" hidden="1">
              <a:extLst>
                <a:ext uri="{63B3BB69-23CF-44E3-9099-C40C66FF867C}">
                  <a14:compatExt spid="_x0000_s46095"/>
                </a:ext>
                <a:ext uri="{FF2B5EF4-FFF2-40B4-BE49-F238E27FC236}">
                  <a16:creationId xmlns:a16="http://schemas.microsoft.com/office/drawing/2014/main" id="{00000000-0008-0000-0600-00000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292</xdr:row>
          <xdr:rowOff>9525</xdr:rowOff>
        </xdr:from>
        <xdr:to>
          <xdr:col>5</xdr:col>
          <xdr:colOff>85725</xdr:colOff>
          <xdr:row>293</xdr:row>
          <xdr:rowOff>0</xdr:rowOff>
        </xdr:to>
        <xdr:sp macro="" textlink="">
          <xdr:nvSpPr>
            <xdr:cNvPr id="46096" name="Check Box 16" hidden="1">
              <a:extLst>
                <a:ext uri="{63B3BB69-23CF-44E3-9099-C40C66FF867C}">
                  <a14:compatExt spid="_x0000_s46096"/>
                </a:ext>
                <a:ext uri="{FF2B5EF4-FFF2-40B4-BE49-F238E27FC236}">
                  <a16:creationId xmlns:a16="http://schemas.microsoft.com/office/drawing/2014/main" id="{00000000-0008-0000-0600-00001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292</xdr:row>
          <xdr:rowOff>333375</xdr:rowOff>
        </xdr:from>
        <xdr:to>
          <xdr:col>5</xdr:col>
          <xdr:colOff>85725</xdr:colOff>
          <xdr:row>294</xdr:row>
          <xdr:rowOff>19050</xdr:rowOff>
        </xdr:to>
        <xdr:sp macro="" textlink="">
          <xdr:nvSpPr>
            <xdr:cNvPr id="46097" name="Check Box 17" hidden="1">
              <a:extLst>
                <a:ext uri="{63B3BB69-23CF-44E3-9099-C40C66FF867C}">
                  <a14:compatExt spid="_x0000_s46097"/>
                </a:ext>
                <a:ext uri="{FF2B5EF4-FFF2-40B4-BE49-F238E27FC236}">
                  <a16:creationId xmlns:a16="http://schemas.microsoft.com/office/drawing/2014/main" id="{00000000-0008-0000-06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293</xdr:row>
          <xdr:rowOff>171450</xdr:rowOff>
        </xdr:from>
        <xdr:to>
          <xdr:col>5</xdr:col>
          <xdr:colOff>85725</xdr:colOff>
          <xdr:row>295</xdr:row>
          <xdr:rowOff>9525</xdr:rowOff>
        </xdr:to>
        <xdr:sp macro="" textlink="">
          <xdr:nvSpPr>
            <xdr:cNvPr id="46098" name="Check Box 18" hidden="1">
              <a:extLst>
                <a:ext uri="{63B3BB69-23CF-44E3-9099-C40C66FF867C}">
                  <a14:compatExt spid="_x0000_s46098"/>
                </a:ext>
                <a:ext uri="{FF2B5EF4-FFF2-40B4-BE49-F238E27FC236}">
                  <a16:creationId xmlns:a16="http://schemas.microsoft.com/office/drawing/2014/main" id="{00000000-0008-0000-06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294</xdr:row>
          <xdr:rowOff>161925</xdr:rowOff>
        </xdr:from>
        <xdr:to>
          <xdr:col>5</xdr:col>
          <xdr:colOff>85725</xdr:colOff>
          <xdr:row>296</xdr:row>
          <xdr:rowOff>0</xdr:rowOff>
        </xdr:to>
        <xdr:sp macro="" textlink="">
          <xdr:nvSpPr>
            <xdr:cNvPr id="46099" name="Check Box 19" hidden="1">
              <a:extLst>
                <a:ext uri="{63B3BB69-23CF-44E3-9099-C40C66FF867C}">
                  <a14:compatExt spid="_x0000_s46099"/>
                </a:ext>
                <a:ext uri="{FF2B5EF4-FFF2-40B4-BE49-F238E27FC236}">
                  <a16:creationId xmlns:a16="http://schemas.microsoft.com/office/drawing/2014/main" id="{00000000-0008-0000-06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295</xdr:row>
          <xdr:rowOff>171450</xdr:rowOff>
        </xdr:from>
        <xdr:to>
          <xdr:col>5</xdr:col>
          <xdr:colOff>85725</xdr:colOff>
          <xdr:row>297</xdr:row>
          <xdr:rowOff>9525</xdr:rowOff>
        </xdr:to>
        <xdr:sp macro="" textlink="">
          <xdr:nvSpPr>
            <xdr:cNvPr id="46100" name="Check Box 20" hidden="1">
              <a:extLst>
                <a:ext uri="{63B3BB69-23CF-44E3-9099-C40C66FF867C}">
                  <a14:compatExt spid="_x0000_s46100"/>
                </a:ext>
                <a:ext uri="{FF2B5EF4-FFF2-40B4-BE49-F238E27FC236}">
                  <a16:creationId xmlns:a16="http://schemas.microsoft.com/office/drawing/2014/main" id="{00000000-0008-0000-06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299</xdr:row>
          <xdr:rowOff>304800</xdr:rowOff>
        </xdr:from>
        <xdr:to>
          <xdr:col>5</xdr:col>
          <xdr:colOff>85725</xdr:colOff>
          <xdr:row>301</xdr:row>
          <xdr:rowOff>9525</xdr:rowOff>
        </xdr:to>
        <xdr:sp macro="" textlink="">
          <xdr:nvSpPr>
            <xdr:cNvPr id="46101" name="Check Box 21" hidden="1">
              <a:extLst>
                <a:ext uri="{63B3BB69-23CF-44E3-9099-C40C66FF867C}">
                  <a14:compatExt spid="_x0000_s46101"/>
                </a:ext>
                <a:ext uri="{FF2B5EF4-FFF2-40B4-BE49-F238E27FC236}">
                  <a16:creationId xmlns:a16="http://schemas.microsoft.com/office/drawing/2014/main" id="{00000000-0008-0000-06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300</xdr:row>
          <xdr:rowOff>171450</xdr:rowOff>
        </xdr:from>
        <xdr:to>
          <xdr:col>5</xdr:col>
          <xdr:colOff>85725</xdr:colOff>
          <xdr:row>302</xdr:row>
          <xdr:rowOff>9525</xdr:rowOff>
        </xdr:to>
        <xdr:sp macro="" textlink="">
          <xdr:nvSpPr>
            <xdr:cNvPr id="46102" name="Check Box 22" hidden="1">
              <a:extLst>
                <a:ext uri="{63B3BB69-23CF-44E3-9099-C40C66FF867C}">
                  <a14:compatExt spid="_x0000_s46102"/>
                </a:ext>
                <a:ext uri="{FF2B5EF4-FFF2-40B4-BE49-F238E27FC236}">
                  <a16:creationId xmlns:a16="http://schemas.microsoft.com/office/drawing/2014/main" id="{00000000-0008-0000-06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307</xdr:row>
          <xdr:rowOff>333375</xdr:rowOff>
        </xdr:from>
        <xdr:to>
          <xdr:col>5</xdr:col>
          <xdr:colOff>85725</xdr:colOff>
          <xdr:row>309</xdr:row>
          <xdr:rowOff>19050</xdr:rowOff>
        </xdr:to>
        <xdr:sp macro="" textlink="">
          <xdr:nvSpPr>
            <xdr:cNvPr id="46103" name="Check Box 23" hidden="1">
              <a:extLst>
                <a:ext uri="{63B3BB69-23CF-44E3-9099-C40C66FF867C}">
                  <a14:compatExt spid="_x0000_s46103"/>
                </a:ext>
                <a:ext uri="{FF2B5EF4-FFF2-40B4-BE49-F238E27FC236}">
                  <a16:creationId xmlns:a16="http://schemas.microsoft.com/office/drawing/2014/main" id="{00000000-0008-0000-06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308</xdr:row>
          <xdr:rowOff>180975</xdr:rowOff>
        </xdr:from>
        <xdr:to>
          <xdr:col>5</xdr:col>
          <xdr:colOff>85725</xdr:colOff>
          <xdr:row>310</xdr:row>
          <xdr:rowOff>19050</xdr:rowOff>
        </xdr:to>
        <xdr:sp macro="" textlink="">
          <xdr:nvSpPr>
            <xdr:cNvPr id="46104" name="Check Box 24" hidden="1">
              <a:extLst>
                <a:ext uri="{63B3BB69-23CF-44E3-9099-C40C66FF867C}">
                  <a14:compatExt spid="_x0000_s46104"/>
                </a:ext>
                <a:ext uri="{FF2B5EF4-FFF2-40B4-BE49-F238E27FC236}">
                  <a16:creationId xmlns:a16="http://schemas.microsoft.com/office/drawing/2014/main" id="{00000000-0008-0000-06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309</xdr:row>
          <xdr:rowOff>171450</xdr:rowOff>
        </xdr:from>
        <xdr:to>
          <xdr:col>5</xdr:col>
          <xdr:colOff>85725</xdr:colOff>
          <xdr:row>311</xdr:row>
          <xdr:rowOff>9525</xdr:rowOff>
        </xdr:to>
        <xdr:sp macro="" textlink="">
          <xdr:nvSpPr>
            <xdr:cNvPr id="46105" name="Check Box 25" hidden="1">
              <a:extLst>
                <a:ext uri="{63B3BB69-23CF-44E3-9099-C40C66FF867C}">
                  <a14:compatExt spid="_x0000_s46105"/>
                </a:ext>
                <a:ext uri="{FF2B5EF4-FFF2-40B4-BE49-F238E27FC236}">
                  <a16:creationId xmlns:a16="http://schemas.microsoft.com/office/drawing/2014/main" id="{00000000-0008-0000-06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310</xdr:row>
          <xdr:rowOff>161925</xdr:rowOff>
        </xdr:from>
        <xdr:to>
          <xdr:col>5</xdr:col>
          <xdr:colOff>85725</xdr:colOff>
          <xdr:row>312</xdr:row>
          <xdr:rowOff>0</xdr:rowOff>
        </xdr:to>
        <xdr:sp macro="" textlink="">
          <xdr:nvSpPr>
            <xdr:cNvPr id="46106" name="Check Box 26" hidden="1">
              <a:extLst>
                <a:ext uri="{63B3BB69-23CF-44E3-9099-C40C66FF867C}">
                  <a14:compatExt spid="_x0000_s46106"/>
                </a:ext>
                <a:ext uri="{FF2B5EF4-FFF2-40B4-BE49-F238E27FC236}">
                  <a16:creationId xmlns:a16="http://schemas.microsoft.com/office/drawing/2014/main" id="{00000000-0008-0000-06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311</xdr:row>
          <xdr:rowOff>171450</xdr:rowOff>
        </xdr:from>
        <xdr:to>
          <xdr:col>5</xdr:col>
          <xdr:colOff>85725</xdr:colOff>
          <xdr:row>313</xdr:row>
          <xdr:rowOff>9525</xdr:rowOff>
        </xdr:to>
        <xdr:sp macro="" textlink="">
          <xdr:nvSpPr>
            <xdr:cNvPr id="46107" name="Check Box 27" hidden="1">
              <a:extLst>
                <a:ext uri="{63B3BB69-23CF-44E3-9099-C40C66FF867C}">
                  <a14:compatExt spid="_x0000_s46107"/>
                </a:ext>
                <a:ext uri="{FF2B5EF4-FFF2-40B4-BE49-F238E27FC236}">
                  <a16:creationId xmlns:a16="http://schemas.microsoft.com/office/drawing/2014/main" id="{00000000-0008-0000-06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312</xdr:row>
          <xdr:rowOff>180975</xdr:rowOff>
        </xdr:from>
        <xdr:to>
          <xdr:col>5</xdr:col>
          <xdr:colOff>85725</xdr:colOff>
          <xdr:row>314</xdr:row>
          <xdr:rowOff>19050</xdr:rowOff>
        </xdr:to>
        <xdr:sp macro="" textlink="">
          <xdr:nvSpPr>
            <xdr:cNvPr id="46108" name="Check Box 28" hidden="1">
              <a:extLst>
                <a:ext uri="{63B3BB69-23CF-44E3-9099-C40C66FF867C}">
                  <a14:compatExt spid="_x0000_s46108"/>
                </a:ext>
                <a:ext uri="{FF2B5EF4-FFF2-40B4-BE49-F238E27FC236}">
                  <a16:creationId xmlns:a16="http://schemas.microsoft.com/office/drawing/2014/main" id="{00000000-0008-0000-06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313</xdr:row>
          <xdr:rowOff>180975</xdr:rowOff>
        </xdr:from>
        <xdr:to>
          <xdr:col>5</xdr:col>
          <xdr:colOff>85725</xdr:colOff>
          <xdr:row>315</xdr:row>
          <xdr:rowOff>19050</xdr:rowOff>
        </xdr:to>
        <xdr:sp macro="" textlink="">
          <xdr:nvSpPr>
            <xdr:cNvPr id="46109" name="Check Box 29" hidden="1">
              <a:extLst>
                <a:ext uri="{63B3BB69-23CF-44E3-9099-C40C66FF867C}">
                  <a14:compatExt spid="_x0000_s46109"/>
                </a:ext>
                <a:ext uri="{FF2B5EF4-FFF2-40B4-BE49-F238E27FC236}">
                  <a16:creationId xmlns:a16="http://schemas.microsoft.com/office/drawing/2014/main" id="{00000000-0008-0000-06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314</xdr:row>
          <xdr:rowOff>171450</xdr:rowOff>
        </xdr:from>
        <xdr:to>
          <xdr:col>5</xdr:col>
          <xdr:colOff>85725</xdr:colOff>
          <xdr:row>316</xdr:row>
          <xdr:rowOff>9525</xdr:rowOff>
        </xdr:to>
        <xdr:sp macro="" textlink="">
          <xdr:nvSpPr>
            <xdr:cNvPr id="46110" name="Check Box 30" hidden="1">
              <a:extLst>
                <a:ext uri="{63B3BB69-23CF-44E3-9099-C40C66FF867C}">
                  <a14:compatExt spid="_x0000_s46110"/>
                </a:ext>
                <a:ext uri="{FF2B5EF4-FFF2-40B4-BE49-F238E27FC236}">
                  <a16:creationId xmlns:a16="http://schemas.microsoft.com/office/drawing/2014/main" id="{00000000-0008-0000-06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315</xdr:row>
          <xdr:rowOff>171450</xdr:rowOff>
        </xdr:from>
        <xdr:to>
          <xdr:col>5</xdr:col>
          <xdr:colOff>85725</xdr:colOff>
          <xdr:row>317</xdr:row>
          <xdr:rowOff>9525</xdr:rowOff>
        </xdr:to>
        <xdr:sp macro="" textlink="">
          <xdr:nvSpPr>
            <xdr:cNvPr id="46111" name="Check Box 31" hidden="1">
              <a:extLst>
                <a:ext uri="{63B3BB69-23CF-44E3-9099-C40C66FF867C}">
                  <a14:compatExt spid="_x0000_s46111"/>
                </a:ext>
                <a:ext uri="{FF2B5EF4-FFF2-40B4-BE49-F238E27FC236}">
                  <a16:creationId xmlns:a16="http://schemas.microsoft.com/office/drawing/2014/main" id="{00000000-0008-0000-0600-00001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317</xdr:row>
          <xdr:rowOff>171450</xdr:rowOff>
        </xdr:from>
        <xdr:to>
          <xdr:col>5</xdr:col>
          <xdr:colOff>85725</xdr:colOff>
          <xdr:row>319</xdr:row>
          <xdr:rowOff>9525</xdr:rowOff>
        </xdr:to>
        <xdr:sp macro="" textlink="">
          <xdr:nvSpPr>
            <xdr:cNvPr id="46112" name="Check Box 32" hidden="1">
              <a:extLst>
                <a:ext uri="{63B3BB69-23CF-44E3-9099-C40C66FF867C}">
                  <a14:compatExt spid="_x0000_s46112"/>
                </a:ext>
                <a:ext uri="{FF2B5EF4-FFF2-40B4-BE49-F238E27FC236}">
                  <a16:creationId xmlns:a16="http://schemas.microsoft.com/office/drawing/2014/main" id="{00000000-0008-0000-0600-00002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320</xdr:row>
          <xdr:rowOff>0</xdr:rowOff>
        </xdr:from>
        <xdr:to>
          <xdr:col>5</xdr:col>
          <xdr:colOff>85725</xdr:colOff>
          <xdr:row>321</xdr:row>
          <xdr:rowOff>28575</xdr:rowOff>
        </xdr:to>
        <xdr:sp macro="" textlink="">
          <xdr:nvSpPr>
            <xdr:cNvPr id="46113" name="Check Box 33" hidden="1">
              <a:extLst>
                <a:ext uri="{63B3BB69-23CF-44E3-9099-C40C66FF867C}">
                  <a14:compatExt spid="_x0000_s46113"/>
                </a:ext>
                <a:ext uri="{FF2B5EF4-FFF2-40B4-BE49-F238E27FC236}">
                  <a16:creationId xmlns:a16="http://schemas.microsoft.com/office/drawing/2014/main" id="{00000000-0008-0000-0600-00002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321</xdr:row>
          <xdr:rowOff>0</xdr:rowOff>
        </xdr:from>
        <xdr:to>
          <xdr:col>5</xdr:col>
          <xdr:colOff>85725</xdr:colOff>
          <xdr:row>322</xdr:row>
          <xdr:rowOff>28575</xdr:rowOff>
        </xdr:to>
        <xdr:sp macro="" textlink="">
          <xdr:nvSpPr>
            <xdr:cNvPr id="46114" name="Check Box 34" hidden="1">
              <a:extLst>
                <a:ext uri="{63B3BB69-23CF-44E3-9099-C40C66FF867C}">
                  <a14:compatExt spid="_x0000_s46114"/>
                </a:ext>
                <a:ext uri="{FF2B5EF4-FFF2-40B4-BE49-F238E27FC236}">
                  <a16:creationId xmlns:a16="http://schemas.microsoft.com/office/drawing/2014/main" id="{00000000-0008-0000-0600-00002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321</xdr:row>
          <xdr:rowOff>171450</xdr:rowOff>
        </xdr:from>
        <xdr:to>
          <xdr:col>5</xdr:col>
          <xdr:colOff>85725</xdr:colOff>
          <xdr:row>323</xdr:row>
          <xdr:rowOff>9525</xdr:rowOff>
        </xdr:to>
        <xdr:sp macro="" textlink="">
          <xdr:nvSpPr>
            <xdr:cNvPr id="46115" name="Check Box 35" hidden="1">
              <a:extLst>
                <a:ext uri="{63B3BB69-23CF-44E3-9099-C40C66FF867C}">
                  <a14:compatExt spid="_x0000_s46115"/>
                </a:ext>
                <a:ext uri="{FF2B5EF4-FFF2-40B4-BE49-F238E27FC236}">
                  <a16:creationId xmlns:a16="http://schemas.microsoft.com/office/drawing/2014/main" id="{00000000-0008-0000-0600-00002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322</xdr:row>
          <xdr:rowOff>171450</xdr:rowOff>
        </xdr:from>
        <xdr:to>
          <xdr:col>5</xdr:col>
          <xdr:colOff>85725</xdr:colOff>
          <xdr:row>324</xdr:row>
          <xdr:rowOff>9525</xdr:rowOff>
        </xdr:to>
        <xdr:sp macro="" textlink="">
          <xdr:nvSpPr>
            <xdr:cNvPr id="46116" name="Check Box 36" hidden="1">
              <a:extLst>
                <a:ext uri="{63B3BB69-23CF-44E3-9099-C40C66FF867C}">
                  <a14:compatExt spid="_x0000_s46116"/>
                </a:ext>
                <a:ext uri="{FF2B5EF4-FFF2-40B4-BE49-F238E27FC236}">
                  <a16:creationId xmlns:a16="http://schemas.microsoft.com/office/drawing/2014/main" id="{00000000-0008-0000-0600-00002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324</xdr:row>
          <xdr:rowOff>9525</xdr:rowOff>
        </xdr:from>
        <xdr:to>
          <xdr:col>5</xdr:col>
          <xdr:colOff>85725</xdr:colOff>
          <xdr:row>325</xdr:row>
          <xdr:rowOff>38100</xdr:rowOff>
        </xdr:to>
        <xdr:sp macro="" textlink="">
          <xdr:nvSpPr>
            <xdr:cNvPr id="46117" name="Check Box 37" hidden="1">
              <a:extLst>
                <a:ext uri="{63B3BB69-23CF-44E3-9099-C40C66FF867C}">
                  <a14:compatExt spid="_x0000_s46117"/>
                </a:ext>
                <a:ext uri="{FF2B5EF4-FFF2-40B4-BE49-F238E27FC236}">
                  <a16:creationId xmlns:a16="http://schemas.microsoft.com/office/drawing/2014/main" id="{00000000-0008-0000-0600-00002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324</xdr:row>
          <xdr:rowOff>180975</xdr:rowOff>
        </xdr:from>
        <xdr:to>
          <xdr:col>5</xdr:col>
          <xdr:colOff>85725</xdr:colOff>
          <xdr:row>326</xdr:row>
          <xdr:rowOff>19050</xdr:rowOff>
        </xdr:to>
        <xdr:sp macro="" textlink="">
          <xdr:nvSpPr>
            <xdr:cNvPr id="46118" name="Check Box 38" hidden="1">
              <a:extLst>
                <a:ext uri="{63B3BB69-23CF-44E3-9099-C40C66FF867C}">
                  <a14:compatExt spid="_x0000_s46118"/>
                </a:ext>
                <a:ext uri="{FF2B5EF4-FFF2-40B4-BE49-F238E27FC236}">
                  <a16:creationId xmlns:a16="http://schemas.microsoft.com/office/drawing/2014/main" id="{00000000-0008-0000-0600-00002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325</xdr:row>
          <xdr:rowOff>180975</xdr:rowOff>
        </xdr:from>
        <xdr:to>
          <xdr:col>5</xdr:col>
          <xdr:colOff>85725</xdr:colOff>
          <xdr:row>327</xdr:row>
          <xdr:rowOff>19050</xdr:rowOff>
        </xdr:to>
        <xdr:sp macro="" textlink="">
          <xdr:nvSpPr>
            <xdr:cNvPr id="46119" name="Check Box 39" hidden="1">
              <a:extLst>
                <a:ext uri="{63B3BB69-23CF-44E3-9099-C40C66FF867C}">
                  <a14:compatExt spid="_x0000_s46119"/>
                </a:ext>
                <a:ext uri="{FF2B5EF4-FFF2-40B4-BE49-F238E27FC236}">
                  <a16:creationId xmlns:a16="http://schemas.microsoft.com/office/drawing/2014/main" id="{00000000-0008-0000-0600-00002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328</xdr:row>
          <xdr:rowOff>323850</xdr:rowOff>
        </xdr:from>
        <xdr:to>
          <xdr:col>5</xdr:col>
          <xdr:colOff>85725</xdr:colOff>
          <xdr:row>329</xdr:row>
          <xdr:rowOff>200025</xdr:rowOff>
        </xdr:to>
        <xdr:sp macro="" textlink="">
          <xdr:nvSpPr>
            <xdr:cNvPr id="46120" name="Check Box 40" hidden="1">
              <a:extLst>
                <a:ext uri="{63B3BB69-23CF-44E3-9099-C40C66FF867C}">
                  <a14:compatExt spid="_x0000_s46120"/>
                </a:ext>
                <a:ext uri="{FF2B5EF4-FFF2-40B4-BE49-F238E27FC236}">
                  <a16:creationId xmlns:a16="http://schemas.microsoft.com/office/drawing/2014/main" id="{00000000-0008-0000-0600-00002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329</xdr:row>
          <xdr:rowOff>485775</xdr:rowOff>
        </xdr:from>
        <xdr:to>
          <xdr:col>5</xdr:col>
          <xdr:colOff>85725</xdr:colOff>
          <xdr:row>331</xdr:row>
          <xdr:rowOff>19050</xdr:rowOff>
        </xdr:to>
        <xdr:sp macro="" textlink="">
          <xdr:nvSpPr>
            <xdr:cNvPr id="46121" name="Check Box 41" hidden="1">
              <a:extLst>
                <a:ext uri="{63B3BB69-23CF-44E3-9099-C40C66FF867C}">
                  <a14:compatExt spid="_x0000_s46121"/>
                </a:ext>
                <a:ext uri="{FF2B5EF4-FFF2-40B4-BE49-F238E27FC236}">
                  <a16:creationId xmlns:a16="http://schemas.microsoft.com/office/drawing/2014/main" id="{00000000-0008-0000-0600-00002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330</xdr:row>
          <xdr:rowOff>171450</xdr:rowOff>
        </xdr:from>
        <xdr:to>
          <xdr:col>5</xdr:col>
          <xdr:colOff>85725</xdr:colOff>
          <xdr:row>332</xdr:row>
          <xdr:rowOff>9525</xdr:rowOff>
        </xdr:to>
        <xdr:sp macro="" textlink="">
          <xdr:nvSpPr>
            <xdr:cNvPr id="46122" name="Check Box 42" hidden="1">
              <a:extLst>
                <a:ext uri="{63B3BB69-23CF-44E3-9099-C40C66FF867C}">
                  <a14:compatExt spid="_x0000_s46122"/>
                </a:ext>
                <a:ext uri="{FF2B5EF4-FFF2-40B4-BE49-F238E27FC236}">
                  <a16:creationId xmlns:a16="http://schemas.microsoft.com/office/drawing/2014/main" id="{00000000-0008-0000-0600-00002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331</xdr:row>
          <xdr:rowOff>180975</xdr:rowOff>
        </xdr:from>
        <xdr:to>
          <xdr:col>5</xdr:col>
          <xdr:colOff>85725</xdr:colOff>
          <xdr:row>333</xdr:row>
          <xdr:rowOff>19050</xdr:rowOff>
        </xdr:to>
        <xdr:sp macro="" textlink="">
          <xdr:nvSpPr>
            <xdr:cNvPr id="46123" name="Check Box 43" hidden="1">
              <a:extLst>
                <a:ext uri="{63B3BB69-23CF-44E3-9099-C40C66FF867C}">
                  <a14:compatExt spid="_x0000_s46123"/>
                </a:ext>
                <a:ext uri="{FF2B5EF4-FFF2-40B4-BE49-F238E27FC236}">
                  <a16:creationId xmlns:a16="http://schemas.microsoft.com/office/drawing/2014/main" id="{00000000-0008-0000-0600-00002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332</xdr:row>
          <xdr:rowOff>161925</xdr:rowOff>
        </xdr:from>
        <xdr:to>
          <xdr:col>5</xdr:col>
          <xdr:colOff>85725</xdr:colOff>
          <xdr:row>334</xdr:row>
          <xdr:rowOff>0</xdr:rowOff>
        </xdr:to>
        <xdr:sp macro="" textlink="">
          <xdr:nvSpPr>
            <xdr:cNvPr id="46124" name="Check Box 44" hidden="1">
              <a:extLst>
                <a:ext uri="{63B3BB69-23CF-44E3-9099-C40C66FF867C}">
                  <a14:compatExt spid="_x0000_s46124"/>
                </a:ext>
                <a:ext uri="{FF2B5EF4-FFF2-40B4-BE49-F238E27FC236}">
                  <a16:creationId xmlns:a16="http://schemas.microsoft.com/office/drawing/2014/main" id="{00000000-0008-0000-0600-00002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334</xdr:row>
          <xdr:rowOff>219075</xdr:rowOff>
        </xdr:from>
        <xdr:to>
          <xdr:col>5</xdr:col>
          <xdr:colOff>85725</xdr:colOff>
          <xdr:row>336</xdr:row>
          <xdr:rowOff>19050</xdr:rowOff>
        </xdr:to>
        <xdr:sp macro="" textlink="">
          <xdr:nvSpPr>
            <xdr:cNvPr id="46125" name="Check Box 45" hidden="1">
              <a:extLst>
                <a:ext uri="{63B3BB69-23CF-44E3-9099-C40C66FF867C}">
                  <a14:compatExt spid="_x0000_s46125"/>
                </a:ext>
                <a:ext uri="{FF2B5EF4-FFF2-40B4-BE49-F238E27FC236}">
                  <a16:creationId xmlns:a16="http://schemas.microsoft.com/office/drawing/2014/main" id="{00000000-0008-0000-0600-00002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296</xdr:row>
          <xdr:rowOff>171450</xdr:rowOff>
        </xdr:from>
        <xdr:to>
          <xdr:col>5</xdr:col>
          <xdr:colOff>85725</xdr:colOff>
          <xdr:row>298</xdr:row>
          <xdr:rowOff>9525</xdr:rowOff>
        </xdr:to>
        <xdr:sp macro="" textlink="">
          <xdr:nvSpPr>
            <xdr:cNvPr id="46126" name="Check Box 46" hidden="1">
              <a:extLst>
                <a:ext uri="{63B3BB69-23CF-44E3-9099-C40C66FF867C}">
                  <a14:compatExt spid="_x0000_s46126"/>
                </a:ext>
                <a:ext uri="{FF2B5EF4-FFF2-40B4-BE49-F238E27FC236}">
                  <a16:creationId xmlns:a16="http://schemas.microsoft.com/office/drawing/2014/main" id="{00000000-0008-0000-06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306</xdr:row>
          <xdr:rowOff>171450</xdr:rowOff>
        </xdr:from>
        <xdr:to>
          <xdr:col>5</xdr:col>
          <xdr:colOff>85725</xdr:colOff>
          <xdr:row>307</xdr:row>
          <xdr:rowOff>266700</xdr:rowOff>
        </xdr:to>
        <xdr:sp macro="" textlink="">
          <xdr:nvSpPr>
            <xdr:cNvPr id="46127" name="Check Box 47" hidden="1">
              <a:extLst>
                <a:ext uri="{63B3BB69-23CF-44E3-9099-C40C66FF867C}">
                  <a14:compatExt spid="_x0000_s46127"/>
                </a:ext>
                <a:ext uri="{FF2B5EF4-FFF2-40B4-BE49-F238E27FC236}">
                  <a16:creationId xmlns:a16="http://schemas.microsoft.com/office/drawing/2014/main" id="{00000000-0008-0000-0600-00002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298</xdr:row>
          <xdr:rowOff>180975</xdr:rowOff>
        </xdr:from>
        <xdr:to>
          <xdr:col>5</xdr:col>
          <xdr:colOff>85725</xdr:colOff>
          <xdr:row>300</xdr:row>
          <xdr:rowOff>0</xdr:rowOff>
        </xdr:to>
        <xdr:sp macro="" textlink="">
          <xdr:nvSpPr>
            <xdr:cNvPr id="46128" name="Check Box 48" hidden="1">
              <a:extLst>
                <a:ext uri="{63B3BB69-23CF-44E3-9099-C40C66FF867C}">
                  <a14:compatExt spid="_x0000_s46128"/>
                </a:ext>
                <a:ext uri="{FF2B5EF4-FFF2-40B4-BE49-F238E27FC236}">
                  <a16:creationId xmlns:a16="http://schemas.microsoft.com/office/drawing/2014/main" id="{00000000-0008-0000-0600-00003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328</xdr:row>
          <xdr:rowOff>0</xdr:rowOff>
        </xdr:from>
        <xdr:to>
          <xdr:col>5</xdr:col>
          <xdr:colOff>85725</xdr:colOff>
          <xdr:row>328</xdr:row>
          <xdr:rowOff>219075</xdr:rowOff>
        </xdr:to>
        <xdr:sp macro="" textlink="">
          <xdr:nvSpPr>
            <xdr:cNvPr id="46129" name="Check Box 49" hidden="1">
              <a:extLst>
                <a:ext uri="{63B3BB69-23CF-44E3-9099-C40C66FF867C}">
                  <a14:compatExt spid="_x0000_s46129"/>
                </a:ext>
                <a:ext uri="{FF2B5EF4-FFF2-40B4-BE49-F238E27FC236}">
                  <a16:creationId xmlns:a16="http://schemas.microsoft.com/office/drawing/2014/main" id="{00000000-0008-0000-0600-00003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308</xdr:row>
          <xdr:rowOff>0</xdr:rowOff>
        </xdr:from>
        <xdr:to>
          <xdr:col>3</xdr:col>
          <xdr:colOff>371475</xdr:colOff>
          <xdr:row>318</xdr:row>
          <xdr:rowOff>180975</xdr:rowOff>
        </xdr:to>
        <xdr:grpSp>
          <xdr:nvGrpSpPr>
            <xdr:cNvPr id="89733" name="Group 51">
              <a:extLst>
                <a:ext uri="{FF2B5EF4-FFF2-40B4-BE49-F238E27FC236}">
                  <a16:creationId xmlns:a16="http://schemas.microsoft.com/office/drawing/2014/main" id="{00000000-0008-0000-0600-0000855E0100}"/>
                </a:ext>
              </a:extLst>
            </xdr:cNvPr>
            <xdr:cNvGrpSpPr>
              <a:grpSpLocks/>
            </xdr:cNvGrpSpPr>
          </xdr:nvGrpSpPr>
          <xdr:grpSpPr bwMode="auto">
            <a:xfrm>
              <a:off x="55563" y="67921188"/>
              <a:ext cx="2038350" cy="2085975"/>
              <a:chOff x="9" y="640"/>
              <a:chExt cx="211" cy="170"/>
            </a:xfrm>
          </xdr:grpSpPr>
          <xdr:sp macro="" textlink="">
            <xdr:nvSpPr>
              <xdr:cNvPr id="46132" name="Group Box 52" hidden="1">
                <a:extLst>
                  <a:ext uri="{63B3BB69-23CF-44E3-9099-C40C66FF867C}">
                    <a14:compatExt spid="_x0000_s46132"/>
                  </a:ext>
                  <a:ext uri="{FF2B5EF4-FFF2-40B4-BE49-F238E27FC236}">
                    <a16:creationId xmlns:a16="http://schemas.microsoft.com/office/drawing/2014/main" id="{00000000-0008-0000-0600-000034B40000}"/>
                  </a:ext>
                </a:extLst>
              </xdr:cNvPr>
              <xdr:cNvSpPr/>
            </xdr:nvSpPr>
            <xdr:spPr bwMode="auto">
              <a:xfrm>
                <a:off x="9" y="640"/>
                <a:ext cx="211" cy="170"/>
              </a:xfrm>
              <a:prstGeom prst="rect">
                <a:avLst/>
              </a:prstGeom>
              <a:noFill/>
              <a:ln w="9525">
                <a:miter lim="800000"/>
                <a:headEnd/>
                <a:tailEnd/>
              </a:ln>
              <a:extLst>
                <a:ext uri="{909E8E84-426E-40DD-AFC4-6F175D3DCCD1}">
                  <a14:hiddenFill>
                    <a:noFill/>
                  </a14:hiddenFill>
                </a:ext>
              </a:extLst>
            </xdr:spPr>
          </xdr:sp>
          <xdr:sp macro="" textlink="">
            <xdr:nvSpPr>
              <xdr:cNvPr id="46133" name="Option Button 53" hidden="1">
                <a:extLst>
                  <a:ext uri="{63B3BB69-23CF-44E3-9099-C40C66FF867C}">
                    <a14:compatExt spid="_x0000_s46133"/>
                  </a:ext>
                  <a:ext uri="{FF2B5EF4-FFF2-40B4-BE49-F238E27FC236}">
                    <a16:creationId xmlns:a16="http://schemas.microsoft.com/office/drawing/2014/main" id="{00000000-0008-0000-0600-000035B40000}"/>
                  </a:ext>
                </a:extLst>
              </xdr:cNvPr>
              <xdr:cNvSpPr/>
            </xdr:nvSpPr>
            <xdr:spPr bwMode="auto">
              <a:xfrm>
                <a:off x="11" y="641"/>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6134" name="Option Button 54" hidden="1">
                <a:extLst>
                  <a:ext uri="{63B3BB69-23CF-44E3-9099-C40C66FF867C}">
                    <a14:compatExt spid="_x0000_s46134"/>
                  </a:ext>
                  <a:ext uri="{FF2B5EF4-FFF2-40B4-BE49-F238E27FC236}">
                    <a16:creationId xmlns:a16="http://schemas.microsoft.com/office/drawing/2014/main" id="{00000000-0008-0000-0600-000036B40000}"/>
                  </a:ext>
                </a:extLst>
              </xdr:cNvPr>
              <xdr:cNvSpPr/>
            </xdr:nvSpPr>
            <xdr:spPr bwMode="auto">
              <a:xfrm>
                <a:off x="11" y="664"/>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knee (35% leg)</a:t>
                </a:r>
              </a:p>
            </xdr:txBody>
          </xdr:sp>
          <xdr:sp macro="" textlink="">
            <xdr:nvSpPr>
              <xdr:cNvPr id="46135" name="Option Button 55" hidden="1">
                <a:extLst>
                  <a:ext uri="{63B3BB69-23CF-44E3-9099-C40C66FF867C}">
                    <a14:compatExt spid="_x0000_s46135"/>
                  </a:ext>
                  <a:ext uri="{FF2B5EF4-FFF2-40B4-BE49-F238E27FC236}">
                    <a16:creationId xmlns:a16="http://schemas.microsoft.com/office/drawing/2014/main" id="{00000000-0008-0000-0600-000037B40000}"/>
                  </a:ext>
                </a:extLst>
              </xdr:cNvPr>
              <xdr:cNvSpPr/>
            </xdr:nvSpPr>
            <xdr:spPr bwMode="auto">
              <a:xfrm>
                <a:off x="11" y="688"/>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Mid-calf &amp; knee (28% foot)</a:t>
                </a:r>
              </a:p>
            </xdr:txBody>
          </xdr:sp>
          <xdr:sp macro="" textlink="">
            <xdr:nvSpPr>
              <xdr:cNvPr id="46136" name="Option Button 56" hidden="1">
                <a:extLst>
                  <a:ext uri="{63B3BB69-23CF-44E3-9099-C40C66FF867C}">
                    <a14:compatExt spid="_x0000_s46136"/>
                  </a:ext>
                  <a:ext uri="{FF2B5EF4-FFF2-40B4-BE49-F238E27FC236}">
                    <a16:creationId xmlns:a16="http://schemas.microsoft.com/office/drawing/2014/main" id="{00000000-0008-0000-0600-000038B40000}"/>
                  </a:ext>
                </a:extLst>
              </xdr:cNvPr>
              <xdr:cNvSpPr/>
            </xdr:nvSpPr>
            <xdr:spPr bwMode="auto">
              <a:xfrm>
                <a:off x="11" y="712"/>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mid-calf(17% foot)</a:t>
                </a:r>
              </a:p>
            </xdr:txBody>
          </xdr:sp>
          <xdr:sp macro="" textlink="">
            <xdr:nvSpPr>
              <xdr:cNvPr id="46137" name="Option Button 57" hidden="1">
                <a:extLst>
                  <a:ext uri="{63B3BB69-23CF-44E3-9099-C40C66FF867C}">
                    <a14:compatExt spid="_x0000_s46137"/>
                  </a:ext>
                  <a:ext uri="{FF2B5EF4-FFF2-40B4-BE49-F238E27FC236}">
                    <a16:creationId xmlns:a16="http://schemas.microsoft.com/office/drawing/2014/main" id="{00000000-0008-0000-0600-000039B40000}"/>
                  </a:ext>
                </a:extLst>
              </xdr:cNvPr>
              <xdr:cNvSpPr/>
            </xdr:nvSpPr>
            <xdr:spPr bwMode="auto">
              <a:xfrm>
                <a:off x="11" y="735"/>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Lateral &amp; medial plantar branches</a:t>
                </a:r>
              </a:p>
            </xdr:txBody>
          </xdr:sp>
          <xdr:sp macro="" textlink="">
            <xdr:nvSpPr>
              <xdr:cNvPr id="46138" name="Option Button 58" hidden="1">
                <a:extLst>
                  <a:ext uri="{63B3BB69-23CF-44E3-9099-C40C66FF867C}">
                    <a14:compatExt spid="_x0000_s46138"/>
                  </a:ext>
                  <a:ext uri="{FF2B5EF4-FFF2-40B4-BE49-F238E27FC236}">
                    <a16:creationId xmlns:a16="http://schemas.microsoft.com/office/drawing/2014/main" id="{00000000-0008-0000-0600-00003AB40000}"/>
                  </a:ext>
                </a:extLst>
              </xdr:cNvPr>
              <xdr:cNvSpPr/>
            </xdr:nvSpPr>
            <xdr:spPr bwMode="auto">
              <a:xfrm>
                <a:off x="11" y="759"/>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Lateral plantar branch only (6% foot)</a:t>
                </a:r>
              </a:p>
            </xdr:txBody>
          </xdr:sp>
          <xdr:sp macro="" textlink="">
            <xdr:nvSpPr>
              <xdr:cNvPr id="46139" name="Option Button 59" hidden="1">
                <a:extLst>
                  <a:ext uri="{63B3BB69-23CF-44E3-9099-C40C66FF867C}">
                    <a14:compatExt spid="_x0000_s46139"/>
                  </a:ext>
                  <a:ext uri="{FF2B5EF4-FFF2-40B4-BE49-F238E27FC236}">
                    <a16:creationId xmlns:a16="http://schemas.microsoft.com/office/drawing/2014/main" id="{00000000-0008-0000-0600-00003BB40000}"/>
                  </a:ext>
                </a:extLst>
              </xdr:cNvPr>
              <xdr:cNvSpPr/>
            </xdr:nvSpPr>
            <xdr:spPr bwMode="auto">
              <a:xfrm>
                <a:off x="11" y="783"/>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Medial plantar branch only (6% foot)</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9525</xdr:rowOff>
        </xdr:from>
        <xdr:to>
          <xdr:col>3</xdr:col>
          <xdr:colOff>276225</xdr:colOff>
          <xdr:row>68</xdr:row>
          <xdr:rowOff>0</xdr:rowOff>
        </xdr:to>
        <xdr:sp macro="" textlink="">
          <xdr:nvSpPr>
            <xdr:cNvPr id="46152" name="Check Box 72" hidden="1">
              <a:extLst>
                <a:ext uri="{63B3BB69-23CF-44E3-9099-C40C66FF867C}">
                  <a14:compatExt spid="_x0000_s46152"/>
                </a:ext>
                <a:ext uri="{FF2B5EF4-FFF2-40B4-BE49-F238E27FC236}">
                  <a16:creationId xmlns:a16="http://schemas.microsoft.com/office/drawing/2014/main" id="{00000000-0008-0000-0600-00004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68</xdr:row>
          <xdr:rowOff>19050</xdr:rowOff>
        </xdr:from>
        <xdr:to>
          <xdr:col>3</xdr:col>
          <xdr:colOff>276225</xdr:colOff>
          <xdr:row>69</xdr:row>
          <xdr:rowOff>9525</xdr:rowOff>
        </xdr:to>
        <xdr:sp macro="" textlink="">
          <xdr:nvSpPr>
            <xdr:cNvPr id="46153" name="Check Box 73" hidden="1">
              <a:extLst>
                <a:ext uri="{63B3BB69-23CF-44E3-9099-C40C66FF867C}">
                  <a14:compatExt spid="_x0000_s46153"/>
                </a:ext>
                <a:ext uri="{FF2B5EF4-FFF2-40B4-BE49-F238E27FC236}">
                  <a16:creationId xmlns:a16="http://schemas.microsoft.com/office/drawing/2014/main" id="{00000000-0008-0000-0600-00004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69</xdr:row>
          <xdr:rowOff>9525</xdr:rowOff>
        </xdr:from>
        <xdr:to>
          <xdr:col>3</xdr:col>
          <xdr:colOff>276225</xdr:colOff>
          <xdr:row>70</xdr:row>
          <xdr:rowOff>0</xdr:rowOff>
        </xdr:to>
        <xdr:sp macro="" textlink="">
          <xdr:nvSpPr>
            <xdr:cNvPr id="46154" name="Check Box 74" hidden="1">
              <a:extLst>
                <a:ext uri="{63B3BB69-23CF-44E3-9099-C40C66FF867C}">
                  <a14:compatExt spid="_x0000_s46154"/>
                </a:ext>
                <a:ext uri="{FF2B5EF4-FFF2-40B4-BE49-F238E27FC236}">
                  <a16:creationId xmlns:a16="http://schemas.microsoft.com/office/drawing/2014/main" id="{00000000-0008-0000-0600-00004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9525</xdr:rowOff>
        </xdr:from>
        <xdr:to>
          <xdr:col>3</xdr:col>
          <xdr:colOff>276225</xdr:colOff>
          <xdr:row>108</xdr:row>
          <xdr:rowOff>0</xdr:rowOff>
        </xdr:to>
        <xdr:sp macro="" textlink="">
          <xdr:nvSpPr>
            <xdr:cNvPr id="46155" name="Check Box 75" hidden="1">
              <a:extLst>
                <a:ext uri="{63B3BB69-23CF-44E3-9099-C40C66FF867C}">
                  <a14:compatExt spid="_x0000_s46155"/>
                </a:ext>
                <a:ext uri="{FF2B5EF4-FFF2-40B4-BE49-F238E27FC236}">
                  <a16:creationId xmlns:a16="http://schemas.microsoft.com/office/drawing/2014/main" id="{00000000-0008-0000-0600-00004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108</xdr:row>
          <xdr:rowOff>19050</xdr:rowOff>
        </xdr:from>
        <xdr:to>
          <xdr:col>3</xdr:col>
          <xdr:colOff>276225</xdr:colOff>
          <xdr:row>109</xdr:row>
          <xdr:rowOff>9525</xdr:rowOff>
        </xdr:to>
        <xdr:sp macro="" textlink="">
          <xdr:nvSpPr>
            <xdr:cNvPr id="46156" name="Check Box 76" hidden="1">
              <a:extLst>
                <a:ext uri="{63B3BB69-23CF-44E3-9099-C40C66FF867C}">
                  <a14:compatExt spid="_x0000_s46156"/>
                </a:ext>
                <a:ext uri="{FF2B5EF4-FFF2-40B4-BE49-F238E27FC236}">
                  <a16:creationId xmlns:a16="http://schemas.microsoft.com/office/drawing/2014/main" id="{00000000-0008-0000-0600-00004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109</xdr:row>
          <xdr:rowOff>9525</xdr:rowOff>
        </xdr:from>
        <xdr:to>
          <xdr:col>3</xdr:col>
          <xdr:colOff>276225</xdr:colOff>
          <xdr:row>110</xdr:row>
          <xdr:rowOff>0</xdr:rowOff>
        </xdr:to>
        <xdr:sp macro="" textlink="">
          <xdr:nvSpPr>
            <xdr:cNvPr id="46157" name="Check Box 77" hidden="1">
              <a:extLst>
                <a:ext uri="{63B3BB69-23CF-44E3-9099-C40C66FF867C}">
                  <a14:compatExt spid="_x0000_s46157"/>
                </a:ext>
                <a:ext uri="{FF2B5EF4-FFF2-40B4-BE49-F238E27FC236}">
                  <a16:creationId xmlns:a16="http://schemas.microsoft.com/office/drawing/2014/main" id="{00000000-0008-0000-0600-00004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147</xdr:row>
          <xdr:rowOff>9525</xdr:rowOff>
        </xdr:from>
        <xdr:to>
          <xdr:col>3</xdr:col>
          <xdr:colOff>276225</xdr:colOff>
          <xdr:row>148</xdr:row>
          <xdr:rowOff>0</xdr:rowOff>
        </xdr:to>
        <xdr:sp macro="" textlink="">
          <xdr:nvSpPr>
            <xdr:cNvPr id="46158" name="Check Box 78" hidden="1">
              <a:extLst>
                <a:ext uri="{63B3BB69-23CF-44E3-9099-C40C66FF867C}">
                  <a14:compatExt spid="_x0000_s46158"/>
                </a:ext>
                <a:ext uri="{FF2B5EF4-FFF2-40B4-BE49-F238E27FC236}">
                  <a16:creationId xmlns:a16="http://schemas.microsoft.com/office/drawing/2014/main" id="{00000000-0008-0000-0600-00004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148</xdr:row>
          <xdr:rowOff>19050</xdr:rowOff>
        </xdr:from>
        <xdr:to>
          <xdr:col>3</xdr:col>
          <xdr:colOff>276225</xdr:colOff>
          <xdr:row>149</xdr:row>
          <xdr:rowOff>9525</xdr:rowOff>
        </xdr:to>
        <xdr:sp macro="" textlink="">
          <xdr:nvSpPr>
            <xdr:cNvPr id="46159" name="Check Box 79" hidden="1">
              <a:extLst>
                <a:ext uri="{63B3BB69-23CF-44E3-9099-C40C66FF867C}">
                  <a14:compatExt spid="_x0000_s46159"/>
                </a:ext>
                <a:ext uri="{FF2B5EF4-FFF2-40B4-BE49-F238E27FC236}">
                  <a16:creationId xmlns:a16="http://schemas.microsoft.com/office/drawing/2014/main" id="{00000000-0008-0000-0600-00004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149</xdr:row>
          <xdr:rowOff>9525</xdr:rowOff>
        </xdr:from>
        <xdr:to>
          <xdr:col>3</xdr:col>
          <xdr:colOff>276225</xdr:colOff>
          <xdr:row>150</xdr:row>
          <xdr:rowOff>0</xdr:rowOff>
        </xdr:to>
        <xdr:sp macro="" textlink="">
          <xdr:nvSpPr>
            <xdr:cNvPr id="46160" name="Check Box 80" hidden="1">
              <a:extLst>
                <a:ext uri="{63B3BB69-23CF-44E3-9099-C40C66FF867C}">
                  <a14:compatExt spid="_x0000_s46160"/>
                </a:ext>
                <a:ext uri="{FF2B5EF4-FFF2-40B4-BE49-F238E27FC236}">
                  <a16:creationId xmlns:a16="http://schemas.microsoft.com/office/drawing/2014/main" id="{00000000-0008-0000-0600-00005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187</xdr:row>
          <xdr:rowOff>9525</xdr:rowOff>
        </xdr:from>
        <xdr:to>
          <xdr:col>3</xdr:col>
          <xdr:colOff>276225</xdr:colOff>
          <xdr:row>188</xdr:row>
          <xdr:rowOff>0</xdr:rowOff>
        </xdr:to>
        <xdr:sp macro="" textlink="">
          <xdr:nvSpPr>
            <xdr:cNvPr id="46161" name="Check Box 81" hidden="1">
              <a:extLst>
                <a:ext uri="{63B3BB69-23CF-44E3-9099-C40C66FF867C}">
                  <a14:compatExt spid="_x0000_s46161"/>
                </a:ext>
                <a:ext uri="{FF2B5EF4-FFF2-40B4-BE49-F238E27FC236}">
                  <a16:creationId xmlns:a16="http://schemas.microsoft.com/office/drawing/2014/main" id="{00000000-0008-0000-0600-00005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188</xdr:row>
          <xdr:rowOff>19050</xdr:rowOff>
        </xdr:from>
        <xdr:to>
          <xdr:col>3</xdr:col>
          <xdr:colOff>276225</xdr:colOff>
          <xdr:row>189</xdr:row>
          <xdr:rowOff>9525</xdr:rowOff>
        </xdr:to>
        <xdr:sp macro="" textlink="">
          <xdr:nvSpPr>
            <xdr:cNvPr id="46162" name="Check Box 82" hidden="1">
              <a:extLst>
                <a:ext uri="{63B3BB69-23CF-44E3-9099-C40C66FF867C}">
                  <a14:compatExt spid="_x0000_s46162"/>
                </a:ext>
                <a:ext uri="{FF2B5EF4-FFF2-40B4-BE49-F238E27FC236}">
                  <a16:creationId xmlns:a16="http://schemas.microsoft.com/office/drawing/2014/main" id="{00000000-0008-0000-0600-00005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189</xdr:row>
          <xdr:rowOff>9525</xdr:rowOff>
        </xdr:from>
        <xdr:to>
          <xdr:col>3</xdr:col>
          <xdr:colOff>276225</xdr:colOff>
          <xdr:row>190</xdr:row>
          <xdr:rowOff>0</xdr:rowOff>
        </xdr:to>
        <xdr:sp macro="" textlink="">
          <xdr:nvSpPr>
            <xdr:cNvPr id="46163" name="Check Box 83" hidden="1">
              <a:extLst>
                <a:ext uri="{63B3BB69-23CF-44E3-9099-C40C66FF867C}">
                  <a14:compatExt spid="_x0000_s46163"/>
                </a:ext>
                <a:ext uri="{FF2B5EF4-FFF2-40B4-BE49-F238E27FC236}">
                  <a16:creationId xmlns:a16="http://schemas.microsoft.com/office/drawing/2014/main" id="{00000000-0008-0000-0600-00005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19050</xdr:rowOff>
        </xdr:from>
        <xdr:to>
          <xdr:col>3</xdr:col>
          <xdr:colOff>276225</xdr:colOff>
          <xdr:row>30</xdr:row>
          <xdr:rowOff>9525</xdr:rowOff>
        </xdr:to>
        <xdr:sp macro="" textlink="">
          <xdr:nvSpPr>
            <xdr:cNvPr id="46164" name="Check Box 84" hidden="1">
              <a:extLst>
                <a:ext uri="{63B3BB69-23CF-44E3-9099-C40C66FF867C}">
                  <a14:compatExt spid="_x0000_s46164"/>
                </a:ext>
                <a:ext uri="{FF2B5EF4-FFF2-40B4-BE49-F238E27FC236}">
                  <a16:creationId xmlns:a16="http://schemas.microsoft.com/office/drawing/2014/main" id="{00000000-0008-0000-0600-00005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9525</xdr:rowOff>
        </xdr:from>
        <xdr:to>
          <xdr:col>3</xdr:col>
          <xdr:colOff>276225</xdr:colOff>
          <xdr:row>31</xdr:row>
          <xdr:rowOff>0</xdr:rowOff>
        </xdr:to>
        <xdr:sp macro="" textlink="">
          <xdr:nvSpPr>
            <xdr:cNvPr id="46165" name="Check Box 85" hidden="1">
              <a:extLst>
                <a:ext uri="{63B3BB69-23CF-44E3-9099-C40C66FF867C}">
                  <a14:compatExt spid="_x0000_s46165"/>
                </a:ext>
                <a:ext uri="{FF2B5EF4-FFF2-40B4-BE49-F238E27FC236}">
                  <a16:creationId xmlns:a16="http://schemas.microsoft.com/office/drawing/2014/main" id="{00000000-0008-0000-0600-00005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19050</xdr:rowOff>
        </xdr:from>
        <xdr:to>
          <xdr:col>3</xdr:col>
          <xdr:colOff>276225</xdr:colOff>
          <xdr:row>30</xdr:row>
          <xdr:rowOff>9525</xdr:rowOff>
        </xdr:to>
        <xdr:sp macro="" textlink="">
          <xdr:nvSpPr>
            <xdr:cNvPr id="46166" name="Check Box 86" hidden="1">
              <a:extLst>
                <a:ext uri="{63B3BB69-23CF-44E3-9099-C40C66FF867C}">
                  <a14:compatExt spid="_x0000_s46166"/>
                </a:ext>
                <a:ext uri="{FF2B5EF4-FFF2-40B4-BE49-F238E27FC236}">
                  <a16:creationId xmlns:a16="http://schemas.microsoft.com/office/drawing/2014/main" id="{00000000-0008-0000-0600-00005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9525</xdr:rowOff>
        </xdr:from>
        <xdr:to>
          <xdr:col>3</xdr:col>
          <xdr:colOff>276225</xdr:colOff>
          <xdr:row>31</xdr:row>
          <xdr:rowOff>0</xdr:rowOff>
        </xdr:to>
        <xdr:sp macro="" textlink="">
          <xdr:nvSpPr>
            <xdr:cNvPr id="46167" name="Check Box 87" hidden="1">
              <a:extLst>
                <a:ext uri="{63B3BB69-23CF-44E3-9099-C40C66FF867C}">
                  <a14:compatExt spid="_x0000_s46167"/>
                </a:ext>
                <a:ext uri="{FF2B5EF4-FFF2-40B4-BE49-F238E27FC236}">
                  <a16:creationId xmlns:a16="http://schemas.microsoft.com/office/drawing/2014/main" id="{00000000-0008-0000-0600-00005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207</xdr:row>
          <xdr:rowOff>28575</xdr:rowOff>
        </xdr:from>
        <xdr:to>
          <xdr:col>8</xdr:col>
          <xdr:colOff>114300</xdr:colOff>
          <xdr:row>208</xdr:row>
          <xdr:rowOff>19050</xdr:rowOff>
        </xdr:to>
        <xdr:sp macro="" textlink="">
          <xdr:nvSpPr>
            <xdr:cNvPr id="46168" name="Check Box 88" hidden="1">
              <a:extLst>
                <a:ext uri="{63B3BB69-23CF-44E3-9099-C40C66FF867C}">
                  <a14:compatExt spid="_x0000_s46168"/>
                </a:ext>
                <a:ext uri="{FF2B5EF4-FFF2-40B4-BE49-F238E27FC236}">
                  <a16:creationId xmlns:a16="http://schemas.microsoft.com/office/drawing/2014/main" id="{00000000-0008-0000-0600-00005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208</xdr:row>
          <xdr:rowOff>28575</xdr:rowOff>
        </xdr:from>
        <xdr:to>
          <xdr:col>8</xdr:col>
          <xdr:colOff>114300</xdr:colOff>
          <xdr:row>209</xdr:row>
          <xdr:rowOff>19050</xdr:rowOff>
        </xdr:to>
        <xdr:sp macro="" textlink="">
          <xdr:nvSpPr>
            <xdr:cNvPr id="46169" name="Check Box 89" hidden="1">
              <a:extLst>
                <a:ext uri="{63B3BB69-23CF-44E3-9099-C40C66FF867C}">
                  <a14:compatExt spid="_x0000_s46169"/>
                </a:ext>
                <a:ext uri="{FF2B5EF4-FFF2-40B4-BE49-F238E27FC236}">
                  <a16:creationId xmlns:a16="http://schemas.microsoft.com/office/drawing/2014/main" id="{00000000-0008-0000-0600-00005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209</xdr:row>
          <xdr:rowOff>28575</xdr:rowOff>
        </xdr:from>
        <xdr:to>
          <xdr:col>8</xdr:col>
          <xdr:colOff>114300</xdr:colOff>
          <xdr:row>210</xdr:row>
          <xdr:rowOff>19050</xdr:rowOff>
        </xdr:to>
        <xdr:sp macro="" textlink="">
          <xdr:nvSpPr>
            <xdr:cNvPr id="46170" name="Check Box 90" hidden="1">
              <a:extLst>
                <a:ext uri="{63B3BB69-23CF-44E3-9099-C40C66FF867C}">
                  <a14:compatExt spid="_x0000_s46170"/>
                </a:ext>
                <a:ext uri="{FF2B5EF4-FFF2-40B4-BE49-F238E27FC236}">
                  <a16:creationId xmlns:a16="http://schemas.microsoft.com/office/drawing/2014/main" id="{00000000-0008-0000-0600-00005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210</xdr:row>
          <xdr:rowOff>28575</xdr:rowOff>
        </xdr:from>
        <xdr:to>
          <xdr:col>8</xdr:col>
          <xdr:colOff>114300</xdr:colOff>
          <xdr:row>211</xdr:row>
          <xdr:rowOff>19050</xdr:rowOff>
        </xdr:to>
        <xdr:sp macro="" textlink="">
          <xdr:nvSpPr>
            <xdr:cNvPr id="46171" name="Check Box 91" hidden="1">
              <a:extLst>
                <a:ext uri="{63B3BB69-23CF-44E3-9099-C40C66FF867C}">
                  <a14:compatExt spid="_x0000_s46171"/>
                </a:ext>
                <a:ext uri="{FF2B5EF4-FFF2-40B4-BE49-F238E27FC236}">
                  <a16:creationId xmlns:a16="http://schemas.microsoft.com/office/drawing/2014/main" id="{00000000-0008-0000-0600-00005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211</xdr:row>
          <xdr:rowOff>28575</xdr:rowOff>
        </xdr:from>
        <xdr:to>
          <xdr:col>8</xdr:col>
          <xdr:colOff>114300</xdr:colOff>
          <xdr:row>212</xdr:row>
          <xdr:rowOff>19050</xdr:rowOff>
        </xdr:to>
        <xdr:sp macro="" textlink="">
          <xdr:nvSpPr>
            <xdr:cNvPr id="46172" name="Check Box 92" hidden="1">
              <a:extLst>
                <a:ext uri="{63B3BB69-23CF-44E3-9099-C40C66FF867C}">
                  <a14:compatExt spid="_x0000_s46172"/>
                </a:ext>
                <a:ext uri="{FF2B5EF4-FFF2-40B4-BE49-F238E27FC236}">
                  <a16:creationId xmlns:a16="http://schemas.microsoft.com/office/drawing/2014/main" id="{00000000-0008-0000-0600-00005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214</xdr:row>
          <xdr:rowOff>38100</xdr:rowOff>
        </xdr:from>
        <xdr:to>
          <xdr:col>7</xdr:col>
          <xdr:colOff>19050</xdr:colOff>
          <xdr:row>215</xdr:row>
          <xdr:rowOff>28575</xdr:rowOff>
        </xdr:to>
        <xdr:sp macro="" textlink="">
          <xdr:nvSpPr>
            <xdr:cNvPr id="46173" name="Check Box 93" hidden="1">
              <a:extLst>
                <a:ext uri="{63B3BB69-23CF-44E3-9099-C40C66FF867C}">
                  <a14:compatExt spid="_x0000_s46173"/>
                </a:ext>
                <a:ext uri="{FF2B5EF4-FFF2-40B4-BE49-F238E27FC236}">
                  <a16:creationId xmlns:a16="http://schemas.microsoft.com/office/drawing/2014/main" id="{00000000-0008-0000-0600-00005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215</xdr:row>
          <xdr:rowOff>38100</xdr:rowOff>
        </xdr:from>
        <xdr:to>
          <xdr:col>7</xdr:col>
          <xdr:colOff>19050</xdr:colOff>
          <xdr:row>216</xdr:row>
          <xdr:rowOff>28575</xdr:rowOff>
        </xdr:to>
        <xdr:sp macro="" textlink="">
          <xdr:nvSpPr>
            <xdr:cNvPr id="46174" name="Check Box 94" hidden="1">
              <a:extLst>
                <a:ext uri="{63B3BB69-23CF-44E3-9099-C40C66FF867C}">
                  <a14:compatExt spid="_x0000_s46174"/>
                </a:ext>
                <a:ext uri="{FF2B5EF4-FFF2-40B4-BE49-F238E27FC236}">
                  <a16:creationId xmlns:a16="http://schemas.microsoft.com/office/drawing/2014/main" id="{00000000-0008-0000-0600-00005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216</xdr:row>
          <xdr:rowOff>38100</xdr:rowOff>
        </xdr:from>
        <xdr:to>
          <xdr:col>7</xdr:col>
          <xdr:colOff>19050</xdr:colOff>
          <xdr:row>217</xdr:row>
          <xdr:rowOff>28575</xdr:rowOff>
        </xdr:to>
        <xdr:sp macro="" textlink="">
          <xdr:nvSpPr>
            <xdr:cNvPr id="46175" name="Check Box 95" hidden="1">
              <a:extLst>
                <a:ext uri="{63B3BB69-23CF-44E3-9099-C40C66FF867C}">
                  <a14:compatExt spid="_x0000_s46175"/>
                </a:ext>
                <a:ext uri="{FF2B5EF4-FFF2-40B4-BE49-F238E27FC236}">
                  <a16:creationId xmlns:a16="http://schemas.microsoft.com/office/drawing/2014/main" id="{00000000-0008-0000-0600-00005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217</xdr:row>
          <xdr:rowOff>28575</xdr:rowOff>
        </xdr:from>
        <xdr:to>
          <xdr:col>7</xdr:col>
          <xdr:colOff>19050</xdr:colOff>
          <xdr:row>218</xdr:row>
          <xdr:rowOff>19050</xdr:rowOff>
        </xdr:to>
        <xdr:sp macro="" textlink="">
          <xdr:nvSpPr>
            <xdr:cNvPr id="46176" name="Check Box 96" hidden="1">
              <a:extLst>
                <a:ext uri="{63B3BB69-23CF-44E3-9099-C40C66FF867C}">
                  <a14:compatExt spid="_x0000_s46176"/>
                </a:ext>
                <a:ext uri="{FF2B5EF4-FFF2-40B4-BE49-F238E27FC236}">
                  <a16:creationId xmlns:a16="http://schemas.microsoft.com/office/drawing/2014/main" id="{00000000-0008-0000-0600-00006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218</xdr:row>
          <xdr:rowOff>19050</xdr:rowOff>
        </xdr:from>
        <xdr:to>
          <xdr:col>7</xdr:col>
          <xdr:colOff>19050</xdr:colOff>
          <xdr:row>219</xdr:row>
          <xdr:rowOff>9525</xdr:rowOff>
        </xdr:to>
        <xdr:sp macro="" textlink="">
          <xdr:nvSpPr>
            <xdr:cNvPr id="46177" name="Check Box 97" hidden="1">
              <a:extLst>
                <a:ext uri="{63B3BB69-23CF-44E3-9099-C40C66FF867C}">
                  <a14:compatExt spid="_x0000_s46177"/>
                </a:ext>
                <a:ext uri="{FF2B5EF4-FFF2-40B4-BE49-F238E27FC236}">
                  <a16:creationId xmlns:a16="http://schemas.microsoft.com/office/drawing/2014/main" id="{00000000-0008-0000-0600-00006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1076325</xdr:colOff>
          <xdr:row>246</xdr:row>
          <xdr:rowOff>0</xdr:rowOff>
        </xdr:from>
        <xdr:to>
          <xdr:col>15</xdr:col>
          <xdr:colOff>0</xdr:colOff>
          <xdr:row>247</xdr:row>
          <xdr:rowOff>0</xdr:rowOff>
        </xdr:to>
        <xdr:grpSp>
          <xdr:nvGrpSpPr>
            <xdr:cNvPr id="89734" name="Group 98">
              <a:extLst>
                <a:ext uri="{FF2B5EF4-FFF2-40B4-BE49-F238E27FC236}">
                  <a16:creationId xmlns:a16="http://schemas.microsoft.com/office/drawing/2014/main" id="{00000000-0008-0000-0600-0000865E0100}"/>
                </a:ext>
              </a:extLst>
            </xdr:cNvPr>
            <xdr:cNvGrpSpPr>
              <a:grpSpLocks/>
            </xdr:cNvGrpSpPr>
          </xdr:nvGrpSpPr>
          <xdr:grpSpPr bwMode="auto">
            <a:xfrm>
              <a:off x="1131888" y="53443188"/>
              <a:ext cx="4273550" cy="246062"/>
              <a:chOff x="119" y="4735"/>
              <a:chExt cx="436" cy="26"/>
            </a:xfrm>
          </xdr:grpSpPr>
          <xdr:sp macro="" textlink="">
            <xdr:nvSpPr>
              <xdr:cNvPr id="46179" name="Group Box 99" hidden="1">
                <a:extLst>
                  <a:ext uri="{63B3BB69-23CF-44E3-9099-C40C66FF867C}">
                    <a14:compatExt spid="_x0000_s46179"/>
                  </a:ext>
                  <a:ext uri="{FF2B5EF4-FFF2-40B4-BE49-F238E27FC236}">
                    <a16:creationId xmlns:a16="http://schemas.microsoft.com/office/drawing/2014/main" id="{00000000-0008-0000-0600-000063B40000}"/>
                  </a:ext>
                </a:extLst>
              </xdr:cNvPr>
              <xdr:cNvSpPr/>
            </xdr:nvSpPr>
            <xdr:spPr bwMode="auto">
              <a:xfrm>
                <a:off x="119" y="4735"/>
                <a:ext cx="436" cy="26"/>
              </a:xfrm>
              <a:prstGeom prst="rect">
                <a:avLst/>
              </a:prstGeom>
              <a:noFill/>
              <a:ln w="9525">
                <a:miter lim="800000"/>
                <a:headEnd/>
                <a:tailEnd/>
              </a:ln>
              <a:extLst>
                <a:ext uri="{909E8E84-426E-40DD-AFC4-6F175D3DCCD1}">
                  <a14:hiddenFill>
                    <a:noFill/>
                  </a14:hiddenFill>
                </a:ext>
              </a:extLst>
            </xdr:spPr>
          </xdr:sp>
          <xdr:sp macro="" textlink="">
            <xdr:nvSpPr>
              <xdr:cNvPr id="46180" name="Option Button 100" hidden="1">
                <a:extLst>
                  <a:ext uri="{63B3BB69-23CF-44E3-9099-C40C66FF867C}">
                    <a14:compatExt spid="_x0000_s46180"/>
                  </a:ext>
                  <a:ext uri="{FF2B5EF4-FFF2-40B4-BE49-F238E27FC236}">
                    <a16:creationId xmlns:a16="http://schemas.microsoft.com/office/drawing/2014/main" id="{00000000-0008-0000-0600-000064B40000}"/>
                  </a:ext>
                </a:extLst>
              </xdr:cNvPr>
              <xdr:cNvSpPr/>
            </xdr:nvSpPr>
            <xdr:spPr bwMode="auto">
              <a:xfrm>
                <a:off x="120" y="4736"/>
                <a:ext cx="41"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181" name="Option Button 101" hidden="1">
                <a:extLst>
                  <a:ext uri="{63B3BB69-23CF-44E3-9099-C40C66FF867C}">
                    <a14:compatExt spid="_x0000_s46181"/>
                  </a:ext>
                  <a:ext uri="{FF2B5EF4-FFF2-40B4-BE49-F238E27FC236}">
                    <a16:creationId xmlns:a16="http://schemas.microsoft.com/office/drawing/2014/main" id="{00000000-0008-0000-0600-000065B40000}"/>
                  </a:ext>
                </a:extLst>
              </xdr:cNvPr>
              <xdr:cNvSpPr/>
            </xdr:nvSpPr>
            <xdr:spPr bwMode="auto">
              <a:xfrm>
                <a:off x="175" y="4737"/>
                <a:ext cx="18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6182" name="Option Button 102" hidden="1">
                <a:extLst>
                  <a:ext uri="{63B3BB69-23CF-44E3-9099-C40C66FF867C}">
                    <a14:compatExt spid="_x0000_s46182"/>
                  </a:ext>
                  <a:ext uri="{FF2B5EF4-FFF2-40B4-BE49-F238E27FC236}">
                    <a16:creationId xmlns:a16="http://schemas.microsoft.com/office/drawing/2014/main" id="{00000000-0008-0000-0600-000066B40000}"/>
                  </a:ext>
                </a:extLst>
              </xdr:cNvPr>
              <xdr:cNvSpPr/>
            </xdr:nvSpPr>
            <xdr:spPr bwMode="auto">
              <a:xfrm>
                <a:off x="369" y="4737"/>
                <a:ext cx="17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247</xdr:row>
          <xdr:rowOff>19050</xdr:rowOff>
        </xdr:from>
        <xdr:to>
          <xdr:col>1</xdr:col>
          <xdr:colOff>390525</xdr:colOff>
          <xdr:row>248</xdr:row>
          <xdr:rowOff>9525</xdr:rowOff>
        </xdr:to>
        <xdr:sp macro="" textlink="">
          <xdr:nvSpPr>
            <xdr:cNvPr id="46183" name="Check Box 103" hidden="1">
              <a:extLst>
                <a:ext uri="{63B3BB69-23CF-44E3-9099-C40C66FF867C}">
                  <a14:compatExt spid="_x0000_s46183"/>
                </a:ext>
                <a:ext uri="{FF2B5EF4-FFF2-40B4-BE49-F238E27FC236}">
                  <a16:creationId xmlns:a16="http://schemas.microsoft.com/office/drawing/2014/main" id="{00000000-0008-0000-0600-000067B40000}"/>
                </a:ext>
              </a:extLst>
            </xdr:cNvPr>
            <xdr:cNvSpPr/>
          </xdr:nvSpPr>
          <xdr:spPr bwMode="auto">
            <a:xfrm>
              <a:off x="0" y="0"/>
              <a:ext cx="0" cy="0"/>
            </a:xfrm>
            <a:prstGeom prst="rect">
              <a:avLst/>
            </a:prstGeom>
            <a:noFill/>
            <a:ln w="9525">
              <a:solidFill>
                <a:srgbClr val="CCFFCC" mc:Ignorable="a14" a14:legacySpreadsheetColorIndex="42"/>
              </a:solidFill>
              <a:miter lim="800000"/>
              <a:headEnd/>
              <a:tailEnd/>
            </a:ln>
            <a:extLst>
              <a:ext uri="{909E8E84-426E-40DD-AFC4-6F175D3DCCD1}">
                <a14:hiddenFill>
                  <a:solidFill>
                    <a:srgbClr val="CCFFCC" mc:Ignorable="a14" a14:legacySpreadsheetColorIndex="42"/>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249</xdr:row>
          <xdr:rowOff>19050</xdr:rowOff>
        </xdr:from>
        <xdr:to>
          <xdr:col>6</xdr:col>
          <xdr:colOff>190500</xdr:colOff>
          <xdr:row>250</xdr:row>
          <xdr:rowOff>9525</xdr:rowOff>
        </xdr:to>
        <xdr:sp macro="" textlink="">
          <xdr:nvSpPr>
            <xdr:cNvPr id="46184" name="Check Box 104" hidden="1">
              <a:extLst>
                <a:ext uri="{63B3BB69-23CF-44E3-9099-C40C66FF867C}">
                  <a14:compatExt spid="_x0000_s46184"/>
                </a:ext>
                <a:ext uri="{FF2B5EF4-FFF2-40B4-BE49-F238E27FC236}">
                  <a16:creationId xmlns:a16="http://schemas.microsoft.com/office/drawing/2014/main" id="{00000000-0008-0000-0600-00006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253</xdr:row>
          <xdr:rowOff>0</xdr:rowOff>
        </xdr:from>
        <xdr:to>
          <xdr:col>15</xdr:col>
          <xdr:colOff>0</xdr:colOff>
          <xdr:row>254</xdr:row>
          <xdr:rowOff>0</xdr:rowOff>
        </xdr:to>
        <xdr:grpSp>
          <xdr:nvGrpSpPr>
            <xdr:cNvPr id="89735" name="Group 105">
              <a:extLst>
                <a:ext uri="{FF2B5EF4-FFF2-40B4-BE49-F238E27FC236}">
                  <a16:creationId xmlns:a16="http://schemas.microsoft.com/office/drawing/2014/main" id="{00000000-0008-0000-0600-0000875E0100}"/>
                </a:ext>
              </a:extLst>
            </xdr:cNvPr>
            <xdr:cNvGrpSpPr>
              <a:grpSpLocks/>
            </xdr:cNvGrpSpPr>
          </xdr:nvGrpSpPr>
          <xdr:grpSpPr bwMode="auto">
            <a:xfrm>
              <a:off x="4230688" y="54951313"/>
              <a:ext cx="1174750" cy="269875"/>
              <a:chOff x="431" y="4893"/>
              <a:chExt cx="124" cy="28"/>
            </a:xfrm>
          </xdr:grpSpPr>
          <xdr:sp macro="" textlink="">
            <xdr:nvSpPr>
              <xdr:cNvPr id="46186" name="Group Box 106" hidden="1">
                <a:extLst>
                  <a:ext uri="{63B3BB69-23CF-44E3-9099-C40C66FF867C}">
                    <a14:compatExt spid="_x0000_s46186"/>
                  </a:ext>
                  <a:ext uri="{FF2B5EF4-FFF2-40B4-BE49-F238E27FC236}">
                    <a16:creationId xmlns:a16="http://schemas.microsoft.com/office/drawing/2014/main" id="{00000000-0008-0000-0600-00006AB40000}"/>
                  </a:ext>
                </a:extLst>
              </xdr:cNvPr>
              <xdr:cNvSpPr/>
            </xdr:nvSpPr>
            <xdr:spPr bwMode="auto">
              <a:xfrm>
                <a:off x="431" y="4893"/>
                <a:ext cx="124" cy="28"/>
              </a:xfrm>
              <a:prstGeom prst="rect">
                <a:avLst/>
              </a:prstGeom>
              <a:noFill/>
              <a:ln w="9525">
                <a:miter lim="800000"/>
                <a:headEnd/>
                <a:tailEnd/>
              </a:ln>
              <a:extLst>
                <a:ext uri="{909E8E84-426E-40DD-AFC4-6F175D3DCCD1}">
                  <a14:hiddenFill>
                    <a:noFill/>
                  </a14:hiddenFill>
                </a:ext>
              </a:extLst>
            </xdr:spPr>
          </xdr:sp>
          <xdr:sp macro="" textlink="">
            <xdr:nvSpPr>
              <xdr:cNvPr id="46187" name="Option Button 107" hidden="1">
                <a:extLst>
                  <a:ext uri="{63B3BB69-23CF-44E3-9099-C40C66FF867C}">
                    <a14:compatExt spid="_x0000_s46187"/>
                  </a:ext>
                  <a:ext uri="{FF2B5EF4-FFF2-40B4-BE49-F238E27FC236}">
                    <a16:creationId xmlns:a16="http://schemas.microsoft.com/office/drawing/2014/main" id="{00000000-0008-0000-0600-00006BB40000}"/>
                  </a:ext>
                </a:extLst>
              </xdr:cNvPr>
              <xdr:cNvSpPr/>
            </xdr:nvSpPr>
            <xdr:spPr bwMode="auto">
              <a:xfrm>
                <a:off x="439" y="4895"/>
                <a:ext cx="54"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188" name="Option Button 108" hidden="1">
                <a:extLst>
                  <a:ext uri="{63B3BB69-23CF-44E3-9099-C40C66FF867C}">
                    <a14:compatExt spid="_x0000_s46188"/>
                  </a:ext>
                  <a:ext uri="{FF2B5EF4-FFF2-40B4-BE49-F238E27FC236}">
                    <a16:creationId xmlns:a16="http://schemas.microsoft.com/office/drawing/2014/main" id="{00000000-0008-0000-0600-00006CB40000}"/>
                  </a:ext>
                </a:extLst>
              </xdr:cNvPr>
              <xdr:cNvSpPr/>
            </xdr:nvSpPr>
            <xdr:spPr bwMode="auto">
              <a:xfrm>
                <a:off x="496" y="4895"/>
                <a:ext cx="42"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256</xdr:row>
          <xdr:rowOff>28575</xdr:rowOff>
        </xdr:from>
        <xdr:to>
          <xdr:col>5</xdr:col>
          <xdr:colOff>219075</xdr:colOff>
          <xdr:row>257</xdr:row>
          <xdr:rowOff>19050</xdr:rowOff>
        </xdr:to>
        <xdr:sp macro="" textlink="">
          <xdr:nvSpPr>
            <xdr:cNvPr id="46189" name="Check Box 109" hidden="1">
              <a:extLst>
                <a:ext uri="{63B3BB69-23CF-44E3-9099-C40C66FF867C}">
                  <a14:compatExt spid="_x0000_s46189"/>
                </a:ext>
                <a:ext uri="{FF2B5EF4-FFF2-40B4-BE49-F238E27FC236}">
                  <a16:creationId xmlns:a16="http://schemas.microsoft.com/office/drawing/2014/main" id="{00000000-0008-0000-0600-00006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257</xdr:row>
          <xdr:rowOff>38100</xdr:rowOff>
        </xdr:from>
        <xdr:to>
          <xdr:col>5</xdr:col>
          <xdr:colOff>219075</xdr:colOff>
          <xdr:row>258</xdr:row>
          <xdr:rowOff>28575</xdr:rowOff>
        </xdr:to>
        <xdr:sp macro="" textlink="">
          <xdr:nvSpPr>
            <xdr:cNvPr id="46190" name="Check Box 110" hidden="1">
              <a:extLst>
                <a:ext uri="{63B3BB69-23CF-44E3-9099-C40C66FF867C}">
                  <a14:compatExt spid="_x0000_s46190"/>
                </a:ext>
                <a:ext uri="{FF2B5EF4-FFF2-40B4-BE49-F238E27FC236}">
                  <a16:creationId xmlns:a16="http://schemas.microsoft.com/office/drawing/2014/main" id="{00000000-0008-0000-0600-00006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258</xdr:row>
          <xdr:rowOff>38100</xdr:rowOff>
        </xdr:from>
        <xdr:to>
          <xdr:col>5</xdr:col>
          <xdr:colOff>219075</xdr:colOff>
          <xdr:row>259</xdr:row>
          <xdr:rowOff>28575</xdr:rowOff>
        </xdr:to>
        <xdr:sp macro="" textlink="">
          <xdr:nvSpPr>
            <xdr:cNvPr id="46191" name="Check Box 111" hidden="1">
              <a:extLst>
                <a:ext uri="{63B3BB69-23CF-44E3-9099-C40C66FF867C}">
                  <a14:compatExt spid="_x0000_s46191"/>
                </a:ext>
                <a:ext uri="{FF2B5EF4-FFF2-40B4-BE49-F238E27FC236}">
                  <a16:creationId xmlns:a16="http://schemas.microsoft.com/office/drawing/2014/main" id="{00000000-0008-0000-0600-00006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259</xdr:row>
          <xdr:rowOff>38100</xdr:rowOff>
        </xdr:from>
        <xdr:to>
          <xdr:col>5</xdr:col>
          <xdr:colOff>219075</xdr:colOff>
          <xdr:row>260</xdr:row>
          <xdr:rowOff>28575</xdr:rowOff>
        </xdr:to>
        <xdr:sp macro="" textlink="">
          <xdr:nvSpPr>
            <xdr:cNvPr id="46192" name="Check Box 112" hidden="1">
              <a:extLst>
                <a:ext uri="{63B3BB69-23CF-44E3-9099-C40C66FF867C}">
                  <a14:compatExt spid="_x0000_s46192"/>
                </a:ext>
                <a:ext uri="{FF2B5EF4-FFF2-40B4-BE49-F238E27FC236}">
                  <a16:creationId xmlns:a16="http://schemas.microsoft.com/office/drawing/2014/main" id="{00000000-0008-0000-0600-00007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260</xdr:row>
          <xdr:rowOff>38100</xdr:rowOff>
        </xdr:from>
        <xdr:to>
          <xdr:col>5</xdr:col>
          <xdr:colOff>219075</xdr:colOff>
          <xdr:row>261</xdr:row>
          <xdr:rowOff>28575</xdr:rowOff>
        </xdr:to>
        <xdr:sp macro="" textlink="">
          <xdr:nvSpPr>
            <xdr:cNvPr id="46193" name="Check Box 113" hidden="1">
              <a:extLst>
                <a:ext uri="{63B3BB69-23CF-44E3-9099-C40C66FF867C}">
                  <a14:compatExt spid="_x0000_s46193"/>
                </a:ext>
                <a:ext uri="{FF2B5EF4-FFF2-40B4-BE49-F238E27FC236}">
                  <a16:creationId xmlns:a16="http://schemas.microsoft.com/office/drawing/2014/main" id="{00000000-0008-0000-0600-00007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261</xdr:row>
          <xdr:rowOff>38100</xdr:rowOff>
        </xdr:from>
        <xdr:to>
          <xdr:col>5</xdr:col>
          <xdr:colOff>219075</xdr:colOff>
          <xdr:row>262</xdr:row>
          <xdr:rowOff>28575</xdr:rowOff>
        </xdr:to>
        <xdr:sp macro="" textlink="">
          <xdr:nvSpPr>
            <xdr:cNvPr id="46194" name="Check Box 114" hidden="1">
              <a:extLst>
                <a:ext uri="{63B3BB69-23CF-44E3-9099-C40C66FF867C}">
                  <a14:compatExt spid="_x0000_s46194"/>
                </a:ext>
                <a:ext uri="{FF2B5EF4-FFF2-40B4-BE49-F238E27FC236}">
                  <a16:creationId xmlns:a16="http://schemas.microsoft.com/office/drawing/2014/main" id="{00000000-0008-0000-0600-00007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262</xdr:row>
          <xdr:rowOff>19050</xdr:rowOff>
        </xdr:from>
        <xdr:to>
          <xdr:col>5</xdr:col>
          <xdr:colOff>219075</xdr:colOff>
          <xdr:row>263</xdr:row>
          <xdr:rowOff>9525</xdr:rowOff>
        </xdr:to>
        <xdr:sp macro="" textlink="">
          <xdr:nvSpPr>
            <xdr:cNvPr id="46195" name="Check Box 115" hidden="1">
              <a:extLst>
                <a:ext uri="{63B3BB69-23CF-44E3-9099-C40C66FF867C}">
                  <a14:compatExt spid="_x0000_s46195"/>
                </a:ext>
                <a:ext uri="{FF2B5EF4-FFF2-40B4-BE49-F238E27FC236}">
                  <a16:creationId xmlns:a16="http://schemas.microsoft.com/office/drawing/2014/main" id="{00000000-0008-0000-0600-00007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266</xdr:row>
          <xdr:rowOff>9525</xdr:rowOff>
        </xdr:from>
        <xdr:to>
          <xdr:col>14</xdr:col>
          <xdr:colOff>628650</xdr:colOff>
          <xdr:row>267</xdr:row>
          <xdr:rowOff>0</xdr:rowOff>
        </xdr:to>
        <xdr:grpSp>
          <xdr:nvGrpSpPr>
            <xdr:cNvPr id="89736" name="Group 120">
              <a:extLst>
                <a:ext uri="{FF2B5EF4-FFF2-40B4-BE49-F238E27FC236}">
                  <a16:creationId xmlns:a16="http://schemas.microsoft.com/office/drawing/2014/main" id="{00000000-0008-0000-0600-0000885E0100}"/>
                </a:ext>
              </a:extLst>
            </xdr:cNvPr>
            <xdr:cNvGrpSpPr>
              <a:grpSpLocks/>
            </xdr:cNvGrpSpPr>
          </xdr:nvGrpSpPr>
          <xdr:grpSpPr bwMode="auto">
            <a:xfrm>
              <a:off x="4240213" y="58088213"/>
              <a:ext cx="1168400" cy="220662"/>
              <a:chOff x="442" y="5994"/>
              <a:chExt cx="127" cy="23"/>
            </a:xfrm>
          </xdr:grpSpPr>
          <xdr:sp macro="" textlink="">
            <xdr:nvSpPr>
              <xdr:cNvPr id="46201" name="Group Box 121" hidden="1">
                <a:extLst>
                  <a:ext uri="{63B3BB69-23CF-44E3-9099-C40C66FF867C}">
                    <a14:compatExt spid="_x0000_s46201"/>
                  </a:ext>
                  <a:ext uri="{FF2B5EF4-FFF2-40B4-BE49-F238E27FC236}">
                    <a16:creationId xmlns:a16="http://schemas.microsoft.com/office/drawing/2014/main" id="{00000000-0008-0000-0600-000079B40000}"/>
                  </a:ext>
                </a:extLst>
              </xdr:cNvPr>
              <xdr:cNvSpPr/>
            </xdr:nvSpPr>
            <xdr:spPr bwMode="auto">
              <a:xfrm>
                <a:off x="442" y="5994"/>
                <a:ext cx="127" cy="23"/>
              </a:xfrm>
              <a:prstGeom prst="rect">
                <a:avLst/>
              </a:prstGeom>
              <a:noFill/>
              <a:ln w="9525">
                <a:miter lim="800000"/>
                <a:headEnd/>
                <a:tailEnd/>
              </a:ln>
              <a:extLst>
                <a:ext uri="{909E8E84-426E-40DD-AFC4-6F175D3DCCD1}">
                  <a14:hiddenFill>
                    <a:noFill/>
                  </a14:hiddenFill>
                </a:ext>
              </a:extLst>
            </xdr:spPr>
          </xdr:sp>
          <xdr:sp macro="" textlink="">
            <xdr:nvSpPr>
              <xdr:cNvPr id="46202" name="Option Button 122" hidden="1">
                <a:extLst>
                  <a:ext uri="{63B3BB69-23CF-44E3-9099-C40C66FF867C}">
                    <a14:compatExt spid="_x0000_s46202"/>
                  </a:ext>
                  <a:ext uri="{FF2B5EF4-FFF2-40B4-BE49-F238E27FC236}">
                    <a16:creationId xmlns:a16="http://schemas.microsoft.com/office/drawing/2014/main" id="{00000000-0008-0000-0600-00007AB40000}"/>
                  </a:ext>
                </a:extLst>
              </xdr:cNvPr>
              <xdr:cNvSpPr/>
            </xdr:nvSpPr>
            <xdr:spPr bwMode="auto">
              <a:xfrm>
                <a:off x="448" y="599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03" name="Option Button 123" hidden="1">
                <a:extLst>
                  <a:ext uri="{63B3BB69-23CF-44E3-9099-C40C66FF867C}">
                    <a14:compatExt spid="_x0000_s46203"/>
                  </a:ext>
                  <a:ext uri="{FF2B5EF4-FFF2-40B4-BE49-F238E27FC236}">
                    <a16:creationId xmlns:a16="http://schemas.microsoft.com/office/drawing/2014/main" id="{00000000-0008-0000-0600-00007BB40000}"/>
                  </a:ext>
                </a:extLst>
              </xdr:cNvPr>
              <xdr:cNvSpPr/>
            </xdr:nvSpPr>
            <xdr:spPr bwMode="auto">
              <a:xfrm>
                <a:off x="507" y="599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962025</xdr:colOff>
          <xdr:row>403</xdr:row>
          <xdr:rowOff>9525</xdr:rowOff>
        </xdr:from>
        <xdr:to>
          <xdr:col>15</xdr:col>
          <xdr:colOff>0</xdr:colOff>
          <xdr:row>404</xdr:row>
          <xdr:rowOff>0</xdr:rowOff>
        </xdr:to>
        <xdr:grpSp>
          <xdr:nvGrpSpPr>
            <xdr:cNvPr id="89737" name="Group 124">
              <a:extLst>
                <a:ext uri="{FF2B5EF4-FFF2-40B4-BE49-F238E27FC236}">
                  <a16:creationId xmlns:a16="http://schemas.microsoft.com/office/drawing/2014/main" id="{00000000-0008-0000-0600-0000895E0100}"/>
                </a:ext>
              </a:extLst>
            </xdr:cNvPr>
            <xdr:cNvGrpSpPr>
              <a:grpSpLocks/>
            </xdr:cNvGrpSpPr>
          </xdr:nvGrpSpPr>
          <xdr:grpSpPr bwMode="auto">
            <a:xfrm>
              <a:off x="1017588" y="87679213"/>
              <a:ext cx="4387850" cy="220662"/>
              <a:chOff x="110" y="8601"/>
              <a:chExt cx="448" cy="23"/>
            </a:xfrm>
          </xdr:grpSpPr>
          <xdr:sp macro="" textlink="">
            <xdr:nvSpPr>
              <xdr:cNvPr id="46205" name="Group Box 125" hidden="1">
                <a:extLst>
                  <a:ext uri="{63B3BB69-23CF-44E3-9099-C40C66FF867C}">
                    <a14:compatExt spid="_x0000_s46205"/>
                  </a:ext>
                  <a:ext uri="{FF2B5EF4-FFF2-40B4-BE49-F238E27FC236}">
                    <a16:creationId xmlns:a16="http://schemas.microsoft.com/office/drawing/2014/main" id="{00000000-0008-0000-0600-00007DB40000}"/>
                  </a:ext>
                </a:extLst>
              </xdr:cNvPr>
              <xdr:cNvSpPr/>
            </xdr:nvSpPr>
            <xdr:spPr bwMode="auto">
              <a:xfrm>
                <a:off x="110" y="8601"/>
                <a:ext cx="448" cy="23"/>
              </a:xfrm>
              <a:prstGeom prst="rect">
                <a:avLst/>
              </a:prstGeom>
              <a:noFill/>
              <a:ln w="9525">
                <a:miter lim="800000"/>
                <a:headEnd/>
                <a:tailEnd/>
              </a:ln>
              <a:extLst>
                <a:ext uri="{909E8E84-426E-40DD-AFC4-6F175D3DCCD1}">
                  <a14:hiddenFill>
                    <a:noFill/>
                  </a14:hiddenFill>
                </a:ext>
              </a:extLst>
            </xdr:spPr>
          </xdr:sp>
          <xdr:sp macro="" textlink="">
            <xdr:nvSpPr>
              <xdr:cNvPr id="46206" name="Option Button 126" hidden="1">
                <a:extLst>
                  <a:ext uri="{63B3BB69-23CF-44E3-9099-C40C66FF867C}">
                    <a14:compatExt spid="_x0000_s46206"/>
                  </a:ext>
                  <a:ext uri="{FF2B5EF4-FFF2-40B4-BE49-F238E27FC236}">
                    <a16:creationId xmlns:a16="http://schemas.microsoft.com/office/drawing/2014/main" id="{00000000-0008-0000-0600-00007EB40000}"/>
                  </a:ext>
                </a:extLst>
              </xdr:cNvPr>
              <xdr:cNvSpPr/>
            </xdr:nvSpPr>
            <xdr:spPr bwMode="auto">
              <a:xfrm>
                <a:off x="113" y="8603"/>
                <a:ext cx="75"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207" name="Option Button 127" hidden="1">
                <a:extLst>
                  <a:ext uri="{63B3BB69-23CF-44E3-9099-C40C66FF867C}">
                    <a14:compatExt spid="_x0000_s46207"/>
                  </a:ext>
                  <a:ext uri="{FF2B5EF4-FFF2-40B4-BE49-F238E27FC236}">
                    <a16:creationId xmlns:a16="http://schemas.microsoft.com/office/drawing/2014/main" id="{00000000-0008-0000-0600-00007FB40000}"/>
                  </a:ext>
                </a:extLst>
              </xdr:cNvPr>
              <xdr:cNvSpPr/>
            </xdr:nvSpPr>
            <xdr:spPr bwMode="auto">
              <a:xfrm>
                <a:off x="186" y="8603"/>
                <a:ext cx="192"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6208" name="Option Button 128" hidden="1">
                <a:extLst>
                  <a:ext uri="{63B3BB69-23CF-44E3-9099-C40C66FF867C}">
                    <a14:compatExt spid="_x0000_s46208"/>
                  </a:ext>
                  <a:ext uri="{FF2B5EF4-FFF2-40B4-BE49-F238E27FC236}">
                    <a16:creationId xmlns:a16="http://schemas.microsoft.com/office/drawing/2014/main" id="{00000000-0008-0000-0600-000080B40000}"/>
                  </a:ext>
                </a:extLst>
              </xdr:cNvPr>
              <xdr:cNvSpPr/>
            </xdr:nvSpPr>
            <xdr:spPr bwMode="auto">
              <a:xfrm>
                <a:off x="376" y="8603"/>
                <a:ext cx="180"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142875</xdr:colOff>
          <xdr:row>413</xdr:row>
          <xdr:rowOff>95250</xdr:rowOff>
        </xdr:from>
        <xdr:to>
          <xdr:col>3</xdr:col>
          <xdr:colOff>371475</xdr:colOff>
          <xdr:row>414</xdr:row>
          <xdr:rowOff>85725</xdr:rowOff>
        </xdr:to>
        <xdr:sp macro="" textlink="">
          <xdr:nvSpPr>
            <xdr:cNvPr id="46210" name="Option Button 130" hidden="1">
              <a:extLst>
                <a:ext uri="{63B3BB69-23CF-44E3-9099-C40C66FF867C}">
                  <a14:compatExt spid="_x0000_s46210"/>
                </a:ext>
                <a:ext uri="{FF2B5EF4-FFF2-40B4-BE49-F238E27FC236}">
                  <a16:creationId xmlns:a16="http://schemas.microsoft.com/office/drawing/2014/main" id="{00000000-0008-0000-0600-00008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412</xdr:row>
          <xdr:rowOff>9525</xdr:rowOff>
        </xdr:from>
        <xdr:to>
          <xdr:col>11</xdr:col>
          <xdr:colOff>161925</xdr:colOff>
          <xdr:row>413</xdr:row>
          <xdr:rowOff>0</xdr:rowOff>
        </xdr:to>
        <xdr:sp macro="" textlink="">
          <xdr:nvSpPr>
            <xdr:cNvPr id="46211" name="Option Button 131" hidden="1">
              <a:extLst>
                <a:ext uri="{63B3BB69-23CF-44E3-9099-C40C66FF867C}">
                  <a14:compatExt spid="_x0000_s46211"/>
                </a:ext>
                <a:ext uri="{FF2B5EF4-FFF2-40B4-BE49-F238E27FC236}">
                  <a16:creationId xmlns:a16="http://schemas.microsoft.com/office/drawing/2014/main" id="{00000000-0008-0000-0600-00008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1/4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412</xdr:row>
          <xdr:rowOff>219075</xdr:rowOff>
        </xdr:from>
        <xdr:to>
          <xdr:col>12</xdr:col>
          <xdr:colOff>342900</xdr:colOff>
          <xdr:row>413</xdr:row>
          <xdr:rowOff>209550</xdr:rowOff>
        </xdr:to>
        <xdr:sp macro="" textlink="">
          <xdr:nvSpPr>
            <xdr:cNvPr id="46212" name="Option Button 132" hidden="1">
              <a:extLst>
                <a:ext uri="{63B3BB69-23CF-44E3-9099-C40C66FF867C}">
                  <a14:compatExt spid="_x0000_s46212"/>
                </a:ext>
                <a:ext uri="{FF2B5EF4-FFF2-40B4-BE49-F238E27FC236}">
                  <a16:creationId xmlns:a16="http://schemas.microsoft.com/office/drawing/2014/main" id="{00000000-0008-0000-0600-00008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1/2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413</xdr:row>
          <xdr:rowOff>200025</xdr:rowOff>
        </xdr:from>
        <xdr:to>
          <xdr:col>12</xdr:col>
          <xdr:colOff>342900</xdr:colOff>
          <xdr:row>414</xdr:row>
          <xdr:rowOff>190500</xdr:rowOff>
        </xdr:to>
        <xdr:sp macro="" textlink="">
          <xdr:nvSpPr>
            <xdr:cNvPr id="46213" name="Option Button 133" hidden="1">
              <a:extLst>
                <a:ext uri="{63B3BB69-23CF-44E3-9099-C40C66FF867C}">
                  <a14:compatExt spid="_x0000_s46213"/>
                </a:ext>
                <a:ext uri="{FF2B5EF4-FFF2-40B4-BE49-F238E27FC236}">
                  <a16:creationId xmlns:a16="http://schemas.microsoft.com/office/drawing/2014/main" id="{00000000-0008-0000-0600-00008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3/4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4</xdr:col>
          <xdr:colOff>152400</xdr:colOff>
          <xdr:row>414</xdr:row>
          <xdr:rowOff>180975</xdr:rowOff>
        </xdr:from>
        <xdr:to>
          <xdr:col>12</xdr:col>
          <xdr:colOff>342900</xdr:colOff>
          <xdr:row>415</xdr:row>
          <xdr:rowOff>171450</xdr:rowOff>
        </xdr:to>
        <xdr:sp macro="" textlink="">
          <xdr:nvSpPr>
            <xdr:cNvPr id="46214" name="Option Button 134" hidden="1">
              <a:extLst>
                <a:ext uri="{63B3BB69-23CF-44E3-9099-C40C66FF867C}">
                  <a14:compatExt spid="_x0000_s46214"/>
                </a:ext>
                <a:ext uri="{FF2B5EF4-FFF2-40B4-BE49-F238E27FC236}">
                  <a16:creationId xmlns:a16="http://schemas.microsoft.com/office/drawing/2014/main" id="{00000000-0008-0000-0600-00008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 of patella removed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15</xdr:col>
          <xdr:colOff>0</xdr:colOff>
          <xdr:row>416</xdr:row>
          <xdr:rowOff>0</xdr:rowOff>
        </xdr:to>
        <xdr:sp macro="" textlink="">
          <xdr:nvSpPr>
            <xdr:cNvPr id="46215" name="Group Box 135" hidden="1">
              <a:extLst>
                <a:ext uri="{63B3BB69-23CF-44E3-9099-C40C66FF867C}">
                  <a14:compatExt spid="_x0000_s46215"/>
                </a:ext>
                <a:ext uri="{FF2B5EF4-FFF2-40B4-BE49-F238E27FC236}">
                  <a16:creationId xmlns:a16="http://schemas.microsoft.com/office/drawing/2014/main" id="{00000000-0008-0000-0600-000087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416</xdr:row>
          <xdr:rowOff>19050</xdr:rowOff>
        </xdr:from>
        <xdr:to>
          <xdr:col>3</xdr:col>
          <xdr:colOff>85725</xdr:colOff>
          <xdr:row>417</xdr:row>
          <xdr:rowOff>9525</xdr:rowOff>
        </xdr:to>
        <xdr:sp macro="" textlink="">
          <xdr:nvSpPr>
            <xdr:cNvPr id="46216" name="Check Box 136" hidden="1">
              <a:extLst>
                <a:ext uri="{63B3BB69-23CF-44E3-9099-C40C66FF867C}">
                  <a14:compatExt spid="_x0000_s46216"/>
                </a:ext>
                <a:ext uri="{FF2B5EF4-FFF2-40B4-BE49-F238E27FC236}">
                  <a16:creationId xmlns:a16="http://schemas.microsoft.com/office/drawing/2014/main" id="{00000000-0008-0000-0600-00008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417</xdr:row>
          <xdr:rowOff>19050</xdr:rowOff>
        </xdr:from>
        <xdr:to>
          <xdr:col>3</xdr:col>
          <xdr:colOff>85725</xdr:colOff>
          <xdr:row>418</xdr:row>
          <xdr:rowOff>9525</xdr:rowOff>
        </xdr:to>
        <xdr:sp macro="" textlink="">
          <xdr:nvSpPr>
            <xdr:cNvPr id="46217" name="Check Box 137" hidden="1">
              <a:extLst>
                <a:ext uri="{63B3BB69-23CF-44E3-9099-C40C66FF867C}">
                  <a14:compatExt spid="_x0000_s46217"/>
                </a:ext>
                <a:ext uri="{FF2B5EF4-FFF2-40B4-BE49-F238E27FC236}">
                  <a16:creationId xmlns:a16="http://schemas.microsoft.com/office/drawing/2014/main" id="{00000000-0008-0000-0600-00008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423</xdr:row>
          <xdr:rowOff>19050</xdr:rowOff>
        </xdr:from>
        <xdr:to>
          <xdr:col>1</xdr:col>
          <xdr:colOff>1428750</xdr:colOff>
          <xdr:row>427</xdr:row>
          <xdr:rowOff>0</xdr:rowOff>
        </xdr:to>
        <xdr:grpSp>
          <xdr:nvGrpSpPr>
            <xdr:cNvPr id="89738" name="Group 138">
              <a:extLst>
                <a:ext uri="{FF2B5EF4-FFF2-40B4-BE49-F238E27FC236}">
                  <a16:creationId xmlns:a16="http://schemas.microsoft.com/office/drawing/2014/main" id="{00000000-0008-0000-0600-00008A5E0100}"/>
                </a:ext>
              </a:extLst>
            </xdr:cNvPr>
            <xdr:cNvGrpSpPr>
              <a:grpSpLocks/>
            </xdr:cNvGrpSpPr>
          </xdr:nvGrpSpPr>
          <xdr:grpSpPr bwMode="auto">
            <a:xfrm>
              <a:off x="55563" y="91847988"/>
              <a:ext cx="1428750" cy="1481137"/>
              <a:chOff x="6" y="9450"/>
              <a:chExt cx="151" cy="145"/>
            </a:xfrm>
          </xdr:grpSpPr>
          <xdr:sp macro="" textlink="">
            <xdr:nvSpPr>
              <xdr:cNvPr id="46219" name="Group Box 139" hidden="1">
                <a:extLst>
                  <a:ext uri="{63B3BB69-23CF-44E3-9099-C40C66FF867C}">
                    <a14:compatExt spid="_x0000_s46219"/>
                  </a:ext>
                  <a:ext uri="{FF2B5EF4-FFF2-40B4-BE49-F238E27FC236}">
                    <a16:creationId xmlns:a16="http://schemas.microsoft.com/office/drawing/2014/main" id="{00000000-0008-0000-0600-00008BB40000}"/>
                  </a:ext>
                </a:extLst>
              </xdr:cNvPr>
              <xdr:cNvSpPr/>
            </xdr:nvSpPr>
            <xdr:spPr bwMode="auto">
              <a:xfrm>
                <a:off x="6" y="9450"/>
                <a:ext cx="151" cy="145"/>
              </a:xfrm>
              <a:prstGeom prst="rect">
                <a:avLst/>
              </a:prstGeom>
              <a:noFill/>
              <a:ln w="9525">
                <a:miter lim="800000"/>
                <a:headEnd/>
                <a:tailEnd/>
              </a:ln>
              <a:extLst>
                <a:ext uri="{909E8E84-426E-40DD-AFC4-6F175D3DCCD1}">
                  <a14:hiddenFill>
                    <a:noFill/>
                  </a14:hiddenFill>
                </a:ext>
              </a:extLst>
            </xdr:spPr>
          </xdr:sp>
          <xdr:sp macro="" textlink="">
            <xdr:nvSpPr>
              <xdr:cNvPr id="46220" name="Option Button 140" hidden="1">
                <a:extLst>
                  <a:ext uri="{63B3BB69-23CF-44E3-9099-C40C66FF867C}">
                    <a14:compatExt spid="_x0000_s46220"/>
                  </a:ext>
                  <a:ext uri="{FF2B5EF4-FFF2-40B4-BE49-F238E27FC236}">
                    <a16:creationId xmlns:a16="http://schemas.microsoft.com/office/drawing/2014/main" id="{00000000-0008-0000-0600-00008CB40000}"/>
                  </a:ext>
                </a:extLst>
              </xdr:cNvPr>
              <xdr:cNvSpPr/>
            </xdr:nvSpPr>
            <xdr:spPr bwMode="auto">
              <a:xfrm>
                <a:off x="121" y="945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1" name="Option Button 141" hidden="1">
                <a:extLst>
                  <a:ext uri="{63B3BB69-23CF-44E3-9099-C40C66FF867C}">
                    <a14:compatExt spid="_x0000_s46221"/>
                  </a:ext>
                  <a:ext uri="{FF2B5EF4-FFF2-40B4-BE49-F238E27FC236}">
                    <a16:creationId xmlns:a16="http://schemas.microsoft.com/office/drawing/2014/main" id="{00000000-0008-0000-0600-00008DB40000}"/>
                  </a:ext>
                </a:extLst>
              </xdr:cNvPr>
              <xdr:cNvSpPr/>
            </xdr:nvSpPr>
            <xdr:spPr bwMode="auto">
              <a:xfrm>
                <a:off x="121" y="948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2" name="Option Button 142" hidden="1">
                <a:extLst>
                  <a:ext uri="{63B3BB69-23CF-44E3-9099-C40C66FF867C}">
                    <a14:compatExt spid="_x0000_s46222"/>
                  </a:ext>
                  <a:ext uri="{FF2B5EF4-FFF2-40B4-BE49-F238E27FC236}">
                    <a16:creationId xmlns:a16="http://schemas.microsoft.com/office/drawing/2014/main" id="{00000000-0008-0000-0600-00008EB40000}"/>
                  </a:ext>
                </a:extLst>
              </xdr:cNvPr>
              <xdr:cNvSpPr/>
            </xdr:nvSpPr>
            <xdr:spPr bwMode="auto">
              <a:xfrm>
                <a:off x="122" y="952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3" name="Option Button 143" hidden="1">
                <a:extLst>
                  <a:ext uri="{63B3BB69-23CF-44E3-9099-C40C66FF867C}">
                    <a14:compatExt spid="_x0000_s46223"/>
                  </a:ext>
                  <a:ext uri="{FF2B5EF4-FFF2-40B4-BE49-F238E27FC236}">
                    <a16:creationId xmlns:a16="http://schemas.microsoft.com/office/drawing/2014/main" id="{00000000-0008-0000-0600-00008FB40000}"/>
                  </a:ext>
                </a:extLst>
              </xdr:cNvPr>
              <xdr:cNvSpPr/>
            </xdr:nvSpPr>
            <xdr:spPr bwMode="auto">
              <a:xfrm>
                <a:off x="122" y="956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6224" name="Option Button 144" hidden="1">
                <a:extLst>
                  <a:ext uri="{63B3BB69-23CF-44E3-9099-C40C66FF867C}">
                    <a14:compatExt spid="_x0000_s46224"/>
                  </a:ext>
                  <a:ext uri="{FF2B5EF4-FFF2-40B4-BE49-F238E27FC236}">
                    <a16:creationId xmlns:a16="http://schemas.microsoft.com/office/drawing/2014/main" id="{00000000-0008-0000-0600-000090B40000}"/>
                  </a:ext>
                </a:extLst>
              </xdr:cNvPr>
              <xdr:cNvSpPr/>
            </xdr:nvSpPr>
            <xdr:spPr bwMode="auto">
              <a:xfrm>
                <a:off x="41" y="9504"/>
                <a:ext cx="44" cy="3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429</xdr:row>
          <xdr:rowOff>19050</xdr:rowOff>
        </xdr:from>
        <xdr:to>
          <xdr:col>5</xdr:col>
          <xdr:colOff>219075</xdr:colOff>
          <xdr:row>430</xdr:row>
          <xdr:rowOff>9525</xdr:rowOff>
        </xdr:to>
        <xdr:sp macro="" textlink="">
          <xdr:nvSpPr>
            <xdr:cNvPr id="46225" name="Check Box 145" hidden="1">
              <a:extLst>
                <a:ext uri="{63B3BB69-23CF-44E3-9099-C40C66FF867C}">
                  <a14:compatExt spid="_x0000_s46225"/>
                </a:ext>
                <a:ext uri="{FF2B5EF4-FFF2-40B4-BE49-F238E27FC236}">
                  <a16:creationId xmlns:a16="http://schemas.microsoft.com/office/drawing/2014/main" id="{00000000-0008-0000-0600-00009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430</xdr:row>
          <xdr:rowOff>28575</xdr:rowOff>
        </xdr:from>
        <xdr:to>
          <xdr:col>5</xdr:col>
          <xdr:colOff>219075</xdr:colOff>
          <xdr:row>431</xdr:row>
          <xdr:rowOff>19050</xdr:rowOff>
        </xdr:to>
        <xdr:sp macro="" textlink="">
          <xdr:nvSpPr>
            <xdr:cNvPr id="46226" name="Check Box 146" hidden="1">
              <a:extLst>
                <a:ext uri="{63B3BB69-23CF-44E3-9099-C40C66FF867C}">
                  <a14:compatExt spid="_x0000_s46226"/>
                </a:ext>
                <a:ext uri="{FF2B5EF4-FFF2-40B4-BE49-F238E27FC236}">
                  <a16:creationId xmlns:a16="http://schemas.microsoft.com/office/drawing/2014/main" id="{00000000-0008-0000-0600-00009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431</xdr:row>
          <xdr:rowOff>9525</xdr:rowOff>
        </xdr:from>
        <xdr:to>
          <xdr:col>5</xdr:col>
          <xdr:colOff>219075</xdr:colOff>
          <xdr:row>432</xdr:row>
          <xdr:rowOff>0</xdr:rowOff>
        </xdr:to>
        <xdr:sp macro="" textlink="">
          <xdr:nvSpPr>
            <xdr:cNvPr id="46227" name="Check Box 147" hidden="1">
              <a:extLst>
                <a:ext uri="{63B3BB69-23CF-44E3-9099-C40C66FF867C}">
                  <a14:compatExt spid="_x0000_s46227"/>
                </a:ext>
                <a:ext uri="{FF2B5EF4-FFF2-40B4-BE49-F238E27FC236}">
                  <a16:creationId xmlns:a16="http://schemas.microsoft.com/office/drawing/2014/main" id="{00000000-0008-0000-0600-00009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432</xdr:row>
          <xdr:rowOff>19050</xdr:rowOff>
        </xdr:from>
        <xdr:to>
          <xdr:col>5</xdr:col>
          <xdr:colOff>219075</xdr:colOff>
          <xdr:row>433</xdr:row>
          <xdr:rowOff>9525</xdr:rowOff>
        </xdr:to>
        <xdr:sp macro="" textlink="">
          <xdr:nvSpPr>
            <xdr:cNvPr id="46228" name="Check Box 148" hidden="1">
              <a:extLst>
                <a:ext uri="{63B3BB69-23CF-44E3-9099-C40C66FF867C}">
                  <a14:compatExt spid="_x0000_s46228"/>
                </a:ext>
                <a:ext uri="{FF2B5EF4-FFF2-40B4-BE49-F238E27FC236}">
                  <a16:creationId xmlns:a16="http://schemas.microsoft.com/office/drawing/2014/main" id="{00000000-0008-0000-0600-00009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433</xdr:row>
          <xdr:rowOff>19050</xdr:rowOff>
        </xdr:from>
        <xdr:to>
          <xdr:col>5</xdr:col>
          <xdr:colOff>219075</xdr:colOff>
          <xdr:row>434</xdr:row>
          <xdr:rowOff>9525</xdr:rowOff>
        </xdr:to>
        <xdr:sp macro="" textlink="">
          <xdr:nvSpPr>
            <xdr:cNvPr id="46229" name="Check Box 149" hidden="1">
              <a:extLst>
                <a:ext uri="{63B3BB69-23CF-44E3-9099-C40C66FF867C}">
                  <a14:compatExt spid="_x0000_s46229"/>
                </a:ext>
                <a:ext uri="{FF2B5EF4-FFF2-40B4-BE49-F238E27FC236}">
                  <a16:creationId xmlns:a16="http://schemas.microsoft.com/office/drawing/2014/main" id="{00000000-0008-0000-0600-00009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434</xdr:row>
          <xdr:rowOff>19050</xdr:rowOff>
        </xdr:from>
        <xdr:to>
          <xdr:col>5</xdr:col>
          <xdr:colOff>219075</xdr:colOff>
          <xdr:row>435</xdr:row>
          <xdr:rowOff>9525</xdr:rowOff>
        </xdr:to>
        <xdr:sp macro="" textlink="">
          <xdr:nvSpPr>
            <xdr:cNvPr id="46230" name="Check Box 150" hidden="1">
              <a:extLst>
                <a:ext uri="{63B3BB69-23CF-44E3-9099-C40C66FF867C}">
                  <a14:compatExt spid="_x0000_s46230"/>
                </a:ext>
                <a:ext uri="{FF2B5EF4-FFF2-40B4-BE49-F238E27FC236}">
                  <a16:creationId xmlns:a16="http://schemas.microsoft.com/office/drawing/2014/main" id="{00000000-0008-0000-0600-00009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435</xdr:row>
          <xdr:rowOff>9525</xdr:rowOff>
        </xdr:from>
        <xdr:to>
          <xdr:col>5</xdr:col>
          <xdr:colOff>219075</xdr:colOff>
          <xdr:row>436</xdr:row>
          <xdr:rowOff>0</xdr:rowOff>
        </xdr:to>
        <xdr:sp macro="" textlink="">
          <xdr:nvSpPr>
            <xdr:cNvPr id="46231" name="Check Box 151" hidden="1">
              <a:extLst>
                <a:ext uri="{63B3BB69-23CF-44E3-9099-C40C66FF867C}">
                  <a14:compatExt spid="_x0000_s46231"/>
                </a:ext>
                <a:ext uri="{FF2B5EF4-FFF2-40B4-BE49-F238E27FC236}">
                  <a16:creationId xmlns:a16="http://schemas.microsoft.com/office/drawing/2014/main" id="{00000000-0008-0000-0600-00009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438</xdr:row>
          <xdr:rowOff>0</xdr:rowOff>
        </xdr:from>
        <xdr:to>
          <xdr:col>15</xdr:col>
          <xdr:colOff>0</xdr:colOff>
          <xdr:row>439</xdr:row>
          <xdr:rowOff>0</xdr:rowOff>
        </xdr:to>
        <xdr:grpSp>
          <xdr:nvGrpSpPr>
            <xdr:cNvPr id="89739" name="Group 152">
              <a:extLst>
                <a:ext uri="{FF2B5EF4-FFF2-40B4-BE49-F238E27FC236}">
                  <a16:creationId xmlns:a16="http://schemas.microsoft.com/office/drawing/2014/main" id="{00000000-0008-0000-0600-00008B5E0100}"/>
                </a:ext>
              </a:extLst>
            </xdr:cNvPr>
            <xdr:cNvGrpSpPr>
              <a:grpSpLocks/>
            </xdr:cNvGrpSpPr>
          </xdr:nvGrpSpPr>
          <xdr:grpSpPr bwMode="auto">
            <a:xfrm flipV="1">
              <a:off x="4230688" y="95702438"/>
              <a:ext cx="1174750" cy="492125"/>
              <a:chOff x="435" y="9894"/>
              <a:chExt cx="125" cy="23"/>
            </a:xfrm>
          </xdr:grpSpPr>
          <xdr:sp macro="" textlink="">
            <xdr:nvSpPr>
              <xdr:cNvPr id="46233" name="Group Box 153" hidden="1">
                <a:extLst>
                  <a:ext uri="{63B3BB69-23CF-44E3-9099-C40C66FF867C}">
                    <a14:compatExt spid="_x0000_s46233"/>
                  </a:ext>
                  <a:ext uri="{FF2B5EF4-FFF2-40B4-BE49-F238E27FC236}">
                    <a16:creationId xmlns:a16="http://schemas.microsoft.com/office/drawing/2014/main" id="{00000000-0008-0000-0600-000099B40000}"/>
                  </a:ext>
                </a:extLst>
              </xdr:cNvPr>
              <xdr:cNvSpPr/>
            </xdr:nvSpPr>
            <xdr:spPr bwMode="auto">
              <a:xfrm>
                <a:off x="435" y="9894"/>
                <a:ext cx="125" cy="23"/>
              </a:xfrm>
              <a:prstGeom prst="rect">
                <a:avLst/>
              </a:prstGeom>
              <a:noFill/>
              <a:ln w="9525">
                <a:miter lim="800000"/>
                <a:headEnd/>
                <a:tailEnd/>
              </a:ln>
              <a:extLst>
                <a:ext uri="{909E8E84-426E-40DD-AFC4-6F175D3DCCD1}">
                  <a14:hiddenFill>
                    <a:noFill/>
                  </a14:hiddenFill>
                </a:ext>
              </a:extLst>
            </xdr:spPr>
          </xdr:sp>
          <xdr:sp macro="" textlink="">
            <xdr:nvSpPr>
              <xdr:cNvPr id="46234" name="Option Button 154" hidden="1">
                <a:extLst>
                  <a:ext uri="{63B3BB69-23CF-44E3-9099-C40C66FF867C}">
                    <a14:compatExt spid="_x0000_s46234"/>
                  </a:ext>
                  <a:ext uri="{FF2B5EF4-FFF2-40B4-BE49-F238E27FC236}">
                    <a16:creationId xmlns:a16="http://schemas.microsoft.com/office/drawing/2014/main" id="{00000000-0008-0000-0600-00009AB40000}"/>
                  </a:ext>
                </a:extLst>
              </xdr:cNvPr>
              <xdr:cNvSpPr/>
            </xdr:nvSpPr>
            <xdr:spPr bwMode="auto">
              <a:xfrm>
                <a:off x="441" y="9897"/>
                <a:ext cx="61"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35" name="Option Button 155" hidden="1">
                <a:extLst>
                  <a:ext uri="{63B3BB69-23CF-44E3-9099-C40C66FF867C}">
                    <a14:compatExt spid="_x0000_s46235"/>
                  </a:ext>
                  <a:ext uri="{FF2B5EF4-FFF2-40B4-BE49-F238E27FC236}">
                    <a16:creationId xmlns:a16="http://schemas.microsoft.com/office/drawing/2014/main" id="{00000000-0008-0000-0600-00009BB40000}"/>
                  </a:ext>
                </a:extLst>
              </xdr:cNvPr>
              <xdr:cNvSpPr/>
            </xdr:nvSpPr>
            <xdr:spPr bwMode="auto">
              <a:xfrm>
                <a:off x="499" y="9897"/>
                <a:ext cx="59"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442</xdr:row>
          <xdr:rowOff>0</xdr:rowOff>
        </xdr:from>
        <xdr:to>
          <xdr:col>15</xdr:col>
          <xdr:colOff>0</xdr:colOff>
          <xdr:row>443</xdr:row>
          <xdr:rowOff>0</xdr:rowOff>
        </xdr:to>
        <xdr:grpSp>
          <xdr:nvGrpSpPr>
            <xdr:cNvPr id="89740" name="Group 156">
              <a:extLst>
                <a:ext uri="{FF2B5EF4-FFF2-40B4-BE49-F238E27FC236}">
                  <a16:creationId xmlns:a16="http://schemas.microsoft.com/office/drawing/2014/main" id="{00000000-0008-0000-0600-00008C5E0100}"/>
                </a:ext>
              </a:extLst>
            </xdr:cNvPr>
            <xdr:cNvGrpSpPr>
              <a:grpSpLocks/>
            </xdr:cNvGrpSpPr>
          </xdr:nvGrpSpPr>
          <xdr:grpSpPr bwMode="auto">
            <a:xfrm>
              <a:off x="4230688" y="97051813"/>
              <a:ext cx="1174750" cy="230187"/>
              <a:chOff x="442" y="10024"/>
              <a:chExt cx="127" cy="23"/>
            </a:xfrm>
          </xdr:grpSpPr>
          <xdr:sp macro="" textlink="">
            <xdr:nvSpPr>
              <xdr:cNvPr id="46237" name="Group Box 157" hidden="1">
                <a:extLst>
                  <a:ext uri="{63B3BB69-23CF-44E3-9099-C40C66FF867C}">
                    <a14:compatExt spid="_x0000_s46237"/>
                  </a:ext>
                  <a:ext uri="{FF2B5EF4-FFF2-40B4-BE49-F238E27FC236}">
                    <a16:creationId xmlns:a16="http://schemas.microsoft.com/office/drawing/2014/main" id="{00000000-0008-0000-0600-00009DB40000}"/>
                  </a:ext>
                </a:extLst>
              </xdr:cNvPr>
              <xdr:cNvSpPr/>
            </xdr:nvSpPr>
            <xdr:spPr bwMode="auto">
              <a:xfrm>
                <a:off x="442" y="10024"/>
                <a:ext cx="127" cy="23"/>
              </a:xfrm>
              <a:prstGeom prst="rect">
                <a:avLst/>
              </a:prstGeom>
              <a:noFill/>
              <a:ln w="9525">
                <a:miter lim="800000"/>
                <a:headEnd/>
                <a:tailEnd/>
              </a:ln>
              <a:extLst>
                <a:ext uri="{909E8E84-426E-40DD-AFC4-6F175D3DCCD1}">
                  <a14:hiddenFill>
                    <a:noFill/>
                  </a14:hiddenFill>
                </a:ext>
              </a:extLst>
            </xdr:spPr>
          </xdr:sp>
          <xdr:sp macro="" textlink="">
            <xdr:nvSpPr>
              <xdr:cNvPr id="46238" name="Option Button 158" hidden="1">
                <a:extLst>
                  <a:ext uri="{63B3BB69-23CF-44E3-9099-C40C66FF867C}">
                    <a14:compatExt spid="_x0000_s46238"/>
                  </a:ext>
                  <a:ext uri="{FF2B5EF4-FFF2-40B4-BE49-F238E27FC236}">
                    <a16:creationId xmlns:a16="http://schemas.microsoft.com/office/drawing/2014/main" id="{00000000-0008-0000-0600-00009EB40000}"/>
                  </a:ext>
                </a:extLst>
              </xdr:cNvPr>
              <xdr:cNvSpPr/>
            </xdr:nvSpPr>
            <xdr:spPr bwMode="auto">
              <a:xfrm>
                <a:off x="448" y="1002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6239" name="Option Button 159" hidden="1">
                <a:extLst>
                  <a:ext uri="{63B3BB69-23CF-44E3-9099-C40C66FF867C}">
                    <a14:compatExt spid="_x0000_s46239"/>
                  </a:ext>
                  <a:ext uri="{FF2B5EF4-FFF2-40B4-BE49-F238E27FC236}">
                    <a16:creationId xmlns:a16="http://schemas.microsoft.com/office/drawing/2014/main" id="{00000000-0008-0000-0600-00009FB40000}"/>
                  </a:ext>
                </a:extLst>
              </xdr:cNvPr>
              <xdr:cNvSpPr/>
            </xdr:nvSpPr>
            <xdr:spPr bwMode="auto">
              <a:xfrm>
                <a:off x="507" y="1002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372</xdr:row>
          <xdr:rowOff>0</xdr:rowOff>
        </xdr:from>
        <xdr:to>
          <xdr:col>15</xdr:col>
          <xdr:colOff>0</xdr:colOff>
          <xdr:row>373</xdr:row>
          <xdr:rowOff>0</xdr:rowOff>
        </xdr:to>
        <xdr:grpSp>
          <xdr:nvGrpSpPr>
            <xdr:cNvPr id="89741" name="Group 160">
              <a:extLst>
                <a:ext uri="{FF2B5EF4-FFF2-40B4-BE49-F238E27FC236}">
                  <a16:creationId xmlns:a16="http://schemas.microsoft.com/office/drawing/2014/main" id="{00000000-0008-0000-0600-00008D5E0100}"/>
                </a:ext>
              </a:extLst>
            </xdr:cNvPr>
            <xdr:cNvGrpSpPr>
              <a:grpSpLocks/>
            </xdr:cNvGrpSpPr>
          </xdr:nvGrpSpPr>
          <xdr:grpSpPr bwMode="auto">
            <a:xfrm>
              <a:off x="55563" y="80970438"/>
              <a:ext cx="5349875" cy="269875"/>
              <a:chOff x="5" y="8224"/>
              <a:chExt cx="554" cy="26"/>
            </a:xfrm>
          </xdr:grpSpPr>
          <xdr:sp macro="" textlink="">
            <xdr:nvSpPr>
              <xdr:cNvPr id="46241" name="Group Box 161" hidden="1">
                <a:extLst>
                  <a:ext uri="{63B3BB69-23CF-44E3-9099-C40C66FF867C}">
                    <a14:compatExt spid="_x0000_s46241"/>
                  </a:ext>
                  <a:ext uri="{FF2B5EF4-FFF2-40B4-BE49-F238E27FC236}">
                    <a16:creationId xmlns:a16="http://schemas.microsoft.com/office/drawing/2014/main" id="{00000000-0008-0000-0600-0000A1B40000}"/>
                  </a:ext>
                </a:extLst>
              </xdr:cNvPr>
              <xdr:cNvSpPr/>
            </xdr:nvSpPr>
            <xdr:spPr bwMode="auto">
              <a:xfrm>
                <a:off x="5" y="8224"/>
                <a:ext cx="554" cy="26"/>
              </a:xfrm>
              <a:prstGeom prst="rect">
                <a:avLst/>
              </a:prstGeom>
              <a:noFill/>
              <a:ln w="9525">
                <a:miter lim="800000"/>
                <a:headEnd/>
                <a:tailEnd/>
              </a:ln>
              <a:extLst>
                <a:ext uri="{909E8E84-426E-40DD-AFC4-6F175D3DCCD1}">
                  <a14:hiddenFill>
                    <a:noFill/>
                  </a14:hiddenFill>
                </a:ext>
              </a:extLst>
            </xdr:spPr>
          </xdr:sp>
          <xdr:sp macro="" textlink="">
            <xdr:nvSpPr>
              <xdr:cNvPr id="46242" name="Option Button 162" hidden="1">
                <a:extLst>
                  <a:ext uri="{63B3BB69-23CF-44E3-9099-C40C66FF867C}">
                    <a14:compatExt spid="_x0000_s46242"/>
                  </a:ext>
                  <a:ext uri="{FF2B5EF4-FFF2-40B4-BE49-F238E27FC236}">
                    <a16:creationId xmlns:a16="http://schemas.microsoft.com/office/drawing/2014/main" id="{00000000-0008-0000-0600-0000A2B40000}"/>
                  </a:ext>
                </a:extLst>
              </xdr:cNvPr>
              <xdr:cNvSpPr/>
            </xdr:nvSpPr>
            <xdr:spPr bwMode="auto">
              <a:xfrm>
                <a:off x="84" y="8226"/>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6243" name="Option Button 163" hidden="1">
                <a:extLst>
                  <a:ext uri="{63B3BB69-23CF-44E3-9099-C40C66FF867C}">
                    <a14:compatExt spid="_x0000_s46243"/>
                  </a:ext>
                  <a:ext uri="{FF2B5EF4-FFF2-40B4-BE49-F238E27FC236}">
                    <a16:creationId xmlns:a16="http://schemas.microsoft.com/office/drawing/2014/main" id="{00000000-0008-0000-0600-0000A3B40000}"/>
                  </a:ext>
                </a:extLst>
              </xdr:cNvPr>
              <xdr:cNvSpPr/>
            </xdr:nvSpPr>
            <xdr:spPr bwMode="auto">
              <a:xfrm>
                <a:off x="154" y="8226"/>
                <a:ext cx="40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At or above the knee joint (up to and including the femoral head)</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243</xdr:row>
          <xdr:rowOff>38100</xdr:rowOff>
        </xdr:from>
        <xdr:to>
          <xdr:col>1</xdr:col>
          <xdr:colOff>390525</xdr:colOff>
          <xdr:row>244</xdr:row>
          <xdr:rowOff>9525</xdr:rowOff>
        </xdr:to>
        <xdr:sp macro="" textlink="">
          <xdr:nvSpPr>
            <xdr:cNvPr id="46244" name="Check Box 164" hidden="1">
              <a:extLst>
                <a:ext uri="{63B3BB69-23CF-44E3-9099-C40C66FF867C}">
                  <a14:compatExt spid="_x0000_s46244"/>
                </a:ext>
                <a:ext uri="{FF2B5EF4-FFF2-40B4-BE49-F238E27FC236}">
                  <a16:creationId xmlns:a16="http://schemas.microsoft.com/office/drawing/2014/main" id="{00000000-0008-0000-0600-0000A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293</xdr:row>
          <xdr:rowOff>0</xdr:rowOff>
        </xdr:from>
        <xdr:to>
          <xdr:col>3</xdr:col>
          <xdr:colOff>276225</xdr:colOff>
          <xdr:row>302</xdr:row>
          <xdr:rowOff>0</xdr:rowOff>
        </xdr:to>
        <xdr:sp macro="" textlink="">
          <xdr:nvSpPr>
            <xdr:cNvPr id="46142" name="Group Box 62" hidden="1">
              <a:extLst>
                <a:ext uri="{63B3BB69-23CF-44E3-9099-C40C66FF867C}">
                  <a14:compatExt spid="_x0000_s46142"/>
                </a:ext>
                <a:ext uri="{FF2B5EF4-FFF2-40B4-BE49-F238E27FC236}">
                  <a16:creationId xmlns:a16="http://schemas.microsoft.com/office/drawing/2014/main" id="{00000000-0008-0000-0600-00003EB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293</xdr:row>
          <xdr:rowOff>19050</xdr:rowOff>
        </xdr:from>
        <xdr:to>
          <xdr:col>3</xdr:col>
          <xdr:colOff>247650</xdr:colOff>
          <xdr:row>294</xdr:row>
          <xdr:rowOff>85725</xdr:rowOff>
        </xdr:to>
        <xdr:sp macro="" textlink="">
          <xdr:nvSpPr>
            <xdr:cNvPr id="46143" name="Option Button 63" hidden="1">
              <a:extLst>
                <a:ext uri="{63B3BB69-23CF-44E3-9099-C40C66FF867C}">
                  <a14:compatExt spid="_x0000_s46143"/>
                </a:ext>
                <a:ext uri="{FF2B5EF4-FFF2-40B4-BE49-F238E27FC236}">
                  <a16:creationId xmlns:a16="http://schemas.microsoft.com/office/drawing/2014/main" id="{00000000-0008-0000-0600-00003F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294</xdr:row>
          <xdr:rowOff>85725</xdr:rowOff>
        </xdr:from>
        <xdr:to>
          <xdr:col>3</xdr:col>
          <xdr:colOff>247650</xdr:colOff>
          <xdr:row>295</xdr:row>
          <xdr:rowOff>161925</xdr:rowOff>
        </xdr:to>
        <xdr:sp macro="" textlink="">
          <xdr:nvSpPr>
            <xdr:cNvPr id="46144" name="Option Button 64" hidden="1">
              <a:extLst>
                <a:ext uri="{63B3BB69-23CF-44E3-9099-C40C66FF867C}">
                  <a14:compatExt spid="_x0000_s46144"/>
                </a:ext>
                <a:ext uri="{FF2B5EF4-FFF2-40B4-BE49-F238E27FC236}">
                  <a16:creationId xmlns:a16="http://schemas.microsoft.com/office/drawing/2014/main" id="{00000000-0008-0000-0600-000040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Whole nerve involved (39%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400050</xdr:colOff>
          <xdr:row>295</xdr:row>
          <xdr:rowOff>161925</xdr:rowOff>
        </xdr:from>
        <xdr:to>
          <xdr:col>3</xdr:col>
          <xdr:colOff>238125</xdr:colOff>
          <xdr:row>297</xdr:row>
          <xdr:rowOff>38100</xdr:rowOff>
        </xdr:to>
        <xdr:sp macro="" textlink="">
          <xdr:nvSpPr>
            <xdr:cNvPr id="46145" name="Option Button 65" hidden="1">
              <a:extLst>
                <a:ext uri="{63B3BB69-23CF-44E3-9099-C40C66FF867C}">
                  <a14:compatExt spid="_x0000_s46145"/>
                </a:ext>
                <a:ext uri="{FF2B5EF4-FFF2-40B4-BE49-F238E27FC236}">
                  <a16:creationId xmlns:a16="http://schemas.microsoft.com/office/drawing/2014/main" id="{00000000-0008-0000-0600-000041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mid-shin (28%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400050</xdr:colOff>
          <xdr:row>297</xdr:row>
          <xdr:rowOff>38100</xdr:rowOff>
        </xdr:from>
        <xdr:to>
          <xdr:col>3</xdr:col>
          <xdr:colOff>247650</xdr:colOff>
          <xdr:row>298</xdr:row>
          <xdr:rowOff>95250</xdr:rowOff>
        </xdr:to>
        <xdr:sp macro="" textlink="">
          <xdr:nvSpPr>
            <xdr:cNvPr id="46146" name="Option Button 66" hidden="1">
              <a:extLst>
                <a:ext uri="{63B3BB69-23CF-44E3-9099-C40C66FF867C}">
                  <a14:compatExt spid="_x0000_s46146"/>
                </a:ext>
                <a:ext uri="{FF2B5EF4-FFF2-40B4-BE49-F238E27FC236}">
                  <a16:creationId xmlns:a16="http://schemas.microsoft.com/office/drawing/2014/main" id="{00000000-0008-0000-0600-000042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390525</xdr:colOff>
          <xdr:row>298</xdr:row>
          <xdr:rowOff>95250</xdr:rowOff>
        </xdr:from>
        <xdr:to>
          <xdr:col>3</xdr:col>
          <xdr:colOff>247650</xdr:colOff>
          <xdr:row>299</xdr:row>
          <xdr:rowOff>161925</xdr:rowOff>
        </xdr:to>
        <xdr:sp macro="" textlink="">
          <xdr:nvSpPr>
            <xdr:cNvPr id="46147" name="Option Button 67" hidden="1">
              <a:extLst>
                <a:ext uri="{63B3BB69-23CF-44E3-9099-C40C66FF867C}">
                  <a14:compatExt spid="_x0000_s46147"/>
                </a:ext>
                <a:ext uri="{FF2B5EF4-FFF2-40B4-BE49-F238E27FC236}">
                  <a16:creationId xmlns:a16="http://schemas.microsoft.com/office/drawing/2014/main" id="{00000000-0008-0000-0600-000043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mid-shin (6%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390525</xdr:colOff>
          <xdr:row>299</xdr:row>
          <xdr:rowOff>161925</xdr:rowOff>
        </xdr:from>
        <xdr:to>
          <xdr:col>3</xdr:col>
          <xdr:colOff>247650</xdr:colOff>
          <xdr:row>300</xdr:row>
          <xdr:rowOff>104775</xdr:rowOff>
        </xdr:to>
        <xdr:sp macro="" textlink="">
          <xdr:nvSpPr>
            <xdr:cNvPr id="46148" name="Option Button 68" hidden="1">
              <a:extLst>
                <a:ext uri="{63B3BB69-23CF-44E3-9099-C40C66FF867C}">
                  <a14:compatExt spid="_x0000_s46148"/>
                </a:ext>
                <a:ext uri="{FF2B5EF4-FFF2-40B4-BE49-F238E27FC236}">
                  <a16:creationId xmlns:a16="http://schemas.microsoft.com/office/drawing/2014/main" id="{00000000-0008-0000-0600-000044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300</xdr:row>
          <xdr:rowOff>104775</xdr:rowOff>
        </xdr:from>
        <xdr:to>
          <xdr:col>3</xdr:col>
          <xdr:colOff>257175</xdr:colOff>
          <xdr:row>301</xdr:row>
          <xdr:rowOff>171450</xdr:rowOff>
        </xdr:to>
        <xdr:sp macro="" textlink="">
          <xdr:nvSpPr>
            <xdr:cNvPr id="46151" name="Option Button 71" hidden="1">
              <a:extLst>
                <a:ext uri="{63B3BB69-23CF-44E3-9099-C40C66FF867C}">
                  <a14:compatExt spid="_x0000_s46151"/>
                </a:ext>
                <a:ext uri="{FF2B5EF4-FFF2-40B4-BE49-F238E27FC236}">
                  <a16:creationId xmlns:a16="http://schemas.microsoft.com/office/drawing/2014/main" id="{00000000-0008-0000-0600-000047B4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Superficial peroneal only (11% foot)</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9525</xdr:colOff>
      <xdr:row>293</xdr:row>
      <xdr:rowOff>0</xdr:rowOff>
    </xdr:from>
    <xdr:to>
      <xdr:col>3</xdr:col>
      <xdr:colOff>276225</xdr:colOff>
      <xdr:row>302</xdr:row>
      <xdr:rowOff>0</xdr:rowOff>
    </xdr:to>
    <xdr:grpSp>
      <xdr:nvGrpSpPr>
        <xdr:cNvPr id="88916" name="Group 177">
          <a:extLst>
            <a:ext uri="{FF2B5EF4-FFF2-40B4-BE49-F238E27FC236}">
              <a16:creationId xmlns:a16="http://schemas.microsoft.com/office/drawing/2014/main" id="{00000000-0008-0000-0700-0000545B0100}"/>
            </a:ext>
          </a:extLst>
        </xdr:cNvPr>
        <xdr:cNvGrpSpPr>
          <a:grpSpLocks/>
        </xdr:cNvGrpSpPr>
      </xdr:nvGrpSpPr>
      <xdr:grpSpPr bwMode="auto">
        <a:xfrm>
          <a:off x="65088" y="64960500"/>
          <a:ext cx="1933575" cy="1849438"/>
          <a:chOff x="7" y="6201"/>
          <a:chExt cx="203" cy="194"/>
        </a:xfrm>
      </xdr:grpSpPr>
      <xdr:sp macro="" textlink="">
        <xdr:nvSpPr>
          <xdr:cNvPr id="88928" name="AutoShape 175">
            <a:extLst>
              <a:ext uri="{FF2B5EF4-FFF2-40B4-BE49-F238E27FC236}">
                <a16:creationId xmlns:a16="http://schemas.microsoft.com/office/drawing/2014/main" id="{00000000-0008-0000-0700-0000605B0100}"/>
              </a:ext>
            </a:extLst>
          </xdr:cNvPr>
          <xdr:cNvSpPr>
            <a:spLocks/>
          </xdr:cNvSpPr>
        </xdr:nvSpPr>
        <xdr:spPr bwMode="auto">
          <a:xfrm>
            <a:off x="49" y="6260"/>
            <a:ext cx="8" cy="53"/>
          </a:xfrm>
          <a:prstGeom prst="leftBracket">
            <a:avLst>
              <a:gd name="adj" fmla="val 552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88929" name="AutoShape 176">
            <a:extLst>
              <a:ext uri="{FF2B5EF4-FFF2-40B4-BE49-F238E27FC236}">
                <a16:creationId xmlns:a16="http://schemas.microsoft.com/office/drawing/2014/main" id="{00000000-0008-0000-0700-0000615B0100}"/>
              </a:ext>
            </a:extLst>
          </xdr:cNvPr>
          <xdr:cNvSpPr>
            <a:spLocks/>
          </xdr:cNvSpPr>
        </xdr:nvSpPr>
        <xdr:spPr bwMode="auto">
          <a:xfrm>
            <a:off x="49" y="6312"/>
            <a:ext cx="8" cy="53"/>
          </a:xfrm>
          <a:prstGeom prst="leftBracket">
            <a:avLst>
              <a:gd name="adj" fmla="val 55208"/>
            </a:avLst>
          </a:prstGeom>
          <a:noFill/>
          <a:ln w="15875">
            <a:solidFill>
              <a:srgbClr val="000000"/>
            </a:solidFill>
            <a:round/>
            <a:headEnd/>
            <a:tailEnd/>
          </a:ln>
          <a:extLst>
            <a:ext uri="{909E8E84-426E-40DD-AFC4-6F175D3DCCD1}">
              <a14:hiddenFill xmlns:a14="http://schemas.microsoft.com/office/drawing/2010/main">
                <a:solidFill>
                  <a:srgbClr val="FFFFFF"/>
                </a:solidFill>
              </a14:hiddenFill>
            </a:ext>
          </a:extLst>
        </xdr:spPr>
      </xdr:sp>
    </xdr:grpSp>
    <xdr:clientData/>
  </xdr:twoCellAnchor>
  <mc:AlternateContent xmlns:mc="http://schemas.openxmlformats.org/markup-compatibility/2006">
    <mc:Choice xmlns:a14="http://schemas.microsoft.com/office/drawing/2010/main" Requires="a14">
      <xdr:twoCellAnchor>
        <xdr:from>
          <xdr:col>1</xdr:col>
          <xdr:colOff>0</xdr:colOff>
          <xdr:row>287</xdr:row>
          <xdr:rowOff>0</xdr:rowOff>
        </xdr:from>
        <xdr:to>
          <xdr:col>3</xdr:col>
          <xdr:colOff>276225</xdr:colOff>
          <xdr:row>291</xdr:row>
          <xdr:rowOff>0</xdr:rowOff>
        </xdr:to>
        <xdr:grpSp>
          <xdr:nvGrpSpPr>
            <xdr:cNvPr id="88917" name="Group 1">
              <a:extLst>
                <a:ext uri="{FF2B5EF4-FFF2-40B4-BE49-F238E27FC236}">
                  <a16:creationId xmlns:a16="http://schemas.microsoft.com/office/drawing/2014/main" id="{00000000-0008-0000-0700-0000555B0100}"/>
                </a:ext>
              </a:extLst>
            </xdr:cNvPr>
            <xdr:cNvGrpSpPr>
              <a:grpSpLocks/>
            </xdr:cNvGrpSpPr>
          </xdr:nvGrpSpPr>
          <xdr:grpSpPr bwMode="auto">
            <a:xfrm>
              <a:off x="55564" y="63666688"/>
              <a:ext cx="1943101" cy="762000"/>
              <a:chOff x="16" y="7276"/>
              <a:chExt cx="200" cy="76"/>
            </a:xfrm>
          </xdr:grpSpPr>
          <xdr:sp macro="" textlink="">
            <xdr:nvSpPr>
              <xdr:cNvPr id="45058" name="Group Box 2" hidden="1">
                <a:extLst>
                  <a:ext uri="{63B3BB69-23CF-44E3-9099-C40C66FF867C}">
                    <a14:compatExt spid="_x0000_s45058"/>
                  </a:ext>
                  <a:ext uri="{FF2B5EF4-FFF2-40B4-BE49-F238E27FC236}">
                    <a16:creationId xmlns:a16="http://schemas.microsoft.com/office/drawing/2014/main" id="{00000000-0008-0000-0700-000002B00000}"/>
                  </a:ext>
                </a:extLst>
              </xdr:cNvPr>
              <xdr:cNvSpPr/>
            </xdr:nvSpPr>
            <xdr:spPr bwMode="auto">
              <a:xfrm>
                <a:off x="16" y="7276"/>
                <a:ext cx="200" cy="76"/>
              </a:xfrm>
              <a:prstGeom prst="rect">
                <a:avLst/>
              </a:prstGeom>
              <a:noFill/>
              <a:ln w="9525">
                <a:miter lim="800000"/>
                <a:headEnd/>
                <a:tailEnd/>
              </a:ln>
              <a:extLst>
                <a:ext uri="{909E8E84-426E-40DD-AFC4-6F175D3DCCD1}">
                  <a14:hiddenFill>
                    <a:noFill/>
                  </a14:hiddenFill>
                </a:ext>
              </a:extLst>
            </xdr:spPr>
          </xdr:sp>
          <xdr:sp macro="" textlink="">
            <xdr:nvSpPr>
              <xdr:cNvPr id="45059" name="Option Button 3" hidden="1">
                <a:extLst>
                  <a:ext uri="{63B3BB69-23CF-44E3-9099-C40C66FF867C}">
                    <a14:compatExt spid="_x0000_s45059"/>
                  </a:ext>
                  <a:ext uri="{FF2B5EF4-FFF2-40B4-BE49-F238E27FC236}">
                    <a16:creationId xmlns:a16="http://schemas.microsoft.com/office/drawing/2014/main" id="{00000000-0008-0000-0700-000003B00000}"/>
                  </a:ext>
                </a:extLst>
              </xdr:cNvPr>
              <xdr:cNvSpPr/>
            </xdr:nvSpPr>
            <xdr:spPr bwMode="auto">
              <a:xfrm>
                <a:off x="18" y="7278"/>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5060" name="Option Button 4" hidden="1">
                <a:extLst>
                  <a:ext uri="{63B3BB69-23CF-44E3-9099-C40C66FF867C}">
                    <a14:compatExt spid="_x0000_s45060"/>
                  </a:ext>
                  <a:ext uri="{FF2B5EF4-FFF2-40B4-BE49-F238E27FC236}">
                    <a16:creationId xmlns:a16="http://schemas.microsoft.com/office/drawing/2014/main" id="{00000000-0008-0000-0700-000004B00000}"/>
                  </a:ext>
                </a:extLst>
              </xdr:cNvPr>
              <xdr:cNvSpPr/>
            </xdr:nvSpPr>
            <xdr:spPr bwMode="auto">
              <a:xfrm>
                <a:off x="17" y="7302"/>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hamstring innerv. (75% leg)</a:t>
                </a:r>
              </a:p>
            </xdr:txBody>
          </xdr:sp>
          <xdr:sp macro="" textlink="">
            <xdr:nvSpPr>
              <xdr:cNvPr id="45061" name="Option Button 5" hidden="1">
                <a:extLst>
                  <a:ext uri="{63B3BB69-23CF-44E3-9099-C40C66FF867C}">
                    <a14:compatExt spid="_x0000_s45061"/>
                  </a:ext>
                  <a:ext uri="{FF2B5EF4-FFF2-40B4-BE49-F238E27FC236}">
                    <a16:creationId xmlns:a16="http://schemas.microsoft.com/office/drawing/2014/main" id="{00000000-0008-0000-0700-000005B00000}"/>
                  </a:ext>
                </a:extLst>
              </xdr:cNvPr>
              <xdr:cNvSpPr/>
            </xdr:nvSpPr>
            <xdr:spPr bwMode="auto">
              <a:xfrm>
                <a:off x="17" y="7325"/>
                <a:ext cx="196"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Hamstring only (40% leg)</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280</xdr:row>
          <xdr:rowOff>9525</xdr:rowOff>
        </xdr:from>
        <xdr:to>
          <xdr:col>5</xdr:col>
          <xdr:colOff>85725</xdr:colOff>
          <xdr:row>281</xdr:row>
          <xdr:rowOff>38100</xdr:rowOff>
        </xdr:to>
        <xdr:sp macro="" textlink="">
          <xdr:nvSpPr>
            <xdr:cNvPr id="45062" name="Check Box 6" hidden="1">
              <a:extLst>
                <a:ext uri="{63B3BB69-23CF-44E3-9099-C40C66FF867C}">
                  <a14:compatExt spid="_x0000_s45062"/>
                </a:ext>
                <a:ext uri="{FF2B5EF4-FFF2-40B4-BE49-F238E27FC236}">
                  <a16:creationId xmlns:a16="http://schemas.microsoft.com/office/drawing/2014/main" id="{00000000-0008-0000-07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281</xdr:row>
          <xdr:rowOff>0</xdr:rowOff>
        </xdr:from>
        <xdr:to>
          <xdr:col>5</xdr:col>
          <xdr:colOff>85725</xdr:colOff>
          <xdr:row>282</xdr:row>
          <xdr:rowOff>28575</xdr:rowOff>
        </xdr:to>
        <xdr:sp macro="" textlink="">
          <xdr:nvSpPr>
            <xdr:cNvPr id="45063" name="Check Box 7" hidden="1">
              <a:extLst>
                <a:ext uri="{63B3BB69-23CF-44E3-9099-C40C66FF867C}">
                  <a14:compatExt spid="_x0000_s45063"/>
                </a:ext>
                <a:ext uri="{FF2B5EF4-FFF2-40B4-BE49-F238E27FC236}">
                  <a16:creationId xmlns:a16="http://schemas.microsoft.com/office/drawing/2014/main" id="{00000000-0008-0000-07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281</xdr:row>
          <xdr:rowOff>180975</xdr:rowOff>
        </xdr:from>
        <xdr:to>
          <xdr:col>5</xdr:col>
          <xdr:colOff>85725</xdr:colOff>
          <xdr:row>283</xdr:row>
          <xdr:rowOff>19050</xdr:rowOff>
        </xdr:to>
        <xdr:sp macro="" textlink="">
          <xdr:nvSpPr>
            <xdr:cNvPr id="45064" name="Check Box 8" hidden="1">
              <a:extLst>
                <a:ext uri="{63B3BB69-23CF-44E3-9099-C40C66FF867C}">
                  <a14:compatExt spid="_x0000_s45064"/>
                </a:ext>
                <a:ext uri="{FF2B5EF4-FFF2-40B4-BE49-F238E27FC236}">
                  <a16:creationId xmlns:a16="http://schemas.microsoft.com/office/drawing/2014/main" id="{00000000-0008-0000-07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282</xdr:row>
          <xdr:rowOff>171450</xdr:rowOff>
        </xdr:from>
        <xdr:to>
          <xdr:col>5</xdr:col>
          <xdr:colOff>85725</xdr:colOff>
          <xdr:row>284</xdr:row>
          <xdr:rowOff>9525</xdr:rowOff>
        </xdr:to>
        <xdr:sp macro="" textlink="">
          <xdr:nvSpPr>
            <xdr:cNvPr id="45065" name="Check Box 9" hidden="1">
              <a:extLst>
                <a:ext uri="{63B3BB69-23CF-44E3-9099-C40C66FF867C}">
                  <a14:compatExt spid="_x0000_s45065"/>
                </a:ext>
                <a:ext uri="{FF2B5EF4-FFF2-40B4-BE49-F238E27FC236}">
                  <a16:creationId xmlns:a16="http://schemas.microsoft.com/office/drawing/2014/main" id="{00000000-0008-0000-07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283</xdr:row>
          <xdr:rowOff>180975</xdr:rowOff>
        </xdr:from>
        <xdr:to>
          <xdr:col>5</xdr:col>
          <xdr:colOff>85725</xdr:colOff>
          <xdr:row>285</xdr:row>
          <xdr:rowOff>19050</xdr:rowOff>
        </xdr:to>
        <xdr:sp macro="" textlink="">
          <xdr:nvSpPr>
            <xdr:cNvPr id="45066" name="Check Box 10" hidden="1">
              <a:extLst>
                <a:ext uri="{63B3BB69-23CF-44E3-9099-C40C66FF867C}">
                  <a14:compatExt spid="_x0000_s45066"/>
                </a:ext>
                <a:ext uri="{FF2B5EF4-FFF2-40B4-BE49-F238E27FC236}">
                  <a16:creationId xmlns:a16="http://schemas.microsoft.com/office/drawing/2014/main" id="{00000000-0008-0000-07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286</xdr:row>
          <xdr:rowOff>9525</xdr:rowOff>
        </xdr:from>
        <xdr:to>
          <xdr:col>5</xdr:col>
          <xdr:colOff>85725</xdr:colOff>
          <xdr:row>286</xdr:row>
          <xdr:rowOff>228600</xdr:rowOff>
        </xdr:to>
        <xdr:sp macro="" textlink="">
          <xdr:nvSpPr>
            <xdr:cNvPr id="45067" name="Check Box 11" hidden="1">
              <a:extLst>
                <a:ext uri="{63B3BB69-23CF-44E3-9099-C40C66FF867C}">
                  <a14:compatExt spid="_x0000_s45067"/>
                </a:ext>
                <a:ext uri="{FF2B5EF4-FFF2-40B4-BE49-F238E27FC236}">
                  <a16:creationId xmlns:a16="http://schemas.microsoft.com/office/drawing/2014/main" id="{00000000-0008-0000-07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287</xdr:row>
          <xdr:rowOff>0</xdr:rowOff>
        </xdr:from>
        <xdr:to>
          <xdr:col>5</xdr:col>
          <xdr:colOff>85725</xdr:colOff>
          <xdr:row>288</xdr:row>
          <xdr:rowOff>28575</xdr:rowOff>
        </xdr:to>
        <xdr:sp macro="" textlink="">
          <xdr:nvSpPr>
            <xdr:cNvPr id="45068" name="Check Box 12" hidden="1">
              <a:extLst>
                <a:ext uri="{63B3BB69-23CF-44E3-9099-C40C66FF867C}">
                  <a14:compatExt spid="_x0000_s45068"/>
                </a:ext>
                <a:ext uri="{FF2B5EF4-FFF2-40B4-BE49-F238E27FC236}">
                  <a16:creationId xmlns:a16="http://schemas.microsoft.com/office/drawing/2014/main" id="{00000000-0008-0000-07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287</xdr:row>
          <xdr:rowOff>180975</xdr:rowOff>
        </xdr:from>
        <xdr:to>
          <xdr:col>5</xdr:col>
          <xdr:colOff>85725</xdr:colOff>
          <xdr:row>289</xdr:row>
          <xdr:rowOff>19050</xdr:rowOff>
        </xdr:to>
        <xdr:sp macro="" textlink="">
          <xdr:nvSpPr>
            <xdr:cNvPr id="45069" name="Check Box 13" hidden="1">
              <a:extLst>
                <a:ext uri="{63B3BB69-23CF-44E3-9099-C40C66FF867C}">
                  <a14:compatExt spid="_x0000_s45069"/>
                </a:ext>
                <a:ext uri="{FF2B5EF4-FFF2-40B4-BE49-F238E27FC236}">
                  <a16:creationId xmlns:a16="http://schemas.microsoft.com/office/drawing/2014/main" id="{00000000-0008-0000-07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288</xdr:row>
          <xdr:rowOff>171450</xdr:rowOff>
        </xdr:from>
        <xdr:to>
          <xdr:col>5</xdr:col>
          <xdr:colOff>85725</xdr:colOff>
          <xdr:row>290</xdr:row>
          <xdr:rowOff>9525</xdr:rowOff>
        </xdr:to>
        <xdr:sp macro="" textlink="">
          <xdr:nvSpPr>
            <xdr:cNvPr id="45070" name="Check Box 14" hidden="1">
              <a:extLst>
                <a:ext uri="{63B3BB69-23CF-44E3-9099-C40C66FF867C}">
                  <a14:compatExt spid="_x0000_s45070"/>
                </a:ext>
                <a:ext uri="{FF2B5EF4-FFF2-40B4-BE49-F238E27FC236}">
                  <a16:creationId xmlns:a16="http://schemas.microsoft.com/office/drawing/2014/main" id="{00000000-0008-0000-07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289</xdr:row>
          <xdr:rowOff>180975</xdr:rowOff>
        </xdr:from>
        <xdr:to>
          <xdr:col>5</xdr:col>
          <xdr:colOff>85725</xdr:colOff>
          <xdr:row>291</xdr:row>
          <xdr:rowOff>19050</xdr:rowOff>
        </xdr:to>
        <xdr:sp macro="" textlink="">
          <xdr:nvSpPr>
            <xdr:cNvPr id="45071" name="Check Box 15" hidden="1">
              <a:extLst>
                <a:ext uri="{63B3BB69-23CF-44E3-9099-C40C66FF867C}">
                  <a14:compatExt spid="_x0000_s45071"/>
                </a:ext>
                <a:ext uri="{FF2B5EF4-FFF2-40B4-BE49-F238E27FC236}">
                  <a16:creationId xmlns:a16="http://schemas.microsoft.com/office/drawing/2014/main" id="{00000000-0008-0000-07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292</xdr:row>
          <xdr:rowOff>19050</xdr:rowOff>
        </xdr:from>
        <xdr:to>
          <xdr:col>5</xdr:col>
          <xdr:colOff>85725</xdr:colOff>
          <xdr:row>293</xdr:row>
          <xdr:rowOff>9525</xdr:rowOff>
        </xdr:to>
        <xdr:sp macro="" textlink="">
          <xdr:nvSpPr>
            <xdr:cNvPr id="45072" name="Check Box 16" hidden="1">
              <a:extLst>
                <a:ext uri="{63B3BB69-23CF-44E3-9099-C40C66FF867C}">
                  <a14:compatExt spid="_x0000_s45072"/>
                </a:ext>
                <a:ext uri="{FF2B5EF4-FFF2-40B4-BE49-F238E27FC236}">
                  <a16:creationId xmlns:a16="http://schemas.microsoft.com/office/drawing/2014/main" id="{00000000-0008-0000-07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293</xdr:row>
          <xdr:rowOff>0</xdr:rowOff>
        </xdr:from>
        <xdr:to>
          <xdr:col>5</xdr:col>
          <xdr:colOff>85725</xdr:colOff>
          <xdr:row>294</xdr:row>
          <xdr:rowOff>28575</xdr:rowOff>
        </xdr:to>
        <xdr:sp macro="" textlink="">
          <xdr:nvSpPr>
            <xdr:cNvPr id="45073" name="Check Box 17" hidden="1">
              <a:extLst>
                <a:ext uri="{63B3BB69-23CF-44E3-9099-C40C66FF867C}">
                  <a14:compatExt spid="_x0000_s45073"/>
                </a:ext>
                <a:ext uri="{FF2B5EF4-FFF2-40B4-BE49-F238E27FC236}">
                  <a16:creationId xmlns:a16="http://schemas.microsoft.com/office/drawing/2014/main" id="{00000000-0008-0000-07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293</xdr:row>
          <xdr:rowOff>180975</xdr:rowOff>
        </xdr:from>
        <xdr:to>
          <xdr:col>5</xdr:col>
          <xdr:colOff>85725</xdr:colOff>
          <xdr:row>295</xdr:row>
          <xdr:rowOff>19050</xdr:rowOff>
        </xdr:to>
        <xdr:sp macro="" textlink="">
          <xdr:nvSpPr>
            <xdr:cNvPr id="45074" name="Check Box 18" hidden="1">
              <a:extLst>
                <a:ext uri="{63B3BB69-23CF-44E3-9099-C40C66FF867C}">
                  <a14:compatExt spid="_x0000_s45074"/>
                </a:ext>
                <a:ext uri="{FF2B5EF4-FFF2-40B4-BE49-F238E27FC236}">
                  <a16:creationId xmlns:a16="http://schemas.microsoft.com/office/drawing/2014/main" id="{00000000-0008-0000-07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294</xdr:row>
          <xdr:rowOff>171450</xdr:rowOff>
        </xdr:from>
        <xdr:to>
          <xdr:col>5</xdr:col>
          <xdr:colOff>85725</xdr:colOff>
          <xdr:row>296</xdr:row>
          <xdr:rowOff>9525</xdr:rowOff>
        </xdr:to>
        <xdr:sp macro="" textlink="">
          <xdr:nvSpPr>
            <xdr:cNvPr id="45075" name="Check Box 19" hidden="1">
              <a:extLst>
                <a:ext uri="{63B3BB69-23CF-44E3-9099-C40C66FF867C}">
                  <a14:compatExt spid="_x0000_s45075"/>
                </a:ext>
                <a:ext uri="{FF2B5EF4-FFF2-40B4-BE49-F238E27FC236}">
                  <a16:creationId xmlns:a16="http://schemas.microsoft.com/office/drawing/2014/main" id="{00000000-0008-0000-07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295</xdr:row>
          <xdr:rowOff>180975</xdr:rowOff>
        </xdr:from>
        <xdr:to>
          <xdr:col>5</xdr:col>
          <xdr:colOff>85725</xdr:colOff>
          <xdr:row>297</xdr:row>
          <xdr:rowOff>19050</xdr:rowOff>
        </xdr:to>
        <xdr:sp macro="" textlink="">
          <xdr:nvSpPr>
            <xdr:cNvPr id="45076" name="Check Box 20" hidden="1">
              <a:extLst>
                <a:ext uri="{63B3BB69-23CF-44E3-9099-C40C66FF867C}">
                  <a14:compatExt spid="_x0000_s45076"/>
                </a:ext>
                <a:ext uri="{FF2B5EF4-FFF2-40B4-BE49-F238E27FC236}">
                  <a16:creationId xmlns:a16="http://schemas.microsoft.com/office/drawing/2014/main" id="{00000000-0008-0000-07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299</xdr:row>
          <xdr:rowOff>314325</xdr:rowOff>
        </xdr:from>
        <xdr:to>
          <xdr:col>5</xdr:col>
          <xdr:colOff>85725</xdr:colOff>
          <xdr:row>301</xdr:row>
          <xdr:rowOff>19050</xdr:rowOff>
        </xdr:to>
        <xdr:sp macro="" textlink="">
          <xdr:nvSpPr>
            <xdr:cNvPr id="45077" name="Check Box 21" hidden="1">
              <a:extLst>
                <a:ext uri="{63B3BB69-23CF-44E3-9099-C40C66FF867C}">
                  <a14:compatExt spid="_x0000_s45077"/>
                </a:ext>
                <a:ext uri="{FF2B5EF4-FFF2-40B4-BE49-F238E27FC236}">
                  <a16:creationId xmlns:a16="http://schemas.microsoft.com/office/drawing/2014/main" id="{00000000-0008-0000-07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300</xdr:row>
          <xdr:rowOff>180975</xdr:rowOff>
        </xdr:from>
        <xdr:to>
          <xdr:col>5</xdr:col>
          <xdr:colOff>85725</xdr:colOff>
          <xdr:row>302</xdr:row>
          <xdr:rowOff>19050</xdr:rowOff>
        </xdr:to>
        <xdr:sp macro="" textlink="">
          <xdr:nvSpPr>
            <xdr:cNvPr id="45078" name="Check Box 22" hidden="1">
              <a:extLst>
                <a:ext uri="{63B3BB69-23CF-44E3-9099-C40C66FF867C}">
                  <a14:compatExt spid="_x0000_s45078"/>
                </a:ext>
                <a:ext uri="{FF2B5EF4-FFF2-40B4-BE49-F238E27FC236}">
                  <a16:creationId xmlns:a16="http://schemas.microsoft.com/office/drawing/2014/main" id="{00000000-0008-0000-07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308</xdr:row>
          <xdr:rowOff>0</xdr:rowOff>
        </xdr:from>
        <xdr:to>
          <xdr:col>5</xdr:col>
          <xdr:colOff>85725</xdr:colOff>
          <xdr:row>309</xdr:row>
          <xdr:rowOff>28575</xdr:rowOff>
        </xdr:to>
        <xdr:sp macro="" textlink="">
          <xdr:nvSpPr>
            <xdr:cNvPr id="45079" name="Check Box 23" hidden="1">
              <a:extLst>
                <a:ext uri="{63B3BB69-23CF-44E3-9099-C40C66FF867C}">
                  <a14:compatExt spid="_x0000_s45079"/>
                </a:ext>
                <a:ext uri="{FF2B5EF4-FFF2-40B4-BE49-F238E27FC236}">
                  <a16:creationId xmlns:a16="http://schemas.microsoft.com/office/drawing/2014/main" id="{00000000-0008-0000-07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309</xdr:row>
          <xdr:rowOff>0</xdr:rowOff>
        </xdr:from>
        <xdr:to>
          <xdr:col>5</xdr:col>
          <xdr:colOff>85725</xdr:colOff>
          <xdr:row>310</xdr:row>
          <xdr:rowOff>28575</xdr:rowOff>
        </xdr:to>
        <xdr:sp macro="" textlink="">
          <xdr:nvSpPr>
            <xdr:cNvPr id="45080" name="Check Box 24" hidden="1">
              <a:extLst>
                <a:ext uri="{63B3BB69-23CF-44E3-9099-C40C66FF867C}">
                  <a14:compatExt spid="_x0000_s45080"/>
                </a:ext>
                <a:ext uri="{FF2B5EF4-FFF2-40B4-BE49-F238E27FC236}">
                  <a16:creationId xmlns:a16="http://schemas.microsoft.com/office/drawing/2014/main" id="{00000000-0008-0000-07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309</xdr:row>
          <xdr:rowOff>180975</xdr:rowOff>
        </xdr:from>
        <xdr:to>
          <xdr:col>5</xdr:col>
          <xdr:colOff>85725</xdr:colOff>
          <xdr:row>311</xdr:row>
          <xdr:rowOff>19050</xdr:rowOff>
        </xdr:to>
        <xdr:sp macro="" textlink="">
          <xdr:nvSpPr>
            <xdr:cNvPr id="45081" name="Check Box 25" hidden="1">
              <a:extLst>
                <a:ext uri="{63B3BB69-23CF-44E3-9099-C40C66FF867C}">
                  <a14:compatExt spid="_x0000_s45081"/>
                </a:ext>
                <a:ext uri="{FF2B5EF4-FFF2-40B4-BE49-F238E27FC236}">
                  <a16:creationId xmlns:a16="http://schemas.microsoft.com/office/drawing/2014/main" id="{00000000-0008-0000-07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310</xdr:row>
          <xdr:rowOff>171450</xdr:rowOff>
        </xdr:from>
        <xdr:to>
          <xdr:col>5</xdr:col>
          <xdr:colOff>85725</xdr:colOff>
          <xdr:row>312</xdr:row>
          <xdr:rowOff>9525</xdr:rowOff>
        </xdr:to>
        <xdr:sp macro="" textlink="">
          <xdr:nvSpPr>
            <xdr:cNvPr id="45082" name="Check Box 26" hidden="1">
              <a:extLst>
                <a:ext uri="{63B3BB69-23CF-44E3-9099-C40C66FF867C}">
                  <a14:compatExt spid="_x0000_s45082"/>
                </a:ext>
                <a:ext uri="{FF2B5EF4-FFF2-40B4-BE49-F238E27FC236}">
                  <a16:creationId xmlns:a16="http://schemas.microsoft.com/office/drawing/2014/main" id="{00000000-0008-0000-07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311</xdr:row>
          <xdr:rowOff>180975</xdr:rowOff>
        </xdr:from>
        <xdr:to>
          <xdr:col>5</xdr:col>
          <xdr:colOff>85725</xdr:colOff>
          <xdr:row>313</xdr:row>
          <xdr:rowOff>19050</xdr:rowOff>
        </xdr:to>
        <xdr:sp macro="" textlink="">
          <xdr:nvSpPr>
            <xdr:cNvPr id="45083" name="Check Box 27" hidden="1">
              <a:extLst>
                <a:ext uri="{63B3BB69-23CF-44E3-9099-C40C66FF867C}">
                  <a14:compatExt spid="_x0000_s45083"/>
                </a:ext>
                <a:ext uri="{FF2B5EF4-FFF2-40B4-BE49-F238E27FC236}">
                  <a16:creationId xmlns:a16="http://schemas.microsoft.com/office/drawing/2014/main" id="{00000000-0008-0000-07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313</xdr:row>
          <xdr:rowOff>0</xdr:rowOff>
        </xdr:from>
        <xdr:to>
          <xdr:col>5</xdr:col>
          <xdr:colOff>85725</xdr:colOff>
          <xdr:row>314</xdr:row>
          <xdr:rowOff>28575</xdr:rowOff>
        </xdr:to>
        <xdr:sp macro="" textlink="">
          <xdr:nvSpPr>
            <xdr:cNvPr id="45084" name="Check Box 28" hidden="1">
              <a:extLst>
                <a:ext uri="{63B3BB69-23CF-44E3-9099-C40C66FF867C}">
                  <a14:compatExt spid="_x0000_s45084"/>
                </a:ext>
                <a:ext uri="{FF2B5EF4-FFF2-40B4-BE49-F238E27FC236}">
                  <a16:creationId xmlns:a16="http://schemas.microsoft.com/office/drawing/2014/main" id="{00000000-0008-0000-07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314</xdr:row>
          <xdr:rowOff>0</xdr:rowOff>
        </xdr:from>
        <xdr:to>
          <xdr:col>5</xdr:col>
          <xdr:colOff>85725</xdr:colOff>
          <xdr:row>315</xdr:row>
          <xdr:rowOff>28575</xdr:rowOff>
        </xdr:to>
        <xdr:sp macro="" textlink="">
          <xdr:nvSpPr>
            <xdr:cNvPr id="45085" name="Check Box 29" hidden="1">
              <a:extLst>
                <a:ext uri="{63B3BB69-23CF-44E3-9099-C40C66FF867C}">
                  <a14:compatExt spid="_x0000_s45085"/>
                </a:ext>
                <a:ext uri="{FF2B5EF4-FFF2-40B4-BE49-F238E27FC236}">
                  <a16:creationId xmlns:a16="http://schemas.microsoft.com/office/drawing/2014/main" id="{00000000-0008-0000-07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314</xdr:row>
          <xdr:rowOff>180975</xdr:rowOff>
        </xdr:from>
        <xdr:to>
          <xdr:col>5</xdr:col>
          <xdr:colOff>85725</xdr:colOff>
          <xdr:row>316</xdr:row>
          <xdr:rowOff>19050</xdr:rowOff>
        </xdr:to>
        <xdr:sp macro="" textlink="">
          <xdr:nvSpPr>
            <xdr:cNvPr id="45086" name="Check Box 30" hidden="1">
              <a:extLst>
                <a:ext uri="{63B3BB69-23CF-44E3-9099-C40C66FF867C}">
                  <a14:compatExt spid="_x0000_s45086"/>
                </a:ext>
                <a:ext uri="{FF2B5EF4-FFF2-40B4-BE49-F238E27FC236}">
                  <a16:creationId xmlns:a16="http://schemas.microsoft.com/office/drawing/2014/main" id="{00000000-0008-0000-07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315</xdr:row>
          <xdr:rowOff>180975</xdr:rowOff>
        </xdr:from>
        <xdr:to>
          <xdr:col>5</xdr:col>
          <xdr:colOff>85725</xdr:colOff>
          <xdr:row>317</xdr:row>
          <xdr:rowOff>19050</xdr:rowOff>
        </xdr:to>
        <xdr:sp macro="" textlink="">
          <xdr:nvSpPr>
            <xdr:cNvPr id="45087" name="Check Box 31" hidden="1">
              <a:extLst>
                <a:ext uri="{63B3BB69-23CF-44E3-9099-C40C66FF867C}">
                  <a14:compatExt spid="_x0000_s45087"/>
                </a:ext>
                <a:ext uri="{FF2B5EF4-FFF2-40B4-BE49-F238E27FC236}">
                  <a16:creationId xmlns:a16="http://schemas.microsoft.com/office/drawing/2014/main" id="{00000000-0008-0000-07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317</xdr:row>
          <xdr:rowOff>180975</xdr:rowOff>
        </xdr:from>
        <xdr:to>
          <xdr:col>5</xdr:col>
          <xdr:colOff>85725</xdr:colOff>
          <xdr:row>319</xdr:row>
          <xdr:rowOff>19050</xdr:rowOff>
        </xdr:to>
        <xdr:sp macro="" textlink="">
          <xdr:nvSpPr>
            <xdr:cNvPr id="45088" name="Check Box 32" hidden="1">
              <a:extLst>
                <a:ext uri="{63B3BB69-23CF-44E3-9099-C40C66FF867C}">
                  <a14:compatExt spid="_x0000_s45088"/>
                </a:ext>
                <a:ext uri="{FF2B5EF4-FFF2-40B4-BE49-F238E27FC236}">
                  <a16:creationId xmlns:a16="http://schemas.microsoft.com/office/drawing/2014/main" id="{00000000-0008-0000-0700-00002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319</xdr:row>
          <xdr:rowOff>219075</xdr:rowOff>
        </xdr:from>
        <xdr:to>
          <xdr:col>5</xdr:col>
          <xdr:colOff>85725</xdr:colOff>
          <xdr:row>321</xdr:row>
          <xdr:rowOff>19050</xdr:rowOff>
        </xdr:to>
        <xdr:sp macro="" textlink="">
          <xdr:nvSpPr>
            <xdr:cNvPr id="45089" name="Check Box 33" hidden="1">
              <a:extLst>
                <a:ext uri="{63B3BB69-23CF-44E3-9099-C40C66FF867C}">
                  <a14:compatExt spid="_x0000_s45089"/>
                </a:ext>
                <a:ext uri="{FF2B5EF4-FFF2-40B4-BE49-F238E27FC236}">
                  <a16:creationId xmlns:a16="http://schemas.microsoft.com/office/drawing/2014/main" id="{00000000-0008-0000-0700-00002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320</xdr:row>
          <xdr:rowOff>180975</xdr:rowOff>
        </xdr:from>
        <xdr:to>
          <xdr:col>5</xdr:col>
          <xdr:colOff>85725</xdr:colOff>
          <xdr:row>322</xdr:row>
          <xdr:rowOff>19050</xdr:rowOff>
        </xdr:to>
        <xdr:sp macro="" textlink="">
          <xdr:nvSpPr>
            <xdr:cNvPr id="45090" name="Check Box 34" hidden="1">
              <a:extLst>
                <a:ext uri="{63B3BB69-23CF-44E3-9099-C40C66FF867C}">
                  <a14:compatExt spid="_x0000_s45090"/>
                </a:ext>
                <a:ext uri="{FF2B5EF4-FFF2-40B4-BE49-F238E27FC236}">
                  <a16:creationId xmlns:a16="http://schemas.microsoft.com/office/drawing/2014/main" id="{00000000-0008-0000-0700-00002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321</xdr:row>
          <xdr:rowOff>180975</xdr:rowOff>
        </xdr:from>
        <xdr:to>
          <xdr:col>5</xdr:col>
          <xdr:colOff>85725</xdr:colOff>
          <xdr:row>323</xdr:row>
          <xdr:rowOff>19050</xdr:rowOff>
        </xdr:to>
        <xdr:sp macro="" textlink="">
          <xdr:nvSpPr>
            <xdr:cNvPr id="45091" name="Check Box 35" hidden="1">
              <a:extLst>
                <a:ext uri="{63B3BB69-23CF-44E3-9099-C40C66FF867C}">
                  <a14:compatExt spid="_x0000_s45091"/>
                </a:ext>
                <a:ext uri="{FF2B5EF4-FFF2-40B4-BE49-F238E27FC236}">
                  <a16:creationId xmlns:a16="http://schemas.microsoft.com/office/drawing/2014/main" id="{00000000-0008-0000-0700-00002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322</xdr:row>
          <xdr:rowOff>180975</xdr:rowOff>
        </xdr:from>
        <xdr:to>
          <xdr:col>5</xdr:col>
          <xdr:colOff>85725</xdr:colOff>
          <xdr:row>324</xdr:row>
          <xdr:rowOff>19050</xdr:rowOff>
        </xdr:to>
        <xdr:sp macro="" textlink="">
          <xdr:nvSpPr>
            <xdr:cNvPr id="45092" name="Check Box 36" hidden="1">
              <a:extLst>
                <a:ext uri="{63B3BB69-23CF-44E3-9099-C40C66FF867C}">
                  <a14:compatExt spid="_x0000_s45092"/>
                </a:ext>
                <a:ext uri="{FF2B5EF4-FFF2-40B4-BE49-F238E27FC236}">
                  <a16:creationId xmlns:a16="http://schemas.microsoft.com/office/drawing/2014/main" id="{00000000-0008-0000-0700-00002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323</xdr:row>
          <xdr:rowOff>171450</xdr:rowOff>
        </xdr:from>
        <xdr:to>
          <xdr:col>5</xdr:col>
          <xdr:colOff>85725</xdr:colOff>
          <xdr:row>325</xdr:row>
          <xdr:rowOff>9525</xdr:rowOff>
        </xdr:to>
        <xdr:sp macro="" textlink="">
          <xdr:nvSpPr>
            <xdr:cNvPr id="45093" name="Check Box 37" hidden="1">
              <a:extLst>
                <a:ext uri="{63B3BB69-23CF-44E3-9099-C40C66FF867C}">
                  <a14:compatExt spid="_x0000_s45093"/>
                </a:ext>
                <a:ext uri="{FF2B5EF4-FFF2-40B4-BE49-F238E27FC236}">
                  <a16:creationId xmlns:a16="http://schemas.microsoft.com/office/drawing/2014/main" id="{00000000-0008-0000-0700-00002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325</xdr:row>
          <xdr:rowOff>0</xdr:rowOff>
        </xdr:from>
        <xdr:to>
          <xdr:col>5</xdr:col>
          <xdr:colOff>85725</xdr:colOff>
          <xdr:row>326</xdr:row>
          <xdr:rowOff>28575</xdr:rowOff>
        </xdr:to>
        <xdr:sp macro="" textlink="">
          <xdr:nvSpPr>
            <xdr:cNvPr id="45094" name="Check Box 38" hidden="1">
              <a:extLst>
                <a:ext uri="{63B3BB69-23CF-44E3-9099-C40C66FF867C}">
                  <a14:compatExt spid="_x0000_s45094"/>
                </a:ext>
                <a:ext uri="{FF2B5EF4-FFF2-40B4-BE49-F238E27FC236}">
                  <a16:creationId xmlns:a16="http://schemas.microsoft.com/office/drawing/2014/main" id="{00000000-0008-0000-0700-00002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326</xdr:row>
          <xdr:rowOff>0</xdr:rowOff>
        </xdr:from>
        <xdr:to>
          <xdr:col>5</xdr:col>
          <xdr:colOff>85725</xdr:colOff>
          <xdr:row>327</xdr:row>
          <xdr:rowOff>28575</xdr:rowOff>
        </xdr:to>
        <xdr:sp macro="" textlink="">
          <xdr:nvSpPr>
            <xdr:cNvPr id="45095" name="Check Box 39" hidden="1">
              <a:extLst>
                <a:ext uri="{63B3BB69-23CF-44E3-9099-C40C66FF867C}">
                  <a14:compatExt spid="_x0000_s45095"/>
                </a:ext>
                <a:ext uri="{FF2B5EF4-FFF2-40B4-BE49-F238E27FC236}">
                  <a16:creationId xmlns:a16="http://schemas.microsoft.com/office/drawing/2014/main" id="{00000000-0008-0000-0700-00002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328</xdr:row>
          <xdr:rowOff>333375</xdr:rowOff>
        </xdr:from>
        <xdr:to>
          <xdr:col>5</xdr:col>
          <xdr:colOff>85725</xdr:colOff>
          <xdr:row>329</xdr:row>
          <xdr:rowOff>209550</xdr:rowOff>
        </xdr:to>
        <xdr:sp macro="" textlink="">
          <xdr:nvSpPr>
            <xdr:cNvPr id="45096" name="Check Box 40" hidden="1">
              <a:extLst>
                <a:ext uri="{63B3BB69-23CF-44E3-9099-C40C66FF867C}">
                  <a14:compatExt spid="_x0000_s45096"/>
                </a:ext>
                <a:ext uri="{FF2B5EF4-FFF2-40B4-BE49-F238E27FC236}">
                  <a16:creationId xmlns:a16="http://schemas.microsoft.com/office/drawing/2014/main" id="{00000000-0008-0000-0700-00002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330</xdr:row>
          <xdr:rowOff>0</xdr:rowOff>
        </xdr:from>
        <xdr:to>
          <xdr:col>5</xdr:col>
          <xdr:colOff>85725</xdr:colOff>
          <xdr:row>331</xdr:row>
          <xdr:rowOff>28575</xdr:rowOff>
        </xdr:to>
        <xdr:sp macro="" textlink="">
          <xdr:nvSpPr>
            <xdr:cNvPr id="45097" name="Check Box 41" hidden="1">
              <a:extLst>
                <a:ext uri="{63B3BB69-23CF-44E3-9099-C40C66FF867C}">
                  <a14:compatExt spid="_x0000_s45097"/>
                </a:ext>
                <a:ext uri="{FF2B5EF4-FFF2-40B4-BE49-F238E27FC236}">
                  <a16:creationId xmlns:a16="http://schemas.microsoft.com/office/drawing/2014/main" id="{00000000-0008-0000-0700-00002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330</xdr:row>
          <xdr:rowOff>180975</xdr:rowOff>
        </xdr:from>
        <xdr:to>
          <xdr:col>5</xdr:col>
          <xdr:colOff>85725</xdr:colOff>
          <xdr:row>332</xdr:row>
          <xdr:rowOff>19050</xdr:rowOff>
        </xdr:to>
        <xdr:sp macro="" textlink="">
          <xdr:nvSpPr>
            <xdr:cNvPr id="45098" name="Check Box 42" hidden="1">
              <a:extLst>
                <a:ext uri="{63B3BB69-23CF-44E3-9099-C40C66FF867C}">
                  <a14:compatExt spid="_x0000_s45098"/>
                </a:ext>
                <a:ext uri="{FF2B5EF4-FFF2-40B4-BE49-F238E27FC236}">
                  <a16:creationId xmlns:a16="http://schemas.microsoft.com/office/drawing/2014/main" id="{00000000-0008-0000-0700-00002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332</xdr:row>
          <xdr:rowOff>0</xdr:rowOff>
        </xdr:from>
        <xdr:to>
          <xdr:col>5</xdr:col>
          <xdr:colOff>85725</xdr:colOff>
          <xdr:row>333</xdr:row>
          <xdr:rowOff>28575</xdr:rowOff>
        </xdr:to>
        <xdr:sp macro="" textlink="">
          <xdr:nvSpPr>
            <xdr:cNvPr id="45099" name="Check Box 43" hidden="1">
              <a:extLst>
                <a:ext uri="{63B3BB69-23CF-44E3-9099-C40C66FF867C}">
                  <a14:compatExt spid="_x0000_s45099"/>
                </a:ext>
                <a:ext uri="{FF2B5EF4-FFF2-40B4-BE49-F238E27FC236}">
                  <a16:creationId xmlns:a16="http://schemas.microsoft.com/office/drawing/2014/main" id="{00000000-0008-0000-0700-00002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332</xdr:row>
          <xdr:rowOff>171450</xdr:rowOff>
        </xdr:from>
        <xdr:to>
          <xdr:col>5</xdr:col>
          <xdr:colOff>85725</xdr:colOff>
          <xdr:row>334</xdr:row>
          <xdr:rowOff>9525</xdr:rowOff>
        </xdr:to>
        <xdr:sp macro="" textlink="">
          <xdr:nvSpPr>
            <xdr:cNvPr id="45100" name="Check Box 44" hidden="1">
              <a:extLst>
                <a:ext uri="{63B3BB69-23CF-44E3-9099-C40C66FF867C}">
                  <a14:compatExt spid="_x0000_s45100"/>
                </a:ext>
                <a:ext uri="{FF2B5EF4-FFF2-40B4-BE49-F238E27FC236}">
                  <a16:creationId xmlns:a16="http://schemas.microsoft.com/office/drawing/2014/main" id="{00000000-0008-0000-0700-00002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335</xdr:row>
          <xdr:rowOff>0</xdr:rowOff>
        </xdr:from>
        <xdr:to>
          <xdr:col>5</xdr:col>
          <xdr:colOff>85725</xdr:colOff>
          <xdr:row>336</xdr:row>
          <xdr:rowOff>28575</xdr:rowOff>
        </xdr:to>
        <xdr:sp macro="" textlink="">
          <xdr:nvSpPr>
            <xdr:cNvPr id="45101" name="Check Box 45" hidden="1">
              <a:extLst>
                <a:ext uri="{63B3BB69-23CF-44E3-9099-C40C66FF867C}">
                  <a14:compatExt spid="_x0000_s45101"/>
                </a:ext>
                <a:ext uri="{FF2B5EF4-FFF2-40B4-BE49-F238E27FC236}">
                  <a16:creationId xmlns:a16="http://schemas.microsoft.com/office/drawing/2014/main" id="{00000000-0008-0000-0700-00002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296</xdr:row>
          <xdr:rowOff>180975</xdr:rowOff>
        </xdr:from>
        <xdr:to>
          <xdr:col>5</xdr:col>
          <xdr:colOff>85725</xdr:colOff>
          <xdr:row>298</xdr:row>
          <xdr:rowOff>19050</xdr:rowOff>
        </xdr:to>
        <xdr:sp macro="" textlink="">
          <xdr:nvSpPr>
            <xdr:cNvPr id="45102" name="Check Box 46" hidden="1">
              <a:extLst>
                <a:ext uri="{63B3BB69-23CF-44E3-9099-C40C66FF867C}">
                  <a14:compatExt spid="_x0000_s45102"/>
                </a:ext>
                <a:ext uri="{FF2B5EF4-FFF2-40B4-BE49-F238E27FC236}">
                  <a16:creationId xmlns:a16="http://schemas.microsoft.com/office/drawing/2014/main" id="{00000000-0008-0000-0700-00002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306</xdr:row>
          <xdr:rowOff>180975</xdr:rowOff>
        </xdr:from>
        <xdr:to>
          <xdr:col>5</xdr:col>
          <xdr:colOff>85725</xdr:colOff>
          <xdr:row>307</xdr:row>
          <xdr:rowOff>276225</xdr:rowOff>
        </xdr:to>
        <xdr:sp macro="" textlink="">
          <xdr:nvSpPr>
            <xdr:cNvPr id="45103" name="Check Box 47" hidden="1">
              <a:extLst>
                <a:ext uri="{63B3BB69-23CF-44E3-9099-C40C66FF867C}">
                  <a14:compatExt spid="_x0000_s45103"/>
                </a:ext>
                <a:ext uri="{FF2B5EF4-FFF2-40B4-BE49-F238E27FC236}">
                  <a16:creationId xmlns:a16="http://schemas.microsoft.com/office/drawing/2014/main" id="{00000000-0008-0000-0700-00002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299</xdr:row>
          <xdr:rowOff>0</xdr:rowOff>
        </xdr:from>
        <xdr:to>
          <xdr:col>5</xdr:col>
          <xdr:colOff>85725</xdr:colOff>
          <xdr:row>300</xdr:row>
          <xdr:rowOff>9525</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0700-00003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328</xdr:row>
          <xdr:rowOff>9525</xdr:rowOff>
        </xdr:from>
        <xdr:to>
          <xdr:col>5</xdr:col>
          <xdr:colOff>85725</xdr:colOff>
          <xdr:row>328</xdr:row>
          <xdr:rowOff>228600</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0700-00003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xdr:from>
          <xdr:col>1</xdr:col>
          <xdr:colOff>0</xdr:colOff>
          <xdr:row>308</xdr:row>
          <xdr:rowOff>0</xdr:rowOff>
        </xdr:from>
        <xdr:to>
          <xdr:col>3</xdr:col>
          <xdr:colOff>276225</xdr:colOff>
          <xdr:row>318</xdr:row>
          <xdr:rowOff>180975</xdr:rowOff>
        </xdr:to>
        <xdr:grpSp>
          <xdr:nvGrpSpPr>
            <xdr:cNvPr id="88918" name="Group 51">
              <a:extLst>
                <a:ext uri="{FF2B5EF4-FFF2-40B4-BE49-F238E27FC236}">
                  <a16:creationId xmlns:a16="http://schemas.microsoft.com/office/drawing/2014/main" id="{00000000-0008-0000-0700-0000565B0100}"/>
                </a:ext>
              </a:extLst>
            </xdr:cNvPr>
            <xdr:cNvGrpSpPr>
              <a:grpSpLocks/>
            </xdr:cNvGrpSpPr>
          </xdr:nvGrpSpPr>
          <xdr:grpSpPr bwMode="auto">
            <a:xfrm>
              <a:off x="55563" y="68064063"/>
              <a:ext cx="1943100" cy="2085975"/>
              <a:chOff x="9" y="640"/>
              <a:chExt cx="211" cy="170"/>
            </a:xfrm>
          </xdr:grpSpPr>
          <xdr:sp macro="" textlink="">
            <xdr:nvSpPr>
              <xdr:cNvPr id="45108" name="Group Box 52" hidden="1">
                <a:extLst>
                  <a:ext uri="{63B3BB69-23CF-44E3-9099-C40C66FF867C}">
                    <a14:compatExt spid="_x0000_s45108"/>
                  </a:ext>
                  <a:ext uri="{FF2B5EF4-FFF2-40B4-BE49-F238E27FC236}">
                    <a16:creationId xmlns:a16="http://schemas.microsoft.com/office/drawing/2014/main" id="{00000000-0008-0000-0700-000034B00000}"/>
                  </a:ext>
                </a:extLst>
              </xdr:cNvPr>
              <xdr:cNvSpPr/>
            </xdr:nvSpPr>
            <xdr:spPr bwMode="auto">
              <a:xfrm>
                <a:off x="9" y="640"/>
                <a:ext cx="211" cy="170"/>
              </a:xfrm>
              <a:prstGeom prst="rect">
                <a:avLst/>
              </a:prstGeom>
              <a:noFill/>
              <a:ln w="9525">
                <a:miter lim="800000"/>
                <a:headEnd/>
                <a:tailEnd/>
              </a:ln>
              <a:extLst>
                <a:ext uri="{909E8E84-426E-40DD-AFC4-6F175D3DCCD1}">
                  <a14:hiddenFill>
                    <a:noFill/>
                  </a14:hiddenFill>
                </a:ext>
              </a:extLst>
            </xdr:spPr>
          </xdr:sp>
          <xdr:sp macro="" textlink="">
            <xdr:nvSpPr>
              <xdr:cNvPr id="45109" name="Option Button 53" hidden="1">
                <a:extLst>
                  <a:ext uri="{63B3BB69-23CF-44E3-9099-C40C66FF867C}">
                    <a14:compatExt spid="_x0000_s45109"/>
                  </a:ext>
                  <a:ext uri="{FF2B5EF4-FFF2-40B4-BE49-F238E27FC236}">
                    <a16:creationId xmlns:a16="http://schemas.microsoft.com/office/drawing/2014/main" id="{00000000-0008-0000-0700-000035B00000}"/>
                  </a:ext>
                </a:extLst>
              </xdr:cNvPr>
              <xdr:cNvSpPr/>
            </xdr:nvSpPr>
            <xdr:spPr bwMode="auto">
              <a:xfrm>
                <a:off x="11" y="641"/>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sp macro="" textlink="">
            <xdr:nvSpPr>
              <xdr:cNvPr id="45110" name="Option Button 54" hidden="1">
                <a:extLst>
                  <a:ext uri="{63B3BB69-23CF-44E3-9099-C40C66FF867C}">
                    <a14:compatExt spid="_x0000_s45110"/>
                  </a:ext>
                  <a:ext uri="{FF2B5EF4-FFF2-40B4-BE49-F238E27FC236}">
                    <a16:creationId xmlns:a16="http://schemas.microsoft.com/office/drawing/2014/main" id="{00000000-0008-0000-0700-000036B00000}"/>
                  </a:ext>
                </a:extLst>
              </xdr:cNvPr>
              <xdr:cNvSpPr/>
            </xdr:nvSpPr>
            <xdr:spPr bwMode="auto">
              <a:xfrm>
                <a:off x="11" y="664"/>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knee (35% leg)</a:t>
                </a:r>
              </a:p>
            </xdr:txBody>
          </xdr:sp>
          <xdr:sp macro="" textlink="">
            <xdr:nvSpPr>
              <xdr:cNvPr id="45111" name="Option Button 55" hidden="1">
                <a:extLst>
                  <a:ext uri="{63B3BB69-23CF-44E3-9099-C40C66FF867C}">
                    <a14:compatExt spid="_x0000_s45111"/>
                  </a:ext>
                  <a:ext uri="{FF2B5EF4-FFF2-40B4-BE49-F238E27FC236}">
                    <a16:creationId xmlns:a16="http://schemas.microsoft.com/office/drawing/2014/main" id="{00000000-0008-0000-0700-000037B00000}"/>
                  </a:ext>
                </a:extLst>
              </xdr:cNvPr>
              <xdr:cNvSpPr/>
            </xdr:nvSpPr>
            <xdr:spPr bwMode="auto">
              <a:xfrm>
                <a:off x="11" y="688"/>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Mid-calf &amp; knee (28% foot)</a:t>
                </a:r>
              </a:p>
            </xdr:txBody>
          </xdr:sp>
          <xdr:sp macro="" textlink="">
            <xdr:nvSpPr>
              <xdr:cNvPr id="45112" name="Option Button 56" hidden="1">
                <a:extLst>
                  <a:ext uri="{63B3BB69-23CF-44E3-9099-C40C66FF867C}">
                    <a14:compatExt spid="_x0000_s45112"/>
                  </a:ext>
                  <a:ext uri="{FF2B5EF4-FFF2-40B4-BE49-F238E27FC236}">
                    <a16:creationId xmlns:a16="http://schemas.microsoft.com/office/drawing/2014/main" id="{00000000-0008-0000-0700-000038B00000}"/>
                  </a:ext>
                </a:extLst>
              </xdr:cNvPr>
              <xdr:cNvSpPr/>
            </xdr:nvSpPr>
            <xdr:spPr bwMode="auto">
              <a:xfrm>
                <a:off x="11" y="712"/>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mid-calf(17% foot)</a:t>
                </a:r>
              </a:p>
            </xdr:txBody>
          </xdr:sp>
          <xdr:sp macro="" textlink="">
            <xdr:nvSpPr>
              <xdr:cNvPr id="45113" name="Option Button 57" hidden="1">
                <a:extLst>
                  <a:ext uri="{63B3BB69-23CF-44E3-9099-C40C66FF867C}">
                    <a14:compatExt spid="_x0000_s45113"/>
                  </a:ext>
                  <a:ext uri="{FF2B5EF4-FFF2-40B4-BE49-F238E27FC236}">
                    <a16:creationId xmlns:a16="http://schemas.microsoft.com/office/drawing/2014/main" id="{00000000-0008-0000-0700-000039B00000}"/>
                  </a:ext>
                </a:extLst>
              </xdr:cNvPr>
              <xdr:cNvSpPr/>
            </xdr:nvSpPr>
            <xdr:spPr bwMode="auto">
              <a:xfrm>
                <a:off x="11" y="735"/>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Lateral &amp; medial plantar branches</a:t>
                </a:r>
              </a:p>
            </xdr:txBody>
          </xdr:sp>
          <xdr:sp macro="" textlink="">
            <xdr:nvSpPr>
              <xdr:cNvPr id="45114" name="Option Button 58" hidden="1">
                <a:extLst>
                  <a:ext uri="{63B3BB69-23CF-44E3-9099-C40C66FF867C}">
                    <a14:compatExt spid="_x0000_s45114"/>
                  </a:ext>
                  <a:ext uri="{FF2B5EF4-FFF2-40B4-BE49-F238E27FC236}">
                    <a16:creationId xmlns:a16="http://schemas.microsoft.com/office/drawing/2014/main" id="{00000000-0008-0000-0700-00003AB00000}"/>
                  </a:ext>
                </a:extLst>
              </xdr:cNvPr>
              <xdr:cNvSpPr/>
            </xdr:nvSpPr>
            <xdr:spPr bwMode="auto">
              <a:xfrm>
                <a:off x="11" y="759"/>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Lateral plantar branch only (6% foot)</a:t>
                </a:r>
              </a:p>
            </xdr:txBody>
          </xdr:sp>
          <xdr:sp macro="" textlink="">
            <xdr:nvSpPr>
              <xdr:cNvPr id="45115" name="Option Button 59" hidden="1">
                <a:extLst>
                  <a:ext uri="{63B3BB69-23CF-44E3-9099-C40C66FF867C}">
                    <a14:compatExt spid="_x0000_s45115"/>
                  </a:ext>
                  <a:ext uri="{FF2B5EF4-FFF2-40B4-BE49-F238E27FC236}">
                    <a16:creationId xmlns:a16="http://schemas.microsoft.com/office/drawing/2014/main" id="{00000000-0008-0000-0700-00003BB00000}"/>
                  </a:ext>
                </a:extLst>
              </xdr:cNvPr>
              <xdr:cNvSpPr/>
            </xdr:nvSpPr>
            <xdr:spPr bwMode="auto">
              <a:xfrm>
                <a:off x="11" y="783"/>
                <a:ext cx="207" cy="24"/>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Medial plantar branch only (6% foot)</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67</xdr:row>
          <xdr:rowOff>9525</xdr:rowOff>
        </xdr:from>
        <xdr:to>
          <xdr:col>3</xdr:col>
          <xdr:colOff>276225</xdr:colOff>
          <xdr:row>68</xdr:row>
          <xdr:rowOff>0</xdr:rowOff>
        </xdr:to>
        <xdr:sp macro="" textlink="">
          <xdr:nvSpPr>
            <xdr:cNvPr id="45128" name="Check Box 72" hidden="1">
              <a:extLst>
                <a:ext uri="{63B3BB69-23CF-44E3-9099-C40C66FF867C}">
                  <a14:compatExt spid="_x0000_s45128"/>
                </a:ext>
                <a:ext uri="{FF2B5EF4-FFF2-40B4-BE49-F238E27FC236}">
                  <a16:creationId xmlns:a16="http://schemas.microsoft.com/office/drawing/2014/main" id="{00000000-0008-0000-0700-00004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68</xdr:row>
          <xdr:rowOff>28575</xdr:rowOff>
        </xdr:from>
        <xdr:to>
          <xdr:col>3</xdr:col>
          <xdr:colOff>276225</xdr:colOff>
          <xdr:row>69</xdr:row>
          <xdr:rowOff>19050</xdr:rowOff>
        </xdr:to>
        <xdr:sp macro="" textlink="">
          <xdr:nvSpPr>
            <xdr:cNvPr id="45129" name="Check Box 73" hidden="1">
              <a:extLst>
                <a:ext uri="{63B3BB69-23CF-44E3-9099-C40C66FF867C}">
                  <a14:compatExt spid="_x0000_s45129"/>
                </a:ext>
                <a:ext uri="{FF2B5EF4-FFF2-40B4-BE49-F238E27FC236}">
                  <a16:creationId xmlns:a16="http://schemas.microsoft.com/office/drawing/2014/main" id="{00000000-0008-0000-0700-00004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69</xdr:row>
          <xdr:rowOff>19050</xdr:rowOff>
        </xdr:from>
        <xdr:to>
          <xdr:col>3</xdr:col>
          <xdr:colOff>276225</xdr:colOff>
          <xdr:row>70</xdr:row>
          <xdr:rowOff>9525</xdr:rowOff>
        </xdr:to>
        <xdr:sp macro="" textlink="">
          <xdr:nvSpPr>
            <xdr:cNvPr id="45130" name="Check Box 74" hidden="1">
              <a:extLst>
                <a:ext uri="{63B3BB69-23CF-44E3-9099-C40C66FF867C}">
                  <a14:compatExt spid="_x0000_s45130"/>
                </a:ext>
                <a:ext uri="{FF2B5EF4-FFF2-40B4-BE49-F238E27FC236}">
                  <a16:creationId xmlns:a16="http://schemas.microsoft.com/office/drawing/2014/main" id="{00000000-0008-0000-0700-00004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107</xdr:row>
          <xdr:rowOff>19050</xdr:rowOff>
        </xdr:from>
        <xdr:to>
          <xdr:col>3</xdr:col>
          <xdr:colOff>276225</xdr:colOff>
          <xdr:row>108</xdr:row>
          <xdr:rowOff>9525</xdr:rowOff>
        </xdr:to>
        <xdr:sp macro="" textlink="">
          <xdr:nvSpPr>
            <xdr:cNvPr id="45131" name="Check Box 75" hidden="1">
              <a:extLst>
                <a:ext uri="{63B3BB69-23CF-44E3-9099-C40C66FF867C}">
                  <a14:compatExt spid="_x0000_s45131"/>
                </a:ext>
                <a:ext uri="{FF2B5EF4-FFF2-40B4-BE49-F238E27FC236}">
                  <a16:creationId xmlns:a16="http://schemas.microsoft.com/office/drawing/2014/main" id="{00000000-0008-0000-0700-00004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108</xdr:row>
          <xdr:rowOff>28575</xdr:rowOff>
        </xdr:from>
        <xdr:to>
          <xdr:col>3</xdr:col>
          <xdr:colOff>276225</xdr:colOff>
          <xdr:row>109</xdr:row>
          <xdr:rowOff>19050</xdr:rowOff>
        </xdr:to>
        <xdr:sp macro="" textlink="">
          <xdr:nvSpPr>
            <xdr:cNvPr id="45132" name="Check Box 76" hidden="1">
              <a:extLst>
                <a:ext uri="{63B3BB69-23CF-44E3-9099-C40C66FF867C}">
                  <a14:compatExt spid="_x0000_s45132"/>
                </a:ext>
                <a:ext uri="{FF2B5EF4-FFF2-40B4-BE49-F238E27FC236}">
                  <a16:creationId xmlns:a16="http://schemas.microsoft.com/office/drawing/2014/main" id="{00000000-0008-0000-0700-00004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109</xdr:row>
          <xdr:rowOff>19050</xdr:rowOff>
        </xdr:from>
        <xdr:to>
          <xdr:col>3</xdr:col>
          <xdr:colOff>276225</xdr:colOff>
          <xdr:row>110</xdr:row>
          <xdr:rowOff>9525</xdr:rowOff>
        </xdr:to>
        <xdr:sp macro="" textlink="">
          <xdr:nvSpPr>
            <xdr:cNvPr id="45133" name="Check Box 77" hidden="1">
              <a:extLst>
                <a:ext uri="{63B3BB69-23CF-44E3-9099-C40C66FF867C}">
                  <a14:compatExt spid="_x0000_s45133"/>
                </a:ext>
                <a:ext uri="{FF2B5EF4-FFF2-40B4-BE49-F238E27FC236}">
                  <a16:creationId xmlns:a16="http://schemas.microsoft.com/office/drawing/2014/main" id="{00000000-0008-0000-0700-00004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147</xdr:row>
          <xdr:rowOff>19050</xdr:rowOff>
        </xdr:from>
        <xdr:to>
          <xdr:col>3</xdr:col>
          <xdr:colOff>276225</xdr:colOff>
          <xdr:row>148</xdr:row>
          <xdr:rowOff>9525</xdr:rowOff>
        </xdr:to>
        <xdr:sp macro="" textlink="">
          <xdr:nvSpPr>
            <xdr:cNvPr id="45134" name="Check Box 78" hidden="1">
              <a:extLst>
                <a:ext uri="{63B3BB69-23CF-44E3-9099-C40C66FF867C}">
                  <a14:compatExt spid="_x0000_s45134"/>
                </a:ext>
                <a:ext uri="{FF2B5EF4-FFF2-40B4-BE49-F238E27FC236}">
                  <a16:creationId xmlns:a16="http://schemas.microsoft.com/office/drawing/2014/main" id="{00000000-0008-0000-0700-00004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148</xdr:row>
          <xdr:rowOff>28575</xdr:rowOff>
        </xdr:from>
        <xdr:to>
          <xdr:col>3</xdr:col>
          <xdr:colOff>276225</xdr:colOff>
          <xdr:row>149</xdr:row>
          <xdr:rowOff>19050</xdr:rowOff>
        </xdr:to>
        <xdr:sp macro="" textlink="">
          <xdr:nvSpPr>
            <xdr:cNvPr id="45135" name="Check Box 79" hidden="1">
              <a:extLst>
                <a:ext uri="{63B3BB69-23CF-44E3-9099-C40C66FF867C}">
                  <a14:compatExt spid="_x0000_s45135"/>
                </a:ext>
                <a:ext uri="{FF2B5EF4-FFF2-40B4-BE49-F238E27FC236}">
                  <a16:creationId xmlns:a16="http://schemas.microsoft.com/office/drawing/2014/main" id="{00000000-0008-0000-0700-00004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149</xdr:row>
          <xdr:rowOff>19050</xdr:rowOff>
        </xdr:from>
        <xdr:to>
          <xdr:col>3</xdr:col>
          <xdr:colOff>276225</xdr:colOff>
          <xdr:row>150</xdr:row>
          <xdr:rowOff>9525</xdr:rowOff>
        </xdr:to>
        <xdr:sp macro="" textlink="">
          <xdr:nvSpPr>
            <xdr:cNvPr id="45136" name="Check Box 80" hidden="1">
              <a:extLst>
                <a:ext uri="{63B3BB69-23CF-44E3-9099-C40C66FF867C}">
                  <a14:compatExt spid="_x0000_s45136"/>
                </a:ext>
                <a:ext uri="{FF2B5EF4-FFF2-40B4-BE49-F238E27FC236}">
                  <a16:creationId xmlns:a16="http://schemas.microsoft.com/office/drawing/2014/main" id="{00000000-0008-0000-0700-00005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187</xdr:row>
          <xdr:rowOff>28575</xdr:rowOff>
        </xdr:from>
        <xdr:to>
          <xdr:col>3</xdr:col>
          <xdr:colOff>276225</xdr:colOff>
          <xdr:row>188</xdr:row>
          <xdr:rowOff>19050</xdr:rowOff>
        </xdr:to>
        <xdr:sp macro="" textlink="">
          <xdr:nvSpPr>
            <xdr:cNvPr id="45137" name="Check Box 81" hidden="1">
              <a:extLst>
                <a:ext uri="{63B3BB69-23CF-44E3-9099-C40C66FF867C}">
                  <a14:compatExt spid="_x0000_s45137"/>
                </a:ext>
                <a:ext uri="{FF2B5EF4-FFF2-40B4-BE49-F238E27FC236}">
                  <a16:creationId xmlns:a16="http://schemas.microsoft.com/office/drawing/2014/main" id="{00000000-0008-0000-0700-00005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188</xdr:row>
          <xdr:rowOff>38100</xdr:rowOff>
        </xdr:from>
        <xdr:to>
          <xdr:col>3</xdr:col>
          <xdr:colOff>276225</xdr:colOff>
          <xdr:row>189</xdr:row>
          <xdr:rowOff>28575</xdr:rowOff>
        </xdr:to>
        <xdr:sp macro="" textlink="">
          <xdr:nvSpPr>
            <xdr:cNvPr id="45138" name="Check Box 82" hidden="1">
              <a:extLst>
                <a:ext uri="{63B3BB69-23CF-44E3-9099-C40C66FF867C}">
                  <a14:compatExt spid="_x0000_s45138"/>
                </a:ext>
                <a:ext uri="{FF2B5EF4-FFF2-40B4-BE49-F238E27FC236}">
                  <a16:creationId xmlns:a16="http://schemas.microsoft.com/office/drawing/2014/main" id="{00000000-0008-0000-0700-00005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189</xdr:row>
          <xdr:rowOff>28575</xdr:rowOff>
        </xdr:from>
        <xdr:to>
          <xdr:col>3</xdr:col>
          <xdr:colOff>276225</xdr:colOff>
          <xdr:row>190</xdr:row>
          <xdr:rowOff>19050</xdr:rowOff>
        </xdr:to>
        <xdr:sp macro="" textlink="">
          <xdr:nvSpPr>
            <xdr:cNvPr id="45139" name="Check Box 83" hidden="1">
              <a:extLst>
                <a:ext uri="{63B3BB69-23CF-44E3-9099-C40C66FF867C}">
                  <a14:compatExt spid="_x0000_s45139"/>
                </a:ext>
                <a:ext uri="{FF2B5EF4-FFF2-40B4-BE49-F238E27FC236}">
                  <a16:creationId xmlns:a16="http://schemas.microsoft.com/office/drawing/2014/main" id="{00000000-0008-0000-0700-00005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9525</xdr:rowOff>
        </xdr:from>
        <xdr:to>
          <xdr:col>3</xdr:col>
          <xdr:colOff>276225</xdr:colOff>
          <xdr:row>30</xdr:row>
          <xdr:rowOff>0</xdr:rowOff>
        </xdr:to>
        <xdr:sp macro="" textlink="">
          <xdr:nvSpPr>
            <xdr:cNvPr id="45140" name="Check Box 84" hidden="1">
              <a:extLst>
                <a:ext uri="{63B3BB69-23CF-44E3-9099-C40C66FF867C}">
                  <a14:compatExt spid="_x0000_s45140"/>
                </a:ext>
                <a:ext uri="{FF2B5EF4-FFF2-40B4-BE49-F238E27FC236}">
                  <a16:creationId xmlns:a16="http://schemas.microsoft.com/office/drawing/2014/main" id="{00000000-0008-0000-0700-00005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0</xdr:rowOff>
        </xdr:from>
        <xdr:to>
          <xdr:col>3</xdr:col>
          <xdr:colOff>276225</xdr:colOff>
          <xdr:row>30</xdr:row>
          <xdr:rowOff>219075</xdr:rowOff>
        </xdr:to>
        <xdr:sp macro="" textlink="">
          <xdr:nvSpPr>
            <xdr:cNvPr id="45141" name="Check Box 85" hidden="1">
              <a:extLst>
                <a:ext uri="{63B3BB69-23CF-44E3-9099-C40C66FF867C}">
                  <a14:compatExt spid="_x0000_s45141"/>
                </a:ext>
                <a:ext uri="{FF2B5EF4-FFF2-40B4-BE49-F238E27FC236}">
                  <a16:creationId xmlns:a16="http://schemas.microsoft.com/office/drawing/2014/main" id="{00000000-0008-0000-0700-00005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29</xdr:row>
          <xdr:rowOff>9525</xdr:rowOff>
        </xdr:from>
        <xdr:to>
          <xdr:col>3</xdr:col>
          <xdr:colOff>276225</xdr:colOff>
          <xdr:row>30</xdr:row>
          <xdr:rowOff>0</xdr:rowOff>
        </xdr:to>
        <xdr:sp macro="" textlink="">
          <xdr:nvSpPr>
            <xdr:cNvPr id="45142" name="Check Box 86" hidden="1">
              <a:extLst>
                <a:ext uri="{63B3BB69-23CF-44E3-9099-C40C66FF867C}">
                  <a14:compatExt spid="_x0000_s45142"/>
                </a:ext>
                <a:ext uri="{FF2B5EF4-FFF2-40B4-BE49-F238E27FC236}">
                  <a16:creationId xmlns:a16="http://schemas.microsoft.com/office/drawing/2014/main" id="{00000000-0008-0000-0700-00005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190500</xdr:colOff>
          <xdr:row>30</xdr:row>
          <xdr:rowOff>0</xdr:rowOff>
        </xdr:from>
        <xdr:to>
          <xdr:col>3</xdr:col>
          <xdr:colOff>276225</xdr:colOff>
          <xdr:row>30</xdr:row>
          <xdr:rowOff>219075</xdr:rowOff>
        </xdr:to>
        <xdr:sp macro="" textlink="">
          <xdr:nvSpPr>
            <xdr:cNvPr id="45143" name="Check Box 87" hidden="1">
              <a:extLst>
                <a:ext uri="{63B3BB69-23CF-44E3-9099-C40C66FF867C}">
                  <a14:compatExt spid="_x0000_s45143"/>
                </a:ext>
                <a:ext uri="{FF2B5EF4-FFF2-40B4-BE49-F238E27FC236}">
                  <a16:creationId xmlns:a16="http://schemas.microsoft.com/office/drawing/2014/main" id="{00000000-0008-0000-0700-00005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207</xdr:row>
          <xdr:rowOff>0</xdr:rowOff>
        </xdr:from>
        <xdr:to>
          <xdr:col>8</xdr:col>
          <xdr:colOff>114300</xdr:colOff>
          <xdr:row>207</xdr:row>
          <xdr:rowOff>219075</xdr:rowOff>
        </xdr:to>
        <xdr:sp macro="" textlink="">
          <xdr:nvSpPr>
            <xdr:cNvPr id="45144" name="Check Box 88" hidden="1">
              <a:extLst>
                <a:ext uri="{63B3BB69-23CF-44E3-9099-C40C66FF867C}">
                  <a14:compatExt spid="_x0000_s45144"/>
                </a:ext>
                <a:ext uri="{FF2B5EF4-FFF2-40B4-BE49-F238E27FC236}">
                  <a16:creationId xmlns:a16="http://schemas.microsoft.com/office/drawing/2014/main" id="{00000000-0008-0000-0700-00005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208</xdr:row>
          <xdr:rowOff>0</xdr:rowOff>
        </xdr:from>
        <xdr:to>
          <xdr:col>8</xdr:col>
          <xdr:colOff>114300</xdr:colOff>
          <xdr:row>209</xdr:row>
          <xdr:rowOff>0</xdr:rowOff>
        </xdr:to>
        <xdr:sp macro="" textlink="">
          <xdr:nvSpPr>
            <xdr:cNvPr id="45145" name="Check Box 89" hidden="1">
              <a:extLst>
                <a:ext uri="{63B3BB69-23CF-44E3-9099-C40C66FF867C}">
                  <a14:compatExt spid="_x0000_s45145"/>
                </a:ext>
                <a:ext uri="{FF2B5EF4-FFF2-40B4-BE49-F238E27FC236}">
                  <a16:creationId xmlns:a16="http://schemas.microsoft.com/office/drawing/2014/main" id="{00000000-0008-0000-0700-00005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209</xdr:row>
          <xdr:rowOff>9525</xdr:rowOff>
        </xdr:from>
        <xdr:to>
          <xdr:col>8</xdr:col>
          <xdr:colOff>114300</xdr:colOff>
          <xdr:row>210</xdr:row>
          <xdr:rowOff>0</xdr:rowOff>
        </xdr:to>
        <xdr:sp macro="" textlink="">
          <xdr:nvSpPr>
            <xdr:cNvPr id="45146" name="Check Box 90" hidden="1">
              <a:extLst>
                <a:ext uri="{63B3BB69-23CF-44E3-9099-C40C66FF867C}">
                  <a14:compatExt spid="_x0000_s45146"/>
                </a:ext>
                <a:ext uri="{FF2B5EF4-FFF2-40B4-BE49-F238E27FC236}">
                  <a16:creationId xmlns:a16="http://schemas.microsoft.com/office/drawing/2014/main" id="{00000000-0008-0000-0700-00005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210</xdr:row>
          <xdr:rowOff>9525</xdr:rowOff>
        </xdr:from>
        <xdr:to>
          <xdr:col>8</xdr:col>
          <xdr:colOff>114300</xdr:colOff>
          <xdr:row>211</xdr:row>
          <xdr:rowOff>0</xdr:rowOff>
        </xdr:to>
        <xdr:sp macro="" textlink="">
          <xdr:nvSpPr>
            <xdr:cNvPr id="45147" name="Check Box 91" hidden="1">
              <a:extLst>
                <a:ext uri="{63B3BB69-23CF-44E3-9099-C40C66FF867C}">
                  <a14:compatExt spid="_x0000_s45147"/>
                </a:ext>
                <a:ext uri="{FF2B5EF4-FFF2-40B4-BE49-F238E27FC236}">
                  <a16:creationId xmlns:a16="http://schemas.microsoft.com/office/drawing/2014/main" id="{00000000-0008-0000-0700-00005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211</xdr:row>
          <xdr:rowOff>9525</xdr:rowOff>
        </xdr:from>
        <xdr:to>
          <xdr:col>8</xdr:col>
          <xdr:colOff>114300</xdr:colOff>
          <xdr:row>212</xdr:row>
          <xdr:rowOff>0</xdr:rowOff>
        </xdr:to>
        <xdr:sp macro="" textlink="">
          <xdr:nvSpPr>
            <xdr:cNvPr id="45148" name="Check Box 92" hidden="1">
              <a:extLst>
                <a:ext uri="{63B3BB69-23CF-44E3-9099-C40C66FF867C}">
                  <a14:compatExt spid="_x0000_s45148"/>
                </a:ext>
                <a:ext uri="{FF2B5EF4-FFF2-40B4-BE49-F238E27FC236}">
                  <a16:creationId xmlns:a16="http://schemas.microsoft.com/office/drawing/2014/main" id="{00000000-0008-0000-0700-00005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214</xdr:row>
          <xdr:rowOff>19050</xdr:rowOff>
        </xdr:from>
        <xdr:to>
          <xdr:col>7</xdr:col>
          <xdr:colOff>19050</xdr:colOff>
          <xdr:row>215</xdr:row>
          <xdr:rowOff>9525</xdr:rowOff>
        </xdr:to>
        <xdr:sp macro="" textlink="">
          <xdr:nvSpPr>
            <xdr:cNvPr id="45149" name="Check Box 93" hidden="1">
              <a:extLst>
                <a:ext uri="{63B3BB69-23CF-44E3-9099-C40C66FF867C}">
                  <a14:compatExt spid="_x0000_s45149"/>
                </a:ext>
                <a:ext uri="{FF2B5EF4-FFF2-40B4-BE49-F238E27FC236}">
                  <a16:creationId xmlns:a16="http://schemas.microsoft.com/office/drawing/2014/main" id="{00000000-0008-0000-0700-00005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215</xdr:row>
          <xdr:rowOff>19050</xdr:rowOff>
        </xdr:from>
        <xdr:to>
          <xdr:col>7</xdr:col>
          <xdr:colOff>19050</xdr:colOff>
          <xdr:row>216</xdr:row>
          <xdr:rowOff>19050</xdr:rowOff>
        </xdr:to>
        <xdr:sp macro="" textlink="">
          <xdr:nvSpPr>
            <xdr:cNvPr id="45150" name="Check Box 94" hidden="1">
              <a:extLst>
                <a:ext uri="{63B3BB69-23CF-44E3-9099-C40C66FF867C}">
                  <a14:compatExt spid="_x0000_s45150"/>
                </a:ext>
                <a:ext uri="{FF2B5EF4-FFF2-40B4-BE49-F238E27FC236}">
                  <a16:creationId xmlns:a16="http://schemas.microsoft.com/office/drawing/2014/main" id="{00000000-0008-0000-0700-00005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216</xdr:row>
          <xdr:rowOff>28575</xdr:rowOff>
        </xdr:from>
        <xdr:to>
          <xdr:col>7</xdr:col>
          <xdr:colOff>19050</xdr:colOff>
          <xdr:row>217</xdr:row>
          <xdr:rowOff>19050</xdr:rowOff>
        </xdr:to>
        <xdr:sp macro="" textlink="">
          <xdr:nvSpPr>
            <xdr:cNvPr id="45151" name="Check Box 95" hidden="1">
              <a:extLst>
                <a:ext uri="{63B3BB69-23CF-44E3-9099-C40C66FF867C}">
                  <a14:compatExt spid="_x0000_s45151"/>
                </a:ext>
                <a:ext uri="{FF2B5EF4-FFF2-40B4-BE49-F238E27FC236}">
                  <a16:creationId xmlns:a16="http://schemas.microsoft.com/office/drawing/2014/main" id="{00000000-0008-0000-0700-00005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217</xdr:row>
          <xdr:rowOff>19050</xdr:rowOff>
        </xdr:from>
        <xdr:to>
          <xdr:col>7</xdr:col>
          <xdr:colOff>19050</xdr:colOff>
          <xdr:row>218</xdr:row>
          <xdr:rowOff>9525</xdr:rowOff>
        </xdr:to>
        <xdr:sp macro="" textlink="">
          <xdr:nvSpPr>
            <xdr:cNvPr id="45152" name="Check Box 96" hidden="1">
              <a:extLst>
                <a:ext uri="{63B3BB69-23CF-44E3-9099-C40C66FF867C}">
                  <a14:compatExt spid="_x0000_s45152"/>
                </a:ext>
                <a:ext uri="{FF2B5EF4-FFF2-40B4-BE49-F238E27FC236}">
                  <a16:creationId xmlns:a16="http://schemas.microsoft.com/office/drawing/2014/main" id="{00000000-0008-0000-0700-00006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218</xdr:row>
          <xdr:rowOff>9525</xdr:rowOff>
        </xdr:from>
        <xdr:to>
          <xdr:col>7</xdr:col>
          <xdr:colOff>19050</xdr:colOff>
          <xdr:row>219</xdr:row>
          <xdr:rowOff>0</xdr:rowOff>
        </xdr:to>
        <xdr:sp macro="" textlink="">
          <xdr:nvSpPr>
            <xdr:cNvPr id="45153" name="Check Box 97" hidden="1">
              <a:extLst>
                <a:ext uri="{63B3BB69-23CF-44E3-9099-C40C66FF867C}">
                  <a14:compatExt spid="_x0000_s45153"/>
                </a:ext>
                <a:ext uri="{FF2B5EF4-FFF2-40B4-BE49-F238E27FC236}">
                  <a16:creationId xmlns:a16="http://schemas.microsoft.com/office/drawing/2014/main" id="{00000000-0008-0000-0700-00006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1076325</xdr:colOff>
          <xdr:row>246</xdr:row>
          <xdr:rowOff>0</xdr:rowOff>
        </xdr:from>
        <xdr:to>
          <xdr:col>15</xdr:col>
          <xdr:colOff>0</xdr:colOff>
          <xdr:row>247</xdr:row>
          <xdr:rowOff>0</xdr:rowOff>
        </xdr:to>
        <xdr:grpSp>
          <xdr:nvGrpSpPr>
            <xdr:cNvPr id="88919" name="Group 98">
              <a:extLst>
                <a:ext uri="{FF2B5EF4-FFF2-40B4-BE49-F238E27FC236}">
                  <a16:creationId xmlns:a16="http://schemas.microsoft.com/office/drawing/2014/main" id="{00000000-0008-0000-0700-0000575B0100}"/>
                </a:ext>
              </a:extLst>
            </xdr:cNvPr>
            <xdr:cNvGrpSpPr>
              <a:grpSpLocks/>
            </xdr:cNvGrpSpPr>
          </xdr:nvGrpSpPr>
          <xdr:grpSpPr bwMode="auto">
            <a:xfrm>
              <a:off x="1131888" y="53419375"/>
              <a:ext cx="4146550" cy="246063"/>
              <a:chOff x="119" y="4735"/>
              <a:chExt cx="436" cy="26"/>
            </a:xfrm>
          </xdr:grpSpPr>
          <xdr:sp macro="" textlink="">
            <xdr:nvSpPr>
              <xdr:cNvPr id="45155" name="Group Box 99" hidden="1">
                <a:extLst>
                  <a:ext uri="{63B3BB69-23CF-44E3-9099-C40C66FF867C}">
                    <a14:compatExt spid="_x0000_s45155"/>
                  </a:ext>
                  <a:ext uri="{FF2B5EF4-FFF2-40B4-BE49-F238E27FC236}">
                    <a16:creationId xmlns:a16="http://schemas.microsoft.com/office/drawing/2014/main" id="{00000000-0008-0000-0700-000063B00000}"/>
                  </a:ext>
                </a:extLst>
              </xdr:cNvPr>
              <xdr:cNvSpPr/>
            </xdr:nvSpPr>
            <xdr:spPr bwMode="auto">
              <a:xfrm>
                <a:off x="119" y="4735"/>
                <a:ext cx="436" cy="26"/>
              </a:xfrm>
              <a:prstGeom prst="rect">
                <a:avLst/>
              </a:prstGeom>
              <a:noFill/>
              <a:ln w="9525">
                <a:miter lim="800000"/>
                <a:headEnd/>
                <a:tailEnd/>
              </a:ln>
              <a:extLst>
                <a:ext uri="{909E8E84-426E-40DD-AFC4-6F175D3DCCD1}">
                  <a14:hiddenFill>
                    <a:noFill/>
                  </a14:hiddenFill>
                </a:ext>
              </a:extLst>
            </xdr:spPr>
          </xdr:sp>
          <xdr:sp macro="" textlink="">
            <xdr:nvSpPr>
              <xdr:cNvPr id="45156" name="Option Button 100" hidden="1">
                <a:extLst>
                  <a:ext uri="{63B3BB69-23CF-44E3-9099-C40C66FF867C}">
                    <a14:compatExt spid="_x0000_s45156"/>
                  </a:ext>
                  <a:ext uri="{FF2B5EF4-FFF2-40B4-BE49-F238E27FC236}">
                    <a16:creationId xmlns:a16="http://schemas.microsoft.com/office/drawing/2014/main" id="{00000000-0008-0000-0700-000064B00000}"/>
                  </a:ext>
                </a:extLst>
              </xdr:cNvPr>
              <xdr:cNvSpPr/>
            </xdr:nvSpPr>
            <xdr:spPr bwMode="auto">
              <a:xfrm>
                <a:off x="120" y="4736"/>
                <a:ext cx="41"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57" name="Option Button 101" hidden="1">
                <a:extLst>
                  <a:ext uri="{63B3BB69-23CF-44E3-9099-C40C66FF867C}">
                    <a14:compatExt spid="_x0000_s45157"/>
                  </a:ext>
                  <a:ext uri="{FF2B5EF4-FFF2-40B4-BE49-F238E27FC236}">
                    <a16:creationId xmlns:a16="http://schemas.microsoft.com/office/drawing/2014/main" id="{00000000-0008-0000-0700-000065B00000}"/>
                  </a:ext>
                </a:extLst>
              </xdr:cNvPr>
              <xdr:cNvSpPr/>
            </xdr:nvSpPr>
            <xdr:spPr bwMode="auto">
              <a:xfrm>
                <a:off x="175" y="4737"/>
                <a:ext cx="18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5158" name="Option Button 102" hidden="1">
                <a:extLst>
                  <a:ext uri="{63B3BB69-23CF-44E3-9099-C40C66FF867C}">
                    <a14:compatExt spid="_x0000_s45158"/>
                  </a:ext>
                  <a:ext uri="{FF2B5EF4-FFF2-40B4-BE49-F238E27FC236}">
                    <a16:creationId xmlns:a16="http://schemas.microsoft.com/office/drawing/2014/main" id="{00000000-0008-0000-0700-000066B00000}"/>
                  </a:ext>
                </a:extLst>
              </xdr:cNvPr>
              <xdr:cNvSpPr/>
            </xdr:nvSpPr>
            <xdr:spPr bwMode="auto">
              <a:xfrm>
                <a:off x="369" y="4737"/>
                <a:ext cx="176" cy="23"/>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247</xdr:row>
          <xdr:rowOff>19050</xdr:rowOff>
        </xdr:from>
        <xdr:to>
          <xdr:col>1</xdr:col>
          <xdr:colOff>390525</xdr:colOff>
          <xdr:row>248</xdr:row>
          <xdr:rowOff>9525</xdr:rowOff>
        </xdr:to>
        <xdr:sp macro="" textlink="">
          <xdr:nvSpPr>
            <xdr:cNvPr id="45159" name="Check Box 103" hidden="1">
              <a:extLst>
                <a:ext uri="{63B3BB69-23CF-44E3-9099-C40C66FF867C}">
                  <a14:compatExt spid="_x0000_s45159"/>
                </a:ext>
                <a:ext uri="{FF2B5EF4-FFF2-40B4-BE49-F238E27FC236}">
                  <a16:creationId xmlns:a16="http://schemas.microsoft.com/office/drawing/2014/main" id="{00000000-0008-0000-0700-000067B00000}"/>
                </a:ext>
              </a:extLst>
            </xdr:cNvPr>
            <xdr:cNvSpPr/>
          </xdr:nvSpPr>
          <xdr:spPr bwMode="auto">
            <a:xfrm>
              <a:off x="0" y="0"/>
              <a:ext cx="0" cy="0"/>
            </a:xfrm>
            <a:prstGeom prst="rect">
              <a:avLst/>
            </a:prstGeom>
            <a:noFill/>
            <a:ln w="9525">
              <a:solidFill>
                <a:srgbClr val="CCFFCC" mc:Ignorable="a14" a14:legacySpreadsheetColorIndex="42"/>
              </a:solidFill>
              <a:miter lim="800000"/>
              <a:headEnd/>
              <a:tailEnd/>
            </a:ln>
            <a:extLst>
              <a:ext uri="{909E8E84-426E-40DD-AFC4-6F175D3DCCD1}">
                <a14:hiddenFill>
                  <a:solidFill>
                    <a:srgbClr val="CCFFCC" mc:Ignorable="a14" a14:legacySpreadsheetColorIndex="42"/>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249</xdr:row>
          <xdr:rowOff>9525</xdr:rowOff>
        </xdr:from>
        <xdr:to>
          <xdr:col>6</xdr:col>
          <xdr:colOff>190500</xdr:colOff>
          <xdr:row>250</xdr:row>
          <xdr:rowOff>0</xdr:rowOff>
        </xdr:to>
        <xdr:sp macro="" textlink="">
          <xdr:nvSpPr>
            <xdr:cNvPr id="45160" name="Check Box 104" hidden="1">
              <a:extLst>
                <a:ext uri="{63B3BB69-23CF-44E3-9099-C40C66FF867C}">
                  <a14:compatExt spid="_x0000_s45160"/>
                </a:ext>
                <a:ext uri="{FF2B5EF4-FFF2-40B4-BE49-F238E27FC236}">
                  <a16:creationId xmlns:a16="http://schemas.microsoft.com/office/drawing/2014/main" id="{00000000-0008-0000-0700-00006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253</xdr:row>
          <xdr:rowOff>0</xdr:rowOff>
        </xdr:from>
        <xdr:to>
          <xdr:col>15</xdr:col>
          <xdr:colOff>0</xdr:colOff>
          <xdr:row>254</xdr:row>
          <xdr:rowOff>0</xdr:rowOff>
        </xdr:to>
        <xdr:grpSp>
          <xdr:nvGrpSpPr>
            <xdr:cNvPr id="88920" name="Group 105">
              <a:extLst>
                <a:ext uri="{FF2B5EF4-FFF2-40B4-BE49-F238E27FC236}">
                  <a16:creationId xmlns:a16="http://schemas.microsoft.com/office/drawing/2014/main" id="{00000000-0008-0000-0700-0000585B0100}"/>
                </a:ext>
              </a:extLst>
            </xdr:cNvPr>
            <xdr:cNvGrpSpPr>
              <a:grpSpLocks/>
            </xdr:cNvGrpSpPr>
          </xdr:nvGrpSpPr>
          <xdr:grpSpPr bwMode="auto">
            <a:xfrm>
              <a:off x="4103688" y="54927500"/>
              <a:ext cx="1174750" cy="269875"/>
              <a:chOff x="431" y="4893"/>
              <a:chExt cx="124" cy="28"/>
            </a:xfrm>
          </xdr:grpSpPr>
          <xdr:sp macro="" textlink="">
            <xdr:nvSpPr>
              <xdr:cNvPr id="45162" name="Group Box 106" hidden="1">
                <a:extLst>
                  <a:ext uri="{63B3BB69-23CF-44E3-9099-C40C66FF867C}">
                    <a14:compatExt spid="_x0000_s45162"/>
                  </a:ext>
                  <a:ext uri="{FF2B5EF4-FFF2-40B4-BE49-F238E27FC236}">
                    <a16:creationId xmlns:a16="http://schemas.microsoft.com/office/drawing/2014/main" id="{00000000-0008-0000-0700-00006AB00000}"/>
                  </a:ext>
                </a:extLst>
              </xdr:cNvPr>
              <xdr:cNvSpPr/>
            </xdr:nvSpPr>
            <xdr:spPr bwMode="auto">
              <a:xfrm>
                <a:off x="431" y="4893"/>
                <a:ext cx="124" cy="28"/>
              </a:xfrm>
              <a:prstGeom prst="rect">
                <a:avLst/>
              </a:prstGeom>
              <a:noFill/>
              <a:ln w="9525">
                <a:miter lim="800000"/>
                <a:headEnd/>
                <a:tailEnd/>
              </a:ln>
              <a:extLst>
                <a:ext uri="{909E8E84-426E-40DD-AFC4-6F175D3DCCD1}">
                  <a14:hiddenFill>
                    <a:noFill/>
                  </a14:hiddenFill>
                </a:ext>
              </a:extLst>
            </xdr:spPr>
          </xdr:sp>
          <xdr:sp macro="" textlink="">
            <xdr:nvSpPr>
              <xdr:cNvPr id="45163" name="Option Button 107" hidden="1">
                <a:extLst>
                  <a:ext uri="{63B3BB69-23CF-44E3-9099-C40C66FF867C}">
                    <a14:compatExt spid="_x0000_s45163"/>
                  </a:ext>
                  <a:ext uri="{FF2B5EF4-FFF2-40B4-BE49-F238E27FC236}">
                    <a16:creationId xmlns:a16="http://schemas.microsoft.com/office/drawing/2014/main" id="{00000000-0008-0000-0700-00006BB00000}"/>
                  </a:ext>
                </a:extLst>
              </xdr:cNvPr>
              <xdr:cNvSpPr/>
            </xdr:nvSpPr>
            <xdr:spPr bwMode="auto">
              <a:xfrm>
                <a:off x="439" y="4895"/>
                <a:ext cx="54"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164" name="Option Button 108" hidden="1">
                <a:extLst>
                  <a:ext uri="{63B3BB69-23CF-44E3-9099-C40C66FF867C}">
                    <a14:compatExt spid="_x0000_s45164"/>
                  </a:ext>
                  <a:ext uri="{FF2B5EF4-FFF2-40B4-BE49-F238E27FC236}">
                    <a16:creationId xmlns:a16="http://schemas.microsoft.com/office/drawing/2014/main" id="{00000000-0008-0000-0700-00006CB00000}"/>
                  </a:ext>
                </a:extLst>
              </xdr:cNvPr>
              <xdr:cNvSpPr/>
            </xdr:nvSpPr>
            <xdr:spPr bwMode="auto">
              <a:xfrm>
                <a:off x="496" y="4895"/>
                <a:ext cx="42" cy="25"/>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256</xdr:row>
          <xdr:rowOff>28575</xdr:rowOff>
        </xdr:from>
        <xdr:to>
          <xdr:col>5</xdr:col>
          <xdr:colOff>219075</xdr:colOff>
          <xdr:row>257</xdr:row>
          <xdr:rowOff>19050</xdr:rowOff>
        </xdr:to>
        <xdr:sp macro="" textlink="">
          <xdr:nvSpPr>
            <xdr:cNvPr id="45165" name="Check Box 109" hidden="1">
              <a:extLst>
                <a:ext uri="{63B3BB69-23CF-44E3-9099-C40C66FF867C}">
                  <a14:compatExt spid="_x0000_s45165"/>
                </a:ext>
                <a:ext uri="{FF2B5EF4-FFF2-40B4-BE49-F238E27FC236}">
                  <a16:creationId xmlns:a16="http://schemas.microsoft.com/office/drawing/2014/main" id="{00000000-0008-0000-0700-00006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257</xdr:row>
          <xdr:rowOff>38100</xdr:rowOff>
        </xdr:from>
        <xdr:to>
          <xdr:col>5</xdr:col>
          <xdr:colOff>219075</xdr:colOff>
          <xdr:row>258</xdr:row>
          <xdr:rowOff>28575</xdr:rowOff>
        </xdr:to>
        <xdr:sp macro="" textlink="">
          <xdr:nvSpPr>
            <xdr:cNvPr id="45166" name="Check Box 110" hidden="1">
              <a:extLst>
                <a:ext uri="{63B3BB69-23CF-44E3-9099-C40C66FF867C}">
                  <a14:compatExt spid="_x0000_s45166"/>
                </a:ext>
                <a:ext uri="{FF2B5EF4-FFF2-40B4-BE49-F238E27FC236}">
                  <a16:creationId xmlns:a16="http://schemas.microsoft.com/office/drawing/2014/main" id="{00000000-0008-0000-0700-00006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258</xdr:row>
          <xdr:rowOff>38100</xdr:rowOff>
        </xdr:from>
        <xdr:to>
          <xdr:col>5</xdr:col>
          <xdr:colOff>219075</xdr:colOff>
          <xdr:row>259</xdr:row>
          <xdr:rowOff>28575</xdr:rowOff>
        </xdr:to>
        <xdr:sp macro="" textlink="">
          <xdr:nvSpPr>
            <xdr:cNvPr id="45167" name="Check Box 111" hidden="1">
              <a:extLst>
                <a:ext uri="{63B3BB69-23CF-44E3-9099-C40C66FF867C}">
                  <a14:compatExt spid="_x0000_s45167"/>
                </a:ext>
                <a:ext uri="{FF2B5EF4-FFF2-40B4-BE49-F238E27FC236}">
                  <a16:creationId xmlns:a16="http://schemas.microsoft.com/office/drawing/2014/main" id="{00000000-0008-0000-0700-00006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259</xdr:row>
          <xdr:rowOff>38100</xdr:rowOff>
        </xdr:from>
        <xdr:to>
          <xdr:col>5</xdr:col>
          <xdr:colOff>219075</xdr:colOff>
          <xdr:row>260</xdr:row>
          <xdr:rowOff>38100</xdr:rowOff>
        </xdr:to>
        <xdr:sp macro="" textlink="">
          <xdr:nvSpPr>
            <xdr:cNvPr id="45168" name="Check Box 112" hidden="1">
              <a:extLst>
                <a:ext uri="{63B3BB69-23CF-44E3-9099-C40C66FF867C}">
                  <a14:compatExt spid="_x0000_s45168"/>
                </a:ext>
                <a:ext uri="{FF2B5EF4-FFF2-40B4-BE49-F238E27FC236}">
                  <a16:creationId xmlns:a16="http://schemas.microsoft.com/office/drawing/2014/main" id="{00000000-0008-0000-0700-00007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260</xdr:row>
          <xdr:rowOff>47625</xdr:rowOff>
        </xdr:from>
        <xdr:to>
          <xdr:col>5</xdr:col>
          <xdr:colOff>219075</xdr:colOff>
          <xdr:row>261</xdr:row>
          <xdr:rowOff>38100</xdr:rowOff>
        </xdr:to>
        <xdr:sp macro="" textlink="">
          <xdr:nvSpPr>
            <xdr:cNvPr id="45169" name="Check Box 113" hidden="1">
              <a:extLst>
                <a:ext uri="{63B3BB69-23CF-44E3-9099-C40C66FF867C}">
                  <a14:compatExt spid="_x0000_s45169"/>
                </a:ext>
                <a:ext uri="{FF2B5EF4-FFF2-40B4-BE49-F238E27FC236}">
                  <a16:creationId xmlns:a16="http://schemas.microsoft.com/office/drawing/2014/main" id="{00000000-0008-0000-0700-00007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261</xdr:row>
          <xdr:rowOff>47625</xdr:rowOff>
        </xdr:from>
        <xdr:to>
          <xdr:col>5</xdr:col>
          <xdr:colOff>219075</xdr:colOff>
          <xdr:row>262</xdr:row>
          <xdr:rowOff>38100</xdr:rowOff>
        </xdr:to>
        <xdr:sp macro="" textlink="">
          <xdr:nvSpPr>
            <xdr:cNvPr id="45170" name="Check Box 114" hidden="1">
              <a:extLst>
                <a:ext uri="{63B3BB69-23CF-44E3-9099-C40C66FF867C}">
                  <a14:compatExt spid="_x0000_s45170"/>
                </a:ext>
                <a:ext uri="{FF2B5EF4-FFF2-40B4-BE49-F238E27FC236}">
                  <a16:creationId xmlns:a16="http://schemas.microsoft.com/office/drawing/2014/main" id="{00000000-0008-0000-0700-00007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262</xdr:row>
          <xdr:rowOff>28575</xdr:rowOff>
        </xdr:from>
        <xdr:to>
          <xdr:col>5</xdr:col>
          <xdr:colOff>219075</xdr:colOff>
          <xdr:row>263</xdr:row>
          <xdr:rowOff>19050</xdr:rowOff>
        </xdr:to>
        <xdr:sp macro="" textlink="">
          <xdr:nvSpPr>
            <xdr:cNvPr id="45171" name="Check Box 115" hidden="1">
              <a:extLst>
                <a:ext uri="{63B3BB69-23CF-44E3-9099-C40C66FF867C}">
                  <a14:compatExt spid="_x0000_s45171"/>
                </a:ext>
                <a:ext uri="{FF2B5EF4-FFF2-40B4-BE49-F238E27FC236}">
                  <a16:creationId xmlns:a16="http://schemas.microsoft.com/office/drawing/2014/main" id="{00000000-0008-0000-0700-00007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266</xdr:row>
          <xdr:rowOff>0</xdr:rowOff>
        </xdr:from>
        <xdr:to>
          <xdr:col>15</xdr:col>
          <xdr:colOff>0</xdr:colOff>
          <xdr:row>267</xdr:row>
          <xdr:rowOff>0</xdr:rowOff>
        </xdr:to>
        <xdr:grpSp>
          <xdr:nvGrpSpPr>
            <xdr:cNvPr id="88921" name="Group 120">
              <a:extLst>
                <a:ext uri="{FF2B5EF4-FFF2-40B4-BE49-F238E27FC236}">
                  <a16:creationId xmlns:a16="http://schemas.microsoft.com/office/drawing/2014/main" id="{00000000-0008-0000-0700-0000595B0100}"/>
                </a:ext>
              </a:extLst>
            </xdr:cNvPr>
            <xdr:cNvGrpSpPr>
              <a:grpSpLocks/>
            </xdr:cNvGrpSpPr>
          </xdr:nvGrpSpPr>
          <xdr:grpSpPr bwMode="auto">
            <a:xfrm>
              <a:off x="4113213" y="58110438"/>
              <a:ext cx="1165225" cy="230187"/>
              <a:chOff x="442" y="5994"/>
              <a:chExt cx="127" cy="23"/>
            </a:xfrm>
          </xdr:grpSpPr>
          <xdr:sp macro="" textlink="">
            <xdr:nvSpPr>
              <xdr:cNvPr id="45177" name="Group Box 121" hidden="1">
                <a:extLst>
                  <a:ext uri="{63B3BB69-23CF-44E3-9099-C40C66FF867C}">
                    <a14:compatExt spid="_x0000_s45177"/>
                  </a:ext>
                  <a:ext uri="{FF2B5EF4-FFF2-40B4-BE49-F238E27FC236}">
                    <a16:creationId xmlns:a16="http://schemas.microsoft.com/office/drawing/2014/main" id="{00000000-0008-0000-0700-000079B00000}"/>
                  </a:ext>
                </a:extLst>
              </xdr:cNvPr>
              <xdr:cNvSpPr/>
            </xdr:nvSpPr>
            <xdr:spPr bwMode="auto">
              <a:xfrm>
                <a:off x="442" y="5994"/>
                <a:ext cx="127" cy="23"/>
              </a:xfrm>
              <a:prstGeom prst="rect">
                <a:avLst/>
              </a:prstGeom>
              <a:noFill/>
              <a:ln w="9525">
                <a:miter lim="800000"/>
                <a:headEnd/>
                <a:tailEnd/>
              </a:ln>
              <a:extLst>
                <a:ext uri="{909E8E84-426E-40DD-AFC4-6F175D3DCCD1}">
                  <a14:hiddenFill>
                    <a:noFill/>
                  </a14:hiddenFill>
                </a:ext>
              </a:extLst>
            </xdr:spPr>
          </xdr:sp>
          <xdr:sp macro="" textlink="">
            <xdr:nvSpPr>
              <xdr:cNvPr id="45178" name="Option Button 122" hidden="1">
                <a:extLst>
                  <a:ext uri="{63B3BB69-23CF-44E3-9099-C40C66FF867C}">
                    <a14:compatExt spid="_x0000_s45178"/>
                  </a:ext>
                  <a:ext uri="{FF2B5EF4-FFF2-40B4-BE49-F238E27FC236}">
                    <a16:creationId xmlns:a16="http://schemas.microsoft.com/office/drawing/2014/main" id="{00000000-0008-0000-0700-00007AB00000}"/>
                  </a:ext>
                </a:extLst>
              </xdr:cNvPr>
              <xdr:cNvSpPr/>
            </xdr:nvSpPr>
            <xdr:spPr bwMode="auto">
              <a:xfrm>
                <a:off x="448" y="599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179" name="Option Button 123" hidden="1">
                <a:extLst>
                  <a:ext uri="{63B3BB69-23CF-44E3-9099-C40C66FF867C}">
                    <a14:compatExt spid="_x0000_s45179"/>
                  </a:ext>
                  <a:ext uri="{FF2B5EF4-FFF2-40B4-BE49-F238E27FC236}">
                    <a16:creationId xmlns:a16="http://schemas.microsoft.com/office/drawing/2014/main" id="{00000000-0008-0000-0700-00007BB00000}"/>
                  </a:ext>
                </a:extLst>
              </xdr:cNvPr>
              <xdr:cNvSpPr/>
            </xdr:nvSpPr>
            <xdr:spPr bwMode="auto">
              <a:xfrm>
                <a:off x="507" y="599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962025</xdr:colOff>
          <xdr:row>403</xdr:row>
          <xdr:rowOff>0</xdr:rowOff>
        </xdr:from>
        <xdr:to>
          <xdr:col>15</xdr:col>
          <xdr:colOff>0</xdr:colOff>
          <xdr:row>404</xdr:row>
          <xdr:rowOff>0</xdr:rowOff>
        </xdr:to>
        <xdr:grpSp>
          <xdr:nvGrpSpPr>
            <xdr:cNvPr id="88922" name="Group 124">
              <a:extLst>
                <a:ext uri="{FF2B5EF4-FFF2-40B4-BE49-F238E27FC236}">
                  <a16:creationId xmlns:a16="http://schemas.microsoft.com/office/drawing/2014/main" id="{00000000-0008-0000-0700-00005A5B0100}"/>
                </a:ext>
              </a:extLst>
            </xdr:cNvPr>
            <xdr:cNvGrpSpPr>
              <a:grpSpLocks/>
            </xdr:cNvGrpSpPr>
          </xdr:nvGrpSpPr>
          <xdr:grpSpPr bwMode="auto">
            <a:xfrm>
              <a:off x="1017588" y="87693126"/>
              <a:ext cx="4260850" cy="230187"/>
              <a:chOff x="110" y="8601"/>
              <a:chExt cx="448" cy="23"/>
            </a:xfrm>
          </xdr:grpSpPr>
          <xdr:sp macro="" textlink="">
            <xdr:nvSpPr>
              <xdr:cNvPr id="45181" name="Group Box 125" hidden="1">
                <a:extLst>
                  <a:ext uri="{63B3BB69-23CF-44E3-9099-C40C66FF867C}">
                    <a14:compatExt spid="_x0000_s45181"/>
                  </a:ext>
                  <a:ext uri="{FF2B5EF4-FFF2-40B4-BE49-F238E27FC236}">
                    <a16:creationId xmlns:a16="http://schemas.microsoft.com/office/drawing/2014/main" id="{00000000-0008-0000-0700-00007DB00000}"/>
                  </a:ext>
                </a:extLst>
              </xdr:cNvPr>
              <xdr:cNvSpPr/>
            </xdr:nvSpPr>
            <xdr:spPr bwMode="auto">
              <a:xfrm>
                <a:off x="110" y="8601"/>
                <a:ext cx="448" cy="23"/>
              </a:xfrm>
              <a:prstGeom prst="rect">
                <a:avLst/>
              </a:prstGeom>
              <a:noFill/>
              <a:ln w="9525">
                <a:miter lim="800000"/>
                <a:headEnd/>
                <a:tailEnd/>
              </a:ln>
              <a:extLst>
                <a:ext uri="{909E8E84-426E-40DD-AFC4-6F175D3DCCD1}">
                  <a14:hiddenFill>
                    <a:noFill/>
                  </a14:hiddenFill>
                </a:ext>
              </a:extLst>
            </xdr:spPr>
          </xdr:sp>
          <xdr:sp macro="" textlink="">
            <xdr:nvSpPr>
              <xdr:cNvPr id="45182" name="Option Button 126" hidden="1">
                <a:extLst>
                  <a:ext uri="{63B3BB69-23CF-44E3-9099-C40C66FF867C}">
                    <a14:compatExt spid="_x0000_s45182"/>
                  </a:ext>
                  <a:ext uri="{FF2B5EF4-FFF2-40B4-BE49-F238E27FC236}">
                    <a16:creationId xmlns:a16="http://schemas.microsoft.com/office/drawing/2014/main" id="{00000000-0008-0000-0700-00007EB00000}"/>
                  </a:ext>
                </a:extLst>
              </xdr:cNvPr>
              <xdr:cNvSpPr/>
            </xdr:nvSpPr>
            <xdr:spPr bwMode="auto">
              <a:xfrm>
                <a:off x="113" y="8603"/>
                <a:ext cx="75"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83" name="Option Button 127" hidden="1">
                <a:extLst>
                  <a:ext uri="{63B3BB69-23CF-44E3-9099-C40C66FF867C}">
                    <a14:compatExt spid="_x0000_s45183"/>
                  </a:ext>
                  <a:ext uri="{FF2B5EF4-FFF2-40B4-BE49-F238E27FC236}">
                    <a16:creationId xmlns:a16="http://schemas.microsoft.com/office/drawing/2014/main" id="{00000000-0008-0000-0700-00007FB00000}"/>
                  </a:ext>
                </a:extLst>
              </xdr:cNvPr>
              <xdr:cNvSpPr/>
            </xdr:nvSpPr>
            <xdr:spPr bwMode="auto">
              <a:xfrm>
                <a:off x="186" y="8603"/>
                <a:ext cx="192"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Varus - Greater than 15 degrees</a:t>
                </a:r>
              </a:p>
            </xdr:txBody>
          </xdr:sp>
          <xdr:sp macro="" textlink="">
            <xdr:nvSpPr>
              <xdr:cNvPr id="45184" name="Option Button 128" hidden="1">
                <a:extLst>
                  <a:ext uri="{63B3BB69-23CF-44E3-9099-C40C66FF867C}">
                    <a14:compatExt spid="_x0000_s45184"/>
                  </a:ext>
                  <a:ext uri="{FF2B5EF4-FFF2-40B4-BE49-F238E27FC236}">
                    <a16:creationId xmlns:a16="http://schemas.microsoft.com/office/drawing/2014/main" id="{00000000-0008-0000-0700-000080B00000}"/>
                  </a:ext>
                </a:extLst>
              </xdr:cNvPr>
              <xdr:cNvSpPr/>
            </xdr:nvSpPr>
            <xdr:spPr bwMode="auto">
              <a:xfrm>
                <a:off x="376" y="8603"/>
                <a:ext cx="180" cy="2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Valgus - greater than 20 degrees</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412</xdr:row>
          <xdr:rowOff>0</xdr:rowOff>
        </xdr:from>
        <xdr:to>
          <xdr:col>14</xdr:col>
          <xdr:colOff>628650</xdr:colOff>
          <xdr:row>416</xdr:row>
          <xdr:rowOff>0</xdr:rowOff>
        </xdr:to>
        <xdr:grpSp>
          <xdr:nvGrpSpPr>
            <xdr:cNvPr id="88923" name="Group 129">
              <a:extLst>
                <a:ext uri="{FF2B5EF4-FFF2-40B4-BE49-F238E27FC236}">
                  <a16:creationId xmlns:a16="http://schemas.microsoft.com/office/drawing/2014/main" id="{00000000-0008-0000-0700-00005B5B0100}"/>
                </a:ext>
              </a:extLst>
            </xdr:cNvPr>
            <xdr:cNvGrpSpPr>
              <a:grpSpLocks/>
            </xdr:cNvGrpSpPr>
          </xdr:nvGrpSpPr>
          <xdr:grpSpPr bwMode="auto">
            <a:xfrm>
              <a:off x="1500188" y="89447688"/>
              <a:ext cx="3781425" cy="920750"/>
              <a:chOff x="158" y="8755"/>
              <a:chExt cx="401" cy="96"/>
            </a:xfrm>
          </xdr:grpSpPr>
          <xdr:sp macro="" textlink="">
            <xdr:nvSpPr>
              <xdr:cNvPr id="45186" name="Option Button 130" hidden="1">
                <a:extLst>
                  <a:ext uri="{63B3BB69-23CF-44E3-9099-C40C66FF867C}">
                    <a14:compatExt spid="_x0000_s45186"/>
                  </a:ext>
                  <a:ext uri="{FF2B5EF4-FFF2-40B4-BE49-F238E27FC236}">
                    <a16:creationId xmlns:a16="http://schemas.microsoft.com/office/drawing/2014/main" id="{00000000-0008-0000-0700-000082B00000}"/>
                  </a:ext>
                </a:extLst>
              </xdr:cNvPr>
              <xdr:cNvSpPr/>
            </xdr:nvSpPr>
            <xdr:spPr bwMode="auto">
              <a:xfrm>
                <a:off x="173" y="8789"/>
                <a:ext cx="46"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187" name="Option Button 131" hidden="1">
                <a:extLst>
                  <a:ext uri="{63B3BB69-23CF-44E3-9099-C40C66FF867C}">
                    <a14:compatExt spid="_x0000_s45187"/>
                  </a:ext>
                  <a:ext uri="{FF2B5EF4-FFF2-40B4-BE49-F238E27FC236}">
                    <a16:creationId xmlns:a16="http://schemas.microsoft.com/office/drawing/2014/main" id="{00000000-0008-0000-0700-000083B00000}"/>
                  </a:ext>
                </a:extLst>
              </xdr:cNvPr>
              <xdr:cNvSpPr/>
            </xdr:nvSpPr>
            <xdr:spPr bwMode="auto">
              <a:xfrm>
                <a:off x="238" y="875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1/4 of patella removed</a:t>
                </a:r>
              </a:p>
            </xdr:txBody>
          </xdr:sp>
          <xdr:sp macro="" textlink="">
            <xdr:nvSpPr>
              <xdr:cNvPr id="45188" name="Option Button 132" hidden="1">
                <a:extLst>
                  <a:ext uri="{63B3BB69-23CF-44E3-9099-C40C66FF867C}">
                    <a14:compatExt spid="_x0000_s45188"/>
                  </a:ext>
                  <a:ext uri="{FF2B5EF4-FFF2-40B4-BE49-F238E27FC236}">
                    <a16:creationId xmlns:a16="http://schemas.microsoft.com/office/drawing/2014/main" id="{00000000-0008-0000-0700-000084B00000}"/>
                  </a:ext>
                </a:extLst>
              </xdr:cNvPr>
              <xdr:cNvSpPr/>
            </xdr:nvSpPr>
            <xdr:spPr bwMode="auto">
              <a:xfrm>
                <a:off x="239" y="8778"/>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1/2 of patella removed</a:t>
                </a:r>
              </a:p>
            </xdr:txBody>
          </xdr:sp>
          <xdr:sp macro="" textlink="">
            <xdr:nvSpPr>
              <xdr:cNvPr id="45189" name="Option Button 133" hidden="1">
                <a:extLst>
                  <a:ext uri="{63B3BB69-23CF-44E3-9099-C40C66FF867C}">
                    <a14:compatExt spid="_x0000_s45189"/>
                  </a:ext>
                  <a:ext uri="{FF2B5EF4-FFF2-40B4-BE49-F238E27FC236}">
                    <a16:creationId xmlns:a16="http://schemas.microsoft.com/office/drawing/2014/main" id="{00000000-0008-0000-0700-000085B00000}"/>
                  </a:ext>
                </a:extLst>
              </xdr:cNvPr>
              <xdr:cNvSpPr/>
            </xdr:nvSpPr>
            <xdr:spPr bwMode="auto">
              <a:xfrm>
                <a:off x="240" y="8800"/>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3/4 of patella removed</a:t>
                </a:r>
              </a:p>
            </xdr:txBody>
          </xdr:sp>
          <xdr:sp macro="" textlink="">
            <xdr:nvSpPr>
              <xdr:cNvPr id="45190" name="Option Button 134" hidden="1">
                <a:extLst>
                  <a:ext uri="{63B3BB69-23CF-44E3-9099-C40C66FF867C}">
                    <a14:compatExt spid="_x0000_s45190"/>
                  </a:ext>
                  <a:ext uri="{FF2B5EF4-FFF2-40B4-BE49-F238E27FC236}">
                    <a16:creationId xmlns:a16="http://schemas.microsoft.com/office/drawing/2014/main" id="{00000000-0008-0000-0700-000086B00000}"/>
                  </a:ext>
                </a:extLst>
              </xdr:cNvPr>
              <xdr:cNvSpPr/>
            </xdr:nvSpPr>
            <xdr:spPr bwMode="auto">
              <a:xfrm>
                <a:off x="240" y="8822"/>
                <a:ext cx="19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All of patella removed</a:t>
                </a:r>
              </a:p>
            </xdr:txBody>
          </xdr:sp>
          <xdr:sp macro="" textlink="">
            <xdr:nvSpPr>
              <xdr:cNvPr id="45191" name="Group Box 135" hidden="1">
                <a:extLst>
                  <a:ext uri="{63B3BB69-23CF-44E3-9099-C40C66FF867C}">
                    <a14:compatExt spid="_x0000_s45191"/>
                  </a:ext>
                  <a:ext uri="{FF2B5EF4-FFF2-40B4-BE49-F238E27FC236}">
                    <a16:creationId xmlns:a16="http://schemas.microsoft.com/office/drawing/2014/main" id="{00000000-0008-0000-0700-000087B00000}"/>
                  </a:ext>
                </a:extLst>
              </xdr:cNvPr>
              <xdr:cNvSpPr/>
            </xdr:nvSpPr>
            <xdr:spPr bwMode="auto">
              <a:xfrm>
                <a:off x="158" y="8755"/>
                <a:ext cx="401" cy="96"/>
              </a:xfrm>
              <a:prstGeom prst="rect">
                <a:avLst/>
              </a:prstGeom>
              <a:noFill/>
              <a:ln w="9525">
                <a:miter lim="800000"/>
                <a:headEnd/>
                <a:tailEnd/>
              </a:ln>
              <a:extLst>
                <a:ext uri="{909E8E84-426E-40DD-AFC4-6F175D3DCCD1}">
                  <a14:hiddenFill>
                    <a:no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416</xdr:row>
          <xdr:rowOff>38100</xdr:rowOff>
        </xdr:from>
        <xdr:to>
          <xdr:col>3</xdr:col>
          <xdr:colOff>85725</xdr:colOff>
          <xdr:row>417</xdr:row>
          <xdr:rowOff>28575</xdr:rowOff>
        </xdr:to>
        <xdr:sp macro="" textlink="">
          <xdr:nvSpPr>
            <xdr:cNvPr id="45192" name="Check Box 136" hidden="1">
              <a:extLst>
                <a:ext uri="{63B3BB69-23CF-44E3-9099-C40C66FF867C}">
                  <a14:compatExt spid="_x0000_s45192"/>
                </a:ext>
                <a:ext uri="{FF2B5EF4-FFF2-40B4-BE49-F238E27FC236}">
                  <a16:creationId xmlns:a16="http://schemas.microsoft.com/office/drawing/2014/main" id="{00000000-0008-0000-0700-00008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417</xdr:row>
          <xdr:rowOff>38100</xdr:rowOff>
        </xdr:from>
        <xdr:to>
          <xdr:col>3</xdr:col>
          <xdr:colOff>85725</xdr:colOff>
          <xdr:row>418</xdr:row>
          <xdr:rowOff>28575</xdr:rowOff>
        </xdr:to>
        <xdr:sp macro="" textlink="">
          <xdr:nvSpPr>
            <xdr:cNvPr id="45193" name="Check Box 137" hidden="1">
              <a:extLst>
                <a:ext uri="{63B3BB69-23CF-44E3-9099-C40C66FF867C}">
                  <a14:compatExt spid="_x0000_s45193"/>
                </a:ext>
                <a:ext uri="{FF2B5EF4-FFF2-40B4-BE49-F238E27FC236}">
                  <a16:creationId xmlns:a16="http://schemas.microsoft.com/office/drawing/2014/main" id="{00000000-0008-0000-0700-00008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423</xdr:row>
          <xdr:rowOff>19050</xdr:rowOff>
        </xdr:from>
        <xdr:to>
          <xdr:col>1</xdr:col>
          <xdr:colOff>1419225</xdr:colOff>
          <xdr:row>427</xdr:row>
          <xdr:rowOff>0</xdr:rowOff>
        </xdr:to>
        <xdr:grpSp>
          <xdr:nvGrpSpPr>
            <xdr:cNvPr id="88924" name="Group 138">
              <a:extLst>
                <a:ext uri="{FF2B5EF4-FFF2-40B4-BE49-F238E27FC236}">
                  <a16:creationId xmlns:a16="http://schemas.microsoft.com/office/drawing/2014/main" id="{00000000-0008-0000-0700-00005C5B0100}"/>
                </a:ext>
              </a:extLst>
            </xdr:cNvPr>
            <xdr:cNvGrpSpPr>
              <a:grpSpLocks/>
            </xdr:cNvGrpSpPr>
          </xdr:nvGrpSpPr>
          <xdr:grpSpPr bwMode="auto">
            <a:xfrm>
              <a:off x="55563" y="91847988"/>
              <a:ext cx="1419225" cy="1481137"/>
              <a:chOff x="6" y="9450"/>
              <a:chExt cx="151" cy="145"/>
            </a:xfrm>
          </xdr:grpSpPr>
          <xdr:sp macro="" textlink="">
            <xdr:nvSpPr>
              <xdr:cNvPr id="45195" name="Group Box 139" hidden="1">
                <a:extLst>
                  <a:ext uri="{63B3BB69-23CF-44E3-9099-C40C66FF867C}">
                    <a14:compatExt spid="_x0000_s45195"/>
                  </a:ext>
                  <a:ext uri="{FF2B5EF4-FFF2-40B4-BE49-F238E27FC236}">
                    <a16:creationId xmlns:a16="http://schemas.microsoft.com/office/drawing/2014/main" id="{00000000-0008-0000-0700-00008BB00000}"/>
                  </a:ext>
                </a:extLst>
              </xdr:cNvPr>
              <xdr:cNvSpPr/>
            </xdr:nvSpPr>
            <xdr:spPr bwMode="auto">
              <a:xfrm>
                <a:off x="6" y="9450"/>
                <a:ext cx="151" cy="145"/>
              </a:xfrm>
              <a:prstGeom prst="rect">
                <a:avLst/>
              </a:prstGeom>
              <a:noFill/>
              <a:ln w="9525">
                <a:miter lim="800000"/>
                <a:headEnd/>
                <a:tailEnd/>
              </a:ln>
              <a:extLst>
                <a:ext uri="{909E8E84-426E-40DD-AFC4-6F175D3DCCD1}">
                  <a14:hiddenFill>
                    <a:noFill/>
                  </a14:hiddenFill>
                </a:ext>
              </a:extLst>
            </xdr:spPr>
          </xdr:sp>
          <xdr:sp macro="" textlink="">
            <xdr:nvSpPr>
              <xdr:cNvPr id="45196" name="Option Button 140" hidden="1">
                <a:extLst>
                  <a:ext uri="{63B3BB69-23CF-44E3-9099-C40C66FF867C}">
                    <a14:compatExt spid="_x0000_s45196"/>
                  </a:ext>
                  <a:ext uri="{FF2B5EF4-FFF2-40B4-BE49-F238E27FC236}">
                    <a16:creationId xmlns:a16="http://schemas.microsoft.com/office/drawing/2014/main" id="{00000000-0008-0000-0700-00008CB00000}"/>
                  </a:ext>
                </a:extLst>
              </xdr:cNvPr>
              <xdr:cNvSpPr/>
            </xdr:nvSpPr>
            <xdr:spPr bwMode="auto">
              <a:xfrm>
                <a:off x="121" y="9454"/>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7" name="Option Button 141" hidden="1">
                <a:extLst>
                  <a:ext uri="{63B3BB69-23CF-44E3-9099-C40C66FF867C}">
                    <a14:compatExt spid="_x0000_s45197"/>
                  </a:ext>
                  <a:ext uri="{FF2B5EF4-FFF2-40B4-BE49-F238E27FC236}">
                    <a16:creationId xmlns:a16="http://schemas.microsoft.com/office/drawing/2014/main" id="{00000000-0008-0000-0700-00008DB00000}"/>
                  </a:ext>
                </a:extLst>
              </xdr:cNvPr>
              <xdr:cNvSpPr/>
            </xdr:nvSpPr>
            <xdr:spPr bwMode="auto">
              <a:xfrm>
                <a:off x="121" y="9489"/>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8" name="Option Button 142" hidden="1">
                <a:extLst>
                  <a:ext uri="{63B3BB69-23CF-44E3-9099-C40C66FF867C}">
                    <a14:compatExt spid="_x0000_s45198"/>
                  </a:ext>
                  <a:ext uri="{FF2B5EF4-FFF2-40B4-BE49-F238E27FC236}">
                    <a16:creationId xmlns:a16="http://schemas.microsoft.com/office/drawing/2014/main" id="{00000000-0008-0000-0700-00008EB00000}"/>
                  </a:ext>
                </a:extLst>
              </xdr:cNvPr>
              <xdr:cNvSpPr/>
            </xdr:nvSpPr>
            <xdr:spPr bwMode="auto">
              <a:xfrm>
                <a:off x="122" y="9523"/>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199" name="Option Button 143" hidden="1">
                <a:extLst>
                  <a:ext uri="{63B3BB69-23CF-44E3-9099-C40C66FF867C}">
                    <a14:compatExt spid="_x0000_s45199"/>
                  </a:ext>
                  <a:ext uri="{FF2B5EF4-FFF2-40B4-BE49-F238E27FC236}">
                    <a16:creationId xmlns:a16="http://schemas.microsoft.com/office/drawing/2014/main" id="{00000000-0008-0000-0700-00008FB00000}"/>
                  </a:ext>
                </a:extLst>
              </xdr:cNvPr>
              <xdr:cNvSpPr/>
            </xdr:nvSpPr>
            <xdr:spPr bwMode="auto">
              <a:xfrm>
                <a:off x="122" y="9560"/>
                <a:ext cx="3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5200" name="Option Button 144" hidden="1">
                <a:extLst>
                  <a:ext uri="{63B3BB69-23CF-44E3-9099-C40C66FF867C}">
                    <a14:compatExt spid="_x0000_s45200"/>
                  </a:ext>
                  <a:ext uri="{FF2B5EF4-FFF2-40B4-BE49-F238E27FC236}">
                    <a16:creationId xmlns:a16="http://schemas.microsoft.com/office/drawing/2014/main" id="{00000000-0008-0000-0700-000090B00000}"/>
                  </a:ext>
                </a:extLst>
              </xdr:cNvPr>
              <xdr:cNvSpPr/>
            </xdr:nvSpPr>
            <xdr:spPr bwMode="auto">
              <a:xfrm>
                <a:off x="41" y="9504"/>
                <a:ext cx="44" cy="32"/>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429</xdr:row>
          <xdr:rowOff>28575</xdr:rowOff>
        </xdr:from>
        <xdr:to>
          <xdr:col>5</xdr:col>
          <xdr:colOff>219075</xdr:colOff>
          <xdr:row>430</xdr:row>
          <xdr:rowOff>19050</xdr:rowOff>
        </xdr:to>
        <xdr:sp macro="" textlink="">
          <xdr:nvSpPr>
            <xdr:cNvPr id="45201" name="Check Box 145" hidden="1">
              <a:extLst>
                <a:ext uri="{63B3BB69-23CF-44E3-9099-C40C66FF867C}">
                  <a14:compatExt spid="_x0000_s45201"/>
                </a:ext>
                <a:ext uri="{FF2B5EF4-FFF2-40B4-BE49-F238E27FC236}">
                  <a16:creationId xmlns:a16="http://schemas.microsoft.com/office/drawing/2014/main" id="{00000000-0008-0000-0700-00009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430</xdr:row>
          <xdr:rowOff>38100</xdr:rowOff>
        </xdr:from>
        <xdr:to>
          <xdr:col>5</xdr:col>
          <xdr:colOff>219075</xdr:colOff>
          <xdr:row>431</xdr:row>
          <xdr:rowOff>28575</xdr:rowOff>
        </xdr:to>
        <xdr:sp macro="" textlink="">
          <xdr:nvSpPr>
            <xdr:cNvPr id="45202" name="Check Box 146" hidden="1">
              <a:extLst>
                <a:ext uri="{63B3BB69-23CF-44E3-9099-C40C66FF867C}">
                  <a14:compatExt spid="_x0000_s45202"/>
                </a:ext>
                <a:ext uri="{FF2B5EF4-FFF2-40B4-BE49-F238E27FC236}">
                  <a16:creationId xmlns:a16="http://schemas.microsoft.com/office/drawing/2014/main" id="{00000000-0008-0000-0700-00009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431</xdr:row>
          <xdr:rowOff>19050</xdr:rowOff>
        </xdr:from>
        <xdr:to>
          <xdr:col>5</xdr:col>
          <xdr:colOff>219075</xdr:colOff>
          <xdr:row>432</xdr:row>
          <xdr:rowOff>9525</xdr:rowOff>
        </xdr:to>
        <xdr:sp macro="" textlink="">
          <xdr:nvSpPr>
            <xdr:cNvPr id="45203" name="Check Box 147" hidden="1">
              <a:extLst>
                <a:ext uri="{63B3BB69-23CF-44E3-9099-C40C66FF867C}">
                  <a14:compatExt spid="_x0000_s45203"/>
                </a:ext>
                <a:ext uri="{FF2B5EF4-FFF2-40B4-BE49-F238E27FC236}">
                  <a16:creationId xmlns:a16="http://schemas.microsoft.com/office/drawing/2014/main" id="{00000000-0008-0000-0700-00009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432</xdr:row>
          <xdr:rowOff>28575</xdr:rowOff>
        </xdr:from>
        <xdr:to>
          <xdr:col>5</xdr:col>
          <xdr:colOff>219075</xdr:colOff>
          <xdr:row>433</xdr:row>
          <xdr:rowOff>28575</xdr:rowOff>
        </xdr:to>
        <xdr:sp macro="" textlink="">
          <xdr:nvSpPr>
            <xdr:cNvPr id="45204" name="Check Box 148" hidden="1">
              <a:extLst>
                <a:ext uri="{63B3BB69-23CF-44E3-9099-C40C66FF867C}">
                  <a14:compatExt spid="_x0000_s45204"/>
                </a:ext>
                <a:ext uri="{FF2B5EF4-FFF2-40B4-BE49-F238E27FC236}">
                  <a16:creationId xmlns:a16="http://schemas.microsoft.com/office/drawing/2014/main" id="{00000000-0008-0000-0700-00009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433</xdr:row>
          <xdr:rowOff>38100</xdr:rowOff>
        </xdr:from>
        <xdr:to>
          <xdr:col>5</xdr:col>
          <xdr:colOff>219075</xdr:colOff>
          <xdr:row>434</xdr:row>
          <xdr:rowOff>28575</xdr:rowOff>
        </xdr:to>
        <xdr:sp macro="" textlink="">
          <xdr:nvSpPr>
            <xdr:cNvPr id="45205" name="Check Box 149" hidden="1">
              <a:extLst>
                <a:ext uri="{63B3BB69-23CF-44E3-9099-C40C66FF867C}">
                  <a14:compatExt spid="_x0000_s45205"/>
                </a:ext>
                <a:ext uri="{FF2B5EF4-FFF2-40B4-BE49-F238E27FC236}">
                  <a16:creationId xmlns:a16="http://schemas.microsoft.com/office/drawing/2014/main" id="{00000000-0008-0000-0700-00009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434</xdr:row>
          <xdr:rowOff>38100</xdr:rowOff>
        </xdr:from>
        <xdr:to>
          <xdr:col>5</xdr:col>
          <xdr:colOff>219075</xdr:colOff>
          <xdr:row>435</xdr:row>
          <xdr:rowOff>28575</xdr:rowOff>
        </xdr:to>
        <xdr:sp macro="" textlink="">
          <xdr:nvSpPr>
            <xdr:cNvPr id="45206" name="Check Box 150" hidden="1">
              <a:extLst>
                <a:ext uri="{63B3BB69-23CF-44E3-9099-C40C66FF867C}">
                  <a14:compatExt spid="_x0000_s45206"/>
                </a:ext>
                <a:ext uri="{FF2B5EF4-FFF2-40B4-BE49-F238E27FC236}">
                  <a16:creationId xmlns:a16="http://schemas.microsoft.com/office/drawing/2014/main" id="{00000000-0008-0000-0700-00009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142875</xdr:colOff>
          <xdr:row>435</xdr:row>
          <xdr:rowOff>28575</xdr:rowOff>
        </xdr:from>
        <xdr:to>
          <xdr:col>5</xdr:col>
          <xdr:colOff>219075</xdr:colOff>
          <xdr:row>436</xdr:row>
          <xdr:rowOff>19050</xdr:rowOff>
        </xdr:to>
        <xdr:sp macro="" textlink="">
          <xdr:nvSpPr>
            <xdr:cNvPr id="45207" name="Check Box 151" hidden="1">
              <a:extLst>
                <a:ext uri="{63B3BB69-23CF-44E3-9099-C40C66FF867C}">
                  <a14:compatExt spid="_x0000_s45207"/>
                </a:ext>
                <a:ext uri="{FF2B5EF4-FFF2-40B4-BE49-F238E27FC236}">
                  <a16:creationId xmlns:a16="http://schemas.microsoft.com/office/drawing/2014/main" id="{00000000-0008-0000-0700-00009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438</xdr:row>
          <xdr:rowOff>0</xdr:rowOff>
        </xdr:from>
        <xdr:to>
          <xdr:col>15</xdr:col>
          <xdr:colOff>0</xdr:colOff>
          <xdr:row>439</xdr:row>
          <xdr:rowOff>0</xdr:rowOff>
        </xdr:to>
        <xdr:grpSp>
          <xdr:nvGrpSpPr>
            <xdr:cNvPr id="88925" name="Group 152">
              <a:extLst>
                <a:ext uri="{FF2B5EF4-FFF2-40B4-BE49-F238E27FC236}">
                  <a16:creationId xmlns:a16="http://schemas.microsoft.com/office/drawing/2014/main" id="{00000000-0008-0000-0700-00005D5B0100}"/>
                </a:ext>
              </a:extLst>
            </xdr:cNvPr>
            <xdr:cNvGrpSpPr>
              <a:grpSpLocks/>
            </xdr:cNvGrpSpPr>
          </xdr:nvGrpSpPr>
          <xdr:grpSpPr bwMode="auto">
            <a:xfrm flipV="1">
              <a:off x="4103688" y="95702438"/>
              <a:ext cx="1174750" cy="492125"/>
              <a:chOff x="435" y="9894"/>
              <a:chExt cx="125" cy="23"/>
            </a:xfrm>
          </xdr:grpSpPr>
          <xdr:sp macro="" textlink="">
            <xdr:nvSpPr>
              <xdr:cNvPr id="45209" name="Group Box 153" hidden="1">
                <a:extLst>
                  <a:ext uri="{63B3BB69-23CF-44E3-9099-C40C66FF867C}">
                    <a14:compatExt spid="_x0000_s45209"/>
                  </a:ext>
                  <a:ext uri="{FF2B5EF4-FFF2-40B4-BE49-F238E27FC236}">
                    <a16:creationId xmlns:a16="http://schemas.microsoft.com/office/drawing/2014/main" id="{00000000-0008-0000-0700-000099B00000}"/>
                  </a:ext>
                </a:extLst>
              </xdr:cNvPr>
              <xdr:cNvSpPr/>
            </xdr:nvSpPr>
            <xdr:spPr bwMode="auto">
              <a:xfrm>
                <a:off x="435" y="9894"/>
                <a:ext cx="125" cy="23"/>
              </a:xfrm>
              <a:prstGeom prst="rect">
                <a:avLst/>
              </a:prstGeom>
              <a:noFill/>
              <a:ln w="9525">
                <a:miter lim="800000"/>
                <a:headEnd/>
                <a:tailEnd/>
              </a:ln>
              <a:extLst>
                <a:ext uri="{909E8E84-426E-40DD-AFC4-6F175D3DCCD1}">
                  <a14:hiddenFill>
                    <a:noFill/>
                  </a14:hiddenFill>
                </a:ext>
              </a:extLst>
            </xdr:spPr>
          </xdr:sp>
          <xdr:sp macro="" textlink="">
            <xdr:nvSpPr>
              <xdr:cNvPr id="45210" name="Option Button 154" hidden="1">
                <a:extLst>
                  <a:ext uri="{63B3BB69-23CF-44E3-9099-C40C66FF867C}">
                    <a14:compatExt spid="_x0000_s45210"/>
                  </a:ext>
                  <a:ext uri="{FF2B5EF4-FFF2-40B4-BE49-F238E27FC236}">
                    <a16:creationId xmlns:a16="http://schemas.microsoft.com/office/drawing/2014/main" id="{00000000-0008-0000-0700-00009AB00000}"/>
                  </a:ext>
                </a:extLst>
              </xdr:cNvPr>
              <xdr:cNvSpPr/>
            </xdr:nvSpPr>
            <xdr:spPr bwMode="auto">
              <a:xfrm>
                <a:off x="441" y="9897"/>
                <a:ext cx="61"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211" name="Option Button 155" hidden="1">
                <a:extLst>
                  <a:ext uri="{63B3BB69-23CF-44E3-9099-C40C66FF867C}">
                    <a14:compatExt spid="_x0000_s45211"/>
                  </a:ext>
                  <a:ext uri="{FF2B5EF4-FFF2-40B4-BE49-F238E27FC236}">
                    <a16:creationId xmlns:a16="http://schemas.microsoft.com/office/drawing/2014/main" id="{00000000-0008-0000-0700-00009BB00000}"/>
                  </a:ext>
                </a:extLst>
              </xdr:cNvPr>
              <xdr:cNvSpPr/>
            </xdr:nvSpPr>
            <xdr:spPr bwMode="auto">
              <a:xfrm>
                <a:off x="499" y="9897"/>
                <a:ext cx="59"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13</xdr:col>
          <xdr:colOff>0</xdr:colOff>
          <xdr:row>442</xdr:row>
          <xdr:rowOff>0</xdr:rowOff>
        </xdr:from>
        <xdr:to>
          <xdr:col>15</xdr:col>
          <xdr:colOff>0</xdr:colOff>
          <xdr:row>443</xdr:row>
          <xdr:rowOff>0</xdr:rowOff>
        </xdr:to>
        <xdr:grpSp>
          <xdr:nvGrpSpPr>
            <xdr:cNvPr id="88926" name="Group 156">
              <a:extLst>
                <a:ext uri="{FF2B5EF4-FFF2-40B4-BE49-F238E27FC236}">
                  <a16:creationId xmlns:a16="http://schemas.microsoft.com/office/drawing/2014/main" id="{00000000-0008-0000-0700-00005E5B0100}"/>
                </a:ext>
              </a:extLst>
            </xdr:cNvPr>
            <xdr:cNvGrpSpPr>
              <a:grpSpLocks/>
            </xdr:cNvGrpSpPr>
          </xdr:nvGrpSpPr>
          <xdr:grpSpPr bwMode="auto">
            <a:xfrm>
              <a:off x="4103688" y="97051813"/>
              <a:ext cx="1174750" cy="230187"/>
              <a:chOff x="442" y="10024"/>
              <a:chExt cx="127" cy="23"/>
            </a:xfrm>
          </xdr:grpSpPr>
          <xdr:sp macro="" textlink="">
            <xdr:nvSpPr>
              <xdr:cNvPr id="45213" name="Group Box 157" hidden="1">
                <a:extLst>
                  <a:ext uri="{63B3BB69-23CF-44E3-9099-C40C66FF867C}">
                    <a14:compatExt spid="_x0000_s45213"/>
                  </a:ext>
                  <a:ext uri="{FF2B5EF4-FFF2-40B4-BE49-F238E27FC236}">
                    <a16:creationId xmlns:a16="http://schemas.microsoft.com/office/drawing/2014/main" id="{00000000-0008-0000-0700-00009DB00000}"/>
                  </a:ext>
                </a:extLst>
              </xdr:cNvPr>
              <xdr:cNvSpPr/>
            </xdr:nvSpPr>
            <xdr:spPr bwMode="auto">
              <a:xfrm>
                <a:off x="442" y="10024"/>
                <a:ext cx="127" cy="23"/>
              </a:xfrm>
              <a:prstGeom prst="rect">
                <a:avLst/>
              </a:prstGeom>
              <a:noFill/>
              <a:ln w="9525">
                <a:miter lim="800000"/>
                <a:headEnd/>
                <a:tailEnd/>
              </a:ln>
              <a:extLst>
                <a:ext uri="{909E8E84-426E-40DD-AFC4-6F175D3DCCD1}">
                  <a14:hiddenFill>
                    <a:noFill/>
                  </a14:hiddenFill>
                </a:ext>
              </a:extLst>
            </xdr:spPr>
          </xdr:sp>
          <xdr:sp macro="" textlink="">
            <xdr:nvSpPr>
              <xdr:cNvPr id="45214" name="Option Button 158" hidden="1">
                <a:extLst>
                  <a:ext uri="{63B3BB69-23CF-44E3-9099-C40C66FF867C}">
                    <a14:compatExt spid="_x0000_s45214"/>
                  </a:ext>
                  <a:ext uri="{FF2B5EF4-FFF2-40B4-BE49-F238E27FC236}">
                    <a16:creationId xmlns:a16="http://schemas.microsoft.com/office/drawing/2014/main" id="{00000000-0008-0000-0700-00009EB00000}"/>
                  </a:ext>
                </a:extLst>
              </xdr:cNvPr>
              <xdr:cNvSpPr/>
            </xdr:nvSpPr>
            <xdr:spPr bwMode="auto">
              <a:xfrm>
                <a:off x="448" y="10027"/>
                <a:ext cx="62"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Yes</a:t>
                </a:r>
              </a:p>
            </xdr:txBody>
          </xdr:sp>
          <xdr:sp macro="" textlink="">
            <xdr:nvSpPr>
              <xdr:cNvPr id="45215" name="Option Button 159" hidden="1">
                <a:extLst>
                  <a:ext uri="{63B3BB69-23CF-44E3-9099-C40C66FF867C}">
                    <a14:compatExt spid="_x0000_s45215"/>
                  </a:ext>
                  <a:ext uri="{FF2B5EF4-FFF2-40B4-BE49-F238E27FC236}">
                    <a16:creationId xmlns:a16="http://schemas.microsoft.com/office/drawing/2014/main" id="{00000000-0008-0000-0700-00009FB00000}"/>
                  </a:ext>
                </a:extLst>
              </xdr:cNvPr>
              <xdr:cNvSpPr/>
            </xdr:nvSpPr>
            <xdr:spPr bwMode="auto">
              <a:xfrm>
                <a:off x="507" y="10027"/>
                <a:ext cx="60" cy="16"/>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0</xdr:colOff>
          <xdr:row>372</xdr:row>
          <xdr:rowOff>0</xdr:rowOff>
        </xdr:from>
        <xdr:to>
          <xdr:col>15</xdr:col>
          <xdr:colOff>0</xdr:colOff>
          <xdr:row>373</xdr:row>
          <xdr:rowOff>0</xdr:rowOff>
        </xdr:to>
        <xdr:grpSp>
          <xdr:nvGrpSpPr>
            <xdr:cNvPr id="88927" name="Group 160">
              <a:extLst>
                <a:ext uri="{FF2B5EF4-FFF2-40B4-BE49-F238E27FC236}">
                  <a16:creationId xmlns:a16="http://schemas.microsoft.com/office/drawing/2014/main" id="{00000000-0008-0000-0700-00005F5B0100}"/>
                </a:ext>
              </a:extLst>
            </xdr:cNvPr>
            <xdr:cNvGrpSpPr>
              <a:grpSpLocks/>
            </xdr:cNvGrpSpPr>
          </xdr:nvGrpSpPr>
          <xdr:grpSpPr bwMode="auto">
            <a:xfrm>
              <a:off x="55563" y="80994250"/>
              <a:ext cx="5222875" cy="269875"/>
              <a:chOff x="5" y="8224"/>
              <a:chExt cx="554" cy="26"/>
            </a:xfrm>
          </xdr:grpSpPr>
          <xdr:sp macro="" textlink="">
            <xdr:nvSpPr>
              <xdr:cNvPr id="45217" name="Group Box 161" hidden="1">
                <a:extLst>
                  <a:ext uri="{63B3BB69-23CF-44E3-9099-C40C66FF867C}">
                    <a14:compatExt spid="_x0000_s45217"/>
                  </a:ext>
                  <a:ext uri="{FF2B5EF4-FFF2-40B4-BE49-F238E27FC236}">
                    <a16:creationId xmlns:a16="http://schemas.microsoft.com/office/drawing/2014/main" id="{00000000-0008-0000-0700-0000A1B00000}"/>
                  </a:ext>
                </a:extLst>
              </xdr:cNvPr>
              <xdr:cNvSpPr/>
            </xdr:nvSpPr>
            <xdr:spPr bwMode="auto">
              <a:xfrm>
                <a:off x="5" y="8224"/>
                <a:ext cx="554" cy="26"/>
              </a:xfrm>
              <a:prstGeom prst="rect">
                <a:avLst/>
              </a:prstGeom>
              <a:noFill/>
              <a:ln w="9525">
                <a:miter lim="800000"/>
                <a:headEnd/>
                <a:tailEnd/>
              </a:ln>
              <a:extLst>
                <a:ext uri="{909E8E84-426E-40DD-AFC4-6F175D3DCCD1}">
                  <a14:hiddenFill>
                    <a:noFill/>
                  </a14:hiddenFill>
                </a:ext>
              </a:extLst>
            </xdr:spPr>
          </xdr:sp>
          <xdr:sp macro="" textlink="">
            <xdr:nvSpPr>
              <xdr:cNvPr id="45218" name="Option Button 162" hidden="1">
                <a:extLst>
                  <a:ext uri="{63B3BB69-23CF-44E3-9099-C40C66FF867C}">
                    <a14:compatExt spid="_x0000_s45218"/>
                  </a:ext>
                  <a:ext uri="{FF2B5EF4-FFF2-40B4-BE49-F238E27FC236}">
                    <a16:creationId xmlns:a16="http://schemas.microsoft.com/office/drawing/2014/main" id="{00000000-0008-0000-0700-0000A2B00000}"/>
                  </a:ext>
                </a:extLst>
              </xdr:cNvPr>
              <xdr:cNvSpPr/>
            </xdr:nvSpPr>
            <xdr:spPr bwMode="auto">
              <a:xfrm>
                <a:off x="84" y="8226"/>
                <a:ext cx="7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45219" name="Option Button 163" hidden="1">
                <a:extLst>
                  <a:ext uri="{63B3BB69-23CF-44E3-9099-C40C66FF867C}">
                    <a14:compatExt spid="_x0000_s45219"/>
                  </a:ext>
                  <a:ext uri="{FF2B5EF4-FFF2-40B4-BE49-F238E27FC236}">
                    <a16:creationId xmlns:a16="http://schemas.microsoft.com/office/drawing/2014/main" id="{00000000-0008-0000-0700-0000A3B00000}"/>
                  </a:ext>
                </a:extLst>
              </xdr:cNvPr>
              <xdr:cNvSpPr/>
            </xdr:nvSpPr>
            <xdr:spPr bwMode="auto">
              <a:xfrm>
                <a:off x="154" y="8226"/>
                <a:ext cx="40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At or above the knee joint (up to and including the femoral head)</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85725</xdr:colOff>
          <xdr:row>243</xdr:row>
          <xdr:rowOff>47625</xdr:rowOff>
        </xdr:from>
        <xdr:to>
          <xdr:col>1</xdr:col>
          <xdr:colOff>390525</xdr:colOff>
          <xdr:row>244</xdr:row>
          <xdr:rowOff>19050</xdr:rowOff>
        </xdr:to>
        <xdr:sp macro="" textlink="">
          <xdr:nvSpPr>
            <xdr:cNvPr id="45220" name="Check Box 164" hidden="1">
              <a:extLst>
                <a:ext uri="{63B3BB69-23CF-44E3-9099-C40C66FF867C}">
                  <a14:compatExt spid="_x0000_s45220"/>
                </a:ext>
                <a:ext uri="{FF2B5EF4-FFF2-40B4-BE49-F238E27FC236}">
                  <a16:creationId xmlns:a16="http://schemas.microsoft.com/office/drawing/2014/main" id="{00000000-0008-0000-0700-0000A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292</xdr:row>
          <xdr:rowOff>342900</xdr:rowOff>
        </xdr:from>
        <xdr:to>
          <xdr:col>3</xdr:col>
          <xdr:colOff>276225</xdr:colOff>
          <xdr:row>301</xdr:row>
          <xdr:rowOff>190500</xdr:rowOff>
        </xdr:to>
        <xdr:sp macro="" textlink="">
          <xdr:nvSpPr>
            <xdr:cNvPr id="45118" name="Group Box 62" hidden="1">
              <a:extLst>
                <a:ext uri="{63B3BB69-23CF-44E3-9099-C40C66FF867C}">
                  <a14:compatExt spid="_x0000_s45118"/>
                </a:ext>
                <a:ext uri="{FF2B5EF4-FFF2-40B4-BE49-F238E27FC236}">
                  <a16:creationId xmlns:a16="http://schemas.microsoft.com/office/drawing/2014/main" id="{00000000-0008-0000-0700-00003EB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293</xdr:row>
          <xdr:rowOff>85725</xdr:rowOff>
        </xdr:from>
        <xdr:to>
          <xdr:col>3</xdr:col>
          <xdr:colOff>247650</xdr:colOff>
          <xdr:row>294</xdr:row>
          <xdr:rowOff>152400</xdr:rowOff>
        </xdr:to>
        <xdr:sp macro="" textlink="">
          <xdr:nvSpPr>
            <xdr:cNvPr id="45119" name="Option Button 63" hidden="1">
              <a:extLst>
                <a:ext uri="{63B3BB69-23CF-44E3-9099-C40C66FF867C}">
                  <a14:compatExt spid="_x0000_s45119"/>
                </a:ext>
                <a:ext uri="{FF2B5EF4-FFF2-40B4-BE49-F238E27FC236}">
                  <a16:creationId xmlns:a16="http://schemas.microsoft.com/office/drawing/2014/main" id="{00000000-0008-0000-0700-00003F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Not Affected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19050</xdr:colOff>
          <xdr:row>294</xdr:row>
          <xdr:rowOff>152400</xdr:rowOff>
        </xdr:from>
        <xdr:to>
          <xdr:col>3</xdr:col>
          <xdr:colOff>247650</xdr:colOff>
          <xdr:row>296</xdr:row>
          <xdr:rowOff>38100</xdr:rowOff>
        </xdr:to>
        <xdr:sp macro="" textlink="">
          <xdr:nvSpPr>
            <xdr:cNvPr id="45120" name="Option Button 64" hidden="1">
              <a:extLst>
                <a:ext uri="{63B3BB69-23CF-44E3-9099-C40C66FF867C}">
                  <a14:compatExt spid="_x0000_s45120"/>
                </a:ext>
                <a:ext uri="{FF2B5EF4-FFF2-40B4-BE49-F238E27FC236}">
                  <a16:creationId xmlns:a16="http://schemas.microsoft.com/office/drawing/2014/main" id="{00000000-0008-0000-0700-000040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Whole nerve involved (39%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296</xdr:row>
          <xdr:rowOff>38100</xdr:rowOff>
        </xdr:from>
        <xdr:to>
          <xdr:col>3</xdr:col>
          <xdr:colOff>247650</xdr:colOff>
          <xdr:row>297</xdr:row>
          <xdr:rowOff>104775</xdr:rowOff>
        </xdr:to>
        <xdr:sp macro="" textlink="">
          <xdr:nvSpPr>
            <xdr:cNvPr id="45121" name="Option Button 65" hidden="1">
              <a:extLst>
                <a:ext uri="{63B3BB69-23CF-44E3-9099-C40C66FF867C}">
                  <a14:compatExt spid="_x0000_s45121"/>
                </a:ext>
                <a:ext uri="{FF2B5EF4-FFF2-40B4-BE49-F238E27FC236}">
                  <a16:creationId xmlns:a16="http://schemas.microsoft.com/office/drawing/2014/main" id="{00000000-0008-0000-0700-000041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mid-shin (28%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297</xdr:row>
          <xdr:rowOff>104775</xdr:rowOff>
        </xdr:from>
        <xdr:to>
          <xdr:col>3</xdr:col>
          <xdr:colOff>247650</xdr:colOff>
          <xdr:row>298</xdr:row>
          <xdr:rowOff>161925</xdr:rowOff>
        </xdr:to>
        <xdr:sp macro="" textlink="">
          <xdr:nvSpPr>
            <xdr:cNvPr id="45122" name="Option Button 66" hidden="1">
              <a:extLst>
                <a:ext uri="{63B3BB69-23CF-44E3-9099-C40C66FF867C}">
                  <a14:compatExt spid="_x0000_s45122"/>
                </a:ext>
                <a:ext uri="{FF2B5EF4-FFF2-40B4-BE49-F238E27FC236}">
                  <a16:creationId xmlns:a16="http://schemas.microsoft.com/office/drawing/2014/main" id="{00000000-0008-0000-0700-000042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Above mid-shin+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298</xdr:row>
          <xdr:rowOff>161925</xdr:rowOff>
        </xdr:from>
        <xdr:to>
          <xdr:col>3</xdr:col>
          <xdr:colOff>247650</xdr:colOff>
          <xdr:row>299</xdr:row>
          <xdr:rowOff>228600</xdr:rowOff>
        </xdr:to>
        <xdr:sp macro="" textlink="">
          <xdr:nvSpPr>
            <xdr:cNvPr id="45123" name="Option Button 67" hidden="1">
              <a:extLst>
                <a:ext uri="{63B3BB69-23CF-44E3-9099-C40C66FF867C}">
                  <a14:compatExt spid="_x0000_s45123"/>
                </a:ext>
                <a:ext uri="{FF2B5EF4-FFF2-40B4-BE49-F238E27FC236}">
                  <a16:creationId xmlns:a16="http://schemas.microsoft.com/office/drawing/2014/main" id="{00000000-0008-0000-0700-000043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mid-shin (6% foot)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419100</xdr:colOff>
          <xdr:row>299</xdr:row>
          <xdr:rowOff>228600</xdr:rowOff>
        </xdr:from>
        <xdr:to>
          <xdr:col>3</xdr:col>
          <xdr:colOff>247650</xdr:colOff>
          <xdr:row>300</xdr:row>
          <xdr:rowOff>171450</xdr:rowOff>
        </xdr:to>
        <xdr:sp macro="" textlink="">
          <xdr:nvSpPr>
            <xdr:cNvPr id="45124" name="Option Button 68" hidden="1">
              <a:extLst>
                <a:ext uri="{63B3BB69-23CF-44E3-9099-C40C66FF867C}">
                  <a14:compatExt spid="_x0000_s45124"/>
                </a:ext>
                <a:ext uri="{FF2B5EF4-FFF2-40B4-BE49-F238E27FC236}">
                  <a16:creationId xmlns:a16="http://schemas.microsoft.com/office/drawing/2014/main" id="{00000000-0008-0000-0700-000044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Below mid-shin + superficial</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28575</xdr:colOff>
          <xdr:row>300</xdr:row>
          <xdr:rowOff>171450</xdr:rowOff>
        </xdr:from>
        <xdr:to>
          <xdr:col>3</xdr:col>
          <xdr:colOff>257175</xdr:colOff>
          <xdr:row>302</xdr:row>
          <xdr:rowOff>47625</xdr:rowOff>
        </xdr:to>
        <xdr:sp macro="" textlink="">
          <xdr:nvSpPr>
            <xdr:cNvPr id="45127" name="Option Button 71" hidden="1">
              <a:extLst>
                <a:ext uri="{63B3BB69-23CF-44E3-9099-C40C66FF867C}">
                  <a14:compatExt spid="_x0000_s45127"/>
                </a:ext>
                <a:ext uri="{FF2B5EF4-FFF2-40B4-BE49-F238E27FC236}">
                  <a16:creationId xmlns:a16="http://schemas.microsoft.com/office/drawing/2014/main" id="{00000000-0008-0000-0700-000047B00000}"/>
                </a:ext>
              </a:extLst>
            </xdr:cNvPr>
            <xdr:cNvSpPr/>
          </xdr:nvSpPr>
          <xdr:spPr bwMode="auto">
            <a:xfrm>
              <a:off x="0" y="0"/>
              <a:ext cx="0" cy="0"/>
            </a:xfrm>
            <a:prstGeom prst="rect">
              <a:avLst/>
            </a:prstGeom>
            <a:solidFill>
              <a:srgbClr val="CCFFCC" mc:Ignorable="a14" a14:legacySpreadsheetColorIndex="42"/>
            </a:solidFill>
            <a:ln>
              <a:noFill/>
            </a:ln>
            <a:extLs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Superficial peroneal only (11% foot)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218</xdr:row>
          <xdr:rowOff>19050</xdr:rowOff>
        </xdr:from>
        <xdr:to>
          <xdr:col>7</xdr:col>
          <xdr:colOff>19050</xdr:colOff>
          <xdr:row>219</xdr:row>
          <xdr:rowOff>9525</xdr:rowOff>
        </xdr:to>
        <xdr:sp macro="" textlink="">
          <xdr:nvSpPr>
            <xdr:cNvPr id="45743" name="Check Box 687" hidden="1">
              <a:extLst>
                <a:ext uri="{63B3BB69-23CF-44E3-9099-C40C66FF867C}">
                  <a14:compatExt spid="_x0000_s45743"/>
                </a:ext>
                <a:ext uri="{FF2B5EF4-FFF2-40B4-BE49-F238E27FC236}">
                  <a16:creationId xmlns:a16="http://schemas.microsoft.com/office/drawing/2014/main" id="{00000000-0008-0000-0700-0000AFB2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28575</xdr:colOff>
          <xdr:row>7</xdr:row>
          <xdr:rowOff>9525</xdr:rowOff>
        </xdr:from>
        <xdr:to>
          <xdr:col>3</xdr:col>
          <xdr:colOff>28575</xdr:colOff>
          <xdr:row>8</xdr:row>
          <xdr:rowOff>0</xdr:rowOff>
        </xdr:to>
        <xdr:sp macro="" textlink="">
          <xdr:nvSpPr>
            <xdr:cNvPr id="44259" name="Check Box 227" hidden="1">
              <a:extLst>
                <a:ext uri="{63B3BB69-23CF-44E3-9099-C40C66FF867C}">
                  <a14:compatExt spid="_x0000_s44259"/>
                </a:ext>
                <a:ext uri="{FF2B5EF4-FFF2-40B4-BE49-F238E27FC236}">
                  <a16:creationId xmlns:a16="http://schemas.microsoft.com/office/drawing/2014/main" id="{00000000-0008-0000-0800-0000E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14</xdr:col>
          <xdr:colOff>0</xdr:colOff>
          <xdr:row>4</xdr:row>
          <xdr:rowOff>0</xdr:rowOff>
        </xdr:from>
        <xdr:to>
          <xdr:col>15</xdr:col>
          <xdr:colOff>800100</xdr:colOff>
          <xdr:row>5</xdr:row>
          <xdr:rowOff>0</xdr:rowOff>
        </xdr:to>
        <xdr:grpSp>
          <xdr:nvGrpSpPr>
            <xdr:cNvPr id="44585" name="Group 67">
              <a:extLst>
                <a:ext uri="{FF2B5EF4-FFF2-40B4-BE49-F238E27FC236}">
                  <a16:creationId xmlns:a16="http://schemas.microsoft.com/office/drawing/2014/main" id="{00000000-0008-0000-0800-000029AE0000}"/>
                </a:ext>
              </a:extLst>
            </xdr:cNvPr>
            <xdr:cNvGrpSpPr>
              <a:grpSpLocks/>
            </xdr:cNvGrpSpPr>
          </xdr:nvGrpSpPr>
          <xdr:grpSpPr bwMode="auto">
            <a:xfrm>
              <a:off x="4579938" y="1397000"/>
              <a:ext cx="1411287" cy="658813"/>
              <a:chOff x="472" y="167"/>
              <a:chExt cx="148" cy="69"/>
            </a:xfrm>
          </xdr:grpSpPr>
          <xdr:sp macro="" textlink="">
            <xdr:nvSpPr>
              <xdr:cNvPr id="44034" name="Group Box 2" hidden="1">
                <a:extLst>
                  <a:ext uri="{63B3BB69-23CF-44E3-9099-C40C66FF867C}">
                    <a14:compatExt spid="_x0000_s44034"/>
                  </a:ext>
                  <a:ext uri="{FF2B5EF4-FFF2-40B4-BE49-F238E27FC236}">
                    <a16:creationId xmlns:a16="http://schemas.microsoft.com/office/drawing/2014/main" id="{00000000-0008-0000-0800-000002AC0000}"/>
                  </a:ext>
                </a:extLst>
              </xdr:cNvPr>
              <xdr:cNvSpPr/>
            </xdr:nvSpPr>
            <xdr:spPr bwMode="auto">
              <a:xfrm>
                <a:off x="472" y="167"/>
                <a:ext cx="148" cy="69"/>
              </a:xfrm>
              <a:prstGeom prst="rect">
                <a:avLst/>
              </a:prstGeom>
              <a:noFill/>
              <a:ln w="9525">
                <a:miter lim="800000"/>
                <a:headEnd/>
                <a:tailEnd/>
              </a:ln>
              <a:extLst>
                <a:ext uri="{909E8E84-426E-40DD-AFC4-6F175D3DCCD1}">
                  <a14:hiddenFill>
                    <a:noFill/>
                  </a14:hiddenFill>
                </a:ext>
              </a:extLst>
            </xdr:spPr>
          </xdr:sp>
          <xdr:sp macro="" textlink="">
            <xdr:nvSpPr>
              <xdr:cNvPr id="44035" name="Option Button 3" hidden="1">
                <a:extLst>
                  <a:ext uri="{63B3BB69-23CF-44E3-9099-C40C66FF867C}">
                    <a14:compatExt spid="_x0000_s44035"/>
                  </a:ext>
                  <a:ext uri="{FF2B5EF4-FFF2-40B4-BE49-F238E27FC236}">
                    <a16:creationId xmlns:a16="http://schemas.microsoft.com/office/drawing/2014/main" id="{00000000-0008-0000-0800-000003AC0000}"/>
                  </a:ext>
                </a:extLst>
              </xdr:cNvPr>
              <xdr:cNvSpPr/>
            </xdr:nvSpPr>
            <xdr:spPr bwMode="auto">
              <a:xfrm>
                <a:off x="499" y="186"/>
                <a:ext cx="32" cy="3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44036" name="Option Button 4" hidden="1">
                <a:extLst>
                  <a:ext uri="{63B3BB69-23CF-44E3-9099-C40C66FF867C}">
                    <a14:compatExt spid="_x0000_s44036"/>
                  </a:ext>
                  <a:ext uri="{FF2B5EF4-FFF2-40B4-BE49-F238E27FC236}">
                    <a16:creationId xmlns:a16="http://schemas.microsoft.com/office/drawing/2014/main" id="{00000000-0008-0000-0800-000004AC0000}"/>
                  </a:ext>
                </a:extLst>
              </xdr:cNvPr>
              <xdr:cNvSpPr/>
            </xdr:nvSpPr>
            <xdr:spPr bwMode="auto">
              <a:xfrm>
                <a:off x="568" y="186"/>
                <a:ext cx="32" cy="39"/>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5</xdr:row>
          <xdr:rowOff>9525</xdr:rowOff>
        </xdr:from>
        <xdr:to>
          <xdr:col>3</xdr:col>
          <xdr:colOff>28575</xdr:colOff>
          <xdr:row>5</xdr:row>
          <xdr:rowOff>228600</xdr:rowOff>
        </xdr:to>
        <xdr:sp macro="" textlink="">
          <xdr:nvSpPr>
            <xdr:cNvPr id="44247" name="Check Box 215" hidden="1">
              <a:extLst>
                <a:ext uri="{63B3BB69-23CF-44E3-9099-C40C66FF867C}">
                  <a14:compatExt spid="_x0000_s44247"/>
                </a:ext>
                <a:ext uri="{FF2B5EF4-FFF2-40B4-BE49-F238E27FC236}">
                  <a16:creationId xmlns:a16="http://schemas.microsoft.com/office/drawing/2014/main" id="{00000000-0008-0000-0800-0000D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6</xdr:row>
          <xdr:rowOff>9525</xdr:rowOff>
        </xdr:from>
        <xdr:to>
          <xdr:col>3</xdr:col>
          <xdr:colOff>28575</xdr:colOff>
          <xdr:row>6</xdr:row>
          <xdr:rowOff>228600</xdr:rowOff>
        </xdr:to>
        <xdr:sp macro="" textlink="">
          <xdr:nvSpPr>
            <xdr:cNvPr id="44248" name="Check Box 216" hidden="1">
              <a:extLst>
                <a:ext uri="{63B3BB69-23CF-44E3-9099-C40C66FF867C}">
                  <a14:compatExt spid="_x0000_s44248"/>
                </a:ext>
                <a:ext uri="{FF2B5EF4-FFF2-40B4-BE49-F238E27FC236}">
                  <a16:creationId xmlns:a16="http://schemas.microsoft.com/office/drawing/2014/main" id="{00000000-0008-0000-0800-0000D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13</xdr:row>
          <xdr:rowOff>180975</xdr:rowOff>
        </xdr:from>
        <xdr:to>
          <xdr:col>14</xdr:col>
          <xdr:colOff>9525</xdr:colOff>
          <xdr:row>15</xdr:row>
          <xdr:rowOff>733425</xdr:rowOff>
        </xdr:to>
        <xdr:sp macro="" textlink="">
          <xdr:nvSpPr>
            <xdr:cNvPr id="43009" name="Group Box 1" hidden="1">
              <a:extLst>
                <a:ext uri="{63B3BB69-23CF-44E3-9099-C40C66FF867C}">
                  <a14:compatExt spid="_x0000_s43009"/>
                </a:ext>
                <a:ext uri="{FF2B5EF4-FFF2-40B4-BE49-F238E27FC236}">
                  <a16:creationId xmlns:a16="http://schemas.microsoft.com/office/drawing/2014/main" id="{00000000-0008-0000-0900-000001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19050</xdr:rowOff>
        </xdr:from>
        <xdr:to>
          <xdr:col>3</xdr:col>
          <xdr:colOff>76200</xdr:colOff>
          <xdr:row>15</xdr:row>
          <xdr:rowOff>238125</xdr:rowOff>
        </xdr:to>
        <xdr:sp macro="" textlink="">
          <xdr:nvSpPr>
            <xdr:cNvPr id="43010" name="Option Button 2" hidden="1">
              <a:extLst>
                <a:ext uri="{63B3BB69-23CF-44E3-9099-C40C66FF867C}">
                  <a14:compatExt spid="_x0000_s43010"/>
                </a:ext>
                <a:ext uri="{FF2B5EF4-FFF2-40B4-BE49-F238E27FC236}">
                  <a16:creationId xmlns:a16="http://schemas.microsoft.com/office/drawing/2014/main" id="{00000000-0008-0000-0900-000002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228600</xdr:rowOff>
        </xdr:from>
        <xdr:to>
          <xdr:col>12</xdr:col>
          <xdr:colOff>123825</xdr:colOff>
          <xdr:row>15</xdr:row>
          <xdr:rowOff>447675</xdr:rowOff>
        </xdr:to>
        <xdr:sp macro="" textlink="">
          <xdr:nvSpPr>
            <xdr:cNvPr id="43011" name="Option Button 3" hidden="1">
              <a:extLst>
                <a:ext uri="{63B3BB69-23CF-44E3-9099-C40C66FF867C}">
                  <a14:compatExt spid="_x0000_s43011"/>
                </a:ext>
                <a:ext uri="{FF2B5EF4-FFF2-40B4-BE49-F238E27FC236}">
                  <a16:creationId xmlns:a16="http://schemas.microsoft.com/office/drawing/2014/main" id="{00000000-0008-0000-0900-000003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Lens removed;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15</xdr:row>
          <xdr:rowOff>447675</xdr:rowOff>
        </xdr:from>
        <xdr:to>
          <xdr:col>12</xdr:col>
          <xdr:colOff>142875</xdr:colOff>
          <xdr:row>15</xdr:row>
          <xdr:rowOff>666750</xdr:rowOff>
        </xdr:to>
        <xdr:sp macro="" textlink="">
          <xdr:nvSpPr>
            <xdr:cNvPr id="43012" name="Option Button 4" hidden="1">
              <a:extLst>
                <a:ext uri="{63B3BB69-23CF-44E3-9099-C40C66FF867C}">
                  <a14:compatExt spid="_x0000_s43012"/>
                </a:ext>
                <a:ext uri="{FF2B5EF4-FFF2-40B4-BE49-F238E27FC236}">
                  <a16:creationId xmlns:a16="http://schemas.microsoft.com/office/drawing/2014/main" id="{00000000-0008-0000-0900-000004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Lens removed; no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14</xdr:row>
          <xdr:rowOff>0</xdr:rowOff>
        </xdr:from>
        <xdr:to>
          <xdr:col>30</xdr:col>
          <xdr:colOff>152400</xdr:colOff>
          <xdr:row>15</xdr:row>
          <xdr:rowOff>733425</xdr:rowOff>
        </xdr:to>
        <xdr:sp macro="" textlink="">
          <xdr:nvSpPr>
            <xdr:cNvPr id="43013" name="Group Box 5" hidden="1">
              <a:extLst>
                <a:ext uri="{63B3BB69-23CF-44E3-9099-C40C66FF867C}">
                  <a14:compatExt spid="_x0000_s43013"/>
                </a:ext>
                <a:ext uri="{FF2B5EF4-FFF2-40B4-BE49-F238E27FC236}">
                  <a16:creationId xmlns:a16="http://schemas.microsoft.com/office/drawing/2014/main" id="{00000000-0008-0000-0900-000005A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19050</xdr:rowOff>
        </xdr:from>
        <xdr:to>
          <xdr:col>28</xdr:col>
          <xdr:colOff>171450</xdr:colOff>
          <xdr:row>15</xdr:row>
          <xdr:rowOff>238125</xdr:rowOff>
        </xdr:to>
        <xdr:sp macro="" textlink="">
          <xdr:nvSpPr>
            <xdr:cNvPr id="43014" name="Option Button 6" hidden="1">
              <a:extLst>
                <a:ext uri="{63B3BB69-23CF-44E3-9099-C40C66FF867C}">
                  <a14:compatExt spid="_x0000_s43014"/>
                </a:ext>
                <a:ext uri="{FF2B5EF4-FFF2-40B4-BE49-F238E27FC236}">
                  <a16:creationId xmlns:a16="http://schemas.microsoft.com/office/drawing/2014/main" id="{00000000-0008-0000-0900-000006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219075</xdr:rowOff>
        </xdr:from>
        <xdr:to>
          <xdr:col>28</xdr:col>
          <xdr:colOff>171450</xdr:colOff>
          <xdr:row>15</xdr:row>
          <xdr:rowOff>438150</xdr:rowOff>
        </xdr:to>
        <xdr:sp macro="" textlink="">
          <xdr:nvSpPr>
            <xdr:cNvPr id="43015" name="Option Button 7" hidden="1">
              <a:extLst>
                <a:ext uri="{63B3BB69-23CF-44E3-9099-C40C66FF867C}">
                  <a14:compatExt spid="_x0000_s43015"/>
                </a:ext>
                <a:ext uri="{FF2B5EF4-FFF2-40B4-BE49-F238E27FC236}">
                  <a16:creationId xmlns:a16="http://schemas.microsoft.com/office/drawing/2014/main" id="{00000000-0008-0000-0900-000007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Lens removed;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114300</xdr:colOff>
          <xdr:row>15</xdr:row>
          <xdr:rowOff>447675</xdr:rowOff>
        </xdr:from>
        <xdr:to>
          <xdr:col>29</xdr:col>
          <xdr:colOff>47625</xdr:colOff>
          <xdr:row>15</xdr:row>
          <xdr:rowOff>666750</xdr:rowOff>
        </xdr:to>
        <xdr:sp macro="" textlink="">
          <xdr:nvSpPr>
            <xdr:cNvPr id="43016" name="Option Button 8" hidden="1">
              <a:extLst>
                <a:ext uri="{63B3BB69-23CF-44E3-9099-C40C66FF867C}">
                  <a14:compatExt spid="_x0000_s43016"/>
                </a:ext>
                <a:ext uri="{FF2B5EF4-FFF2-40B4-BE49-F238E27FC236}">
                  <a16:creationId xmlns:a16="http://schemas.microsoft.com/office/drawing/2014/main" id="{00000000-0008-0000-0900-00000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Lens removed; no prosthetic replacement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18</xdr:row>
          <xdr:rowOff>219075</xdr:rowOff>
        </xdr:from>
        <xdr:to>
          <xdr:col>2</xdr:col>
          <xdr:colOff>123825</xdr:colOff>
          <xdr:row>19</xdr:row>
          <xdr:rowOff>209550</xdr:rowOff>
        </xdr:to>
        <xdr:sp macro="" textlink="">
          <xdr:nvSpPr>
            <xdr:cNvPr id="43017" name="Check Box 9" hidden="1">
              <a:extLst>
                <a:ext uri="{63B3BB69-23CF-44E3-9099-C40C66FF867C}">
                  <a14:compatExt spid="_x0000_s43017"/>
                </a:ext>
                <a:ext uri="{FF2B5EF4-FFF2-40B4-BE49-F238E27FC236}">
                  <a16:creationId xmlns:a16="http://schemas.microsoft.com/office/drawing/2014/main" id="{00000000-0008-0000-0900-00000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19</xdr:row>
          <xdr:rowOff>0</xdr:rowOff>
        </xdr:from>
        <xdr:to>
          <xdr:col>19</xdr:col>
          <xdr:colOff>171450</xdr:colOff>
          <xdr:row>19</xdr:row>
          <xdr:rowOff>219075</xdr:rowOff>
        </xdr:to>
        <xdr:sp macro="" textlink="">
          <xdr:nvSpPr>
            <xdr:cNvPr id="43018" name="Check Box 10" hidden="1">
              <a:extLst>
                <a:ext uri="{63B3BB69-23CF-44E3-9099-C40C66FF867C}">
                  <a14:compatExt spid="_x0000_s43018"/>
                </a:ext>
                <a:ext uri="{FF2B5EF4-FFF2-40B4-BE49-F238E27FC236}">
                  <a16:creationId xmlns:a16="http://schemas.microsoft.com/office/drawing/2014/main" id="{00000000-0008-0000-0900-00000A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55</xdr:row>
          <xdr:rowOff>9525</xdr:rowOff>
        </xdr:from>
        <xdr:to>
          <xdr:col>13</xdr:col>
          <xdr:colOff>133350</xdr:colOff>
          <xdr:row>55</xdr:row>
          <xdr:rowOff>219075</xdr:rowOff>
        </xdr:to>
        <xdr:sp macro="" textlink="">
          <xdr:nvSpPr>
            <xdr:cNvPr id="43096" name="Check Box 88" hidden="1">
              <a:extLst>
                <a:ext uri="{63B3BB69-23CF-44E3-9099-C40C66FF867C}">
                  <a14:compatExt spid="_x0000_s43096"/>
                </a:ext>
                <a:ext uri="{FF2B5EF4-FFF2-40B4-BE49-F238E27FC236}">
                  <a16:creationId xmlns:a16="http://schemas.microsoft.com/office/drawing/2014/main" id="{00000000-0008-0000-0900-000058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38100</xdr:colOff>
          <xdr:row>55</xdr:row>
          <xdr:rowOff>9525</xdr:rowOff>
        </xdr:from>
        <xdr:to>
          <xdr:col>31</xdr:col>
          <xdr:colOff>0</xdr:colOff>
          <xdr:row>55</xdr:row>
          <xdr:rowOff>219075</xdr:rowOff>
        </xdr:to>
        <xdr:sp macro="" textlink="">
          <xdr:nvSpPr>
            <xdr:cNvPr id="43097" name="Check Box 89" hidden="1">
              <a:extLst>
                <a:ext uri="{63B3BB69-23CF-44E3-9099-C40C66FF867C}">
                  <a14:compatExt spid="_x0000_s43097"/>
                </a:ext>
                <a:ext uri="{FF2B5EF4-FFF2-40B4-BE49-F238E27FC236}">
                  <a16:creationId xmlns:a16="http://schemas.microsoft.com/office/drawing/2014/main" id="{00000000-0008-0000-0900-000059A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0</xdr:colOff>
          <xdr:row>21</xdr:row>
          <xdr:rowOff>0</xdr:rowOff>
        </xdr:from>
        <xdr:to>
          <xdr:col>15</xdr:col>
          <xdr:colOff>0</xdr:colOff>
          <xdr:row>25</xdr:row>
          <xdr:rowOff>0</xdr:rowOff>
        </xdr:to>
        <xdr:grpSp>
          <xdr:nvGrpSpPr>
            <xdr:cNvPr id="36313" name="Group 26">
              <a:extLst>
                <a:ext uri="{FF2B5EF4-FFF2-40B4-BE49-F238E27FC236}">
                  <a16:creationId xmlns:a16="http://schemas.microsoft.com/office/drawing/2014/main" id="{00000000-0008-0000-0A00-0000D98D0000}"/>
                </a:ext>
              </a:extLst>
            </xdr:cNvPr>
            <xdr:cNvGrpSpPr>
              <a:grpSpLocks/>
            </xdr:cNvGrpSpPr>
          </xdr:nvGrpSpPr>
          <xdr:grpSpPr bwMode="auto">
            <a:xfrm>
              <a:off x="95250" y="6492875"/>
              <a:ext cx="5580063" cy="984250"/>
              <a:chOff x="10" y="663"/>
              <a:chExt cx="579" cy="104"/>
            </a:xfrm>
          </xdr:grpSpPr>
          <xdr:sp macro="" textlink="">
            <xdr:nvSpPr>
              <xdr:cNvPr id="35842" name="Group Box 2" hidden="1">
                <a:extLst>
                  <a:ext uri="{63B3BB69-23CF-44E3-9099-C40C66FF867C}">
                    <a14:compatExt spid="_x0000_s35842"/>
                  </a:ext>
                  <a:ext uri="{FF2B5EF4-FFF2-40B4-BE49-F238E27FC236}">
                    <a16:creationId xmlns:a16="http://schemas.microsoft.com/office/drawing/2014/main" id="{00000000-0008-0000-0A00-0000028C0000}"/>
                  </a:ext>
                </a:extLst>
              </xdr:cNvPr>
              <xdr:cNvSpPr/>
            </xdr:nvSpPr>
            <xdr:spPr bwMode="auto">
              <a:xfrm>
                <a:off x="10" y="663"/>
                <a:ext cx="579" cy="26"/>
              </a:xfrm>
              <a:prstGeom prst="rect">
                <a:avLst/>
              </a:prstGeom>
              <a:noFill/>
              <a:ln w="9525">
                <a:miter lim="800000"/>
                <a:headEnd/>
                <a:tailEnd/>
              </a:ln>
              <a:extLst>
                <a:ext uri="{909E8E84-426E-40DD-AFC4-6F175D3DCCD1}">
                  <a14:hiddenFill>
                    <a:noFill/>
                  </a14:hiddenFill>
                </a:ext>
              </a:extLst>
            </xdr:spPr>
          </xdr:sp>
          <xdr:sp macro="" textlink="">
            <xdr:nvSpPr>
              <xdr:cNvPr id="35843" name="Option Button 3" hidden="1">
                <a:extLst>
                  <a:ext uri="{63B3BB69-23CF-44E3-9099-C40C66FF867C}">
                    <a14:compatExt spid="_x0000_s35843"/>
                  </a:ext>
                  <a:ext uri="{FF2B5EF4-FFF2-40B4-BE49-F238E27FC236}">
                    <a16:creationId xmlns:a16="http://schemas.microsoft.com/office/drawing/2014/main" id="{00000000-0008-0000-0A00-0000038C0000}"/>
                  </a:ext>
                </a:extLst>
              </xdr:cNvPr>
              <xdr:cNvSpPr/>
            </xdr:nvSpPr>
            <xdr:spPr bwMode="auto">
              <a:xfrm>
                <a:off x="13" y="664"/>
                <a:ext cx="142"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Clavicle: Total resection</a:t>
                </a:r>
              </a:p>
            </xdr:txBody>
          </xdr:sp>
          <xdr:sp macro="" textlink="">
            <xdr:nvSpPr>
              <xdr:cNvPr id="35844" name="Option Button 4" hidden="1">
                <a:extLst>
                  <a:ext uri="{63B3BB69-23CF-44E3-9099-C40C66FF867C}">
                    <a14:compatExt spid="_x0000_s35844"/>
                  </a:ext>
                  <a:ext uri="{FF2B5EF4-FFF2-40B4-BE49-F238E27FC236}">
                    <a16:creationId xmlns:a16="http://schemas.microsoft.com/office/drawing/2014/main" id="{00000000-0008-0000-0A00-0000048C0000}"/>
                  </a:ext>
                </a:extLst>
              </xdr:cNvPr>
              <xdr:cNvSpPr/>
            </xdr:nvSpPr>
            <xdr:spPr bwMode="auto">
              <a:xfrm>
                <a:off x="192" y="664"/>
                <a:ext cx="16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Clavicle: Partial resection</a:t>
                </a:r>
              </a:p>
            </xdr:txBody>
          </xdr:sp>
          <xdr:sp macro="" textlink="">
            <xdr:nvSpPr>
              <xdr:cNvPr id="35845" name="Option Button 5" hidden="1">
                <a:extLst>
                  <a:ext uri="{63B3BB69-23CF-44E3-9099-C40C66FF867C}">
                    <a14:compatExt spid="_x0000_s35845"/>
                  </a:ext>
                  <a:ext uri="{FF2B5EF4-FFF2-40B4-BE49-F238E27FC236}">
                    <a16:creationId xmlns:a16="http://schemas.microsoft.com/office/drawing/2014/main" id="{00000000-0008-0000-0A00-0000058C0000}"/>
                  </a:ext>
                </a:extLst>
              </xdr:cNvPr>
              <xdr:cNvSpPr/>
            </xdr:nvSpPr>
            <xdr:spPr bwMode="auto">
              <a:xfrm>
                <a:off x="373" y="664"/>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46" name="Group Box 6" hidden="1">
                <a:extLst>
                  <a:ext uri="{63B3BB69-23CF-44E3-9099-C40C66FF867C}">
                    <a14:compatExt spid="_x0000_s35846"/>
                  </a:ext>
                  <a:ext uri="{FF2B5EF4-FFF2-40B4-BE49-F238E27FC236}">
                    <a16:creationId xmlns:a16="http://schemas.microsoft.com/office/drawing/2014/main" id="{00000000-0008-0000-0A00-0000068C0000}"/>
                  </a:ext>
                </a:extLst>
              </xdr:cNvPr>
              <xdr:cNvSpPr/>
            </xdr:nvSpPr>
            <xdr:spPr bwMode="auto">
              <a:xfrm>
                <a:off x="10" y="689"/>
                <a:ext cx="579" cy="26"/>
              </a:xfrm>
              <a:prstGeom prst="rect">
                <a:avLst/>
              </a:prstGeom>
              <a:noFill/>
              <a:ln w="9525">
                <a:miter lim="800000"/>
                <a:headEnd/>
                <a:tailEnd/>
              </a:ln>
              <a:extLst>
                <a:ext uri="{909E8E84-426E-40DD-AFC4-6F175D3DCCD1}">
                  <a14:hiddenFill>
                    <a:noFill/>
                  </a14:hiddenFill>
                </a:ext>
              </a:extLst>
            </xdr:spPr>
          </xdr:sp>
          <xdr:sp macro="" textlink="">
            <xdr:nvSpPr>
              <xdr:cNvPr id="35847" name="Option Button 7" hidden="1">
                <a:extLst>
                  <a:ext uri="{63B3BB69-23CF-44E3-9099-C40C66FF867C}">
                    <a14:compatExt spid="_x0000_s35847"/>
                  </a:ext>
                  <a:ext uri="{FF2B5EF4-FFF2-40B4-BE49-F238E27FC236}">
                    <a16:creationId xmlns:a16="http://schemas.microsoft.com/office/drawing/2014/main" id="{00000000-0008-0000-0A00-0000078C0000}"/>
                  </a:ext>
                </a:extLst>
              </xdr:cNvPr>
              <xdr:cNvSpPr/>
            </xdr:nvSpPr>
            <xdr:spPr bwMode="auto">
              <a:xfrm>
                <a:off x="13" y="690"/>
                <a:ext cx="155"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Acromion: Partial resection</a:t>
                </a:r>
              </a:p>
            </xdr:txBody>
          </xdr:sp>
          <xdr:sp macro="" textlink="">
            <xdr:nvSpPr>
              <xdr:cNvPr id="35848" name="Option Button 8" hidden="1">
                <a:extLst>
                  <a:ext uri="{63B3BB69-23CF-44E3-9099-C40C66FF867C}">
                    <a14:compatExt spid="_x0000_s35848"/>
                  </a:ext>
                  <a:ext uri="{FF2B5EF4-FFF2-40B4-BE49-F238E27FC236}">
                    <a16:creationId xmlns:a16="http://schemas.microsoft.com/office/drawing/2014/main" id="{00000000-0008-0000-0A00-0000088C0000}"/>
                  </a:ext>
                </a:extLst>
              </xdr:cNvPr>
              <xdr:cNvSpPr/>
            </xdr:nvSpPr>
            <xdr:spPr bwMode="auto">
              <a:xfrm>
                <a:off x="373" y="690"/>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49" name="Group Box 9" hidden="1">
                <a:extLst>
                  <a:ext uri="{63B3BB69-23CF-44E3-9099-C40C66FF867C}">
                    <a14:compatExt spid="_x0000_s35849"/>
                  </a:ext>
                  <a:ext uri="{FF2B5EF4-FFF2-40B4-BE49-F238E27FC236}">
                    <a16:creationId xmlns:a16="http://schemas.microsoft.com/office/drawing/2014/main" id="{00000000-0008-0000-0A00-0000098C0000}"/>
                  </a:ext>
                </a:extLst>
              </xdr:cNvPr>
              <xdr:cNvSpPr/>
            </xdr:nvSpPr>
            <xdr:spPr bwMode="auto">
              <a:xfrm>
                <a:off x="10" y="715"/>
                <a:ext cx="579" cy="26"/>
              </a:xfrm>
              <a:prstGeom prst="rect">
                <a:avLst/>
              </a:prstGeom>
              <a:noFill/>
              <a:ln w="9525">
                <a:miter lim="800000"/>
                <a:headEnd/>
                <a:tailEnd/>
              </a:ln>
              <a:extLst>
                <a:ext uri="{909E8E84-426E-40DD-AFC4-6F175D3DCCD1}">
                  <a14:hiddenFill>
                    <a:noFill/>
                  </a14:hiddenFill>
                </a:ext>
              </a:extLst>
            </xdr:spPr>
          </xdr:sp>
          <xdr:sp macro="" textlink="">
            <xdr:nvSpPr>
              <xdr:cNvPr id="35850" name="Option Button 10" hidden="1">
                <a:extLst>
                  <a:ext uri="{63B3BB69-23CF-44E3-9099-C40C66FF867C}">
                    <a14:compatExt spid="_x0000_s35850"/>
                  </a:ext>
                  <a:ext uri="{FF2B5EF4-FFF2-40B4-BE49-F238E27FC236}">
                    <a16:creationId xmlns:a16="http://schemas.microsoft.com/office/drawing/2014/main" id="{00000000-0008-0000-0A00-00000A8C0000}"/>
                  </a:ext>
                </a:extLst>
              </xdr:cNvPr>
              <xdr:cNvSpPr/>
            </xdr:nvSpPr>
            <xdr:spPr bwMode="auto">
              <a:xfrm>
                <a:off x="13" y="716"/>
                <a:ext cx="153"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Total shoulder arthroplasty</a:t>
                </a:r>
              </a:p>
            </xdr:txBody>
          </xdr:sp>
          <xdr:sp macro="" textlink="">
            <xdr:nvSpPr>
              <xdr:cNvPr id="35851" name="Option Button 11" hidden="1">
                <a:extLst>
                  <a:ext uri="{63B3BB69-23CF-44E3-9099-C40C66FF867C}">
                    <a14:compatExt spid="_x0000_s35851"/>
                  </a:ext>
                  <a:ext uri="{FF2B5EF4-FFF2-40B4-BE49-F238E27FC236}">
                    <a16:creationId xmlns:a16="http://schemas.microsoft.com/office/drawing/2014/main" id="{00000000-0008-0000-0A00-00000B8C0000}"/>
                  </a:ext>
                </a:extLst>
              </xdr:cNvPr>
              <xdr:cNvSpPr/>
            </xdr:nvSpPr>
            <xdr:spPr bwMode="auto">
              <a:xfrm>
                <a:off x="373" y="716"/>
                <a:ext cx="164"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sp macro="" textlink="">
            <xdr:nvSpPr>
              <xdr:cNvPr id="35852" name="Group Box 12" hidden="1">
                <a:extLst>
                  <a:ext uri="{63B3BB69-23CF-44E3-9099-C40C66FF867C}">
                    <a14:compatExt spid="_x0000_s35852"/>
                  </a:ext>
                  <a:ext uri="{FF2B5EF4-FFF2-40B4-BE49-F238E27FC236}">
                    <a16:creationId xmlns:a16="http://schemas.microsoft.com/office/drawing/2014/main" id="{00000000-0008-0000-0A00-00000C8C0000}"/>
                  </a:ext>
                </a:extLst>
              </xdr:cNvPr>
              <xdr:cNvSpPr/>
            </xdr:nvSpPr>
            <xdr:spPr bwMode="auto">
              <a:xfrm>
                <a:off x="10" y="741"/>
                <a:ext cx="579" cy="26"/>
              </a:xfrm>
              <a:prstGeom prst="rect">
                <a:avLst/>
              </a:prstGeom>
              <a:noFill/>
              <a:ln w="9525">
                <a:miter lim="800000"/>
                <a:headEnd/>
                <a:tailEnd/>
              </a:ln>
              <a:extLst>
                <a:ext uri="{909E8E84-426E-40DD-AFC4-6F175D3DCCD1}">
                  <a14:hiddenFill>
                    <a:noFill/>
                  </a14:hiddenFill>
                </a:ext>
              </a:extLst>
            </xdr:spPr>
          </xdr:sp>
          <xdr:sp macro="" textlink="">
            <xdr:nvSpPr>
              <xdr:cNvPr id="35853" name="Option Button 13" hidden="1">
                <a:extLst>
                  <a:ext uri="{63B3BB69-23CF-44E3-9099-C40C66FF867C}">
                    <a14:compatExt spid="_x0000_s35853"/>
                  </a:ext>
                  <a:ext uri="{FF2B5EF4-FFF2-40B4-BE49-F238E27FC236}">
                    <a16:creationId xmlns:a16="http://schemas.microsoft.com/office/drawing/2014/main" id="{00000000-0008-0000-0A00-00000D8C0000}"/>
                  </a:ext>
                </a:extLst>
              </xdr:cNvPr>
              <xdr:cNvSpPr/>
            </xdr:nvSpPr>
            <xdr:spPr bwMode="auto">
              <a:xfrm>
                <a:off x="13" y="742"/>
                <a:ext cx="192" cy="25"/>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Repeat total shoulder arthroplasty</a:t>
                </a:r>
              </a:p>
            </xdr:txBody>
          </xdr:sp>
          <xdr:sp macro="" textlink="">
            <xdr:nvSpPr>
              <xdr:cNvPr id="35854" name="Option Button 14" hidden="1">
                <a:extLst>
                  <a:ext uri="{63B3BB69-23CF-44E3-9099-C40C66FF867C}">
                    <a14:compatExt spid="_x0000_s35854"/>
                  </a:ext>
                  <a:ext uri="{FF2B5EF4-FFF2-40B4-BE49-F238E27FC236}">
                    <a16:creationId xmlns:a16="http://schemas.microsoft.com/office/drawing/2014/main" id="{00000000-0008-0000-0A00-00000E8C0000}"/>
                  </a:ext>
                </a:extLst>
              </xdr:cNvPr>
              <xdr:cNvSpPr/>
            </xdr:nvSpPr>
            <xdr:spPr bwMode="auto">
              <a:xfrm>
                <a:off x="373" y="742"/>
                <a:ext cx="98" cy="23"/>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NA</a:t>
                </a:r>
              </a:p>
            </xdr:txBody>
          </xdr:sp>
        </xdr:grp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0</xdr:rowOff>
        </xdr:from>
        <xdr:to>
          <xdr:col>4</xdr:col>
          <xdr:colOff>142875</xdr:colOff>
          <xdr:row>30</xdr:row>
          <xdr:rowOff>238125</xdr:rowOff>
        </xdr:to>
        <xdr:sp macro="" textlink="">
          <xdr:nvSpPr>
            <xdr:cNvPr id="35855" name="Check Box 15" hidden="1">
              <a:extLst>
                <a:ext uri="{63B3BB69-23CF-44E3-9099-C40C66FF867C}">
                  <a14:compatExt spid="_x0000_s35855"/>
                </a:ext>
                <a:ext uri="{FF2B5EF4-FFF2-40B4-BE49-F238E27FC236}">
                  <a16:creationId xmlns:a16="http://schemas.microsoft.com/office/drawing/2014/main" id="{00000000-0008-0000-0A00-00000F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Chronic dislocations of the shoulder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30</xdr:row>
          <xdr:rowOff>238125</xdr:rowOff>
        </xdr:from>
        <xdr:to>
          <xdr:col>4</xdr:col>
          <xdr:colOff>38100</xdr:colOff>
          <xdr:row>31</xdr:row>
          <xdr:rowOff>247650</xdr:rowOff>
        </xdr:to>
        <xdr:sp macro="" textlink="">
          <xdr:nvSpPr>
            <xdr:cNvPr id="35856" name="Check Box 16" hidden="1">
              <a:extLst>
                <a:ext uri="{63B3BB69-23CF-44E3-9099-C40C66FF867C}">
                  <a14:compatExt spid="_x0000_s35856"/>
                </a:ext>
                <a:ext uri="{FF2B5EF4-FFF2-40B4-BE49-F238E27FC236}">
                  <a16:creationId xmlns:a16="http://schemas.microsoft.com/office/drawing/2014/main" id="{00000000-0008-0000-0A00-000010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Diastasis of the sternal joint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87</xdr:row>
          <xdr:rowOff>0</xdr:rowOff>
        </xdr:from>
        <xdr:to>
          <xdr:col>15</xdr:col>
          <xdr:colOff>0</xdr:colOff>
          <xdr:row>87</xdr:row>
          <xdr:rowOff>247650</xdr:rowOff>
        </xdr:to>
        <xdr:sp macro="" textlink="">
          <xdr:nvSpPr>
            <xdr:cNvPr id="35857" name="Group Box 17" hidden="1">
              <a:extLst>
                <a:ext uri="{63B3BB69-23CF-44E3-9099-C40C66FF867C}">
                  <a14:compatExt spid="_x0000_s35857"/>
                </a:ext>
                <a:ext uri="{FF2B5EF4-FFF2-40B4-BE49-F238E27FC236}">
                  <a16:creationId xmlns:a16="http://schemas.microsoft.com/office/drawing/2014/main" id="{00000000-0008-0000-0A00-0000118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87</xdr:row>
          <xdr:rowOff>0</xdr:rowOff>
        </xdr:from>
        <xdr:to>
          <xdr:col>13</xdr:col>
          <xdr:colOff>0</xdr:colOff>
          <xdr:row>87</xdr:row>
          <xdr:rowOff>219075</xdr:rowOff>
        </xdr:to>
        <xdr:sp macro="" textlink="">
          <xdr:nvSpPr>
            <xdr:cNvPr id="35858" name="Option Button 18" hidden="1">
              <a:extLst>
                <a:ext uri="{63B3BB69-23CF-44E3-9099-C40C66FF867C}">
                  <a14:compatExt spid="_x0000_s35858"/>
                </a:ext>
                <a:ext uri="{FF2B5EF4-FFF2-40B4-BE49-F238E27FC236}">
                  <a16:creationId xmlns:a16="http://schemas.microsoft.com/office/drawing/2014/main" id="{00000000-0008-0000-0A00-00001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114300</xdr:colOff>
          <xdr:row>87</xdr:row>
          <xdr:rowOff>0</xdr:rowOff>
        </xdr:from>
        <xdr:to>
          <xdr:col>14</xdr:col>
          <xdr:colOff>619125</xdr:colOff>
          <xdr:row>87</xdr:row>
          <xdr:rowOff>219075</xdr:rowOff>
        </xdr:to>
        <xdr:sp macro="" textlink="">
          <xdr:nvSpPr>
            <xdr:cNvPr id="35859" name="Option Button 19" hidden="1">
              <a:extLst>
                <a:ext uri="{63B3BB69-23CF-44E3-9099-C40C66FF867C}">
                  <a14:compatExt spid="_x0000_s35859"/>
                </a:ext>
                <a:ext uri="{FF2B5EF4-FFF2-40B4-BE49-F238E27FC236}">
                  <a16:creationId xmlns:a16="http://schemas.microsoft.com/office/drawing/2014/main" id="{00000000-0008-0000-0A00-000013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No</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fred.h.bruyns@dcbs.oregon.gov"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93.xml"/><Relationship Id="rId13" Type="http://schemas.openxmlformats.org/officeDocument/2006/relationships/ctrlProp" Target="../ctrlProps/ctrlProp598.xml"/><Relationship Id="rId3" Type="http://schemas.openxmlformats.org/officeDocument/2006/relationships/vmlDrawing" Target="../drawings/vmlDrawing8.vml"/><Relationship Id="rId7" Type="http://schemas.openxmlformats.org/officeDocument/2006/relationships/ctrlProp" Target="../ctrlProps/ctrlProp592.xml"/><Relationship Id="rId12" Type="http://schemas.openxmlformats.org/officeDocument/2006/relationships/ctrlProp" Target="../ctrlProps/ctrlProp597.xml"/><Relationship Id="rId2" Type="http://schemas.openxmlformats.org/officeDocument/2006/relationships/drawing" Target="../drawings/drawing8.xml"/><Relationship Id="rId16" Type="http://schemas.openxmlformats.org/officeDocument/2006/relationships/comments" Target="../comments8.xml"/><Relationship Id="rId1" Type="http://schemas.openxmlformats.org/officeDocument/2006/relationships/printerSettings" Target="../printerSettings/printerSettings10.bin"/><Relationship Id="rId6" Type="http://schemas.openxmlformats.org/officeDocument/2006/relationships/ctrlProp" Target="../ctrlProps/ctrlProp591.xml"/><Relationship Id="rId11" Type="http://schemas.openxmlformats.org/officeDocument/2006/relationships/ctrlProp" Target="../ctrlProps/ctrlProp596.xml"/><Relationship Id="rId5" Type="http://schemas.openxmlformats.org/officeDocument/2006/relationships/ctrlProp" Target="../ctrlProps/ctrlProp590.xml"/><Relationship Id="rId15" Type="http://schemas.openxmlformats.org/officeDocument/2006/relationships/ctrlProp" Target="../ctrlProps/ctrlProp600.xml"/><Relationship Id="rId10" Type="http://schemas.openxmlformats.org/officeDocument/2006/relationships/ctrlProp" Target="../ctrlProps/ctrlProp595.xml"/><Relationship Id="rId4" Type="http://schemas.openxmlformats.org/officeDocument/2006/relationships/ctrlProp" Target="../ctrlProps/ctrlProp589.xml"/><Relationship Id="rId9" Type="http://schemas.openxmlformats.org/officeDocument/2006/relationships/ctrlProp" Target="../ctrlProps/ctrlProp594.xml"/><Relationship Id="rId14" Type="http://schemas.openxmlformats.org/officeDocument/2006/relationships/ctrlProp" Target="../ctrlProps/ctrlProp599.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605.xml"/><Relationship Id="rId13" Type="http://schemas.openxmlformats.org/officeDocument/2006/relationships/ctrlProp" Target="../ctrlProps/ctrlProp610.xml"/><Relationship Id="rId18" Type="http://schemas.openxmlformats.org/officeDocument/2006/relationships/ctrlProp" Target="../ctrlProps/ctrlProp615.xml"/><Relationship Id="rId3" Type="http://schemas.openxmlformats.org/officeDocument/2006/relationships/vmlDrawing" Target="../drawings/vmlDrawing9.vml"/><Relationship Id="rId21" Type="http://schemas.openxmlformats.org/officeDocument/2006/relationships/ctrlProp" Target="../ctrlProps/ctrlProp618.xml"/><Relationship Id="rId7" Type="http://schemas.openxmlformats.org/officeDocument/2006/relationships/ctrlProp" Target="../ctrlProps/ctrlProp604.xml"/><Relationship Id="rId12" Type="http://schemas.openxmlformats.org/officeDocument/2006/relationships/ctrlProp" Target="../ctrlProps/ctrlProp609.xml"/><Relationship Id="rId17" Type="http://schemas.openxmlformats.org/officeDocument/2006/relationships/ctrlProp" Target="../ctrlProps/ctrlProp614.xml"/><Relationship Id="rId2" Type="http://schemas.openxmlformats.org/officeDocument/2006/relationships/drawing" Target="../drawings/drawing9.xml"/><Relationship Id="rId16" Type="http://schemas.openxmlformats.org/officeDocument/2006/relationships/ctrlProp" Target="../ctrlProps/ctrlProp613.xml"/><Relationship Id="rId20" Type="http://schemas.openxmlformats.org/officeDocument/2006/relationships/ctrlProp" Target="../ctrlProps/ctrlProp617.xml"/><Relationship Id="rId1" Type="http://schemas.openxmlformats.org/officeDocument/2006/relationships/printerSettings" Target="../printerSettings/printerSettings11.bin"/><Relationship Id="rId6" Type="http://schemas.openxmlformats.org/officeDocument/2006/relationships/ctrlProp" Target="../ctrlProps/ctrlProp603.xml"/><Relationship Id="rId11" Type="http://schemas.openxmlformats.org/officeDocument/2006/relationships/ctrlProp" Target="../ctrlProps/ctrlProp608.xml"/><Relationship Id="rId5" Type="http://schemas.openxmlformats.org/officeDocument/2006/relationships/ctrlProp" Target="../ctrlProps/ctrlProp602.xml"/><Relationship Id="rId15" Type="http://schemas.openxmlformats.org/officeDocument/2006/relationships/ctrlProp" Target="../ctrlProps/ctrlProp612.xml"/><Relationship Id="rId10" Type="http://schemas.openxmlformats.org/officeDocument/2006/relationships/ctrlProp" Target="../ctrlProps/ctrlProp607.xml"/><Relationship Id="rId19" Type="http://schemas.openxmlformats.org/officeDocument/2006/relationships/ctrlProp" Target="../ctrlProps/ctrlProp616.xml"/><Relationship Id="rId4" Type="http://schemas.openxmlformats.org/officeDocument/2006/relationships/ctrlProp" Target="../ctrlProps/ctrlProp601.xml"/><Relationship Id="rId9" Type="http://schemas.openxmlformats.org/officeDocument/2006/relationships/ctrlProp" Target="../ctrlProps/ctrlProp606.xml"/><Relationship Id="rId14" Type="http://schemas.openxmlformats.org/officeDocument/2006/relationships/ctrlProp" Target="../ctrlProps/ctrlProp611.xml"/><Relationship Id="rId22" Type="http://schemas.openxmlformats.org/officeDocument/2006/relationships/comments" Target="../comments9.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623.xml"/><Relationship Id="rId13" Type="http://schemas.openxmlformats.org/officeDocument/2006/relationships/ctrlProp" Target="../ctrlProps/ctrlProp628.xml"/><Relationship Id="rId18" Type="http://schemas.openxmlformats.org/officeDocument/2006/relationships/ctrlProp" Target="../ctrlProps/ctrlProp633.xml"/><Relationship Id="rId3" Type="http://schemas.openxmlformats.org/officeDocument/2006/relationships/vmlDrawing" Target="../drawings/vmlDrawing10.vml"/><Relationship Id="rId21" Type="http://schemas.openxmlformats.org/officeDocument/2006/relationships/ctrlProp" Target="../ctrlProps/ctrlProp636.xml"/><Relationship Id="rId7" Type="http://schemas.openxmlformats.org/officeDocument/2006/relationships/ctrlProp" Target="../ctrlProps/ctrlProp622.xml"/><Relationship Id="rId12" Type="http://schemas.openxmlformats.org/officeDocument/2006/relationships/ctrlProp" Target="../ctrlProps/ctrlProp627.xml"/><Relationship Id="rId17" Type="http://schemas.openxmlformats.org/officeDocument/2006/relationships/ctrlProp" Target="../ctrlProps/ctrlProp632.xml"/><Relationship Id="rId2" Type="http://schemas.openxmlformats.org/officeDocument/2006/relationships/drawing" Target="../drawings/drawing10.xml"/><Relationship Id="rId16" Type="http://schemas.openxmlformats.org/officeDocument/2006/relationships/ctrlProp" Target="../ctrlProps/ctrlProp631.xml"/><Relationship Id="rId20" Type="http://schemas.openxmlformats.org/officeDocument/2006/relationships/ctrlProp" Target="../ctrlProps/ctrlProp635.xml"/><Relationship Id="rId1" Type="http://schemas.openxmlformats.org/officeDocument/2006/relationships/printerSettings" Target="../printerSettings/printerSettings12.bin"/><Relationship Id="rId6" Type="http://schemas.openxmlformats.org/officeDocument/2006/relationships/ctrlProp" Target="../ctrlProps/ctrlProp621.xml"/><Relationship Id="rId11" Type="http://schemas.openxmlformats.org/officeDocument/2006/relationships/ctrlProp" Target="../ctrlProps/ctrlProp626.xml"/><Relationship Id="rId5" Type="http://schemas.openxmlformats.org/officeDocument/2006/relationships/ctrlProp" Target="../ctrlProps/ctrlProp620.xml"/><Relationship Id="rId15" Type="http://schemas.openxmlformats.org/officeDocument/2006/relationships/ctrlProp" Target="../ctrlProps/ctrlProp630.xml"/><Relationship Id="rId10" Type="http://schemas.openxmlformats.org/officeDocument/2006/relationships/ctrlProp" Target="../ctrlProps/ctrlProp625.xml"/><Relationship Id="rId19" Type="http://schemas.openxmlformats.org/officeDocument/2006/relationships/ctrlProp" Target="../ctrlProps/ctrlProp634.xml"/><Relationship Id="rId4" Type="http://schemas.openxmlformats.org/officeDocument/2006/relationships/ctrlProp" Target="../ctrlProps/ctrlProp619.xml"/><Relationship Id="rId9" Type="http://schemas.openxmlformats.org/officeDocument/2006/relationships/ctrlProp" Target="../ctrlProps/ctrlProp624.xml"/><Relationship Id="rId14" Type="http://schemas.openxmlformats.org/officeDocument/2006/relationships/ctrlProp" Target="../ctrlProps/ctrlProp629.xml"/><Relationship Id="rId22" Type="http://schemas.openxmlformats.org/officeDocument/2006/relationships/comments" Target="../comments10.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641.xml"/><Relationship Id="rId13" Type="http://schemas.openxmlformats.org/officeDocument/2006/relationships/comments" Target="../comments11.xml"/><Relationship Id="rId3" Type="http://schemas.openxmlformats.org/officeDocument/2006/relationships/vmlDrawing" Target="../drawings/vmlDrawing11.vml"/><Relationship Id="rId7" Type="http://schemas.openxmlformats.org/officeDocument/2006/relationships/ctrlProp" Target="../ctrlProps/ctrlProp640.xml"/><Relationship Id="rId12" Type="http://schemas.openxmlformats.org/officeDocument/2006/relationships/ctrlProp" Target="../ctrlProps/ctrlProp645.xml"/><Relationship Id="rId2" Type="http://schemas.openxmlformats.org/officeDocument/2006/relationships/drawing" Target="../drawings/drawing11.xml"/><Relationship Id="rId1" Type="http://schemas.openxmlformats.org/officeDocument/2006/relationships/printerSettings" Target="../printerSettings/printerSettings13.bin"/><Relationship Id="rId6" Type="http://schemas.openxmlformats.org/officeDocument/2006/relationships/ctrlProp" Target="../ctrlProps/ctrlProp639.xml"/><Relationship Id="rId11" Type="http://schemas.openxmlformats.org/officeDocument/2006/relationships/ctrlProp" Target="../ctrlProps/ctrlProp644.xml"/><Relationship Id="rId5" Type="http://schemas.openxmlformats.org/officeDocument/2006/relationships/ctrlProp" Target="../ctrlProps/ctrlProp638.xml"/><Relationship Id="rId10" Type="http://schemas.openxmlformats.org/officeDocument/2006/relationships/ctrlProp" Target="../ctrlProps/ctrlProp643.xml"/><Relationship Id="rId4" Type="http://schemas.openxmlformats.org/officeDocument/2006/relationships/ctrlProp" Target="../ctrlProps/ctrlProp637.xml"/><Relationship Id="rId9" Type="http://schemas.openxmlformats.org/officeDocument/2006/relationships/ctrlProp" Target="../ctrlProps/ctrlProp64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650.xml"/><Relationship Id="rId13" Type="http://schemas.openxmlformats.org/officeDocument/2006/relationships/comments" Target="../comments12.xml"/><Relationship Id="rId3" Type="http://schemas.openxmlformats.org/officeDocument/2006/relationships/vmlDrawing" Target="../drawings/vmlDrawing12.vml"/><Relationship Id="rId7" Type="http://schemas.openxmlformats.org/officeDocument/2006/relationships/ctrlProp" Target="../ctrlProps/ctrlProp649.xml"/><Relationship Id="rId12" Type="http://schemas.openxmlformats.org/officeDocument/2006/relationships/ctrlProp" Target="../ctrlProps/ctrlProp654.xml"/><Relationship Id="rId2" Type="http://schemas.openxmlformats.org/officeDocument/2006/relationships/drawing" Target="../drawings/drawing12.xml"/><Relationship Id="rId1" Type="http://schemas.openxmlformats.org/officeDocument/2006/relationships/printerSettings" Target="../printerSettings/printerSettings14.bin"/><Relationship Id="rId6" Type="http://schemas.openxmlformats.org/officeDocument/2006/relationships/ctrlProp" Target="../ctrlProps/ctrlProp648.xml"/><Relationship Id="rId11" Type="http://schemas.openxmlformats.org/officeDocument/2006/relationships/ctrlProp" Target="../ctrlProps/ctrlProp653.xml"/><Relationship Id="rId5" Type="http://schemas.openxmlformats.org/officeDocument/2006/relationships/ctrlProp" Target="../ctrlProps/ctrlProp647.xml"/><Relationship Id="rId10" Type="http://schemas.openxmlformats.org/officeDocument/2006/relationships/ctrlProp" Target="../ctrlProps/ctrlProp652.xml"/><Relationship Id="rId4" Type="http://schemas.openxmlformats.org/officeDocument/2006/relationships/ctrlProp" Target="../ctrlProps/ctrlProp646.xml"/><Relationship Id="rId9" Type="http://schemas.openxmlformats.org/officeDocument/2006/relationships/ctrlProp" Target="../ctrlProps/ctrlProp651.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659.xml"/><Relationship Id="rId13" Type="http://schemas.openxmlformats.org/officeDocument/2006/relationships/comments" Target="../comments13.xml"/><Relationship Id="rId3" Type="http://schemas.openxmlformats.org/officeDocument/2006/relationships/vmlDrawing" Target="../drawings/vmlDrawing13.vml"/><Relationship Id="rId7" Type="http://schemas.openxmlformats.org/officeDocument/2006/relationships/ctrlProp" Target="../ctrlProps/ctrlProp658.xml"/><Relationship Id="rId12" Type="http://schemas.openxmlformats.org/officeDocument/2006/relationships/ctrlProp" Target="../ctrlProps/ctrlProp663.xml"/><Relationship Id="rId2" Type="http://schemas.openxmlformats.org/officeDocument/2006/relationships/drawing" Target="../drawings/drawing13.xml"/><Relationship Id="rId1" Type="http://schemas.openxmlformats.org/officeDocument/2006/relationships/printerSettings" Target="../printerSettings/printerSettings15.bin"/><Relationship Id="rId6" Type="http://schemas.openxmlformats.org/officeDocument/2006/relationships/ctrlProp" Target="../ctrlProps/ctrlProp657.xml"/><Relationship Id="rId11" Type="http://schemas.openxmlformats.org/officeDocument/2006/relationships/ctrlProp" Target="../ctrlProps/ctrlProp662.xml"/><Relationship Id="rId5" Type="http://schemas.openxmlformats.org/officeDocument/2006/relationships/ctrlProp" Target="../ctrlProps/ctrlProp656.xml"/><Relationship Id="rId10" Type="http://schemas.openxmlformats.org/officeDocument/2006/relationships/ctrlProp" Target="../ctrlProps/ctrlProp661.xml"/><Relationship Id="rId4" Type="http://schemas.openxmlformats.org/officeDocument/2006/relationships/ctrlProp" Target="../ctrlProps/ctrlProp655.xml"/><Relationship Id="rId9" Type="http://schemas.openxmlformats.org/officeDocument/2006/relationships/ctrlProp" Target="../ctrlProps/ctrlProp660.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668.xml"/><Relationship Id="rId13" Type="http://schemas.openxmlformats.org/officeDocument/2006/relationships/ctrlProp" Target="../ctrlProps/ctrlProp673.xml"/><Relationship Id="rId3" Type="http://schemas.openxmlformats.org/officeDocument/2006/relationships/vmlDrawing" Target="../drawings/vmlDrawing14.vml"/><Relationship Id="rId7" Type="http://schemas.openxmlformats.org/officeDocument/2006/relationships/ctrlProp" Target="../ctrlProps/ctrlProp667.xml"/><Relationship Id="rId12" Type="http://schemas.openxmlformats.org/officeDocument/2006/relationships/ctrlProp" Target="../ctrlProps/ctrlProp672.xml"/><Relationship Id="rId2" Type="http://schemas.openxmlformats.org/officeDocument/2006/relationships/drawing" Target="../drawings/drawing14.xml"/><Relationship Id="rId1" Type="http://schemas.openxmlformats.org/officeDocument/2006/relationships/printerSettings" Target="../printerSettings/printerSettings16.bin"/><Relationship Id="rId6" Type="http://schemas.openxmlformats.org/officeDocument/2006/relationships/ctrlProp" Target="../ctrlProps/ctrlProp666.xml"/><Relationship Id="rId11" Type="http://schemas.openxmlformats.org/officeDocument/2006/relationships/ctrlProp" Target="../ctrlProps/ctrlProp671.xml"/><Relationship Id="rId5" Type="http://schemas.openxmlformats.org/officeDocument/2006/relationships/ctrlProp" Target="../ctrlProps/ctrlProp665.xml"/><Relationship Id="rId15" Type="http://schemas.openxmlformats.org/officeDocument/2006/relationships/comments" Target="../comments14.xml"/><Relationship Id="rId10" Type="http://schemas.openxmlformats.org/officeDocument/2006/relationships/ctrlProp" Target="../ctrlProps/ctrlProp670.xml"/><Relationship Id="rId4" Type="http://schemas.openxmlformats.org/officeDocument/2006/relationships/ctrlProp" Target="../ctrlProps/ctrlProp664.xml"/><Relationship Id="rId9" Type="http://schemas.openxmlformats.org/officeDocument/2006/relationships/ctrlProp" Target="../ctrlProps/ctrlProp669.xml"/><Relationship Id="rId14" Type="http://schemas.openxmlformats.org/officeDocument/2006/relationships/ctrlProp" Target="../ctrlProps/ctrlProp674.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679.xml"/><Relationship Id="rId3" Type="http://schemas.openxmlformats.org/officeDocument/2006/relationships/vmlDrawing" Target="../drawings/vmlDrawing15.vml"/><Relationship Id="rId7" Type="http://schemas.openxmlformats.org/officeDocument/2006/relationships/ctrlProp" Target="../ctrlProps/ctrlProp678.xml"/><Relationship Id="rId2" Type="http://schemas.openxmlformats.org/officeDocument/2006/relationships/drawing" Target="../drawings/drawing15.xml"/><Relationship Id="rId1" Type="http://schemas.openxmlformats.org/officeDocument/2006/relationships/printerSettings" Target="../printerSettings/printerSettings17.bin"/><Relationship Id="rId6" Type="http://schemas.openxmlformats.org/officeDocument/2006/relationships/ctrlProp" Target="../ctrlProps/ctrlProp677.xml"/><Relationship Id="rId5" Type="http://schemas.openxmlformats.org/officeDocument/2006/relationships/ctrlProp" Target="../ctrlProps/ctrlProp676.xml"/><Relationship Id="rId4" Type="http://schemas.openxmlformats.org/officeDocument/2006/relationships/ctrlProp" Target="../ctrlProps/ctrlProp675.xml"/><Relationship Id="rId9" Type="http://schemas.openxmlformats.org/officeDocument/2006/relationships/comments" Target="../comments15.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7" Type="http://schemas.openxmlformats.org/officeDocument/2006/relationships/comments" Target="../comments16.xml"/><Relationship Id="rId2" Type="http://schemas.openxmlformats.org/officeDocument/2006/relationships/drawing" Target="../drawings/drawing16.xml"/><Relationship Id="rId1" Type="http://schemas.openxmlformats.org/officeDocument/2006/relationships/printerSettings" Target="../printerSettings/printerSettings18.bin"/><Relationship Id="rId6" Type="http://schemas.openxmlformats.org/officeDocument/2006/relationships/ctrlProp" Target="../ctrlProps/ctrlProp682.xml"/><Relationship Id="rId5" Type="http://schemas.openxmlformats.org/officeDocument/2006/relationships/ctrlProp" Target="../ctrlProps/ctrlProp681.xml"/><Relationship Id="rId4" Type="http://schemas.openxmlformats.org/officeDocument/2006/relationships/ctrlProp" Target="../ctrlProps/ctrlProp680.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685.xml"/><Relationship Id="rId13" Type="http://schemas.openxmlformats.org/officeDocument/2006/relationships/ctrlProp" Target="../ctrlProps/ctrlProp690.xml"/><Relationship Id="rId18" Type="http://schemas.openxmlformats.org/officeDocument/2006/relationships/ctrlProp" Target="../ctrlProps/ctrlProp695.xml"/><Relationship Id="rId26" Type="http://schemas.openxmlformats.org/officeDocument/2006/relationships/ctrlProp" Target="../ctrlProps/ctrlProp703.xml"/><Relationship Id="rId39" Type="http://schemas.openxmlformats.org/officeDocument/2006/relationships/ctrlProp" Target="../ctrlProps/ctrlProp716.xml"/><Relationship Id="rId3" Type="http://schemas.openxmlformats.org/officeDocument/2006/relationships/vmlDrawing" Target="../drawings/vmlDrawing17.vml"/><Relationship Id="rId21" Type="http://schemas.openxmlformats.org/officeDocument/2006/relationships/ctrlProp" Target="../ctrlProps/ctrlProp698.xml"/><Relationship Id="rId34" Type="http://schemas.openxmlformats.org/officeDocument/2006/relationships/ctrlProp" Target="../ctrlProps/ctrlProp711.xml"/><Relationship Id="rId42" Type="http://schemas.openxmlformats.org/officeDocument/2006/relationships/ctrlProp" Target="../ctrlProps/ctrlProp719.xml"/><Relationship Id="rId7" Type="http://schemas.openxmlformats.org/officeDocument/2006/relationships/ctrlProp" Target="../ctrlProps/ctrlProp684.xml"/><Relationship Id="rId12" Type="http://schemas.openxmlformats.org/officeDocument/2006/relationships/ctrlProp" Target="../ctrlProps/ctrlProp689.xml"/><Relationship Id="rId17" Type="http://schemas.openxmlformats.org/officeDocument/2006/relationships/ctrlProp" Target="../ctrlProps/ctrlProp694.xml"/><Relationship Id="rId25" Type="http://schemas.openxmlformats.org/officeDocument/2006/relationships/ctrlProp" Target="../ctrlProps/ctrlProp702.xml"/><Relationship Id="rId33" Type="http://schemas.openxmlformats.org/officeDocument/2006/relationships/ctrlProp" Target="../ctrlProps/ctrlProp710.xml"/><Relationship Id="rId38" Type="http://schemas.openxmlformats.org/officeDocument/2006/relationships/ctrlProp" Target="../ctrlProps/ctrlProp715.xml"/><Relationship Id="rId2" Type="http://schemas.openxmlformats.org/officeDocument/2006/relationships/drawing" Target="../drawings/drawing17.xml"/><Relationship Id="rId16" Type="http://schemas.openxmlformats.org/officeDocument/2006/relationships/ctrlProp" Target="../ctrlProps/ctrlProp693.xml"/><Relationship Id="rId20" Type="http://schemas.openxmlformats.org/officeDocument/2006/relationships/ctrlProp" Target="../ctrlProps/ctrlProp697.xml"/><Relationship Id="rId29" Type="http://schemas.openxmlformats.org/officeDocument/2006/relationships/ctrlProp" Target="../ctrlProps/ctrlProp706.xml"/><Relationship Id="rId41" Type="http://schemas.openxmlformats.org/officeDocument/2006/relationships/ctrlProp" Target="../ctrlProps/ctrlProp718.xml"/><Relationship Id="rId1" Type="http://schemas.openxmlformats.org/officeDocument/2006/relationships/printerSettings" Target="../printerSettings/printerSettings19.bin"/><Relationship Id="rId6" Type="http://schemas.openxmlformats.org/officeDocument/2006/relationships/ctrlProp" Target="../ctrlProps/ctrlProp683.xml"/><Relationship Id="rId11" Type="http://schemas.openxmlformats.org/officeDocument/2006/relationships/ctrlProp" Target="../ctrlProps/ctrlProp688.xml"/><Relationship Id="rId24" Type="http://schemas.openxmlformats.org/officeDocument/2006/relationships/ctrlProp" Target="../ctrlProps/ctrlProp701.xml"/><Relationship Id="rId32" Type="http://schemas.openxmlformats.org/officeDocument/2006/relationships/ctrlProp" Target="../ctrlProps/ctrlProp709.xml"/><Relationship Id="rId37" Type="http://schemas.openxmlformats.org/officeDocument/2006/relationships/ctrlProp" Target="../ctrlProps/ctrlProp714.xml"/><Relationship Id="rId40" Type="http://schemas.openxmlformats.org/officeDocument/2006/relationships/ctrlProp" Target="../ctrlProps/ctrlProp717.xml"/><Relationship Id="rId45" Type="http://schemas.openxmlformats.org/officeDocument/2006/relationships/comments" Target="../comments17.xml"/><Relationship Id="rId5" Type="http://schemas.openxmlformats.org/officeDocument/2006/relationships/image" Target="../media/image3.emf"/><Relationship Id="rId15" Type="http://schemas.openxmlformats.org/officeDocument/2006/relationships/ctrlProp" Target="../ctrlProps/ctrlProp692.xml"/><Relationship Id="rId23" Type="http://schemas.openxmlformats.org/officeDocument/2006/relationships/ctrlProp" Target="../ctrlProps/ctrlProp700.xml"/><Relationship Id="rId28" Type="http://schemas.openxmlformats.org/officeDocument/2006/relationships/ctrlProp" Target="../ctrlProps/ctrlProp705.xml"/><Relationship Id="rId36" Type="http://schemas.openxmlformats.org/officeDocument/2006/relationships/ctrlProp" Target="../ctrlProps/ctrlProp713.xml"/><Relationship Id="rId10" Type="http://schemas.openxmlformats.org/officeDocument/2006/relationships/ctrlProp" Target="../ctrlProps/ctrlProp687.xml"/><Relationship Id="rId19" Type="http://schemas.openxmlformats.org/officeDocument/2006/relationships/ctrlProp" Target="../ctrlProps/ctrlProp696.xml"/><Relationship Id="rId31" Type="http://schemas.openxmlformats.org/officeDocument/2006/relationships/ctrlProp" Target="../ctrlProps/ctrlProp708.xml"/><Relationship Id="rId44" Type="http://schemas.openxmlformats.org/officeDocument/2006/relationships/ctrlProp" Target="../ctrlProps/ctrlProp721.xml"/><Relationship Id="rId4" Type="http://schemas.openxmlformats.org/officeDocument/2006/relationships/oleObject" Target="../embeddings/Microsoft_Word_97_-_2003_Document.doc"/><Relationship Id="rId9" Type="http://schemas.openxmlformats.org/officeDocument/2006/relationships/ctrlProp" Target="../ctrlProps/ctrlProp686.xml"/><Relationship Id="rId14" Type="http://schemas.openxmlformats.org/officeDocument/2006/relationships/ctrlProp" Target="../ctrlProps/ctrlProp691.xml"/><Relationship Id="rId22" Type="http://schemas.openxmlformats.org/officeDocument/2006/relationships/ctrlProp" Target="../ctrlProps/ctrlProp699.xml"/><Relationship Id="rId27" Type="http://schemas.openxmlformats.org/officeDocument/2006/relationships/ctrlProp" Target="../ctrlProps/ctrlProp704.xml"/><Relationship Id="rId30" Type="http://schemas.openxmlformats.org/officeDocument/2006/relationships/ctrlProp" Target="../ctrlProps/ctrlProp707.xml"/><Relationship Id="rId35" Type="http://schemas.openxmlformats.org/officeDocument/2006/relationships/ctrlProp" Target="../ctrlProps/ctrlProp712.xml"/><Relationship Id="rId43" Type="http://schemas.openxmlformats.org/officeDocument/2006/relationships/ctrlProp" Target="../ctrlProps/ctrlProp720.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package" Target="../embeddings/Microsoft_Word_Document1.docx"/><Relationship Id="rId11" Type="http://schemas.openxmlformats.org/officeDocument/2006/relationships/comments" Target="../comments1.xml"/><Relationship Id="rId5" Type="http://schemas.openxmlformats.org/officeDocument/2006/relationships/image" Target="../media/image1.emf"/><Relationship Id="rId10" Type="http://schemas.openxmlformats.org/officeDocument/2006/relationships/ctrlProp" Target="../ctrlProps/ctrlProp3.xml"/><Relationship Id="rId4" Type="http://schemas.openxmlformats.org/officeDocument/2006/relationships/package" Target="../embeddings/Microsoft_Word_Document.docx"/><Relationship Id="rId9" Type="http://schemas.openxmlformats.org/officeDocument/2006/relationships/ctrlProp" Target="../ctrlProps/ctrlProp2.xml"/></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724.xml"/><Relationship Id="rId13" Type="http://schemas.openxmlformats.org/officeDocument/2006/relationships/ctrlProp" Target="../ctrlProps/ctrlProp729.xml"/><Relationship Id="rId18" Type="http://schemas.openxmlformats.org/officeDocument/2006/relationships/ctrlProp" Target="../ctrlProps/ctrlProp734.xml"/><Relationship Id="rId26" Type="http://schemas.openxmlformats.org/officeDocument/2006/relationships/ctrlProp" Target="../ctrlProps/ctrlProp742.xml"/><Relationship Id="rId3" Type="http://schemas.openxmlformats.org/officeDocument/2006/relationships/vmlDrawing" Target="../drawings/vmlDrawing18.vml"/><Relationship Id="rId21" Type="http://schemas.openxmlformats.org/officeDocument/2006/relationships/ctrlProp" Target="../ctrlProps/ctrlProp737.xml"/><Relationship Id="rId7" Type="http://schemas.openxmlformats.org/officeDocument/2006/relationships/ctrlProp" Target="../ctrlProps/ctrlProp723.xml"/><Relationship Id="rId12" Type="http://schemas.openxmlformats.org/officeDocument/2006/relationships/ctrlProp" Target="../ctrlProps/ctrlProp728.xml"/><Relationship Id="rId17" Type="http://schemas.openxmlformats.org/officeDocument/2006/relationships/ctrlProp" Target="../ctrlProps/ctrlProp733.xml"/><Relationship Id="rId25" Type="http://schemas.openxmlformats.org/officeDocument/2006/relationships/ctrlProp" Target="../ctrlProps/ctrlProp741.xml"/><Relationship Id="rId2" Type="http://schemas.openxmlformats.org/officeDocument/2006/relationships/drawing" Target="../drawings/drawing18.xml"/><Relationship Id="rId16" Type="http://schemas.openxmlformats.org/officeDocument/2006/relationships/ctrlProp" Target="../ctrlProps/ctrlProp732.xml"/><Relationship Id="rId20" Type="http://schemas.openxmlformats.org/officeDocument/2006/relationships/ctrlProp" Target="../ctrlProps/ctrlProp736.xml"/><Relationship Id="rId1" Type="http://schemas.openxmlformats.org/officeDocument/2006/relationships/printerSettings" Target="../printerSettings/printerSettings20.bin"/><Relationship Id="rId6" Type="http://schemas.openxmlformats.org/officeDocument/2006/relationships/ctrlProp" Target="../ctrlProps/ctrlProp722.xml"/><Relationship Id="rId11" Type="http://schemas.openxmlformats.org/officeDocument/2006/relationships/ctrlProp" Target="../ctrlProps/ctrlProp727.xml"/><Relationship Id="rId24" Type="http://schemas.openxmlformats.org/officeDocument/2006/relationships/ctrlProp" Target="../ctrlProps/ctrlProp740.xml"/><Relationship Id="rId5" Type="http://schemas.openxmlformats.org/officeDocument/2006/relationships/image" Target="../media/image4.emf"/><Relationship Id="rId15" Type="http://schemas.openxmlformats.org/officeDocument/2006/relationships/ctrlProp" Target="../ctrlProps/ctrlProp731.xml"/><Relationship Id="rId23" Type="http://schemas.openxmlformats.org/officeDocument/2006/relationships/ctrlProp" Target="../ctrlProps/ctrlProp739.xml"/><Relationship Id="rId28" Type="http://schemas.openxmlformats.org/officeDocument/2006/relationships/comments" Target="../comments18.xml"/><Relationship Id="rId10" Type="http://schemas.openxmlformats.org/officeDocument/2006/relationships/ctrlProp" Target="../ctrlProps/ctrlProp726.xml"/><Relationship Id="rId19" Type="http://schemas.openxmlformats.org/officeDocument/2006/relationships/ctrlProp" Target="../ctrlProps/ctrlProp735.xml"/><Relationship Id="rId4" Type="http://schemas.openxmlformats.org/officeDocument/2006/relationships/oleObject" Target="../embeddings/Microsoft_Word_97_-_2003_Document1.doc"/><Relationship Id="rId9" Type="http://schemas.openxmlformats.org/officeDocument/2006/relationships/ctrlProp" Target="../ctrlProps/ctrlProp725.xml"/><Relationship Id="rId14" Type="http://schemas.openxmlformats.org/officeDocument/2006/relationships/ctrlProp" Target="../ctrlProps/ctrlProp730.xml"/><Relationship Id="rId22" Type="http://schemas.openxmlformats.org/officeDocument/2006/relationships/ctrlProp" Target="../ctrlProps/ctrlProp738.xml"/><Relationship Id="rId27" Type="http://schemas.openxmlformats.org/officeDocument/2006/relationships/ctrlProp" Target="../ctrlProps/ctrlProp743.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746.xml"/><Relationship Id="rId13" Type="http://schemas.openxmlformats.org/officeDocument/2006/relationships/ctrlProp" Target="../ctrlProps/ctrlProp751.xml"/><Relationship Id="rId18" Type="http://schemas.openxmlformats.org/officeDocument/2006/relationships/ctrlProp" Target="../ctrlProps/ctrlProp756.xml"/><Relationship Id="rId26" Type="http://schemas.openxmlformats.org/officeDocument/2006/relationships/ctrlProp" Target="../ctrlProps/ctrlProp764.xml"/><Relationship Id="rId3" Type="http://schemas.openxmlformats.org/officeDocument/2006/relationships/vmlDrawing" Target="../drawings/vmlDrawing19.vml"/><Relationship Id="rId21" Type="http://schemas.openxmlformats.org/officeDocument/2006/relationships/ctrlProp" Target="../ctrlProps/ctrlProp759.xml"/><Relationship Id="rId34" Type="http://schemas.openxmlformats.org/officeDocument/2006/relationships/ctrlProp" Target="../ctrlProps/ctrlProp772.xml"/><Relationship Id="rId7" Type="http://schemas.openxmlformats.org/officeDocument/2006/relationships/ctrlProp" Target="../ctrlProps/ctrlProp745.xml"/><Relationship Id="rId12" Type="http://schemas.openxmlformats.org/officeDocument/2006/relationships/ctrlProp" Target="../ctrlProps/ctrlProp750.xml"/><Relationship Id="rId17" Type="http://schemas.openxmlformats.org/officeDocument/2006/relationships/ctrlProp" Target="../ctrlProps/ctrlProp755.xml"/><Relationship Id="rId25" Type="http://schemas.openxmlformats.org/officeDocument/2006/relationships/ctrlProp" Target="../ctrlProps/ctrlProp763.xml"/><Relationship Id="rId33" Type="http://schemas.openxmlformats.org/officeDocument/2006/relationships/ctrlProp" Target="../ctrlProps/ctrlProp771.xml"/><Relationship Id="rId2" Type="http://schemas.openxmlformats.org/officeDocument/2006/relationships/drawing" Target="../drawings/drawing19.xml"/><Relationship Id="rId16" Type="http://schemas.openxmlformats.org/officeDocument/2006/relationships/ctrlProp" Target="../ctrlProps/ctrlProp754.xml"/><Relationship Id="rId20" Type="http://schemas.openxmlformats.org/officeDocument/2006/relationships/ctrlProp" Target="../ctrlProps/ctrlProp758.xml"/><Relationship Id="rId29" Type="http://schemas.openxmlformats.org/officeDocument/2006/relationships/ctrlProp" Target="../ctrlProps/ctrlProp767.xml"/><Relationship Id="rId1" Type="http://schemas.openxmlformats.org/officeDocument/2006/relationships/printerSettings" Target="../printerSettings/printerSettings21.bin"/><Relationship Id="rId6" Type="http://schemas.openxmlformats.org/officeDocument/2006/relationships/ctrlProp" Target="../ctrlProps/ctrlProp744.xml"/><Relationship Id="rId11" Type="http://schemas.openxmlformats.org/officeDocument/2006/relationships/ctrlProp" Target="../ctrlProps/ctrlProp749.xml"/><Relationship Id="rId24" Type="http://schemas.openxmlformats.org/officeDocument/2006/relationships/ctrlProp" Target="../ctrlProps/ctrlProp762.xml"/><Relationship Id="rId32" Type="http://schemas.openxmlformats.org/officeDocument/2006/relationships/ctrlProp" Target="../ctrlProps/ctrlProp770.xml"/><Relationship Id="rId5" Type="http://schemas.openxmlformats.org/officeDocument/2006/relationships/image" Target="../media/image5.emf"/><Relationship Id="rId15" Type="http://schemas.openxmlformats.org/officeDocument/2006/relationships/ctrlProp" Target="../ctrlProps/ctrlProp753.xml"/><Relationship Id="rId23" Type="http://schemas.openxmlformats.org/officeDocument/2006/relationships/ctrlProp" Target="../ctrlProps/ctrlProp761.xml"/><Relationship Id="rId28" Type="http://schemas.openxmlformats.org/officeDocument/2006/relationships/ctrlProp" Target="../ctrlProps/ctrlProp766.xml"/><Relationship Id="rId36" Type="http://schemas.openxmlformats.org/officeDocument/2006/relationships/comments" Target="../comments19.xml"/><Relationship Id="rId10" Type="http://schemas.openxmlformats.org/officeDocument/2006/relationships/ctrlProp" Target="../ctrlProps/ctrlProp748.xml"/><Relationship Id="rId19" Type="http://schemas.openxmlformats.org/officeDocument/2006/relationships/ctrlProp" Target="../ctrlProps/ctrlProp757.xml"/><Relationship Id="rId31" Type="http://schemas.openxmlformats.org/officeDocument/2006/relationships/ctrlProp" Target="../ctrlProps/ctrlProp769.xml"/><Relationship Id="rId4" Type="http://schemas.openxmlformats.org/officeDocument/2006/relationships/oleObject" Target="../embeddings/Microsoft_Word_97_-_2003_Document2.doc"/><Relationship Id="rId9" Type="http://schemas.openxmlformats.org/officeDocument/2006/relationships/ctrlProp" Target="../ctrlProps/ctrlProp747.xml"/><Relationship Id="rId14" Type="http://schemas.openxmlformats.org/officeDocument/2006/relationships/ctrlProp" Target="../ctrlProps/ctrlProp752.xml"/><Relationship Id="rId22" Type="http://schemas.openxmlformats.org/officeDocument/2006/relationships/ctrlProp" Target="../ctrlProps/ctrlProp760.xml"/><Relationship Id="rId27" Type="http://schemas.openxmlformats.org/officeDocument/2006/relationships/ctrlProp" Target="../ctrlProps/ctrlProp765.xml"/><Relationship Id="rId30" Type="http://schemas.openxmlformats.org/officeDocument/2006/relationships/ctrlProp" Target="../ctrlProps/ctrlProp768.xml"/><Relationship Id="rId35" Type="http://schemas.openxmlformats.org/officeDocument/2006/relationships/ctrlProp" Target="../ctrlProps/ctrlProp773.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778.xml"/><Relationship Id="rId3" Type="http://schemas.openxmlformats.org/officeDocument/2006/relationships/vmlDrawing" Target="../drawings/vmlDrawing20.vml"/><Relationship Id="rId7" Type="http://schemas.openxmlformats.org/officeDocument/2006/relationships/ctrlProp" Target="../ctrlProps/ctrlProp777.xml"/><Relationship Id="rId2" Type="http://schemas.openxmlformats.org/officeDocument/2006/relationships/drawing" Target="../drawings/drawing20.xml"/><Relationship Id="rId1" Type="http://schemas.openxmlformats.org/officeDocument/2006/relationships/printerSettings" Target="../printerSettings/printerSettings22.bin"/><Relationship Id="rId6" Type="http://schemas.openxmlformats.org/officeDocument/2006/relationships/ctrlProp" Target="../ctrlProps/ctrlProp776.xml"/><Relationship Id="rId11" Type="http://schemas.openxmlformats.org/officeDocument/2006/relationships/comments" Target="../comments20.xml"/><Relationship Id="rId5" Type="http://schemas.openxmlformats.org/officeDocument/2006/relationships/ctrlProp" Target="../ctrlProps/ctrlProp775.xml"/><Relationship Id="rId10" Type="http://schemas.openxmlformats.org/officeDocument/2006/relationships/ctrlProp" Target="../ctrlProps/ctrlProp780.xml"/><Relationship Id="rId4" Type="http://schemas.openxmlformats.org/officeDocument/2006/relationships/ctrlProp" Target="../ctrlProps/ctrlProp774.xml"/><Relationship Id="rId9" Type="http://schemas.openxmlformats.org/officeDocument/2006/relationships/ctrlProp" Target="../ctrlProps/ctrlProp779.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783.xml"/><Relationship Id="rId13" Type="http://schemas.openxmlformats.org/officeDocument/2006/relationships/ctrlProp" Target="../ctrlProps/ctrlProp788.xml"/><Relationship Id="rId18" Type="http://schemas.openxmlformats.org/officeDocument/2006/relationships/ctrlProp" Target="../ctrlProps/ctrlProp793.xml"/><Relationship Id="rId26" Type="http://schemas.openxmlformats.org/officeDocument/2006/relationships/ctrlProp" Target="../ctrlProps/ctrlProp801.xml"/><Relationship Id="rId3" Type="http://schemas.openxmlformats.org/officeDocument/2006/relationships/vmlDrawing" Target="../drawings/vmlDrawing21.vml"/><Relationship Id="rId21" Type="http://schemas.openxmlformats.org/officeDocument/2006/relationships/ctrlProp" Target="../ctrlProps/ctrlProp796.xml"/><Relationship Id="rId34" Type="http://schemas.openxmlformats.org/officeDocument/2006/relationships/ctrlProp" Target="../ctrlProps/ctrlProp809.xml"/><Relationship Id="rId7" Type="http://schemas.openxmlformats.org/officeDocument/2006/relationships/ctrlProp" Target="../ctrlProps/ctrlProp782.xml"/><Relationship Id="rId12" Type="http://schemas.openxmlformats.org/officeDocument/2006/relationships/ctrlProp" Target="../ctrlProps/ctrlProp787.xml"/><Relationship Id="rId17" Type="http://schemas.openxmlformats.org/officeDocument/2006/relationships/ctrlProp" Target="../ctrlProps/ctrlProp792.xml"/><Relationship Id="rId25" Type="http://schemas.openxmlformats.org/officeDocument/2006/relationships/ctrlProp" Target="../ctrlProps/ctrlProp800.xml"/><Relationship Id="rId33" Type="http://schemas.openxmlformats.org/officeDocument/2006/relationships/ctrlProp" Target="../ctrlProps/ctrlProp808.xml"/><Relationship Id="rId2" Type="http://schemas.openxmlformats.org/officeDocument/2006/relationships/drawing" Target="../drawings/drawing21.xml"/><Relationship Id="rId16" Type="http://schemas.openxmlformats.org/officeDocument/2006/relationships/ctrlProp" Target="../ctrlProps/ctrlProp791.xml"/><Relationship Id="rId20" Type="http://schemas.openxmlformats.org/officeDocument/2006/relationships/ctrlProp" Target="../ctrlProps/ctrlProp795.xml"/><Relationship Id="rId29" Type="http://schemas.openxmlformats.org/officeDocument/2006/relationships/ctrlProp" Target="../ctrlProps/ctrlProp804.xml"/><Relationship Id="rId1" Type="http://schemas.openxmlformats.org/officeDocument/2006/relationships/printerSettings" Target="../printerSettings/printerSettings23.bin"/><Relationship Id="rId6" Type="http://schemas.openxmlformats.org/officeDocument/2006/relationships/ctrlProp" Target="../ctrlProps/ctrlProp781.xml"/><Relationship Id="rId11" Type="http://schemas.openxmlformats.org/officeDocument/2006/relationships/ctrlProp" Target="../ctrlProps/ctrlProp786.xml"/><Relationship Id="rId24" Type="http://schemas.openxmlformats.org/officeDocument/2006/relationships/ctrlProp" Target="../ctrlProps/ctrlProp799.xml"/><Relationship Id="rId32" Type="http://schemas.openxmlformats.org/officeDocument/2006/relationships/ctrlProp" Target="../ctrlProps/ctrlProp807.xml"/><Relationship Id="rId5" Type="http://schemas.openxmlformats.org/officeDocument/2006/relationships/image" Target="../media/image6.emf"/><Relationship Id="rId15" Type="http://schemas.openxmlformats.org/officeDocument/2006/relationships/ctrlProp" Target="../ctrlProps/ctrlProp790.xml"/><Relationship Id="rId23" Type="http://schemas.openxmlformats.org/officeDocument/2006/relationships/ctrlProp" Target="../ctrlProps/ctrlProp798.xml"/><Relationship Id="rId28" Type="http://schemas.openxmlformats.org/officeDocument/2006/relationships/ctrlProp" Target="../ctrlProps/ctrlProp803.xml"/><Relationship Id="rId10" Type="http://schemas.openxmlformats.org/officeDocument/2006/relationships/ctrlProp" Target="../ctrlProps/ctrlProp785.xml"/><Relationship Id="rId19" Type="http://schemas.openxmlformats.org/officeDocument/2006/relationships/ctrlProp" Target="../ctrlProps/ctrlProp794.xml"/><Relationship Id="rId31" Type="http://schemas.openxmlformats.org/officeDocument/2006/relationships/ctrlProp" Target="../ctrlProps/ctrlProp806.xml"/><Relationship Id="rId4" Type="http://schemas.openxmlformats.org/officeDocument/2006/relationships/oleObject" Target="../embeddings/Microsoft_Word_97_-_2003_Document3.doc"/><Relationship Id="rId9" Type="http://schemas.openxmlformats.org/officeDocument/2006/relationships/ctrlProp" Target="../ctrlProps/ctrlProp784.xml"/><Relationship Id="rId14" Type="http://schemas.openxmlformats.org/officeDocument/2006/relationships/ctrlProp" Target="../ctrlProps/ctrlProp789.xml"/><Relationship Id="rId22" Type="http://schemas.openxmlformats.org/officeDocument/2006/relationships/ctrlProp" Target="../ctrlProps/ctrlProp797.xml"/><Relationship Id="rId27" Type="http://schemas.openxmlformats.org/officeDocument/2006/relationships/ctrlProp" Target="../ctrlProps/ctrlProp802.xml"/><Relationship Id="rId30" Type="http://schemas.openxmlformats.org/officeDocument/2006/relationships/ctrlProp" Target="../ctrlProps/ctrlProp805.xml"/><Relationship Id="rId35" Type="http://schemas.openxmlformats.org/officeDocument/2006/relationships/comments" Target="../comments21.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814.xml"/><Relationship Id="rId13" Type="http://schemas.openxmlformats.org/officeDocument/2006/relationships/ctrlProp" Target="../ctrlProps/ctrlProp819.xml"/><Relationship Id="rId18" Type="http://schemas.openxmlformats.org/officeDocument/2006/relationships/ctrlProp" Target="../ctrlProps/ctrlProp824.xml"/><Relationship Id="rId3" Type="http://schemas.openxmlformats.org/officeDocument/2006/relationships/vmlDrawing" Target="../drawings/vmlDrawing22.vml"/><Relationship Id="rId7" Type="http://schemas.openxmlformats.org/officeDocument/2006/relationships/ctrlProp" Target="../ctrlProps/ctrlProp813.xml"/><Relationship Id="rId12" Type="http://schemas.openxmlformats.org/officeDocument/2006/relationships/ctrlProp" Target="../ctrlProps/ctrlProp818.xml"/><Relationship Id="rId17" Type="http://schemas.openxmlformats.org/officeDocument/2006/relationships/ctrlProp" Target="../ctrlProps/ctrlProp823.xml"/><Relationship Id="rId2" Type="http://schemas.openxmlformats.org/officeDocument/2006/relationships/drawing" Target="../drawings/drawing22.xml"/><Relationship Id="rId16" Type="http://schemas.openxmlformats.org/officeDocument/2006/relationships/ctrlProp" Target="../ctrlProps/ctrlProp822.xml"/><Relationship Id="rId1" Type="http://schemas.openxmlformats.org/officeDocument/2006/relationships/printerSettings" Target="../printerSettings/printerSettings24.bin"/><Relationship Id="rId6" Type="http://schemas.openxmlformats.org/officeDocument/2006/relationships/ctrlProp" Target="../ctrlProps/ctrlProp812.xml"/><Relationship Id="rId11" Type="http://schemas.openxmlformats.org/officeDocument/2006/relationships/ctrlProp" Target="../ctrlProps/ctrlProp817.xml"/><Relationship Id="rId5" Type="http://schemas.openxmlformats.org/officeDocument/2006/relationships/ctrlProp" Target="../ctrlProps/ctrlProp811.xml"/><Relationship Id="rId15" Type="http://schemas.openxmlformats.org/officeDocument/2006/relationships/ctrlProp" Target="../ctrlProps/ctrlProp821.xml"/><Relationship Id="rId10" Type="http://schemas.openxmlformats.org/officeDocument/2006/relationships/ctrlProp" Target="../ctrlProps/ctrlProp816.xml"/><Relationship Id="rId19" Type="http://schemas.openxmlformats.org/officeDocument/2006/relationships/comments" Target="../comments22.xml"/><Relationship Id="rId4" Type="http://schemas.openxmlformats.org/officeDocument/2006/relationships/ctrlProp" Target="../ctrlProps/ctrlProp810.xml"/><Relationship Id="rId9" Type="http://schemas.openxmlformats.org/officeDocument/2006/relationships/ctrlProp" Target="../ctrlProps/ctrlProp815.xml"/><Relationship Id="rId14" Type="http://schemas.openxmlformats.org/officeDocument/2006/relationships/ctrlProp" Target="../ctrlProps/ctrlProp820.xml"/></Relationships>
</file>

<file path=xl/worksheets/_rels/sheet25.xml.rels><?xml version="1.0" encoding="UTF-8" standalone="yes"?>
<Relationships xmlns="http://schemas.openxmlformats.org/package/2006/relationships"><Relationship Id="rId13" Type="http://schemas.openxmlformats.org/officeDocument/2006/relationships/ctrlProp" Target="../ctrlProps/ctrlProp832.xml"/><Relationship Id="rId18" Type="http://schemas.openxmlformats.org/officeDocument/2006/relationships/ctrlProp" Target="../ctrlProps/ctrlProp837.xml"/><Relationship Id="rId26" Type="http://schemas.openxmlformats.org/officeDocument/2006/relationships/ctrlProp" Target="../ctrlProps/ctrlProp845.xml"/><Relationship Id="rId39" Type="http://schemas.openxmlformats.org/officeDocument/2006/relationships/ctrlProp" Target="../ctrlProps/ctrlProp858.xml"/><Relationship Id="rId21" Type="http://schemas.openxmlformats.org/officeDocument/2006/relationships/ctrlProp" Target="../ctrlProps/ctrlProp840.xml"/><Relationship Id="rId34" Type="http://schemas.openxmlformats.org/officeDocument/2006/relationships/ctrlProp" Target="../ctrlProps/ctrlProp853.xml"/><Relationship Id="rId42" Type="http://schemas.openxmlformats.org/officeDocument/2006/relationships/ctrlProp" Target="../ctrlProps/ctrlProp861.xml"/><Relationship Id="rId47" Type="http://schemas.openxmlformats.org/officeDocument/2006/relationships/ctrlProp" Target="../ctrlProps/ctrlProp866.xml"/><Relationship Id="rId50" Type="http://schemas.openxmlformats.org/officeDocument/2006/relationships/ctrlProp" Target="../ctrlProps/ctrlProp869.xml"/><Relationship Id="rId55" Type="http://schemas.openxmlformats.org/officeDocument/2006/relationships/ctrlProp" Target="../ctrlProps/ctrlProp874.xml"/><Relationship Id="rId63" Type="http://schemas.openxmlformats.org/officeDocument/2006/relationships/ctrlProp" Target="../ctrlProps/ctrlProp882.xml"/><Relationship Id="rId68" Type="http://schemas.openxmlformats.org/officeDocument/2006/relationships/ctrlProp" Target="../ctrlProps/ctrlProp887.xml"/><Relationship Id="rId76" Type="http://schemas.openxmlformats.org/officeDocument/2006/relationships/ctrlProp" Target="../ctrlProps/ctrlProp895.xml"/><Relationship Id="rId7" Type="http://schemas.openxmlformats.org/officeDocument/2006/relationships/ctrlProp" Target="../ctrlProps/ctrlProp826.xml"/><Relationship Id="rId71" Type="http://schemas.openxmlformats.org/officeDocument/2006/relationships/ctrlProp" Target="../ctrlProps/ctrlProp890.xml"/><Relationship Id="rId2" Type="http://schemas.openxmlformats.org/officeDocument/2006/relationships/drawing" Target="../drawings/drawing23.xml"/><Relationship Id="rId16" Type="http://schemas.openxmlformats.org/officeDocument/2006/relationships/ctrlProp" Target="../ctrlProps/ctrlProp835.xml"/><Relationship Id="rId29" Type="http://schemas.openxmlformats.org/officeDocument/2006/relationships/ctrlProp" Target="../ctrlProps/ctrlProp848.xml"/><Relationship Id="rId11" Type="http://schemas.openxmlformats.org/officeDocument/2006/relationships/ctrlProp" Target="../ctrlProps/ctrlProp830.xml"/><Relationship Id="rId24" Type="http://schemas.openxmlformats.org/officeDocument/2006/relationships/ctrlProp" Target="../ctrlProps/ctrlProp843.xml"/><Relationship Id="rId32" Type="http://schemas.openxmlformats.org/officeDocument/2006/relationships/ctrlProp" Target="../ctrlProps/ctrlProp851.xml"/><Relationship Id="rId37" Type="http://schemas.openxmlformats.org/officeDocument/2006/relationships/ctrlProp" Target="../ctrlProps/ctrlProp856.xml"/><Relationship Id="rId40" Type="http://schemas.openxmlformats.org/officeDocument/2006/relationships/ctrlProp" Target="../ctrlProps/ctrlProp859.xml"/><Relationship Id="rId45" Type="http://schemas.openxmlformats.org/officeDocument/2006/relationships/ctrlProp" Target="../ctrlProps/ctrlProp864.xml"/><Relationship Id="rId53" Type="http://schemas.openxmlformats.org/officeDocument/2006/relationships/ctrlProp" Target="../ctrlProps/ctrlProp872.xml"/><Relationship Id="rId58" Type="http://schemas.openxmlformats.org/officeDocument/2006/relationships/ctrlProp" Target="../ctrlProps/ctrlProp877.xml"/><Relationship Id="rId66" Type="http://schemas.openxmlformats.org/officeDocument/2006/relationships/ctrlProp" Target="../ctrlProps/ctrlProp885.xml"/><Relationship Id="rId74" Type="http://schemas.openxmlformats.org/officeDocument/2006/relationships/ctrlProp" Target="../ctrlProps/ctrlProp893.xml"/><Relationship Id="rId79" Type="http://schemas.openxmlformats.org/officeDocument/2006/relationships/comments" Target="../comments23.xml"/><Relationship Id="rId5" Type="http://schemas.openxmlformats.org/officeDocument/2006/relationships/image" Target="../media/image7.emf"/><Relationship Id="rId61" Type="http://schemas.openxmlformats.org/officeDocument/2006/relationships/ctrlProp" Target="../ctrlProps/ctrlProp880.xml"/><Relationship Id="rId10" Type="http://schemas.openxmlformats.org/officeDocument/2006/relationships/ctrlProp" Target="../ctrlProps/ctrlProp829.xml"/><Relationship Id="rId19" Type="http://schemas.openxmlformats.org/officeDocument/2006/relationships/ctrlProp" Target="../ctrlProps/ctrlProp838.xml"/><Relationship Id="rId31" Type="http://schemas.openxmlformats.org/officeDocument/2006/relationships/ctrlProp" Target="../ctrlProps/ctrlProp850.xml"/><Relationship Id="rId44" Type="http://schemas.openxmlformats.org/officeDocument/2006/relationships/ctrlProp" Target="../ctrlProps/ctrlProp863.xml"/><Relationship Id="rId52" Type="http://schemas.openxmlformats.org/officeDocument/2006/relationships/ctrlProp" Target="../ctrlProps/ctrlProp871.xml"/><Relationship Id="rId60" Type="http://schemas.openxmlformats.org/officeDocument/2006/relationships/ctrlProp" Target="../ctrlProps/ctrlProp879.xml"/><Relationship Id="rId65" Type="http://schemas.openxmlformats.org/officeDocument/2006/relationships/ctrlProp" Target="../ctrlProps/ctrlProp884.xml"/><Relationship Id="rId73" Type="http://schemas.openxmlformats.org/officeDocument/2006/relationships/ctrlProp" Target="../ctrlProps/ctrlProp892.xml"/><Relationship Id="rId78" Type="http://schemas.openxmlformats.org/officeDocument/2006/relationships/ctrlProp" Target="../ctrlProps/ctrlProp897.xml"/><Relationship Id="rId4" Type="http://schemas.openxmlformats.org/officeDocument/2006/relationships/oleObject" Target="../embeddings/Microsoft_Word_97_-_2003_Document4.doc"/><Relationship Id="rId9" Type="http://schemas.openxmlformats.org/officeDocument/2006/relationships/ctrlProp" Target="../ctrlProps/ctrlProp828.xml"/><Relationship Id="rId14" Type="http://schemas.openxmlformats.org/officeDocument/2006/relationships/ctrlProp" Target="../ctrlProps/ctrlProp833.xml"/><Relationship Id="rId22" Type="http://schemas.openxmlformats.org/officeDocument/2006/relationships/ctrlProp" Target="../ctrlProps/ctrlProp841.xml"/><Relationship Id="rId27" Type="http://schemas.openxmlformats.org/officeDocument/2006/relationships/ctrlProp" Target="../ctrlProps/ctrlProp846.xml"/><Relationship Id="rId30" Type="http://schemas.openxmlformats.org/officeDocument/2006/relationships/ctrlProp" Target="../ctrlProps/ctrlProp849.xml"/><Relationship Id="rId35" Type="http://schemas.openxmlformats.org/officeDocument/2006/relationships/ctrlProp" Target="../ctrlProps/ctrlProp854.xml"/><Relationship Id="rId43" Type="http://schemas.openxmlformats.org/officeDocument/2006/relationships/ctrlProp" Target="../ctrlProps/ctrlProp862.xml"/><Relationship Id="rId48" Type="http://schemas.openxmlformats.org/officeDocument/2006/relationships/ctrlProp" Target="../ctrlProps/ctrlProp867.xml"/><Relationship Id="rId56" Type="http://schemas.openxmlformats.org/officeDocument/2006/relationships/ctrlProp" Target="../ctrlProps/ctrlProp875.xml"/><Relationship Id="rId64" Type="http://schemas.openxmlformats.org/officeDocument/2006/relationships/ctrlProp" Target="../ctrlProps/ctrlProp883.xml"/><Relationship Id="rId69" Type="http://schemas.openxmlformats.org/officeDocument/2006/relationships/ctrlProp" Target="../ctrlProps/ctrlProp888.xml"/><Relationship Id="rId77" Type="http://schemas.openxmlformats.org/officeDocument/2006/relationships/ctrlProp" Target="../ctrlProps/ctrlProp896.xml"/><Relationship Id="rId8" Type="http://schemas.openxmlformats.org/officeDocument/2006/relationships/ctrlProp" Target="../ctrlProps/ctrlProp827.xml"/><Relationship Id="rId51" Type="http://schemas.openxmlformats.org/officeDocument/2006/relationships/ctrlProp" Target="../ctrlProps/ctrlProp870.xml"/><Relationship Id="rId72" Type="http://schemas.openxmlformats.org/officeDocument/2006/relationships/ctrlProp" Target="../ctrlProps/ctrlProp891.xml"/><Relationship Id="rId3" Type="http://schemas.openxmlformats.org/officeDocument/2006/relationships/vmlDrawing" Target="../drawings/vmlDrawing23.vml"/><Relationship Id="rId12" Type="http://schemas.openxmlformats.org/officeDocument/2006/relationships/ctrlProp" Target="../ctrlProps/ctrlProp831.xml"/><Relationship Id="rId17" Type="http://schemas.openxmlformats.org/officeDocument/2006/relationships/ctrlProp" Target="../ctrlProps/ctrlProp836.xml"/><Relationship Id="rId25" Type="http://schemas.openxmlformats.org/officeDocument/2006/relationships/ctrlProp" Target="../ctrlProps/ctrlProp844.xml"/><Relationship Id="rId33" Type="http://schemas.openxmlformats.org/officeDocument/2006/relationships/ctrlProp" Target="../ctrlProps/ctrlProp852.xml"/><Relationship Id="rId38" Type="http://schemas.openxmlformats.org/officeDocument/2006/relationships/ctrlProp" Target="../ctrlProps/ctrlProp857.xml"/><Relationship Id="rId46" Type="http://schemas.openxmlformats.org/officeDocument/2006/relationships/ctrlProp" Target="../ctrlProps/ctrlProp865.xml"/><Relationship Id="rId59" Type="http://schemas.openxmlformats.org/officeDocument/2006/relationships/ctrlProp" Target="../ctrlProps/ctrlProp878.xml"/><Relationship Id="rId67" Type="http://schemas.openxmlformats.org/officeDocument/2006/relationships/ctrlProp" Target="../ctrlProps/ctrlProp886.xml"/><Relationship Id="rId20" Type="http://schemas.openxmlformats.org/officeDocument/2006/relationships/ctrlProp" Target="../ctrlProps/ctrlProp839.xml"/><Relationship Id="rId41" Type="http://schemas.openxmlformats.org/officeDocument/2006/relationships/ctrlProp" Target="../ctrlProps/ctrlProp860.xml"/><Relationship Id="rId54" Type="http://schemas.openxmlformats.org/officeDocument/2006/relationships/ctrlProp" Target="../ctrlProps/ctrlProp873.xml"/><Relationship Id="rId62" Type="http://schemas.openxmlformats.org/officeDocument/2006/relationships/ctrlProp" Target="../ctrlProps/ctrlProp881.xml"/><Relationship Id="rId70" Type="http://schemas.openxmlformats.org/officeDocument/2006/relationships/ctrlProp" Target="../ctrlProps/ctrlProp889.xml"/><Relationship Id="rId75" Type="http://schemas.openxmlformats.org/officeDocument/2006/relationships/ctrlProp" Target="../ctrlProps/ctrlProp894.xml"/><Relationship Id="rId1" Type="http://schemas.openxmlformats.org/officeDocument/2006/relationships/printerSettings" Target="../printerSettings/printerSettings25.bin"/><Relationship Id="rId6" Type="http://schemas.openxmlformats.org/officeDocument/2006/relationships/ctrlProp" Target="../ctrlProps/ctrlProp825.xml"/><Relationship Id="rId15" Type="http://schemas.openxmlformats.org/officeDocument/2006/relationships/ctrlProp" Target="../ctrlProps/ctrlProp834.xml"/><Relationship Id="rId23" Type="http://schemas.openxmlformats.org/officeDocument/2006/relationships/ctrlProp" Target="../ctrlProps/ctrlProp842.xml"/><Relationship Id="rId28" Type="http://schemas.openxmlformats.org/officeDocument/2006/relationships/ctrlProp" Target="../ctrlProps/ctrlProp847.xml"/><Relationship Id="rId36" Type="http://schemas.openxmlformats.org/officeDocument/2006/relationships/ctrlProp" Target="../ctrlProps/ctrlProp855.xml"/><Relationship Id="rId49" Type="http://schemas.openxmlformats.org/officeDocument/2006/relationships/ctrlProp" Target="../ctrlProps/ctrlProp868.xml"/><Relationship Id="rId57" Type="http://schemas.openxmlformats.org/officeDocument/2006/relationships/ctrlProp" Target="../ctrlProps/ctrlProp876.xml"/></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907.xml"/><Relationship Id="rId18" Type="http://schemas.openxmlformats.org/officeDocument/2006/relationships/ctrlProp" Target="../ctrlProps/ctrlProp912.xml"/><Relationship Id="rId26" Type="http://schemas.openxmlformats.org/officeDocument/2006/relationships/ctrlProp" Target="../ctrlProps/ctrlProp920.xml"/><Relationship Id="rId39" Type="http://schemas.openxmlformats.org/officeDocument/2006/relationships/ctrlProp" Target="../ctrlProps/ctrlProp933.xml"/><Relationship Id="rId3" Type="http://schemas.openxmlformats.org/officeDocument/2006/relationships/vmlDrawing" Target="../drawings/vmlDrawing24.vml"/><Relationship Id="rId21" Type="http://schemas.openxmlformats.org/officeDocument/2006/relationships/ctrlProp" Target="../ctrlProps/ctrlProp915.xml"/><Relationship Id="rId34" Type="http://schemas.openxmlformats.org/officeDocument/2006/relationships/ctrlProp" Target="../ctrlProps/ctrlProp928.xml"/><Relationship Id="rId42" Type="http://schemas.openxmlformats.org/officeDocument/2006/relationships/ctrlProp" Target="../ctrlProps/ctrlProp936.xml"/><Relationship Id="rId47" Type="http://schemas.openxmlformats.org/officeDocument/2006/relationships/ctrlProp" Target="../ctrlProps/ctrlProp941.xml"/><Relationship Id="rId50" Type="http://schemas.openxmlformats.org/officeDocument/2006/relationships/ctrlProp" Target="../ctrlProps/ctrlProp944.xml"/><Relationship Id="rId7" Type="http://schemas.openxmlformats.org/officeDocument/2006/relationships/ctrlProp" Target="../ctrlProps/ctrlProp901.xml"/><Relationship Id="rId12" Type="http://schemas.openxmlformats.org/officeDocument/2006/relationships/ctrlProp" Target="../ctrlProps/ctrlProp906.xml"/><Relationship Id="rId17" Type="http://schemas.openxmlformats.org/officeDocument/2006/relationships/ctrlProp" Target="../ctrlProps/ctrlProp911.xml"/><Relationship Id="rId25" Type="http://schemas.openxmlformats.org/officeDocument/2006/relationships/ctrlProp" Target="../ctrlProps/ctrlProp919.xml"/><Relationship Id="rId33" Type="http://schemas.openxmlformats.org/officeDocument/2006/relationships/ctrlProp" Target="../ctrlProps/ctrlProp927.xml"/><Relationship Id="rId38" Type="http://schemas.openxmlformats.org/officeDocument/2006/relationships/ctrlProp" Target="../ctrlProps/ctrlProp932.xml"/><Relationship Id="rId46" Type="http://schemas.openxmlformats.org/officeDocument/2006/relationships/ctrlProp" Target="../ctrlProps/ctrlProp940.xml"/><Relationship Id="rId2" Type="http://schemas.openxmlformats.org/officeDocument/2006/relationships/drawing" Target="../drawings/drawing24.xml"/><Relationship Id="rId16" Type="http://schemas.openxmlformats.org/officeDocument/2006/relationships/ctrlProp" Target="../ctrlProps/ctrlProp910.xml"/><Relationship Id="rId20" Type="http://schemas.openxmlformats.org/officeDocument/2006/relationships/ctrlProp" Target="../ctrlProps/ctrlProp914.xml"/><Relationship Id="rId29" Type="http://schemas.openxmlformats.org/officeDocument/2006/relationships/ctrlProp" Target="../ctrlProps/ctrlProp923.xml"/><Relationship Id="rId41" Type="http://schemas.openxmlformats.org/officeDocument/2006/relationships/ctrlProp" Target="../ctrlProps/ctrlProp935.xml"/><Relationship Id="rId1" Type="http://schemas.openxmlformats.org/officeDocument/2006/relationships/printerSettings" Target="../printerSettings/printerSettings26.bin"/><Relationship Id="rId6" Type="http://schemas.openxmlformats.org/officeDocument/2006/relationships/ctrlProp" Target="../ctrlProps/ctrlProp900.xml"/><Relationship Id="rId11" Type="http://schemas.openxmlformats.org/officeDocument/2006/relationships/ctrlProp" Target="../ctrlProps/ctrlProp905.xml"/><Relationship Id="rId24" Type="http://schemas.openxmlformats.org/officeDocument/2006/relationships/ctrlProp" Target="../ctrlProps/ctrlProp918.xml"/><Relationship Id="rId32" Type="http://schemas.openxmlformats.org/officeDocument/2006/relationships/ctrlProp" Target="../ctrlProps/ctrlProp926.xml"/><Relationship Id="rId37" Type="http://schemas.openxmlformats.org/officeDocument/2006/relationships/ctrlProp" Target="../ctrlProps/ctrlProp931.xml"/><Relationship Id="rId40" Type="http://schemas.openxmlformats.org/officeDocument/2006/relationships/ctrlProp" Target="../ctrlProps/ctrlProp934.xml"/><Relationship Id="rId45" Type="http://schemas.openxmlformats.org/officeDocument/2006/relationships/ctrlProp" Target="../ctrlProps/ctrlProp939.xml"/><Relationship Id="rId5" Type="http://schemas.openxmlformats.org/officeDocument/2006/relationships/ctrlProp" Target="../ctrlProps/ctrlProp899.xml"/><Relationship Id="rId15" Type="http://schemas.openxmlformats.org/officeDocument/2006/relationships/ctrlProp" Target="../ctrlProps/ctrlProp909.xml"/><Relationship Id="rId23" Type="http://schemas.openxmlformats.org/officeDocument/2006/relationships/ctrlProp" Target="../ctrlProps/ctrlProp917.xml"/><Relationship Id="rId28" Type="http://schemas.openxmlformats.org/officeDocument/2006/relationships/ctrlProp" Target="../ctrlProps/ctrlProp922.xml"/><Relationship Id="rId36" Type="http://schemas.openxmlformats.org/officeDocument/2006/relationships/ctrlProp" Target="../ctrlProps/ctrlProp930.xml"/><Relationship Id="rId49" Type="http://schemas.openxmlformats.org/officeDocument/2006/relationships/ctrlProp" Target="../ctrlProps/ctrlProp943.xml"/><Relationship Id="rId10" Type="http://schemas.openxmlformats.org/officeDocument/2006/relationships/ctrlProp" Target="../ctrlProps/ctrlProp904.xml"/><Relationship Id="rId19" Type="http://schemas.openxmlformats.org/officeDocument/2006/relationships/ctrlProp" Target="../ctrlProps/ctrlProp913.xml"/><Relationship Id="rId31" Type="http://schemas.openxmlformats.org/officeDocument/2006/relationships/ctrlProp" Target="../ctrlProps/ctrlProp925.xml"/><Relationship Id="rId44" Type="http://schemas.openxmlformats.org/officeDocument/2006/relationships/ctrlProp" Target="../ctrlProps/ctrlProp938.xml"/><Relationship Id="rId4" Type="http://schemas.openxmlformats.org/officeDocument/2006/relationships/ctrlProp" Target="../ctrlProps/ctrlProp898.xml"/><Relationship Id="rId9" Type="http://schemas.openxmlformats.org/officeDocument/2006/relationships/ctrlProp" Target="../ctrlProps/ctrlProp903.xml"/><Relationship Id="rId14" Type="http://schemas.openxmlformats.org/officeDocument/2006/relationships/ctrlProp" Target="../ctrlProps/ctrlProp908.xml"/><Relationship Id="rId22" Type="http://schemas.openxmlformats.org/officeDocument/2006/relationships/ctrlProp" Target="../ctrlProps/ctrlProp916.xml"/><Relationship Id="rId27" Type="http://schemas.openxmlformats.org/officeDocument/2006/relationships/ctrlProp" Target="../ctrlProps/ctrlProp921.xml"/><Relationship Id="rId30" Type="http://schemas.openxmlformats.org/officeDocument/2006/relationships/ctrlProp" Target="../ctrlProps/ctrlProp924.xml"/><Relationship Id="rId35" Type="http://schemas.openxmlformats.org/officeDocument/2006/relationships/ctrlProp" Target="../ctrlProps/ctrlProp929.xml"/><Relationship Id="rId43" Type="http://schemas.openxmlformats.org/officeDocument/2006/relationships/ctrlProp" Target="../ctrlProps/ctrlProp937.xml"/><Relationship Id="rId48" Type="http://schemas.openxmlformats.org/officeDocument/2006/relationships/ctrlProp" Target="../ctrlProps/ctrlProp942.xml"/><Relationship Id="rId8" Type="http://schemas.openxmlformats.org/officeDocument/2006/relationships/ctrlProp" Target="../ctrlProps/ctrlProp902.xml"/><Relationship Id="rId51" Type="http://schemas.openxmlformats.org/officeDocument/2006/relationships/comments" Target="../comments24.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949.xml"/><Relationship Id="rId13" Type="http://schemas.openxmlformats.org/officeDocument/2006/relationships/ctrlProp" Target="../ctrlProps/ctrlProp954.xml"/><Relationship Id="rId3" Type="http://schemas.openxmlformats.org/officeDocument/2006/relationships/vmlDrawing" Target="../drawings/vmlDrawing25.vml"/><Relationship Id="rId7" Type="http://schemas.openxmlformats.org/officeDocument/2006/relationships/ctrlProp" Target="../ctrlProps/ctrlProp948.xml"/><Relationship Id="rId12" Type="http://schemas.openxmlformats.org/officeDocument/2006/relationships/ctrlProp" Target="../ctrlProps/ctrlProp953.xml"/><Relationship Id="rId2" Type="http://schemas.openxmlformats.org/officeDocument/2006/relationships/drawing" Target="../drawings/drawing25.xml"/><Relationship Id="rId16" Type="http://schemas.openxmlformats.org/officeDocument/2006/relationships/comments" Target="../comments25.xml"/><Relationship Id="rId1" Type="http://schemas.openxmlformats.org/officeDocument/2006/relationships/printerSettings" Target="../printerSettings/printerSettings27.bin"/><Relationship Id="rId6" Type="http://schemas.openxmlformats.org/officeDocument/2006/relationships/ctrlProp" Target="../ctrlProps/ctrlProp947.xml"/><Relationship Id="rId11" Type="http://schemas.openxmlformats.org/officeDocument/2006/relationships/ctrlProp" Target="../ctrlProps/ctrlProp952.xml"/><Relationship Id="rId5" Type="http://schemas.openxmlformats.org/officeDocument/2006/relationships/ctrlProp" Target="../ctrlProps/ctrlProp946.xml"/><Relationship Id="rId15" Type="http://schemas.openxmlformats.org/officeDocument/2006/relationships/ctrlProp" Target="../ctrlProps/ctrlProp956.xml"/><Relationship Id="rId10" Type="http://schemas.openxmlformats.org/officeDocument/2006/relationships/ctrlProp" Target="../ctrlProps/ctrlProp951.xml"/><Relationship Id="rId4" Type="http://schemas.openxmlformats.org/officeDocument/2006/relationships/ctrlProp" Target="../ctrlProps/ctrlProp945.xml"/><Relationship Id="rId9" Type="http://schemas.openxmlformats.org/officeDocument/2006/relationships/ctrlProp" Target="../ctrlProps/ctrlProp950.xml"/><Relationship Id="rId14" Type="http://schemas.openxmlformats.org/officeDocument/2006/relationships/ctrlProp" Target="../ctrlProps/ctrlProp955.xml"/></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961.xml"/><Relationship Id="rId3" Type="http://schemas.openxmlformats.org/officeDocument/2006/relationships/vmlDrawing" Target="../drawings/vmlDrawing26.vml"/><Relationship Id="rId7" Type="http://schemas.openxmlformats.org/officeDocument/2006/relationships/ctrlProp" Target="../ctrlProps/ctrlProp960.xml"/><Relationship Id="rId2" Type="http://schemas.openxmlformats.org/officeDocument/2006/relationships/drawing" Target="../drawings/drawing26.xml"/><Relationship Id="rId1" Type="http://schemas.openxmlformats.org/officeDocument/2006/relationships/printerSettings" Target="../printerSettings/printerSettings28.bin"/><Relationship Id="rId6" Type="http://schemas.openxmlformats.org/officeDocument/2006/relationships/ctrlProp" Target="../ctrlProps/ctrlProp959.xml"/><Relationship Id="rId5" Type="http://schemas.openxmlformats.org/officeDocument/2006/relationships/ctrlProp" Target="../ctrlProps/ctrlProp958.xml"/><Relationship Id="rId4" Type="http://schemas.openxmlformats.org/officeDocument/2006/relationships/ctrlProp" Target="../ctrlProps/ctrlProp957.xml"/><Relationship Id="rId9" Type="http://schemas.openxmlformats.org/officeDocument/2006/relationships/comments" Target="../comments26.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2.vml"/><Relationship Id="rId7" Type="http://schemas.openxmlformats.org/officeDocument/2006/relationships/ctrlProp" Target="../ctrlProps/ctrlProp7.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30.xml"/><Relationship Id="rId117" Type="http://schemas.openxmlformats.org/officeDocument/2006/relationships/ctrlProp" Target="../ctrlProps/ctrlProp121.xml"/><Relationship Id="rId21" Type="http://schemas.openxmlformats.org/officeDocument/2006/relationships/ctrlProp" Target="../ctrlProps/ctrlProp25.xml"/><Relationship Id="rId42" Type="http://schemas.openxmlformats.org/officeDocument/2006/relationships/ctrlProp" Target="../ctrlProps/ctrlProp46.xml"/><Relationship Id="rId47" Type="http://schemas.openxmlformats.org/officeDocument/2006/relationships/ctrlProp" Target="../ctrlProps/ctrlProp51.xml"/><Relationship Id="rId63" Type="http://schemas.openxmlformats.org/officeDocument/2006/relationships/ctrlProp" Target="../ctrlProps/ctrlProp67.xml"/><Relationship Id="rId68" Type="http://schemas.openxmlformats.org/officeDocument/2006/relationships/ctrlProp" Target="../ctrlProps/ctrlProp72.xml"/><Relationship Id="rId84" Type="http://schemas.openxmlformats.org/officeDocument/2006/relationships/ctrlProp" Target="../ctrlProps/ctrlProp88.xml"/><Relationship Id="rId89" Type="http://schemas.openxmlformats.org/officeDocument/2006/relationships/ctrlProp" Target="../ctrlProps/ctrlProp93.xml"/><Relationship Id="rId112" Type="http://schemas.openxmlformats.org/officeDocument/2006/relationships/ctrlProp" Target="../ctrlProps/ctrlProp116.xml"/><Relationship Id="rId133" Type="http://schemas.openxmlformats.org/officeDocument/2006/relationships/ctrlProp" Target="../ctrlProps/ctrlProp137.xml"/><Relationship Id="rId138" Type="http://schemas.openxmlformats.org/officeDocument/2006/relationships/ctrlProp" Target="../ctrlProps/ctrlProp142.xml"/><Relationship Id="rId16" Type="http://schemas.openxmlformats.org/officeDocument/2006/relationships/ctrlProp" Target="../ctrlProps/ctrlProp20.xml"/><Relationship Id="rId107" Type="http://schemas.openxmlformats.org/officeDocument/2006/relationships/ctrlProp" Target="../ctrlProps/ctrlProp111.xml"/><Relationship Id="rId11" Type="http://schemas.openxmlformats.org/officeDocument/2006/relationships/ctrlProp" Target="../ctrlProps/ctrlProp15.xml"/><Relationship Id="rId32" Type="http://schemas.openxmlformats.org/officeDocument/2006/relationships/ctrlProp" Target="../ctrlProps/ctrlProp36.xml"/><Relationship Id="rId37" Type="http://schemas.openxmlformats.org/officeDocument/2006/relationships/ctrlProp" Target="../ctrlProps/ctrlProp41.xml"/><Relationship Id="rId53" Type="http://schemas.openxmlformats.org/officeDocument/2006/relationships/ctrlProp" Target="../ctrlProps/ctrlProp57.xml"/><Relationship Id="rId58" Type="http://schemas.openxmlformats.org/officeDocument/2006/relationships/ctrlProp" Target="../ctrlProps/ctrlProp62.xml"/><Relationship Id="rId74" Type="http://schemas.openxmlformats.org/officeDocument/2006/relationships/ctrlProp" Target="../ctrlProps/ctrlProp78.xml"/><Relationship Id="rId79" Type="http://schemas.openxmlformats.org/officeDocument/2006/relationships/ctrlProp" Target="../ctrlProps/ctrlProp83.xml"/><Relationship Id="rId102" Type="http://schemas.openxmlformats.org/officeDocument/2006/relationships/ctrlProp" Target="../ctrlProps/ctrlProp106.xml"/><Relationship Id="rId123" Type="http://schemas.openxmlformats.org/officeDocument/2006/relationships/ctrlProp" Target="../ctrlProps/ctrlProp127.xml"/><Relationship Id="rId128" Type="http://schemas.openxmlformats.org/officeDocument/2006/relationships/ctrlProp" Target="../ctrlProps/ctrlProp132.xml"/><Relationship Id="rId144" Type="http://schemas.openxmlformats.org/officeDocument/2006/relationships/ctrlProp" Target="../ctrlProps/ctrlProp148.xml"/><Relationship Id="rId5" Type="http://schemas.openxmlformats.org/officeDocument/2006/relationships/ctrlProp" Target="../ctrlProps/ctrlProp9.xml"/><Relationship Id="rId90" Type="http://schemas.openxmlformats.org/officeDocument/2006/relationships/ctrlProp" Target="../ctrlProps/ctrlProp94.xml"/><Relationship Id="rId95" Type="http://schemas.openxmlformats.org/officeDocument/2006/relationships/ctrlProp" Target="../ctrlProps/ctrlProp99.xml"/><Relationship Id="rId22" Type="http://schemas.openxmlformats.org/officeDocument/2006/relationships/ctrlProp" Target="../ctrlProps/ctrlProp26.xml"/><Relationship Id="rId27" Type="http://schemas.openxmlformats.org/officeDocument/2006/relationships/ctrlProp" Target="../ctrlProps/ctrlProp31.xml"/><Relationship Id="rId43" Type="http://schemas.openxmlformats.org/officeDocument/2006/relationships/ctrlProp" Target="../ctrlProps/ctrlProp47.xml"/><Relationship Id="rId48" Type="http://schemas.openxmlformats.org/officeDocument/2006/relationships/ctrlProp" Target="../ctrlProps/ctrlProp52.xml"/><Relationship Id="rId64" Type="http://schemas.openxmlformats.org/officeDocument/2006/relationships/ctrlProp" Target="../ctrlProps/ctrlProp68.xml"/><Relationship Id="rId69" Type="http://schemas.openxmlformats.org/officeDocument/2006/relationships/ctrlProp" Target="../ctrlProps/ctrlProp73.xml"/><Relationship Id="rId113" Type="http://schemas.openxmlformats.org/officeDocument/2006/relationships/ctrlProp" Target="../ctrlProps/ctrlProp117.xml"/><Relationship Id="rId118" Type="http://schemas.openxmlformats.org/officeDocument/2006/relationships/ctrlProp" Target="../ctrlProps/ctrlProp122.xml"/><Relationship Id="rId134" Type="http://schemas.openxmlformats.org/officeDocument/2006/relationships/ctrlProp" Target="../ctrlProps/ctrlProp138.xml"/><Relationship Id="rId139" Type="http://schemas.openxmlformats.org/officeDocument/2006/relationships/ctrlProp" Target="../ctrlProps/ctrlProp143.xml"/><Relationship Id="rId80" Type="http://schemas.openxmlformats.org/officeDocument/2006/relationships/ctrlProp" Target="../ctrlProps/ctrlProp84.xml"/><Relationship Id="rId85" Type="http://schemas.openxmlformats.org/officeDocument/2006/relationships/ctrlProp" Target="../ctrlProps/ctrlProp89.xml"/><Relationship Id="rId3" Type="http://schemas.openxmlformats.org/officeDocument/2006/relationships/vmlDrawing" Target="../drawings/vmlDrawing3.vml"/><Relationship Id="rId12" Type="http://schemas.openxmlformats.org/officeDocument/2006/relationships/ctrlProp" Target="../ctrlProps/ctrlProp16.xml"/><Relationship Id="rId17" Type="http://schemas.openxmlformats.org/officeDocument/2006/relationships/ctrlProp" Target="../ctrlProps/ctrlProp21.xml"/><Relationship Id="rId25" Type="http://schemas.openxmlformats.org/officeDocument/2006/relationships/ctrlProp" Target="../ctrlProps/ctrlProp29.xml"/><Relationship Id="rId33" Type="http://schemas.openxmlformats.org/officeDocument/2006/relationships/ctrlProp" Target="../ctrlProps/ctrlProp37.xml"/><Relationship Id="rId38" Type="http://schemas.openxmlformats.org/officeDocument/2006/relationships/ctrlProp" Target="../ctrlProps/ctrlProp42.xml"/><Relationship Id="rId46" Type="http://schemas.openxmlformats.org/officeDocument/2006/relationships/ctrlProp" Target="../ctrlProps/ctrlProp50.xml"/><Relationship Id="rId59" Type="http://schemas.openxmlformats.org/officeDocument/2006/relationships/ctrlProp" Target="../ctrlProps/ctrlProp63.xml"/><Relationship Id="rId67" Type="http://schemas.openxmlformats.org/officeDocument/2006/relationships/ctrlProp" Target="../ctrlProps/ctrlProp71.xml"/><Relationship Id="rId103" Type="http://schemas.openxmlformats.org/officeDocument/2006/relationships/ctrlProp" Target="../ctrlProps/ctrlProp107.xml"/><Relationship Id="rId108" Type="http://schemas.openxmlformats.org/officeDocument/2006/relationships/ctrlProp" Target="../ctrlProps/ctrlProp112.xml"/><Relationship Id="rId116" Type="http://schemas.openxmlformats.org/officeDocument/2006/relationships/ctrlProp" Target="../ctrlProps/ctrlProp120.xml"/><Relationship Id="rId124" Type="http://schemas.openxmlformats.org/officeDocument/2006/relationships/ctrlProp" Target="../ctrlProps/ctrlProp128.xml"/><Relationship Id="rId129" Type="http://schemas.openxmlformats.org/officeDocument/2006/relationships/ctrlProp" Target="../ctrlProps/ctrlProp133.xml"/><Relationship Id="rId137" Type="http://schemas.openxmlformats.org/officeDocument/2006/relationships/ctrlProp" Target="../ctrlProps/ctrlProp141.xml"/><Relationship Id="rId20" Type="http://schemas.openxmlformats.org/officeDocument/2006/relationships/ctrlProp" Target="../ctrlProps/ctrlProp24.xml"/><Relationship Id="rId41" Type="http://schemas.openxmlformats.org/officeDocument/2006/relationships/ctrlProp" Target="../ctrlProps/ctrlProp45.xml"/><Relationship Id="rId54" Type="http://schemas.openxmlformats.org/officeDocument/2006/relationships/ctrlProp" Target="../ctrlProps/ctrlProp58.xml"/><Relationship Id="rId62" Type="http://schemas.openxmlformats.org/officeDocument/2006/relationships/ctrlProp" Target="../ctrlProps/ctrlProp66.xml"/><Relationship Id="rId70" Type="http://schemas.openxmlformats.org/officeDocument/2006/relationships/ctrlProp" Target="../ctrlProps/ctrlProp74.xml"/><Relationship Id="rId75" Type="http://schemas.openxmlformats.org/officeDocument/2006/relationships/ctrlProp" Target="../ctrlProps/ctrlProp79.xml"/><Relationship Id="rId83" Type="http://schemas.openxmlformats.org/officeDocument/2006/relationships/ctrlProp" Target="../ctrlProps/ctrlProp87.xml"/><Relationship Id="rId88" Type="http://schemas.openxmlformats.org/officeDocument/2006/relationships/ctrlProp" Target="../ctrlProps/ctrlProp92.xml"/><Relationship Id="rId91" Type="http://schemas.openxmlformats.org/officeDocument/2006/relationships/ctrlProp" Target="../ctrlProps/ctrlProp95.xml"/><Relationship Id="rId96" Type="http://schemas.openxmlformats.org/officeDocument/2006/relationships/ctrlProp" Target="../ctrlProps/ctrlProp100.xml"/><Relationship Id="rId111" Type="http://schemas.openxmlformats.org/officeDocument/2006/relationships/ctrlProp" Target="../ctrlProps/ctrlProp115.xml"/><Relationship Id="rId132" Type="http://schemas.openxmlformats.org/officeDocument/2006/relationships/ctrlProp" Target="../ctrlProps/ctrlProp136.xml"/><Relationship Id="rId140" Type="http://schemas.openxmlformats.org/officeDocument/2006/relationships/ctrlProp" Target="../ctrlProps/ctrlProp144.xml"/><Relationship Id="rId145" Type="http://schemas.openxmlformats.org/officeDocument/2006/relationships/ctrlProp" Target="../ctrlProps/ctrlProp149.xml"/><Relationship Id="rId1" Type="http://schemas.openxmlformats.org/officeDocument/2006/relationships/printerSettings" Target="../printerSettings/printerSettings5.bin"/><Relationship Id="rId6" Type="http://schemas.openxmlformats.org/officeDocument/2006/relationships/ctrlProp" Target="../ctrlProps/ctrlProp10.xml"/><Relationship Id="rId15" Type="http://schemas.openxmlformats.org/officeDocument/2006/relationships/ctrlProp" Target="../ctrlProps/ctrlProp19.xml"/><Relationship Id="rId23" Type="http://schemas.openxmlformats.org/officeDocument/2006/relationships/ctrlProp" Target="../ctrlProps/ctrlProp27.xml"/><Relationship Id="rId28" Type="http://schemas.openxmlformats.org/officeDocument/2006/relationships/ctrlProp" Target="../ctrlProps/ctrlProp32.xml"/><Relationship Id="rId36" Type="http://schemas.openxmlformats.org/officeDocument/2006/relationships/ctrlProp" Target="../ctrlProps/ctrlProp40.xml"/><Relationship Id="rId49" Type="http://schemas.openxmlformats.org/officeDocument/2006/relationships/ctrlProp" Target="../ctrlProps/ctrlProp53.xml"/><Relationship Id="rId57" Type="http://schemas.openxmlformats.org/officeDocument/2006/relationships/ctrlProp" Target="../ctrlProps/ctrlProp61.xml"/><Relationship Id="rId106" Type="http://schemas.openxmlformats.org/officeDocument/2006/relationships/ctrlProp" Target="../ctrlProps/ctrlProp110.xml"/><Relationship Id="rId114" Type="http://schemas.openxmlformats.org/officeDocument/2006/relationships/ctrlProp" Target="../ctrlProps/ctrlProp118.xml"/><Relationship Id="rId119" Type="http://schemas.openxmlformats.org/officeDocument/2006/relationships/ctrlProp" Target="../ctrlProps/ctrlProp123.xml"/><Relationship Id="rId127" Type="http://schemas.openxmlformats.org/officeDocument/2006/relationships/ctrlProp" Target="../ctrlProps/ctrlProp131.xml"/><Relationship Id="rId10" Type="http://schemas.openxmlformats.org/officeDocument/2006/relationships/ctrlProp" Target="../ctrlProps/ctrlProp14.xml"/><Relationship Id="rId31" Type="http://schemas.openxmlformats.org/officeDocument/2006/relationships/ctrlProp" Target="../ctrlProps/ctrlProp35.xml"/><Relationship Id="rId44" Type="http://schemas.openxmlformats.org/officeDocument/2006/relationships/ctrlProp" Target="../ctrlProps/ctrlProp48.xml"/><Relationship Id="rId52" Type="http://schemas.openxmlformats.org/officeDocument/2006/relationships/ctrlProp" Target="../ctrlProps/ctrlProp56.xml"/><Relationship Id="rId60" Type="http://schemas.openxmlformats.org/officeDocument/2006/relationships/ctrlProp" Target="../ctrlProps/ctrlProp64.xml"/><Relationship Id="rId65" Type="http://schemas.openxmlformats.org/officeDocument/2006/relationships/ctrlProp" Target="../ctrlProps/ctrlProp69.xml"/><Relationship Id="rId73" Type="http://schemas.openxmlformats.org/officeDocument/2006/relationships/ctrlProp" Target="../ctrlProps/ctrlProp77.xml"/><Relationship Id="rId78" Type="http://schemas.openxmlformats.org/officeDocument/2006/relationships/ctrlProp" Target="../ctrlProps/ctrlProp82.xml"/><Relationship Id="rId81" Type="http://schemas.openxmlformats.org/officeDocument/2006/relationships/ctrlProp" Target="../ctrlProps/ctrlProp85.xml"/><Relationship Id="rId86" Type="http://schemas.openxmlformats.org/officeDocument/2006/relationships/ctrlProp" Target="../ctrlProps/ctrlProp90.xml"/><Relationship Id="rId94" Type="http://schemas.openxmlformats.org/officeDocument/2006/relationships/ctrlProp" Target="../ctrlProps/ctrlProp98.xml"/><Relationship Id="rId99" Type="http://schemas.openxmlformats.org/officeDocument/2006/relationships/ctrlProp" Target="../ctrlProps/ctrlProp103.xml"/><Relationship Id="rId101" Type="http://schemas.openxmlformats.org/officeDocument/2006/relationships/ctrlProp" Target="../ctrlProps/ctrlProp105.xml"/><Relationship Id="rId122" Type="http://schemas.openxmlformats.org/officeDocument/2006/relationships/ctrlProp" Target="../ctrlProps/ctrlProp126.xml"/><Relationship Id="rId130" Type="http://schemas.openxmlformats.org/officeDocument/2006/relationships/ctrlProp" Target="../ctrlProps/ctrlProp134.xml"/><Relationship Id="rId135" Type="http://schemas.openxmlformats.org/officeDocument/2006/relationships/ctrlProp" Target="../ctrlProps/ctrlProp139.xml"/><Relationship Id="rId143" Type="http://schemas.openxmlformats.org/officeDocument/2006/relationships/ctrlProp" Target="../ctrlProps/ctrlProp147.xml"/><Relationship Id="rId4" Type="http://schemas.openxmlformats.org/officeDocument/2006/relationships/ctrlProp" Target="../ctrlProps/ctrlProp8.xml"/><Relationship Id="rId9" Type="http://schemas.openxmlformats.org/officeDocument/2006/relationships/ctrlProp" Target="../ctrlProps/ctrlProp13.xml"/><Relationship Id="rId13" Type="http://schemas.openxmlformats.org/officeDocument/2006/relationships/ctrlProp" Target="../ctrlProps/ctrlProp17.xml"/><Relationship Id="rId18" Type="http://schemas.openxmlformats.org/officeDocument/2006/relationships/ctrlProp" Target="../ctrlProps/ctrlProp22.xml"/><Relationship Id="rId39" Type="http://schemas.openxmlformats.org/officeDocument/2006/relationships/ctrlProp" Target="../ctrlProps/ctrlProp43.xml"/><Relationship Id="rId109" Type="http://schemas.openxmlformats.org/officeDocument/2006/relationships/ctrlProp" Target="../ctrlProps/ctrlProp113.xml"/><Relationship Id="rId34" Type="http://schemas.openxmlformats.org/officeDocument/2006/relationships/ctrlProp" Target="../ctrlProps/ctrlProp38.xml"/><Relationship Id="rId50" Type="http://schemas.openxmlformats.org/officeDocument/2006/relationships/ctrlProp" Target="../ctrlProps/ctrlProp54.xml"/><Relationship Id="rId55" Type="http://schemas.openxmlformats.org/officeDocument/2006/relationships/ctrlProp" Target="../ctrlProps/ctrlProp59.xml"/><Relationship Id="rId76" Type="http://schemas.openxmlformats.org/officeDocument/2006/relationships/ctrlProp" Target="../ctrlProps/ctrlProp80.xml"/><Relationship Id="rId97" Type="http://schemas.openxmlformats.org/officeDocument/2006/relationships/ctrlProp" Target="../ctrlProps/ctrlProp101.xml"/><Relationship Id="rId104" Type="http://schemas.openxmlformats.org/officeDocument/2006/relationships/ctrlProp" Target="../ctrlProps/ctrlProp108.xml"/><Relationship Id="rId120" Type="http://schemas.openxmlformats.org/officeDocument/2006/relationships/ctrlProp" Target="../ctrlProps/ctrlProp124.xml"/><Relationship Id="rId125" Type="http://schemas.openxmlformats.org/officeDocument/2006/relationships/ctrlProp" Target="../ctrlProps/ctrlProp129.xml"/><Relationship Id="rId141" Type="http://schemas.openxmlformats.org/officeDocument/2006/relationships/ctrlProp" Target="../ctrlProps/ctrlProp145.xml"/><Relationship Id="rId146" Type="http://schemas.openxmlformats.org/officeDocument/2006/relationships/ctrlProp" Target="../ctrlProps/ctrlProp150.xml"/><Relationship Id="rId7" Type="http://schemas.openxmlformats.org/officeDocument/2006/relationships/ctrlProp" Target="../ctrlProps/ctrlProp11.xml"/><Relationship Id="rId71" Type="http://schemas.openxmlformats.org/officeDocument/2006/relationships/ctrlProp" Target="../ctrlProps/ctrlProp75.xml"/><Relationship Id="rId92" Type="http://schemas.openxmlformats.org/officeDocument/2006/relationships/ctrlProp" Target="../ctrlProps/ctrlProp96.xml"/><Relationship Id="rId2" Type="http://schemas.openxmlformats.org/officeDocument/2006/relationships/drawing" Target="../drawings/drawing3.xml"/><Relationship Id="rId29" Type="http://schemas.openxmlformats.org/officeDocument/2006/relationships/ctrlProp" Target="../ctrlProps/ctrlProp33.xml"/><Relationship Id="rId24" Type="http://schemas.openxmlformats.org/officeDocument/2006/relationships/ctrlProp" Target="../ctrlProps/ctrlProp28.xml"/><Relationship Id="rId40" Type="http://schemas.openxmlformats.org/officeDocument/2006/relationships/ctrlProp" Target="../ctrlProps/ctrlProp44.xml"/><Relationship Id="rId45" Type="http://schemas.openxmlformats.org/officeDocument/2006/relationships/ctrlProp" Target="../ctrlProps/ctrlProp49.xml"/><Relationship Id="rId66" Type="http://schemas.openxmlformats.org/officeDocument/2006/relationships/ctrlProp" Target="../ctrlProps/ctrlProp70.xml"/><Relationship Id="rId87" Type="http://schemas.openxmlformats.org/officeDocument/2006/relationships/ctrlProp" Target="../ctrlProps/ctrlProp91.xml"/><Relationship Id="rId110" Type="http://schemas.openxmlformats.org/officeDocument/2006/relationships/ctrlProp" Target="../ctrlProps/ctrlProp114.xml"/><Relationship Id="rId115" Type="http://schemas.openxmlformats.org/officeDocument/2006/relationships/ctrlProp" Target="../ctrlProps/ctrlProp119.xml"/><Relationship Id="rId131" Type="http://schemas.openxmlformats.org/officeDocument/2006/relationships/ctrlProp" Target="../ctrlProps/ctrlProp135.xml"/><Relationship Id="rId136" Type="http://schemas.openxmlformats.org/officeDocument/2006/relationships/ctrlProp" Target="../ctrlProps/ctrlProp140.xml"/><Relationship Id="rId61" Type="http://schemas.openxmlformats.org/officeDocument/2006/relationships/ctrlProp" Target="../ctrlProps/ctrlProp65.xml"/><Relationship Id="rId82" Type="http://schemas.openxmlformats.org/officeDocument/2006/relationships/ctrlProp" Target="../ctrlProps/ctrlProp86.xml"/><Relationship Id="rId19" Type="http://schemas.openxmlformats.org/officeDocument/2006/relationships/ctrlProp" Target="../ctrlProps/ctrlProp23.xml"/><Relationship Id="rId14" Type="http://schemas.openxmlformats.org/officeDocument/2006/relationships/ctrlProp" Target="../ctrlProps/ctrlProp18.xml"/><Relationship Id="rId30" Type="http://schemas.openxmlformats.org/officeDocument/2006/relationships/ctrlProp" Target="../ctrlProps/ctrlProp34.xml"/><Relationship Id="rId35" Type="http://schemas.openxmlformats.org/officeDocument/2006/relationships/ctrlProp" Target="../ctrlProps/ctrlProp39.xml"/><Relationship Id="rId56" Type="http://schemas.openxmlformats.org/officeDocument/2006/relationships/ctrlProp" Target="../ctrlProps/ctrlProp60.xml"/><Relationship Id="rId77" Type="http://schemas.openxmlformats.org/officeDocument/2006/relationships/ctrlProp" Target="../ctrlProps/ctrlProp81.xml"/><Relationship Id="rId100" Type="http://schemas.openxmlformats.org/officeDocument/2006/relationships/ctrlProp" Target="../ctrlProps/ctrlProp104.xml"/><Relationship Id="rId105" Type="http://schemas.openxmlformats.org/officeDocument/2006/relationships/ctrlProp" Target="../ctrlProps/ctrlProp109.xml"/><Relationship Id="rId126" Type="http://schemas.openxmlformats.org/officeDocument/2006/relationships/ctrlProp" Target="../ctrlProps/ctrlProp130.xml"/><Relationship Id="rId147" Type="http://schemas.openxmlformats.org/officeDocument/2006/relationships/comments" Target="../comments3.xml"/><Relationship Id="rId8" Type="http://schemas.openxmlformats.org/officeDocument/2006/relationships/ctrlProp" Target="../ctrlProps/ctrlProp12.xml"/><Relationship Id="rId51" Type="http://schemas.openxmlformats.org/officeDocument/2006/relationships/ctrlProp" Target="../ctrlProps/ctrlProp55.xml"/><Relationship Id="rId72" Type="http://schemas.openxmlformats.org/officeDocument/2006/relationships/ctrlProp" Target="../ctrlProps/ctrlProp76.xml"/><Relationship Id="rId93" Type="http://schemas.openxmlformats.org/officeDocument/2006/relationships/ctrlProp" Target="../ctrlProps/ctrlProp97.xml"/><Relationship Id="rId98" Type="http://schemas.openxmlformats.org/officeDocument/2006/relationships/ctrlProp" Target="../ctrlProps/ctrlProp102.xml"/><Relationship Id="rId121" Type="http://schemas.openxmlformats.org/officeDocument/2006/relationships/ctrlProp" Target="../ctrlProps/ctrlProp125.xml"/><Relationship Id="rId142" Type="http://schemas.openxmlformats.org/officeDocument/2006/relationships/ctrlProp" Target="../ctrlProps/ctrlProp146.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73.xml"/><Relationship Id="rId117" Type="http://schemas.openxmlformats.org/officeDocument/2006/relationships/ctrlProp" Target="../ctrlProps/ctrlProp264.xml"/><Relationship Id="rId21" Type="http://schemas.openxmlformats.org/officeDocument/2006/relationships/ctrlProp" Target="../ctrlProps/ctrlProp168.xml"/><Relationship Id="rId42" Type="http://schemas.openxmlformats.org/officeDocument/2006/relationships/ctrlProp" Target="../ctrlProps/ctrlProp189.xml"/><Relationship Id="rId47" Type="http://schemas.openxmlformats.org/officeDocument/2006/relationships/ctrlProp" Target="../ctrlProps/ctrlProp194.xml"/><Relationship Id="rId63" Type="http://schemas.openxmlformats.org/officeDocument/2006/relationships/ctrlProp" Target="../ctrlProps/ctrlProp210.xml"/><Relationship Id="rId68" Type="http://schemas.openxmlformats.org/officeDocument/2006/relationships/ctrlProp" Target="../ctrlProps/ctrlProp215.xml"/><Relationship Id="rId84" Type="http://schemas.openxmlformats.org/officeDocument/2006/relationships/ctrlProp" Target="../ctrlProps/ctrlProp231.xml"/><Relationship Id="rId89" Type="http://schemas.openxmlformats.org/officeDocument/2006/relationships/ctrlProp" Target="../ctrlProps/ctrlProp236.xml"/><Relationship Id="rId112" Type="http://schemas.openxmlformats.org/officeDocument/2006/relationships/ctrlProp" Target="../ctrlProps/ctrlProp259.xml"/><Relationship Id="rId133" Type="http://schemas.openxmlformats.org/officeDocument/2006/relationships/ctrlProp" Target="../ctrlProps/ctrlProp280.xml"/><Relationship Id="rId138" Type="http://schemas.openxmlformats.org/officeDocument/2006/relationships/ctrlProp" Target="../ctrlProps/ctrlProp285.xml"/><Relationship Id="rId16" Type="http://schemas.openxmlformats.org/officeDocument/2006/relationships/ctrlProp" Target="../ctrlProps/ctrlProp163.xml"/><Relationship Id="rId107" Type="http://schemas.openxmlformats.org/officeDocument/2006/relationships/ctrlProp" Target="../ctrlProps/ctrlProp254.xml"/><Relationship Id="rId11" Type="http://schemas.openxmlformats.org/officeDocument/2006/relationships/ctrlProp" Target="../ctrlProps/ctrlProp158.xml"/><Relationship Id="rId32" Type="http://schemas.openxmlformats.org/officeDocument/2006/relationships/ctrlProp" Target="../ctrlProps/ctrlProp179.xml"/><Relationship Id="rId37" Type="http://schemas.openxmlformats.org/officeDocument/2006/relationships/ctrlProp" Target="../ctrlProps/ctrlProp184.xml"/><Relationship Id="rId53" Type="http://schemas.openxmlformats.org/officeDocument/2006/relationships/ctrlProp" Target="../ctrlProps/ctrlProp200.xml"/><Relationship Id="rId58" Type="http://schemas.openxmlformats.org/officeDocument/2006/relationships/ctrlProp" Target="../ctrlProps/ctrlProp205.xml"/><Relationship Id="rId74" Type="http://schemas.openxmlformats.org/officeDocument/2006/relationships/ctrlProp" Target="../ctrlProps/ctrlProp221.xml"/><Relationship Id="rId79" Type="http://schemas.openxmlformats.org/officeDocument/2006/relationships/ctrlProp" Target="../ctrlProps/ctrlProp226.xml"/><Relationship Id="rId102" Type="http://schemas.openxmlformats.org/officeDocument/2006/relationships/ctrlProp" Target="../ctrlProps/ctrlProp249.xml"/><Relationship Id="rId123" Type="http://schemas.openxmlformats.org/officeDocument/2006/relationships/ctrlProp" Target="../ctrlProps/ctrlProp270.xml"/><Relationship Id="rId128" Type="http://schemas.openxmlformats.org/officeDocument/2006/relationships/ctrlProp" Target="../ctrlProps/ctrlProp275.xml"/><Relationship Id="rId144" Type="http://schemas.openxmlformats.org/officeDocument/2006/relationships/ctrlProp" Target="../ctrlProps/ctrlProp291.xml"/><Relationship Id="rId5" Type="http://schemas.openxmlformats.org/officeDocument/2006/relationships/ctrlProp" Target="../ctrlProps/ctrlProp152.xml"/><Relationship Id="rId90" Type="http://schemas.openxmlformats.org/officeDocument/2006/relationships/ctrlProp" Target="../ctrlProps/ctrlProp237.xml"/><Relationship Id="rId95" Type="http://schemas.openxmlformats.org/officeDocument/2006/relationships/ctrlProp" Target="../ctrlProps/ctrlProp242.xml"/><Relationship Id="rId22" Type="http://schemas.openxmlformats.org/officeDocument/2006/relationships/ctrlProp" Target="../ctrlProps/ctrlProp169.xml"/><Relationship Id="rId27" Type="http://schemas.openxmlformats.org/officeDocument/2006/relationships/ctrlProp" Target="../ctrlProps/ctrlProp174.xml"/><Relationship Id="rId43" Type="http://schemas.openxmlformats.org/officeDocument/2006/relationships/ctrlProp" Target="../ctrlProps/ctrlProp190.xml"/><Relationship Id="rId48" Type="http://schemas.openxmlformats.org/officeDocument/2006/relationships/ctrlProp" Target="../ctrlProps/ctrlProp195.xml"/><Relationship Id="rId64" Type="http://schemas.openxmlformats.org/officeDocument/2006/relationships/ctrlProp" Target="../ctrlProps/ctrlProp211.xml"/><Relationship Id="rId69" Type="http://schemas.openxmlformats.org/officeDocument/2006/relationships/ctrlProp" Target="../ctrlProps/ctrlProp216.xml"/><Relationship Id="rId113" Type="http://schemas.openxmlformats.org/officeDocument/2006/relationships/ctrlProp" Target="../ctrlProps/ctrlProp260.xml"/><Relationship Id="rId118" Type="http://schemas.openxmlformats.org/officeDocument/2006/relationships/ctrlProp" Target="../ctrlProps/ctrlProp265.xml"/><Relationship Id="rId134" Type="http://schemas.openxmlformats.org/officeDocument/2006/relationships/ctrlProp" Target="../ctrlProps/ctrlProp281.xml"/><Relationship Id="rId139" Type="http://schemas.openxmlformats.org/officeDocument/2006/relationships/ctrlProp" Target="../ctrlProps/ctrlProp286.xml"/><Relationship Id="rId80" Type="http://schemas.openxmlformats.org/officeDocument/2006/relationships/ctrlProp" Target="../ctrlProps/ctrlProp227.xml"/><Relationship Id="rId85" Type="http://schemas.openxmlformats.org/officeDocument/2006/relationships/ctrlProp" Target="../ctrlProps/ctrlProp232.xml"/><Relationship Id="rId3" Type="http://schemas.openxmlformats.org/officeDocument/2006/relationships/vmlDrawing" Target="../drawings/vmlDrawing4.vml"/><Relationship Id="rId12" Type="http://schemas.openxmlformats.org/officeDocument/2006/relationships/ctrlProp" Target="../ctrlProps/ctrlProp159.xml"/><Relationship Id="rId17" Type="http://schemas.openxmlformats.org/officeDocument/2006/relationships/ctrlProp" Target="../ctrlProps/ctrlProp164.xml"/><Relationship Id="rId25" Type="http://schemas.openxmlformats.org/officeDocument/2006/relationships/ctrlProp" Target="../ctrlProps/ctrlProp172.xml"/><Relationship Id="rId33" Type="http://schemas.openxmlformats.org/officeDocument/2006/relationships/ctrlProp" Target="../ctrlProps/ctrlProp180.xml"/><Relationship Id="rId38" Type="http://schemas.openxmlformats.org/officeDocument/2006/relationships/ctrlProp" Target="../ctrlProps/ctrlProp185.xml"/><Relationship Id="rId46" Type="http://schemas.openxmlformats.org/officeDocument/2006/relationships/ctrlProp" Target="../ctrlProps/ctrlProp193.xml"/><Relationship Id="rId59" Type="http://schemas.openxmlformats.org/officeDocument/2006/relationships/ctrlProp" Target="../ctrlProps/ctrlProp206.xml"/><Relationship Id="rId67" Type="http://schemas.openxmlformats.org/officeDocument/2006/relationships/ctrlProp" Target="../ctrlProps/ctrlProp214.xml"/><Relationship Id="rId103" Type="http://schemas.openxmlformats.org/officeDocument/2006/relationships/ctrlProp" Target="../ctrlProps/ctrlProp250.xml"/><Relationship Id="rId108" Type="http://schemas.openxmlformats.org/officeDocument/2006/relationships/ctrlProp" Target="../ctrlProps/ctrlProp255.xml"/><Relationship Id="rId116" Type="http://schemas.openxmlformats.org/officeDocument/2006/relationships/ctrlProp" Target="../ctrlProps/ctrlProp263.xml"/><Relationship Id="rId124" Type="http://schemas.openxmlformats.org/officeDocument/2006/relationships/ctrlProp" Target="../ctrlProps/ctrlProp271.xml"/><Relationship Id="rId129" Type="http://schemas.openxmlformats.org/officeDocument/2006/relationships/ctrlProp" Target="../ctrlProps/ctrlProp276.xml"/><Relationship Id="rId137" Type="http://schemas.openxmlformats.org/officeDocument/2006/relationships/ctrlProp" Target="../ctrlProps/ctrlProp284.xml"/><Relationship Id="rId20" Type="http://schemas.openxmlformats.org/officeDocument/2006/relationships/ctrlProp" Target="../ctrlProps/ctrlProp167.xml"/><Relationship Id="rId41" Type="http://schemas.openxmlformats.org/officeDocument/2006/relationships/ctrlProp" Target="../ctrlProps/ctrlProp188.xml"/><Relationship Id="rId54" Type="http://schemas.openxmlformats.org/officeDocument/2006/relationships/ctrlProp" Target="../ctrlProps/ctrlProp201.xml"/><Relationship Id="rId62" Type="http://schemas.openxmlformats.org/officeDocument/2006/relationships/ctrlProp" Target="../ctrlProps/ctrlProp209.xml"/><Relationship Id="rId70" Type="http://schemas.openxmlformats.org/officeDocument/2006/relationships/ctrlProp" Target="../ctrlProps/ctrlProp217.xml"/><Relationship Id="rId75" Type="http://schemas.openxmlformats.org/officeDocument/2006/relationships/ctrlProp" Target="../ctrlProps/ctrlProp222.xml"/><Relationship Id="rId83" Type="http://schemas.openxmlformats.org/officeDocument/2006/relationships/ctrlProp" Target="../ctrlProps/ctrlProp230.xml"/><Relationship Id="rId88" Type="http://schemas.openxmlformats.org/officeDocument/2006/relationships/ctrlProp" Target="../ctrlProps/ctrlProp235.xml"/><Relationship Id="rId91" Type="http://schemas.openxmlformats.org/officeDocument/2006/relationships/ctrlProp" Target="../ctrlProps/ctrlProp238.xml"/><Relationship Id="rId96" Type="http://schemas.openxmlformats.org/officeDocument/2006/relationships/ctrlProp" Target="../ctrlProps/ctrlProp243.xml"/><Relationship Id="rId111" Type="http://schemas.openxmlformats.org/officeDocument/2006/relationships/ctrlProp" Target="../ctrlProps/ctrlProp258.xml"/><Relationship Id="rId132" Type="http://schemas.openxmlformats.org/officeDocument/2006/relationships/ctrlProp" Target="../ctrlProps/ctrlProp279.xml"/><Relationship Id="rId140" Type="http://schemas.openxmlformats.org/officeDocument/2006/relationships/ctrlProp" Target="../ctrlProps/ctrlProp287.xml"/><Relationship Id="rId145" Type="http://schemas.openxmlformats.org/officeDocument/2006/relationships/ctrlProp" Target="../ctrlProps/ctrlProp292.xml"/><Relationship Id="rId1" Type="http://schemas.openxmlformats.org/officeDocument/2006/relationships/printerSettings" Target="../printerSettings/printerSettings6.bin"/><Relationship Id="rId6" Type="http://schemas.openxmlformats.org/officeDocument/2006/relationships/ctrlProp" Target="../ctrlProps/ctrlProp153.xml"/><Relationship Id="rId15" Type="http://schemas.openxmlformats.org/officeDocument/2006/relationships/ctrlProp" Target="../ctrlProps/ctrlProp162.xml"/><Relationship Id="rId23" Type="http://schemas.openxmlformats.org/officeDocument/2006/relationships/ctrlProp" Target="../ctrlProps/ctrlProp170.xml"/><Relationship Id="rId28" Type="http://schemas.openxmlformats.org/officeDocument/2006/relationships/ctrlProp" Target="../ctrlProps/ctrlProp175.xml"/><Relationship Id="rId36" Type="http://schemas.openxmlformats.org/officeDocument/2006/relationships/ctrlProp" Target="../ctrlProps/ctrlProp183.xml"/><Relationship Id="rId49" Type="http://schemas.openxmlformats.org/officeDocument/2006/relationships/ctrlProp" Target="../ctrlProps/ctrlProp196.xml"/><Relationship Id="rId57" Type="http://schemas.openxmlformats.org/officeDocument/2006/relationships/ctrlProp" Target="../ctrlProps/ctrlProp204.xml"/><Relationship Id="rId106" Type="http://schemas.openxmlformats.org/officeDocument/2006/relationships/ctrlProp" Target="../ctrlProps/ctrlProp253.xml"/><Relationship Id="rId114" Type="http://schemas.openxmlformats.org/officeDocument/2006/relationships/ctrlProp" Target="../ctrlProps/ctrlProp261.xml"/><Relationship Id="rId119" Type="http://schemas.openxmlformats.org/officeDocument/2006/relationships/ctrlProp" Target="../ctrlProps/ctrlProp266.xml"/><Relationship Id="rId127" Type="http://schemas.openxmlformats.org/officeDocument/2006/relationships/ctrlProp" Target="../ctrlProps/ctrlProp274.xml"/><Relationship Id="rId10" Type="http://schemas.openxmlformats.org/officeDocument/2006/relationships/ctrlProp" Target="../ctrlProps/ctrlProp157.xml"/><Relationship Id="rId31" Type="http://schemas.openxmlformats.org/officeDocument/2006/relationships/ctrlProp" Target="../ctrlProps/ctrlProp178.xml"/><Relationship Id="rId44" Type="http://schemas.openxmlformats.org/officeDocument/2006/relationships/ctrlProp" Target="../ctrlProps/ctrlProp191.xml"/><Relationship Id="rId52" Type="http://schemas.openxmlformats.org/officeDocument/2006/relationships/ctrlProp" Target="../ctrlProps/ctrlProp199.xml"/><Relationship Id="rId60" Type="http://schemas.openxmlformats.org/officeDocument/2006/relationships/ctrlProp" Target="../ctrlProps/ctrlProp207.xml"/><Relationship Id="rId65" Type="http://schemas.openxmlformats.org/officeDocument/2006/relationships/ctrlProp" Target="../ctrlProps/ctrlProp212.xml"/><Relationship Id="rId73" Type="http://schemas.openxmlformats.org/officeDocument/2006/relationships/ctrlProp" Target="../ctrlProps/ctrlProp220.xml"/><Relationship Id="rId78" Type="http://schemas.openxmlformats.org/officeDocument/2006/relationships/ctrlProp" Target="../ctrlProps/ctrlProp225.xml"/><Relationship Id="rId81" Type="http://schemas.openxmlformats.org/officeDocument/2006/relationships/ctrlProp" Target="../ctrlProps/ctrlProp228.xml"/><Relationship Id="rId86" Type="http://schemas.openxmlformats.org/officeDocument/2006/relationships/ctrlProp" Target="../ctrlProps/ctrlProp233.xml"/><Relationship Id="rId94" Type="http://schemas.openxmlformats.org/officeDocument/2006/relationships/ctrlProp" Target="../ctrlProps/ctrlProp241.xml"/><Relationship Id="rId99" Type="http://schemas.openxmlformats.org/officeDocument/2006/relationships/ctrlProp" Target="../ctrlProps/ctrlProp246.xml"/><Relationship Id="rId101" Type="http://schemas.openxmlformats.org/officeDocument/2006/relationships/ctrlProp" Target="../ctrlProps/ctrlProp248.xml"/><Relationship Id="rId122" Type="http://schemas.openxmlformats.org/officeDocument/2006/relationships/ctrlProp" Target="../ctrlProps/ctrlProp269.xml"/><Relationship Id="rId130" Type="http://schemas.openxmlformats.org/officeDocument/2006/relationships/ctrlProp" Target="../ctrlProps/ctrlProp277.xml"/><Relationship Id="rId135" Type="http://schemas.openxmlformats.org/officeDocument/2006/relationships/ctrlProp" Target="../ctrlProps/ctrlProp282.xml"/><Relationship Id="rId143" Type="http://schemas.openxmlformats.org/officeDocument/2006/relationships/ctrlProp" Target="../ctrlProps/ctrlProp290.xml"/><Relationship Id="rId4" Type="http://schemas.openxmlformats.org/officeDocument/2006/relationships/ctrlProp" Target="../ctrlProps/ctrlProp151.xml"/><Relationship Id="rId9" Type="http://schemas.openxmlformats.org/officeDocument/2006/relationships/ctrlProp" Target="../ctrlProps/ctrlProp156.xml"/><Relationship Id="rId13" Type="http://schemas.openxmlformats.org/officeDocument/2006/relationships/ctrlProp" Target="../ctrlProps/ctrlProp160.xml"/><Relationship Id="rId18" Type="http://schemas.openxmlformats.org/officeDocument/2006/relationships/ctrlProp" Target="../ctrlProps/ctrlProp165.xml"/><Relationship Id="rId39" Type="http://schemas.openxmlformats.org/officeDocument/2006/relationships/ctrlProp" Target="../ctrlProps/ctrlProp186.xml"/><Relationship Id="rId109" Type="http://schemas.openxmlformats.org/officeDocument/2006/relationships/ctrlProp" Target="../ctrlProps/ctrlProp256.xml"/><Relationship Id="rId34" Type="http://schemas.openxmlformats.org/officeDocument/2006/relationships/ctrlProp" Target="../ctrlProps/ctrlProp181.xml"/><Relationship Id="rId50" Type="http://schemas.openxmlformats.org/officeDocument/2006/relationships/ctrlProp" Target="../ctrlProps/ctrlProp197.xml"/><Relationship Id="rId55" Type="http://schemas.openxmlformats.org/officeDocument/2006/relationships/ctrlProp" Target="../ctrlProps/ctrlProp202.xml"/><Relationship Id="rId76" Type="http://schemas.openxmlformats.org/officeDocument/2006/relationships/ctrlProp" Target="../ctrlProps/ctrlProp223.xml"/><Relationship Id="rId97" Type="http://schemas.openxmlformats.org/officeDocument/2006/relationships/ctrlProp" Target="../ctrlProps/ctrlProp244.xml"/><Relationship Id="rId104" Type="http://schemas.openxmlformats.org/officeDocument/2006/relationships/ctrlProp" Target="../ctrlProps/ctrlProp251.xml"/><Relationship Id="rId120" Type="http://schemas.openxmlformats.org/officeDocument/2006/relationships/ctrlProp" Target="../ctrlProps/ctrlProp267.xml"/><Relationship Id="rId125" Type="http://schemas.openxmlformats.org/officeDocument/2006/relationships/ctrlProp" Target="../ctrlProps/ctrlProp272.xml"/><Relationship Id="rId141" Type="http://schemas.openxmlformats.org/officeDocument/2006/relationships/ctrlProp" Target="../ctrlProps/ctrlProp288.xml"/><Relationship Id="rId146" Type="http://schemas.openxmlformats.org/officeDocument/2006/relationships/ctrlProp" Target="../ctrlProps/ctrlProp293.xml"/><Relationship Id="rId7" Type="http://schemas.openxmlformats.org/officeDocument/2006/relationships/ctrlProp" Target="../ctrlProps/ctrlProp154.xml"/><Relationship Id="rId71" Type="http://schemas.openxmlformats.org/officeDocument/2006/relationships/ctrlProp" Target="../ctrlProps/ctrlProp218.xml"/><Relationship Id="rId92" Type="http://schemas.openxmlformats.org/officeDocument/2006/relationships/ctrlProp" Target="../ctrlProps/ctrlProp239.xml"/><Relationship Id="rId2" Type="http://schemas.openxmlformats.org/officeDocument/2006/relationships/drawing" Target="../drawings/drawing4.xml"/><Relationship Id="rId29" Type="http://schemas.openxmlformats.org/officeDocument/2006/relationships/ctrlProp" Target="../ctrlProps/ctrlProp176.xml"/><Relationship Id="rId24" Type="http://schemas.openxmlformats.org/officeDocument/2006/relationships/ctrlProp" Target="../ctrlProps/ctrlProp171.xml"/><Relationship Id="rId40" Type="http://schemas.openxmlformats.org/officeDocument/2006/relationships/ctrlProp" Target="../ctrlProps/ctrlProp187.xml"/><Relationship Id="rId45" Type="http://schemas.openxmlformats.org/officeDocument/2006/relationships/ctrlProp" Target="../ctrlProps/ctrlProp192.xml"/><Relationship Id="rId66" Type="http://schemas.openxmlformats.org/officeDocument/2006/relationships/ctrlProp" Target="../ctrlProps/ctrlProp213.xml"/><Relationship Id="rId87" Type="http://schemas.openxmlformats.org/officeDocument/2006/relationships/ctrlProp" Target="../ctrlProps/ctrlProp234.xml"/><Relationship Id="rId110" Type="http://schemas.openxmlformats.org/officeDocument/2006/relationships/ctrlProp" Target="../ctrlProps/ctrlProp257.xml"/><Relationship Id="rId115" Type="http://schemas.openxmlformats.org/officeDocument/2006/relationships/ctrlProp" Target="../ctrlProps/ctrlProp262.xml"/><Relationship Id="rId131" Type="http://schemas.openxmlformats.org/officeDocument/2006/relationships/ctrlProp" Target="../ctrlProps/ctrlProp278.xml"/><Relationship Id="rId136" Type="http://schemas.openxmlformats.org/officeDocument/2006/relationships/ctrlProp" Target="../ctrlProps/ctrlProp283.xml"/><Relationship Id="rId61" Type="http://schemas.openxmlformats.org/officeDocument/2006/relationships/ctrlProp" Target="../ctrlProps/ctrlProp208.xml"/><Relationship Id="rId82" Type="http://schemas.openxmlformats.org/officeDocument/2006/relationships/ctrlProp" Target="../ctrlProps/ctrlProp229.xml"/><Relationship Id="rId19" Type="http://schemas.openxmlformats.org/officeDocument/2006/relationships/ctrlProp" Target="../ctrlProps/ctrlProp166.xml"/><Relationship Id="rId14" Type="http://schemas.openxmlformats.org/officeDocument/2006/relationships/ctrlProp" Target="../ctrlProps/ctrlProp161.xml"/><Relationship Id="rId30" Type="http://schemas.openxmlformats.org/officeDocument/2006/relationships/ctrlProp" Target="../ctrlProps/ctrlProp177.xml"/><Relationship Id="rId35" Type="http://schemas.openxmlformats.org/officeDocument/2006/relationships/ctrlProp" Target="../ctrlProps/ctrlProp182.xml"/><Relationship Id="rId56" Type="http://schemas.openxmlformats.org/officeDocument/2006/relationships/ctrlProp" Target="../ctrlProps/ctrlProp203.xml"/><Relationship Id="rId77" Type="http://schemas.openxmlformats.org/officeDocument/2006/relationships/ctrlProp" Target="../ctrlProps/ctrlProp224.xml"/><Relationship Id="rId100" Type="http://schemas.openxmlformats.org/officeDocument/2006/relationships/ctrlProp" Target="../ctrlProps/ctrlProp247.xml"/><Relationship Id="rId105" Type="http://schemas.openxmlformats.org/officeDocument/2006/relationships/ctrlProp" Target="../ctrlProps/ctrlProp252.xml"/><Relationship Id="rId126" Type="http://schemas.openxmlformats.org/officeDocument/2006/relationships/ctrlProp" Target="../ctrlProps/ctrlProp273.xml"/><Relationship Id="rId147" Type="http://schemas.openxmlformats.org/officeDocument/2006/relationships/comments" Target="../comments4.xml"/><Relationship Id="rId8" Type="http://schemas.openxmlformats.org/officeDocument/2006/relationships/ctrlProp" Target="../ctrlProps/ctrlProp155.xml"/><Relationship Id="rId51" Type="http://schemas.openxmlformats.org/officeDocument/2006/relationships/ctrlProp" Target="../ctrlProps/ctrlProp198.xml"/><Relationship Id="rId72" Type="http://schemas.openxmlformats.org/officeDocument/2006/relationships/ctrlProp" Target="../ctrlProps/ctrlProp219.xml"/><Relationship Id="rId93" Type="http://schemas.openxmlformats.org/officeDocument/2006/relationships/ctrlProp" Target="../ctrlProps/ctrlProp240.xml"/><Relationship Id="rId98" Type="http://schemas.openxmlformats.org/officeDocument/2006/relationships/ctrlProp" Target="../ctrlProps/ctrlProp245.xml"/><Relationship Id="rId121" Type="http://schemas.openxmlformats.org/officeDocument/2006/relationships/ctrlProp" Target="../ctrlProps/ctrlProp268.xml"/><Relationship Id="rId142" Type="http://schemas.openxmlformats.org/officeDocument/2006/relationships/ctrlProp" Target="../ctrlProps/ctrlProp289.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316.xml"/><Relationship Id="rId117" Type="http://schemas.openxmlformats.org/officeDocument/2006/relationships/ctrlProp" Target="../ctrlProps/ctrlProp407.xml"/><Relationship Id="rId21" Type="http://schemas.openxmlformats.org/officeDocument/2006/relationships/ctrlProp" Target="../ctrlProps/ctrlProp311.xml"/><Relationship Id="rId42" Type="http://schemas.openxmlformats.org/officeDocument/2006/relationships/ctrlProp" Target="../ctrlProps/ctrlProp332.xml"/><Relationship Id="rId47" Type="http://schemas.openxmlformats.org/officeDocument/2006/relationships/ctrlProp" Target="../ctrlProps/ctrlProp337.xml"/><Relationship Id="rId63" Type="http://schemas.openxmlformats.org/officeDocument/2006/relationships/ctrlProp" Target="../ctrlProps/ctrlProp353.xml"/><Relationship Id="rId68" Type="http://schemas.openxmlformats.org/officeDocument/2006/relationships/ctrlProp" Target="../ctrlProps/ctrlProp358.xml"/><Relationship Id="rId84" Type="http://schemas.openxmlformats.org/officeDocument/2006/relationships/ctrlProp" Target="../ctrlProps/ctrlProp374.xml"/><Relationship Id="rId89" Type="http://schemas.openxmlformats.org/officeDocument/2006/relationships/ctrlProp" Target="../ctrlProps/ctrlProp379.xml"/><Relationship Id="rId112" Type="http://schemas.openxmlformats.org/officeDocument/2006/relationships/ctrlProp" Target="../ctrlProps/ctrlProp402.xml"/><Relationship Id="rId133" Type="http://schemas.openxmlformats.org/officeDocument/2006/relationships/ctrlProp" Target="../ctrlProps/ctrlProp423.xml"/><Relationship Id="rId138" Type="http://schemas.openxmlformats.org/officeDocument/2006/relationships/ctrlProp" Target="../ctrlProps/ctrlProp428.xml"/><Relationship Id="rId16" Type="http://schemas.openxmlformats.org/officeDocument/2006/relationships/ctrlProp" Target="../ctrlProps/ctrlProp306.xml"/><Relationship Id="rId107" Type="http://schemas.openxmlformats.org/officeDocument/2006/relationships/ctrlProp" Target="../ctrlProps/ctrlProp397.xml"/><Relationship Id="rId11" Type="http://schemas.openxmlformats.org/officeDocument/2006/relationships/ctrlProp" Target="../ctrlProps/ctrlProp301.xml"/><Relationship Id="rId32" Type="http://schemas.openxmlformats.org/officeDocument/2006/relationships/ctrlProp" Target="../ctrlProps/ctrlProp322.xml"/><Relationship Id="rId37" Type="http://schemas.openxmlformats.org/officeDocument/2006/relationships/ctrlProp" Target="../ctrlProps/ctrlProp327.xml"/><Relationship Id="rId53" Type="http://schemas.openxmlformats.org/officeDocument/2006/relationships/ctrlProp" Target="../ctrlProps/ctrlProp343.xml"/><Relationship Id="rId58" Type="http://schemas.openxmlformats.org/officeDocument/2006/relationships/ctrlProp" Target="../ctrlProps/ctrlProp348.xml"/><Relationship Id="rId74" Type="http://schemas.openxmlformats.org/officeDocument/2006/relationships/ctrlProp" Target="../ctrlProps/ctrlProp364.xml"/><Relationship Id="rId79" Type="http://schemas.openxmlformats.org/officeDocument/2006/relationships/ctrlProp" Target="../ctrlProps/ctrlProp369.xml"/><Relationship Id="rId102" Type="http://schemas.openxmlformats.org/officeDocument/2006/relationships/ctrlProp" Target="../ctrlProps/ctrlProp392.xml"/><Relationship Id="rId123" Type="http://schemas.openxmlformats.org/officeDocument/2006/relationships/ctrlProp" Target="../ctrlProps/ctrlProp413.xml"/><Relationship Id="rId128" Type="http://schemas.openxmlformats.org/officeDocument/2006/relationships/ctrlProp" Target="../ctrlProps/ctrlProp418.xml"/><Relationship Id="rId144" Type="http://schemas.openxmlformats.org/officeDocument/2006/relationships/ctrlProp" Target="../ctrlProps/ctrlProp434.xml"/><Relationship Id="rId5" Type="http://schemas.openxmlformats.org/officeDocument/2006/relationships/ctrlProp" Target="../ctrlProps/ctrlProp295.xml"/><Relationship Id="rId90" Type="http://schemas.openxmlformats.org/officeDocument/2006/relationships/ctrlProp" Target="../ctrlProps/ctrlProp380.xml"/><Relationship Id="rId95" Type="http://schemas.openxmlformats.org/officeDocument/2006/relationships/ctrlProp" Target="../ctrlProps/ctrlProp385.xml"/><Relationship Id="rId22" Type="http://schemas.openxmlformats.org/officeDocument/2006/relationships/ctrlProp" Target="../ctrlProps/ctrlProp312.xml"/><Relationship Id="rId27" Type="http://schemas.openxmlformats.org/officeDocument/2006/relationships/ctrlProp" Target="../ctrlProps/ctrlProp317.xml"/><Relationship Id="rId43" Type="http://schemas.openxmlformats.org/officeDocument/2006/relationships/ctrlProp" Target="../ctrlProps/ctrlProp333.xml"/><Relationship Id="rId48" Type="http://schemas.openxmlformats.org/officeDocument/2006/relationships/ctrlProp" Target="../ctrlProps/ctrlProp338.xml"/><Relationship Id="rId64" Type="http://schemas.openxmlformats.org/officeDocument/2006/relationships/ctrlProp" Target="../ctrlProps/ctrlProp354.xml"/><Relationship Id="rId69" Type="http://schemas.openxmlformats.org/officeDocument/2006/relationships/ctrlProp" Target="../ctrlProps/ctrlProp359.xml"/><Relationship Id="rId113" Type="http://schemas.openxmlformats.org/officeDocument/2006/relationships/ctrlProp" Target="../ctrlProps/ctrlProp403.xml"/><Relationship Id="rId118" Type="http://schemas.openxmlformats.org/officeDocument/2006/relationships/ctrlProp" Target="../ctrlProps/ctrlProp408.xml"/><Relationship Id="rId134" Type="http://schemas.openxmlformats.org/officeDocument/2006/relationships/ctrlProp" Target="../ctrlProps/ctrlProp424.xml"/><Relationship Id="rId139" Type="http://schemas.openxmlformats.org/officeDocument/2006/relationships/ctrlProp" Target="../ctrlProps/ctrlProp429.xml"/><Relationship Id="rId80" Type="http://schemas.openxmlformats.org/officeDocument/2006/relationships/ctrlProp" Target="../ctrlProps/ctrlProp370.xml"/><Relationship Id="rId85" Type="http://schemas.openxmlformats.org/officeDocument/2006/relationships/ctrlProp" Target="../ctrlProps/ctrlProp375.xml"/><Relationship Id="rId3" Type="http://schemas.openxmlformats.org/officeDocument/2006/relationships/vmlDrawing" Target="../drawings/vmlDrawing5.vml"/><Relationship Id="rId12" Type="http://schemas.openxmlformats.org/officeDocument/2006/relationships/ctrlProp" Target="../ctrlProps/ctrlProp302.xml"/><Relationship Id="rId17" Type="http://schemas.openxmlformats.org/officeDocument/2006/relationships/ctrlProp" Target="../ctrlProps/ctrlProp307.xml"/><Relationship Id="rId25" Type="http://schemas.openxmlformats.org/officeDocument/2006/relationships/ctrlProp" Target="../ctrlProps/ctrlProp315.xml"/><Relationship Id="rId33" Type="http://schemas.openxmlformats.org/officeDocument/2006/relationships/ctrlProp" Target="../ctrlProps/ctrlProp323.xml"/><Relationship Id="rId38" Type="http://schemas.openxmlformats.org/officeDocument/2006/relationships/ctrlProp" Target="../ctrlProps/ctrlProp328.xml"/><Relationship Id="rId46" Type="http://schemas.openxmlformats.org/officeDocument/2006/relationships/ctrlProp" Target="../ctrlProps/ctrlProp336.xml"/><Relationship Id="rId59" Type="http://schemas.openxmlformats.org/officeDocument/2006/relationships/ctrlProp" Target="../ctrlProps/ctrlProp349.xml"/><Relationship Id="rId67" Type="http://schemas.openxmlformats.org/officeDocument/2006/relationships/ctrlProp" Target="../ctrlProps/ctrlProp357.xml"/><Relationship Id="rId103" Type="http://schemas.openxmlformats.org/officeDocument/2006/relationships/ctrlProp" Target="../ctrlProps/ctrlProp393.xml"/><Relationship Id="rId108" Type="http://schemas.openxmlformats.org/officeDocument/2006/relationships/ctrlProp" Target="../ctrlProps/ctrlProp398.xml"/><Relationship Id="rId116" Type="http://schemas.openxmlformats.org/officeDocument/2006/relationships/ctrlProp" Target="../ctrlProps/ctrlProp406.xml"/><Relationship Id="rId124" Type="http://schemas.openxmlformats.org/officeDocument/2006/relationships/ctrlProp" Target="../ctrlProps/ctrlProp414.xml"/><Relationship Id="rId129" Type="http://schemas.openxmlformats.org/officeDocument/2006/relationships/ctrlProp" Target="../ctrlProps/ctrlProp419.xml"/><Relationship Id="rId137" Type="http://schemas.openxmlformats.org/officeDocument/2006/relationships/ctrlProp" Target="../ctrlProps/ctrlProp427.xml"/><Relationship Id="rId20" Type="http://schemas.openxmlformats.org/officeDocument/2006/relationships/ctrlProp" Target="../ctrlProps/ctrlProp310.xml"/><Relationship Id="rId41" Type="http://schemas.openxmlformats.org/officeDocument/2006/relationships/ctrlProp" Target="../ctrlProps/ctrlProp331.xml"/><Relationship Id="rId54" Type="http://schemas.openxmlformats.org/officeDocument/2006/relationships/ctrlProp" Target="../ctrlProps/ctrlProp344.xml"/><Relationship Id="rId62" Type="http://schemas.openxmlformats.org/officeDocument/2006/relationships/ctrlProp" Target="../ctrlProps/ctrlProp352.xml"/><Relationship Id="rId70" Type="http://schemas.openxmlformats.org/officeDocument/2006/relationships/ctrlProp" Target="../ctrlProps/ctrlProp360.xml"/><Relationship Id="rId75" Type="http://schemas.openxmlformats.org/officeDocument/2006/relationships/ctrlProp" Target="../ctrlProps/ctrlProp365.xml"/><Relationship Id="rId83" Type="http://schemas.openxmlformats.org/officeDocument/2006/relationships/ctrlProp" Target="../ctrlProps/ctrlProp373.xml"/><Relationship Id="rId88" Type="http://schemas.openxmlformats.org/officeDocument/2006/relationships/ctrlProp" Target="../ctrlProps/ctrlProp378.xml"/><Relationship Id="rId91" Type="http://schemas.openxmlformats.org/officeDocument/2006/relationships/ctrlProp" Target="../ctrlProps/ctrlProp381.xml"/><Relationship Id="rId96" Type="http://schemas.openxmlformats.org/officeDocument/2006/relationships/ctrlProp" Target="../ctrlProps/ctrlProp386.xml"/><Relationship Id="rId111" Type="http://schemas.openxmlformats.org/officeDocument/2006/relationships/ctrlProp" Target="../ctrlProps/ctrlProp401.xml"/><Relationship Id="rId132" Type="http://schemas.openxmlformats.org/officeDocument/2006/relationships/ctrlProp" Target="../ctrlProps/ctrlProp422.xml"/><Relationship Id="rId140" Type="http://schemas.openxmlformats.org/officeDocument/2006/relationships/ctrlProp" Target="../ctrlProps/ctrlProp430.xml"/><Relationship Id="rId145" Type="http://schemas.openxmlformats.org/officeDocument/2006/relationships/ctrlProp" Target="../ctrlProps/ctrlProp435.xml"/><Relationship Id="rId1" Type="http://schemas.openxmlformats.org/officeDocument/2006/relationships/printerSettings" Target="../printerSettings/printerSettings7.bin"/><Relationship Id="rId6" Type="http://schemas.openxmlformats.org/officeDocument/2006/relationships/ctrlProp" Target="../ctrlProps/ctrlProp296.xml"/><Relationship Id="rId15" Type="http://schemas.openxmlformats.org/officeDocument/2006/relationships/ctrlProp" Target="../ctrlProps/ctrlProp305.xml"/><Relationship Id="rId23" Type="http://schemas.openxmlformats.org/officeDocument/2006/relationships/ctrlProp" Target="../ctrlProps/ctrlProp313.xml"/><Relationship Id="rId28" Type="http://schemas.openxmlformats.org/officeDocument/2006/relationships/ctrlProp" Target="../ctrlProps/ctrlProp318.xml"/><Relationship Id="rId36" Type="http://schemas.openxmlformats.org/officeDocument/2006/relationships/ctrlProp" Target="../ctrlProps/ctrlProp326.xml"/><Relationship Id="rId49" Type="http://schemas.openxmlformats.org/officeDocument/2006/relationships/ctrlProp" Target="../ctrlProps/ctrlProp339.xml"/><Relationship Id="rId57" Type="http://schemas.openxmlformats.org/officeDocument/2006/relationships/ctrlProp" Target="../ctrlProps/ctrlProp347.xml"/><Relationship Id="rId106" Type="http://schemas.openxmlformats.org/officeDocument/2006/relationships/ctrlProp" Target="../ctrlProps/ctrlProp396.xml"/><Relationship Id="rId114" Type="http://schemas.openxmlformats.org/officeDocument/2006/relationships/ctrlProp" Target="../ctrlProps/ctrlProp404.xml"/><Relationship Id="rId119" Type="http://schemas.openxmlformats.org/officeDocument/2006/relationships/ctrlProp" Target="../ctrlProps/ctrlProp409.xml"/><Relationship Id="rId127" Type="http://schemas.openxmlformats.org/officeDocument/2006/relationships/ctrlProp" Target="../ctrlProps/ctrlProp417.xml"/><Relationship Id="rId10" Type="http://schemas.openxmlformats.org/officeDocument/2006/relationships/ctrlProp" Target="../ctrlProps/ctrlProp300.xml"/><Relationship Id="rId31" Type="http://schemas.openxmlformats.org/officeDocument/2006/relationships/ctrlProp" Target="../ctrlProps/ctrlProp321.xml"/><Relationship Id="rId44" Type="http://schemas.openxmlformats.org/officeDocument/2006/relationships/ctrlProp" Target="../ctrlProps/ctrlProp334.xml"/><Relationship Id="rId52" Type="http://schemas.openxmlformats.org/officeDocument/2006/relationships/ctrlProp" Target="../ctrlProps/ctrlProp342.xml"/><Relationship Id="rId60" Type="http://schemas.openxmlformats.org/officeDocument/2006/relationships/ctrlProp" Target="../ctrlProps/ctrlProp350.xml"/><Relationship Id="rId65" Type="http://schemas.openxmlformats.org/officeDocument/2006/relationships/ctrlProp" Target="../ctrlProps/ctrlProp355.xml"/><Relationship Id="rId73" Type="http://schemas.openxmlformats.org/officeDocument/2006/relationships/ctrlProp" Target="../ctrlProps/ctrlProp363.xml"/><Relationship Id="rId78" Type="http://schemas.openxmlformats.org/officeDocument/2006/relationships/ctrlProp" Target="../ctrlProps/ctrlProp368.xml"/><Relationship Id="rId81" Type="http://schemas.openxmlformats.org/officeDocument/2006/relationships/ctrlProp" Target="../ctrlProps/ctrlProp371.xml"/><Relationship Id="rId86" Type="http://schemas.openxmlformats.org/officeDocument/2006/relationships/ctrlProp" Target="../ctrlProps/ctrlProp376.xml"/><Relationship Id="rId94" Type="http://schemas.openxmlformats.org/officeDocument/2006/relationships/ctrlProp" Target="../ctrlProps/ctrlProp384.xml"/><Relationship Id="rId99" Type="http://schemas.openxmlformats.org/officeDocument/2006/relationships/ctrlProp" Target="../ctrlProps/ctrlProp389.xml"/><Relationship Id="rId101" Type="http://schemas.openxmlformats.org/officeDocument/2006/relationships/ctrlProp" Target="../ctrlProps/ctrlProp391.xml"/><Relationship Id="rId122" Type="http://schemas.openxmlformats.org/officeDocument/2006/relationships/ctrlProp" Target="../ctrlProps/ctrlProp412.xml"/><Relationship Id="rId130" Type="http://schemas.openxmlformats.org/officeDocument/2006/relationships/ctrlProp" Target="../ctrlProps/ctrlProp420.xml"/><Relationship Id="rId135" Type="http://schemas.openxmlformats.org/officeDocument/2006/relationships/ctrlProp" Target="../ctrlProps/ctrlProp425.xml"/><Relationship Id="rId143" Type="http://schemas.openxmlformats.org/officeDocument/2006/relationships/ctrlProp" Target="../ctrlProps/ctrlProp433.xml"/><Relationship Id="rId148" Type="http://schemas.openxmlformats.org/officeDocument/2006/relationships/comments" Target="../comments5.xml"/><Relationship Id="rId4" Type="http://schemas.openxmlformats.org/officeDocument/2006/relationships/ctrlProp" Target="../ctrlProps/ctrlProp294.xml"/><Relationship Id="rId9" Type="http://schemas.openxmlformats.org/officeDocument/2006/relationships/ctrlProp" Target="../ctrlProps/ctrlProp299.xml"/><Relationship Id="rId13" Type="http://schemas.openxmlformats.org/officeDocument/2006/relationships/ctrlProp" Target="../ctrlProps/ctrlProp303.xml"/><Relationship Id="rId18" Type="http://schemas.openxmlformats.org/officeDocument/2006/relationships/ctrlProp" Target="../ctrlProps/ctrlProp308.xml"/><Relationship Id="rId39" Type="http://schemas.openxmlformats.org/officeDocument/2006/relationships/ctrlProp" Target="../ctrlProps/ctrlProp329.xml"/><Relationship Id="rId109" Type="http://schemas.openxmlformats.org/officeDocument/2006/relationships/ctrlProp" Target="../ctrlProps/ctrlProp399.xml"/><Relationship Id="rId34" Type="http://schemas.openxmlformats.org/officeDocument/2006/relationships/ctrlProp" Target="../ctrlProps/ctrlProp324.xml"/><Relationship Id="rId50" Type="http://schemas.openxmlformats.org/officeDocument/2006/relationships/ctrlProp" Target="../ctrlProps/ctrlProp340.xml"/><Relationship Id="rId55" Type="http://schemas.openxmlformats.org/officeDocument/2006/relationships/ctrlProp" Target="../ctrlProps/ctrlProp345.xml"/><Relationship Id="rId76" Type="http://schemas.openxmlformats.org/officeDocument/2006/relationships/ctrlProp" Target="../ctrlProps/ctrlProp366.xml"/><Relationship Id="rId97" Type="http://schemas.openxmlformats.org/officeDocument/2006/relationships/ctrlProp" Target="../ctrlProps/ctrlProp387.xml"/><Relationship Id="rId104" Type="http://schemas.openxmlformats.org/officeDocument/2006/relationships/ctrlProp" Target="../ctrlProps/ctrlProp394.xml"/><Relationship Id="rId120" Type="http://schemas.openxmlformats.org/officeDocument/2006/relationships/ctrlProp" Target="../ctrlProps/ctrlProp410.xml"/><Relationship Id="rId125" Type="http://schemas.openxmlformats.org/officeDocument/2006/relationships/ctrlProp" Target="../ctrlProps/ctrlProp415.xml"/><Relationship Id="rId141" Type="http://schemas.openxmlformats.org/officeDocument/2006/relationships/ctrlProp" Target="../ctrlProps/ctrlProp431.xml"/><Relationship Id="rId146" Type="http://schemas.openxmlformats.org/officeDocument/2006/relationships/ctrlProp" Target="../ctrlProps/ctrlProp436.xml"/><Relationship Id="rId7" Type="http://schemas.openxmlformats.org/officeDocument/2006/relationships/ctrlProp" Target="../ctrlProps/ctrlProp297.xml"/><Relationship Id="rId71" Type="http://schemas.openxmlformats.org/officeDocument/2006/relationships/ctrlProp" Target="../ctrlProps/ctrlProp361.xml"/><Relationship Id="rId92" Type="http://schemas.openxmlformats.org/officeDocument/2006/relationships/ctrlProp" Target="../ctrlProps/ctrlProp382.xml"/><Relationship Id="rId2" Type="http://schemas.openxmlformats.org/officeDocument/2006/relationships/drawing" Target="../drawings/drawing5.xml"/><Relationship Id="rId29" Type="http://schemas.openxmlformats.org/officeDocument/2006/relationships/ctrlProp" Target="../ctrlProps/ctrlProp319.xml"/><Relationship Id="rId24" Type="http://schemas.openxmlformats.org/officeDocument/2006/relationships/ctrlProp" Target="../ctrlProps/ctrlProp314.xml"/><Relationship Id="rId40" Type="http://schemas.openxmlformats.org/officeDocument/2006/relationships/ctrlProp" Target="../ctrlProps/ctrlProp330.xml"/><Relationship Id="rId45" Type="http://schemas.openxmlformats.org/officeDocument/2006/relationships/ctrlProp" Target="../ctrlProps/ctrlProp335.xml"/><Relationship Id="rId66" Type="http://schemas.openxmlformats.org/officeDocument/2006/relationships/ctrlProp" Target="../ctrlProps/ctrlProp356.xml"/><Relationship Id="rId87" Type="http://schemas.openxmlformats.org/officeDocument/2006/relationships/ctrlProp" Target="../ctrlProps/ctrlProp377.xml"/><Relationship Id="rId110" Type="http://schemas.openxmlformats.org/officeDocument/2006/relationships/ctrlProp" Target="../ctrlProps/ctrlProp400.xml"/><Relationship Id="rId115" Type="http://schemas.openxmlformats.org/officeDocument/2006/relationships/ctrlProp" Target="../ctrlProps/ctrlProp405.xml"/><Relationship Id="rId131" Type="http://schemas.openxmlformats.org/officeDocument/2006/relationships/ctrlProp" Target="../ctrlProps/ctrlProp421.xml"/><Relationship Id="rId136" Type="http://schemas.openxmlformats.org/officeDocument/2006/relationships/ctrlProp" Target="../ctrlProps/ctrlProp426.xml"/><Relationship Id="rId61" Type="http://schemas.openxmlformats.org/officeDocument/2006/relationships/ctrlProp" Target="../ctrlProps/ctrlProp351.xml"/><Relationship Id="rId82" Type="http://schemas.openxmlformats.org/officeDocument/2006/relationships/ctrlProp" Target="../ctrlProps/ctrlProp372.xml"/><Relationship Id="rId19" Type="http://schemas.openxmlformats.org/officeDocument/2006/relationships/ctrlProp" Target="../ctrlProps/ctrlProp309.xml"/><Relationship Id="rId14" Type="http://schemas.openxmlformats.org/officeDocument/2006/relationships/ctrlProp" Target="../ctrlProps/ctrlProp304.xml"/><Relationship Id="rId30" Type="http://schemas.openxmlformats.org/officeDocument/2006/relationships/ctrlProp" Target="../ctrlProps/ctrlProp320.xml"/><Relationship Id="rId35" Type="http://schemas.openxmlformats.org/officeDocument/2006/relationships/ctrlProp" Target="../ctrlProps/ctrlProp325.xml"/><Relationship Id="rId56" Type="http://schemas.openxmlformats.org/officeDocument/2006/relationships/ctrlProp" Target="../ctrlProps/ctrlProp346.xml"/><Relationship Id="rId77" Type="http://schemas.openxmlformats.org/officeDocument/2006/relationships/ctrlProp" Target="../ctrlProps/ctrlProp367.xml"/><Relationship Id="rId100" Type="http://schemas.openxmlformats.org/officeDocument/2006/relationships/ctrlProp" Target="../ctrlProps/ctrlProp390.xml"/><Relationship Id="rId105" Type="http://schemas.openxmlformats.org/officeDocument/2006/relationships/ctrlProp" Target="../ctrlProps/ctrlProp395.xml"/><Relationship Id="rId126" Type="http://schemas.openxmlformats.org/officeDocument/2006/relationships/ctrlProp" Target="../ctrlProps/ctrlProp416.xml"/><Relationship Id="rId147" Type="http://schemas.openxmlformats.org/officeDocument/2006/relationships/ctrlProp" Target="../ctrlProps/ctrlProp437.xml"/><Relationship Id="rId8" Type="http://schemas.openxmlformats.org/officeDocument/2006/relationships/ctrlProp" Target="../ctrlProps/ctrlProp298.xml"/><Relationship Id="rId51" Type="http://schemas.openxmlformats.org/officeDocument/2006/relationships/ctrlProp" Target="../ctrlProps/ctrlProp341.xml"/><Relationship Id="rId72" Type="http://schemas.openxmlformats.org/officeDocument/2006/relationships/ctrlProp" Target="../ctrlProps/ctrlProp362.xml"/><Relationship Id="rId93" Type="http://schemas.openxmlformats.org/officeDocument/2006/relationships/ctrlProp" Target="../ctrlProps/ctrlProp383.xml"/><Relationship Id="rId98" Type="http://schemas.openxmlformats.org/officeDocument/2006/relationships/ctrlProp" Target="../ctrlProps/ctrlProp388.xml"/><Relationship Id="rId121" Type="http://schemas.openxmlformats.org/officeDocument/2006/relationships/ctrlProp" Target="../ctrlProps/ctrlProp411.xml"/><Relationship Id="rId142" Type="http://schemas.openxmlformats.org/officeDocument/2006/relationships/ctrlProp" Target="../ctrlProps/ctrlProp432.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460.xml"/><Relationship Id="rId117" Type="http://schemas.openxmlformats.org/officeDocument/2006/relationships/ctrlProp" Target="../ctrlProps/ctrlProp551.xml"/><Relationship Id="rId21" Type="http://schemas.openxmlformats.org/officeDocument/2006/relationships/ctrlProp" Target="../ctrlProps/ctrlProp455.xml"/><Relationship Id="rId42" Type="http://schemas.openxmlformats.org/officeDocument/2006/relationships/ctrlProp" Target="../ctrlProps/ctrlProp476.xml"/><Relationship Id="rId47" Type="http://schemas.openxmlformats.org/officeDocument/2006/relationships/ctrlProp" Target="../ctrlProps/ctrlProp481.xml"/><Relationship Id="rId63" Type="http://schemas.openxmlformats.org/officeDocument/2006/relationships/ctrlProp" Target="../ctrlProps/ctrlProp497.xml"/><Relationship Id="rId68" Type="http://schemas.openxmlformats.org/officeDocument/2006/relationships/ctrlProp" Target="../ctrlProps/ctrlProp502.xml"/><Relationship Id="rId84" Type="http://schemas.openxmlformats.org/officeDocument/2006/relationships/ctrlProp" Target="../ctrlProps/ctrlProp518.xml"/><Relationship Id="rId89" Type="http://schemas.openxmlformats.org/officeDocument/2006/relationships/ctrlProp" Target="../ctrlProps/ctrlProp523.xml"/><Relationship Id="rId112" Type="http://schemas.openxmlformats.org/officeDocument/2006/relationships/ctrlProp" Target="../ctrlProps/ctrlProp546.xml"/><Relationship Id="rId133" Type="http://schemas.openxmlformats.org/officeDocument/2006/relationships/ctrlProp" Target="../ctrlProps/ctrlProp567.xml"/><Relationship Id="rId138" Type="http://schemas.openxmlformats.org/officeDocument/2006/relationships/ctrlProp" Target="../ctrlProps/ctrlProp572.xml"/><Relationship Id="rId16" Type="http://schemas.openxmlformats.org/officeDocument/2006/relationships/ctrlProp" Target="../ctrlProps/ctrlProp450.xml"/><Relationship Id="rId107" Type="http://schemas.openxmlformats.org/officeDocument/2006/relationships/ctrlProp" Target="../ctrlProps/ctrlProp541.xml"/><Relationship Id="rId11" Type="http://schemas.openxmlformats.org/officeDocument/2006/relationships/ctrlProp" Target="../ctrlProps/ctrlProp445.xml"/><Relationship Id="rId32" Type="http://schemas.openxmlformats.org/officeDocument/2006/relationships/ctrlProp" Target="../ctrlProps/ctrlProp466.xml"/><Relationship Id="rId37" Type="http://schemas.openxmlformats.org/officeDocument/2006/relationships/ctrlProp" Target="../ctrlProps/ctrlProp471.xml"/><Relationship Id="rId53" Type="http://schemas.openxmlformats.org/officeDocument/2006/relationships/ctrlProp" Target="../ctrlProps/ctrlProp487.xml"/><Relationship Id="rId58" Type="http://schemas.openxmlformats.org/officeDocument/2006/relationships/ctrlProp" Target="../ctrlProps/ctrlProp492.xml"/><Relationship Id="rId74" Type="http://schemas.openxmlformats.org/officeDocument/2006/relationships/ctrlProp" Target="../ctrlProps/ctrlProp508.xml"/><Relationship Id="rId79" Type="http://schemas.openxmlformats.org/officeDocument/2006/relationships/ctrlProp" Target="../ctrlProps/ctrlProp513.xml"/><Relationship Id="rId102" Type="http://schemas.openxmlformats.org/officeDocument/2006/relationships/ctrlProp" Target="../ctrlProps/ctrlProp536.xml"/><Relationship Id="rId123" Type="http://schemas.openxmlformats.org/officeDocument/2006/relationships/ctrlProp" Target="../ctrlProps/ctrlProp557.xml"/><Relationship Id="rId128" Type="http://schemas.openxmlformats.org/officeDocument/2006/relationships/ctrlProp" Target="../ctrlProps/ctrlProp562.xml"/><Relationship Id="rId144" Type="http://schemas.openxmlformats.org/officeDocument/2006/relationships/ctrlProp" Target="../ctrlProps/ctrlProp578.xml"/><Relationship Id="rId149" Type="http://schemas.openxmlformats.org/officeDocument/2006/relationships/comments" Target="../comments6.xml"/><Relationship Id="rId5" Type="http://schemas.openxmlformats.org/officeDocument/2006/relationships/ctrlProp" Target="../ctrlProps/ctrlProp439.xml"/><Relationship Id="rId90" Type="http://schemas.openxmlformats.org/officeDocument/2006/relationships/ctrlProp" Target="../ctrlProps/ctrlProp524.xml"/><Relationship Id="rId95" Type="http://schemas.openxmlformats.org/officeDocument/2006/relationships/ctrlProp" Target="../ctrlProps/ctrlProp529.xml"/><Relationship Id="rId22" Type="http://schemas.openxmlformats.org/officeDocument/2006/relationships/ctrlProp" Target="../ctrlProps/ctrlProp456.xml"/><Relationship Id="rId27" Type="http://schemas.openxmlformats.org/officeDocument/2006/relationships/ctrlProp" Target="../ctrlProps/ctrlProp461.xml"/><Relationship Id="rId43" Type="http://schemas.openxmlformats.org/officeDocument/2006/relationships/ctrlProp" Target="../ctrlProps/ctrlProp477.xml"/><Relationship Id="rId48" Type="http://schemas.openxmlformats.org/officeDocument/2006/relationships/ctrlProp" Target="../ctrlProps/ctrlProp482.xml"/><Relationship Id="rId64" Type="http://schemas.openxmlformats.org/officeDocument/2006/relationships/ctrlProp" Target="../ctrlProps/ctrlProp498.xml"/><Relationship Id="rId69" Type="http://schemas.openxmlformats.org/officeDocument/2006/relationships/ctrlProp" Target="../ctrlProps/ctrlProp503.xml"/><Relationship Id="rId113" Type="http://schemas.openxmlformats.org/officeDocument/2006/relationships/ctrlProp" Target="../ctrlProps/ctrlProp547.xml"/><Relationship Id="rId118" Type="http://schemas.openxmlformats.org/officeDocument/2006/relationships/ctrlProp" Target="../ctrlProps/ctrlProp552.xml"/><Relationship Id="rId134" Type="http://schemas.openxmlformats.org/officeDocument/2006/relationships/ctrlProp" Target="../ctrlProps/ctrlProp568.xml"/><Relationship Id="rId139" Type="http://schemas.openxmlformats.org/officeDocument/2006/relationships/ctrlProp" Target="../ctrlProps/ctrlProp573.xml"/><Relationship Id="rId80" Type="http://schemas.openxmlformats.org/officeDocument/2006/relationships/ctrlProp" Target="../ctrlProps/ctrlProp514.xml"/><Relationship Id="rId85" Type="http://schemas.openxmlformats.org/officeDocument/2006/relationships/ctrlProp" Target="../ctrlProps/ctrlProp519.xml"/><Relationship Id="rId3" Type="http://schemas.openxmlformats.org/officeDocument/2006/relationships/vmlDrawing" Target="../drawings/vmlDrawing6.vml"/><Relationship Id="rId12" Type="http://schemas.openxmlformats.org/officeDocument/2006/relationships/ctrlProp" Target="../ctrlProps/ctrlProp446.xml"/><Relationship Id="rId17" Type="http://schemas.openxmlformats.org/officeDocument/2006/relationships/ctrlProp" Target="../ctrlProps/ctrlProp451.xml"/><Relationship Id="rId25" Type="http://schemas.openxmlformats.org/officeDocument/2006/relationships/ctrlProp" Target="../ctrlProps/ctrlProp459.xml"/><Relationship Id="rId33" Type="http://schemas.openxmlformats.org/officeDocument/2006/relationships/ctrlProp" Target="../ctrlProps/ctrlProp467.xml"/><Relationship Id="rId38" Type="http://schemas.openxmlformats.org/officeDocument/2006/relationships/ctrlProp" Target="../ctrlProps/ctrlProp472.xml"/><Relationship Id="rId46" Type="http://schemas.openxmlformats.org/officeDocument/2006/relationships/ctrlProp" Target="../ctrlProps/ctrlProp480.xml"/><Relationship Id="rId59" Type="http://schemas.openxmlformats.org/officeDocument/2006/relationships/ctrlProp" Target="../ctrlProps/ctrlProp493.xml"/><Relationship Id="rId67" Type="http://schemas.openxmlformats.org/officeDocument/2006/relationships/ctrlProp" Target="../ctrlProps/ctrlProp501.xml"/><Relationship Id="rId103" Type="http://schemas.openxmlformats.org/officeDocument/2006/relationships/ctrlProp" Target="../ctrlProps/ctrlProp537.xml"/><Relationship Id="rId108" Type="http://schemas.openxmlformats.org/officeDocument/2006/relationships/ctrlProp" Target="../ctrlProps/ctrlProp542.xml"/><Relationship Id="rId116" Type="http://schemas.openxmlformats.org/officeDocument/2006/relationships/ctrlProp" Target="../ctrlProps/ctrlProp550.xml"/><Relationship Id="rId124" Type="http://schemas.openxmlformats.org/officeDocument/2006/relationships/ctrlProp" Target="../ctrlProps/ctrlProp558.xml"/><Relationship Id="rId129" Type="http://schemas.openxmlformats.org/officeDocument/2006/relationships/ctrlProp" Target="../ctrlProps/ctrlProp563.xml"/><Relationship Id="rId137" Type="http://schemas.openxmlformats.org/officeDocument/2006/relationships/ctrlProp" Target="../ctrlProps/ctrlProp571.xml"/><Relationship Id="rId20" Type="http://schemas.openxmlformats.org/officeDocument/2006/relationships/ctrlProp" Target="../ctrlProps/ctrlProp454.xml"/><Relationship Id="rId41" Type="http://schemas.openxmlformats.org/officeDocument/2006/relationships/ctrlProp" Target="../ctrlProps/ctrlProp475.xml"/><Relationship Id="rId54" Type="http://schemas.openxmlformats.org/officeDocument/2006/relationships/ctrlProp" Target="../ctrlProps/ctrlProp488.xml"/><Relationship Id="rId62" Type="http://schemas.openxmlformats.org/officeDocument/2006/relationships/ctrlProp" Target="../ctrlProps/ctrlProp496.xml"/><Relationship Id="rId70" Type="http://schemas.openxmlformats.org/officeDocument/2006/relationships/ctrlProp" Target="../ctrlProps/ctrlProp504.xml"/><Relationship Id="rId75" Type="http://schemas.openxmlformats.org/officeDocument/2006/relationships/ctrlProp" Target="../ctrlProps/ctrlProp509.xml"/><Relationship Id="rId83" Type="http://schemas.openxmlformats.org/officeDocument/2006/relationships/ctrlProp" Target="../ctrlProps/ctrlProp517.xml"/><Relationship Id="rId88" Type="http://schemas.openxmlformats.org/officeDocument/2006/relationships/ctrlProp" Target="../ctrlProps/ctrlProp522.xml"/><Relationship Id="rId91" Type="http://schemas.openxmlformats.org/officeDocument/2006/relationships/ctrlProp" Target="../ctrlProps/ctrlProp525.xml"/><Relationship Id="rId96" Type="http://schemas.openxmlformats.org/officeDocument/2006/relationships/ctrlProp" Target="../ctrlProps/ctrlProp530.xml"/><Relationship Id="rId111" Type="http://schemas.openxmlformats.org/officeDocument/2006/relationships/ctrlProp" Target="../ctrlProps/ctrlProp545.xml"/><Relationship Id="rId132" Type="http://schemas.openxmlformats.org/officeDocument/2006/relationships/ctrlProp" Target="../ctrlProps/ctrlProp566.xml"/><Relationship Id="rId140" Type="http://schemas.openxmlformats.org/officeDocument/2006/relationships/ctrlProp" Target="../ctrlProps/ctrlProp574.xml"/><Relationship Id="rId145" Type="http://schemas.openxmlformats.org/officeDocument/2006/relationships/ctrlProp" Target="../ctrlProps/ctrlProp579.xml"/><Relationship Id="rId1" Type="http://schemas.openxmlformats.org/officeDocument/2006/relationships/printerSettings" Target="../printerSettings/printerSettings8.bin"/><Relationship Id="rId6" Type="http://schemas.openxmlformats.org/officeDocument/2006/relationships/ctrlProp" Target="../ctrlProps/ctrlProp440.xml"/><Relationship Id="rId15" Type="http://schemas.openxmlformats.org/officeDocument/2006/relationships/ctrlProp" Target="../ctrlProps/ctrlProp449.xml"/><Relationship Id="rId23" Type="http://schemas.openxmlformats.org/officeDocument/2006/relationships/ctrlProp" Target="../ctrlProps/ctrlProp457.xml"/><Relationship Id="rId28" Type="http://schemas.openxmlformats.org/officeDocument/2006/relationships/ctrlProp" Target="../ctrlProps/ctrlProp462.xml"/><Relationship Id="rId36" Type="http://schemas.openxmlformats.org/officeDocument/2006/relationships/ctrlProp" Target="../ctrlProps/ctrlProp470.xml"/><Relationship Id="rId49" Type="http://schemas.openxmlformats.org/officeDocument/2006/relationships/ctrlProp" Target="../ctrlProps/ctrlProp483.xml"/><Relationship Id="rId57" Type="http://schemas.openxmlformats.org/officeDocument/2006/relationships/ctrlProp" Target="../ctrlProps/ctrlProp491.xml"/><Relationship Id="rId106" Type="http://schemas.openxmlformats.org/officeDocument/2006/relationships/ctrlProp" Target="../ctrlProps/ctrlProp540.xml"/><Relationship Id="rId114" Type="http://schemas.openxmlformats.org/officeDocument/2006/relationships/ctrlProp" Target="../ctrlProps/ctrlProp548.xml"/><Relationship Id="rId119" Type="http://schemas.openxmlformats.org/officeDocument/2006/relationships/ctrlProp" Target="../ctrlProps/ctrlProp553.xml"/><Relationship Id="rId127" Type="http://schemas.openxmlformats.org/officeDocument/2006/relationships/ctrlProp" Target="../ctrlProps/ctrlProp561.xml"/><Relationship Id="rId10" Type="http://schemas.openxmlformats.org/officeDocument/2006/relationships/ctrlProp" Target="../ctrlProps/ctrlProp444.xml"/><Relationship Id="rId31" Type="http://schemas.openxmlformats.org/officeDocument/2006/relationships/ctrlProp" Target="../ctrlProps/ctrlProp465.xml"/><Relationship Id="rId44" Type="http://schemas.openxmlformats.org/officeDocument/2006/relationships/ctrlProp" Target="../ctrlProps/ctrlProp478.xml"/><Relationship Id="rId52" Type="http://schemas.openxmlformats.org/officeDocument/2006/relationships/ctrlProp" Target="../ctrlProps/ctrlProp486.xml"/><Relationship Id="rId60" Type="http://schemas.openxmlformats.org/officeDocument/2006/relationships/ctrlProp" Target="../ctrlProps/ctrlProp494.xml"/><Relationship Id="rId65" Type="http://schemas.openxmlformats.org/officeDocument/2006/relationships/ctrlProp" Target="../ctrlProps/ctrlProp499.xml"/><Relationship Id="rId73" Type="http://schemas.openxmlformats.org/officeDocument/2006/relationships/ctrlProp" Target="../ctrlProps/ctrlProp507.xml"/><Relationship Id="rId78" Type="http://schemas.openxmlformats.org/officeDocument/2006/relationships/ctrlProp" Target="../ctrlProps/ctrlProp512.xml"/><Relationship Id="rId81" Type="http://schemas.openxmlformats.org/officeDocument/2006/relationships/ctrlProp" Target="../ctrlProps/ctrlProp515.xml"/><Relationship Id="rId86" Type="http://schemas.openxmlformats.org/officeDocument/2006/relationships/ctrlProp" Target="../ctrlProps/ctrlProp520.xml"/><Relationship Id="rId94" Type="http://schemas.openxmlformats.org/officeDocument/2006/relationships/ctrlProp" Target="../ctrlProps/ctrlProp528.xml"/><Relationship Id="rId99" Type="http://schemas.openxmlformats.org/officeDocument/2006/relationships/ctrlProp" Target="../ctrlProps/ctrlProp533.xml"/><Relationship Id="rId101" Type="http://schemas.openxmlformats.org/officeDocument/2006/relationships/ctrlProp" Target="../ctrlProps/ctrlProp535.xml"/><Relationship Id="rId122" Type="http://schemas.openxmlformats.org/officeDocument/2006/relationships/ctrlProp" Target="../ctrlProps/ctrlProp556.xml"/><Relationship Id="rId130" Type="http://schemas.openxmlformats.org/officeDocument/2006/relationships/ctrlProp" Target="../ctrlProps/ctrlProp564.xml"/><Relationship Id="rId135" Type="http://schemas.openxmlformats.org/officeDocument/2006/relationships/ctrlProp" Target="../ctrlProps/ctrlProp569.xml"/><Relationship Id="rId143" Type="http://schemas.openxmlformats.org/officeDocument/2006/relationships/ctrlProp" Target="../ctrlProps/ctrlProp577.xml"/><Relationship Id="rId148" Type="http://schemas.openxmlformats.org/officeDocument/2006/relationships/ctrlProp" Target="../ctrlProps/ctrlProp582.xml"/><Relationship Id="rId4" Type="http://schemas.openxmlformats.org/officeDocument/2006/relationships/ctrlProp" Target="../ctrlProps/ctrlProp438.xml"/><Relationship Id="rId9" Type="http://schemas.openxmlformats.org/officeDocument/2006/relationships/ctrlProp" Target="../ctrlProps/ctrlProp443.xml"/><Relationship Id="rId13" Type="http://schemas.openxmlformats.org/officeDocument/2006/relationships/ctrlProp" Target="../ctrlProps/ctrlProp447.xml"/><Relationship Id="rId18" Type="http://schemas.openxmlformats.org/officeDocument/2006/relationships/ctrlProp" Target="../ctrlProps/ctrlProp452.xml"/><Relationship Id="rId39" Type="http://schemas.openxmlformats.org/officeDocument/2006/relationships/ctrlProp" Target="../ctrlProps/ctrlProp473.xml"/><Relationship Id="rId109" Type="http://schemas.openxmlformats.org/officeDocument/2006/relationships/ctrlProp" Target="../ctrlProps/ctrlProp543.xml"/><Relationship Id="rId34" Type="http://schemas.openxmlformats.org/officeDocument/2006/relationships/ctrlProp" Target="../ctrlProps/ctrlProp468.xml"/><Relationship Id="rId50" Type="http://schemas.openxmlformats.org/officeDocument/2006/relationships/ctrlProp" Target="../ctrlProps/ctrlProp484.xml"/><Relationship Id="rId55" Type="http://schemas.openxmlformats.org/officeDocument/2006/relationships/ctrlProp" Target="../ctrlProps/ctrlProp489.xml"/><Relationship Id="rId76" Type="http://schemas.openxmlformats.org/officeDocument/2006/relationships/ctrlProp" Target="../ctrlProps/ctrlProp510.xml"/><Relationship Id="rId97" Type="http://schemas.openxmlformats.org/officeDocument/2006/relationships/ctrlProp" Target="../ctrlProps/ctrlProp531.xml"/><Relationship Id="rId104" Type="http://schemas.openxmlformats.org/officeDocument/2006/relationships/ctrlProp" Target="../ctrlProps/ctrlProp538.xml"/><Relationship Id="rId120" Type="http://schemas.openxmlformats.org/officeDocument/2006/relationships/ctrlProp" Target="../ctrlProps/ctrlProp554.xml"/><Relationship Id="rId125" Type="http://schemas.openxmlformats.org/officeDocument/2006/relationships/ctrlProp" Target="../ctrlProps/ctrlProp559.xml"/><Relationship Id="rId141" Type="http://schemas.openxmlformats.org/officeDocument/2006/relationships/ctrlProp" Target="../ctrlProps/ctrlProp575.xml"/><Relationship Id="rId146" Type="http://schemas.openxmlformats.org/officeDocument/2006/relationships/ctrlProp" Target="../ctrlProps/ctrlProp580.xml"/><Relationship Id="rId7" Type="http://schemas.openxmlformats.org/officeDocument/2006/relationships/ctrlProp" Target="../ctrlProps/ctrlProp441.xml"/><Relationship Id="rId71" Type="http://schemas.openxmlformats.org/officeDocument/2006/relationships/ctrlProp" Target="../ctrlProps/ctrlProp505.xml"/><Relationship Id="rId92" Type="http://schemas.openxmlformats.org/officeDocument/2006/relationships/ctrlProp" Target="../ctrlProps/ctrlProp526.xml"/><Relationship Id="rId2" Type="http://schemas.openxmlformats.org/officeDocument/2006/relationships/drawing" Target="../drawings/drawing6.xml"/><Relationship Id="rId29" Type="http://schemas.openxmlformats.org/officeDocument/2006/relationships/ctrlProp" Target="../ctrlProps/ctrlProp463.xml"/><Relationship Id="rId24" Type="http://schemas.openxmlformats.org/officeDocument/2006/relationships/ctrlProp" Target="../ctrlProps/ctrlProp458.xml"/><Relationship Id="rId40" Type="http://schemas.openxmlformats.org/officeDocument/2006/relationships/ctrlProp" Target="../ctrlProps/ctrlProp474.xml"/><Relationship Id="rId45" Type="http://schemas.openxmlformats.org/officeDocument/2006/relationships/ctrlProp" Target="../ctrlProps/ctrlProp479.xml"/><Relationship Id="rId66" Type="http://schemas.openxmlformats.org/officeDocument/2006/relationships/ctrlProp" Target="../ctrlProps/ctrlProp500.xml"/><Relationship Id="rId87" Type="http://schemas.openxmlformats.org/officeDocument/2006/relationships/ctrlProp" Target="../ctrlProps/ctrlProp521.xml"/><Relationship Id="rId110" Type="http://schemas.openxmlformats.org/officeDocument/2006/relationships/ctrlProp" Target="../ctrlProps/ctrlProp544.xml"/><Relationship Id="rId115" Type="http://schemas.openxmlformats.org/officeDocument/2006/relationships/ctrlProp" Target="../ctrlProps/ctrlProp549.xml"/><Relationship Id="rId131" Type="http://schemas.openxmlformats.org/officeDocument/2006/relationships/ctrlProp" Target="../ctrlProps/ctrlProp565.xml"/><Relationship Id="rId136" Type="http://schemas.openxmlformats.org/officeDocument/2006/relationships/ctrlProp" Target="../ctrlProps/ctrlProp570.xml"/><Relationship Id="rId61" Type="http://schemas.openxmlformats.org/officeDocument/2006/relationships/ctrlProp" Target="../ctrlProps/ctrlProp495.xml"/><Relationship Id="rId82" Type="http://schemas.openxmlformats.org/officeDocument/2006/relationships/ctrlProp" Target="../ctrlProps/ctrlProp516.xml"/><Relationship Id="rId19" Type="http://schemas.openxmlformats.org/officeDocument/2006/relationships/ctrlProp" Target="../ctrlProps/ctrlProp453.xml"/><Relationship Id="rId14" Type="http://schemas.openxmlformats.org/officeDocument/2006/relationships/ctrlProp" Target="../ctrlProps/ctrlProp448.xml"/><Relationship Id="rId30" Type="http://schemas.openxmlformats.org/officeDocument/2006/relationships/ctrlProp" Target="../ctrlProps/ctrlProp464.xml"/><Relationship Id="rId35" Type="http://schemas.openxmlformats.org/officeDocument/2006/relationships/ctrlProp" Target="../ctrlProps/ctrlProp469.xml"/><Relationship Id="rId56" Type="http://schemas.openxmlformats.org/officeDocument/2006/relationships/ctrlProp" Target="../ctrlProps/ctrlProp490.xml"/><Relationship Id="rId77" Type="http://schemas.openxmlformats.org/officeDocument/2006/relationships/ctrlProp" Target="../ctrlProps/ctrlProp511.xml"/><Relationship Id="rId100" Type="http://schemas.openxmlformats.org/officeDocument/2006/relationships/ctrlProp" Target="../ctrlProps/ctrlProp534.xml"/><Relationship Id="rId105" Type="http://schemas.openxmlformats.org/officeDocument/2006/relationships/ctrlProp" Target="../ctrlProps/ctrlProp539.xml"/><Relationship Id="rId126" Type="http://schemas.openxmlformats.org/officeDocument/2006/relationships/ctrlProp" Target="../ctrlProps/ctrlProp560.xml"/><Relationship Id="rId147" Type="http://schemas.openxmlformats.org/officeDocument/2006/relationships/ctrlProp" Target="../ctrlProps/ctrlProp581.xml"/><Relationship Id="rId8" Type="http://schemas.openxmlformats.org/officeDocument/2006/relationships/ctrlProp" Target="../ctrlProps/ctrlProp442.xml"/><Relationship Id="rId51" Type="http://schemas.openxmlformats.org/officeDocument/2006/relationships/ctrlProp" Target="../ctrlProps/ctrlProp485.xml"/><Relationship Id="rId72" Type="http://schemas.openxmlformats.org/officeDocument/2006/relationships/ctrlProp" Target="../ctrlProps/ctrlProp506.xml"/><Relationship Id="rId93" Type="http://schemas.openxmlformats.org/officeDocument/2006/relationships/ctrlProp" Target="../ctrlProps/ctrlProp527.xml"/><Relationship Id="rId98" Type="http://schemas.openxmlformats.org/officeDocument/2006/relationships/ctrlProp" Target="../ctrlProps/ctrlProp532.xml"/><Relationship Id="rId121" Type="http://schemas.openxmlformats.org/officeDocument/2006/relationships/ctrlProp" Target="../ctrlProps/ctrlProp555.xml"/><Relationship Id="rId142" Type="http://schemas.openxmlformats.org/officeDocument/2006/relationships/ctrlProp" Target="../ctrlProps/ctrlProp576.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587.xml"/><Relationship Id="rId3" Type="http://schemas.openxmlformats.org/officeDocument/2006/relationships/vmlDrawing" Target="../drawings/vmlDrawing7.vml"/><Relationship Id="rId7" Type="http://schemas.openxmlformats.org/officeDocument/2006/relationships/ctrlProp" Target="../ctrlProps/ctrlProp586.xml"/><Relationship Id="rId2" Type="http://schemas.openxmlformats.org/officeDocument/2006/relationships/drawing" Target="../drawings/drawing7.xml"/><Relationship Id="rId1" Type="http://schemas.openxmlformats.org/officeDocument/2006/relationships/printerSettings" Target="../printerSettings/printerSettings9.bin"/><Relationship Id="rId6" Type="http://schemas.openxmlformats.org/officeDocument/2006/relationships/ctrlProp" Target="../ctrlProps/ctrlProp585.xml"/><Relationship Id="rId5" Type="http://schemas.openxmlformats.org/officeDocument/2006/relationships/ctrlProp" Target="../ctrlProps/ctrlProp584.xml"/><Relationship Id="rId10" Type="http://schemas.openxmlformats.org/officeDocument/2006/relationships/comments" Target="../comments7.xml"/><Relationship Id="rId4" Type="http://schemas.openxmlformats.org/officeDocument/2006/relationships/ctrlProp" Target="../ctrlProps/ctrlProp583.xml"/><Relationship Id="rId9" Type="http://schemas.openxmlformats.org/officeDocument/2006/relationships/ctrlProp" Target="../ctrlProps/ctrlProp58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Z88"/>
  <sheetViews>
    <sheetView showGridLines="0" tabSelected="1" zoomScale="120" zoomScaleNormal="120" workbookViewId="0">
      <selection activeCell="A6" sqref="A6:B6"/>
    </sheetView>
  </sheetViews>
  <sheetFormatPr defaultColWidth="2.85546875" defaultRowHeight="12.75" x14ac:dyDescent="0.2"/>
  <cols>
    <col min="1" max="1" width="14" style="35" customWidth="1"/>
    <col min="2" max="9" width="9.140625" style="35" customWidth="1"/>
    <col min="10" max="10" width="9.140625" style="35" hidden="1" customWidth="1"/>
    <col min="11" max="11" width="12.28515625" style="35" hidden="1" customWidth="1"/>
    <col min="12" max="130" width="9.140625" style="35" hidden="1" customWidth="1"/>
    <col min="131" max="255" width="9.140625" style="35" customWidth="1"/>
    <col min="256" max="16384" width="2.85546875" style="35"/>
  </cols>
  <sheetData>
    <row r="1" spans="1:17" ht="18.75" x14ac:dyDescent="0.3">
      <c r="A1" s="1325" t="s">
        <v>929</v>
      </c>
      <c r="B1" s="1325"/>
      <c r="C1" s="1325"/>
      <c r="D1" s="1325"/>
      <c r="E1" s="1325"/>
      <c r="F1" s="1325"/>
      <c r="G1" s="1325"/>
      <c r="H1" s="1325"/>
      <c r="I1" s="1325"/>
    </row>
    <row r="2" spans="1:17" ht="17.25" customHeight="1" x14ac:dyDescent="0.25">
      <c r="A2" s="1326" t="s">
        <v>2333</v>
      </c>
      <c r="B2" s="1326"/>
      <c r="C2" s="1326"/>
      <c r="D2" s="1326"/>
      <c r="E2" s="1326"/>
      <c r="F2" s="1326"/>
      <c r="G2" s="1326"/>
      <c r="H2" s="1326"/>
      <c r="I2" s="1326"/>
    </row>
    <row r="3" spans="1:17" x14ac:dyDescent="0.2">
      <c r="D3" s="2"/>
      <c r="E3" s="2"/>
      <c r="K3" s="446">
        <f ca="1">TODAY()</f>
        <v>45089</v>
      </c>
    </row>
    <row r="4" spans="1:17" ht="15.75" customHeight="1" x14ac:dyDescent="0.25">
      <c r="A4" s="424" t="s">
        <v>2154</v>
      </c>
      <c r="I4" s="672"/>
      <c r="K4" s="446">
        <v>38353</v>
      </c>
    </row>
    <row r="5" spans="1:17" ht="18" customHeight="1" x14ac:dyDescent="0.25">
      <c r="A5" s="673" t="s">
        <v>2155</v>
      </c>
      <c r="H5" s="671"/>
      <c r="I5" s="670"/>
    </row>
    <row r="6" spans="1:17" ht="15.75" customHeight="1" x14ac:dyDescent="0.2">
      <c r="A6" s="1308"/>
      <c r="B6" s="1308"/>
      <c r="C6" s="35" t="s">
        <v>553</v>
      </c>
      <c r="E6" s="1330" t="s">
        <v>587</v>
      </c>
      <c r="F6" s="1331"/>
      <c r="G6" s="1331"/>
      <c r="H6" s="1331"/>
      <c r="I6" s="1332"/>
      <c r="K6" s="1300" t="s">
        <v>1771</v>
      </c>
      <c r="L6" s="1301"/>
      <c r="M6" s="1301"/>
      <c r="N6" s="1301"/>
      <c r="O6" s="1301"/>
      <c r="P6" s="1301"/>
      <c r="Q6" s="1302"/>
    </row>
    <row r="7" spans="1:17" ht="15.75" customHeight="1" x14ac:dyDescent="0.2">
      <c r="A7" s="1308"/>
      <c r="B7" s="1308"/>
      <c r="C7" s="35" t="s">
        <v>554</v>
      </c>
      <c r="E7" s="1333"/>
      <c r="F7" s="1334"/>
      <c r="G7" s="1334"/>
      <c r="H7" s="1334"/>
      <c r="I7" s="1335"/>
      <c r="K7" s="1300" t="s">
        <v>1194</v>
      </c>
      <c r="L7" s="1301"/>
      <c r="M7" s="1301"/>
      <c r="N7" s="1301"/>
      <c r="O7" s="1301"/>
      <c r="P7" s="1301"/>
      <c r="Q7" s="1302"/>
    </row>
    <row r="8" spans="1:17" ht="18" customHeight="1" x14ac:dyDescent="0.2">
      <c r="A8" s="1309"/>
      <c r="B8" s="1309"/>
      <c r="C8" s="35" t="s">
        <v>1189</v>
      </c>
      <c r="E8" s="1336"/>
      <c r="F8" s="1337"/>
      <c r="G8" s="1337"/>
      <c r="H8" s="1337"/>
      <c r="I8" s="1338"/>
      <c r="K8" s="1300" t="s">
        <v>2152</v>
      </c>
      <c r="L8" s="1301"/>
      <c r="M8" s="1301"/>
      <c r="N8" s="1301"/>
      <c r="O8" s="1301"/>
      <c r="P8" s="1301"/>
      <c r="Q8" s="1302"/>
    </row>
    <row r="9" spans="1:17" ht="18" customHeight="1" x14ac:dyDescent="0.2">
      <c r="A9" s="1309"/>
      <c r="B9" s="1309"/>
      <c r="C9" s="35" t="str">
        <f>IF(A9&gt;A8,K8,K6)</f>
        <v>Date of birth (required if social/vocational factors apply and for hearing loss claims)</v>
      </c>
      <c r="K9" s="1300" t="s">
        <v>2153</v>
      </c>
      <c r="L9" s="1301"/>
      <c r="M9" s="1301"/>
      <c r="N9" s="1301"/>
      <c r="O9" s="1301"/>
      <c r="P9" s="1301"/>
      <c r="Q9" s="1302"/>
    </row>
    <row r="10" spans="1:17" ht="18" customHeight="1" x14ac:dyDescent="0.2">
      <c r="A10" s="1329"/>
      <c r="B10" s="1329"/>
      <c r="C10" s="35" t="s">
        <v>1394</v>
      </c>
      <c r="K10" s="1300" t="s">
        <v>1217</v>
      </c>
      <c r="L10" s="1301"/>
      <c r="M10" s="1301"/>
      <c r="N10" s="1301"/>
      <c r="O10" s="1301"/>
      <c r="P10" s="1301"/>
      <c r="Q10" s="1302"/>
    </row>
    <row r="11" spans="1:17" ht="18" customHeight="1" x14ac:dyDescent="0.2">
      <c r="A11" s="1309"/>
      <c r="B11" s="1309"/>
      <c r="C11" s="35" t="str">
        <f>IF(A11="","Date of issuance (required for calculation of age)",IF(A11&lt;A9,K9,IF(A11&lt;A8,K10,K7)))</f>
        <v>Date of issuance (required for calculation of age)</v>
      </c>
      <c r="E11" s="425"/>
      <c r="F11" s="426"/>
      <c r="G11" s="426"/>
      <c r="H11" s="426"/>
      <c r="I11" s="426"/>
    </row>
    <row r="12" spans="1:17" ht="47.25" customHeight="1" x14ac:dyDescent="0.25">
      <c r="A12" s="427" t="s">
        <v>1780</v>
      </c>
      <c r="B12" s="292"/>
      <c r="C12" s="1311" t="s">
        <v>2208</v>
      </c>
      <c r="D12" s="1311"/>
      <c r="E12" s="1311"/>
      <c r="F12" s="1311"/>
      <c r="G12" s="1311"/>
      <c r="H12" s="1311"/>
      <c r="I12" s="1311"/>
    </row>
    <row r="13" spans="1:17" ht="37.5" customHeight="1" x14ac:dyDescent="0.25">
      <c r="A13" s="1327" t="s">
        <v>1181</v>
      </c>
      <c r="B13" s="1327"/>
      <c r="C13" s="1327"/>
      <c r="D13" s="1327"/>
      <c r="E13" s="1327" t="s">
        <v>619</v>
      </c>
      <c r="F13" s="1328"/>
      <c r="G13" s="1328"/>
      <c r="H13" s="1328"/>
      <c r="I13" s="1328"/>
    </row>
    <row r="14" spans="1:17" x14ac:dyDescent="0.2">
      <c r="A14" s="1310" t="s">
        <v>1493</v>
      </c>
      <c r="B14" s="1310"/>
      <c r="C14" s="1310"/>
      <c r="F14" s="14"/>
      <c r="G14" s="14"/>
      <c r="H14" s="14"/>
      <c r="I14" s="14"/>
      <c r="J14" s="14"/>
      <c r="K14" s="14"/>
      <c r="L14" s="14"/>
      <c r="M14" s="14"/>
    </row>
    <row r="15" spans="1:17" x14ac:dyDescent="0.2">
      <c r="A15" s="1310" t="s">
        <v>271</v>
      </c>
      <c r="B15" s="1310"/>
      <c r="C15" s="1310"/>
      <c r="D15" s="63" t="s">
        <v>19</v>
      </c>
      <c r="E15" s="1313" t="s">
        <v>1457</v>
      </c>
      <c r="F15" s="1315"/>
      <c r="G15" s="1315"/>
      <c r="H15" s="1315"/>
      <c r="I15" s="1315"/>
      <c r="J15" s="14"/>
      <c r="K15" s="14"/>
      <c r="L15" s="14"/>
      <c r="M15" s="14"/>
    </row>
    <row r="16" spans="1:17" x14ac:dyDescent="0.2">
      <c r="A16" s="1310" t="s">
        <v>567</v>
      </c>
      <c r="B16" s="1310"/>
      <c r="C16" s="1310"/>
      <c r="D16" s="63"/>
      <c r="E16" s="1315"/>
      <c r="F16" s="1315"/>
      <c r="G16" s="1315"/>
      <c r="H16" s="1315"/>
      <c r="I16" s="1315"/>
      <c r="J16" s="14"/>
      <c r="K16" s="14"/>
      <c r="L16" s="14"/>
      <c r="M16" s="14"/>
    </row>
    <row r="17" spans="1:13" x14ac:dyDescent="0.2">
      <c r="A17" s="1310" t="s">
        <v>273</v>
      </c>
      <c r="B17" s="1310"/>
      <c r="C17" s="1310"/>
      <c r="D17" s="63" t="s">
        <v>20</v>
      </c>
      <c r="E17" s="1313" t="s">
        <v>1179</v>
      </c>
      <c r="F17" s="1313"/>
      <c r="G17" s="1313"/>
      <c r="H17" s="1313"/>
      <c r="I17" s="1313"/>
      <c r="J17" s="14"/>
      <c r="K17" s="14"/>
      <c r="L17" s="14"/>
      <c r="M17" s="14"/>
    </row>
    <row r="18" spans="1:13" x14ac:dyDescent="0.2">
      <c r="A18" s="1310" t="s">
        <v>14</v>
      </c>
      <c r="B18" s="1310"/>
      <c r="C18" s="1310"/>
      <c r="D18" s="63"/>
      <c r="E18" s="1313"/>
      <c r="F18" s="1313"/>
      <c r="G18" s="1313"/>
      <c r="H18" s="1313"/>
      <c r="I18" s="1313"/>
      <c r="J18" s="14"/>
      <c r="K18" s="14"/>
      <c r="L18" s="14"/>
      <c r="M18" s="14"/>
    </row>
    <row r="19" spans="1:13" x14ac:dyDescent="0.2">
      <c r="A19" s="1310" t="s">
        <v>13</v>
      </c>
      <c r="B19" s="1310"/>
      <c r="C19" s="1310"/>
      <c r="D19" s="63" t="s">
        <v>21</v>
      </c>
      <c r="E19" s="1313" t="s">
        <v>1868</v>
      </c>
      <c r="F19" s="1313"/>
      <c r="G19" s="1313"/>
      <c r="H19" s="1313"/>
      <c r="I19" s="1313"/>
      <c r="J19" s="14"/>
      <c r="K19" s="14"/>
      <c r="L19" s="14"/>
      <c r="M19" s="14"/>
    </row>
    <row r="20" spans="1:13" x14ac:dyDescent="0.2">
      <c r="A20" s="1310" t="s">
        <v>1489</v>
      </c>
      <c r="B20" s="1310"/>
      <c r="C20" s="1310"/>
      <c r="D20" s="63"/>
      <c r="E20" s="1313"/>
      <c r="F20" s="1313"/>
      <c r="G20" s="1313"/>
      <c r="H20" s="1313"/>
      <c r="I20" s="1313"/>
      <c r="J20" s="14"/>
      <c r="K20" s="14"/>
      <c r="L20" s="14"/>
      <c r="M20" s="14"/>
    </row>
    <row r="21" spans="1:13" ht="12.75" customHeight="1" x14ac:dyDescent="0.2">
      <c r="A21" s="1310" t="s">
        <v>275</v>
      </c>
      <c r="B21" s="1310"/>
      <c r="C21" s="1310"/>
      <c r="D21" s="63" t="s">
        <v>22</v>
      </c>
      <c r="E21" s="1312" t="s">
        <v>1456</v>
      </c>
      <c r="F21" s="1312"/>
      <c r="G21" s="1312"/>
      <c r="H21" s="1312"/>
      <c r="I21" s="1312"/>
      <c r="J21" s="14"/>
      <c r="K21" s="14"/>
      <c r="L21" s="14"/>
      <c r="M21" s="14"/>
    </row>
    <row r="22" spans="1:13" x14ac:dyDescent="0.2">
      <c r="A22" s="1310" t="s">
        <v>17</v>
      </c>
      <c r="B22" s="1310"/>
      <c r="C22" s="1310"/>
      <c r="D22" s="63" t="s">
        <v>23</v>
      </c>
      <c r="E22" s="1313" t="s">
        <v>617</v>
      </c>
      <c r="F22" s="1314"/>
      <c r="G22" s="1314"/>
      <c r="H22" s="1314"/>
      <c r="I22" s="1314"/>
    </row>
    <row r="23" spans="1:13" x14ac:dyDescent="0.2">
      <c r="A23" s="1310" t="s">
        <v>18</v>
      </c>
      <c r="B23" s="1310"/>
      <c r="C23" s="1310"/>
      <c r="E23" s="1314"/>
      <c r="F23" s="1314"/>
      <c r="G23" s="1314"/>
      <c r="H23" s="1314"/>
      <c r="I23" s="1314"/>
    </row>
    <row r="24" spans="1:13" x14ac:dyDescent="0.2">
      <c r="A24" s="1310" t="s">
        <v>16</v>
      </c>
      <c r="B24" s="1310"/>
      <c r="C24" s="1310"/>
      <c r="D24" s="63" t="s">
        <v>24</v>
      </c>
      <c r="E24" s="1313" t="s">
        <v>1178</v>
      </c>
      <c r="F24" s="1314"/>
      <c r="G24" s="1314"/>
      <c r="H24" s="1314"/>
      <c r="I24" s="1314"/>
    </row>
    <row r="25" spans="1:13" x14ac:dyDescent="0.2">
      <c r="A25" s="1310" t="s">
        <v>15</v>
      </c>
      <c r="B25" s="1310"/>
      <c r="C25" s="1310"/>
      <c r="E25" s="1314"/>
      <c r="F25" s="1314"/>
      <c r="G25" s="1314"/>
      <c r="H25" s="1314"/>
      <c r="I25" s="1314"/>
    </row>
    <row r="26" spans="1:13" x14ac:dyDescent="0.2">
      <c r="A26" s="1310" t="s">
        <v>1487</v>
      </c>
      <c r="B26" s="1310"/>
      <c r="C26" s="1310"/>
      <c r="D26" s="63" t="s">
        <v>25</v>
      </c>
      <c r="E26" s="1313" t="s">
        <v>618</v>
      </c>
      <c r="F26" s="1314"/>
      <c r="G26" s="1314"/>
      <c r="H26" s="1314"/>
      <c r="I26" s="1314"/>
    </row>
    <row r="27" spans="1:13" x14ac:dyDescent="0.2">
      <c r="A27" s="1310" t="s">
        <v>1488</v>
      </c>
      <c r="B27" s="1310"/>
      <c r="C27" s="1310"/>
      <c r="E27" s="1314"/>
      <c r="F27" s="1314"/>
      <c r="G27" s="1314"/>
      <c r="H27" s="1314"/>
      <c r="I27" s="1314"/>
    </row>
    <row r="28" spans="1:13" x14ac:dyDescent="0.2">
      <c r="A28" s="1310" t="s">
        <v>1070</v>
      </c>
      <c r="B28" s="1310"/>
      <c r="C28" s="1310"/>
      <c r="D28" s="63"/>
      <c r="F28" s="14"/>
      <c r="G28" s="14"/>
      <c r="H28" s="14"/>
      <c r="I28" s="14"/>
    </row>
    <row r="29" spans="1:13" x14ac:dyDescent="0.2">
      <c r="A29" s="1310" t="s">
        <v>1495</v>
      </c>
      <c r="B29" s="1310"/>
      <c r="C29" s="1310"/>
      <c r="E29" s="35" t="s">
        <v>1180</v>
      </c>
    </row>
    <row r="30" spans="1:13" x14ac:dyDescent="0.2">
      <c r="A30" s="1310" t="s">
        <v>272</v>
      </c>
      <c r="B30" s="1310"/>
      <c r="C30" s="1310"/>
      <c r="E30" s="35" t="s">
        <v>2210</v>
      </c>
    </row>
    <row r="31" spans="1:13" x14ac:dyDescent="0.2">
      <c r="A31" s="1310" t="s">
        <v>1491</v>
      </c>
      <c r="B31" s="1310"/>
      <c r="C31" s="1310"/>
      <c r="E31" s="301" t="s">
        <v>2209</v>
      </c>
    </row>
    <row r="32" spans="1:13" ht="15.75" x14ac:dyDescent="0.25">
      <c r="A32" s="1310" t="s">
        <v>1492</v>
      </c>
      <c r="B32" s="1310"/>
      <c r="C32" s="1310"/>
      <c r="D32" s="424"/>
      <c r="E32" s="424"/>
      <c r="F32" s="424"/>
      <c r="G32" s="424"/>
      <c r="H32" s="424"/>
      <c r="I32" s="424"/>
    </row>
    <row r="33" spans="1:9" ht="15.75" x14ac:dyDescent="0.25">
      <c r="A33" s="1310" t="s">
        <v>274</v>
      </c>
      <c r="B33" s="1310"/>
      <c r="C33" s="1310"/>
      <c r="D33" s="424"/>
      <c r="E33" s="424"/>
      <c r="F33" s="424"/>
      <c r="G33" s="424"/>
      <c r="H33" s="424"/>
      <c r="I33" s="424"/>
    </row>
    <row r="34" spans="1:9" ht="15.75" x14ac:dyDescent="0.25">
      <c r="A34" s="1310" t="s">
        <v>1494</v>
      </c>
      <c r="B34" s="1310"/>
      <c r="C34" s="1310"/>
      <c r="D34" s="424"/>
      <c r="E34" s="424"/>
      <c r="F34" s="424"/>
      <c r="G34" s="424"/>
      <c r="H34" s="424"/>
      <c r="I34" s="424"/>
    </row>
    <row r="35" spans="1:9" x14ac:dyDescent="0.2">
      <c r="A35" s="1310" t="s">
        <v>1182</v>
      </c>
      <c r="B35" s="1310"/>
      <c r="C35" s="1310"/>
    </row>
    <row r="36" spans="1:9" ht="15.75" x14ac:dyDescent="0.25">
      <c r="A36" s="1310" t="s">
        <v>1486</v>
      </c>
      <c r="B36" s="1310"/>
      <c r="C36" s="1310"/>
      <c r="D36" s="221"/>
      <c r="E36" s="221"/>
    </row>
    <row r="37" spans="1:9" x14ac:dyDescent="0.2">
      <c r="A37" s="1310" t="s">
        <v>1490</v>
      </c>
      <c r="B37" s="1310"/>
      <c r="C37" s="1310"/>
      <c r="D37" s="222"/>
      <c r="E37" s="222"/>
    </row>
    <row r="40" spans="1:9" ht="15" customHeight="1" x14ac:dyDescent="0.25">
      <c r="A40" s="428" t="s">
        <v>1781</v>
      </c>
    </row>
    <row r="41" spans="1:9" ht="15" customHeight="1" x14ac:dyDescent="0.2">
      <c r="A41" s="1316"/>
      <c r="B41" s="1317"/>
      <c r="C41" s="1317"/>
      <c r="D41" s="1317"/>
      <c r="E41" s="1317"/>
      <c r="F41" s="1317"/>
      <c r="G41" s="1317"/>
      <c r="H41" s="1317"/>
      <c r="I41" s="1318"/>
    </row>
    <row r="42" spans="1:9" ht="15" customHeight="1" x14ac:dyDescent="0.2">
      <c r="A42" s="1319"/>
      <c r="B42" s="1320"/>
      <c r="C42" s="1320"/>
      <c r="D42" s="1320"/>
      <c r="E42" s="1320"/>
      <c r="F42" s="1320"/>
      <c r="G42" s="1320"/>
      <c r="H42" s="1320"/>
      <c r="I42" s="1321"/>
    </row>
    <row r="43" spans="1:9" x14ac:dyDescent="0.2">
      <c r="A43" s="1319"/>
      <c r="B43" s="1320"/>
      <c r="C43" s="1320"/>
      <c r="D43" s="1320"/>
      <c r="E43" s="1320"/>
      <c r="F43" s="1320"/>
      <c r="G43" s="1320"/>
      <c r="H43" s="1320"/>
      <c r="I43" s="1321"/>
    </row>
    <row r="44" spans="1:9" x14ac:dyDescent="0.2">
      <c r="A44" s="1319"/>
      <c r="B44" s="1320"/>
      <c r="C44" s="1320"/>
      <c r="D44" s="1320"/>
      <c r="E44" s="1320"/>
      <c r="F44" s="1320"/>
      <c r="G44" s="1320"/>
      <c r="H44" s="1320"/>
      <c r="I44" s="1321"/>
    </row>
    <row r="45" spans="1:9" x14ac:dyDescent="0.2">
      <c r="A45" s="1319"/>
      <c r="B45" s="1320"/>
      <c r="C45" s="1320"/>
      <c r="D45" s="1320"/>
      <c r="E45" s="1320"/>
      <c r="F45" s="1320"/>
      <c r="G45" s="1320"/>
      <c r="H45" s="1320"/>
      <c r="I45" s="1321"/>
    </row>
    <row r="46" spans="1:9" x14ac:dyDescent="0.2">
      <c r="A46" s="1319"/>
      <c r="B46" s="1320"/>
      <c r="C46" s="1320"/>
      <c r="D46" s="1320"/>
      <c r="E46" s="1320"/>
      <c r="F46" s="1320"/>
      <c r="G46" s="1320"/>
      <c r="H46" s="1320"/>
      <c r="I46" s="1321"/>
    </row>
    <row r="47" spans="1:9" x14ac:dyDescent="0.2">
      <c r="A47" s="1319"/>
      <c r="B47" s="1320"/>
      <c r="C47" s="1320"/>
      <c r="D47" s="1320"/>
      <c r="E47" s="1320"/>
      <c r="F47" s="1320"/>
      <c r="G47" s="1320"/>
      <c r="H47" s="1320"/>
      <c r="I47" s="1321"/>
    </row>
    <row r="48" spans="1:9" x14ac:dyDescent="0.2">
      <c r="A48" s="1319"/>
      <c r="B48" s="1320"/>
      <c r="C48" s="1320"/>
      <c r="D48" s="1320"/>
      <c r="E48" s="1320"/>
      <c r="F48" s="1320"/>
      <c r="G48" s="1320"/>
      <c r="H48" s="1320"/>
      <c r="I48" s="1321"/>
    </row>
    <row r="49" spans="1:9" ht="15" customHeight="1" x14ac:dyDescent="0.2">
      <c r="A49" s="1319"/>
      <c r="B49" s="1320"/>
      <c r="C49" s="1320"/>
      <c r="D49" s="1320"/>
      <c r="E49" s="1320"/>
      <c r="F49" s="1320"/>
      <c r="G49" s="1320"/>
      <c r="H49" s="1320"/>
      <c r="I49" s="1321"/>
    </row>
    <row r="50" spans="1:9" ht="15" customHeight="1" x14ac:dyDescent="0.2">
      <c r="A50" s="1319"/>
      <c r="B50" s="1320"/>
      <c r="C50" s="1320"/>
      <c r="D50" s="1320"/>
      <c r="E50" s="1320"/>
      <c r="F50" s="1320"/>
      <c r="G50" s="1320"/>
      <c r="H50" s="1320"/>
      <c r="I50" s="1321"/>
    </row>
    <row r="51" spans="1:9" x14ac:dyDescent="0.2">
      <c r="A51" s="1319"/>
      <c r="B51" s="1320"/>
      <c r="C51" s="1320"/>
      <c r="D51" s="1320"/>
      <c r="E51" s="1320"/>
      <c r="F51" s="1320"/>
      <c r="G51" s="1320"/>
      <c r="H51" s="1320"/>
      <c r="I51" s="1321"/>
    </row>
    <row r="52" spans="1:9" x14ac:dyDescent="0.2">
      <c r="A52" s="1319"/>
      <c r="B52" s="1320"/>
      <c r="C52" s="1320"/>
      <c r="D52" s="1320"/>
      <c r="E52" s="1320"/>
      <c r="F52" s="1320"/>
      <c r="G52" s="1320"/>
      <c r="H52" s="1320"/>
      <c r="I52" s="1321"/>
    </row>
    <row r="53" spans="1:9" x14ac:dyDescent="0.2">
      <c r="A53" s="1319"/>
      <c r="B53" s="1320"/>
      <c r="C53" s="1320"/>
      <c r="D53" s="1320"/>
      <c r="E53" s="1320"/>
      <c r="F53" s="1320"/>
      <c r="G53" s="1320"/>
      <c r="H53" s="1320"/>
      <c r="I53" s="1321"/>
    </row>
    <row r="54" spans="1:9" x14ac:dyDescent="0.2">
      <c r="A54" s="1319"/>
      <c r="B54" s="1320"/>
      <c r="C54" s="1320"/>
      <c r="D54" s="1320"/>
      <c r="E54" s="1320"/>
      <c r="F54" s="1320"/>
      <c r="G54" s="1320"/>
      <c r="H54" s="1320"/>
      <c r="I54" s="1321"/>
    </row>
    <row r="55" spans="1:9" x14ac:dyDescent="0.2">
      <c r="A55" s="1319"/>
      <c r="B55" s="1320"/>
      <c r="C55" s="1320"/>
      <c r="D55" s="1320"/>
      <c r="E55" s="1320"/>
      <c r="F55" s="1320"/>
      <c r="G55" s="1320"/>
      <c r="H55" s="1320"/>
      <c r="I55" s="1321"/>
    </row>
    <row r="56" spans="1:9" x14ac:dyDescent="0.2">
      <c r="A56" s="1319"/>
      <c r="B56" s="1320"/>
      <c r="C56" s="1320"/>
      <c r="D56" s="1320"/>
      <c r="E56" s="1320"/>
      <c r="F56" s="1320"/>
      <c r="G56" s="1320"/>
      <c r="H56" s="1320"/>
      <c r="I56" s="1321"/>
    </row>
    <row r="57" spans="1:9" ht="15" customHeight="1" x14ac:dyDescent="0.2">
      <c r="A57" s="1319"/>
      <c r="B57" s="1320"/>
      <c r="C57" s="1320"/>
      <c r="D57" s="1320"/>
      <c r="E57" s="1320"/>
      <c r="F57" s="1320"/>
      <c r="G57" s="1320"/>
      <c r="H57" s="1320"/>
      <c r="I57" s="1321"/>
    </row>
    <row r="58" spans="1:9" ht="15" customHeight="1" x14ac:dyDescent="0.2">
      <c r="A58" s="1319"/>
      <c r="B58" s="1320"/>
      <c r="C58" s="1320"/>
      <c r="D58" s="1320"/>
      <c r="E58" s="1320"/>
      <c r="F58" s="1320"/>
      <c r="G58" s="1320"/>
      <c r="H58" s="1320"/>
      <c r="I58" s="1321"/>
    </row>
    <row r="59" spans="1:9" x14ac:dyDescent="0.2">
      <c r="A59" s="1319"/>
      <c r="B59" s="1320"/>
      <c r="C59" s="1320"/>
      <c r="D59" s="1320"/>
      <c r="E59" s="1320"/>
      <c r="F59" s="1320"/>
      <c r="G59" s="1320"/>
      <c r="H59" s="1320"/>
      <c r="I59" s="1321"/>
    </row>
    <row r="60" spans="1:9" x14ac:dyDescent="0.2">
      <c r="A60" s="1319"/>
      <c r="B60" s="1320"/>
      <c r="C60" s="1320"/>
      <c r="D60" s="1320"/>
      <c r="E60" s="1320"/>
      <c r="F60" s="1320"/>
      <c r="G60" s="1320"/>
      <c r="H60" s="1320"/>
      <c r="I60" s="1321"/>
    </row>
    <row r="61" spans="1:9" x14ac:dyDescent="0.2">
      <c r="A61" s="1319"/>
      <c r="B61" s="1320"/>
      <c r="C61" s="1320"/>
      <c r="D61" s="1320"/>
      <c r="E61" s="1320"/>
      <c r="F61" s="1320"/>
      <c r="G61" s="1320"/>
      <c r="H61" s="1320"/>
      <c r="I61" s="1321"/>
    </row>
    <row r="62" spans="1:9" x14ac:dyDescent="0.2">
      <c r="A62" s="1319"/>
      <c r="B62" s="1320"/>
      <c r="C62" s="1320"/>
      <c r="D62" s="1320"/>
      <c r="E62" s="1320"/>
      <c r="F62" s="1320"/>
      <c r="G62" s="1320"/>
      <c r="H62" s="1320"/>
      <c r="I62" s="1321"/>
    </row>
    <row r="63" spans="1:9" x14ac:dyDescent="0.2">
      <c r="A63" s="1319"/>
      <c r="B63" s="1320"/>
      <c r="C63" s="1320"/>
      <c r="D63" s="1320"/>
      <c r="E63" s="1320"/>
      <c r="F63" s="1320"/>
      <c r="G63" s="1320"/>
      <c r="H63" s="1320"/>
      <c r="I63" s="1321"/>
    </row>
    <row r="64" spans="1:9" x14ac:dyDescent="0.2">
      <c r="A64" s="1319"/>
      <c r="B64" s="1320"/>
      <c r="C64" s="1320"/>
      <c r="D64" s="1320"/>
      <c r="E64" s="1320"/>
      <c r="F64" s="1320"/>
      <c r="G64" s="1320"/>
      <c r="H64" s="1320"/>
      <c r="I64" s="1321"/>
    </row>
    <row r="65" spans="1:9" ht="15" customHeight="1" x14ac:dyDescent="0.2">
      <c r="A65" s="1319"/>
      <c r="B65" s="1320"/>
      <c r="C65" s="1320"/>
      <c r="D65" s="1320"/>
      <c r="E65" s="1320"/>
      <c r="F65" s="1320"/>
      <c r="G65" s="1320"/>
      <c r="H65" s="1320"/>
      <c r="I65" s="1321"/>
    </row>
    <row r="66" spans="1:9" ht="15" customHeight="1" x14ac:dyDescent="0.2">
      <c r="A66" s="1319"/>
      <c r="B66" s="1320"/>
      <c r="C66" s="1320"/>
      <c r="D66" s="1320"/>
      <c r="E66" s="1320"/>
      <c r="F66" s="1320"/>
      <c r="G66" s="1320"/>
      <c r="H66" s="1320"/>
      <c r="I66" s="1321"/>
    </row>
    <row r="67" spans="1:9" x14ac:dyDescent="0.2">
      <c r="A67" s="1319"/>
      <c r="B67" s="1320"/>
      <c r="C67" s="1320"/>
      <c r="D67" s="1320"/>
      <c r="E67" s="1320"/>
      <c r="F67" s="1320"/>
      <c r="G67" s="1320"/>
      <c r="H67" s="1320"/>
      <c r="I67" s="1321"/>
    </row>
    <row r="68" spans="1:9" x14ac:dyDescent="0.2">
      <c r="A68" s="1319"/>
      <c r="B68" s="1320"/>
      <c r="C68" s="1320"/>
      <c r="D68" s="1320"/>
      <c r="E68" s="1320"/>
      <c r="F68" s="1320"/>
      <c r="G68" s="1320"/>
      <c r="H68" s="1320"/>
      <c r="I68" s="1321"/>
    </row>
    <row r="69" spans="1:9" x14ac:dyDescent="0.2">
      <c r="A69" s="1319"/>
      <c r="B69" s="1320"/>
      <c r="C69" s="1320"/>
      <c r="D69" s="1320"/>
      <c r="E69" s="1320"/>
      <c r="F69" s="1320"/>
      <c r="G69" s="1320"/>
      <c r="H69" s="1320"/>
      <c r="I69" s="1321"/>
    </row>
    <row r="70" spans="1:9" x14ac:dyDescent="0.2">
      <c r="A70" s="1319"/>
      <c r="B70" s="1320"/>
      <c r="C70" s="1320"/>
      <c r="D70" s="1320"/>
      <c r="E70" s="1320"/>
      <c r="F70" s="1320"/>
      <c r="G70" s="1320"/>
      <c r="H70" s="1320"/>
      <c r="I70" s="1321"/>
    </row>
    <row r="71" spans="1:9" x14ac:dyDescent="0.2">
      <c r="A71" s="1319"/>
      <c r="B71" s="1320"/>
      <c r="C71" s="1320"/>
      <c r="D71" s="1320"/>
      <c r="E71" s="1320"/>
      <c r="F71" s="1320"/>
      <c r="G71" s="1320"/>
      <c r="H71" s="1320"/>
      <c r="I71" s="1321"/>
    </row>
    <row r="72" spans="1:9" x14ac:dyDescent="0.2">
      <c r="A72" s="1319"/>
      <c r="B72" s="1320"/>
      <c r="C72" s="1320"/>
      <c r="D72" s="1320"/>
      <c r="E72" s="1320"/>
      <c r="F72" s="1320"/>
      <c r="G72" s="1320"/>
      <c r="H72" s="1320"/>
      <c r="I72" s="1321"/>
    </row>
    <row r="73" spans="1:9" ht="15" customHeight="1" x14ac:dyDescent="0.2">
      <c r="A73" s="1319"/>
      <c r="B73" s="1320"/>
      <c r="C73" s="1320"/>
      <c r="D73" s="1320"/>
      <c r="E73" s="1320"/>
      <c r="F73" s="1320"/>
      <c r="G73" s="1320"/>
      <c r="H73" s="1320"/>
      <c r="I73" s="1321"/>
    </row>
    <row r="74" spans="1:9" ht="15" customHeight="1" x14ac:dyDescent="0.2">
      <c r="A74" s="1319"/>
      <c r="B74" s="1320"/>
      <c r="C74" s="1320"/>
      <c r="D74" s="1320"/>
      <c r="E74" s="1320"/>
      <c r="F74" s="1320"/>
      <c r="G74" s="1320"/>
      <c r="H74" s="1320"/>
      <c r="I74" s="1321"/>
    </row>
    <row r="75" spans="1:9" x14ac:dyDescent="0.2">
      <c r="A75" s="1319"/>
      <c r="B75" s="1320"/>
      <c r="C75" s="1320"/>
      <c r="D75" s="1320"/>
      <c r="E75" s="1320"/>
      <c r="F75" s="1320"/>
      <c r="G75" s="1320"/>
      <c r="H75" s="1320"/>
      <c r="I75" s="1321"/>
    </row>
    <row r="76" spans="1:9" x14ac:dyDescent="0.2">
      <c r="A76" s="1319"/>
      <c r="B76" s="1320"/>
      <c r="C76" s="1320"/>
      <c r="D76" s="1320"/>
      <c r="E76" s="1320"/>
      <c r="F76" s="1320"/>
      <c r="G76" s="1320"/>
      <c r="H76" s="1320"/>
      <c r="I76" s="1321"/>
    </row>
    <row r="77" spans="1:9" x14ac:dyDescent="0.2">
      <c r="A77" s="1319"/>
      <c r="B77" s="1320"/>
      <c r="C77" s="1320"/>
      <c r="D77" s="1320"/>
      <c r="E77" s="1320"/>
      <c r="F77" s="1320"/>
      <c r="G77" s="1320"/>
      <c r="H77" s="1320"/>
      <c r="I77" s="1321"/>
    </row>
    <row r="78" spans="1:9" x14ac:dyDescent="0.2">
      <c r="A78" s="1319"/>
      <c r="B78" s="1320"/>
      <c r="C78" s="1320"/>
      <c r="D78" s="1320"/>
      <c r="E78" s="1320"/>
      <c r="F78" s="1320"/>
      <c r="G78" s="1320"/>
      <c r="H78" s="1320"/>
      <c r="I78" s="1321"/>
    </row>
    <row r="79" spans="1:9" x14ac:dyDescent="0.2">
      <c r="A79" s="1319"/>
      <c r="B79" s="1320"/>
      <c r="C79" s="1320"/>
      <c r="D79" s="1320"/>
      <c r="E79" s="1320"/>
      <c r="F79" s="1320"/>
      <c r="G79" s="1320"/>
      <c r="H79" s="1320"/>
      <c r="I79" s="1321"/>
    </row>
    <row r="80" spans="1:9" x14ac:dyDescent="0.2">
      <c r="A80" s="1319"/>
      <c r="B80" s="1320"/>
      <c r="C80" s="1320"/>
      <c r="D80" s="1320"/>
      <c r="E80" s="1320"/>
      <c r="F80" s="1320"/>
      <c r="G80" s="1320"/>
      <c r="H80" s="1320"/>
      <c r="I80" s="1321"/>
    </row>
    <row r="81" spans="1:9" ht="15" customHeight="1" x14ac:dyDescent="0.2">
      <c r="A81" s="1319"/>
      <c r="B81" s="1320"/>
      <c r="C81" s="1320"/>
      <c r="D81" s="1320"/>
      <c r="E81" s="1320"/>
      <c r="F81" s="1320"/>
      <c r="G81" s="1320"/>
      <c r="H81" s="1320"/>
      <c r="I81" s="1321"/>
    </row>
    <row r="82" spans="1:9" ht="15" customHeight="1" x14ac:dyDescent="0.2">
      <c r="A82" s="1319"/>
      <c r="B82" s="1320"/>
      <c r="C82" s="1320"/>
      <c r="D82" s="1320"/>
      <c r="E82" s="1320"/>
      <c r="F82" s="1320"/>
      <c r="G82" s="1320"/>
      <c r="H82" s="1320"/>
      <c r="I82" s="1321"/>
    </row>
    <row r="83" spans="1:9" x14ac:dyDescent="0.2">
      <c r="A83" s="1319"/>
      <c r="B83" s="1320"/>
      <c r="C83" s="1320"/>
      <c r="D83" s="1320"/>
      <c r="E83" s="1320"/>
      <c r="F83" s="1320"/>
      <c r="G83" s="1320"/>
      <c r="H83" s="1320"/>
      <c r="I83" s="1321"/>
    </row>
    <row r="84" spans="1:9" x14ac:dyDescent="0.2">
      <c r="A84" s="1319"/>
      <c r="B84" s="1320"/>
      <c r="C84" s="1320"/>
      <c r="D84" s="1320"/>
      <c r="E84" s="1320"/>
      <c r="F84" s="1320"/>
      <c r="G84" s="1320"/>
      <c r="H84" s="1320"/>
      <c r="I84" s="1321"/>
    </row>
    <row r="85" spans="1:9" x14ac:dyDescent="0.2">
      <c r="A85" s="1319"/>
      <c r="B85" s="1320"/>
      <c r="C85" s="1320"/>
      <c r="D85" s="1320"/>
      <c r="E85" s="1320"/>
      <c r="F85" s="1320"/>
      <c r="G85" s="1320"/>
      <c r="H85" s="1320"/>
      <c r="I85" s="1321"/>
    </row>
    <row r="86" spans="1:9" x14ac:dyDescent="0.2">
      <c r="A86" s="1319"/>
      <c r="B86" s="1320"/>
      <c r="C86" s="1320"/>
      <c r="D86" s="1320"/>
      <c r="E86" s="1320"/>
      <c r="F86" s="1320"/>
      <c r="G86" s="1320"/>
      <c r="H86" s="1320"/>
      <c r="I86" s="1321"/>
    </row>
    <row r="87" spans="1:9" x14ac:dyDescent="0.2">
      <c r="A87" s="1319"/>
      <c r="B87" s="1320"/>
      <c r="C87" s="1320"/>
      <c r="D87" s="1320"/>
      <c r="E87" s="1320"/>
      <c r="F87" s="1320"/>
      <c r="G87" s="1320"/>
      <c r="H87" s="1320"/>
      <c r="I87" s="1321"/>
    </row>
    <row r="88" spans="1:9" x14ac:dyDescent="0.2">
      <c r="A88" s="1322"/>
      <c r="B88" s="1323"/>
      <c r="C88" s="1323"/>
      <c r="D88" s="1323"/>
      <c r="E88" s="1323"/>
      <c r="F88" s="1323"/>
      <c r="G88" s="1323"/>
      <c r="H88" s="1323"/>
      <c r="I88" s="1324"/>
    </row>
  </sheetData>
  <sheetProtection sheet="1"/>
  <mergeCells count="44">
    <mergeCell ref="A41:I88"/>
    <mergeCell ref="A1:I1"/>
    <mergeCell ref="A2:I2"/>
    <mergeCell ref="A20:C20"/>
    <mergeCell ref="A13:D13"/>
    <mergeCell ref="E13:I13"/>
    <mergeCell ref="E17:I18"/>
    <mergeCell ref="A10:B10"/>
    <mergeCell ref="A11:B11"/>
    <mergeCell ref="E6:I8"/>
    <mergeCell ref="A31:C31"/>
    <mergeCell ref="A32:C32"/>
    <mergeCell ref="A37:C37"/>
    <mergeCell ref="A33:C33"/>
    <mergeCell ref="A34:C34"/>
    <mergeCell ref="A35:C35"/>
    <mergeCell ref="A36:C36"/>
    <mergeCell ref="A30:C30"/>
    <mergeCell ref="A24:C24"/>
    <mergeCell ref="A25:C25"/>
    <mergeCell ref="C12:I12"/>
    <mergeCell ref="E21:I21"/>
    <mergeCell ref="A14:C14"/>
    <mergeCell ref="A15:C15"/>
    <mergeCell ref="A17:C17"/>
    <mergeCell ref="A18:C18"/>
    <mergeCell ref="A19:C19"/>
    <mergeCell ref="E24:I25"/>
    <mergeCell ref="E26:I27"/>
    <mergeCell ref="E15:I16"/>
    <mergeCell ref="E22:I23"/>
    <mergeCell ref="E19:I20"/>
    <mergeCell ref="A6:B6"/>
    <mergeCell ref="A7:B7"/>
    <mergeCell ref="A8:B8"/>
    <mergeCell ref="A29:C29"/>
    <mergeCell ref="A26:C26"/>
    <mergeCell ref="A27:C27"/>
    <mergeCell ref="A28:C28"/>
    <mergeCell ref="A9:B9"/>
    <mergeCell ref="A22:C22"/>
    <mergeCell ref="A16:C16"/>
    <mergeCell ref="A21:C21"/>
    <mergeCell ref="A23:C23"/>
  </mergeCells>
  <phoneticPr fontId="0" type="noConversion"/>
  <conditionalFormatting sqref="A9:B9">
    <cfRule type="cellIs" dxfId="35" priority="2" stopIfTrue="1" operator="greaterThan">
      <formula>$A$8</formula>
    </cfRule>
  </conditionalFormatting>
  <conditionalFormatting sqref="A11:B11">
    <cfRule type="cellIs" dxfId="34" priority="1" stopIfTrue="1" operator="lessThan">
      <formula>$A$8</formula>
    </cfRule>
  </conditionalFormatting>
  <conditionalFormatting sqref="C9">
    <cfRule type="cellIs" dxfId="33" priority="150" stopIfTrue="1" operator="equal">
      <formula>$K$8</formula>
    </cfRule>
  </conditionalFormatting>
  <conditionalFormatting sqref="C11">
    <cfRule type="cellIs" dxfId="32" priority="153" stopIfTrue="1" operator="equal">
      <formula>$K$9</formula>
    </cfRule>
    <cfRule type="cellIs" dxfId="31" priority="154" stopIfTrue="1" operator="equal">
      <formula>$K$10</formula>
    </cfRule>
  </conditionalFormatting>
  <dataValidations xWindow="800" yWindow="462" count="3">
    <dataValidation type="date" operator="lessThan" allowBlank="1" showInputMessage="1" showErrorMessage="1" errorTitle="ERROR" error="Date of birth cannot be a future date. Enter four digits for years prior to 1930 or Excel will assume a 21st Century date." sqref="A9:B9" xr:uid="{00000000-0002-0000-0000-000000000000}">
      <formula1>K3</formula1>
    </dataValidation>
    <dataValidation type="date" operator="greaterThan" allowBlank="1" showInputMessage="1" showErrorMessage="1" sqref="A8:B8" xr:uid="{00000000-0002-0000-0000-000001000000}">
      <formula1>367</formula1>
    </dataValidation>
    <dataValidation type="date" operator="greaterThan" allowBlank="1" showInputMessage="1" showErrorMessage="1" promptTitle="Date of Issuance" prompt="Date of Issuance means the mailing date of a Notice of Closure or Order on Reconsideration under ORS 656.268 and ORS 656.283(7)." sqref="A11:B11" xr:uid="{00000000-0002-0000-0000-000002000000}">
      <formula1>367</formula1>
    </dataValidation>
  </dataValidations>
  <hyperlinks>
    <hyperlink ref="E31" r:id="rId1" xr:uid="{00000000-0004-0000-0000-000000000000}"/>
    <hyperlink ref="A14" location="Abdomen!A1" display="Abdomen" xr:uid="{00000000-0004-0000-0000-000001000000}"/>
    <hyperlink ref="A15" location="Cardiovascular!A1" display="Cardiovascular" xr:uid="{00000000-0004-0000-0000-000002000000}"/>
    <hyperlink ref="A17" location="'Cranial Nerves-Brain'!A1" display="Cranial nerves - Brain" xr:uid="{00000000-0004-0000-0000-000003000000}"/>
    <hyperlink ref="A18" location="Endocrine!A1" display="Endocrine" xr:uid="{00000000-0004-0000-0000-000004000000}"/>
    <hyperlink ref="A19" location="'GI &amp; GU'!A1" display="Gastrointestinal &amp; Genitourinary" xr:uid="{00000000-0004-0000-0000-000005000000}"/>
    <hyperlink ref="A20" location="Hearing!A1" display="Hearing" xr:uid="{00000000-0004-0000-0000-000006000000}"/>
    <hyperlink ref="A21" location="Hematopoietic!A1" display="Hematopoietic" xr:uid="{00000000-0004-0000-0000-000007000000}"/>
    <hyperlink ref="A22" location="'Hip-Right'!A1" display="Hip - Right" xr:uid="{00000000-0004-0000-0000-000008000000}"/>
    <hyperlink ref="A23" location="'Hip-Left'!A1" display="Hip - Left" xr:uid="{00000000-0004-0000-0000-000009000000}"/>
    <hyperlink ref="A24" location="'Immune system'!A1" display="Immune System" xr:uid="{00000000-0004-0000-0000-00000A000000}"/>
    <hyperlink ref="A25" location="'Integument &amp; Lacrimal'!A1" display="Integument &amp; Lacrimal" xr:uid="{00000000-0004-0000-0000-00000B000000}"/>
    <hyperlink ref="A26" location="'Lower Extremity-Right'!A1" display="Lower extremity - Right" xr:uid="{00000000-0004-0000-0000-00000C000000}"/>
    <hyperlink ref="A27" location="'Lower Extremity-Left'!A1" display="Lower extremity - Left" xr:uid="{00000000-0004-0000-0000-00000D000000}"/>
    <hyperlink ref="A28" location="'Mental illness'!A1" display="Mental illness" xr:uid="{00000000-0004-0000-0000-00000E000000}"/>
    <hyperlink ref="A29" location="Pelvis!A1" display="Pelvis" xr:uid="{00000000-0004-0000-0000-00000F000000}"/>
    <hyperlink ref="A30" location="Respiratory!A1" display="Respiratory" xr:uid="{00000000-0004-0000-0000-000010000000}"/>
    <hyperlink ref="A31" location="'Shoulder-Right'!A1" display="Shoulder - Right" xr:uid="{00000000-0004-0000-0000-000011000000}"/>
    <hyperlink ref="A32" location="'Shoulder-Left'!A1" display="Shoulder - Left" xr:uid="{00000000-0004-0000-0000-000012000000}"/>
    <hyperlink ref="A33" location="'Spinal cord'!A1" display="Spinal cord" xr:uid="{00000000-0004-0000-0000-000013000000}"/>
    <hyperlink ref="A34" location="Spine!A1" display="Spine" xr:uid="{00000000-0004-0000-0000-000014000000}"/>
    <hyperlink ref="A35" location="'Upper Extremity-Right'!A1" display="Upper extremity - Right" xr:uid="{00000000-0004-0000-0000-000015000000}"/>
    <hyperlink ref="A36" location="'Upper Extremity-Left'!A1" display="Upper extremity - Left" xr:uid="{00000000-0004-0000-0000-000016000000}"/>
    <hyperlink ref="A37" location="Vision!A1" display="Vision" xr:uid="{00000000-0004-0000-0000-000017000000}"/>
    <hyperlink ref="C12:I12" location="'Start here'!A41" display="Click here to describe errors or problems below. Send copy of file to fred.h.bruyns@state.or.us   Please remove the injured worker's name from this file before sending. Thank you!" xr:uid="{00000000-0004-0000-0000-000018000000}"/>
    <hyperlink ref="A12" location="Combiner!A5" display="Combining tool" xr:uid="{00000000-0004-0000-0000-000019000000}"/>
    <hyperlink ref="A16" location="Chest!A1" display="Chest (chronic condition)" xr:uid="{00000000-0004-0000-0000-00001A000000}"/>
  </hyperlinks>
  <pageMargins left="0.75" right="0.75" top="1" bottom="1" header="0.5" footer="0.5"/>
  <pageSetup orientation="portrait" horizontalDpi="300" verticalDpi="300" r:id="rId2"/>
  <headerFooter alignWithMargins="0"/>
  <rowBreaks count="1" manualBreakCount="1">
    <brk id="38" max="16383"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IS141"/>
  <sheetViews>
    <sheetView showGridLines="0" zoomScale="120" zoomScaleNormal="120" workbookViewId="0"/>
  </sheetViews>
  <sheetFormatPr defaultColWidth="1.5703125" defaultRowHeight="12.75" x14ac:dyDescent="0.2"/>
  <cols>
    <col min="1" max="1" width="0.85546875" style="35" customWidth="1"/>
    <col min="2" max="2" width="3.140625" style="35" customWidth="1"/>
    <col min="3" max="7" width="2.7109375" style="35" customWidth="1"/>
    <col min="8" max="8" width="4.140625" style="35" customWidth="1"/>
    <col min="9" max="10" width="2.7109375" style="35" customWidth="1"/>
    <col min="11" max="11" width="3.140625" style="35" customWidth="1"/>
    <col min="12" max="14" width="2.7109375" style="35" customWidth="1"/>
    <col min="15" max="15" width="3.140625" style="35" customWidth="1"/>
    <col min="16" max="16" width="2.7109375" style="35" customWidth="1"/>
    <col min="17" max="17" width="3.140625" style="35" customWidth="1"/>
    <col min="18" max="18" width="0.85546875" style="35" customWidth="1"/>
    <col min="19" max="19" width="3.28515625" style="35" customWidth="1"/>
    <col min="20" max="20" width="2.85546875" style="35" customWidth="1"/>
    <col min="21" max="21" width="2.7109375" style="35" customWidth="1"/>
    <col min="22" max="22" width="3.28515625" style="35" customWidth="1"/>
    <col min="23" max="23" width="3.85546875" style="35" customWidth="1"/>
    <col min="24" max="24" width="2.85546875" style="35" customWidth="1"/>
    <col min="25" max="25" width="2" style="35" customWidth="1"/>
    <col min="26" max="26" width="5.140625" style="35" customWidth="1"/>
    <col min="27" max="27" width="2.7109375" style="35" customWidth="1"/>
    <col min="28" max="29" width="3.140625" style="35" customWidth="1"/>
    <col min="30" max="30" width="2.7109375" style="35" customWidth="1"/>
    <col min="31" max="31" width="2.42578125" style="35" customWidth="1"/>
    <col min="32" max="32" width="3.28515625" style="35" customWidth="1"/>
    <col min="33" max="34" width="2.7109375" style="35" customWidth="1"/>
    <col min="35" max="35" width="0.42578125" style="35" customWidth="1"/>
    <col min="36" max="36" width="2.7109375" style="35" hidden="1" customWidth="1"/>
    <col min="37" max="37" width="8" style="35" hidden="1" customWidth="1"/>
    <col min="38" max="39" width="12.85546875" style="35" hidden="1" customWidth="1"/>
    <col min="40" max="40" width="14.28515625" style="35" hidden="1" customWidth="1"/>
    <col min="41" max="41" width="10.42578125" style="35" hidden="1" customWidth="1"/>
    <col min="42" max="42" width="13.7109375" style="35" hidden="1" customWidth="1"/>
    <col min="43" max="43" width="8.85546875" style="35" hidden="1" customWidth="1"/>
    <col min="44" max="44" width="9.5703125" style="35" hidden="1" customWidth="1"/>
    <col min="45" max="45" width="9" style="35" hidden="1" customWidth="1"/>
    <col min="46" max="46" width="8.85546875" style="35" hidden="1" customWidth="1"/>
    <col min="47" max="47" width="9.28515625" style="35" hidden="1" customWidth="1"/>
    <col min="48" max="48" width="9.42578125" style="35" hidden="1" customWidth="1"/>
    <col min="49" max="49" width="8.42578125" style="35" hidden="1" customWidth="1"/>
    <col min="50" max="78" width="7.28515625" style="35" hidden="1" customWidth="1"/>
    <col min="79" max="130" width="2.7109375" style="35" hidden="1" customWidth="1"/>
    <col min="131" max="179" width="2.7109375" style="35" customWidth="1"/>
    <col min="180" max="255" width="9.140625" style="35" customWidth="1"/>
    <col min="256" max="16384" width="1.5703125" style="35"/>
  </cols>
  <sheetData>
    <row r="1" spans="1:193" ht="15" customHeight="1" x14ac:dyDescent="0.2">
      <c r="B1" s="14" t="s">
        <v>1733</v>
      </c>
      <c r="J1" s="1347" t="str">
        <f>IF('Start here'!A6="","",'Start here'!A6)</f>
        <v/>
      </c>
      <c r="K1" s="1351"/>
      <c r="L1" s="1351"/>
      <c r="M1" s="1351"/>
      <c r="N1" s="1351"/>
      <c r="O1" s="1351"/>
      <c r="P1" s="1351"/>
      <c r="Q1" s="1351"/>
      <c r="R1" s="1351"/>
      <c r="S1" s="1351"/>
      <c r="T1" s="1352"/>
      <c r="U1" s="63"/>
      <c r="V1" s="1347" t="str">
        <f>IF('Start here'!A7="","",'Start here'!A7)</f>
        <v/>
      </c>
      <c r="W1" s="1351"/>
      <c r="X1" s="1351"/>
      <c r="Y1" s="1351"/>
      <c r="Z1" s="1351"/>
      <c r="AA1" s="1351"/>
      <c r="AB1" s="1351"/>
      <c r="AC1" s="1351"/>
      <c r="AD1" s="1351"/>
      <c r="AE1" s="1351"/>
      <c r="AF1" s="1351"/>
      <c r="AG1" s="1351"/>
      <c r="AH1" s="1352"/>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93" ht="7.5" customHeight="1" x14ac:dyDescent="0.2">
      <c r="B2" s="1395"/>
      <c r="C2" s="1395"/>
      <c r="D2" s="1395"/>
      <c r="E2" s="1395"/>
      <c r="F2" s="1395"/>
      <c r="G2" s="1395"/>
      <c r="H2" s="1395"/>
      <c r="I2" s="1395"/>
      <c r="J2" s="1395"/>
      <c r="K2" s="1395"/>
      <c r="L2" s="1395"/>
      <c r="M2" s="1395"/>
      <c r="N2" s="1395"/>
      <c r="O2" s="1395"/>
      <c r="P2" s="1395"/>
      <c r="Q2" s="1395"/>
      <c r="R2" s="1395"/>
      <c r="S2" s="1395"/>
      <c r="T2" s="1395"/>
      <c r="U2" s="1395"/>
      <c r="V2" s="1395"/>
      <c r="W2" s="1395"/>
      <c r="X2" s="1395"/>
      <c r="Y2" s="1395"/>
      <c r="Z2" s="1395"/>
      <c r="AA2" s="1395"/>
      <c r="AB2" s="1395"/>
      <c r="AC2" s="1395"/>
      <c r="AD2" s="1395"/>
      <c r="AE2" s="1395"/>
      <c r="AF2" s="1395"/>
      <c r="AG2" s="1395"/>
      <c r="AH2" s="1395"/>
    </row>
    <row r="3" spans="1:193" ht="21" customHeight="1" x14ac:dyDescent="0.3">
      <c r="B3" s="2226" t="s">
        <v>531</v>
      </c>
      <c r="C3" s="2226"/>
      <c r="D3" s="2226"/>
      <c r="E3" s="2226"/>
      <c r="F3" s="2226"/>
      <c r="G3" s="2226"/>
      <c r="H3" s="2226"/>
      <c r="I3" s="2226"/>
      <c r="J3" s="2226"/>
      <c r="K3" s="2226"/>
      <c r="L3" s="2226"/>
      <c r="M3" s="2226"/>
      <c r="N3" s="2226"/>
      <c r="O3" s="2226"/>
      <c r="P3" s="2226"/>
      <c r="Q3" s="2226"/>
      <c r="R3" s="2226"/>
      <c r="S3" s="2226"/>
      <c r="T3" s="2226"/>
      <c r="U3" s="2226"/>
      <c r="V3" s="2226"/>
      <c r="W3" s="2226"/>
      <c r="X3" s="2226"/>
      <c r="Y3" s="2226"/>
      <c r="Z3" s="2226"/>
      <c r="AA3" s="2226"/>
      <c r="AB3" s="2226"/>
      <c r="AC3" s="2226"/>
      <c r="AD3" s="2226"/>
      <c r="AE3" s="2226"/>
      <c r="AF3" s="2226"/>
      <c r="AG3" s="2226"/>
      <c r="AH3" s="2226"/>
      <c r="AI3" s="63"/>
      <c r="AJ3" s="63"/>
      <c r="AK3" s="63"/>
      <c r="AL3" s="694">
        <v>38353</v>
      </c>
      <c r="AM3" s="196">
        <f>'Start here'!A8</f>
        <v>0</v>
      </c>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E3" s="63"/>
      <c r="GF3" s="63"/>
      <c r="GG3" s="63"/>
      <c r="GH3" s="63"/>
      <c r="GI3" s="63"/>
      <c r="GJ3" s="63"/>
      <c r="GK3" s="63"/>
    </row>
    <row r="4" spans="1:193" ht="21" customHeight="1" x14ac:dyDescent="0.2">
      <c r="B4" s="1519" t="s">
        <v>532</v>
      </c>
      <c r="C4" s="1520"/>
      <c r="D4" s="1520"/>
      <c r="E4" s="1520"/>
      <c r="F4" s="1520"/>
      <c r="G4" s="1520"/>
      <c r="H4" s="1520"/>
      <c r="I4" s="1520"/>
      <c r="J4" s="1520"/>
      <c r="K4" s="1520"/>
      <c r="L4" s="1520"/>
      <c r="M4" s="1520"/>
      <c r="N4" s="1520"/>
      <c r="O4" s="1520"/>
      <c r="P4" s="1520"/>
      <c r="Q4" s="1521"/>
      <c r="R4" s="2227"/>
      <c r="S4" s="1557" t="s">
        <v>467</v>
      </c>
      <c r="T4" s="1557"/>
      <c r="U4" s="1557"/>
      <c r="V4" s="1557"/>
      <c r="W4" s="1557"/>
      <c r="X4" s="1557"/>
      <c r="Y4" s="1557"/>
      <c r="Z4" s="1557"/>
      <c r="AA4" s="1557"/>
      <c r="AB4" s="1557"/>
      <c r="AC4" s="1557"/>
      <c r="AD4" s="1557"/>
      <c r="AE4" s="1557"/>
      <c r="AF4" s="1557"/>
      <c r="AG4" s="1557"/>
      <c r="AH4" s="1557"/>
      <c r="AI4" s="63"/>
      <c r="AJ4" s="63"/>
      <c r="AK4" s="63"/>
      <c r="AL4" s="1362" t="str">
        <f>IF(AM3&gt;=AL3,"Go to PPD Worksheet","")</f>
        <v/>
      </c>
      <c r="AM4" s="1364"/>
      <c r="AN4" s="1555" t="str">
        <f>IF(AM3&lt;AL3,"Go to PPD Worksheet","")</f>
        <v>Go to PPD Worksheet</v>
      </c>
      <c r="AO4" s="1555"/>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63"/>
      <c r="ET4" s="63"/>
      <c r="EU4" s="63"/>
      <c r="EV4" s="63"/>
      <c r="EW4" s="63"/>
      <c r="EX4" s="63"/>
      <c r="EY4" s="63"/>
      <c r="EZ4" s="63"/>
      <c r="FA4" s="63"/>
      <c r="FB4" s="63"/>
      <c r="FC4" s="63"/>
      <c r="FD4" s="63"/>
      <c r="FE4" s="63"/>
      <c r="FF4" s="63"/>
      <c r="FG4" s="63"/>
      <c r="FH4" s="63"/>
      <c r="FI4" s="63"/>
      <c r="FJ4" s="63"/>
      <c r="FK4" s="63"/>
      <c r="FL4" s="63"/>
      <c r="FM4" s="63"/>
      <c r="FN4" s="63"/>
      <c r="FO4" s="63"/>
      <c r="FP4" s="63"/>
      <c r="FQ4" s="63"/>
      <c r="FR4" s="63"/>
      <c r="FS4" s="63"/>
      <c r="FT4" s="63"/>
      <c r="FU4" s="63"/>
      <c r="FV4" s="63"/>
      <c r="FW4" s="63"/>
      <c r="FX4" s="63"/>
      <c r="FY4" s="63"/>
      <c r="FZ4" s="63"/>
      <c r="GA4" s="63"/>
      <c r="GB4" s="63"/>
      <c r="GC4" s="63"/>
      <c r="GD4" s="63"/>
      <c r="GE4" s="63"/>
      <c r="GF4" s="63"/>
      <c r="GG4" s="63"/>
      <c r="GH4" s="63"/>
      <c r="GI4" s="63"/>
      <c r="GJ4" s="63"/>
      <c r="GK4" s="63"/>
    </row>
    <row r="5" spans="1:193" ht="27" customHeight="1" x14ac:dyDescent="0.2">
      <c r="B5" s="1379" t="s">
        <v>468</v>
      </c>
      <c r="C5" s="1379"/>
      <c r="D5" s="1379"/>
      <c r="E5" s="1379"/>
      <c r="F5" s="1379"/>
      <c r="G5" s="1879" t="str">
        <f>IF(AND(L67&gt;0,O7&gt;0),"Apportioned at the whole-eye level","(Enter English or Metric 6.)")</f>
        <v>(Enter English or Metric 6.)</v>
      </c>
      <c r="H5" s="1879"/>
      <c r="I5" s="1879"/>
      <c r="J5" s="1879"/>
      <c r="K5" s="1879"/>
      <c r="L5" s="1879"/>
      <c r="M5" s="1879"/>
      <c r="N5" s="1879"/>
      <c r="O5" s="2223" t="s">
        <v>1645</v>
      </c>
      <c r="P5" s="2224"/>
      <c r="Q5" s="2225"/>
      <c r="R5" s="2228"/>
      <c r="S5" s="1379" t="s">
        <v>468</v>
      </c>
      <c r="T5" s="1379"/>
      <c r="U5" s="1379"/>
      <c r="V5" s="1379"/>
      <c r="W5" s="1379"/>
      <c r="X5" s="1879" t="s">
        <v>469</v>
      </c>
      <c r="Y5" s="1879"/>
      <c r="Z5" s="1879"/>
      <c r="AA5" s="1879"/>
      <c r="AB5" s="1879"/>
      <c r="AC5" s="1879"/>
      <c r="AD5" s="1879"/>
      <c r="AE5" s="1879"/>
      <c r="AF5" s="2223" t="s">
        <v>1645</v>
      </c>
      <c r="AG5" s="2224"/>
      <c r="AH5" s="2225"/>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c r="FO5" s="63"/>
      <c r="FP5" s="63"/>
      <c r="FQ5" s="63"/>
      <c r="FR5" s="63"/>
      <c r="FS5" s="63"/>
      <c r="FT5" s="63"/>
      <c r="FU5" s="63"/>
      <c r="FV5" s="63"/>
      <c r="FW5" s="63"/>
      <c r="FX5" s="63"/>
      <c r="FY5" s="63"/>
      <c r="FZ5" s="63"/>
      <c r="GA5" s="63"/>
      <c r="GB5" s="63"/>
      <c r="GC5" s="63"/>
      <c r="GD5" s="63"/>
      <c r="GE5" s="63"/>
      <c r="GF5" s="63"/>
      <c r="GG5" s="63"/>
      <c r="GH5" s="63"/>
      <c r="GI5" s="63"/>
      <c r="GJ5" s="63"/>
      <c r="GK5" s="63"/>
    </row>
    <row r="6" spans="1:193" ht="18" customHeight="1" thickBot="1" x14ac:dyDescent="0.25">
      <c r="B6" s="1379" t="s">
        <v>1118</v>
      </c>
      <c r="C6" s="1379"/>
      <c r="D6" s="1379"/>
      <c r="E6" s="1379"/>
      <c r="F6" s="1379"/>
      <c r="G6" s="1637"/>
      <c r="H6" s="1637"/>
      <c r="I6" s="1637"/>
      <c r="J6" s="1637"/>
      <c r="K6" s="1637"/>
      <c r="L6" s="1637"/>
      <c r="M6" s="1637"/>
      <c r="N6" s="1637"/>
      <c r="O6" s="1353">
        <f>IF(B8&lt;&gt;"","ERROR",AL9/100)</f>
        <v>0</v>
      </c>
      <c r="P6" s="1354"/>
      <c r="Q6" s="1355"/>
      <c r="R6" s="2228"/>
      <c r="S6" s="1379" t="s">
        <v>1118</v>
      </c>
      <c r="T6" s="1379"/>
      <c r="U6" s="1379"/>
      <c r="V6" s="1379"/>
      <c r="W6" s="1379"/>
      <c r="X6" s="1637"/>
      <c r="Y6" s="1637"/>
      <c r="Z6" s="1637"/>
      <c r="AA6" s="1637"/>
      <c r="AB6" s="1637"/>
      <c r="AC6" s="1637"/>
      <c r="AD6" s="1637"/>
      <c r="AE6" s="1637"/>
      <c r="AF6" s="1353">
        <f>IF(S8&lt;&gt;"","ERROR",AM9/100)</f>
        <v>0</v>
      </c>
      <c r="AG6" s="1354"/>
      <c r="AH6" s="1355"/>
      <c r="AI6" s="63"/>
      <c r="AJ6" s="63"/>
      <c r="AK6" s="63"/>
      <c r="AL6" s="106" t="s">
        <v>779</v>
      </c>
      <c r="AM6" s="106" t="s">
        <v>780</v>
      </c>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row>
    <row r="7" spans="1:193" ht="18" customHeight="1" x14ac:dyDescent="0.2">
      <c r="B7" s="1410" t="s">
        <v>781</v>
      </c>
      <c r="C7" s="1410"/>
      <c r="D7" s="1410"/>
      <c r="E7" s="1410"/>
      <c r="F7" s="1410"/>
      <c r="G7" s="1637"/>
      <c r="H7" s="1637"/>
      <c r="I7" s="1637"/>
      <c r="J7" s="1637"/>
      <c r="K7" s="1637"/>
      <c r="L7" s="1637"/>
      <c r="M7" s="1637"/>
      <c r="N7" s="1637"/>
      <c r="O7" s="1577"/>
      <c r="P7" s="1841"/>
      <c r="Q7" s="1842"/>
      <c r="R7" s="2228"/>
      <c r="S7" s="1410" t="s">
        <v>781</v>
      </c>
      <c r="T7" s="1410"/>
      <c r="U7" s="1410"/>
      <c r="V7" s="1410"/>
      <c r="W7" s="1410"/>
      <c r="X7" s="1637"/>
      <c r="Y7" s="1637"/>
      <c r="Z7" s="1637"/>
      <c r="AA7" s="1637"/>
      <c r="AB7" s="1637"/>
      <c r="AC7" s="1637"/>
      <c r="AD7" s="1637"/>
      <c r="AE7" s="1637"/>
      <c r="AF7" s="1577"/>
      <c r="AG7" s="1841"/>
      <c r="AH7" s="1842"/>
      <c r="AI7" s="63"/>
      <c r="AJ7" s="63"/>
      <c r="AK7" s="63"/>
      <c r="AL7" s="1144">
        <f>SUMIF(C107:S107,G6,C108:S108)</f>
        <v>0</v>
      </c>
      <c r="AM7" s="1145">
        <f>SUMIF(C107:S107,X6,C108:S108)</f>
        <v>0</v>
      </c>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row>
    <row r="8" spans="1:193" ht="18" customHeight="1" x14ac:dyDescent="0.2">
      <c r="B8" s="2218" t="str">
        <f>IF(AND(G6&lt;&gt;"",G7&lt;&gt;""),"ERROR: Enter English or Metric, not both.","")</f>
        <v/>
      </c>
      <c r="C8" s="2218"/>
      <c r="D8" s="2218"/>
      <c r="E8" s="2218"/>
      <c r="F8" s="2218"/>
      <c r="G8" s="2218"/>
      <c r="H8" s="2218"/>
      <c r="I8" s="2218"/>
      <c r="J8" s="2218"/>
      <c r="K8" s="2218"/>
      <c r="L8" s="2218"/>
      <c r="M8" s="2218"/>
      <c r="N8" s="2218"/>
      <c r="O8" s="2220">
        <f>IF(B8&lt;&gt;"","ERROR",IF(O7="",O6,IF(AND(O7*AL9/100&gt;0,O7*AL9/100&lt;0.01),0.01,ROUND(O7*AL9/100,4))))</f>
        <v>0</v>
      </c>
      <c r="P8" s="2221"/>
      <c r="Q8" s="2222"/>
      <c r="R8" s="2228"/>
      <c r="S8" s="2218" t="str">
        <f>IF(AND(X6&lt;&gt;"",X7&lt;&gt;""),"ERROR: Enter English or Metric, not both.","")</f>
        <v/>
      </c>
      <c r="T8" s="2218"/>
      <c r="U8" s="2218"/>
      <c r="V8" s="2218"/>
      <c r="W8" s="2218"/>
      <c r="X8" s="2218"/>
      <c r="Y8" s="2218"/>
      <c r="Z8" s="2218"/>
      <c r="AA8" s="2218"/>
      <c r="AB8" s="2218"/>
      <c r="AC8" s="2218"/>
      <c r="AD8" s="2218"/>
      <c r="AE8" s="2218"/>
      <c r="AF8" s="2220">
        <f>IF(S8&lt;&gt;"","ERROR",IF(AF7="",AF6,IF(AND(AF7*AM9/100&gt;0,AF7*AM9/100&lt;0.01),0.01,ROUND(AF7*AM9/100,4))))</f>
        <v>0</v>
      </c>
      <c r="AG8" s="2221"/>
      <c r="AH8" s="2222"/>
      <c r="AI8" s="63"/>
      <c r="AJ8" s="63"/>
      <c r="AK8" s="63"/>
      <c r="AL8" s="1146">
        <f>SUMIF(C109:S109,G7,C110:S110)</f>
        <v>0</v>
      </c>
      <c r="AM8" s="1147">
        <f>SUMIF(C109:S109,X7,C110:S110)</f>
        <v>0</v>
      </c>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row>
    <row r="9" spans="1:193" ht="27" customHeight="1" thickBot="1" x14ac:dyDescent="0.25">
      <c r="B9" s="1410" t="s">
        <v>782</v>
      </c>
      <c r="C9" s="1410"/>
      <c r="D9" s="1410"/>
      <c r="E9" s="1410"/>
      <c r="F9" s="1410"/>
      <c r="G9" s="1940" t="s">
        <v>783</v>
      </c>
      <c r="H9" s="1940"/>
      <c r="I9" s="1940"/>
      <c r="J9" s="1940"/>
      <c r="K9" s="1940"/>
      <c r="L9" s="1940"/>
      <c r="M9" s="1940"/>
      <c r="N9" s="1536"/>
      <c r="O9" s="2223" t="s">
        <v>1645</v>
      </c>
      <c r="P9" s="2224"/>
      <c r="Q9" s="2225"/>
      <c r="R9" s="2228"/>
      <c r="S9" s="1410" t="s">
        <v>782</v>
      </c>
      <c r="T9" s="1410"/>
      <c r="U9" s="1410"/>
      <c r="V9" s="1410"/>
      <c r="W9" s="1410"/>
      <c r="X9" s="1940" t="s">
        <v>783</v>
      </c>
      <c r="Y9" s="1940"/>
      <c r="Z9" s="1940"/>
      <c r="AA9" s="1940"/>
      <c r="AB9" s="1940"/>
      <c r="AC9" s="1940"/>
      <c r="AD9" s="1940"/>
      <c r="AE9" s="1536"/>
      <c r="AF9" s="2223" t="s">
        <v>1645</v>
      </c>
      <c r="AG9" s="2224"/>
      <c r="AH9" s="2225"/>
      <c r="AI9" s="63"/>
      <c r="AJ9" s="63"/>
      <c r="AK9" s="63"/>
      <c r="AL9" s="1148">
        <f>AL7+AL8</f>
        <v>0</v>
      </c>
      <c r="AM9" s="1149">
        <f>AM7+AM8</f>
        <v>0</v>
      </c>
      <c r="AN9" s="17" t="s">
        <v>779</v>
      </c>
      <c r="AO9" s="17" t="s">
        <v>780</v>
      </c>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row>
    <row r="10" spans="1:193" ht="18" customHeight="1" x14ac:dyDescent="0.2">
      <c r="B10" s="1410" t="s">
        <v>784</v>
      </c>
      <c r="C10" s="1410"/>
      <c r="D10" s="1410"/>
      <c r="E10" s="1410"/>
      <c r="F10" s="1410"/>
      <c r="G10" s="1410"/>
      <c r="H10" s="1410"/>
      <c r="I10" s="1410"/>
      <c r="J10" s="1308"/>
      <c r="K10" s="1308"/>
      <c r="L10" s="1308"/>
      <c r="M10" s="1308"/>
      <c r="N10" s="1308"/>
      <c r="O10" s="1353">
        <f>IF(B13&lt;&gt;"","ERROR",AN13/100)</f>
        <v>0</v>
      </c>
      <c r="P10" s="1354"/>
      <c r="Q10" s="1355"/>
      <c r="R10" s="2228"/>
      <c r="S10" s="1410" t="s">
        <v>784</v>
      </c>
      <c r="T10" s="1410"/>
      <c r="U10" s="1410"/>
      <c r="V10" s="1410"/>
      <c r="W10" s="1410"/>
      <c r="X10" s="1410"/>
      <c r="Y10" s="1410"/>
      <c r="Z10" s="1410"/>
      <c r="AA10" s="1308"/>
      <c r="AB10" s="1308"/>
      <c r="AC10" s="1308"/>
      <c r="AD10" s="1308"/>
      <c r="AE10" s="1308"/>
      <c r="AF10" s="1353">
        <f>IF(S13&lt;&gt;"","ERROR",AO13/100)</f>
        <v>0</v>
      </c>
      <c r="AG10" s="1354"/>
      <c r="AH10" s="1355"/>
      <c r="AI10" s="63"/>
      <c r="AJ10" s="63"/>
      <c r="AK10" s="63"/>
      <c r="AL10" s="1144">
        <f>IF(J10="",0,1)</f>
        <v>0</v>
      </c>
      <c r="AM10" s="1145">
        <f>IF(AA10="",0,1)</f>
        <v>0</v>
      </c>
      <c r="AN10" s="1144">
        <f>SUMIF(C111:P111,J10,C112:P112)</f>
        <v>0</v>
      </c>
      <c r="AO10" s="1145">
        <f>SUMIF(C111:P111,AA10,C112:P112)</f>
        <v>0</v>
      </c>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row>
    <row r="11" spans="1:193" ht="18" customHeight="1" x14ac:dyDescent="0.2">
      <c r="B11" s="1410" t="s">
        <v>785</v>
      </c>
      <c r="C11" s="1410"/>
      <c r="D11" s="1410"/>
      <c r="E11" s="1410"/>
      <c r="F11" s="1410"/>
      <c r="G11" s="1410"/>
      <c r="H11" s="1410"/>
      <c r="I11" s="1410"/>
      <c r="J11" s="1308"/>
      <c r="K11" s="1308"/>
      <c r="L11" s="1308"/>
      <c r="M11" s="1308"/>
      <c r="N11" s="1308"/>
      <c r="O11" s="1577"/>
      <c r="P11" s="1841"/>
      <c r="Q11" s="1842"/>
      <c r="R11" s="2228"/>
      <c r="S11" s="1410" t="s">
        <v>785</v>
      </c>
      <c r="T11" s="1410"/>
      <c r="U11" s="1410"/>
      <c r="V11" s="1410"/>
      <c r="W11" s="1410"/>
      <c r="X11" s="1410"/>
      <c r="Y11" s="1410"/>
      <c r="Z11" s="1410"/>
      <c r="AA11" s="1308"/>
      <c r="AB11" s="1308"/>
      <c r="AC11" s="1308"/>
      <c r="AD11" s="1308"/>
      <c r="AE11" s="1308"/>
      <c r="AF11" s="1577"/>
      <c r="AG11" s="1841"/>
      <c r="AH11" s="1842"/>
      <c r="AI11" s="63"/>
      <c r="AJ11" s="63"/>
      <c r="AK11" s="63"/>
      <c r="AL11" s="1146">
        <f>IF(J11="",0,1)</f>
        <v>0</v>
      </c>
      <c r="AM11" s="1147">
        <f>IF(AA11="",0,1)</f>
        <v>0</v>
      </c>
      <c r="AN11" s="1146">
        <f>SUMIF(C113:P113,J11,C114:P114)</f>
        <v>0</v>
      </c>
      <c r="AO11" s="1147">
        <f>SUMIF(C113:P113,AA11,C114:P114)</f>
        <v>0</v>
      </c>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row>
    <row r="12" spans="1:193" ht="18" customHeight="1" x14ac:dyDescent="0.2">
      <c r="B12" s="1410" t="s">
        <v>786</v>
      </c>
      <c r="C12" s="1410"/>
      <c r="D12" s="1410"/>
      <c r="E12" s="1410"/>
      <c r="F12" s="1410"/>
      <c r="G12" s="1410"/>
      <c r="H12" s="1410"/>
      <c r="I12" s="1410"/>
      <c r="J12" s="1308"/>
      <c r="K12" s="1308"/>
      <c r="L12" s="1308"/>
      <c r="M12" s="1308"/>
      <c r="N12" s="1308"/>
      <c r="O12" s="2220">
        <f>IF(B13&lt;&gt;"","ERROR",IF(O11="",O10,IF(AND(O11*AN13/100&gt;0,O11*AN13/100&lt;0.01),0.01,ROUND(O11*AN13/100,4))))</f>
        <v>0</v>
      </c>
      <c r="P12" s="2221"/>
      <c r="Q12" s="2222"/>
      <c r="R12" s="2228"/>
      <c r="S12" s="1410" t="s">
        <v>786</v>
      </c>
      <c r="T12" s="1410"/>
      <c r="U12" s="1410"/>
      <c r="V12" s="1410"/>
      <c r="W12" s="1410"/>
      <c r="X12" s="1410"/>
      <c r="Y12" s="1410"/>
      <c r="Z12" s="1410"/>
      <c r="AA12" s="1308"/>
      <c r="AB12" s="1308"/>
      <c r="AC12" s="1308"/>
      <c r="AD12" s="1308"/>
      <c r="AE12" s="1308"/>
      <c r="AF12" s="2220">
        <f>IF(S13&lt;&gt;"","ERROR",IF(AF11="",AF10,IF(AND(AF11*AO13/100&gt;0,AF11*AO13/100&lt;0.01),0.01,ROUND(AF11*AO13/100,4))))</f>
        <v>0</v>
      </c>
      <c r="AG12" s="2221"/>
      <c r="AH12" s="2222"/>
      <c r="AI12" s="63"/>
      <c r="AJ12" s="63"/>
      <c r="AK12" s="63"/>
      <c r="AL12" s="1146">
        <f>IF(J12="",0,1)</f>
        <v>0</v>
      </c>
      <c r="AM12" s="1147">
        <f>IF(AA12="",0,1)</f>
        <v>0</v>
      </c>
      <c r="AN12" s="1146">
        <f>SUMIF(C115:P115,J12,C116:P116)</f>
        <v>0</v>
      </c>
      <c r="AO12" s="1147">
        <f>SUMIF(C115:P115,AA12,C116:P116)</f>
        <v>0</v>
      </c>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row>
    <row r="13" spans="1:193" ht="18" customHeight="1" thickBot="1" x14ac:dyDescent="0.25">
      <c r="B13" s="2218" t="str">
        <f>IF(AL13&gt;1,"ERROR: Enter one near acuity measure only.","")</f>
        <v/>
      </c>
      <c r="C13" s="2218"/>
      <c r="D13" s="2218"/>
      <c r="E13" s="2218"/>
      <c r="F13" s="2218"/>
      <c r="G13" s="2218"/>
      <c r="H13" s="2218"/>
      <c r="I13" s="2218"/>
      <c r="J13" s="2218"/>
      <c r="K13" s="2218"/>
      <c r="L13" s="2218"/>
      <c r="M13" s="2218"/>
      <c r="N13" s="2218"/>
      <c r="O13" s="1536"/>
      <c r="P13" s="1536"/>
      <c r="Q13" s="1536"/>
      <c r="R13" s="2228"/>
      <c r="S13" s="2218" t="str">
        <f>IF(AM13&gt;1,"ERROR: Enter one near acuity measure only.","")</f>
        <v/>
      </c>
      <c r="T13" s="2218"/>
      <c r="U13" s="2218"/>
      <c r="V13" s="2218"/>
      <c r="W13" s="2218"/>
      <c r="X13" s="2218"/>
      <c r="Y13" s="2218"/>
      <c r="Z13" s="2218"/>
      <c r="AA13" s="2218"/>
      <c r="AB13" s="2218"/>
      <c r="AC13" s="2218"/>
      <c r="AD13" s="2218"/>
      <c r="AE13" s="2218"/>
      <c r="AF13" s="1536"/>
      <c r="AG13" s="1536"/>
      <c r="AH13" s="1536"/>
      <c r="AI13" s="63"/>
      <c r="AJ13" s="63"/>
      <c r="AK13" s="63"/>
      <c r="AL13" s="1148">
        <f>SUM(AL10:AL12)</f>
        <v>0</v>
      </c>
      <c r="AM13" s="1149">
        <f>SUM(AM10:AM12)</f>
        <v>0</v>
      </c>
      <c r="AN13" s="1148">
        <f>SUM(AN10:AN12)</f>
        <v>0</v>
      </c>
      <c r="AO13" s="1149">
        <f>SUM(AO10:AO12)</f>
        <v>0</v>
      </c>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row>
    <row r="14" spans="1:193" ht="15" customHeight="1" x14ac:dyDescent="0.2">
      <c r="B14" s="1410" t="s">
        <v>1330</v>
      </c>
      <c r="C14" s="1410"/>
      <c r="D14" s="1410"/>
      <c r="E14" s="1410"/>
      <c r="F14" s="1410"/>
      <c r="G14" s="1410"/>
      <c r="H14" s="1410"/>
      <c r="I14" s="1410"/>
      <c r="J14" s="1410"/>
      <c r="K14" s="1410"/>
      <c r="L14" s="1410"/>
      <c r="M14" s="1410"/>
      <c r="N14" s="1410"/>
      <c r="O14" s="2217">
        <f>(O8+O12)/2</f>
        <v>0</v>
      </c>
      <c r="P14" s="2217"/>
      <c r="Q14" s="2217"/>
      <c r="R14" s="2228"/>
      <c r="S14" s="1410" t="s">
        <v>1330</v>
      </c>
      <c r="T14" s="1410"/>
      <c r="U14" s="1410"/>
      <c r="V14" s="1410"/>
      <c r="W14" s="1410"/>
      <c r="X14" s="1410"/>
      <c r="Y14" s="1410"/>
      <c r="Z14" s="1410"/>
      <c r="AA14" s="1410"/>
      <c r="AB14" s="1410"/>
      <c r="AC14" s="1410"/>
      <c r="AD14" s="1410"/>
      <c r="AE14" s="1410"/>
      <c r="AF14" s="2217">
        <f>(AF8+AF12)/2</f>
        <v>0</v>
      </c>
      <c r="AG14" s="2217"/>
      <c r="AH14" s="2217"/>
      <c r="AI14" s="63"/>
      <c r="AJ14" s="63"/>
      <c r="AK14" s="63"/>
      <c r="AL14" s="63"/>
      <c r="AM14" s="1144" t="s">
        <v>1292</v>
      </c>
      <c r="AN14" s="1151" t="s">
        <v>220</v>
      </c>
      <c r="AO14" s="1145" t="s">
        <v>1293</v>
      </c>
      <c r="AP14" s="1144" t="s">
        <v>1294</v>
      </c>
      <c r="AQ14" s="1157" t="s">
        <v>221</v>
      </c>
      <c r="AR14" s="1145" t="s">
        <v>1295</v>
      </c>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row>
    <row r="15" spans="1:193" ht="15" customHeight="1" x14ac:dyDescent="0.2">
      <c r="B15" s="1410" t="s">
        <v>1296</v>
      </c>
      <c r="C15" s="1410"/>
      <c r="D15" s="1410"/>
      <c r="E15" s="1410"/>
      <c r="F15" s="1410"/>
      <c r="G15" s="1410"/>
      <c r="H15" s="1410"/>
      <c r="I15" s="1410"/>
      <c r="J15" s="1410"/>
      <c r="K15" s="1410"/>
      <c r="L15" s="1410"/>
      <c r="M15" s="1410"/>
      <c r="N15" s="1410"/>
      <c r="O15" s="2229">
        <f>IF(AL16=2,0.25,IF(AL16=3,0.5,0))</f>
        <v>0</v>
      </c>
      <c r="P15" s="2230"/>
      <c r="Q15" s="2231"/>
      <c r="R15" s="2228"/>
      <c r="S15" s="1410" t="s">
        <v>1296</v>
      </c>
      <c r="T15" s="1410"/>
      <c r="U15" s="1410"/>
      <c r="V15" s="1410"/>
      <c r="W15" s="1410"/>
      <c r="X15" s="1410"/>
      <c r="Y15" s="1410"/>
      <c r="Z15" s="1410"/>
      <c r="AA15" s="1410"/>
      <c r="AB15" s="1410"/>
      <c r="AC15" s="1410"/>
      <c r="AD15" s="1410"/>
      <c r="AE15" s="1410"/>
      <c r="AF15" s="2217">
        <f>IF(AL17=2,0.25,IF(AL17=3,0.5,0))</f>
        <v>0</v>
      </c>
      <c r="AG15" s="2217"/>
      <c r="AH15" s="2217"/>
      <c r="AI15" s="63"/>
      <c r="AJ15" s="63"/>
      <c r="AK15" s="63"/>
      <c r="AL15" s="63"/>
      <c r="AM15" s="1152">
        <f>LARGE(O14:O15,1)</f>
        <v>0</v>
      </c>
      <c r="AN15" s="495">
        <f>ROUND(AM15,2)</f>
        <v>0</v>
      </c>
      <c r="AO15" s="1153">
        <f>ROUND(AN15+AN16*(1-AN15),2)</f>
        <v>0</v>
      </c>
      <c r="AP15" s="1152">
        <f>LARGE(AF14:AF15,1)</f>
        <v>0</v>
      </c>
      <c r="AQ15" s="495">
        <f>ROUND(AP15,2)</f>
        <v>0</v>
      </c>
      <c r="AR15" s="1153">
        <f>ROUND(AQ15+AQ16*(1-AQ15),2)</f>
        <v>0</v>
      </c>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row>
    <row r="16" spans="1:193" ht="60" customHeight="1" thickBot="1" x14ac:dyDescent="0.25">
      <c r="A16" s="189"/>
      <c r="B16" s="2219"/>
      <c r="C16" s="2219"/>
      <c r="D16" s="2219"/>
      <c r="E16" s="2219"/>
      <c r="F16" s="2219"/>
      <c r="G16" s="2219"/>
      <c r="H16" s="2219"/>
      <c r="I16" s="2219"/>
      <c r="J16" s="2219"/>
      <c r="K16" s="2219"/>
      <c r="L16" s="2219"/>
      <c r="M16" s="2219"/>
      <c r="N16" s="2219"/>
      <c r="O16" s="2232"/>
      <c r="P16" s="2233"/>
      <c r="Q16" s="2234"/>
      <c r="R16" s="2228"/>
      <c r="S16" s="2219"/>
      <c r="T16" s="2219"/>
      <c r="U16" s="2219"/>
      <c r="V16" s="2219"/>
      <c r="W16" s="2219"/>
      <c r="X16" s="2219"/>
      <c r="Y16" s="2219"/>
      <c r="Z16" s="2219"/>
      <c r="AA16" s="2219"/>
      <c r="AB16" s="2219"/>
      <c r="AC16" s="2219"/>
      <c r="AD16" s="2219"/>
      <c r="AE16" s="2219"/>
      <c r="AF16" s="2217"/>
      <c r="AG16" s="2217"/>
      <c r="AH16" s="2217"/>
      <c r="AI16" s="63"/>
      <c r="AJ16" s="63"/>
      <c r="AK16" s="993"/>
      <c r="AL16" s="1150">
        <v>1</v>
      </c>
      <c r="AM16" s="1154">
        <f>LARGE(O14:O15,2)</f>
        <v>0</v>
      </c>
      <c r="AN16" s="1155">
        <f>ROUND(AM16,2)</f>
        <v>0</v>
      </c>
      <c r="AO16" s="1156"/>
      <c r="AP16" s="1154">
        <f>LARGE(AF14:AF15,2)</f>
        <v>0</v>
      </c>
      <c r="AQ16" s="1155">
        <f>ROUND(AP16,2)</f>
        <v>0</v>
      </c>
      <c r="AR16" s="131"/>
      <c r="AS16" s="1172"/>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row>
    <row r="17" spans="1:214" ht="27.75" customHeight="1" x14ac:dyDescent="0.2">
      <c r="B17" s="1379" t="s">
        <v>1297</v>
      </c>
      <c r="C17" s="1379"/>
      <c r="D17" s="1379"/>
      <c r="E17" s="1379"/>
      <c r="F17" s="1379"/>
      <c r="G17" s="1379"/>
      <c r="H17" s="1379"/>
      <c r="I17" s="1379"/>
      <c r="J17" s="1379"/>
      <c r="K17" s="1379"/>
      <c r="L17" s="1379"/>
      <c r="M17" s="1379"/>
      <c r="N17" s="1379"/>
      <c r="O17" s="2087">
        <f>IF(OR(O14=0,O15=0),SUM(O14,O15),AO15)</f>
        <v>0</v>
      </c>
      <c r="P17" s="2087"/>
      <c r="Q17" s="2087"/>
      <c r="R17" s="2114"/>
      <c r="S17" s="1379" t="s">
        <v>1298</v>
      </c>
      <c r="T17" s="1379"/>
      <c r="U17" s="1379"/>
      <c r="V17" s="1379"/>
      <c r="W17" s="1379"/>
      <c r="X17" s="1379"/>
      <c r="Y17" s="1379"/>
      <c r="Z17" s="1379"/>
      <c r="AA17" s="1379"/>
      <c r="AB17" s="1379"/>
      <c r="AC17" s="1379"/>
      <c r="AD17" s="1379"/>
      <c r="AE17" s="1379"/>
      <c r="AF17" s="2087">
        <f>IF(OR(AF14=0,AF15=0),SUM(AF14,AF15),AR15)</f>
        <v>0</v>
      </c>
      <c r="AG17" s="2087"/>
      <c r="AH17" s="2087"/>
      <c r="AI17" s="63"/>
      <c r="AJ17" s="63"/>
      <c r="AK17" s="63"/>
      <c r="AL17" s="1005">
        <v>1</v>
      </c>
      <c r="AM17" s="1141"/>
      <c r="AN17" s="1141"/>
      <c r="AO17" s="1141"/>
      <c r="AP17" s="1141"/>
      <c r="AQ17" s="89"/>
      <c r="AR17" s="1172"/>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row>
    <row r="18" spans="1:214" ht="8.25" customHeight="1" x14ac:dyDescent="0.2">
      <c r="A18" s="3"/>
      <c r="B18" s="1602"/>
      <c r="C18" s="1602"/>
      <c r="D18" s="1602"/>
      <c r="E18" s="1602"/>
      <c r="F18" s="1602"/>
      <c r="G18" s="1602"/>
      <c r="H18" s="1602"/>
      <c r="I18" s="1602"/>
      <c r="J18" s="1602"/>
      <c r="K18" s="1602"/>
      <c r="L18" s="1602"/>
      <c r="M18" s="1602"/>
      <c r="N18" s="1602"/>
      <c r="O18" s="1602"/>
      <c r="P18" s="1602"/>
      <c r="Q18" s="1602"/>
      <c r="R18" s="1602"/>
      <c r="S18" s="1602"/>
      <c r="T18" s="1602"/>
      <c r="U18" s="1602"/>
      <c r="V18" s="1602"/>
      <c r="W18" s="1602"/>
      <c r="X18" s="1602"/>
      <c r="Y18" s="1602"/>
      <c r="Z18" s="1602"/>
      <c r="AA18" s="1602"/>
      <c r="AB18" s="1602"/>
      <c r="AC18" s="1602"/>
      <c r="AD18" s="1602"/>
      <c r="AE18" s="1602"/>
      <c r="AF18" s="1602"/>
      <c r="AG18" s="1602"/>
      <c r="AH18" s="1602"/>
      <c r="AI18" s="7"/>
      <c r="AJ18" s="63"/>
      <c r="AK18" s="63"/>
      <c r="AL18" s="150"/>
      <c r="AM18" s="130"/>
      <c r="AN18" s="148"/>
      <c r="AO18" s="126"/>
      <c r="AP18" s="89"/>
      <c r="AQ18" s="89"/>
      <c r="AR18" s="7"/>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row>
    <row r="19" spans="1:214" ht="18" customHeight="1" x14ac:dyDescent="0.2">
      <c r="B19" s="1557" t="s">
        <v>265</v>
      </c>
      <c r="C19" s="1557"/>
      <c r="D19" s="1557"/>
      <c r="E19" s="1557"/>
      <c r="F19" s="1557"/>
      <c r="G19" s="1557"/>
      <c r="H19" s="1557"/>
      <c r="I19" s="1557"/>
      <c r="J19" s="1557"/>
      <c r="K19" s="1557"/>
      <c r="L19" s="1557"/>
      <c r="M19" s="1557"/>
      <c r="N19" s="1557"/>
      <c r="O19" s="1557"/>
      <c r="P19" s="1557"/>
      <c r="Q19" s="1557"/>
      <c r="R19" s="2227"/>
      <c r="S19" s="1557" t="s">
        <v>266</v>
      </c>
      <c r="T19" s="1557"/>
      <c r="U19" s="1557"/>
      <c r="V19" s="1557"/>
      <c r="W19" s="1557"/>
      <c r="X19" s="1557"/>
      <c r="Y19" s="1557"/>
      <c r="Z19" s="1557"/>
      <c r="AA19" s="1557"/>
      <c r="AB19" s="1557"/>
      <c r="AC19" s="1557"/>
      <c r="AD19" s="1557"/>
      <c r="AE19" s="1557"/>
      <c r="AF19" s="1557"/>
      <c r="AG19" s="1557"/>
      <c r="AH19" s="1557"/>
      <c r="AI19" s="63"/>
      <c r="AJ19" s="63"/>
      <c r="AQ19" s="89"/>
      <c r="AR19" s="7"/>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row>
    <row r="20" spans="1:214" ht="27" customHeight="1" x14ac:dyDescent="0.2">
      <c r="A20" s="189"/>
      <c r="B20" s="1539"/>
      <c r="C20" s="1540"/>
      <c r="D20" s="1374" t="s">
        <v>1839</v>
      </c>
      <c r="E20" s="1375"/>
      <c r="F20" s="1375"/>
      <c r="G20" s="1375"/>
      <c r="H20" s="1375"/>
      <c r="I20" s="1375"/>
      <c r="J20" s="1375"/>
      <c r="K20" s="1375"/>
      <c r="L20" s="1375"/>
      <c r="M20" s="1375"/>
      <c r="N20" s="1375"/>
      <c r="O20" s="1375"/>
      <c r="P20" s="1375"/>
      <c r="Q20" s="1376"/>
      <c r="R20" s="2228"/>
      <c r="S20" s="1539"/>
      <c r="T20" s="1540"/>
      <c r="U20" s="1374" t="s">
        <v>1839</v>
      </c>
      <c r="V20" s="1375"/>
      <c r="W20" s="1375"/>
      <c r="X20" s="1375"/>
      <c r="Y20" s="1375"/>
      <c r="Z20" s="1375"/>
      <c r="AA20" s="1375"/>
      <c r="AB20" s="1375"/>
      <c r="AC20" s="1375"/>
      <c r="AD20" s="1375"/>
      <c r="AE20" s="1375"/>
      <c r="AF20" s="1375"/>
      <c r="AG20" s="1375"/>
      <c r="AH20" s="1376"/>
      <c r="AI20" s="63"/>
      <c r="AJ20" s="63"/>
      <c r="AK20" s="1005" t="b">
        <v>0</v>
      </c>
      <c r="AL20" s="1005" t="b">
        <v>0</v>
      </c>
      <c r="AM20" s="61" t="s">
        <v>267</v>
      </c>
      <c r="AN20" s="61" t="s">
        <v>268</v>
      </c>
      <c r="AO20" s="62" t="s">
        <v>269</v>
      </c>
      <c r="AP20" s="16" t="s">
        <v>270</v>
      </c>
      <c r="AQ20" s="89"/>
      <c r="AR20" s="7">
        <v>1E-4</v>
      </c>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63"/>
      <c r="GD20" s="63"/>
      <c r="GE20" s="63"/>
      <c r="GF20" s="63"/>
      <c r="GG20" s="63"/>
      <c r="GH20" s="63"/>
      <c r="GI20" s="63"/>
      <c r="GJ20" s="63"/>
      <c r="GK20" s="63"/>
    </row>
    <row r="21" spans="1:214" ht="18" customHeight="1" x14ac:dyDescent="0.2">
      <c r="B21" s="1410" t="s">
        <v>1750</v>
      </c>
      <c r="C21" s="1410"/>
      <c r="D21" s="1410"/>
      <c r="E21" s="1410"/>
      <c r="F21" s="1410"/>
      <c r="G21" s="1410"/>
      <c r="H21" s="1410"/>
      <c r="I21" s="1410"/>
      <c r="J21" s="1410"/>
      <c r="K21" s="1308"/>
      <c r="L21" s="1308"/>
      <c r="M21" s="1308"/>
      <c r="N21" s="1940" t="s">
        <v>1751</v>
      </c>
      <c r="O21" s="1940"/>
      <c r="P21" s="1940"/>
      <c r="Q21" s="1940"/>
      <c r="R21" s="2228"/>
      <c r="S21" s="1410" t="s">
        <v>1750</v>
      </c>
      <c r="T21" s="1410"/>
      <c r="U21" s="1410"/>
      <c r="V21" s="1410"/>
      <c r="W21" s="1410"/>
      <c r="X21" s="1410"/>
      <c r="Y21" s="1410"/>
      <c r="Z21" s="1410"/>
      <c r="AA21" s="1410"/>
      <c r="AB21" s="1308"/>
      <c r="AC21" s="1308"/>
      <c r="AD21" s="1308"/>
      <c r="AE21" s="1940" t="s">
        <v>1751</v>
      </c>
      <c r="AF21" s="1940"/>
      <c r="AG21" s="1940"/>
      <c r="AH21" s="1940"/>
      <c r="AI21" s="63"/>
      <c r="AJ21" s="63"/>
      <c r="AK21" s="1140">
        <f>IF(AK20=TRUE,1,0)</f>
        <v>0</v>
      </c>
      <c r="AL21" s="1140">
        <f>IF(AL20=TRUE,1,0)</f>
        <v>0</v>
      </c>
      <c r="AM21" s="64">
        <f>K21/100</f>
        <v>0</v>
      </c>
      <c r="AN21" s="64">
        <f>AB21/100</f>
        <v>0</v>
      </c>
      <c r="AO21" s="64">
        <f>'Eye-Table'!D9</f>
        <v>0</v>
      </c>
      <c r="AP21" s="65">
        <f>'Eye-Table'!E9</f>
        <v>0</v>
      </c>
      <c r="AQ21" s="136"/>
      <c r="AR21" s="120"/>
      <c r="AS21" s="120"/>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row>
    <row r="22" spans="1:214" ht="44.25" customHeight="1" x14ac:dyDescent="0.2">
      <c r="B22" s="1437" t="s">
        <v>1121</v>
      </c>
      <c r="C22" s="1438"/>
      <c r="D22" s="1438"/>
      <c r="E22" s="1438"/>
      <c r="F22" s="1438"/>
      <c r="G22" s="1438"/>
      <c r="H22" s="1438"/>
      <c r="I22" s="1438"/>
      <c r="J22" s="1438"/>
      <c r="K22" s="1438"/>
      <c r="L22" s="1438"/>
      <c r="M22" s="1438"/>
      <c r="N22" s="1438"/>
      <c r="O22" s="1438"/>
      <c r="P22" s="1438"/>
      <c r="Q22" s="1438"/>
      <c r="R22" s="1438"/>
      <c r="S22" s="1438"/>
      <c r="T22" s="1438"/>
      <c r="U22" s="1438"/>
      <c r="V22" s="1438"/>
      <c r="W22" s="1438"/>
      <c r="X22" s="1438"/>
      <c r="Y22" s="1438"/>
      <c r="Z22" s="1438"/>
      <c r="AA22" s="1438"/>
      <c r="AB22" s="1438"/>
      <c r="AC22" s="1438"/>
      <c r="AD22" s="1438"/>
      <c r="AE22" s="1438"/>
      <c r="AF22" s="1438"/>
      <c r="AG22" s="1438"/>
      <c r="AH22" s="1439"/>
      <c r="AI22" s="63"/>
      <c r="AJ22" s="63"/>
      <c r="AK22" s="63"/>
      <c r="AL22" s="2216" t="s">
        <v>1752</v>
      </c>
      <c r="AM22" s="2216"/>
      <c r="AN22" s="2216" t="s">
        <v>1332</v>
      </c>
      <c r="AO22" s="2216"/>
      <c r="AP22" s="151"/>
      <c r="AQ22" s="151"/>
      <c r="AR22" s="2206" t="s">
        <v>1333</v>
      </c>
      <c r="AS22" s="2206"/>
      <c r="AT22" s="34"/>
      <c r="AU22" s="34"/>
      <c r="AV22" s="34"/>
      <c r="AW22" s="34"/>
      <c r="AX22" s="34"/>
      <c r="AY22" s="34"/>
      <c r="AZ22" s="34"/>
      <c r="BA22" s="34"/>
      <c r="BB22" s="34"/>
      <c r="BC22" s="34"/>
      <c r="BD22" s="63"/>
      <c r="BE22" s="34"/>
      <c r="BF22" s="34"/>
      <c r="BG22" s="34"/>
      <c r="BH22" s="63"/>
      <c r="BI22" s="34"/>
      <c r="BJ22" s="34"/>
      <c r="BK22" s="34"/>
      <c r="BL22" s="63"/>
      <c r="BM22" s="34"/>
      <c r="BN22" s="34"/>
      <c r="BO22" s="34"/>
      <c r="BP22" s="63"/>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219"/>
      <c r="GM22" s="219"/>
      <c r="GN22" s="219"/>
      <c r="GO22" s="219"/>
      <c r="GP22" s="219"/>
      <c r="GQ22" s="219"/>
      <c r="GR22" s="219"/>
      <c r="GS22" s="219"/>
      <c r="GT22" s="219"/>
      <c r="GU22" s="219"/>
      <c r="GV22" s="219"/>
      <c r="GW22" s="219"/>
      <c r="GX22" s="219"/>
      <c r="GY22" s="219"/>
      <c r="GZ22" s="219"/>
      <c r="HA22" s="219"/>
      <c r="HB22" s="219"/>
      <c r="HC22" s="219"/>
      <c r="HD22" s="219"/>
      <c r="HE22" s="219"/>
      <c r="HF22" s="219"/>
    </row>
    <row r="23" spans="1:214" ht="18.95" customHeight="1" x14ac:dyDescent="0.2">
      <c r="B23" s="1410" t="s">
        <v>1334</v>
      </c>
      <c r="C23" s="1410"/>
      <c r="D23" s="1410"/>
      <c r="E23" s="1410"/>
      <c r="F23" s="1410"/>
      <c r="G23" s="1410"/>
      <c r="H23" s="1345"/>
      <c r="I23" s="1501"/>
      <c r="J23" s="1440"/>
      <c r="K23" s="2083" t="str">
        <f>IF(AK21=1,85,IF(AL23&lt;&gt;"",AL23,IF(H23&gt;85,85,IF(H23="","",H23))))</f>
        <v/>
      </c>
      <c r="L23" s="2083"/>
      <c r="M23" s="2083"/>
      <c r="N23" s="1536" t="s">
        <v>1754</v>
      </c>
      <c r="O23" s="1536"/>
      <c r="P23" s="1536"/>
      <c r="Q23" s="1536"/>
      <c r="R23" s="2228"/>
      <c r="S23" s="1410" t="s">
        <v>1334</v>
      </c>
      <c r="T23" s="1410"/>
      <c r="U23" s="1410"/>
      <c r="V23" s="1410"/>
      <c r="W23" s="1410"/>
      <c r="X23" s="1410"/>
      <c r="Y23" s="1345"/>
      <c r="Z23" s="1501"/>
      <c r="AA23" s="1440"/>
      <c r="AB23" s="2083" t="str">
        <f>IF(AL21=1,85,IF(AN23&lt;&gt;"",AN23,IF(Y23&gt;85,85,IF(Y23="","",Y23))))</f>
        <v/>
      </c>
      <c r="AC23" s="2083"/>
      <c r="AD23" s="2083"/>
      <c r="AE23" s="1598" t="s">
        <v>1754</v>
      </c>
      <c r="AF23" s="1599"/>
      <c r="AG23" s="1599"/>
      <c r="AH23" s="1600"/>
      <c r="AI23" s="63"/>
      <c r="AJ23" s="63"/>
      <c r="AK23" s="63"/>
      <c r="AL23" s="66" t="str">
        <f>IF(OR(N25="GHA",N25="HAB", N25="EFGHA",N25="FGHAB",N25="GHABC",N25="HABCD"),0,IF(N25="ABC",75,IF(N25="ABCDE",72,"")))</f>
        <v/>
      </c>
      <c r="AM23" s="66">
        <f t="shared" ref="AM23:AM31" si="0">IF(AND(H23&gt;0,K23=0),1,0)</f>
        <v>0</v>
      </c>
      <c r="AN23" s="66" t="str">
        <f>IF(OR(AE25="GHA",AE25="HAB", AE25="EFGHA",AE25="FGHAB",AE25="GHABC",AE25="HABCD"),0,IF(AE25="ABC",75,IF(AE25="ABCDE",72,"")))</f>
        <v/>
      </c>
      <c r="AO23" s="66">
        <f t="shared" ref="AO23:AO31" si="1">IF(AND(Y23&gt;0,AB23=0),1,0)</f>
        <v>0</v>
      </c>
      <c r="AP23" s="6"/>
      <c r="AQ23" s="6"/>
      <c r="AR23" s="66" t="str">
        <f t="shared" ref="AR23:AR30" si="2">IF(K23="","",1)</f>
        <v/>
      </c>
      <c r="AS23" s="66" t="str">
        <f t="shared" ref="AS23:AS30" si="3">IF(AB23="","",1)</f>
        <v/>
      </c>
      <c r="AT23" s="34"/>
      <c r="AU23" s="34"/>
      <c r="AV23" s="34"/>
      <c r="AW23" s="34"/>
      <c r="AX23" s="34"/>
      <c r="AY23" s="34"/>
      <c r="AZ23" s="34"/>
      <c r="BA23" s="34"/>
      <c r="BB23" s="34"/>
      <c r="BC23" s="34"/>
      <c r="BD23" s="34"/>
      <c r="BE23" s="122"/>
      <c r="BF23" s="122"/>
      <c r="BG23" s="34"/>
      <c r="BH23" s="34"/>
      <c r="BI23" s="34"/>
      <c r="BJ23" s="122"/>
      <c r="BK23" s="34"/>
      <c r="BL23" s="34"/>
      <c r="BM23" s="34"/>
      <c r="BN23" s="122"/>
      <c r="BO23" s="34"/>
      <c r="BP23" s="34"/>
      <c r="BQ23" s="34"/>
      <c r="BR23" s="122"/>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219"/>
      <c r="GM23" s="219"/>
      <c r="GN23" s="219"/>
      <c r="GO23" s="219"/>
      <c r="GP23" s="219"/>
      <c r="GQ23" s="219"/>
      <c r="GR23" s="219"/>
      <c r="GS23" s="219"/>
      <c r="GT23" s="219"/>
      <c r="GU23" s="219"/>
      <c r="GV23" s="219"/>
      <c r="GW23" s="219"/>
      <c r="GX23" s="219"/>
      <c r="GY23" s="219"/>
      <c r="GZ23" s="219"/>
      <c r="HA23" s="219"/>
      <c r="HB23" s="219"/>
      <c r="HC23" s="219"/>
      <c r="HD23" s="219"/>
      <c r="HE23" s="219"/>
      <c r="HF23" s="219"/>
    </row>
    <row r="24" spans="1:214" ht="18.95" customHeight="1" x14ac:dyDescent="0.2">
      <c r="B24" s="1410" t="s">
        <v>1755</v>
      </c>
      <c r="C24" s="1410"/>
      <c r="D24" s="1410"/>
      <c r="E24" s="1410"/>
      <c r="F24" s="1410"/>
      <c r="G24" s="1410"/>
      <c r="H24" s="1345"/>
      <c r="I24" s="1501"/>
      <c r="J24" s="1440"/>
      <c r="K24" s="2083" t="str">
        <f>IF(AK21=1,85,IF(AL24&lt;&gt;"",AL24,IF(H24&gt;85,85,IF(H24="","",H24))))</f>
        <v/>
      </c>
      <c r="L24" s="2083"/>
      <c r="M24" s="2083"/>
      <c r="N24" s="1536"/>
      <c r="O24" s="1536"/>
      <c r="P24" s="1536"/>
      <c r="Q24" s="1536"/>
      <c r="R24" s="2228"/>
      <c r="S24" s="1410" t="s">
        <v>1755</v>
      </c>
      <c r="T24" s="1410"/>
      <c r="U24" s="1410"/>
      <c r="V24" s="1410"/>
      <c r="W24" s="1410"/>
      <c r="X24" s="1410"/>
      <c r="Y24" s="1345"/>
      <c r="Z24" s="1501"/>
      <c r="AA24" s="1440"/>
      <c r="AB24" s="2083" t="str">
        <f>IF(AL21=1,85,IF(AN24&lt;&gt;"",AN24,IF(Y24&gt;85,85,IF(Y24="","",Y24))))</f>
        <v/>
      </c>
      <c r="AC24" s="2083"/>
      <c r="AD24" s="2083"/>
      <c r="AE24" s="1604"/>
      <c r="AF24" s="1605"/>
      <c r="AG24" s="1605"/>
      <c r="AH24" s="1606"/>
      <c r="AI24" s="63"/>
      <c r="AJ24" s="63"/>
      <c r="AK24" s="63"/>
      <c r="AL24" s="66" t="str">
        <f>IF(OR(N25="HAB",N25="ABC", N25="FGHAB",N25="GHABC",N25="HABCD",N25="ABCDE"),0,IF(N25="BCD",67,IF(N25="BCDEF",70,"")))</f>
        <v/>
      </c>
      <c r="AM24" s="66">
        <f t="shared" si="0"/>
        <v>0</v>
      </c>
      <c r="AN24" s="66" t="str">
        <f>IF(OR(AE25="HAB",AE25="ABC", AE25="FGHAB",AE25="GHABC",AE25="HABCD",AE25="ABCDE"),0,IF(AE25="BCD",67,IF(AE25="BCDEF",70,"")))</f>
        <v/>
      </c>
      <c r="AO24" s="66">
        <f t="shared" si="1"/>
        <v>0</v>
      </c>
      <c r="AP24" s="6"/>
      <c r="AQ24" s="6"/>
      <c r="AR24" s="66" t="str">
        <f t="shared" si="2"/>
        <v/>
      </c>
      <c r="AS24" s="66" t="str">
        <f t="shared" si="3"/>
        <v/>
      </c>
      <c r="AT24" s="34"/>
      <c r="AU24" s="34"/>
      <c r="AV24" s="34"/>
      <c r="AW24" s="34"/>
      <c r="AX24" s="34"/>
      <c r="AY24" s="34"/>
      <c r="AZ24" s="34"/>
      <c r="BA24" s="34"/>
      <c r="BB24" s="34"/>
      <c r="BC24" s="34"/>
      <c r="BD24" s="34"/>
      <c r="BE24" s="122"/>
      <c r="BF24" s="122"/>
      <c r="BG24" s="34"/>
      <c r="BH24" s="34"/>
      <c r="BI24" s="34"/>
      <c r="BJ24" s="122"/>
      <c r="BK24" s="34"/>
      <c r="BL24" s="34"/>
      <c r="BM24" s="34"/>
      <c r="BN24" s="122"/>
      <c r="BO24" s="34"/>
      <c r="BP24" s="34"/>
      <c r="BQ24" s="34"/>
      <c r="BR24" s="122"/>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219"/>
      <c r="GM24" s="219"/>
      <c r="GN24" s="219"/>
      <c r="GO24" s="219"/>
      <c r="GP24" s="219"/>
      <c r="GQ24" s="219"/>
      <c r="GR24" s="219"/>
      <c r="GS24" s="219"/>
      <c r="GT24" s="219"/>
      <c r="GU24" s="219"/>
      <c r="GV24" s="219"/>
      <c r="GW24" s="219"/>
      <c r="GX24" s="219"/>
      <c r="GY24" s="219"/>
      <c r="GZ24" s="219"/>
      <c r="HA24" s="219"/>
      <c r="HB24" s="219"/>
      <c r="HC24" s="219"/>
      <c r="HD24" s="219"/>
      <c r="HE24" s="219"/>
      <c r="HF24" s="219"/>
    </row>
    <row r="25" spans="1:214" ht="18.95" customHeight="1" x14ac:dyDescent="0.2">
      <c r="B25" s="1410" t="s">
        <v>1756</v>
      </c>
      <c r="C25" s="1410"/>
      <c r="D25" s="1410"/>
      <c r="E25" s="1410"/>
      <c r="F25" s="1410"/>
      <c r="G25" s="1410"/>
      <c r="H25" s="1345"/>
      <c r="I25" s="1501"/>
      <c r="J25" s="1440"/>
      <c r="K25" s="2083" t="str">
        <f>IF(AK21=1,65,IF(AL25&lt;&gt;"",AL25,IF(H25&gt;65,65,IF(H25="","",H25))))</f>
        <v/>
      </c>
      <c r="L25" s="2083"/>
      <c r="M25" s="2083"/>
      <c r="N25" s="1637"/>
      <c r="O25" s="1637"/>
      <c r="P25" s="1637"/>
      <c r="Q25" s="1637"/>
      <c r="R25" s="2228"/>
      <c r="S25" s="1410" t="s">
        <v>1756</v>
      </c>
      <c r="T25" s="1410"/>
      <c r="U25" s="1410"/>
      <c r="V25" s="1410"/>
      <c r="W25" s="1410"/>
      <c r="X25" s="1410"/>
      <c r="Y25" s="1345"/>
      <c r="Z25" s="1501"/>
      <c r="AA25" s="1440"/>
      <c r="AB25" s="2083" t="str">
        <f>IF(AL21=1,65,IF(AN25&lt;&gt;"",AN25,IF(Y25&gt;65,65,IF(Y25="","",Y25))))</f>
        <v/>
      </c>
      <c r="AC25" s="2083"/>
      <c r="AD25" s="2083"/>
      <c r="AE25" s="1637"/>
      <c r="AF25" s="1637"/>
      <c r="AG25" s="1637"/>
      <c r="AH25" s="1637"/>
      <c r="AI25" s="63"/>
      <c r="AJ25" s="63"/>
      <c r="AK25" s="63"/>
      <c r="AL25" s="66" t="str">
        <f>IF(OR(N25="ABC",N25="BCD", N25="GHABC",N25="HABCD",N25="ABCDE",N25="BCDEF"),0,IF(N25="CDE",62,IF(N25="CDEFG",55,"")))</f>
        <v/>
      </c>
      <c r="AM25" s="66">
        <f t="shared" si="0"/>
        <v>0</v>
      </c>
      <c r="AN25" s="66" t="str">
        <f>IF(OR(AE25="ABC",AE25="BCD", AE25="GHABC",AE25="HABCD",AE25="ABCDE",AE25="BCDEF"),0,IF(AE25="CDE",62,IF(AE25="CDEFG",55,"")))</f>
        <v/>
      </c>
      <c r="AO25" s="66">
        <f t="shared" si="1"/>
        <v>0</v>
      </c>
      <c r="AP25" s="6"/>
      <c r="AQ25" s="6"/>
      <c r="AR25" s="66" t="str">
        <f t="shared" si="2"/>
        <v/>
      </c>
      <c r="AS25" s="66" t="str">
        <f t="shared" si="3"/>
        <v/>
      </c>
      <c r="AT25" s="34"/>
      <c r="AU25" s="34"/>
      <c r="AV25" s="34"/>
      <c r="AW25" s="34"/>
      <c r="AX25" s="34"/>
      <c r="AY25" s="34"/>
      <c r="AZ25" s="34"/>
      <c r="BA25" s="34"/>
      <c r="BB25" s="34"/>
      <c r="BC25" s="34"/>
      <c r="BD25" s="34"/>
      <c r="BE25" s="122"/>
      <c r="BF25" s="122"/>
      <c r="BG25" s="34"/>
      <c r="BH25" s="34"/>
      <c r="BI25" s="34"/>
      <c r="BJ25" s="122"/>
      <c r="BK25" s="34"/>
      <c r="BL25" s="34"/>
      <c r="BM25" s="34"/>
      <c r="BN25" s="122"/>
      <c r="BO25" s="34"/>
      <c r="BP25" s="34"/>
      <c r="BQ25" s="34"/>
      <c r="BR25" s="122"/>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219"/>
      <c r="GM25" s="219"/>
      <c r="GN25" s="219"/>
      <c r="GO25" s="219"/>
      <c r="GP25" s="219"/>
      <c r="GQ25" s="219"/>
      <c r="GR25" s="219"/>
      <c r="GS25" s="219"/>
      <c r="GT25" s="219"/>
      <c r="GU25" s="219"/>
      <c r="GV25" s="219"/>
      <c r="GW25" s="219"/>
      <c r="GX25" s="219"/>
      <c r="GY25" s="219"/>
      <c r="GZ25" s="219"/>
      <c r="HA25" s="219"/>
      <c r="HB25" s="219"/>
      <c r="HC25" s="219"/>
      <c r="HD25" s="219"/>
      <c r="HE25" s="219"/>
      <c r="HF25" s="219"/>
    </row>
    <row r="26" spans="1:214" ht="18.95" customHeight="1" x14ac:dyDescent="0.2">
      <c r="B26" s="1410" t="s">
        <v>394</v>
      </c>
      <c r="C26" s="1410"/>
      <c r="D26" s="1410"/>
      <c r="E26" s="1410"/>
      <c r="F26" s="1410"/>
      <c r="G26" s="1410"/>
      <c r="H26" s="1345"/>
      <c r="I26" s="1501"/>
      <c r="J26" s="1440"/>
      <c r="K26" s="2083" t="str">
        <f>IF(AK21=1,50,IF(AL26&lt;&gt;"",AL26,IF(H26&gt;50,50,IF(H26="","",H26))))</f>
        <v/>
      </c>
      <c r="L26" s="2083"/>
      <c r="M26" s="2083"/>
      <c r="N26" s="2207" t="str">
        <f>IF(AND(AM21&gt;0,K32&lt;&gt;""),AL33,IF(AM32&gt;0,AM33,IF(OR(AP30=K31,AR32=1),AN33,"")))</f>
        <v/>
      </c>
      <c r="O26" s="2208"/>
      <c r="P26" s="2208"/>
      <c r="Q26" s="2209"/>
      <c r="R26" s="2228"/>
      <c r="S26" s="1410" t="s">
        <v>394</v>
      </c>
      <c r="T26" s="1410"/>
      <c r="U26" s="1410"/>
      <c r="V26" s="1410"/>
      <c r="W26" s="1410"/>
      <c r="X26" s="1410"/>
      <c r="Y26" s="1345"/>
      <c r="Z26" s="1501"/>
      <c r="AA26" s="1440"/>
      <c r="AB26" s="2083" t="str">
        <f>IF(AL21=1,50,IF(AN26&lt;&gt;"",AN26,IF(Y26&gt;50,50,IF(Y26="","",Y26))))</f>
        <v/>
      </c>
      <c r="AC26" s="2083"/>
      <c r="AD26" s="2083"/>
      <c r="AE26" s="2207" t="str">
        <f>IF(AND(AN21&gt;0,AB32&lt;&gt;""),AL33,IF(AO32&gt;0,AM33,IF(OR(AQ30=AB31,AS32=1),AN33,"")))</f>
        <v/>
      </c>
      <c r="AF26" s="2208"/>
      <c r="AG26" s="2208"/>
      <c r="AH26" s="2209"/>
      <c r="AI26" s="63"/>
      <c r="AJ26" s="63"/>
      <c r="AK26" s="63"/>
      <c r="AL26" s="66" t="str">
        <f>IF(OR(N25="BCD",N25="CDE", N25="HABCD",N25="ABCDE",N25="BCDEF",N25="CDEFG"),0,IF(N25="DEF",52,IF(N25="DEFGH",52,"")))</f>
        <v/>
      </c>
      <c r="AM26" s="66">
        <f t="shared" si="0"/>
        <v>0</v>
      </c>
      <c r="AN26" s="66" t="str">
        <f>IF(OR(AE25="BCD",AE25="CDE", AE25="HABCD",AE25="ABCDE",AE25="BCDEF",AE25="CDEFG"),0,IF(AE25="DEF",52,IF(AE25="DEFGH",52,"")))</f>
        <v/>
      </c>
      <c r="AO26" s="66">
        <f t="shared" si="1"/>
        <v>0</v>
      </c>
      <c r="AP26" s="6"/>
      <c r="AQ26" s="6"/>
      <c r="AR26" s="66" t="str">
        <f t="shared" si="2"/>
        <v/>
      </c>
      <c r="AS26" s="66" t="str">
        <f t="shared" si="3"/>
        <v/>
      </c>
      <c r="AT26" s="34"/>
      <c r="AU26" s="34"/>
      <c r="AV26" s="34"/>
      <c r="AW26" s="34"/>
      <c r="AX26" s="34"/>
      <c r="AY26" s="34"/>
      <c r="AZ26" s="34"/>
      <c r="BA26" s="34"/>
      <c r="BB26" s="34"/>
      <c r="BC26" s="34"/>
      <c r="BD26" s="34"/>
      <c r="BE26" s="122"/>
      <c r="BF26" s="122"/>
      <c r="BG26" s="34"/>
      <c r="BH26" s="34"/>
      <c r="BI26" s="34"/>
      <c r="BJ26" s="122"/>
      <c r="BK26" s="34"/>
      <c r="BL26" s="34"/>
      <c r="BM26" s="34"/>
      <c r="BN26" s="122"/>
      <c r="BO26" s="34"/>
      <c r="BP26" s="34"/>
      <c r="BQ26" s="34"/>
      <c r="BR26" s="122"/>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219"/>
      <c r="GM26" s="219"/>
      <c r="GN26" s="219"/>
      <c r="GO26" s="219"/>
      <c r="GP26" s="219"/>
      <c r="GQ26" s="219"/>
      <c r="GR26" s="219"/>
      <c r="GS26" s="219"/>
      <c r="GT26" s="219"/>
      <c r="GU26" s="219"/>
      <c r="GV26" s="219"/>
      <c r="GW26" s="219"/>
      <c r="GX26" s="219"/>
      <c r="GY26" s="219"/>
      <c r="GZ26" s="219"/>
      <c r="HA26" s="219"/>
      <c r="HB26" s="219"/>
      <c r="HC26" s="219"/>
      <c r="HD26" s="219"/>
      <c r="HE26" s="219"/>
      <c r="HF26" s="219"/>
    </row>
    <row r="27" spans="1:214" ht="18.95" customHeight="1" x14ac:dyDescent="0.2">
      <c r="B27" s="1410" t="s">
        <v>395</v>
      </c>
      <c r="C27" s="1410"/>
      <c r="D27" s="1410"/>
      <c r="E27" s="1410"/>
      <c r="F27" s="1410"/>
      <c r="G27" s="1410"/>
      <c r="H27" s="1345"/>
      <c r="I27" s="1501"/>
      <c r="J27" s="1440"/>
      <c r="K27" s="2083" t="str">
        <f>IF(AK21=1,60,IF(AL27&lt;&gt;"",AL27,IF(H27&gt;60,60,IF(H27="","",H27))))</f>
        <v/>
      </c>
      <c r="L27" s="2083"/>
      <c r="M27" s="2083"/>
      <c r="N27" s="2210"/>
      <c r="O27" s="2211"/>
      <c r="P27" s="2211"/>
      <c r="Q27" s="2212"/>
      <c r="R27" s="2228"/>
      <c r="S27" s="1410" t="s">
        <v>395</v>
      </c>
      <c r="T27" s="1410"/>
      <c r="U27" s="1410"/>
      <c r="V27" s="1410"/>
      <c r="W27" s="1410"/>
      <c r="X27" s="1410"/>
      <c r="Y27" s="1345"/>
      <c r="Z27" s="1501"/>
      <c r="AA27" s="1440"/>
      <c r="AB27" s="2083" t="str">
        <f>IF(AL21=1,60,IF(AN27&lt;&gt;"",AN27,IF(Y27&gt;60,60,IF(Y27="","",Y27))))</f>
        <v/>
      </c>
      <c r="AC27" s="2083"/>
      <c r="AD27" s="2083"/>
      <c r="AE27" s="2210"/>
      <c r="AF27" s="2211"/>
      <c r="AG27" s="2211"/>
      <c r="AH27" s="2212"/>
      <c r="AI27" s="63"/>
      <c r="AJ27" s="63"/>
      <c r="AK27" s="63"/>
      <c r="AL27" s="66" t="str">
        <f>IF(OR(N25="CDE",N25="DEF", N25="ABCDE",N25="BCDEF",N25="CDEFG",N25="DEFGH"),0,IF(N25="EFG",52,IF(N25="EFGHA",72,"")))</f>
        <v/>
      </c>
      <c r="AM27" s="66">
        <f t="shared" si="0"/>
        <v>0</v>
      </c>
      <c r="AN27" s="66" t="str">
        <f>IF(OR(AE25="CDE",AE25="DEF", AE25="ABCDE",AE25="BCDEF",AE25="CDEFG",AE25="DEFGH"),0,IF(AE25="EFG",52,IF(AE25="EFGHA",72,"")))</f>
        <v/>
      </c>
      <c r="AO27" s="66">
        <f t="shared" si="1"/>
        <v>0</v>
      </c>
      <c r="AP27" s="6"/>
      <c r="AQ27" s="6"/>
      <c r="AR27" s="66" t="str">
        <f t="shared" si="2"/>
        <v/>
      </c>
      <c r="AS27" s="66" t="str">
        <f t="shared" si="3"/>
        <v/>
      </c>
      <c r="AT27" s="34"/>
      <c r="AU27" s="34"/>
      <c r="AV27" s="34"/>
      <c r="AW27" s="34"/>
      <c r="AX27" s="34"/>
      <c r="AY27" s="34"/>
      <c r="AZ27" s="34"/>
      <c r="BA27" s="34"/>
      <c r="BB27" s="34"/>
      <c r="BC27" s="34"/>
      <c r="BD27" s="34"/>
      <c r="BE27" s="122"/>
      <c r="BF27" s="122"/>
      <c r="BG27" s="34"/>
      <c r="BH27" s="34"/>
      <c r="BI27" s="34"/>
      <c r="BJ27" s="122"/>
      <c r="BK27" s="34"/>
      <c r="BL27" s="34"/>
      <c r="BM27" s="34"/>
      <c r="BN27" s="122"/>
      <c r="BO27" s="34"/>
      <c r="BP27" s="34"/>
      <c r="BQ27" s="34"/>
      <c r="BR27" s="122"/>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219"/>
      <c r="GM27" s="219"/>
      <c r="GN27" s="219"/>
      <c r="GO27" s="219"/>
      <c r="GP27" s="219"/>
      <c r="GQ27" s="219"/>
      <c r="GR27" s="219"/>
      <c r="GS27" s="219"/>
      <c r="GT27" s="219"/>
      <c r="GU27" s="219"/>
      <c r="GV27" s="219"/>
      <c r="GW27" s="219"/>
      <c r="GX27" s="219"/>
      <c r="GY27" s="219"/>
      <c r="GZ27" s="219"/>
      <c r="HA27" s="219"/>
      <c r="HB27" s="219"/>
      <c r="HC27" s="219"/>
      <c r="HD27" s="219"/>
      <c r="HE27" s="219"/>
      <c r="HF27" s="219"/>
    </row>
    <row r="28" spans="1:214" ht="18.95" customHeight="1" x14ac:dyDescent="0.2">
      <c r="B28" s="1410" t="s">
        <v>396</v>
      </c>
      <c r="C28" s="1410"/>
      <c r="D28" s="1410"/>
      <c r="E28" s="1410"/>
      <c r="F28" s="1410"/>
      <c r="G28" s="1410"/>
      <c r="H28" s="1345"/>
      <c r="I28" s="1501"/>
      <c r="J28" s="1440"/>
      <c r="K28" s="2083" t="str">
        <f>IF(AK21=1,55,IF(AL28&lt;&gt;"",AL28,IF(H28&gt;55,55,IF(H28="","",H28))))</f>
        <v/>
      </c>
      <c r="L28" s="2083"/>
      <c r="M28" s="2083"/>
      <c r="N28" s="2210"/>
      <c r="O28" s="2211"/>
      <c r="P28" s="2211"/>
      <c r="Q28" s="2212"/>
      <c r="R28" s="2228"/>
      <c r="S28" s="1410" t="s">
        <v>396</v>
      </c>
      <c r="T28" s="1410"/>
      <c r="U28" s="1410"/>
      <c r="V28" s="1410"/>
      <c r="W28" s="1410"/>
      <c r="X28" s="1410"/>
      <c r="Y28" s="1345"/>
      <c r="Z28" s="1501"/>
      <c r="AA28" s="1440"/>
      <c r="AB28" s="2083" t="str">
        <f>IF(AL21=1,55,IF(AN28&lt;&gt;"",AN28,IF(Y28&gt;55,55,IF(Y28="","",Y28))))</f>
        <v/>
      </c>
      <c r="AC28" s="2083"/>
      <c r="AD28" s="2083"/>
      <c r="AE28" s="2210"/>
      <c r="AF28" s="2211"/>
      <c r="AG28" s="2211"/>
      <c r="AH28" s="2212"/>
      <c r="AI28" s="63"/>
      <c r="AJ28" s="63"/>
      <c r="AK28" s="63"/>
      <c r="AL28" s="66" t="str">
        <f>IF(OR(N25="DEF",N25="EFG", N25="BCDEF",N25="CDEFG",N25="DEFGH",N25="EFGHA"),0,IF(N25="FGH",55,IF(N25="FGHAB",70,"")))</f>
        <v/>
      </c>
      <c r="AM28" s="66">
        <f t="shared" si="0"/>
        <v>0</v>
      </c>
      <c r="AN28" s="66" t="str">
        <f>IF(OR(AE25="DEF",AE25="EFG", AE25="BCDEF",AE25="CDEFG",AE25="DEFGH",AE25="EFGHA"),0,IF(AE25="FGH",55,IF(AE25="FGHAB",70,"")))</f>
        <v/>
      </c>
      <c r="AO28" s="66">
        <f t="shared" si="1"/>
        <v>0</v>
      </c>
      <c r="AP28" s="6"/>
      <c r="AQ28" s="6"/>
      <c r="AR28" s="66" t="str">
        <f t="shared" si="2"/>
        <v/>
      </c>
      <c r="AS28" s="66" t="str">
        <f t="shared" si="3"/>
        <v/>
      </c>
      <c r="AT28" s="34"/>
      <c r="AU28" s="34"/>
      <c r="AV28" s="34"/>
      <c r="AW28" s="34"/>
      <c r="AX28" s="34"/>
      <c r="AY28" s="34"/>
      <c r="AZ28" s="34"/>
      <c r="BA28" s="34"/>
      <c r="BB28" s="34"/>
      <c r="BC28" s="34"/>
      <c r="BD28" s="34"/>
      <c r="BE28" s="122"/>
      <c r="BF28" s="122"/>
      <c r="BG28" s="34"/>
      <c r="BH28" s="34"/>
      <c r="BI28" s="34"/>
      <c r="BJ28" s="122"/>
      <c r="BK28" s="34"/>
      <c r="BL28" s="34"/>
      <c r="BM28" s="34"/>
      <c r="BN28" s="122"/>
      <c r="BO28" s="34"/>
      <c r="BP28" s="34"/>
      <c r="BQ28" s="34"/>
      <c r="BR28" s="122"/>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219"/>
      <c r="GM28" s="219"/>
      <c r="GN28" s="219"/>
      <c r="GO28" s="219"/>
      <c r="GP28" s="219"/>
      <c r="GQ28" s="219"/>
      <c r="GR28" s="219"/>
      <c r="GS28" s="219"/>
      <c r="GT28" s="219"/>
      <c r="GU28" s="219"/>
      <c r="GV28" s="219"/>
      <c r="GW28" s="219"/>
      <c r="GX28" s="219"/>
      <c r="GY28" s="219"/>
      <c r="GZ28" s="219"/>
      <c r="HA28" s="219"/>
      <c r="HB28" s="219"/>
      <c r="HC28" s="219"/>
      <c r="HD28" s="219"/>
      <c r="HE28" s="219"/>
      <c r="HF28" s="219"/>
    </row>
    <row r="29" spans="1:214" ht="18.95" customHeight="1" x14ac:dyDescent="0.2">
      <c r="B29" s="1410" t="s">
        <v>397</v>
      </c>
      <c r="C29" s="1410"/>
      <c r="D29" s="1410"/>
      <c r="E29" s="1410"/>
      <c r="F29" s="1410"/>
      <c r="G29" s="1410"/>
      <c r="H29" s="1345"/>
      <c r="I29" s="1501"/>
      <c r="J29" s="1440"/>
      <c r="K29" s="2083" t="str">
        <f>IF(AK21=1,45,IF(AL29&lt;&gt;"",AL29,IF(H29&gt;45,45,IF(H29="","",H29))))</f>
        <v/>
      </c>
      <c r="L29" s="2083"/>
      <c r="M29" s="2083"/>
      <c r="N29" s="2210"/>
      <c r="O29" s="2211"/>
      <c r="P29" s="2211"/>
      <c r="Q29" s="2212"/>
      <c r="R29" s="2228"/>
      <c r="S29" s="1410" t="s">
        <v>397</v>
      </c>
      <c r="T29" s="1410"/>
      <c r="U29" s="1410"/>
      <c r="V29" s="1410"/>
      <c r="W29" s="1410"/>
      <c r="X29" s="1410"/>
      <c r="Y29" s="1345"/>
      <c r="Z29" s="1501"/>
      <c r="AA29" s="1440"/>
      <c r="AB29" s="2083" t="str">
        <f>IF(AL21=1,45,IF(AN29&lt;&gt;"",AN29,IF(Y29&gt;45,45,IF(Y29="","",Y29))))</f>
        <v/>
      </c>
      <c r="AC29" s="2083"/>
      <c r="AD29" s="2083"/>
      <c r="AE29" s="2210"/>
      <c r="AF29" s="2211"/>
      <c r="AG29" s="2211"/>
      <c r="AH29" s="2212"/>
      <c r="AI29" s="63"/>
      <c r="AJ29" s="63"/>
      <c r="AK29" s="63"/>
      <c r="AL29" s="66" t="str">
        <f>IF(OR(N25="EFG",N25="FGH", N25="CDEFG",N25="DEFGH",N25="EFGHA",N25="FGHAB"),0,IF(N25="GHA",65,IF(N25="GHABC",55,"")))</f>
        <v/>
      </c>
      <c r="AM29" s="66">
        <f t="shared" si="0"/>
        <v>0</v>
      </c>
      <c r="AN29" s="66" t="str">
        <f>IF(OR(AE25="EFG",AE25="FGH", AE25="CDEFG",AE25="DEFGH",AE25="EFGHA",AE25="FGHAB"),0,IF(AE25="GHA",65,IF(AE25="GHABC",55,"")))</f>
        <v/>
      </c>
      <c r="AO29" s="66">
        <f t="shared" si="1"/>
        <v>0</v>
      </c>
      <c r="AP29" s="2206" t="s">
        <v>398</v>
      </c>
      <c r="AQ29" s="2238"/>
      <c r="AR29" s="66" t="str">
        <f t="shared" si="2"/>
        <v/>
      </c>
      <c r="AS29" s="66" t="str">
        <f t="shared" si="3"/>
        <v/>
      </c>
      <c r="AT29" s="34"/>
      <c r="AU29" s="34"/>
      <c r="AV29" s="34"/>
      <c r="AW29" s="34"/>
      <c r="AX29" s="34"/>
      <c r="AY29" s="34"/>
      <c r="AZ29" s="34"/>
      <c r="BA29" s="34"/>
      <c r="BB29" s="34"/>
      <c r="BC29" s="34"/>
      <c r="BD29" s="34"/>
      <c r="BE29" s="122"/>
      <c r="BF29" s="122"/>
      <c r="BG29" s="34"/>
      <c r="BH29" s="34"/>
      <c r="BI29" s="34"/>
      <c r="BJ29" s="122"/>
      <c r="BK29" s="34"/>
      <c r="BL29" s="34"/>
      <c r="BM29" s="34"/>
      <c r="BN29" s="122"/>
      <c r="BO29" s="34"/>
      <c r="BP29" s="34"/>
      <c r="BQ29" s="34"/>
      <c r="BR29" s="122"/>
      <c r="BS29" s="34"/>
      <c r="BT29" s="34"/>
      <c r="BU29" s="34"/>
      <c r="BV29" s="34"/>
      <c r="BW29" s="34"/>
      <c r="BX29" s="34"/>
      <c r="BY29" s="34"/>
      <c r="BZ29" s="34"/>
      <c r="CA29" s="34"/>
      <c r="CB29" s="34"/>
      <c r="CC29" s="34"/>
      <c r="CD29" s="34"/>
      <c r="CE29" s="34"/>
      <c r="CF29" s="34"/>
      <c r="CG29" s="34"/>
      <c r="CH29" s="34"/>
      <c r="CI29" s="34"/>
      <c r="CJ29" s="34"/>
      <c r="CK29" s="34"/>
      <c r="CL29" s="34"/>
      <c r="CM29" s="34"/>
      <c r="CN29" s="34"/>
      <c r="CO29" s="34"/>
      <c r="CP29" s="34"/>
      <c r="CQ29" s="34"/>
      <c r="CR29" s="34"/>
      <c r="CS29" s="34"/>
      <c r="CT29" s="34"/>
      <c r="CU29" s="34"/>
      <c r="CV29" s="34"/>
      <c r="CW29" s="34"/>
      <c r="CX29" s="34"/>
      <c r="CY29" s="34"/>
      <c r="CZ29" s="34"/>
      <c r="DA29" s="34"/>
      <c r="DB29" s="34"/>
      <c r="DC29" s="34"/>
      <c r="DD29" s="34"/>
      <c r="DE29" s="34"/>
      <c r="DF29" s="34"/>
      <c r="DG29" s="34"/>
      <c r="DH29" s="34"/>
      <c r="DI29" s="34"/>
      <c r="DJ29" s="34"/>
      <c r="DK29" s="34"/>
      <c r="DL29" s="34"/>
      <c r="DM29" s="34"/>
      <c r="DN29" s="34"/>
      <c r="DO29" s="34"/>
      <c r="DP29" s="34"/>
      <c r="DQ29" s="34"/>
      <c r="DR29" s="34"/>
      <c r="DS29" s="34"/>
      <c r="DT29" s="34"/>
      <c r="DU29" s="34"/>
      <c r="DV29" s="34"/>
      <c r="DW29" s="34"/>
      <c r="DX29" s="34"/>
      <c r="DY29" s="34"/>
      <c r="DZ29" s="34"/>
      <c r="EA29" s="34"/>
      <c r="EB29" s="34"/>
      <c r="EC29" s="34"/>
      <c r="ED29" s="34"/>
      <c r="EE29" s="34"/>
      <c r="EF29" s="34"/>
      <c r="EG29" s="34"/>
      <c r="EH29" s="34"/>
      <c r="EI29" s="34"/>
      <c r="EJ29" s="34"/>
      <c r="EK29" s="34"/>
      <c r="EL29" s="34"/>
      <c r="EM29" s="34"/>
      <c r="EN29" s="34"/>
      <c r="EO29" s="34"/>
      <c r="EP29" s="34"/>
      <c r="EQ29" s="34"/>
      <c r="ER29" s="34"/>
      <c r="ES29" s="34"/>
      <c r="ET29" s="34"/>
      <c r="EU29" s="34"/>
      <c r="EV29" s="34"/>
      <c r="EW29" s="34"/>
      <c r="EX29" s="34"/>
      <c r="EY29" s="34"/>
      <c r="EZ29" s="34"/>
      <c r="FA29" s="34"/>
      <c r="FB29" s="34"/>
      <c r="FC29" s="34"/>
      <c r="FD29" s="34"/>
      <c r="FE29" s="34"/>
      <c r="FF29" s="34"/>
      <c r="FG29" s="34"/>
      <c r="FH29" s="34"/>
      <c r="FI29" s="34"/>
      <c r="FJ29" s="34"/>
      <c r="FK29" s="34"/>
      <c r="FL29" s="34"/>
      <c r="FM29" s="34"/>
      <c r="FN29" s="34"/>
      <c r="FO29" s="34"/>
      <c r="FP29" s="34"/>
      <c r="FQ29" s="34"/>
      <c r="FR29" s="34"/>
      <c r="FS29" s="34"/>
      <c r="FT29" s="34"/>
      <c r="FU29" s="34"/>
      <c r="FV29" s="34"/>
      <c r="FW29" s="34"/>
      <c r="FX29" s="34"/>
      <c r="FY29" s="34"/>
      <c r="FZ29" s="34"/>
      <c r="GA29" s="34"/>
      <c r="GB29" s="34"/>
      <c r="GC29" s="34"/>
      <c r="GD29" s="34"/>
      <c r="GE29" s="34"/>
      <c r="GF29" s="34"/>
      <c r="GG29" s="34"/>
      <c r="GH29" s="34"/>
      <c r="GI29" s="34"/>
      <c r="GJ29" s="34"/>
      <c r="GK29" s="34"/>
      <c r="GL29" s="219"/>
      <c r="GM29" s="219"/>
      <c r="GN29" s="219"/>
      <c r="GO29" s="219"/>
      <c r="GP29" s="219"/>
      <c r="GQ29" s="219"/>
      <c r="GR29" s="219"/>
      <c r="GS29" s="219"/>
      <c r="GT29" s="219"/>
      <c r="GU29" s="219"/>
      <c r="GV29" s="219"/>
      <c r="GW29" s="219"/>
      <c r="GX29" s="219"/>
      <c r="GY29" s="219"/>
      <c r="GZ29" s="219"/>
      <c r="HA29" s="219"/>
      <c r="HB29" s="219"/>
      <c r="HC29" s="219"/>
      <c r="HD29" s="219"/>
      <c r="HE29" s="219"/>
      <c r="HF29" s="219"/>
    </row>
    <row r="30" spans="1:214" ht="18.95" customHeight="1" x14ac:dyDescent="0.2">
      <c r="B30" s="1410" t="s">
        <v>399</v>
      </c>
      <c r="C30" s="1410"/>
      <c r="D30" s="1410"/>
      <c r="E30" s="1410"/>
      <c r="F30" s="1410"/>
      <c r="G30" s="1410"/>
      <c r="H30" s="1345"/>
      <c r="I30" s="1501"/>
      <c r="J30" s="1440"/>
      <c r="K30" s="2083" t="str">
        <f>IF(AK21=1,55,IF(AL30&lt;&gt;"",AL30,IF(H30&gt;55,55,IF(H30="","",H30))))</f>
        <v/>
      </c>
      <c r="L30" s="2083"/>
      <c r="M30" s="2083"/>
      <c r="N30" s="2210"/>
      <c r="O30" s="2211"/>
      <c r="P30" s="2211"/>
      <c r="Q30" s="2212"/>
      <c r="R30" s="2228"/>
      <c r="S30" s="1410" t="s">
        <v>399</v>
      </c>
      <c r="T30" s="1410"/>
      <c r="U30" s="1410"/>
      <c r="V30" s="1410"/>
      <c r="W30" s="1410"/>
      <c r="X30" s="1410"/>
      <c r="Y30" s="1345"/>
      <c r="Z30" s="1501"/>
      <c r="AA30" s="1440"/>
      <c r="AB30" s="2083" t="str">
        <f>IF(AL21=1,55,IF(AN30&lt;&gt;"",AN30,IF(Y30&gt;55,55,IF(Y30="","",Y30))))</f>
        <v/>
      </c>
      <c r="AC30" s="2083"/>
      <c r="AD30" s="2083"/>
      <c r="AE30" s="2210"/>
      <c r="AF30" s="2211"/>
      <c r="AG30" s="2211"/>
      <c r="AH30" s="2212"/>
      <c r="AI30" s="63"/>
      <c r="AJ30" s="63"/>
      <c r="AK30" s="63"/>
      <c r="AL30" s="66" t="str">
        <f>IF(OR(N25="FGH",N25="GHA", N25="DEFGH",N25="EFGHA",N25="FGHAB",N25="GHABC"),0,IF(N25="HAB",70,IF(N25="HABCD",52,"")))</f>
        <v/>
      </c>
      <c r="AM30" s="66">
        <f t="shared" si="0"/>
        <v>0</v>
      </c>
      <c r="AN30" s="66" t="str">
        <f>IF(OR(AE25="FGH",AE25="GHA", AE25="DEFGH",AE25="EFGHA",AE25="FGHAB",AE25="GHABC"),0,IF(AE25="HAB",70,IF(AE25="HABCD",52,"")))</f>
        <v/>
      </c>
      <c r="AO30" s="66">
        <f t="shared" si="1"/>
        <v>0</v>
      </c>
      <c r="AP30" s="66">
        <f>SUM(K23:K31)</f>
        <v>0</v>
      </c>
      <c r="AQ30" s="152">
        <f>SUM(AB23:AB31)</f>
        <v>0</v>
      </c>
      <c r="AR30" s="66" t="str">
        <f t="shared" si="2"/>
        <v/>
      </c>
      <c r="AS30" s="66" t="str">
        <f t="shared" si="3"/>
        <v/>
      </c>
      <c r="AT30" s="34"/>
      <c r="AU30" s="34"/>
      <c r="AV30" s="34"/>
      <c r="AW30" s="34"/>
      <c r="AX30" s="34"/>
      <c r="AY30" s="34"/>
      <c r="AZ30" s="34"/>
      <c r="BA30" s="34"/>
      <c r="BB30" s="34"/>
      <c r="BC30" s="34"/>
      <c r="BD30" s="34"/>
      <c r="BE30" s="122"/>
      <c r="BF30" s="122"/>
      <c r="BG30" s="34"/>
      <c r="BH30" s="34"/>
      <c r="BI30" s="34"/>
      <c r="BJ30" s="122"/>
      <c r="BK30" s="34"/>
      <c r="BL30" s="34"/>
      <c r="BM30" s="34"/>
      <c r="BN30" s="122"/>
      <c r="BO30" s="34"/>
      <c r="BP30" s="34"/>
      <c r="BQ30" s="34"/>
      <c r="BR30" s="122"/>
      <c r="BS30" s="34"/>
      <c r="BT30" s="34"/>
      <c r="BU30" s="34"/>
      <c r="BV30" s="34"/>
      <c r="BW30" s="34"/>
      <c r="BX30" s="34"/>
      <c r="BY30" s="34"/>
      <c r="BZ30" s="34"/>
      <c r="CA30" s="34"/>
      <c r="CB30" s="34"/>
      <c r="CC30" s="34"/>
      <c r="CD30" s="34"/>
      <c r="CE30" s="34"/>
      <c r="CF30" s="34"/>
      <c r="CG30" s="34"/>
      <c r="CH30" s="34"/>
      <c r="CI30" s="34"/>
      <c r="CJ30" s="34"/>
      <c r="CK30" s="34"/>
      <c r="CL30" s="34"/>
      <c r="CM30" s="34"/>
      <c r="CN30" s="34"/>
      <c r="CO30" s="34"/>
      <c r="CP30" s="34"/>
      <c r="CQ30" s="34"/>
      <c r="CR30" s="34"/>
      <c r="CS30" s="34"/>
      <c r="CT30" s="34"/>
      <c r="CU30" s="34"/>
      <c r="CV30" s="34"/>
      <c r="CW30" s="34"/>
      <c r="CX30" s="34"/>
      <c r="CY30" s="34"/>
      <c r="CZ30" s="34"/>
      <c r="DA30" s="34"/>
      <c r="DB30" s="34"/>
      <c r="DC30" s="34"/>
      <c r="DD30" s="34"/>
      <c r="DE30" s="34"/>
      <c r="DF30" s="34"/>
      <c r="DG30" s="34"/>
      <c r="DH30" s="34"/>
      <c r="DI30" s="34"/>
      <c r="DJ30" s="34"/>
      <c r="DK30" s="34"/>
      <c r="DL30" s="34"/>
      <c r="DM30" s="34"/>
      <c r="DN30" s="34"/>
      <c r="DO30" s="34"/>
      <c r="DP30" s="34"/>
      <c r="DQ30" s="34"/>
      <c r="DR30" s="34"/>
      <c r="DS30" s="34"/>
      <c r="DT30" s="34"/>
      <c r="DU30" s="34"/>
      <c r="DV30" s="34"/>
      <c r="DW30" s="34"/>
      <c r="DX30" s="34"/>
      <c r="DY30" s="34"/>
      <c r="DZ30" s="34"/>
      <c r="EA30" s="34"/>
      <c r="EB30" s="34"/>
      <c r="EC30" s="34"/>
      <c r="ED30" s="34"/>
      <c r="EE30" s="34"/>
      <c r="EF30" s="34"/>
      <c r="EG30" s="34"/>
      <c r="EH30" s="34"/>
      <c r="EI30" s="34"/>
      <c r="EJ30" s="34"/>
      <c r="EK30" s="34"/>
      <c r="EL30" s="34"/>
      <c r="EM30" s="34"/>
      <c r="EN30" s="34"/>
      <c r="EO30" s="34"/>
      <c r="EP30" s="34"/>
      <c r="EQ30" s="34"/>
      <c r="ER30" s="34"/>
      <c r="ES30" s="34"/>
      <c r="ET30" s="34"/>
      <c r="EU30" s="34"/>
      <c r="EV30" s="34"/>
      <c r="EW30" s="34"/>
      <c r="EX30" s="34"/>
      <c r="EY30" s="34"/>
      <c r="EZ30" s="34"/>
      <c r="FA30" s="34"/>
      <c r="FB30" s="34"/>
      <c r="FC30" s="34"/>
      <c r="FD30" s="34"/>
      <c r="FE30" s="34"/>
      <c r="FF30" s="34"/>
      <c r="FG30" s="34"/>
      <c r="FH30" s="34"/>
      <c r="FI30" s="34"/>
      <c r="FJ30" s="34"/>
      <c r="FK30" s="34"/>
      <c r="FL30" s="34"/>
      <c r="FM30" s="34"/>
      <c r="FN30" s="34"/>
      <c r="FO30" s="34"/>
      <c r="FP30" s="34"/>
      <c r="FQ30" s="34"/>
      <c r="FR30" s="34"/>
      <c r="FS30" s="34"/>
      <c r="FT30" s="34"/>
      <c r="FU30" s="34"/>
      <c r="FV30" s="34"/>
      <c r="FW30" s="34"/>
      <c r="FX30" s="34"/>
      <c r="FY30" s="34"/>
      <c r="FZ30" s="34"/>
      <c r="GA30" s="34"/>
      <c r="GB30" s="34"/>
      <c r="GC30" s="34"/>
      <c r="GD30" s="34"/>
      <c r="GE30" s="34"/>
      <c r="GF30" s="34"/>
      <c r="GG30" s="34"/>
      <c r="GH30" s="34"/>
      <c r="GI30" s="34"/>
      <c r="GJ30" s="34"/>
      <c r="GK30" s="34"/>
      <c r="GL30" s="219"/>
      <c r="GM30" s="219"/>
      <c r="GN30" s="219"/>
      <c r="GO30" s="219"/>
      <c r="GP30" s="219"/>
      <c r="GQ30" s="219"/>
      <c r="GR30" s="219"/>
      <c r="GS30" s="219"/>
      <c r="GT30" s="219"/>
      <c r="GU30" s="219"/>
      <c r="GV30" s="219"/>
      <c r="GW30" s="219"/>
      <c r="GX30" s="219"/>
      <c r="GY30" s="219"/>
      <c r="GZ30" s="219"/>
      <c r="HA30" s="219"/>
      <c r="HB30" s="219"/>
      <c r="HC30" s="219"/>
      <c r="HD30" s="219"/>
      <c r="HE30" s="219"/>
      <c r="HF30" s="219"/>
    </row>
    <row r="31" spans="1:214" ht="18.95" customHeight="1" x14ac:dyDescent="0.2">
      <c r="B31" s="1362" t="s">
        <v>400</v>
      </c>
      <c r="C31" s="1363"/>
      <c r="D31" s="1363"/>
      <c r="E31" s="1363"/>
      <c r="F31" s="1363"/>
      <c r="G31" s="1364"/>
      <c r="H31" s="1345"/>
      <c r="I31" s="1501"/>
      <c r="J31" s="1440"/>
      <c r="K31" s="2102" t="str">
        <f>IF(OR(H31="",H31=0),"",H31)</f>
        <v/>
      </c>
      <c r="L31" s="2103"/>
      <c r="M31" s="2104"/>
      <c r="N31" s="2210"/>
      <c r="O31" s="2211"/>
      <c r="P31" s="2211"/>
      <c r="Q31" s="2212"/>
      <c r="R31" s="2228"/>
      <c r="S31" s="1362" t="s">
        <v>400</v>
      </c>
      <c r="T31" s="1363"/>
      <c r="U31" s="1363"/>
      <c r="V31" s="1363"/>
      <c r="W31" s="1363"/>
      <c r="X31" s="1364"/>
      <c r="Y31" s="1345"/>
      <c r="Z31" s="1501"/>
      <c r="AA31" s="1440"/>
      <c r="AB31" s="2102" t="str">
        <f>IF(OR(Y31="",Y31=0),"",Y31)</f>
        <v/>
      </c>
      <c r="AC31" s="2103"/>
      <c r="AD31" s="2104"/>
      <c r="AE31" s="2210"/>
      <c r="AF31" s="2211"/>
      <c r="AG31" s="2211"/>
      <c r="AH31" s="2212"/>
      <c r="AI31" s="63"/>
      <c r="AJ31" s="63"/>
      <c r="AK31" s="63"/>
      <c r="AL31" s="66"/>
      <c r="AM31" s="66">
        <f t="shared" si="0"/>
        <v>0</v>
      </c>
      <c r="AN31" s="66"/>
      <c r="AO31" s="66">
        <f t="shared" si="1"/>
        <v>0</v>
      </c>
      <c r="AP31" s="6"/>
      <c r="AQ31" s="6"/>
      <c r="AR31" s="66">
        <f>SUM(AR23:AR30)</f>
        <v>0</v>
      </c>
      <c r="AS31" s="66">
        <f>SUM(AS23:AS30)</f>
        <v>0</v>
      </c>
      <c r="AT31" s="34"/>
      <c r="AU31" s="34"/>
      <c r="AV31" s="34"/>
      <c r="AW31" s="34"/>
      <c r="AX31" s="34"/>
      <c r="AY31" s="34"/>
      <c r="AZ31" s="34"/>
      <c r="BA31" s="34"/>
      <c r="BB31" s="34"/>
      <c r="BC31" s="34"/>
      <c r="BD31" s="34"/>
      <c r="BE31" s="122"/>
      <c r="BF31" s="122"/>
      <c r="BG31" s="34"/>
      <c r="BH31" s="34"/>
      <c r="BI31" s="34"/>
      <c r="BJ31" s="122"/>
      <c r="BK31" s="34"/>
      <c r="BL31" s="34"/>
      <c r="BM31" s="34"/>
      <c r="BN31" s="122"/>
      <c r="BO31" s="34"/>
      <c r="BP31" s="34"/>
      <c r="BQ31" s="34"/>
      <c r="BR31" s="122"/>
      <c r="BS31" s="34"/>
      <c r="BT31" s="34"/>
      <c r="BU31" s="34"/>
      <c r="BV31" s="34"/>
      <c r="BW31" s="34"/>
      <c r="BX31" s="34"/>
      <c r="BY31" s="34"/>
      <c r="BZ31" s="34"/>
      <c r="CA31" s="34"/>
      <c r="CB31" s="34"/>
      <c r="CC31" s="34"/>
      <c r="CD31" s="34"/>
      <c r="CE31" s="34"/>
      <c r="CF31" s="34"/>
      <c r="CG31" s="34"/>
      <c r="CH31" s="34"/>
      <c r="CI31" s="34"/>
      <c r="CJ31" s="34"/>
      <c r="CK31" s="34"/>
      <c r="CL31" s="34"/>
      <c r="CM31" s="34"/>
      <c r="CN31" s="34"/>
      <c r="CO31" s="34"/>
      <c r="CP31" s="34"/>
      <c r="CQ31" s="34"/>
      <c r="CR31" s="34"/>
      <c r="CS31" s="34"/>
      <c r="CT31" s="34"/>
      <c r="CU31" s="34"/>
      <c r="CV31" s="34"/>
      <c r="CW31" s="34"/>
      <c r="CX31" s="34"/>
      <c r="CY31" s="34"/>
      <c r="CZ31" s="34"/>
      <c r="DA31" s="34"/>
      <c r="DB31" s="34"/>
      <c r="DC31" s="34"/>
      <c r="DD31" s="34"/>
      <c r="DE31" s="34"/>
      <c r="DF31" s="34"/>
      <c r="DG31" s="34"/>
      <c r="DH31" s="34"/>
      <c r="DI31" s="34"/>
      <c r="DJ31" s="34"/>
      <c r="DK31" s="34"/>
      <c r="DL31" s="34"/>
      <c r="DM31" s="34"/>
      <c r="DN31" s="34"/>
      <c r="DO31" s="34"/>
      <c r="DP31" s="34"/>
      <c r="DQ31" s="34"/>
      <c r="DR31" s="34"/>
      <c r="DS31" s="34"/>
      <c r="DT31" s="34"/>
      <c r="DU31" s="34"/>
      <c r="DV31" s="34"/>
      <c r="DW31" s="34"/>
      <c r="DX31" s="34"/>
      <c r="DY31" s="34"/>
      <c r="DZ31" s="34"/>
      <c r="EA31" s="34"/>
      <c r="EB31" s="34"/>
      <c r="EC31" s="34"/>
      <c r="ED31" s="34"/>
      <c r="EE31" s="34"/>
      <c r="EF31" s="34"/>
      <c r="EG31" s="34"/>
      <c r="EH31" s="34"/>
      <c r="EI31" s="34"/>
      <c r="EJ31" s="34"/>
      <c r="EK31" s="34"/>
      <c r="EL31" s="34"/>
      <c r="EM31" s="34"/>
      <c r="EN31" s="34"/>
      <c r="EO31" s="34"/>
      <c r="EP31" s="34"/>
      <c r="EQ31" s="34"/>
      <c r="ER31" s="34"/>
      <c r="ES31" s="34"/>
      <c r="ET31" s="34"/>
      <c r="EU31" s="34"/>
      <c r="EV31" s="34"/>
      <c r="EW31" s="34"/>
      <c r="EX31" s="34"/>
      <c r="EY31" s="34"/>
      <c r="EZ31" s="34"/>
      <c r="FA31" s="34"/>
      <c r="FB31" s="34"/>
      <c r="FC31" s="34"/>
      <c r="FD31" s="34"/>
      <c r="FE31" s="34"/>
      <c r="FF31" s="34"/>
      <c r="FG31" s="34"/>
      <c r="FH31" s="34"/>
      <c r="FI31" s="34"/>
      <c r="FJ31" s="34"/>
      <c r="FK31" s="34"/>
      <c r="FL31" s="34"/>
      <c r="FM31" s="34"/>
      <c r="FN31" s="34"/>
      <c r="FO31" s="34"/>
      <c r="FP31" s="34"/>
      <c r="FQ31" s="34"/>
      <c r="FR31" s="34"/>
      <c r="FS31" s="34"/>
      <c r="FT31" s="34"/>
      <c r="FU31" s="34"/>
      <c r="FV31" s="34"/>
      <c r="FW31" s="34"/>
      <c r="FX31" s="34"/>
      <c r="FY31" s="34"/>
      <c r="FZ31" s="34"/>
      <c r="GA31" s="34"/>
      <c r="GB31" s="34"/>
      <c r="GC31" s="34"/>
      <c r="GD31" s="34"/>
      <c r="GE31" s="34"/>
      <c r="GF31" s="34"/>
      <c r="GG31" s="34"/>
      <c r="GH31" s="34"/>
      <c r="GI31" s="34"/>
      <c r="GJ31" s="34"/>
      <c r="GK31" s="34"/>
      <c r="GL31" s="219"/>
      <c r="GM31" s="219"/>
      <c r="GN31" s="219"/>
      <c r="GO31" s="219"/>
      <c r="GP31" s="219"/>
      <c r="GQ31" s="219"/>
      <c r="GR31" s="219"/>
      <c r="GS31" s="219"/>
      <c r="GT31" s="219"/>
      <c r="GU31" s="219"/>
      <c r="GV31" s="219"/>
      <c r="GW31" s="219"/>
      <c r="GX31" s="219"/>
      <c r="GY31" s="219"/>
      <c r="GZ31" s="219"/>
      <c r="HA31" s="219"/>
      <c r="HB31" s="219"/>
      <c r="HC31" s="219"/>
      <c r="HD31" s="219"/>
      <c r="HE31" s="219"/>
      <c r="HF31" s="219"/>
    </row>
    <row r="32" spans="1:214" ht="18.95" customHeight="1" x14ac:dyDescent="0.2">
      <c r="B32" s="1531" t="s">
        <v>401</v>
      </c>
      <c r="C32" s="1535"/>
      <c r="D32" s="1535"/>
      <c r="E32" s="1535"/>
      <c r="F32" s="1535"/>
      <c r="G32" s="1535"/>
      <c r="H32" s="1535"/>
      <c r="I32" s="1535"/>
      <c r="J32" s="1532"/>
      <c r="K32" s="2102" t="str">
        <f>IF(AND(K23="",K24="",K25="",K26="",K27="",K28="",K29="",K30="",K31=""),"",IF(AP30&lt;0,0,SUM(K23:K31)))</f>
        <v/>
      </c>
      <c r="L32" s="2103"/>
      <c r="M32" s="2104"/>
      <c r="N32" s="2213"/>
      <c r="O32" s="2214"/>
      <c r="P32" s="2214"/>
      <c r="Q32" s="2215"/>
      <c r="R32" s="2228"/>
      <c r="S32" s="1531" t="s">
        <v>401</v>
      </c>
      <c r="T32" s="1535"/>
      <c r="U32" s="1535"/>
      <c r="V32" s="1535"/>
      <c r="W32" s="1535"/>
      <c r="X32" s="1535"/>
      <c r="Y32" s="1535"/>
      <c r="Z32" s="1535"/>
      <c r="AA32" s="1532"/>
      <c r="AB32" s="2102" t="str">
        <f>IF(AND(AB23="",AB24="",AB25="",AB26="",AB27="",AB28="",AB29="",AB30="",AB31=""),"",IF(AQ30&lt;0,0,SUM(AB23:AB31)))</f>
        <v/>
      </c>
      <c r="AC32" s="2103"/>
      <c r="AD32" s="2104"/>
      <c r="AE32" s="2213"/>
      <c r="AF32" s="2211"/>
      <c r="AG32" s="2211"/>
      <c r="AH32" s="2212"/>
      <c r="AI32" s="63"/>
      <c r="AJ32" s="63"/>
      <c r="AK32" s="63"/>
      <c r="AL32" s="17"/>
      <c r="AM32" s="66">
        <f>SUM(AM23:AM31)</f>
        <v>0</v>
      </c>
      <c r="AN32" s="17"/>
      <c r="AO32" s="66">
        <f>SUM(AO23:AO31)</f>
        <v>0</v>
      </c>
      <c r="AP32" s="6"/>
      <c r="AQ32" s="6"/>
      <c r="AR32" s="17">
        <f>IF(AND(AR31&gt;0,AR31&lt;8),1,0)</f>
        <v>0</v>
      </c>
      <c r="AS32" s="17">
        <f>IF(AND(AS31&gt;0,AS31&lt;8),1,0)</f>
        <v>0</v>
      </c>
      <c r="AT32" s="14" t="s">
        <v>402</v>
      </c>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c r="EB32" s="63"/>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row>
    <row r="33" spans="1:214" ht="18.95" customHeight="1" x14ac:dyDescent="0.2">
      <c r="B33" s="2235" t="s">
        <v>403</v>
      </c>
      <c r="C33" s="2236"/>
      <c r="D33" s="2236"/>
      <c r="E33" s="2236"/>
      <c r="F33" s="2236"/>
      <c r="G33" s="2236"/>
      <c r="H33" s="2236"/>
      <c r="I33" s="2236"/>
      <c r="J33" s="2236"/>
      <c r="K33" s="2236"/>
      <c r="L33" s="2236"/>
      <c r="M33" s="2236"/>
      <c r="N33" s="2237"/>
      <c r="O33" s="2220">
        <f>IF(AND(K31&lt;0,K32=0),"ERROR",IF(N26=AL33,"ERROR",AM21+AO21))</f>
        <v>0</v>
      </c>
      <c r="P33" s="2221"/>
      <c r="Q33" s="2222"/>
      <c r="R33" s="2114"/>
      <c r="S33" s="2235" t="s">
        <v>403</v>
      </c>
      <c r="T33" s="2236"/>
      <c r="U33" s="2236"/>
      <c r="V33" s="2236"/>
      <c r="W33" s="2236"/>
      <c r="X33" s="2236"/>
      <c r="Y33" s="2236"/>
      <c r="Z33" s="2236"/>
      <c r="AA33" s="2236"/>
      <c r="AB33" s="2236"/>
      <c r="AC33" s="2236"/>
      <c r="AD33" s="2236"/>
      <c r="AE33" s="2237"/>
      <c r="AF33" s="2088">
        <f>IF(AND(AB31&lt;0,AB32=0),"ERROR",IF(AE26=AL33,"ERROR",AN21+AP21))</f>
        <v>0</v>
      </c>
      <c r="AG33" s="2089"/>
      <c r="AH33" s="2090"/>
      <c r="AI33" s="63"/>
      <c r="AJ33" s="63"/>
      <c r="AK33" s="63"/>
      <c r="AL33" s="1127" t="s">
        <v>404</v>
      </c>
      <c r="AM33" s="1163" t="s">
        <v>613</v>
      </c>
      <c r="AN33" s="1163" t="s">
        <v>1678</v>
      </c>
      <c r="AO33" s="126"/>
      <c r="AP33" s="89"/>
      <c r="AQ33" s="89"/>
      <c r="AR33" s="7"/>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c r="DW33" s="63"/>
      <c r="DX33" s="63"/>
      <c r="DY33" s="63"/>
      <c r="DZ33" s="63"/>
      <c r="EA33" s="63"/>
      <c r="EB33" s="63"/>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row>
    <row r="34" spans="1:214" ht="9" customHeight="1" x14ac:dyDescent="0.2">
      <c r="A34" s="3"/>
      <c r="B34" s="1602"/>
      <c r="C34" s="1602"/>
      <c r="D34" s="1602"/>
      <c r="E34" s="1602"/>
      <c r="F34" s="1602"/>
      <c r="G34" s="1602"/>
      <c r="H34" s="1602"/>
      <c r="I34" s="1602"/>
      <c r="J34" s="1602"/>
      <c r="K34" s="1602"/>
      <c r="L34" s="1602"/>
      <c r="M34" s="1602"/>
      <c r="N34" s="1602"/>
      <c r="O34" s="1602"/>
      <c r="P34" s="1602"/>
      <c r="Q34" s="1602"/>
      <c r="R34" s="1602"/>
      <c r="S34" s="1602"/>
      <c r="T34" s="1602"/>
      <c r="U34" s="1602"/>
      <c r="V34" s="1602"/>
      <c r="W34" s="1602"/>
      <c r="X34" s="1602"/>
      <c r="Y34" s="1602"/>
      <c r="Z34" s="1602"/>
      <c r="AA34" s="1602"/>
      <c r="AB34" s="1602"/>
      <c r="AC34" s="1602"/>
      <c r="AD34" s="1602"/>
      <c r="AE34" s="1602"/>
      <c r="AF34" s="1602"/>
      <c r="AG34" s="1602"/>
      <c r="AH34" s="1602"/>
      <c r="AI34" s="63"/>
      <c r="AJ34" s="63"/>
      <c r="AK34" s="63"/>
      <c r="AL34" s="63"/>
      <c r="AM34" s="130"/>
      <c r="AN34" s="148"/>
      <c r="AO34" s="126"/>
      <c r="AP34" s="89"/>
      <c r="AQ34" s="89"/>
      <c r="AR34" s="7"/>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row>
    <row r="35" spans="1:214" ht="9" customHeight="1" x14ac:dyDescent="0.2">
      <c r="B35" s="1602"/>
      <c r="C35" s="1602"/>
      <c r="D35" s="1602"/>
      <c r="E35" s="1602"/>
      <c r="F35" s="1602"/>
      <c r="G35" s="1602"/>
      <c r="H35" s="1602"/>
      <c r="I35" s="1602"/>
      <c r="J35" s="1602"/>
      <c r="K35" s="1602"/>
      <c r="L35" s="1602"/>
      <c r="M35" s="1602"/>
      <c r="N35" s="1602"/>
      <c r="O35" s="1602"/>
      <c r="P35" s="1602"/>
      <c r="Q35" s="1602"/>
      <c r="R35" s="1602"/>
      <c r="S35" s="1602"/>
      <c r="T35" s="1602"/>
      <c r="U35" s="1602"/>
      <c r="V35" s="1602"/>
      <c r="W35" s="1602"/>
      <c r="X35" s="1602"/>
      <c r="Y35" s="1602"/>
      <c r="Z35" s="1602"/>
      <c r="AA35" s="1602"/>
      <c r="AB35" s="1602"/>
      <c r="AC35" s="1602"/>
      <c r="AD35" s="1602"/>
      <c r="AE35" s="1602"/>
      <c r="AF35" s="1602"/>
      <c r="AG35" s="1602"/>
      <c r="AH35" s="1602"/>
      <c r="AI35" s="63"/>
      <c r="AJ35" s="63"/>
      <c r="AK35" s="63"/>
      <c r="AL35" s="63"/>
      <c r="AM35" s="130"/>
      <c r="AN35" s="148"/>
      <c r="AO35" s="126"/>
      <c r="AP35" s="89"/>
      <c r="AQ35" s="89"/>
      <c r="AR35" s="7"/>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row>
    <row r="36" spans="1:214" ht="30" customHeight="1" x14ac:dyDescent="0.2">
      <c r="B36" s="1557" t="s">
        <v>280</v>
      </c>
      <c r="C36" s="1557"/>
      <c r="D36" s="1557"/>
      <c r="E36" s="1557"/>
      <c r="F36" s="1557"/>
      <c r="G36" s="1557"/>
      <c r="H36" s="1557"/>
      <c r="I36" s="1557"/>
      <c r="J36" s="1557"/>
      <c r="K36" s="1557"/>
      <c r="L36" s="1557"/>
      <c r="M36" s="1557"/>
      <c r="N36" s="1557"/>
      <c r="O36" s="1557"/>
      <c r="P36" s="1557"/>
      <c r="Q36" s="1557"/>
      <c r="R36" s="496"/>
      <c r="S36" s="1557" t="s">
        <v>281</v>
      </c>
      <c r="T36" s="1557"/>
      <c r="U36" s="1557"/>
      <c r="V36" s="1557"/>
      <c r="W36" s="1557"/>
      <c r="X36" s="1557"/>
      <c r="Y36" s="1557"/>
      <c r="Z36" s="1557"/>
      <c r="AA36" s="1557"/>
      <c r="AB36" s="1557"/>
      <c r="AC36" s="1557"/>
      <c r="AD36" s="1557"/>
      <c r="AE36" s="1557"/>
      <c r="AF36" s="1557"/>
      <c r="AG36" s="1557"/>
      <c r="AH36" s="1557"/>
      <c r="AI36" s="63"/>
      <c r="AJ36" s="63"/>
      <c r="AK36" s="63"/>
      <c r="AL36" s="63"/>
      <c r="AM36" s="130"/>
      <c r="AN36" s="148"/>
      <c r="AO36" s="126"/>
      <c r="AP36" s="89"/>
      <c r="AQ36" s="89"/>
      <c r="AR36" s="7"/>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row>
    <row r="37" spans="1:214" ht="44.25" customHeight="1" x14ac:dyDescent="0.2">
      <c r="B37" s="1379" t="s">
        <v>282</v>
      </c>
      <c r="C37" s="1379"/>
      <c r="D37" s="1379"/>
      <c r="E37" s="1379"/>
      <c r="F37" s="1379"/>
      <c r="G37" s="1379"/>
      <c r="H37" s="1379"/>
      <c r="I37" s="1379"/>
      <c r="J37" s="1379"/>
      <c r="K37" s="1379"/>
      <c r="L37" s="1379"/>
      <c r="M37" s="1379"/>
      <c r="N37" s="1379"/>
      <c r="O37" s="1379"/>
      <c r="P37" s="1379"/>
      <c r="Q37" s="1379"/>
      <c r="R37" s="496"/>
      <c r="S37" s="1379" t="s">
        <v>282</v>
      </c>
      <c r="T37" s="1379"/>
      <c r="U37" s="1379"/>
      <c r="V37" s="1379"/>
      <c r="W37" s="1379"/>
      <c r="X37" s="1379"/>
      <c r="Y37" s="1379"/>
      <c r="Z37" s="1379"/>
      <c r="AA37" s="1379"/>
      <c r="AB37" s="1379"/>
      <c r="AC37" s="1379"/>
      <c r="AD37" s="1379"/>
      <c r="AE37" s="1379"/>
      <c r="AF37" s="1379"/>
      <c r="AG37" s="1379"/>
      <c r="AH37" s="1379"/>
      <c r="AI37" s="63"/>
      <c r="AJ37" s="63"/>
      <c r="AK37" s="63"/>
      <c r="AL37" s="63"/>
      <c r="AM37" s="63"/>
      <c r="AN37" s="63"/>
      <c r="AO37" s="34"/>
      <c r="AP37" s="34"/>
      <c r="AQ37" s="34"/>
      <c r="AR37" s="34"/>
      <c r="AS37" s="34"/>
      <c r="AT37" s="34"/>
      <c r="AU37" s="34"/>
      <c r="AV37" s="34"/>
      <c r="AW37" s="34"/>
      <c r="AX37" s="34"/>
      <c r="AY37" s="34"/>
      <c r="AZ37" s="34"/>
      <c r="BA37" s="34"/>
      <c r="BB37" s="34"/>
      <c r="BC37" s="34"/>
      <c r="BD37" s="34"/>
      <c r="BE37" s="122"/>
      <c r="BF37" s="122"/>
      <c r="BG37" s="34"/>
      <c r="BH37" s="34"/>
      <c r="BI37" s="34"/>
      <c r="BJ37" s="122"/>
      <c r="BK37" s="34"/>
      <c r="BL37" s="34"/>
      <c r="BM37" s="34"/>
      <c r="BN37" s="122"/>
      <c r="BO37" s="34"/>
      <c r="BP37" s="34"/>
      <c r="BQ37" s="34"/>
      <c r="BR37" s="122"/>
      <c r="BS37" s="34"/>
      <c r="BT37" s="34"/>
      <c r="BU37" s="34"/>
      <c r="BV37" s="34"/>
      <c r="BW37" s="34"/>
      <c r="BX37" s="34"/>
      <c r="BY37" s="34"/>
      <c r="BZ37" s="34"/>
      <c r="CA37" s="34"/>
      <c r="CB37" s="34"/>
      <c r="CC37" s="34"/>
      <c r="CD37" s="34"/>
      <c r="CE37" s="34"/>
      <c r="CF37" s="34"/>
      <c r="CG37" s="34"/>
      <c r="CH37" s="34"/>
      <c r="CI37" s="34"/>
      <c r="CJ37" s="34"/>
      <c r="CK37" s="34"/>
      <c r="CL37" s="34"/>
      <c r="CM37" s="34"/>
      <c r="CN37" s="34"/>
      <c r="CO37" s="34"/>
      <c r="CP37" s="34"/>
      <c r="CQ37" s="34"/>
      <c r="CR37" s="34"/>
      <c r="CS37" s="34"/>
      <c r="CT37" s="34"/>
      <c r="CU37" s="34"/>
      <c r="CV37" s="34"/>
      <c r="CW37" s="34"/>
      <c r="CX37" s="34"/>
      <c r="CY37" s="34"/>
      <c r="CZ37" s="34"/>
      <c r="DA37" s="34"/>
      <c r="DB37" s="34"/>
      <c r="DC37" s="34"/>
      <c r="DD37" s="34"/>
      <c r="DE37" s="34"/>
      <c r="DF37" s="34"/>
      <c r="DG37" s="34"/>
      <c r="DH37" s="34"/>
      <c r="DI37" s="34"/>
      <c r="DJ37" s="34"/>
      <c r="DK37" s="34"/>
      <c r="DL37" s="34"/>
      <c r="DM37" s="34"/>
      <c r="DN37" s="34"/>
      <c r="DO37" s="34"/>
      <c r="DP37" s="34"/>
      <c r="DQ37" s="34"/>
      <c r="DR37" s="34"/>
      <c r="DS37" s="34"/>
      <c r="DT37" s="34"/>
      <c r="DU37" s="34"/>
      <c r="DV37" s="34"/>
      <c r="DW37" s="34"/>
      <c r="DX37" s="34"/>
      <c r="DY37" s="34"/>
      <c r="DZ37" s="34"/>
      <c r="EA37" s="34"/>
      <c r="EB37" s="34"/>
      <c r="EC37" s="34"/>
      <c r="ED37" s="34"/>
      <c r="EE37" s="34"/>
      <c r="EF37" s="34"/>
      <c r="EG37" s="34"/>
      <c r="EH37" s="34"/>
      <c r="EI37" s="34"/>
      <c r="EJ37" s="34"/>
      <c r="EK37" s="34"/>
      <c r="EL37" s="34"/>
      <c r="EM37" s="34"/>
      <c r="EN37" s="34"/>
      <c r="EO37" s="34"/>
      <c r="EP37" s="34"/>
      <c r="EQ37" s="34"/>
      <c r="ER37" s="34"/>
      <c r="ES37" s="34"/>
      <c r="ET37" s="34"/>
      <c r="EU37" s="34"/>
      <c r="EV37" s="34"/>
      <c r="EW37" s="34"/>
      <c r="EX37" s="34"/>
      <c r="EY37" s="34"/>
      <c r="EZ37" s="34"/>
      <c r="FA37" s="34"/>
      <c r="FB37" s="34"/>
      <c r="FC37" s="34"/>
      <c r="FD37" s="34"/>
      <c r="FE37" s="34"/>
      <c r="FF37" s="34"/>
      <c r="FG37" s="34"/>
      <c r="FH37" s="34"/>
      <c r="FI37" s="34"/>
      <c r="FJ37" s="34"/>
      <c r="FK37" s="34"/>
      <c r="FL37" s="34"/>
      <c r="FM37" s="34"/>
      <c r="FN37" s="34"/>
      <c r="FO37" s="34"/>
      <c r="FP37" s="34"/>
      <c r="FQ37" s="34"/>
      <c r="FR37" s="34"/>
      <c r="FS37" s="34"/>
      <c r="FT37" s="34"/>
      <c r="FU37" s="34"/>
      <c r="FV37" s="34"/>
      <c r="FW37" s="34"/>
      <c r="FX37" s="34"/>
      <c r="FY37" s="34"/>
      <c r="FZ37" s="34"/>
      <c r="GA37" s="34"/>
      <c r="GB37" s="34"/>
      <c r="GC37" s="34"/>
      <c r="GD37" s="34"/>
      <c r="GE37" s="34"/>
      <c r="GF37" s="34"/>
      <c r="GG37" s="34"/>
      <c r="GH37" s="34"/>
      <c r="GI37" s="34"/>
      <c r="GJ37" s="34"/>
      <c r="GK37" s="34"/>
      <c r="GL37" s="219"/>
      <c r="GM37" s="219"/>
      <c r="GN37" s="219"/>
      <c r="GO37" s="219"/>
      <c r="GP37" s="219"/>
      <c r="GQ37" s="219"/>
      <c r="GR37" s="219"/>
      <c r="GS37" s="219"/>
      <c r="GT37" s="219"/>
      <c r="GU37" s="219"/>
      <c r="GV37" s="219"/>
      <c r="GW37" s="219"/>
      <c r="GX37" s="219"/>
      <c r="GY37" s="219"/>
      <c r="GZ37" s="219"/>
      <c r="HA37" s="219"/>
      <c r="HB37" s="219"/>
      <c r="HC37" s="219"/>
      <c r="HD37" s="219"/>
      <c r="HE37" s="219"/>
      <c r="HF37" s="219"/>
    </row>
    <row r="38" spans="1:214" ht="27" customHeight="1" x14ac:dyDescent="0.2">
      <c r="B38" s="2205" t="s">
        <v>283</v>
      </c>
      <c r="C38" s="1638"/>
      <c r="D38" s="1638"/>
      <c r="E38" s="1638"/>
      <c r="F38" s="2205" t="s">
        <v>284</v>
      </c>
      <c r="G38" s="1638"/>
      <c r="H38" s="1638"/>
      <c r="I38" s="1638"/>
      <c r="J38" s="1638"/>
      <c r="K38" s="1638"/>
      <c r="L38" s="1638"/>
      <c r="M38" s="1638"/>
      <c r="N38" s="1638"/>
      <c r="O38" s="1687"/>
      <c r="P38" s="1687"/>
      <c r="Q38" s="1687"/>
      <c r="R38" s="496"/>
      <c r="S38" s="1687" t="s">
        <v>283</v>
      </c>
      <c r="T38" s="1687"/>
      <c r="U38" s="1687"/>
      <c r="V38" s="1687"/>
      <c r="W38" s="1687" t="s">
        <v>284</v>
      </c>
      <c r="X38" s="1687"/>
      <c r="Y38" s="1687"/>
      <c r="Z38" s="1687"/>
      <c r="AA38" s="1687"/>
      <c r="AB38" s="1687"/>
      <c r="AC38" s="1687"/>
      <c r="AD38" s="1687"/>
      <c r="AE38" s="1687"/>
      <c r="AF38" s="1687"/>
      <c r="AG38" s="1687"/>
      <c r="AH38" s="1687"/>
      <c r="AI38" s="63"/>
      <c r="AJ38" s="63"/>
      <c r="AK38" s="63"/>
      <c r="AL38" s="1133" t="s">
        <v>2197</v>
      </c>
      <c r="AM38" s="63"/>
      <c r="AN38" s="63"/>
      <c r="AO38" s="34"/>
      <c r="AP38" s="34"/>
      <c r="AQ38" s="34"/>
      <c r="AR38" s="34"/>
      <c r="AS38" s="34"/>
      <c r="AT38" s="34"/>
      <c r="AU38" s="34"/>
      <c r="AV38" s="34"/>
      <c r="AW38" s="34"/>
      <c r="AX38" s="34"/>
      <c r="AY38" s="34"/>
      <c r="AZ38" s="34"/>
      <c r="BA38" s="34"/>
      <c r="BB38" s="34"/>
      <c r="BC38" s="34"/>
      <c r="BD38" s="34"/>
      <c r="BE38" s="122"/>
      <c r="BF38" s="122"/>
      <c r="BG38" s="34"/>
      <c r="BH38" s="34"/>
      <c r="BI38" s="34"/>
      <c r="BJ38" s="122"/>
      <c r="BK38" s="34"/>
      <c r="BL38" s="34"/>
      <c r="BM38" s="34"/>
      <c r="BN38" s="122"/>
      <c r="BO38" s="34"/>
      <c r="BP38" s="34"/>
      <c r="BQ38" s="34"/>
      <c r="BR38" s="122"/>
      <c r="BS38" s="34"/>
      <c r="BT38" s="34"/>
      <c r="BU38" s="34"/>
      <c r="BV38" s="34"/>
      <c r="BW38" s="34"/>
      <c r="BX38" s="34"/>
      <c r="BY38" s="34"/>
      <c r="BZ38" s="34"/>
      <c r="CA38" s="34"/>
      <c r="CB38" s="34"/>
      <c r="CC38" s="34"/>
      <c r="CD38" s="34"/>
      <c r="CE38" s="34"/>
      <c r="CF38" s="34"/>
      <c r="CG38" s="34"/>
      <c r="CH38" s="34"/>
      <c r="CI38" s="34"/>
      <c r="CJ38" s="34"/>
      <c r="CK38" s="34"/>
      <c r="CL38" s="34"/>
      <c r="CM38" s="34"/>
      <c r="CN38" s="34"/>
      <c r="CO38" s="34"/>
      <c r="CP38" s="34"/>
      <c r="CQ38" s="34"/>
      <c r="CR38" s="34"/>
      <c r="CS38" s="34"/>
      <c r="CT38" s="34"/>
      <c r="CU38" s="34"/>
      <c r="CV38" s="34"/>
      <c r="CW38" s="34"/>
      <c r="CX38" s="34"/>
      <c r="CY38" s="34"/>
      <c r="CZ38" s="34"/>
      <c r="DA38" s="34"/>
      <c r="DB38" s="34"/>
      <c r="DC38" s="34"/>
      <c r="DD38" s="34"/>
      <c r="DE38" s="34"/>
      <c r="DF38" s="34"/>
      <c r="DG38" s="34"/>
      <c r="DH38" s="34"/>
      <c r="DI38" s="34"/>
      <c r="DJ38" s="34"/>
      <c r="DK38" s="34"/>
      <c r="DL38" s="34"/>
      <c r="DM38" s="34"/>
      <c r="DN38" s="34"/>
      <c r="DO38" s="34"/>
      <c r="DP38" s="34"/>
      <c r="DQ38" s="34"/>
      <c r="DR38" s="34"/>
      <c r="DS38" s="34"/>
      <c r="DT38" s="34"/>
      <c r="DU38" s="34"/>
      <c r="DV38" s="34"/>
      <c r="DW38" s="34"/>
      <c r="DX38" s="34"/>
      <c r="DY38" s="34"/>
      <c r="DZ38" s="34"/>
      <c r="EA38" s="34"/>
      <c r="EB38" s="34"/>
      <c r="EC38" s="34"/>
      <c r="ED38" s="34"/>
      <c r="EE38" s="34"/>
      <c r="EF38" s="34"/>
      <c r="EG38" s="34"/>
      <c r="EH38" s="34"/>
      <c r="EI38" s="34"/>
      <c r="EJ38" s="34"/>
      <c r="EK38" s="34"/>
      <c r="EL38" s="34"/>
      <c r="EM38" s="34"/>
      <c r="EN38" s="34"/>
      <c r="EO38" s="34"/>
      <c r="EP38" s="34"/>
      <c r="EQ38" s="34"/>
      <c r="ER38" s="34"/>
      <c r="ES38" s="34"/>
      <c r="ET38" s="34"/>
      <c r="EU38" s="34"/>
      <c r="EV38" s="34"/>
      <c r="EW38" s="34"/>
      <c r="EX38" s="34"/>
      <c r="EY38" s="34"/>
      <c r="EZ38" s="34"/>
      <c r="FA38" s="34"/>
      <c r="FB38" s="34"/>
      <c r="FC38" s="34"/>
      <c r="FD38" s="34"/>
      <c r="FE38" s="34"/>
      <c r="FF38" s="34"/>
      <c r="FG38" s="34"/>
      <c r="FH38" s="34"/>
      <c r="FI38" s="34"/>
      <c r="FJ38" s="34"/>
      <c r="FK38" s="34"/>
      <c r="FL38" s="34"/>
      <c r="FM38" s="34"/>
      <c r="FN38" s="34"/>
      <c r="FO38" s="34"/>
      <c r="FP38" s="34"/>
      <c r="FQ38" s="34"/>
      <c r="FR38" s="34"/>
      <c r="FS38" s="34"/>
      <c r="FT38" s="34"/>
      <c r="FU38" s="34"/>
      <c r="FV38" s="34"/>
      <c r="FW38" s="34"/>
      <c r="FX38" s="34"/>
      <c r="FY38" s="34"/>
      <c r="FZ38" s="34"/>
      <c r="GA38" s="34"/>
      <c r="GB38" s="34"/>
      <c r="GC38" s="34"/>
      <c r="GD38" s="34"/>
      <c r="GE38" s="34"/>
      <c r="GF38" s="34"/>
      <c r="GG38" s="34"/>
      <c r="GH38" s="34"/>
      <c r="GI38" s="34"/>
      <c r="GJ38" s="34"/>
      <c r="GK38" s="34"/>
      <c r="GL38" s="219"/>
      <c r="GM38" s="219"/>
      <c r="GN38" s="219"/>
      <c r="GO38" s="219"/>
      <c r="GP38" s="219"/>
      <c r="GQ38" s="219"/>
      <c r="GR38" s="219"/>
      <c r="GS38" s="219"/>
      <c r="GT38" s="219"/>
      <c r="GU38" s="219"/>
      <c r="GV38" s="219"/>
      <c r="GW38" s="219"/>
      <c r="GX38" s="219"/>
      <c r="GY38" s="219"/>
      <c r="GZ38" s="219"/>
      <c r="HA38" s="219"/>
      <c r="HB38" s="219"/>
      <c r="HC38" s="219"/>
      <c r="HD38" s="219"/>
      <c r="HE38" s="219"/>
      <c r="HF38" s="219"/>
    </row>
    <row r="39" spans="1:214" ht="18" customHeight="1" x14ac:dyDescent="0.2">
      <c r="B39" s="1656" t="s">
        <v>285</v>
      </c>
      <c r="C39" s="1656"/>
      <c r="D39" s="1656"/>
      <c r="E39" s="1656"/>
      <c r="F39" s="1544"/>
      <c r="G39" s="1544"/>
      <c r="H39" s="1544"/>
      <c r="I39" s="1544"/>
      <c r="J39" s="1544"/>
      <c r="K39" s="1544"/>
      <c r="L39" s="1544"/>
      <c r="M39" s="1544"/>
      <c r="N39" s="1577"/>
      <c r="O39" s="1545">
        <f>IF(F39=AL39,1,0)</f>
        <v>0</v>
      </c>
      <c r="P39" s="1545"/>
      <c r="Q39" s="1545"/>
      <c r="R39" s="496"/>
      <c r="S39" s="1656" t="s">
        <v>285</v>
      </c>
      <c r="T39" s="1656"/>
      <c r="U39" s="1656"/>
      <c r="V39" s="1656"/>
      <c r="W39" s="1544"/>
      <c r="X39" s="1544"/>
      <c r="Y39" s="1544"/>
      <c r="Z39" s="1544"/>
      <c r="AA39" s="1544"/>
      <c r="AB39" s="1544"/>
      <c r="AC39" s="1544"/>
      <c r="AD39" s="1544"/>
      <c r="AE39" s="1577"/>
      <c r="AF39" s="1545">
        <f>IF(W39=AL39,1,0)</f>
        <v>0</v>
      </c>
      <c r="AG39" s="1545"/>
      <c r="AH39" s="1545"/>
      <c r="AI39" s="63"/>
      <c r="AJ39" s="63"/>
      <c r="AK39" s="63"/>
      <c r="AL39" s="1127" t="s">
        <v>286</v>
      </c>
      <c r="AM39" s="63"/>
      <c r="AN39" s="63"/>
      <c r="AO39" s="34"/>
      <c r="AP39" s="34"/>
      <c r="AQ39" s="34"/>
      <c r="AR39" s="34"/>
      <c r="AS39" s="34"/>
      <c r="AT39" s="34"/>
      <c r="AU39" s="34"/>
      <c r="AV39" s="34"/>
      <c r="AW39" s="34"/>
      <c r="AX39" s="34"/>
      <c r="AY39" s="34"/>
      <c r="AZ39" s="34"/>
      <c r="BA39" s="34"/>
      <c r="BB39" s="34"/>
      <c r="BC39" s="34"/>
      <c r="BD39" s="34"/>
      <c r="BE39" s="122"/>
      <c r="BF39" s="122"/>
      <c r="BG39" s="34"/>
      <c r="BH39" s="34"/>
      <c r="BI39" s="34"/>
      <c r="BJ39" s="122"/>
      <c r="BK39" s="34"/>
      <c r="BL39" s="34"/>
      <c r="BM39" s="34"/>
      <c r="BN39" s="122"/>
      <c r="BO39" s="34"/>
      <c r="BP39" s="34"/>
      <c r="BQ39" s="34"/>
      <c r="BR39" s="122"/>
      <c r="BS39" s="34"/>
      <c r="BT39" s="34"/>
      <c r="BU39" s="34"/>
      <c r="BV39" s="34"/>
      <c r="BW39" s="34"/>
      <c r="BX39" s="34"/>
      <c r="BY39" s="34"/>
      <c r="BZ39" s="34"/>
      <c r="CA39" s="34"/>
      <c r="CB39" s="34"/>
      <c r="CC39" s="34"/>
      <c r="CD39" s="34"/>
      <c r="CE39" s="34"/>
      <c r="CF39" s="34"/>
      <c r="CG39" s="34"/>
      <c r="CH39" s="34"/>
      <c r="CI39" s="34"/>
      <c r="CJ39" s="34"/>
      <c r="CK39" s="34"/>
      <c r="CL39" s="34"/>
      <c r="CM39" s="34"/>
      <c r="CN39" s="34"/>
      <c r="CO39" s="34"/>
      <c r="CP39" s="34"/>
      <c r="CQ39" s="34"/>
      <c r="CR39" s="34"/>
      <c r="CS39" s="34"/>
      <c r="CT39" s="34"/>
      <c r="CU39" s="34"/>
      <c r="CV39" s="34"/>
      <c r="CW39" s="34"/>
      <c r="CX39" s="34"/>
      <c r="CY39" s="34"/>
      <c r="CZ39" s="34"/>
      <c r="DA39" s="34"/>
      <c r="DB39" s="34"/>
      <c r="DC39" s="34"/>
      <c r="DD39" s="34"/>
      <c r="DE39" s="34"/>
      <c r="DF39" s="34"/>
      <c r="DG39" s="34"/>
      <c r="DH39" s="34"/>
      <c r="DI39" s="34"/>
      <c r="DJ39" s="34"/>
      <c r="DK39" s="34"/>
      <c r="DL39" s="34"/>
      <c r="DM39" s="34"/>
      <c r="DN39" s="34"/>
      <c r="DO39" s="34"/>
      <c r="DP39" s="34"/>
      <c r="DQ39" s="34"/>
      <c r="DR39" s="34"/>
      <c r="DS39" s="34"/>
      <c r="DT39" s="34"/>
      <c r="DU39" s="34"/>
      <c r="DV39" s="34"/>
      <c r="DW39" s="34"/>
      <c r="DX39" s="34"/>
      <c r="DY39" s="34"/>
      <c r="DZ39" s="34"/>
      <c r="EA39" s="34"/>
      <c r="EB39" s="34"/>
      <c r="EC39" s="34"/>
      <c r="ED39" s="34"/>
      <c r="EE39" s="34"/>
      <c r="EF39" s="34"/>
      <c r="EG39" s="34"/>
      <c r="EH39" s="34"/>
      <c r="EI39" s="34"/>
      <c r="EJ39" s="34"/>
      <c r="EK39" s="34"/>
      <c r="EL39" s="34"/>
      <c r="EM39" s="34"/>
      <c r="EN39" s="34"/>
      <c r="EO39" s="34"/>
      <c r="EP39" s="34"/>
      <c r="EQ39" s="34"/>
      <c r="ER39" s="34"/>
      <c r="ES39" s="34"/>
      <c r="ET39" s="34"/>
      <c r="EU39" s="34"/>
      <c r="EV39" s="34"/>
      <c r="EW39" s="34"/>
      <c r="EX39" s="34"/>
      <c r="EY39" s="34"/>
      <c r="EZ39" s="34"/>
      <c r="FA39" s="34"/>
      <c r="FB39" s="34"/>
      <c r="FC39" s="34"/>
      <c r="FD39" s="34"/>
      <c r="FE39" s="34"/>
      <c r="FF39" s="34"/>
      <c r="FG39" s="34"/>
      <c r="FH39" s="34"/>
      <c r="FI39" s="34"/>
      <c r="FJ39" s="34"/>
      <c r="FK39" s="34"/>
      <c r="FL39" s="34"/>
      <c r="FM39" s="34"/>
      <c r="FN39" s="34"/>
      <c r="FO39" s="34"/>
      <c r="FP39" s="34"/>
      <c r="FQ39" s="34"/>
      <c r="FR39" s="34"/>
      <c r="FS39" s="34"/>
      <c r="FT39" s="34"/>
      <c r="FU39" s="34"/>
      <c r="FV39" s="34"/>
      <c r="FW39" s="34"/>
      <c r="FX39" s="34"/>
      <c r="FY39" s="34"/>
      <c r="FZ39" s="34"/>
      <c r="GA39" s="34"/>
      <c r="GB39" s="34"/>
      <c r="GC39" s="34"/>
      <c r="GD39" s="34"/>
      <c r="GE39" s="34"/>
      <c r="GF39" s="34"/>
      <c r="GG39" s="34"/>
      <c r="GH39" s="34"/>
      <c r="GI39" s="34"/>
      <c r="GJ39" s="34"/>
      <c r="GK39" s="34"/>
      <c r="GL39" s="219"/>
      <c r="GM39" s="219"/>
      <c r="GN39" s="219"/>
      <c r="GO39" s="219"/>
      <c r="GP39" s="219"/>
      <c r="GQ39" s="219"/>
      <c r="GR39" s="219"/>
      <c r="GS39" s="219"/>
      <c r="GT39" s="219"/>
      <c r="GU39" s="219"/>
      <c r="GV39" s="219"/>
      <c r="GW39" s="219"/>
      <c r="GX39" s="219"/>
      <c r="GY39" s="219"/>
      <c r="GZ39" s="219"/>
      <c r="HA39" s="219"/>
      <c r="HB39" s="219"/>
      <c r="HC39" s="219"/>
      <c r="HD39" s="219"/>
      <c r="HE39" s="219"/>
      <c r="HF39" s="219"/>
    </row>
    <row r="40" spans="1:214" ht="18" customHeight="1" x14ac:dyDescent="0.2">
      <c r="B40" s="1656" t="s">
        <v>287</v>
      </c>
      <c r="C40" s="1656"/>
      <c r="D40" s="1656"/>
      <c r="E40" s="1656"/>
      <c r="F40" s="1544"/>
      <c r="G40" s="1544"/>
      <c r="H40" s="1544"/>
      <c r="I40" s="1544"/>
      <c r="J40" s="1544"/>
      <c r="K40" s="1544"/>
      <c r="L40" s="1544"/>
      <c r="M40" s="1544"/>
      <c r="N40" s="1577"/>
      <c r="O40" s="1545">
        <f>IF(F40=AL40,0.5,IF(F40=AL41,0.3,0))</f>
        <v>0</v>
      </c>
      <c r="P40" s="1545"/>
      <c r="Q40" s="1545"/>
      <c r="R40" s="496"/>
      <c r="S40" s="1656" t="s">
        <v>287</v>
      </c>
      <c r="T40" s="1656"/>
      <c r="U40" s="1656"/>
      <c r="V40" s="1656"/>
      <c r="W40" s="1544"/>
      <c r="X40" s="1544"/>
      <c r="Y40" s="1544"/>
      <c r="Z40" s="1544"/>
      <c r="AA40" s="1544"/>
      <c r="AB40" s="1544"/>
      <c r="AC40" s="1544"/>
      <c r="AD40" s="1544"/>
      <c r="AE40" s="1577"/>
      <c r="AF40" s="1545">
        <f>IF(W40=AL40,0.5,IF(W40=AL41,0.3,0))</f>
        <v>0</v>
      </c>
      <c r="AG40" s="1545"/>
      <c r="AH40" s="1545"/>
      <c r="AI40" s="63"/>
      <c r="AJ40" s="63"/>
      <c r="AK40" s="63"/>
      <c r="AL40" s="1127" t="s">
        <v>288</v>
      </c>
      <c r="AM40" s="63"/>
      <c r="AN40" s="63"/>
      <c r="AO40" s="34"/>
      <c r="AP40" s="34"/>
      <c r="AQ40" s="34"/>
      <c r="AR40" s="34"/>
      <c r="AS40" s="34"/>
      <c r="AT40" s="34"/>
      <c r="AU40" s="34"/>
      <c r="AV40" s="34"/>
      <c r="AW40" s="34"/>
      <c r="AX40" s="34"/>
      <c r="AY40" s="34"/>
      <c r="AZ40" s="34"/>
      <c r="BA40" s="34"/>
      <c r="BB40" s="34"/>
      <c r="BC40" s="34"/>
      <c r="BD40" s="34"/>
      <c r="BE40" s="122"/>
      <c r="BF40" s="122"/>
      <c r="BG40" s="34"/>
      <c r="BH40" s="34"/>
      <c r="BI40" s="34"/>
      <c r="BJ40" s="122"/>
      <c r="BK40" s="34"/>
      <c r="BL40" s="34"/>
      <c r="BM40" s="34"/>
      <c r="BN40" s="122"/>
      <c r="BO40" s="34"/>
      <c r="BP40" s="34"/>
      <c r="BQ40" s="34"/>
      <c r="BR40" s="122"/>
      <c r="BS40" s="34"/>
      <c r="BT40" s="34"/>
      <c r="BU40" s="34"/>
      <c r="BV40" s="34"/>
      <c r="BW40" s="34"/>
      <c r="BX40" s="34"/>
      <c r="BY40" s="34"/>
      <c r="BZ40" s="34"/>
      <c r="CA40" s="34"/>
      <c r="CB40" s="34"/>
      <c r="CC40" s="34"/>
      <c r="CD40" s="34"/>
      <c r="CE40" s="34"/>
      <c r="CF40" s="34"/>
      <c r="CG40" s="34"/>
      <c r="CH40" s="34"/>
      <c r="CI40" s="34"/>
      <c r="CJ40" s="34"/>
      <c r="CK40" s="34"/>
      <c r="CL40" s="34"/>
      <c r="CM40" s="34"/>
      <c r="CN40" s="34"/>
      <c r="CO40" s="34"/>
      <c r="CP40" s="34"/>
      <c r="CQ40" s="34"/>
      <c r="CR40" s="34"/>
      <c r="CS40" s="34"/>
      <c r="CT40" s="34"/>
      <c r="CU40" s="34"/>
      <c r="CV40" s="34"/>
      <c r="CW40" s="34"/>
      <c r="CX40" s="34"/>
      <c r="CY40" s="34"/>
      <c r="CZ40" s="34"/>
      <c r="DA40" s="34"/>
      <c r="DB40" s="34"/>
      <c r="DC40" s="34"/>
      <c r="DD40" s="34"/>
      <c r="DE40" s="34"/>
      <c r="DF40" s="34"/>
      <c r="DG40" s="34"/>
      <c r="DH40" s="34"/>
      <c r="DI40" s="34"/>
      <c r="DJ40" s="34"/>
      <c r="DK40" s="34"/>
      <c r="DL40" s="34"/>
      <c r="DM40" s="34"/>
      <c r="DN40" s="34"/>
      <c r="DO40" s="34"/>
      <c r="DP40" s="34"/>
      <c r="DQ40" s="34"/>
      <c r="DR40" s="34"/>
      <c r="DS40" s="34"/>
      <c r="DT40" s="34"/>
      <c r="DU40" s="34"/>
      <c r="DV40" s="34"/>
      <c r="DW40" s="34"/>
      <c r="DX40" s="34"/>
      <c r="DY40" s="34"/>
      <c r="DZ40" s="34"/>
      <c r="EA40" s="34"/>
      <c r="EB40" s="34"/>
      <c r="EC40" s="34"/>
      <c r="ED40" s="34"/>
      <c r="EE40" s="34"/>
      <c r="EF40" s="34"/>
      <c r="EG40" s="34"/>
      <c r="EH40" s="34"/>
      <c r="EI40" s="34"/>
      <c r="EJ40" s="34"/>
      <c r="EK40" s="34"/>
      <c r="EL40" s="34"/>
      <c r="EM40" s="34"/>
      <c r="EN40" s="34"/>
      <c r="EO40" s="34"/>
      <c r="EP40" s="34"/>
      <c r="EQ40" s="34"/>
      <c r="ER40" s="34"/>
      <c r="ES40" s="34"/>
      <c r="ET40" s="34"/>
      <c r="EU40" s="34"/>
      <c r="EV40" s="34"/>
      <c r="EW40" s="34"/>
      <c r="EX40" s="34"/>
      <c r="EY40" s="34"/>
      <c r="EZ40" s="34"/>
      <c r="FA40" s="34"/>
      <c r="FB40" s="34"/>
      <c r="FC40" s="34"/>
      <c r="FD40" s="34"/>
      <c r="FE40" s="34"/>
      <c r="FF40" s="34"/>
      <c r="FG40" s="34"/>
      <c r="FH40" s="34"/>
      <c r="FI40" s="34"/>
      <c r="FJ40" s="34"/>
      <c r="FK40" s="34"/>
      <c r="FL40" s="34"/>
      <c r="FM40" s="34"/>
      <c r="FN40" s="34"/>
      <c r="FO40" s="34"/>
      <c r="FP40" s="34"/>
      <c r="FQ40" s="34"/>
      <c r="FR40" s="34"/>
      <c r="FS40" s="34"/>
      <c r="FT40" s="34"/>
      <c r="FU40" s="34"/>
      <c r="FV40" s="34"/>
      <c r="FW40" s="34"/>
      <c r="FX40" s="34"/>
      <c r="FY40" s="34"/>
      <c r="FZ40" s="34"/>
      <c r="GA40" s="34"/>
      <c r="GB40" s="34"/>
      <c r="GC40" s="34"/>
      <c r="GD40" s="34"/>
      <c r="GE40" s="34"/>
      <c r="GF40" s="34"/>
      <c r="GG40" s="34"/>
      <c r="GH40" s="34"/>
      <c r="GI40" s="34"/>
      <c r="GJ40" s="34"/>
      <c r="GK40" s="34"/>
      <c r="GL40" s="219"/>
      <c r="GM40" s="219"/>
      <c r="GN40" s="219"/>
      <c r="GO40" s="219"/>
      <c r="GP40" s="219"/>
      <c r="GQ40" s="219"/>
      <c r="GR40" s="219"/>
      <c r="GS40" s="219"/>
      <c r="GT40" s="219"/>
      <c r="GU40" s="219"/>
      <c r="GV40" s="219"/>
      <c r="GW40" s="219"/>
      <c r="GX40" s="219"/>
      <c r="GY40" s="219"/>
      <c r="GZ40" s="219"/>
      <c r="HA40" s="219"/>
      <c r="HB40" s="219"/>
      <c r="HC40" s="219"/>
      <c r="HD40" s="219"/>
      <c r="HE40" s="219"/>
      <c r="HF40" s="219"/>
    </row>
    <row r="41" spans="1:214" ht="18" customHeight="1" x14ac:dyDescent="0.2">
      <c r="B41" s="1656" t="s">
        <v>289</v>
      </c>
      <c r="C41" s="1656"/>
      <c r="D41" s="1656"/>
      <c r="E41" s="1656"/>
      <c r="F41" s="1544"/>
      <c r="G41" s="1544"/>
      <c r="H41" s="1544"/>
      <c r="I41" s="1544"/>
      <c r="J41" s="1544"/>
      <c r="K41" s="1544"/>
      <c r="L41" s="1544"/>
      <c r="M41" s="1544"/>
      <c r="N41" s="1577"/>
      <c r="O41" s="1545">
        <f>IF(F41=AL40,0.2,IF(F41=AL41,0.1,0))</f>
        <v>0</v>
      </c>
      <c r="P41" s="1545"/>
      <c r="Q41" s="1545"/>
      <c r="R41" s="496"/>
      <c r="S41" s="1656" t="s">
        <v>289</v>
      </c>
      <c r="T41" s="1656"/>
      <c r="U41" s="1656"/>
      <c r="V41" s="1656"/>
      <c r="W41" s="1544"/>
      <c r="X41" s="1544"/>
      <c r="Y41" s="1544"/>
      <c r="Z41" s="1544"/>
      <c r="AA41" s="1544"/>
      <c r="AB41" s="1544"/>
      <c r="AC41" s="1544"/>
      <c r="AD41" s="1544"/>
      <c r="AE41" s="1577"/>
      <c r="AF41" s="1545">
        <f>IF(W41=AL40,0.2,IF(W41=AL41,0.1,0))</f>
        <v>0</v>
      </c>
      <c r="AG41" s="1545"/>
      <c r="AH41" s="1545"/>
      <c r="AI41" s="63"/>
      <c r="AJ41" s="63"/>
      <c r="AK41" s="63"/>
      <c r="AL41" s="1127" t="s">
        <v>290</v>
      </c>
      <c r="AM41" s="63"/>
      <c r="AN41" s="63"/>
      <c r="AO41" s="34"/>
      <c r="AP41" s="34"/>
      <c r="AQ41" s="34"/>
      <c r="AR41" s="34"/>
      <c r="AS41" s="34"/>
      <c r="AT41" s="34"/>
      <c r="AU41" s="34"/>
      <c r="AV41" s="34"/>
      <c r="AW41" s="34"/>
      <c r="AX41" s="34"/>
      <c r="AY41" s="34"/>
      <c r="AZ41" s="34"/>
      <c r="BA41" s="34"/>
      <c r="BB41" s="34"/>
      <c r="BC41" s="34"/>
      <c r="BD41" s="34"/>
      <c r="BE41" s="122"/>
      <c r="BF41" s="122"/>
      <c r="BG41" s="34"/>
      <c r="BH41" s="34"/>
      <c r="BI41" s="34"/>
      <c r="BJ41" s="122"/>
      <c r="BK41" s="34"/>
      <c r="BL41" s="34"/>
      <c r="BM41" s="34"/>
      <c r="BN41" s="122"/>
      <c r="BO41" s="34"/>
      <c r="BP41" s="34"/>
      <c r="BQ41" s="34"/>
      <c r="BR41" s="122"/>
      <c r="BS41" s="34"/>
      <c r="BT41" s="34"/>
      <c r="BU41" s="34"/>
      <c r="BV41" s="34"/>
      <c r="BW41" s="34"/>
      <c r="BX41" s="34"/>
      <c r="BY41" s="34"/>
      <c r="BZ41" s="34"/>
      <c r="CA41" s="34"/>
      <c r="CB41" s="34"/>
      <c r="CC41" s="34"/>
      <c r="CD41" s="34"/>
      <c r="CE41" s="34"/>
      <c r="CF41" s="34"/>
      <c r="CG41" s="34"/>
      <c r="CH41" s="34"/>
      <c r="CI41" s="34"/>
      <c r="CJ41" s="34"/>
      <c r="CK41" s="34"/>
      <c r="CL41" s="34"/>
      <c r="CM41" s="34"/>
      <c r="CN41" s="34"/>
      <c r="CO41" s="34"/>
      <c r="CP41" s="34"/>
      <c r="CQ41" s="34"/>
      <c r="CR41" s="34"/>
      <c r="CS41" s="34"/>
      <c r="CT41" s="34"/>
      <c r="CU41" s="34"/>
      <c r="CV41" s="34"/>
      <c r="CW41" s="34"/>
      <c r="CX41" s="34"/>
      <c r="CY41" s="34"/>
      <c r="CZ41" s="34"/>
      <c r="DA41" s="34"/>
      <c r="DB41" s="34"/>
      <c r="DC41" s="34"/>
      <c r="DD41" s="34"/>
      <c r="DE41" s="34"/>
      <c r="DF41" s="34"/>
      <c r="DG41" s="34"/>
      <c r="DH41" s="34"/>
      <c r="DI41" s="34"/>
      <c r="DJ41" s="34"/>
      <c r="DK41" s="34"/>
      <c r="DL41" s="34"/>
      <c r="DM41" s="34"/>
      <c r="DN41" s="34"/>
      <c r="DO41" s="34"/>
      <c r="DP41" s="34"/>
      <c r="DQ41" s="34"/>
      <c r="DR41" s="34"/>
      <c r="DS41" s="34"/>
      <c r="DT41" s="34"/>
      <c r="DU41" s="34"/>
      <c r="DV41" s="34"/>
      <c r="DW41" s="34"/>
      <c r="DX41" s="34"/>
      <c r="DY41" s="34"/>
      <c r="DZ41" s="34"/>
      <c r="EA41" s="34"/>
      <c r="EB41" s="34"/>
      <c r="EC41" s="34"/>
      <c r="ED41" s="34"/>
      <c r="EE41" s="34"/>
      <c r="EF41" s="34"/>
      <c r="EG41" s="34"/>
      <c r="EH41" s="34"/>
      <c r="EI41" s="34"/>
      <c r="EJ41" s="34"/>
      <c r="EK41" s="34"/>
      <c r="EL41" s="34"/>
      <c r="EM41" s="34"/>
      <c r="EN41" s="34"/>
      <c r="EO41" s="34"/>
      <c r="EP41" s="34"/>
      <c r="EQ41" s="34"/>
      <c r="ER41" s="34"/>
      <c r="ES41" s="34"/>
      <c r="ET41" s="34"/>
      <c r="EU41" s="34"/>
      <c r="EV41" s="34"/>
      <c r="EW41" s="34"/>
      <c r="EX41" s="34"/>
      <c r="EY41" s="34"/>
      <c r="EZ41" s="34"/>
      <c r="FA41" s="34"/>
      <c r="FB41" s="34"/>
      <c r="FC41" s="34"/>
      <c r="FD41" s="34"/>
      <c r="FE41" s="34"/>
      <c r="FF41" s="34"/>
      <c r="FG41" s="34"/>
      <c r="FH41" s="34"/>
      <c r="FI41" s="34"/>
      <c r="FJ41" s="34"/>
      <c r="FK41" s="34"/>
      <c r="FL41" s="34"/>
      <c r="FM41" s="34"/>
      <c r="FN41" s="34"/>
      <c r="FO41" s="34"/>
      <c r="FP41" s="34"/>
      <c r="FQ41" s="34"/>
      <c r="FR41" s="34"/>
      <c r="FS41" s="34"/>
      <c r="FT41" s="34"/>
      <c r="FU41" s="34"/>
      <c r="FV41" s="34"/>
      <c r="FW41" s="34"/>
      <c r="FX41" s="34"/>
      <c r="FY41" s="34"/>
      <c r="FZ41" s="34"/>
      <c r="GA41" s="34"/>
      <c r="GB41" s="34"/>
      <c r="GC41" s="34"/>
      <c r="GD41" s="34"/>
      <c r="GE41" s="34"/>
      <c r="GF41" s="34"/>
      <c r="GG41" s="34"/>
      <c r="GH41" s="34"/>
      <c r="GI41" s="34"/>
      <c r="GJ41" s="34"/>
      <c r="GK41" s="34"/>
      <c r="GL41" s="219"/>
      <c r="GM41" s="219"/>
      <c r="GN41" s="219"/>
      <c r="GO41" s="219"/>
      <c r="GP41" s="219"/>
      <c r="GQ41" s="219"/>
      <c r="GR41" s="219"/>
      <c r="GS41" s="219"/>
      <c r="GT41" s="219"/>
      <c r="GU41" s="219"/>
      <c r="GV41" s="219"/>
      <c r="GW41" s="219"/>
      <c r="GX41" s="219"/>
      <c r="GY41" s="219"/>
      <c r="GZ41" s="219"/>
      <c r="HA41" s="219"/>
      <c r="HB41" s="219"/>
      <c r="HC41" s="219"/>
      <c r="HD41" s="219"/>
      <c r="HE41" s="219"/>
      <c r="HF41" s="219"/>
    </row>
    <row r="42" spans="1:214" ht="18" customHeight="1" x14ac:dyDescent="0.2">
      <c r="B42" s="1656" t="s">
        <v>291</v>
      </c>
      <c r="C42" s="1656"/>
      <c r="D42" s="1656"/>
      <c r="E42" s="1656"/>
      <c r="F42" s="1544"/>
      <c r="G42" s="1544"/>
      <c r="H42" s="1544"/>
      <c r="I42" s="1544"/>
      <c r="J42" s="1544"/>
      <c r="K42" s="1544"/>
      <c r="L42" s="1544"/>
      <c r="M42" s="1544"/>
      <c r="N42" s="1577"/>
      <c r="O42" s="1545">
        <f>IF(F42=AL40,0.2,IF(F42=AL41,0.1,0))</f>
        <v>0</v>
      </c>
      <c r="P42" s="1545"/>
      <c r="Q42" s="1545"/>
      <c r="R42" s="496"/>
      <c r="S42" s="1656" t="s">
        <v>291</v>
      </c>
      <c r="T42" s="1656"/>
      <c r="U42" s="1656"/>
      <c r="V42" s="1656"/>
      <c r="W42" s="1544"/>
      <c r="X42" s="1544"/>
      <c r="Y42" s="1544"/>
      <c r="Z42" s="1544"/>
      <c r="AA42" s="1544"/>
      <c r="AB42" s="1544"/>
      <c r="AC42" s="1544"/>
      <c r="AD42" s="1544"/>
      <c r="AE42" s="1577"/>
      <c r="AF42" s="1545">
        <f>IF(W42=AL40,0.2,IF(W42=AL41,0.1,0))</f>
        <v>0</v>
      </c>
      <c r="AG42" s="1545"/>
      <c r="AH42" s="1545"/>
      <c r="AI42" s="63"/>
      <c r="AJ42" s="63"/>
      <c r="AK42" s="63"/>
      <c r="AL42" s="1127" t="s">
        <v>292</v>
      </c>
      <c r="AM42" s="63"/>
      <c r="AN42" s="63"/>
      <c r="AO42" s="34"/>
      <c r="AP42" s="34"/>
      <c r="AQ42" s="34"/>
      <c r="AR42" s="34"/>
      <c r="AS42" s="34"/>
      <c r="AT42" s="34"/>
      <c r="AU42" s="34"/>
      <c r="AV42" s="34"/>
      <c r="AW42" s="34"/>
      <c r="AX42" s="34"/>
      <c r="AY42" s="34"/>
      <c r="AZ42" s="34"/>
      <c r="BA42" s="34"/>
      <c r="BB42" s="34"/>
      <c r="BC42" s="34"/>
      <c r="BD42" s="34"/>
      <c r="BE42" s="122"/>
      <c r="BF42" s="122"/>
      <c r="BG42" s="34"/>
      <c r="BH42" s="34"/>
      <c r="BI42" s="34"/>
      <c r="BJ42" s="122"/>
      <c r="BK42" s="34"/>
      <c r="BL42" s="34"/>
      <c r="BM42" s="34"/>
      <c r="BN42" s="122"/>
      <c r="BO42" s="34"/>
      <c r="BP42" s="34"/>
      <c r="BQ42" s="34"/>
      <c r="BR42" s="122"/>
      <c r="BS42" s="34"/>
      <c r="BT42" s="34"/>
      <c r="BU42" s="34"/>
      <c r="BV42" s="34"/>
      <c r="BW42" s="34"/>
      <c r="BX42" s="34"/>
      <c r="BY42" s="34"/>
      <c r="BZ42" s="34"/>
      <c r="CA42" s="34"/>
      <c r="CB42" s="34"/>
      <c r="CC42" s="34"/>
      <c r="CD42" s="34"/>
      <c r="CE42" s="34"/>
      <c r="CF42" s="34"/>
      <c r="CG42" s="34"/>
      <c r="CH42" s="34"/>
      <c r="CI42" s="34"/>
      <c r="CJ42" s="34"/>
      <c r="CK42" s="34"/>
      <c r="CL42" s="34"/>
      <c r="CM42" s="34"/>
      <c r="CN42" s="34"/>
      <c r="CO42" s="34"/>
      <c r="CP42" s="34"/>
      <c r="CQ42" s="34"/>
      <c r="CR42" s="34"/>
      <c r="CS42" s="34"/>
      <c r="CT42" s="34"/>
      <c r="CU42" s="34"/>
      <c r="CV42" s="34"/>
      <c r="CW42" s="34"/>
      <c r="CX42" s="34"/>
      <c r="CY42" s="34"/>
      <c r="CZ42" s="34"/>
      <c r="DA42" s="34"/>
      <c r="DB42" s="34"/>
      <c r="DC42" s="34"/>
      <c r="DD42" s="34"/>
      <c r="DE42" s="34"/>
      <c r="DF42" s="34"/>
      <c r="DG42" s="34"/>
      <c r="DH42" s="34"/>
      <c r="DI42" s="34"/>
      <c r="DJ42" s="34"/>
      <c r="DK42" s="34"/>
      <c r="DL42" s="34"/>
      <c r="DM42" s="34"/>
      <c r="DN42" s="34"/>
      <c r="DO42" s="34"/>
      <c r="DP42" s="34"/>
      <c r="DQ42" s="34"/>
      <c r="DR42" s="34"/>
      <c r="DS42" s="34"/>
      <c r="DT42" s="34"/>
      <c r="DU42" s="34"/>
      <c r="DV42" s="34"/>
      <c r="DW42" s="34"/>
      <c r="DX42" s="34"/>
      <c r="DY42" s="34"/>
      <c r="DZ42" s="34"/>
      <c r="EA42" s="34"/>
      <c r="EB42" s="34"/>
      <c r="EC42" s="34"/>
      <c r="ED42" s="34"/>
      <c r="EE42" s="34"/>
      <c r="EF42" s="34"/>
      <c r="EG42" s="34"/>
      <c r="EH42" s="34"/>
      <c r="EI42" s="34"/>
      <c r="EJ42" s="34"/>
      <c r="EK42" s="34"/>
      <c r="EL42" s="34"/>
      <c r="EM42" s="34"/>
      <c r="EN42" s="34"/>
      <c r="EO42" s="34"/>
      <c r="EP42" s="34"/>
      <c r="EQ42" s="34"/>
      <c r="ER42" s="34"/>
      <c r="ES42" s="34"/>
      <c r="ET42" s="34"/>
      <c r="EU42" s="34"/>
      <c r="EV42" s="34"/>
      <c r="EW42" s="34"/>
      <c r="EX42" s="34"/>
      <c r="EY42" s="34"/>
      <c r="EZ42" s="34"/>
      <c r="FA42" s="34"/>
      <c r="FB42" s="34"/>
      <c r="FC42" s="34"/>
      <c r="FD42" s="34"/>
      <c r="FE42" s="34"/>
      <c r="FF42" s="34"/>
      <c r="FG42" s="34"/>
      <c r="FH42" s="34"/>
      <c r="FI42" s="34"/>
      <c r="FJ42" s="34"/>
      <c r="FK42" s="34"/>
      <c r="FL42" s="34"/>
      <c r="FM42" s="34"/>
      <c r="FN42" s="34"/>
      <c r="FO42" s="34"/>
      <c r="FP42" s="34"/>
      <c r="FQ42" s="34"/>
      <c r="FR42" s="34"/>
      <c r="FS42" s="34"/>
      <c r="FT42" s="34"/>
      <c r="FU42" s="34"/>
      <c r="FV42" s="34"/>
      <c r="FW42" s="34"/>
      <c r="FX42" s="34"/>
      <c r="FY42" s="34"/>
      <c r="FZ42" s="34"/>
      <c r="GA42" s="34"/>
      <c r="GB42" s="34"/>
      <c r="GC42" s="34"/>
      <c r="GD42" s="34"/>
      <c r="GE42" s="34"/>
      <c r="GF42" s="34"/>
      <c r="GG42" s="34"/>
      <c r="GH42" s="34"/>
      <c r="GI42" s="34"/>
      <c r="GJ42" s="34"/>
      <c r="GK42" s="34"/>
      <c r="GL42" s="219"/>
      <c r="GM42" s="219"/>
      <c r="GN42" s="219"/>
      <c r="GO42" s="219"/>
      <c r="GP42" s="219"/>
      <c r="GQ42" s="219"/>
      <c r="GR42" s="219"/>
      <c r="GS42" s="219"/>
      <c r="GT42" s="219"/>
      <c r="GU42" s="219"/>
      <c r="GV42" s="219"/>
      <c r="GW42" s="219"/>
      <c r="GX42" s="219"/>
      <c r="GY42" s="219"/>
      <c r="GZ42" s="219"/>
      <c r="HA42" s="219"/>
      <c r="HB42" s="219"/>
      <c r="HC42" s="219"/>
      <c r="HD42" s="219"/>
      <c r="HE42" s="219"/>
      <c r="HF42" s="219"/>
    </row>
    <row r="43" spans="1:214" ht="18" customHeight="1" x14ac:dyDescent="0.2">
      <c r="B43" s="1656" t="s">
        <v>293</v>
      </c>
      <c r="C43" s="1656"/>
      <c r="D43" s="1656"/>
      <c r="E43" s="1656"/>
      <c r="F43" s="1544"/>
      <c r="G43" s="1544"/>
      <c r="H43" s="1544"/>
      <c r="I43" s="1544"/>
      <c r="J43" s="1544"/>
      <c r="K43" s="1544"/>
      <c r="L43" s="1544"/>
      <c r="M43" s="1544"/>
      <c r="N43" s="1577"/>
      <c r="O43" s="1545">
        <f>IF(F43=AL40,0.2,IF(F43=AL41,0.1,0))</f>
        <v>0</v>
      </c>
      <c r="P43" s="1545"/>
      <c r="Q43" s="1545"/>
      <c r="R43" s="496"/>
      <c r="S43" s="1656" t="s">
        <v>293</v>
      </c>
      <c r="T43" s="1656"/>
      <c r="U43" s="1656"/>
      <c r="V43" s="1656"/>
      <c r="W43" s="1544"/>
      <c r="X43" s="1544"/>
      <c r="Y43" s="1544"/>
      <c r="Z43" s="1544"/>
      <c r="AA43" s="1544"/>
      <c r="AB43" s="1544"/>
      <c r="AC43" s="1544"/>
      <c r="AD43" s="1544"/>
      <c r="AE43" s="1577"/>
      <c r="AF43" s="1545">
        <f>IF(W43=AL40,0.2,IF(W43=AL41,0.1,0))</f>
        <v>0</v>
      </c>
      <c r="AG43" s="1545"/>
      <c r="AH43" s="1545"/>
      <c r="AI43" s="63"/>
      <c r="AJ43" s="63"/>
      <c r="AK43" s="63"/>
      <c r="AL43" s="63"/>
      <c r="AM43" s="63"/>
      <c r="AN43" s="63"/>
      <c r="AO43" s="34"/>
      <c r="AP43" s="34"/>
      <c r="AQ43" s="34"/>
      <c r="AR43" s="34"/>
      <c r="AS43" s="34"/>
      <c r="AT43" s="34"/>
      <c r="AU43" s="34"/>
      <c r="AV43" s="34"/>
      <c r="AW43" s="34"/>
      <c r="AX43" s="34"/>
      <c r="AY43" s="34"/>
      <c r="AZ43" s="34"/>
      <c r="BA43" s="34"/>
      <c r="BB43" s="34"/>
      <c r="BC43" s="34"/>
      <c r="BD43" s="34"/>
      <c r="BE43" s="122"/>
      <c r="BF43" s="122"/>
      <c r="BG43" s="34"/>
      <c r="BH43" s="34"/>
      <c r="BI43" s="34"/>
      <c r="BJ43" s="122"/>
      <c r="BK43" s="34"/>
      <c r="BL43" s="34"/>
      <c r="BM43" s="34"/>
      <c r="BN43" s="122"/>
      <c r="BO43" s="34"/>
      <c r="BP43" s="34"/>
      <c r="BQ43" s="34"/>
      <c r="BR43" s="122"/>
      <c r="BS43" s="34"/>
      <c r="BT43" s="34"/>
      <c r="BU43" s="34"/>
      <c r="BV43" s="34"/>
      <c r="BW43" s="34"/>
      <c r="BX43" s="34"/>
      <c r="BY43" s="34"/>
      <c r="BZ43" s="34"/>
      <c r="CA43" s="34"/>
      <c r="CB43" s="34"/>
      <c r="CC43" s="34"/>
      <c r="CD43" s="34"/>
      <c r="CE43" s="34"/>
      <c r="CF43" s="34"/>
      <c r="CG43" s="34"/>
      <c r="CH43" s="34"/>
      <c r="CI43" s="34"/>
      <c r="CJ43" s="34"/>
      <c r="CK43" s="34"/>
      <c r="CL43" s="34"/>
      <c r="CM43" s="34"/>
      <c r="CN43" s="34"/>
      <c r="CO43" s="34"/>
      <c r="CP43" s="34"/>
      <c r="CQ43" s="34"/>
      <c r="CR43" s="34"/>
      <c r="CS43" s="34"/>
      <c r="CT43" s="34"/>
      <c r="CU43" s="34"/>
      <c r="CV43" s="34"/>
      <c r="CW43" s="34"/>
      <c r="CX43" s="34"/>
      <c r="CY43" s="34"/>
      <c r="CZ43" s="34"/>
      <c r="DA43" s="34"/>
      <c r="DB43" s="34"/>
      <c r="DC43" s="34"/>
      <c r="DD43" s="34"/>
      <c r="DE43" s="34"/>
      <c r="DF43" s="34"/>
      <c r="DG43" s="34"/>
      <c r="DH43" s="34"/>
      <c r="DI43" s="34"/>
      <c r="DJ43" s="34"/>
      <c r="DK43" s="34"/>
      <c r="DL43" s="34"/>
      <c r="DM43" s="34"/>
      <c r="DN43" s="34"/>
      <c r="DO43" s="34"/>
      <c r="DP43" s="34"/>
      <c r="DQ43" s="34"/>
      <c r="DR43" s="34"/>
      <c r="DS43" s="34"/>
      <c r="DT43" s="34"/>
      <c r="DU43" s="34"/>
      <c r="DV43" s="34"/>
      <c r="DW43" s="34"/>
      <c r="DX43" s="34"/>
      <c r="DY43" s="34"/>
      <c r="DZ43" s="34"/>
      <c r="EA43" s="34"/>
      <c r="EB43" s="34"/>
      <c r="EC43" s="34"/>
      <c r="ED43" s="34"/>
      <c r="EE43" s="34"/>
      <c r="EF43" s="34"/>
      <c r="EG43" s="34"/>
      <c r="EH43" s="34"/>
      <c r="EI43" s="34"/>
      <c r="EJ43" s="34"/>
      <c r="EK43" s="34"/>
      <c r="EL43" s="34"/>
      <c r="EM43" s="34"/>
      <c r="EN43" s="34"/>
      <c r="EO43" s="34"/>
      <c r="EP43" s="34"/>
      <c r="EQ43" s="34"/>
      <c r="ER43" s="34"/>
      <c r="ES43" s="34"/>
      <c r="ET43" s="34"/>
      <c r="EU43" s="34"/>
      <c r="EV43" s="34"/>
      <c r="EW43" s="34"/>
      <c r="EX43" s="34"/>
      <c r="EY43" s="34"/>
      <c r="EZ43" s="34"/>
      <c r="FA43" s="34"/>
      <c r="FB43" s="34"/>
      <c r="FC43" s="34"/>
      <c r="FD43" s="34"/>
      <c r="FE43" s="34"/>
      <c r="FF43" s="34"/>
      <c r="FG43" s="34"/>
      <c r="FH43" s="34"/>
      <c r="FI43" s="34"/>
      <c r="FJ43" s="34"/>
      <c r="FK43" s="34"/>
      <c r="FL43" s="34"/>
      <c r="FM43" s="34"/>
      <c r="FN43" s="34"/>
      <c r="FO43" s="34"/>
      <c r="FP43" s="34"/>
      <c r="FQ43" s="34"/>
      <c r="FR43" s="34"/>
      <c r="FS43" s="34"/>
      <c r="FT43" s="34"/>
      <c r="FU43" s="34"/>
      <c r="FV43" s="34"/>
      <c r="FW43" s="34"/>
      <c r="FX43" s="34"/>
      <c r="FY43" s="34"/>
      <c r="FZ43" s="34"/>
      <c r="GA43" s="34"/>
      <c r="GB43" s="34"/>
      <c r="GC43" s="34"/>
      <c r="GD43" s="34"/>
      <c r="GE43" s="34"/>
      <c r="GF43" s="34"/>
      <c r="GG43" s="34"/>
      <c r="GH43" s="34"/>
      <c r="GI43" s="34"/>
      <c r="GJ43" s="34"/>
      <c r="GK43" s="34"/>
      <c r="GL43" s="219"/>
      <c r="GM43" s="219"/>
      <c r="GN43" s="219"/>
      <c r="GO43" s="219"/>
      <c r="GP43" s="219"/>
      <c r="GQ43" s="219"/>
      <c r="GR43" s="219"/>
      <c r="GS43" s="219"/>
      <c r="GT43" s="219"/>
      <c r="GU43" s="219"/>
      <c r="GV43" s="219"/>
      <c r="GW43" s="219"/>
      <c r="GX43" s="219"/>
      <c r="GY43" s="219"/>
      <c r="GZ43" s="219"/>
      <c r="HA43" s="219"/>
      <c r="HB43" s="219"/>
      <c r="HC43" s="219"/>
      <c r="HD43" s="219"/>
      <c r="HE43" s="219"/>
      <c r="HF43" s="219"/>
    </row>
    <row r="44" spans="1:214" ht="18" customHeight="1" x14ac:dyDescent="0.2">
      <c r="B44" s="1656" t="s">
        <v>294</v>
      </c>
      <c r="C44" s="1656"/>
      <c r="D44" s="1656"/>
      <c r="E44" s="1656"/>
      <c r="F44" s="1544"/>
      <c r="G44" s="1544"/>
      <c r="H44" s="1544"/>
      <c r="I44" s="1544"/>
      <c r="J44" s="1544"/>
      <c r="K44" s="1544"/>
      <c r="L44" s="1544"/>
      <c r="M44" s="1544"/>
      <c r="N44" s="1577"/>
      <c r="O44" s="1545">
        <f>IF(F44=AL40,0.2,IF(F44=AL41,0.1,0))</f>
        <v>0</v>
      </c>
      <c r="P44" s="1545"/>
      <c r="Q44" s="1545"/>
      <c r="R44" s="496"/>
      <c r="S44" s="1656" t="s">
        <v>294</v>
      </c>
      <c r="T44" s="1656"/>
      <c r="U44" s="1656"/>
      <c r="V44" s="1656"/>
      <c r="W44" s="1544"/>
      <c r="X44" s="1544"/>
      <c r="Y44" s="1544"/>
      <c r="Z44" s="1544"/>
      <c r="AA44" s="1544"/>
      <c r="AB44" s="1544"/>
      <c r="AC44" s="1544"/>
      <c r="AD44" s="1544"/>
      <c r="AE44" s="1577"/>
      <c r="AF44" s="1545">
        <f>IF(W44=AL40,0.2,IF(W44=AL41,0.1,0))</f>
        <v>0</v>
      </c>
      <c r="AG44" s="1545"/>
      <c r="AH44" s="1545"/>
      <c r="AI44" s="63"/>
      <c r="AJ44" s="63"/>
      <c r="AK44" s="63"/>
      <c r="AL44" s="63"/>
      <c r="AM44" s="63"/>
      <c r="AN44" s="63"/>
      <c r="AO44" s="34"/>
      <c r="AP44" s="34"/>
      <c r="AQ44" s="34"/>
      <c r="AR44" s="34"/>
      <c r="AS44" s="34"/>
      <c r="AT44" s="34"/>
      <c r="AU44" s="34"/>
      <c r="AV44" s="34"/>
      <c r="AW44" s="34"/>
      <c r="AX44" s="34"/>
      <c r="AY44" s="34"/>
      <c r="AZ44" s="34"/>
      <c r="BA44" s="34"/>
      <c r="BB44" s="34"/>
      <c r="BC44" s="34"/>
      <c r="BD44" s="34"/>
      <c r="BE44" s="122"/>
      <c r="BF44" s="122"/>
      <c r="BG44" s="34"/>
      <c r="BH44" s="34"/>
      <c r="BI44" s="34"/>
      <c r="BJ44" s="122"/>
      <c r="BK44" s="34"/>
      <c r="BL44" s="34"/>
      <c r="BM44" s="34"/>
      <c r="BN44" s="122"/>
      <c r="BO44" s="34"/>
      <c r="BP44" s="34"/>
      <c r="BQ44" s="34"/>
      <c r="BR44" s="122"/>
      <c r="BS44" s="34"/>
      <c r="BT44" s="34"/>
      <c r="BU44" s="34"/>
      <c r="BV44" s="34"/>
      <c r="BW44" s="34"/>
      <c r="BX44" s="34"/>
      <c r="BY44" s="34"/>
      <c r="BZ44" s="34"/>
      <c r="CA44" s="34"/>
      <c r="CB44" s="34"/>
      <c r="CC44" s="34"/>
      <c r="CD44" s="34"/>
      <c r="CE44" s="34"/>
      <c r="CF44" s="34"/>
      <c r="CG44" s="34"/>
      <c r="CH44" s="34"/>
      <c r="CI44" s="34"/>
      <c r="CJ44" s="34"/>
      <c r="CK44" s="34"/>
      <c r="CL44" s="34"/>
      <c r="CM44" s="34"/>
      <c r="CN44" s="34"/>
      <c r="CO44" s="34"/>
      <c r="CP44" s="34"/>
      <c r="CQ44" s="34"/>
      <c r="CR44" s="34"/>
      <c r="CS44" s="34"/>
      <c r="CT44" s="34"/>
      <c r="CU44" s="34"/>
      <c r="CV44" s="34"/>
      <c r="CW44" s="34"/>
      <c r="CX44" s="34"/>
      <c r="CY44" s="34"/>
      <c r="CZ44" s="34"/>
      <c r="DA44" s="34"/>
      <c r="DB44" s="34"/>
      <c r="DC44" s="34"/>
      <c r="DD44" s="34"/>
      <c r="DE44" s="34"/>
      <c r="DF44" s="34"/>
      <c r="DG44" s="34"/>
      <c r="DH44" s="34"/>
      <c r="DI44" s="34"/>
      <c r="DJ44" s="34"/>
      <c r="DK44" s="34"/>
      <c r="DL44" s="34"/>
      <c r="DM44" s="34"/>
      <c r="DN44" s="34"/>
      <c r="DO44" s="34"/>
      <c r="DP44" s="34"/>
      <c r="DQ44" s="34"/>
      <c r="DR44" s="34"/>
      <c r="DS44" s="34"/>
      <c r="DT44" s="34"/>
      <c r="DU44" s="34"/>
      <c r="DV44" s="34"/>
      <c r="DW44" s="34"/>
      <c r="DX44" s="34"/>
      <c r="DY44" s="34"/>
      <c r="DZ44" s="34"/>
      <c r="EA44" s="34"/>
      <c r="EB44" s="34"/>
      <c r="EC44" s="34"/>
      <c r="ED44" s="34"/>
      <c r="EE44" s="34"/>
      <c r="EF44" s="34"/>
      <c r="EG44" s="34"/>
      <c r="EH44" s="34"/>
      <c r="EI44" s="34"/>
      <c r="EJ44" s="34"/>
      <c r="EK44" s="34"/>
      <c r="EL44" s="34"/>
      <c r="EM44" s="34"/>
      <c r="EN44" s="34"/>
      <c r="EO44" s="34"/>
      <c r="EP44" s="34"/>
      <c r="EQ44" s="34"/>
      <c r="ER44" s="34"/>
      <c r="ES44" s="34"/>
      <c r="ET44" s="34"/>
      <c r="EU44" s="34"/>
      <c r="EV44" s="34"/>
      <c r="EW44" s="34"/>
      <c r="EX44" s="34"/>
      <c r="EY44" s="34"/>
      <c r="EZ44" s="34"/>
      <c r="FA44" s="34"/>
      <c r="FB44" s="34"/>
      <c r="FC44" s="34"/>
      <c r="FD44" s="34"/>
      <c r="FE44" s="34"/>
      <c r="FF44" s="34"/>
      <c r="FG44" s="34"/>
      <c r="FH44" s="34"/>
      <c r="FI44" s="34"/>
      <c r="FJ44" s="34"/>
      <c r="FK44" s="34"/>
      <c r="FL44" s="34"/>
      <c r="FM44" s="34"/>
      <c r="FN44" s="34"/>
      <c r="FO44" s="34"/>
      <c r="FP44" s="34"/>
      <c r="FQ44" s="34"/>
      <c r="FR44" s="34"/>
      <c r="FS44" s="34"/>
      <c r="FT44" s="34"/>
      <c r="FU44" s="34"/>
      <c r="FV44" s="34"/>
      <c r="FW44" s="34"/>
      <c r="FX44" s="34"/>
      <c r="FY44" s="34"/>
      <c r="FZ44" s="34"/>
      <c r="GA44" s="34"/>
      <c r="GB44" s="34"/>
      <c r="GC44" s="34"/>
      <c r="GD44" s="34"/>
      <c r="GE44" s="34"/>
      <c r="GF44" s="34"/>
      <c r="GG44" s="34"/>
      <c r="GH44" s="34"/>
      <c r="GI44" s="34"/>
      <c r="GJ44" s="34"/>
      <c r="GK44" s="34"/>
      <c r="GL44" s="219"/>
      <c r="GM44" s="219"/>
      <c r="GN44" s="219"/>
      <c r="GO44" s="219"/>
      <c r="GP44" s="219"/>
      <c r="GQ44" s="219"/>
      <c r="GR44" s="219"/>
      <c r="GS44" s="219"/>
      <c r="GT44" s="219"/>
      <c r="GU44" s="219"/>
      <c r="GV44" s="219"/>
      <c r="GW44" s="219"/>
      <c r="GX44" s="219"/>
      <c r="GY44" s="219"/>
      <c r="GZ44" s="219"/>
      <c r="HA44" s="219"/>
      <c r="HB44" s="219"/>
      <c r="HC44" s="219"/>
      <c r="HD44" s="219"/>
      <c r="HE44" s="219"/>
      <c r="HF44" s="219"/>
    </row>
    <row r="45" spans="1:214" ht="18" customHeight="1" x14ac:dyDescent="0.2">
      <c r="B45" s="1656" t="s">
        <v>295</v>
      </c>
      <c r="C45" s="1656"/>
      <c r="D45" s="1656"/>
      <c r="E45" s="1656"/>
      <c r="F45" s="1544"/>
      <c r="G45" s="1544"/>
      <c r="H45" s="1544"/>
      <c r="I45" s="1544"/>
      <c r="J45" s="1544"/>
      <c r="K45" s="1544"/>
      <c r="L45" s="1544"/>
      <c r="M45" s="1544"/>
      <c r="N45" s="1577"/>
      <c r="O45" s="1545">
        <f>IF(F45=AL42,0.1,0)</f>
        <v>0</v>
      </c>
      <c r="P45" s="1545"/>
      <c r="Q45" s="1545"/>
      <c r="R45" s="496"/>
      <c r="S45" s="1656" t="s">
        <v>295</v>
      </c>
      <c r="T45" s="1656"/>
      <c r="U45" s="1656"/>
      <c r="V45" s="1656"/>
      <c r="W45" s="1544"/>
      <c r="X45" s="1544"/>
      <c r="Y45" s="1544"/>
      <c r="Z45" s="1544"/>
      <c r="AA45" s="1544"/>
      <c r="AB45" s="1544"/>
      <c r="AC45" s="1544"/>
      <c r="AD45" s="1544"/>
      <c r="AE45" s="1577"/>
      <c r="AF45" s="1545">
        <f>IF(W45=AL42,0.1,0)</f>
        <v>0</v>
      </c>
      <c r="AG45" s="1545"/>
      <c r="AH45" s="1545"/>
      <c r="AI45" s="63"/>
      <c r="AJ45" s="63"/>
      <c r="AK45" s="63"/>
      <c r="AL45" s="63"/>
      <c r="AM45" s="63"/>
      <c r="AN45" s="148"/>
      <c r="AO45" s="126"/>
      <c r="AP45" s="89"/>
      <c r="AQ45" s="89"/>
      <c r="AR45" s="7"/>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c r="FC45" s="63"/>
      <c r="FD45" s="63"/>
      <c r="FE45" s="63"/>
      <c r="FF45" s="63"/>
      <c r="FG45" s="63"/>
      <c r="FH45" s="63"/>
      <c r="FI45" s="63"/>
      <c r="FJ45" s="63"/>
      <c r="FK45" s="63"/>
      <c r="FL45" s="63"/>
      <c r="FM45" s="63"/>
      <c r="FN45" s="63"/>
      <c r="FO45" s="63"/>
      <c r="FP45" s="63"/>
      <c r="FQ45" s="63"/>
      <c r="FR45" s="63"/>
      <c r="FS45" s="63"/>
      <c r="FT45" s="63"/>
      <c r="FU45" s="63"/>
      <c r="FV45" s="63"/>
      <c r="FW45" s="63"/>
      <c r="FX45" s="63"/>
      <c r="FY45" s="63"/>
      <c r="FZ45" s="63"/>
      <c r="GA45" s="63"/>
      <c r="GB45" s="63"/>
      <c r="GC45" s="63"/>
      <c r="GD45" s="63"/>
      <c r="GE45" s="63"/>
      <c r="GF45" s="63"/>
      <c r="GG45" s="63"/>
      <c r="GH45" s="63"/>
      <c r="GI45" s="63"/>
      <c r="GJ45" s="63"/>
      <c r="GK45" s="63"/>
    </row>
    <row r="46" spans="1:214" ht="18" customHeight="1" x14ac:dyDescent="0.2">
      <c r="B46" s="1656" t="s">
        <v>142</v>
      </c>
      <c r="C46" s="1656"/>
      <c r="D46" s="1656"/>
      <c r="E46" s="1656"/>
      <c r="F46" s="1544"/>
      <c r="G46" s="1544"/>
      <c r="H46" s="1544"/>
      <c r="I46" s="1544"/>
      <c r="J46" s="1544"/>
      <c r="K46" s="1544"/>
      <c r="L46" s="1544"/>
      <c r="M46" s="1544"/>
      <c r="N46" s="1577"/>
      <c r="O46" s="1545">
        <f>IF(F46=AL42,0.1,0)</f>
        <v>0</v>
      </c>
      <c r="P46" s="1545"/>
      <c r="Q46" s="1545"/>
      <c r="R46" s="496"/>
      <c r="S46" s="1656" t="s">
        <v>142</v>
      </c>
      <c r="T46" s="1656"/>
      <c r="U46" s="1656"/>
      <c r="V46" s="1656"/>
      <c r="W46" s="1544"/>
      <c r="X46" s="1544"/>
      <c r="Y46" s="1544"/>
      <c r="Z46" s="1544"/>
      <c r="AA46" s="1544"/>
      <c r="AB46" s="1544"/>
      <c r="AC46" s="1544"/>
      <c r="AD46" s="1544"/>
      <c r="AE46" s="1577"/>
      <c r="AF46" s="1545">
        <f>IF(W46=AL42,0.1,0)</f>
        <v>0</v>
      </c>
      <c r="AG46" s="1545"/>
      <c r="AH46" s="1545"/>
      <c r="AI46" s="63"/>
      <c r="AJ46" s="63"/>
      <c r="AK46" s="63"/>
      <c r="AL46" s="63"/>
      <c r="AM46" s="130"/>
      <c r="AN46" s="148"/>
      <c r="AO46" s="126"/>
      <c r="AP46" s="89"/>
      <c r="AQ46" s="89"/>
      <c r="AR46" s="7"/>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63"/>
      <c r="ET46" s="63"/>
      <c r="EU46" s="63"/>
      <c r="EV46" s="63"/>
      <c r="EW46" s="63"/>
      <c r="EX46" s="63"/>
      <c r="EY46" s="63"/>
      <c r="EZ46" s="63"/>
      <c r="FA46" s="63"/>
      <c r="FB46" s="63"/>
      <c r="FC46" s="63"/>
      <c r="FD46" s="63"/>
      <c r="FE46" s="63"/>
      <c r="FF46" s="63"/>
      <c r="FG46" s="63"/>
      <c r="FH46" s="63"/>
      <c r="FI46" s="63"/>
      <c r="FJ46" s="63"/>
      <c r="FK46" s="63"/>
      <c r="FL46" s="63"/>
      <c r="FM46" s="63"/>
      <c r="FN46" s="63"/>
      <c r="FO46" s="63"/>
      <c r="FP46" s="63"/>
      <c r="FQ46" s="63"/>
      <c r="FR46" s="63"/>
      <c r="FS46" s="63"/>
      <c r="FT46" s="63"/>
      <c r="FU46" s="63"/>
      <c r="FV46" s="63"/>
      <c r="FW46" s="63"/>
      <c r="FX46" s="63"/>
      <c r="FY46" s="63"/>
      <c r="FZ46" s="63"/>
      <c r="GA46" s="63"/>
      <c r="GB46" s="63"/>
      <c r="GC46" s="63"/>
      <c r="GD46" s="63"/>
      <c r="GE46" s="63"/>
      <c r="GF46" s="63"/>
      <c r="GG46" s="63"/>
      <c r="GH46" s="63"/>
      <c r="GI46" s="63"/>
      <c r="GJ46" s="63"/>
      <c r="GK46" s="63"/>
    </row>
    <row r="47" spans="1:214" ht="18" customHeight="1" x14ac:dyDescent="0.2">
      <c r="B47" s="1656" t="s">
        <v>1291</v>
      </c>
      <c r="C47" s="1656"/>
      <c r="D47" s="1656"/>
      <c r="E47" s="1656"/>
      <c r="F47" s="1544"/>
      <c r="G47" s="1544"/>
      <c r="H47" s="1544"/>
      <c r="I47" s="1544"/>
      <c r="J47" s="1544"/>
      <c r="K47" s="1544"/>
      <c r="L47" s="1544"/>
      <c r="M47" s="1544"/>
      <c r="N47" s="1544"/>
      <c r="O47" s="1545">
        <f>IF(F47=AL42,0.1,0)</f>
        <v>0</v>
      </c>
      <c r="P47" s="1545"/>
      <c r="Q47" s="1545"/>
      <c r="R47" s="496"/>
      <c r="S47" s="1656" t="s">
        <v>1291</v>
      </c>
      <c r="T47" s="1656"/>
      <c r="U47" s="1656"/>
      <c r="V47" s="1656"/>
      <c r="W47" s="1544"/>
      <c r="X47" s="1544"/>
      <c r="Y47" s="1544"/>
      <c r="Z47" s="1544"/>
      <c r="AA47" s="1544"/>
      <c r="AB47" s="1544"/>
      <c r="AC47" s="1544"/>
      <c r="AD47" s="1544"/>
      <c r="AE47" s="1544"/>
      <c r="AF47" s="1545">
        <f>IF(W47=AL42,0.1,0)</f>
        <v>0</v>
      </c>
      <c r="AG47" s="1545"/>
      <c r="AH47" s="1545"/>
      <c r="AI47" s="63"/>
      <c r="AJ47" s="63"/>
      <c r="AK47" s="63"/>
      <c r="AL47" s="63"/>
      <c r="AM47" s="130"/>
      <c r="AN47" s="148"/>
      <c r="AO47" s="126"/>
      <c r="AP47" s="89"/>
      <c r="AQ47" s="89"/>
      <c r="AR47" s="7"/>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c r="FC47" s="63"/>
      <c r="FD47" s="63"/>
      <c r="FE47" s="63"/>
      <c r="FF47" s="63"/>
      <c r="FG47" s="63"/>
      <c r="FH47" s="63"/>
      <c r="FI47" s="63"/>
      <c r="FJ47" s="63"/>
      <c r="FK47" s="63"/>
      <c r="FL47" s="63"/>
      <c r="FM47" s="63"/>
      <c r="FN47" s="63"/>
      <c r="FO47" s="63"/>
      <c r="FP47" s="63"/>
      <c r="FQ47" s="63"/>
      <c r="FR47" s="63"/>
      <c r="FS47" s="63"/>
      <c r="FT47" s="63"/>
      <c r="FU47" s="63"/>
      <c r="FV47" s="63"/>
      <c r="FW47" s="63"/>
      <c r="FX47" s="63"/>
      <c r="FY47" s="63"/>
      <c r="FZ47" s="63"/>
      <c r="GA47" s="63"/>
      <c r="GB47" s="63"/>
      <c r="GC47" s="63"/>
      <c r="GD47" s="63"/>
      <c r="GE47" s="63"/>
      <c r="GF47" s="63"/>
      <c r="GG47" s="63"/>
      <c r="GH47" s="63"/>
      <c r="GI47" s="63"/>
      <c r="GJ47" s="63"/>
      <c r="GK47" s="63"/>
    </row>
    <row r="48" spans="1:214" ht="18" customHeight="1" x14ac:dyDescent="0.2">
      <c r="B48" s="1555" t="s">
        <v>298</v>
      </c>
      <c r="C48" s="1555"/>
      <c r="D48" s="1555"/>
      <c r="E48" s="1555"/>
      <c r="F48" s="1555"/>
      <c r="G48" s="1555"/>
      <c r="H48" s="1555"/>
      <c r="I48" s="1555"/>
      <c r="J48" s="1555"/>
      <c r="K48" s="1555"/>
      <c r="L48" s="1555"/>
      <c r="M48" s="1555"/>
      <c r="N48" s="1555"/>
      <c r="O48" s="1545">
        <f>IF(SUM(O39:O47)&gt;1,1,SUM(O39:O47))</f>
        <v>0</v>
      </c>
      <c r="P48" s="1545"/>
      <c r="Q48" s="1545"/>
      <c r="R48" s="496"/>
      <c r="S48" s="1555" t="s">
        <v>299</v>
      </c>
      <c r="T48" s="1555"/>
      <c r="U48" s="1555"/>
      <c r="V48" s="1555"/>
      <c r="W48" s="1555"/>
      <c r="X48" s="1555"/>
      <c r="Y48" s="1555"/>
      <c r="Z48" s="1555"/>
      <c r="AA48" s="1555"/>
      <c r="AB48" s="1555"/>
      <c r="AC48" s="1555"/>
      <c r="AD48" s="1555"/>
      <c r="AE48" s="1555"/>
      <c r="AF48" s="1545">
        <f>IF(SUM(AF39:AF47)&gt;1,1,SUM(AF39:AF47))</f>
        <v>0</v>
      </c>
      <c r="AG48" s="1545"/>
      <c r="AH48" s="1545"/>
      <c r="AI48" s="63"/>
      <c r="AJ48" s="63"/>
      <c r="AK48" s="63"/>
      <c r="AL48" s="63"/>
      <c r="AM48" s="130"/>
      <c r="AN48" s="148"/>
      <c r="AO48" s="126"/>
      <c r="AP48" s="89"/>
      <c r="AQ48" s="89"/>
      <c r="AR48" s="7"/>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c r="FC48" s="63"/>
      <c r="FD48" s="63"/>
      <c r="FE48" s="63"/>
      <c r="FF48" s="63"/>
      <c r="FG48" s="63"/>
      <c r="FH48" s="63"/>
      <c r="FI48" s="63"/>
      <c r="FJ48" s="63"/>
      <c r="FK48" s="63"/>
      <c r="FL48" s="63"/>
      <c r="FM48" s="63"/>
      <c r="FN48" s="63"/>
      <c r="FO48" s="63"/>
      <c r="FP48" s="63"/>
      <c r="FQ48" s="63"/>
      <c r="FR48" s="63"/>
      <c r="FS48" s="63"/>
      <c r="FT48" s="63"/>
      <c r="FU48" s="63"/>
      <c r="FV48" s="63"/>
      <c r="FW48" s="63"/>
      <c r="FX48" s="63"/>
      <c r="FY48" s="63"/>
      <c r="FZ48" s="63"/>
      <c r="GA48" s="63"/>
      <c r="GB48" s="63"/>
      <c r="GC48" s="63"/>
      <c r="GD48" s="63"/>
      <c r="GE48" s="63"/>
      <c r="GF48" s="63"/>
      <c r="GG48" s="63"/>
      <c r="GH48" s="63"/>
      <c r="GI48" s="63"/>
      <c r="GJ48" s="63"/>
      <c r="GK48" s="63"/>
    </row>
    <row r="49" spans="1:193" ht="12" customHeight="1" x14ac:dyDescent="0.2">
      <c r="B49" s="1395"/>
      <c r="C49" s="1395"/>
      <c r="D49" s="1395"/>
      <c r="E49" s="1395"/>
      <c r="F49" s="1395"/>
      <c r="G49" s="1395"/>
      <c r="H49" s="1395"/>
      <c r="I49" s="1395"/>
      <c r="J49" s="1395"/>
      <c r="K49" s="1395"/>
      <c r="L49" s="1395"/>
      <c r="M49" s="1395"/>
      <c r="N49" s="1395"/>
      <c r="O49" s="1395"/>
      <c r="P49" s="1395"/>
      <c r="Q49" s="1395"/>
      <c r="R49" s="496"/>
      <c r="S49" s="1602"/>
      <c r="T49" s="1602"/>
      <c r="U49" s="1602"/>
      <c r="V49" s="1602"/>
      <c r="W49" s="1602"/>
      <c r="X49" s="1602"/>
      <c r="Y49" s="1602"/>
      <c r="Z49" s="1602"/>
      <c r="AA49" s="1602"/>
      <c r="AB49" s="1602"/>
      <c r="AC49" s="1602"/>
      <c r="AD49" s="1602"/>
      <c r="AE49" s="1602"/>
      <c r="AF49" s="1602"/>
      <c r="AG49" s="1602"/>
      <c r="AH49" s="1602"/>
      <c r="AI49" s="63"/>
      <c r="AJ49" s="63"/>
      <c r="AK49" s="63"/>
      <c r="AL49" s="63"/>
      <c r="AM49" s="130"/>
      <c r="AN49" s="277"/>
      <c r="AO49" s="126"/>
      <c r="AP49" s="89"/>
      <c r="AQ49" s="89"/>
      <c r="AR49" s="7"/>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c r="FC49" s="63"/>
      <c r="FD49" s="63"/>
      <c r="FE49" s="63"/>
      <c r="FF49" s="63"/>
      <c r="FG49" s="63"/>
      <c r="FH49" s="63"/>
      <c r="FI49" s="63"/>
      <c r="FJ49" s="63"/>
      <c r="FK49" s="63"/>
      <c r="FL49" s="63"/>
      <c r="FM49" s="63"/>
      <c r="FN49" s="63"/>
      <c r="FO49" s="63"/>
      <c r="FP49" s="63"/>
      <c r="FQ49" s="63"/>
      <c r="FR49" s="63"/>
      <c r="FS49" s="63"/>
      <c r="FT49" s="63"/>
      <c r="FU49" s="63"/>
      <c r="FV49" s="63"/>
      <c r="FW49" s="63"/>
      <c r="FX49" s="63"/>
      <c r="FY49" s="63"/>
      <c r="FZ49" s="63"/>
      <c r="GA49" s="63"/>
      <c r="GB49" s="63"/>
      <c r="GC49" s="63"/>
      <c r="GD49" s="63"/>
      <c r="GE49" s="63"/>
      <c r="GF49" s="63"/>
      <c r="GG49" s="63"/>
      <c r="GH49" s="63"/>
      <c r="GI49" s="63"/>
      <c r="GJ49" s="63"/>
      <c r="GK49" s="63"/>
    </row>
    <row r="50" spans="1:193" ht="18" customHeight="1" x14ac:dyDescent="0.2">
      <c r="B50" s="1557" t="s">
        <v>300</v>
      </c>
      <c r="C50" s="1557"/>
      <c r="D50" s="1557"/>
      <c r="E50" s="1557"/>
      <c r="F50" s="1557"/>
      <c r="G50" s="1557"/>
      <c r="H50" s="1557"/>
      <c r="I50" s="1557"/>
      <c r="J50" s="1557"/>
      <c r="K50" s="1557"/>
      <c r="L50" s="1557"/>
      <c r="M50" s="1557"/>
      <c r="N50" s="1557"/>
      <c r="O50" s="1557"/>
      <c r="P50" s="1557"/>
      <c r="Q50" s="1557"/>
      <c r="R50" s="326"/>
      <c r="S50" s="1557" t="s">
        <v>301</v>
      </c>
      <c r="T50" s="1557"/>
      <c r="U50" s="1557"/>
      <c r="V50" s="1557"/>
      <c r="W50" s="1557"/>
      <c r="X50" s="1557"/>
      <c r="Y50" s="1557"/>
      <c r="Z50" s="1557"/>
      <c r="AA50" s="1557"/>
      <c r="AB50" s="1557"/>
      <c r="AC50" s="1557"/>
      <c r="AD50" s="1557"/>
      <c r="AE50" s="1557"/>
      <c r="AF50" s="1557"/>
      <c r="AG50" s="1557"/>
      <c r="AH50" s="1557"/>
      <c r="AI50" s="63"/>
      <c r="AJ50" s="63"/>
      <c r="AK50" s="63"/>
      <c r="AL50" s="63"/>
      <c r="AM50" s="130"/>
      <c r="AN50" s="148"/>
      <c r="AO50" s="126"/>
      <c r="AP50" s="89"/>
      <c r="AQ50" s="89"/>
      <c r="AR50" s="7"/>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c r="FC50" s="63"/>
      <c r="FD50" s="63"/>
      <c r="FE50" s="63"/>
      <c r="FF50" s="63"/>
      <c r="FG50" s="63"/>
      <c r="FH50" s="63"/>
      <c r="FI50" s="63"/>
      <c r="FJ50" s="63"/>
      <c r="FK50" s="63"/>
      <c r="FL50" s="63"/>
      <c r="FM50" s="63"/>
      <c r="FN50" s="63"/>
      <c r="FO50" s="63"/>
      <c r="FP50" s="63"/>
      <c r="FQ50" s="63"/>
      <c r="FR50" s="63"/>
      <c r="FS50" s="63"/>
      <c r="FT50" s="63"/>
      <c r="FU50" s="63"/>
      <c r="FV50" s="63"/>
      <c r="FW50" s="63"/>
      <c r="FX50" s="63"/>
      <c r="FY50" s="63"/>
      <c r="FZ50" s="63"/>
      <c r="GA50" s="63"/>
      <c r="GB50" s="63"/>
      <c r="GC50" s="63"/>
      <c r="GD50" s="63"/>
      <c r="GE50" s="63"/>
      <c r="GF50" s="63"/>
      <c r="GG50" s="63"/>
      <c r="GH50" s="63"/>
      <c r="GI50" s="63"/>
      <c r="GJ50" s="63"/>
      <c r="GK50" s="63"/>
    </row>
    <row r="51" spans="1:193" ht="42" customHeight="1" x14ac:dyDescent="0.2">
      <c r="B51" s="1437" t="s">
        <v>825</v>
      </c>
      <c r="C51" s="1438"/>
      <c r="D51" s="1438"/>
      <c r="E51" s="1438"/>
      <c r="F51" s="1438"/>
      <c r="G51" s="1438"/>
      <c r="H51" s="1438"/>
      <c r="I51" s="1438"/>
      <c r="J51" s="1438"/>
      <c r="K51" s="1438"/>
      <c r="L51" s="1438"/>
      <c r="M51" s="1438"/>
      <c r="N51" s="1438"/>
      <c r="O51" s="1438"/>
      <c r="P51" s="1438"/>
      <c r="Q51" s="1438"/>
      <c r="R51" s="1438"/>
      <c r="S51" s="1438"/>
      <c r="T51" s="1438"/>
      <c r="U51" s="1438"/>
      <c r="V51" s="1438"/>
      <c r="W51" s="1438"/>
      <c r="X51" s="1438"/>
      <c r="Y51" s="1438"/>
      <c r="Z51" s="1438"/>
      <c r="AA51" s="1438"/>
      <c r="AB51" s="1438"/>
      <c r="AC51" s="1438"/>
      <c r="AD51" s="1438"/>
      <c r="AE51" s="1438"/>
      <c r="AF51" s="1438"/>
      <c r="AG51" s="1438"/>
      <c r="AH51" s="1439"/>
      <c r="AI51" s="63"/>
      <c r="AJ51" s="63"/>
      <c r="AK51" s="63"/>
      <c r="AL51" s="63"/>
      <c r="AM51" s="130"/>
      <c r="AN51" s="148"/>
      <c r="AO51" s="126"/>
      <c r="AP51" s="89"/>
      <c r="AQ51" s="89"/>
      <c r="AR51" s="7"/>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c r="DW51" s="63"/>
      <c r="DX51" s="63"/>
      <c r="DY51" s="63"/>
      <c r="DZ51" s="63"/>
      <c r="EA51" s="63"/>
      <c r="EB51" s="63"/>
      <c r="EC51" s="63"/>
      <c r="ED51" s="63"/>
      <c r="EE51" s="63"/>
      <c r="EF51" s="63"/>
      <c r="EG51" s="63"/>
      <c r="EH51" s="63"/>
      <c r="EI51" s="63"/>
      <c r="EJ51" s="63"/>
      <c r="EK51" s="63"/>
      <c r="EL51" s="63"/>
      <c r="EM51" s="63"/>
      <c r="EN51" s="63"/>
      <c r="EO51" s="63"/>
      <c r="EP51" s="63"/>
      <c r="EQ51" s="63"/>
      <c r="ER51" s="63"/>
      <c r="ES51" s="63"/>
      <c r="ET51" s="63"/>
      <c r="EU51" s="63"/>
      <c r="EV51" s="63"/>
      <c r="EW51" s="63"/>
      <c r="EX51" s="63"/>
      <c r="EY51" s="63"/>
      <c r="EZ51" s="63"/>
      <c r="FA51" s="63"/>
      <c r="FB51" s="63"/>
      <c r="FC51" s="63"/>
      <c r="FD51" s="63"/>
      <c r="FE51" s="63"/>
      <c r="FF51" s="63"/>
      <c r="FG51" s="63"/>
      <c r="FH51" s="63"/>
      <c r="FI51" s="63"/>
      <c r="FJ51" s="63"/>
      <c r="FK51" s="63"/>
      <c r="FL51" s="63"/>
      <c r="FM51" s="63"/>
      <c r="FN51" s="63"/>
      <c r="FO51" s="63"/>
      <c r="FP51" s="63"/>
      <c r="FQ51" s="63"/>
      <c r="FR51" s="63"/>
      <c r="FS51" s="63"/>
      <c r="FT51" s="63"/>
      <c r="FU51" s="63"/>
      <c r="FV51" s="63"/>
      <c r="FW51" s="63"/>
      <c r="FX51" s="63"/>
      <c r="FY51" s="63"/>
      <c r="FZ51" s="63"/>
      <c r="GA51" s="63"/>
      <c r="GB51" s="63"/>
      <c r="GC51" s="63"/>
      <c r="GD51" s="63"/>
      <c r="GE51" s="63"/>
      <c r="GF51" s="63"/>
      <c r="GG51" s="63"/>
      <c r="GH51" s="63"/>
      <c r="GI51" s="63"/>
      <c r="GJ51" s="63"/>
      <c r="GK51" s="63"/>
    </row>
    <row r="52" spans="1:193" ht="18" customHeight="1" x14ac:dyDescent="0.2">
      <c r="B52" s="1379" t="s">
        <v>1671</v>
      </c>
      <c r="C52" s="1379"/>
      <c r="D52" s="1379"/>
      <c r="E52" s="1379"/>
      <c r="F52" s="1379"/>
      <c r="G52" s="1379"/>
      <c r="H52" s="1379"/>
      <c r="I52" s="1379"/>
      <c r="J52" s="1379"/>
      <c r="K52" s="1379"/>
      <c r="L52" s="1637"/>
      <c r="M52" s="1637"/>
      <c r="N52" s="1637"/>
      <c r="O52" s="1688">
        <f>IF(L52="",0,IF(L52="None",0,IF(L52="Moderate",0.05,IF(L52="Severe",0.1,""))))</f>
        <v>0</v>
      </c>
      <c r="P52" s="1688"/>
      <c r="Q52" s="1688"/>
      <c r="R52" s="315"/>
      <c r="S52" s="1379" t="s">
        <v>1671</v>
      </c>
      <c r="T52" s="1379"/>
      <c r="U52" s="1379"/>
      <c r="V52" s="1379"/>
      <c r="W52" s="1379"/>
      <c r="X52" s="1379"/>
      <c r="Y52" s="1379"/>
      <c r="Z52" s="1379"/>
      <c r="AA52" s="1379"/>
      <c r="AB52" s="1379"/>
      <c r="AC52" s="1637"/>
      <c r="AD52" s="1637"/>
      <c r="AE52" s="1637"/>
      <c r="AF52" s="1688">
        <f>IF(AC52="",0,IF(AC52="None",0,IF(AC52="Moderate",0.05,IF(AC52="Severe",0.1,""))))</f>
        <v>0</v>
      </c>
      <c r="AG52" s="1688"/>
      <c r="AH52" s="1688"/>
      <c r="AI52" s="120"/>
      <c r="AJ52" s="120"/>
      <c r="AK52" s="120"/>
      <c r="AL52" s="120"/>
      <c r="AM52" s="120"/>
      <c r="AN52" s="120"/>
      <c r="AO52" s="120"/>
      <c r="AP52" s="120"/>
      <c r="AQ52" s="120"/>
      <c r="AR52" s="120"/>
      <c r="AS52" s="120"/>
      <c r="AT52" s="120"/>
      <c r="AU52" s="120"/>
      <c r="AV52" s="120"/>
      <c r="AW52" s="120"/>
      <c r="AX52" s="120"/>
      <c r="AY52" s="120"/>
      <c r="AZ52" s="120"/>
      <c r="BA52" s="120"/>
      <c r="BB52" s="120"/>
      <c r="BC52" s="120"/>
      <c r="BD52" s="120"/>
      <c r="BE52" s="120"/>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c r="EB52" s="63"/>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c r="FC52" s="63"/>
      <c r="FD52" s="63"/>
      <c r="FE52" s="63"/>
      <c r="FF52" s="63"/>
      <c r="FG52" s="63"/>
      <c r="FH52" s="63"/>
      <c r="FI52" s="63"/>
      <c r="FJ52" s="63"/>
      <c r="FK52" s="63"/>
      <c r="FL52" s="63"/>
      <c r="FM52" s="63"/>
      <c r="FN52" s="63"/>
      <c r="FO52" s="63"/>
      <c r="FP52" s="63"/>
      <c r="FQ52" s="63"/>
      <c r="FR52" s="63"/>
      <c r="FS52" s="63"/>
      <c r="FT52" s="63"/>
      <c r="FU52" s="63"/>
      <c r="FV52" s="63"/>
      <c r="FW52" s="63"/>
      <c r="FX52" s="63"/>
      <c r="FY52" s="63"/>
      <c r="FZ52" s="63"/>
      <c r="GA52" s="63"/>
      <c r="GB52" s="63"/>
      <c r="GC52" s="63"/>
      <c r="GD52" s="63"/>
      <c r="GE52" s="63"/>
      <c r="GF52" s="63"/>
      <c r="GG52" s="63"/>
      <c r="GH52" s="63"/>
      <c r="GI52" s="63"/>
      <c r="GJ52" s="63"/>
      <c r="GK52" s="63"/>
    </row>
    <row r="53" spans="1:193" ht="18" customHeight="1" x14ac:dyDescent="0.2">
      <c r="B53" s="1410" t="s">
        <v>302</v>
      </c>
      <c r="C53" s="1410"/>
      <c r="D53" s="1410"/>
      <c r="E53" s="1410"/>
      <c r="F53" s="1410"/>
      <c r="G53" s="1410"/>
      <c r="H53" s="1410"/>
      <c r="I53" s="1410"/>
      <c r="J53" s="1410"/>
      <c r="K53" s="1410"/>
      <c r="L53" s="1637"/>
      <c r="M53" s="1637"/>
      <c r="N53" s="1637"/>
      <c r="O53" s="1688">
        <f>IF(L53="",0,IF(L53="None",0,IF(L53="Moderate",0.05,IF(L53="Severe",0.1,""))))</f>
        <v>0</v>
      </c>
      <c r="P53" s="1688"/>
      <c r="Q53" s="1688"/>
      <c r="R53" s="315"/>
      <c r="S53" s="1410" t="s">
        <v>302</v>
      </c>
      <c r="T53" s="1410"/>
      <c r="U53" s="1410"/>
      <c r="V53" s="1410"/>
      <c r="W53" s="1410"/>
      <c r="X53" s="1410"/>
      <c r="Y53" s="1410"/>
      <c r="Z53" s="1410"/>
      <c r="AA53" s="1410"/>
      <c r="AB53" s="1410"/>
      <c r="AC53" s="1637"/>
      <c r="AD53" s="1637"/>
      <c r="AE53" s="1637"/>
      <c r="AF53" s="1688">
        <f>IF(AC53="",0,IF(AC53="None",0,IF(AC53="Moderate",0.05,IF(AC53="Severe",0.1,""))))</f>
        <v>0</v>
      </c>
      <c r="AG53" s="1688"/>
      <c r="AH53" s="1688"/>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c r="DW53" s="63"/>
      <c r="DX53" s="63"/>
      <c r="DY53" s="63"/>
      <c r="DZ53" s="63"/>
      <c r="EA53" s="63"/>
      <c r="EB53" s="63"/>
      <c r="EC53" s="63"/>
      <c r="ED53" s="63"/>
      <c r="EE53" s="63"/>
      <c r="EF53" s="63"/>
      <c r="EG53" s="63"/>
      <c r="EH53" s="63"/>
      <c r="EI53" s="63"/>
      <c r="EJ53" s="63"/>
      <c r="EK53" s="63"/>
      <c r="EL53" s="63"/>
      <c r="EM53" s="63"/>
      <c r="EN53" s="63"/>
      <c r="EO53" s="63"/>
      <c r="EP53" s="63"/>
      <c r="EQ53" s="63"/>
      <c r="ER53" s="63"/>
      <c r="ES53" s="63"/>
      <c r="ET53" s="63"/>
      <c r="EU53" s="63"/>
      <c r="EV53" s="63"/>
      <c r="EW53" s="63"/>
      <c r="EX53" s="63"/>
      <c r="EY53" s="63"/>
      <c r="EZ53" s="63"/>
      <c r="FA53" s="63"/>
      <c r="FB53" s="63"/>
      <c r="FC53" s="63"/>
      <c r="FD53" s="63"/>
      <c r="FE53" s="63"/>
      <c r="FF53" s="63"/>
      <c r="FG53" s="63"/>
      <c r="FH53" s="63"/>
      <c r="FI53" s="63"/>
      <c r="FJ53" s="63"/>
      <c r="FK53" s="63"/>
      <c r="FL53" s="63"/>
      <c r="FM53" s="63"/>
      <c r="FN53" s="63"/>
      <c r="FO53" s="63"/>
      <c r="FP53" s="63"/>
      <c r="FQ53" s="63"/>
      <c r="FR53" s="63"/>
      <c r="FS53" s="63"/>
      <c r="FT53" s="63"/>
      <c r="FU53" s="63"/>
      <c r="FV53" s="63"/>
      <c r="FW53" s="63"/>
      <c r="FX53" s="63"/>
      <c r="FY53" s="63"/>
      <c r="FZ53" s="63"/>
      <c r="GA53" s="63"/>
      <c r="GB53" s="63"/>
      <c r="GC53" s="63"/>
      <c r="GD53" s="63"/>
      <c r="GE53" s="63"/>
      <c r="GF53" s="63"/>
      <c r="GG53" s="63"/>
      <c r="GH53" s="63"/>
      <c r="GI53" s="63"/>
      <c r="GJ53" s="63"/>
      <c r="GK53" s="63"/>
    </row>
    <row r="54" spans="1:193" ht="18" customHeight="1" x14ac:dyDescent="0.2">
      <c r="B54" s="1410" t="s">
        <v>1804</v>
      </c>
      <c r="C54" s="1410"/>
      <c r="D54" s="1410"/>
      <c r="E54" s="1410"/>
      <c r="F54" s="1410"/>
      <c r="G54" s="1410"/>
      <c r="H54" s="1410"/>
      <c r="I54" s="1410"/>
      <c r="J54" s="1410"/>
      <c r="K54" s="1410"/>
      <c r="L54" s="1637"/>
      <c r="M54" s="1637"/>
      <c r="N54" s="1637"/>
      <c r="O54" s="1688">
        <f>IF(L54="",0,IF(L54="None",0,IF(L54="Moderate",0.05,IF(L54="Severe",0.1,""))))</f>
        <v>0</v>
      </c>
      <c r="P54" s="1688"/>
      <c r="Q54" s="1688"/>
      <c r="R54" s="315"/>
      <c r="S54" s="1410" t="s">
        <v>1804</v>
      </c>
      <c r="T54" s="1410"/>
      <c r="U54" s="1410"/>
      <c r="V54" s="1410"/>
      <c r="W54" s="1410"/>
      <c r="X54" s="1410"/>
      <c r="Y54" s="1410"/>
      <c r="Z54" s="1410"/>
      <c r="AA54" s="1410"/>
      <c r="AB54" s="1410"/>
      <c r="AC54" s="1637"/>
      <c r="AD54" s="1637"/>
      <c r="AE54" s="1637"/>
      <c r="AF54" s="1688">
        <f>IF(AC54="",0,IF(AC54="None",0,IF(AC54="Moderate",0.05,IF(AC54="Severe",0.1,""))))</f>
        <v>0</v>
      </c>
      <c r="AG54" s="1688"/>
      <c r="AH54" s="1688"/>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63"/>
      <c r="ET54" s="63"/>
      <c r="EU54" s="63"/>
      <c r="EV54" s="63"/>
      <c r="EW54" s="63"/>
      <c r="EX54" s="63"/>
      <c r="EY54" s="63"/>
      <c r="EZ54" s="63"/>
      <c r="FA54" s="63"/>
      <c r="FB54" s="63"/>
      <c r="FC54" s="63"/>
      <c r="FD54" s="63"/>
      <c r="FE54" s="63"/>
      <c r="FF54" s="63"/>
      <c r="FG54" s="63"/>
      <c r="FH54" s="63"/>
      <c r="FI54" s="63"/>
      <c r="FJ54" s="63"/>
      <c r="FK54" s="63"/>
      <c r="FL54" s="63"/>
      <c r="FM54" s="63"/>
      <c r="FN54" s="63"/>
      <c r="FO54" s="63"/>
      <c r="FP54" s="63"/>
      <c r="FQ54" s="63"/>
      <c r="FR54" s="63"/>
      <c r="FS54" s="63"/>
      <c r="FT54" s="63"/>
      <c r="FU54" s="63"/>
      <c r="FV54" s="63"/>
      <c r="FW54" s="63"/>
      <c r="FX54" s="63"/>
      <c r="FY54" s="63"/>
      <c r="FZ54" s="63"/>
      <c r="GA54" s="63"/>
      <c r="GB54" s="63"/>
      <c r="GC54" s="63"/>
      <c r="GD54" s="63"/>
      <c r="GE54" s="63"/>
      <c r="GF54" s="63"/>
      <c r="GG54" s="63"/>
      <c r="GH54" s="63"/>
      <c r="GI54" s="63"/>
      <c r="GJ54" s="63"/>
      <c r="GK54" s="63"/>
    </row>
    <row r="55" spans="1:193" ht="12" customHeight="1" x14ac:dyDescent="0.2">
      <c r="B55" s="2146"/>
      <c r="C55" s="1395"/>
      <c r="D55" s="1395"/>
      <c r="E55" s="1395"/>
      <c r="F55" s="1395"/>
      <c r="G55" s="1395"/>
      <c r="H55" s="1395"/>
      <c r="I55" s="1395"/>
      <c r="J55" s="1395"/>
      <c r="K55" s="1395"/>
      <c r="L55" s="1395"/>
      <c r="M55" s="1395"/>
      <c r="N55" s="1395"/>
      <c r="O55" s="1395"/>
      <c r="P55" s="1395"/>
      <c r="Q55" s="1395"/>
      <c r="R55" s="315"/>
      <c r="S55" s="2147"/>
      <c r="T55" s="2147"/>
      <c r="U55" s="2147"/>
      <c r="V55" s="2147"/>
      <c r="W55" s="2147"/>
      <c r="X55" s="2147"/>
      <c r="Y55" s="2147"/>
      <c r="Z55" s="2147"/>
      <c r="AA55" s="2147"/>
      <c r="AB55" s="2147"/>
      <c r="AC55" s="2147"/>
      <c r="AD55" s="2147"/>
      <c r="AE55" s="2147"/>
      <c r="AF55" s="2147"/>
      <c r="AG55" s="2147"/>
      <c r="AH55" s="2148"/>
      <c r="AI55" s="63"/>
      <c r="AJ55" s="63"/>
      <c r="AK55" s="63"/>
      <c r="AL55" s="63"/>
      <c r="AM55" s="63"/>
      <c r="AN55" s="63"/>
      <c r="AO55" s="63"/>
      <c r="AP55" s="63"/>
      <c r="AQ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c r="DW55" s="63"/>
      <c r="DX55" s="63"/>
      <c r="DY55" s="63"/>
      <c r="DZ55" s="63"/>
      <c r="EA55" s="63"/>
      <c r="EB55" s="63"/>
      <c r="EC55" s="63"/>
      <c r="ED55" s="63"/>
      <c r="EE55" s="63"/>
      <c r="EF55" s="63"/>
      <c r="EG55" s="63"/>
      <c r="EH55" s="63"/>
      <c r="EI55" s="63"/>
      <c r="EJ55" s="63"/>
      <c r="EK55" s="63"/>
      <c r="EL55" s="63"/>
      <c r="EM55" s="63"/>
      <c r="EN55" s="63"/>
      <c r="EO55" s="63"/>
      <c r="EP55" s="63"/>
      <c r="EQ55" s="63"/>
      <c r="ER55" s="63"/>
      <c r="ES55" s="63"/>
      <c r="ET55" s="63"/>
      <c r="EU55" s="63"/>
      <c r="EV55" s="63"/>
      <c r="EW55" s="63"/>
      <c r="EX55" s="63"/>
      <c r="EY55" s="63"/>
      <c r="EZ55" s="63"/>
      <c r="FA55" s="63"/>
      <c r="FB55" s="63"/>
      <c r="FC55" s="63"/>
      <c r="FD55" s="63"/>
      <c r="FE55" s="63"/>
      <c r="FF55" s="63"/>
      <c r="FG55" s="63"/>
      <c r="FH55" s="63"/>
      <c r="FI55" s="63"/>
      <c r="FJ55" s="63"/>
      <c r="FK55" s="63"/>
      <c r="FL55" s="63"/>
      <c r="FM55" s="63"/>
      <c r="FN55" s="63"/>
      <c r="FO55" s="63"/>
      <c r="FP55" s="63"/>
      <c r="FQ55" s="63"/>
      <c r="FR55" s="63"/>
      <c r="FS55" s="63"/>
      <c r="FT55" s="63"/>
      <c r="FU55" s="63"/>
      <c r="FV55" s="63"/>
      <c r="FW55" s="63"/>
      <c r="FX55" s="63"/>
      <c r="FY55" s="63"/>
      <c r="FZ55" s="63"/>
      <c r="GA55" s="63"/>
      <c r="GB55" s="63"/>
      <c r="GC55" s="63"/>
      <c r="GD55" s="63"/>
      <c r="GE55" s="63"/>
      <c r="GF55" s="63"/>
      <c r="GG55" s="63"/>
      <c r="GH55" s="63"/>
      <c r="GI55" s="63"/>
      <c r="GJ55" s="63"/>
      <c r="GK55" s="63"/>
    </row>
    <row r="56" spans="1:193" s="643" customFormat="1" ht="18" customHeight="1" x14ac:dyDescent="0.2">
      <c r="A56" s="641"/>
      <c r="B56" s="1362" t="s">
        <v>1973</v>
      </c>
      <c r="C56" s="1363"/>
      <c r="D56" s="1363"/>
      <c r="E56" s="1363"/>
      <c r="F56" s="1363"/>
      <c r="G56" s="1363"/>
      <c r="H56" s="1363"/>
      <c r="I56" s="1363"/>
      <c r="J56" s="1363"/>
      <c r="K56" s="1364"/>
      <c r="L56" s="2159"/>
      <c r="M56" s="2159"/>
      <c r="N56" s="2159"/>
      <c r="O56" s="1688">
        <f>IF(AL56=TRUE,1,0)</f>
        <v>0</v>
      </c>
      <c r="P56" s="1688"/>
      <c r="Q56" s="1688"/>
      <c r="R56" s="642"/>
      <c r="S56" s="1362" t="s">
        <v>1973</v>
      </c>
      <c r="T56" s="1363"/>
      <c r="U56" s="1363"/>
      <c r="V56" s="1363"/>
      <c r="W56" s="1363"/>
      <c r="X56" s="1363"/>
      <c r="Y56" s="1363"/>
      <c r="Z56" s="1363"/>
      <c r="AA56" s="1363"/>
      <c r="AB56" s="1364"/>
      <c r="AC56" s="2159"/>
      <c r="AD56" s="2159"/>
      <c r="AE56" s="2159"/>
      <c r="AF56" s="1688">
        <f>IF(AM56=TRUE,1,0)</f>
        <v>0</v>
      </c>
      <c r="AG56" s="1688"/>
      <c r="AH56" s="1688"/>
      <c r="AI56" s="63"/>
      <c r="AJ56" s="63"/>
      <c r="AK56" s="63"/>
      <c r="AL56" s="1005" t="b">
        <v>0</v>
      </c>
      <c r="AM56" s="1005" t="b">
        <v>0</v>
      </c>
      <c r="AN56" s="63"/>
      <c r="AO56" s="63"/>
      <c r="AP56" s="63"/>
      <c r="AQ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c r="EB56" s="63"/>
      <c r="EC56" s="63"/>
      <c r="ED56" s="63"/>
      <c r="EE56" s="63"/>
      <c r="EF56" s="63"/>
      <c r="EG56" s="63"/>
      <c r="EH56" s="63"/>
      <c r="EI56" s="63"/>
      <c r="EJ56" s="63"/>
      <c r="EK56" s="63"/>
      <c r="EL56" s="63"/>
      <c r="EM56" s="63"/>
      <c r="EN56" s="63"/>
      <c r="EO56" s="63"/>
      <c r="EP56" s="63"/>
      <c r="EQ56" s="63"/>
      <c r="ER56" s="63"/>
      <c r="ES56" s="63"/>
      <c r="ET56" s="63"/>
      <c r="EU56" s="63"/>
      <c r="EV56" s="63"/>
      <c r="EW56" s="63"/>
      <c r="EX56" s="63"/>
      <c r="EY56" s="63"/>
      <c r="EZ56" s="63"/>
      <c r="FA56" s="63"/>
      <c r="FB56" s="63"/>
      <c r="FC56" s="63"/>
      <c r="FD56" s="63"/>
      <c r="FE56" s="63"/>
      <c r="FF56" s="63"/>
      <c r="FG56" s="63"/>
      <c r="FH56" s="63"/>
      <c r="FI56" s="63"/>
      <c r="FJ56" s="63"/>
      <c r="FK56" s="63"/>
      <c r="FL56" s="63"/>
      <c r="FM56" s="63"/>
      <c r="FN56" s="63"/>
      <c r="FO56" s="63"/>
      <c r="FP56" s="63"/>
      <c r="FQ56" s="63"/>
      <c r="FR56" s="63"/>
      <c r="FS56" s="63"/>
      <c r="FT56" s="63"/>
      <c r="FU56" s="63"/>
      <c r="FV56" s="63"/>
      <c r="FW56" s="63"/>
      <c r="FX56" s="63"/>
      <c r="FY56" s="63"/>
      <c r="FZ56" s="63"/>
      <c r="GA56" s="63"/>
      <c r="GB56" s="63"/>
      <c r="GC56" s="63"/>
      <c r="GD56" s="63"/>
      <c r="GE56" s="63"/>
      <c r="GF56" s="63"/>
      <c r="GG56" s="63"/>
      <c r="GH56" s="63"/>
      <c r="GI56" s="63"/>
      <c r="GJ56" s="63"/>
      <c r="GK56" s="63"/>
    </row>
    <row r="57" spans="1:193" ht="12" customHeight="1" x14ac:dyDescent="0.2">
      <c r="B57" s="1"/>
      <c r="C57" s="1"/>
      <c r="D57" s="1"/>
      <c r="E57" s="1"/>
      <c r="F57" s="1"/>
      <c r="G57" s="1"/>
      <c r="H57" s="1"/>
      <c r="I57" s="1"/>
      <c r="J57" s="1"/>
      <c r="K57" s="1"/>
      <c r="L57" s="1"/>
      <c r="M57" s="1"/>
      <c r="N57" s="1"/>
      <c r="O57" s="1"/>
      <c r="P57" s="1"/>
      <c r="Q57" s="1"/>
      <c r="R57" s="315"/>
      <c r="S57" s="639"/>
      <c r="T57" s="639"/>
      <c r="U57" s="639"/>
      <c r="V57" s="639"/>
      <c r="W57" s="639"/>
      <c r="X57" s="639"/>
      <c r="Y57" s="639"/>
      <c r="Z57" s="639"/>
      <c r="AA57" s="639"/>
      <c r="AB57" s="639"/>
      <c r="AC57" s="639"/>
      <c r="AD57" s="639"/>
      <c r="AE57" s="639"/>
      <c r="AF57" s="639"/>
      <c r="AG57" s="639"/>
      <c r="AH57" s="639"/>
      <c r="AI57" s="63"/>
      <c r="AJ57" s="63"/>
      <c r="AK57" s="63"/>
      <c r="AL57" s="63"/>
      <c r="AM57" s="63"/>
      <c r="AN57" s="63"/>
      <c r="AO57" s="63"/>
      <c r="AP57" s="63"/>
      <c r="AQ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63"/>
      <c r="ET57" s="63"/>
      <c r="EU57" s="63"/>
      <c r="EV57" s="63"/>
      <c r="EW57" s="63"/>
      <c r="EX57" s="63"/>
      <c r="EY57" s="63"/>
      <c r="EZ57" s="63"/>
      <c r="FA57" s="63"/>
      <c r="FB57" s="63"/>
      <c r="FC57" s="63"/>
      <c r="FD57" s="63"/>
      <c r="FE57" s="63"/>
      <c r="FF57" s="63"/>
      <c r="FG57" s="63"/>
      <c r="FH57" s="63"/>
      <c r="FI57" s="63"/>
      <c r="FJ57" s="63"/>
      <c r="FK57" s="63"/>
      <c r="FL57" s="63"/>
      <c r="FM57" s="63"/>
      <c r="FN57" s="63"/>
      <c r="FO57" s="63"/>
      <c r="FP57" s="63"/>
      <c r="FQ57" s="63"/>
      <c r="FR57" s="63"/>
      <c r="FS57" s="63"/>
      <c r="FT57" s="63"/>
      <c r="FU57" s="63"/>
      <c r="FV57" s="63"/>
      <c r="FW57" s="63"/>
      <c r="FX57" s="63"/>
      <c r="FY57" s="63"/>
      <c r="FZ57" s="63"/>
      <c r="GA57" s="63"/>
      <c r="GB57" s="63"/>
      <c r="GC57" s="63"/>
      <c r="GD57" s="63"/>
      <c r="GE57" s="63"/>
      <c r="GF57" s="63"/>
      <c r="GG57" s="63"/>
      <c r="GH57" s="63"/>
      <c r="GI57" s="63"/>
      <c r="GJ57" s="63"/>
      <c r="GK57" s="63"/>
    </row>
    <row r="58" spans="1:193" ht="18" customHeight="1" x14ac:dyDescent="0.2">
      <c r="B58" s="1487" t="s">
        <v>1805</v>
      </c>
      <c r="C58" s="1487"/>
      <c r="D58" s="1487"/>
      <c r="E58" s="1487"/>
      <c r="F58" s="1487"/>
      <c r="G58" s="1487"/>
      <c r="H58" s="1487"/>
      <c r="I58" s="1487"/>
      <c r="J58" s="1487"/>
      <c r="K58" s="1487"/>
      <c r="L58" s="1487"/>
      <c r="M58" s="1487"/>
      <c r="N58" s="1487"/>
      <c r="O58" s="1487"/>
      <c r="P58" s="1487"/>
      <c r="Q58" s="1487"/>
      <c r="R58" s="497"/>
      <c r="S58" s="1487" t="s">
        <v>1806</v>
      </c>
      <c r="T58" s="1487"/>
      <c r="U58" s="1487"/>
      <c r="V58" s="1487"/>
      <c r="W58" s="1487"/>
      <c r="X58" s="1487"/>
      <c r="Y58" s="1487"/>
      <c r="Z58" s="1487"/>
      <c r="AA58" s="1487"/>
      <c r="AB58" s="1487"/>
      <c r="AC58" s="1487"/>
      <c r="AD58" s="1487"/>
      <c r="AE58" s="1487"/>
      <c r="AF58" s="1487"/>
      <c r="AG58" s="1487"/>
      <c r="AH58" s="1487"/>
      <c r="AI58" s="63"/>
      <c r="AJ58" s="63"/>
      <c r="AK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c r="DW58" s="63"/>
      <c r="DX58" s="63"/>
      <c r="DY58" s="63"/>
      <c r="DZ58" s="63"/>
      <c r="EA58" s="63"/>
      <c r="EB58" s="63"/>
      <c r="EC58" s="63"/>
      <c r="ED58" s="63"/>
      <c r="EE58" s="63"/>
      <c r="EF58" s="63"/>
      <c r="EG58" s="63"/>
      <c r="EH58" s="63"/>
      <c r="EI58" s="63"/>
      <c r="EJ58" s="63"/>
      <c r="EK58" s="63"/>
      <c r="EL58" s="63"/>
      <c r="EM58" s="63"/>
      <c r="EN58" s="63"/>
      <c r="EO58" s="63"/>
      <c r="EP58" s="63"/>
      <c r="EQ58" s="63"/>
      <c r="ER58" s="63"/>
      <c r="ES58" s="63"/>
      <c r="ET58" s="63"/>
      <c r="EU58" s="63"/>
      <c r="EV58" s="63"/>
      <c r="EW58" s="63"/>
      <c r="EX58" s="63"/>
      <c r="EY58" s="63"/>
      <c r="EZ58" s="63"/>
      <c r="FA58" s="63"/>
      <c r="FB58" s="63"/>
      <c r="FC58" s="63"/>
      <c r="FD58" s="63"/>
      <c r="FE58" s="63"/>
      <c r="FF58" s="63"/>
      <c r="FG58" s="63"/>
      <c r="FH58" s="63"/>
      <c r="FI58" s="63"/>
      <c r="FJ58" s="63"/>
      <c r="FK58" s="63"/>
      <c r="FL58" s="63"/>
      <c r="FM58" s="63"/>
      <c r="FN58" s="63"/>
      <c r="FO58" s="63"/>
      <c r="FP58" s="63"/>
      <c r="FQ58" s="63"/>
      <c r="FR58" s="63"/>
      <c r="FS58" s="63"/>
      <c r="FT58" s="63"/>
      <c r="FU58" s="63"/>
      <c r="FV58" s="63"/>
      <c r="FW58" s="63"/>
      <c r="FX58" s="63"/>
      <c r="FY58" s="63"/>
      <c r="FZ58" s="63"/>
      <c r="GA58" s="63"/>
      <c r="GB58" s="63"/>
      <c r="GC58" s="63"/>
      <c r="GD58" s="63"/>
      <c r="GE58" s="63"/>
      <c r="GF58" s="63"/>
      <c r="GG58" s="63"/>
      <c r="GH58" s="63"/>
      <c r="GI58" s="63"/>
      <c r="GJ58" s="63"/>
      <c r="GK58" s="63"/>
    </row>
    <row r="59" spans="1:193" ht="27" customHeight="1" x14ac:dyDescent="0.2">
      <c r="B59" s="2156" t="str">
        <f>IF(OR(O7&gt;0,O11&gt;0),"*Central vision loss is apportioned - see above","")</f>
        <v/>
      </c>
      <c r="C59" s="2157"/>
      <c r="D59" s="2157"/>
      <c r="E59" s="2157"/>
      <c r="F59" s="2157"/>
      <c r="G59" s="2157"/>
      <c r="H59" s="2157"/>
      <c r="I59" s="2157"/>
      <c r="J59" s="2157"/>
      <c r="K59" s="2158"/>
      <c r="L59" s="1531" t="s">
        <v>1525</v>
      </c>
      <c r="M59" s="1535"/>
      <c r="N59" s="1535"/>
      <c r="O59" s="1535"/>
      <c r="P59" s="1535"/>
      <c r="Q59" s="1532"/>
      <c r="R59" s="315"/>
      <c r="S59" s="2156" t="str">
        <f>IF(OR(AF7&gt;0,AF11&gt;0),"*Central vision loss is apportioned - see above","")</f>
        <v/>
      </c>
      <c r="T59" s="2157"/>
      <c r="U59" s="2157"/>
      <c r="V59" s="2157"/>
      <c r="W59" s="2157"/>
      <c r="X59" s="2157"/>
      <c r="Y59" s="2157"/>
      <c r="Z59" s="2157"/>
      <c r="AA59" s="2157"/>
      <c r="AB59" s="2158"/>
      <c r="AC59" s="1531" t="s">
        <v>1525</v>
      </c>
      <c r="AD59" s="1535"/>
      <c r="AE59" s="1535"/>
      <c r="AF59" s="1535"/>
      <c r="AG59" s="1535"/>
      <c r="AH59" s="1532"/>
      <c r="AI59" s="63"/>
      <c r="AJ59" s="63"/>
      <c r="AK59" s="63"/>
      <c r="AL59" s="185" t="s">
        <v>511</v>
      </c>
      <c r="AM59" s="185" t="s">
        <v>511</v>
      </c>
      <c r="AN59" s="1139" t="s">
        <v>1078</v>
      </c>
      <c r="AO59" s="1139" t="s">
        <v>1753</v>
      </c>
      <c r="AP59" s="1134" t="s">
        <v>1292</v>
      </c>
      <c r="AQ59" s="1134" t="s">
        <v>1293</v>
      </c>
      <c r="AR59" s="1137" t="s">
        <v>1926</v>
      </c>
      <c r="AS59" s="1137" t="s">
        <v>1079</v>
      </c>
      <c r="AT59" s="1137" t="s">
        <v>1927</v>
      </c>
      <c r="AU59" s="1134" t="s">
        <v>1294</v>
      </c>
      <c r="AV59" s="1134" t="s">
        <v>1295</v>
      </c>
      <c r="AW59" s="1137" t="s">
        <v>425</v>
      </c>
      <c r="AX59" s="63"/>
      <c r="AY59" s="14"/>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c r="DW59" s="63"/>
      <c r="DX59" s="63"/>
      <c r="DY59" s="63"/>
      <c r="DZ59" s="63"/>
      <c r="EA59" s="63"/>
      <c r="EB59" s="63"/>
      <c r="EC59" s="63"/>
      <c r="ED59" s="63"/>
      <c r="EE59" s="63"/>
      <c r="EF59" s="63"/>
      <c r="EG59" s="63"/>
      <c r="EH59" s="63"/>
      <c r="EI59" s="63"/>
      <c r="EJ59" s="63"/>
      <c r="EK59" s="63"/>
      <c r="EL59" s="63"/>
      <c r="EM59" s="63"/>
      <c r="EN59" s="63"/>
      <c r="EO59" s="63"/>
      <c r="EP59" s="63"/>
      <c r="EQ59" s="63"/>
      <c r="ER59" s="63"/>
      <c r="ES59" s="63"/>
      <c r="ET59" s="63"/>
      <c r="EU59" s="63"/>
      <c r="EV59" s="63"/>
      <c r="EW59" s="63"/>
      <c r="EX59" s="63"/>
      <c r="EY59" s="63"/>
      <c r="EZ59" s="63"/>
      <c r="FA59" s="63"/>
      <c r="FB59" s="63"/>
      <c r="FC59" s="63"/>
      <c r="FD59" s="63"/>
      <c r="FE59" s="63"/>
      <c r="FF59" s="63"/>
      <c r="FG59" s="63"/>
      <c r="FH59" s="63"/>
      <c r="FI59" s="63"/>
      <c r="FJ59" s="63"/>
      <c r="FK59" s="63"/>
      <c r="FL59" s="63"/>
      <c r="FM59" s="63"/>
      <c r="FN59" s="63"/>
      <c r="FO59" s="63"/>
      <c r="FP59" s="63"/>
      <c r="FQ59" s="63"/>
      <c r="FR59" s="63"/>
      <c r="FS59" s="63"/>
      <c r="FT59" s="63"/>
      <c r="FU59" s="63"/>
      <c r="FV59" s="63"/>
      <c r="FW59" s="63"/>
      <c r="FX59" s="63"/>
      <c r="FY59" s="63"/>
      <c r="FZ59" s="63"/>
      <c r="GA59" s="63"/>
      <c r="GB59" s="63"/>
      <c r="GC59" s="63"/>
      <c r="GD59" s="63"/>
      <c r="GE59" s="63"/>
      <c r="GF59" s="63"/>
      <c r="GG59" s="63"/>
      <c r="GH59" s="63"/>
      <c r="GI59" s="63"/>
      <c r="GJ59" s="63"/>
      <c r="GK59" s="63"/>
    </row>
    <row r="60" spans="1:193" ht="18" customHeight="1" x14ac:dyDescent="0.2">
      <c r="B60" s="1362" t="str">
        <f>IF(OR(O7&gt;0,O11&gt;0),"Central vision loss*","Central vision loss")</f>
        <v>Central vision loss</v>
      </c>
      <c r="C60" s="1363"/>
      <c r="D60" s="1363"/>
      <c r="E60" s="1363"/>
      <c r="F60" s="1363"/>
      <c r="G60" s="1363"/>
      <c r="H60" s="1364"/>
      <c r="I60" s="1491">
        <f>O17</f>
        <v>0</v>
      </c>
      <c r="J60" s="1491"/>
      <c r="K60" s="1491"/>
      <c r="L60" s="2149" t="s">
        <v>2260</v>
      </c>
      <c r="M60" s="2150"/>
      <c r="N60" s="2151"/>
      <c r="O60" s="2160"/>
      <c r="P60" s="2161"/>
      <c r="Q60" s="2162"/>
      <c r="R60" s="315"/>
      <c r="S60" s="1362" t="str">
        <f>IF(OR(AF6&gt;0,AF10&gt;0),"Central vision loss*","Central vision loss")</f>
        <v>Central vision loss</v>
      </c>
      <c r="T60" s="1363"/>
      <c r="U60" s="1363"/>
      <c r="V60" s="1363"/>
      <c r="W60" s="1363"/>
      <c r="X60" s="1363"/>
      <c r="Y60" s="1364"/>
      <c r="Z60" s="1491">
        <f>AF17</f>
        <v>0</v>
      </c>
      <c r="AA60" s="1491"/>
      <c r="AB60" s="1491"/>
      <c r="AC60" s="2149" t="s">
        <v>2260</v>
      </c>
      <c r="AD60" s="2150"/>
      <c r="AE60" s="2151"/>
      <c r="AF60" s="2160"/>
      <c r="AG60" s="2161"/>
      <c r="AH60" s="2162"/>
      <c r="AI60" s="63"/>
      <c r="AJ60" s="63"/>
      <c r="AK60" s="63"/>
      <c r="AL60" s="185" t="s">
        <v>289</v>
      </c>
      <c r="AM60" s="1138" t="s">
        <v>293</v>
      </c>
      <c r="AN60" s="1142">
        <f>I60</f>
        <v>0</v>
      </c>
      <c r="AO60" s="479">
        <f t="shared" ref="AO60:AO66" si="4">ROUND(AN60,2)</f>
        <v>0</v>
      </c>
      <c r="AP60" s="1143">
        <f>LARGE(AO60:AO66,1)</f>
        <v>0</v>
      </c>
      <c r="AQ60" s="62">
        <f>AP60+AP61*(1-AP60)</f>
        <v>0</v>
      </c>
      <c r="AR60" s="479">
        <f t="shared" ref="AR60:AR65" si="5">ROUND(AQ60,2)</f>
        <v>0</v>
      </c>
      <c r="AS60" s="1142">
        <f>Z60</f>
        <v>0</v>
      </c>
      <c r="AT60" s="479">
        <f t="shared" ref="AT60:AT66" si="6">ROUND(AS60,2)</f>
        <v>0</v>
      </c>
      <c r="AU60" s="62">
        <f>LARGE(AT60:AT66,1)</f>
        <v>0</v>
      </c>
      <c r="AV60" s="62">
        <f>AU60+AU61*(1-AU60)</f>
        <v>0</v>
      </c>
      <c r="AW60" s="479">
        <f t="shared" ref="AW60:AW65" si="7">ROUND(AV60,2)</f>
        <v>0</v>
      </c>
      <c r="AX60" s="63"/>
      <c r="AY60" s="16" t="s">
        <v>289</v>
      </c>
      <c r="AZ60" s="17" t="s">
        <v>293</v>
      </c>
      <c r="BA60" s="63"/>
      <c r="BB60" s="153"/>
      <c r="BC60" s="15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c r="DW60" s="63"/>
      <c r="DX60" s="63"/>
      <c r="DY60" s="63"/>
      <c r="DZ60" s="63"/>
      <c r="EA60" s="63"/>
      <c r="EB60" s="63"/>
      <c r="EC60" s="63"/>
      <c r="ED60" s="63"/>
      <c r="EE60" s="63"/>
      <c r="EF60" s="63"/>
      <c r="EG60" s="63"/>
      <c r="EH60" s="63"/>
      <c r="EI60" s="63"/>
      <c r="EJ60" s="63"/>
      <c r="EK60" s="63"/>
      <c r="EL60" s="63"/>
      <c r="EM60" s="63"/>
      <c r="EN60" s="63"/>
      <c r="EO60" s="63"/>
      <c r="EP60" s="63"/>
      <c r="EQ60" s="63"/>
      <c r="ER60" s="63"/>
      <c r="ES60" s="63"/>
      <c r="ET60" s="63"/>
      <c r="EU60" s="63"/>
      <c r="EV60" s="63"/>
      <c r="EW60" s="63"/>
      <c r="EX60" s="63"/>
      <c r="EY60" s="63"/>
      <c r="EZ60" s="63"/>
      <c r="FA60" s="63"/>
      <c r="FB60" s="63"/>
      <c r="FC60" s="63"/>
      <c r="FD60" s="63"/>
      <c r="FE60" s="63"/>
      <c r="FF60" s="63"/>
      <c r="FG60" s="63"/>
      <c r="FH60" s="63"/>
      <c r="FI60" s="63"/>
      <c r="FJ60" s="63"/>
      <c r="FK60" s="63"/>
      <c r="FL60" s="63"/>
      <c r="FM60" s="63"/>
      <c r="FN60" s="63"/>
      <c r="FO60" s="63"/>
      <c r="FP60" s="63"/>
      <c r="FQ60" s="63"/>
      <c r="FR60" s="63"/>
      <c r="FS60" s="63"/>
      <c r="FT60" s="63"/>
      <c r="FU60" s="63"/>
      <c r="FV60" s="63"/>
      <c r="FW60" s="63"/>
      <c r="FX60" s="63"/>
      <c r="FY60" s="63"/>
      <c r="FZ60" s="63"/>
      <c r="GA60" s="63"/>
      <c r="GB60" s="63"/>
      <c r="GC60" s="63"/>
      <c r="GD60" s="63"/>
      <c r="GE60" s="63"/>
      <c r="GF60" s="63"/>
      <c r="GG60" s="63"/>
      <c r="GH60" s="63"/>
      <c r="GI60" s="63"/>
      <c r="GJ60" s="63"/>
      <c r="GK60" s="63"/>
    </row>
    <row r="61" spans="1:193" ht="18" customHeight="1" x14ac:dyDescent="0.2">
      <c r="B61" s="1362" t="s">
        <v>1807</v>
      </c>
      <c r="C61" s="1363"/>
      <c r="D61" s="1363"/>
      <c r="E61" s="1363"/>
      <c r="F61" s="1363"/>
      <c r="G61" s="1363"/>
      <c r="H61" s="1364"/>
      <c r="I61" s="1491">
        <f>O33</f>
        <v>0</v>
      </c>
      <c r="J61" s="1491"/>
      <c r="K61" s="1491"/>
      <c r="L61" s="1805"/>
      <c r="M61" s="2152"/>
      <c r="N61" s="1806"/>
      <c r="O61" s="2153">
        <f>IF(AND(AL61&lt;0.01,AL61&gt;0),0.01,ROUND(AL61,4))</f>
        <v>0</v>
      </c>
      <c r="P61" s="2154"/>
      <c r="Q61" s="2155"/>
      <c r="R61" s="315"/>
      <c r="S61" s="1362" t="s">
        <v>1807</v>
      </c>
      <c r="T61" s="1363"/>
      <c r="U61" s="1363"/>
      <c r="V61" s="1363"/>
      <c r="W61" s="1363"/>
      <c r="X61" s="1363"/>
      <c r="Y61" s="1364"/>
      <c r="Z61" s="1491">
        <f>AF33</f>
        <v>0</v>
      </c>
      <c r="AA61" s="1491"/>
      <c r="AB61" s="1491"/>
      <c r="AC61" s="1805"/>
      <c r="AD61" s="2152"/>
      <c r="AE61" s="1806"/>
      <c r="AF61" s="2153">
        <f>IF(AND(AM61&lt;0.01,AM61&gt;0),0.01,ROUND(AM61,4))</f>
        <v>0</v>
      </c>
      <c r="AG61" s="2154"/>
      <c r="AH61" s="2155"/>
      <c r="AI61" s="63"/>
      <c r="AJ61" s="63"/>
      <c r="AK61" s="63"/>
      <c r="AL61" s="240">
        <f>IF(L61&gt;0,I61*L61,0)</f>
        <v>0</v>
      </c>
      <c r="AM61" s="1130">
        <f>IF(AC61&gt;0,Z61*AC61,0)</f>
        <v>0</v>
      </c>
      <c r="AN61" s="1142">
        <f t="shared" ref="AN61:AN65" si="8">IF(O61&gt;0,O61,I61)</f>
        <v>0</v>
      </c>
      <c r="AO61" s="479">
        <f t="shared" si="4"/>
        <v>0</v>
      </c>
      <c r="AP61" s="1143">
        <f>LARGE(AO60:AO66,2)</f>
        <v>0</v>
      </c>
      <c r="AQ61" s="62">
        <f>AR60+AP62*(1-AR60)</f>
        <v>0</v>
      </c>
      <c r="AR61" s="479">
        <f t="shared" si="5"/>
        <v>0</v>
      </c>
      <c r="AS61" s="1142">
        <f t="shared" ref="AS61:AS65" si="9">IF(AF61&gt;0,AF61,Z61)</f>
        <v>0</v>
      </c>
      <c r="AT61" s="479">
        <f t="shared" si="6"/>
        <v>0</v>
      </c>
      <c r="AU61" s="62">
        <f>LARGE(AT60:AT66,2)</f>
        <v>0</v>
      </c>
      <c r="AV61" s="62">
        <f>AW60+AU62*(1-AW60)</f>
        <v>0</v>
      </c>
      <c r="AW61" s="479">
        <f t="shared" si="7"/>
        <v>0</v>
      </c>
      <c r="AX61" s="63"/>
      <c r="AY61" s="66">
        <f>COUNTIF(I60:I66,"&gt;0")</f>
        <v>0</v>
      </c>
      <c r="AZ61" s="66">
        <f>COUNTIF(Z60:Z66,"&gt;0")</f>
        <v>0</v>
      </c>
      <c r="BA61" s="14" t="s">
        <v>426</v>
      </c>
      <c r="BB61" s="153"/>
      <c r="BC61" s="15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c r="DW61" s="63"/>
      <c r="DX61" s="63"/>
      <c r="DY61" s="63"/>
      <c r="DZ61" s="63"/>
      <c r="EA61" s="63"/>
      <c r="EB61" s="63"/>
      <c r="EC61" s="63"/>
      <c r="ED61" s="63"/>
      <c r="EE61" s="63"/>
      <c r="EF61" s="63"/>
      <c r="EG61" s="63"/>
      <c r="EH61" s="63"/>
      <c r="EI61" s="63"/>
      <c r="EJ61" s="63"/>
      <c r="EK61" s="63"/>
      <c r="EL61" s="63"/>
      <c r="EM61" s="63"/>
      <c r="EN61" s="63"/>
      <c r="EO61" s="63"/>
      <c r="EP61" s="63"/>
      <c r="EQ61" s="63"/>
      <c r="ER61" s="63"/>
      <c r="ES61" s="63"/>
      <c r="ET61" s="63"/>
      <c r="EU61" s="63"/>
      <c r="EV61" s="63"/>
      <c r="EW61" s="63"/>
      <c r="EX61" s="63"/>
      <c r="EY61" s="63"/>
      <c r="EZ61" s="63"/>
      <c r="FA61" s="63"/>
      <c r="FB61" s="63"/>
      <c r="FC61" s="63"/>
      <c r="FD61" s="63"/>
      <c r="FE61" s="63"/>
      <c r="FF61" s="63"/>
      <c r="FG61" s="63"/>
      <c r="FH61" s="63"/>
      <c r="FI61" s="63"/>
      <c r="FJ61" s="63"/>
      <c r="FK61" s="63"/>
      <c r="FL61" s="63"/>
      <c r="FM61" s="63"/>
      <c r="FN61" s="63"/>
      <c r="FO61" s="63"/>
      <c r="FP61" s="63"/>
      <c r="FQ61" s="63"/>
      <c r="FR61" s="63"/>
      <c r="FS61" s="63"/>
      <c r="FT61" s="63"/>
      <c r="FU61" s="63"/>
      <c r="FV61" s="63"/>
      <c r="FW61" s="63"/>
      <c r="FX61" s="63"/>
      <c r="FY61" s="63"/>
      <c r="FZ61" s="63"/>
      <c r="GA61" s="63"/>
      <c r="GB61" s="63"/>
      <c r="GC61" s="63"/>
      <c r="GD61" s="63"/>
      <c r="GE61" s="63"/>
      <c r="GF61" s="63"/>
      <c r="GG61" s="63"/>
      <c r="GH61" s="63"/>
      <c r="GI61" s="63"/>
      <c r="GJ61" s="63"/>
      <c r="GK61" s="63"/>
    </row>
    <row r="62" spans="1:193" ht="18" customHeight="1" x14ac:dyDescent="0.2">
      <c r="B62" s="1374" t="s">
        <v>1808</v>
      </c>
      <c r="C62" s="1363"/>
      <c r="D62" s="1363"/>
      <c r="E62" s="1363"/>
      <c r="F62" s="1363"/>
      <c r="G62" s="1363"/>
      <c r="H62" s="1364"/>
      <c r="I62" s="1491">
        <f>O48</f>
        <v>0</v>
      </c>
      <c r="J62" s="1491"/>
      <c r="K62" s="1491"/>
      <c r="L62" s="1805"/>
      <c r="M62" s="2152"/>
      <c r="N62" s="1806"/>
      <c r="O62" s="2153">
        <f>IF(AND(AL62&lt;0.01,AL62&gt;0),0.01,ROUND(AL62,4))</f>
        <v>0</v>
      </c>
      <c r="P62" s="2154"/>
      <c r="Q62" s="2155"/>
      <c r="R62" s="315"/>
      <c r="S62" s="1362" t="s">
        <v>1808</v>
      </c>
      <c r="T62" s="1363"/>
      <c r="U62" s="1363"/>
      <c r="V62" s="1363"/>
      <c r="W62" s="1363"/>
      <c r="X62" s="1363"/>
      <c r="Y62" s="1364"/>
      <c r="Z62" s="1491">
        <f>AF48</f>
        <v>0</v>
      </c>
      <c r="AA62" s="1491"/>
      <c r="AB62" s="1491"/>
      <c r="AC62" s="1805"/>
      <c r="AD62" s="2152"/>
      <c r="AE62" s="1806"/>
      <c r="AF62" s="2153">
        <f>IF(AND(AM62&lt;0.01,AM62&gt;0),0.01,ROUND(AM62,4))</f>
        <v>0</v>
      </c>
      <c r="AG62" s="2154"/>
      <c r="AH62" s="2155"/>
      <c r="AI62" s="63"/>
      <c r="AJ62" s="63"/>
      <c r="AK62" s="63"/>
      <c r="AL62" s="1000">
        <f t="shared" ref="AL62:AL65" si="10">IF(L62&gt;0,I62*L62,0)</f>
        <v>0</v>
      </c>
      <c r="AM62" s="1130">
        <f t="shared" ref="AM62:AM65" si="11">IF(AC62&gt;0,Z62*AC62,0)</f>
        <v>0</v>
      </c>
      <c r="AN62" s="1142">
        <f t="shared" si="8"/>
        <v>0</v>
      </c>
      <c r="AO62" s="479">
        <f t="shared" si="4"/>
        <v>0</v>
      </c>
      <c r="AP62" s="1143">
        <f>LARGE(AO60:AO66,3)</f>
        <v>0</v>
      </c>
      <c r="AQ62" s="62">
        <f>AR61+AP63*(1-AR61)</f>
        <v>0</v>
      </c>
      <c r="AR62" s="479">
        <f t="shared" si="5"/>
        <v>0</v>
      </c>
      <c r="AS62" s="1142">
        <f t="shared" si="9"/>
        <v>0</v>
      </c>
      <c r="AT62" s="479">
        <f t="shared" si="6"/>
        <v>0</v>
      </c>
      <c r="AU62" s="62">
        <f>LARGE(AT60:AT66,3)</f>
        <v>0</v>
      </c>
      <c r="AV62" s="62">
        <f>AW61+AU63*(1-AW61)</f>
        <v>0</v>
      </c>
      <c r="AW62" s="479">
        <f t="shared" si="7"/>
        <v>0</v>
      </c>
      <c r="AX62" s="63"/>
      <c r="AY62" s="16">
        <f>ROUND(SUM(AN60:AN66),4)</f>
        <v>0</v>
      </c>
      <c r="AZ62" s="16">
        <f>ROUND(SUM(AS60:AS66),4)</f>
        <v>0</v>
      </c>
      <c r="BA62" s="63"/>
      <c r="BB62" s="153"/>
      <c r="BC62" s="15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c r="DW62" s="63"/>
      <c r="DX62" s="63"/>
      <c r="DY62" s="63"/>
      <c r="DZ62" s="63"/>
      <c r="EA62" s="63"/>
      <c r="EB62" s="63"/>
      <c r="EC62" s="63"/>
      <c r="ED62" s="63"/>
      <c r="EE62" s="63"/>
      <c r="EF62" s="63"/>
      <c r="EG62" s="63"/>
      <c r="EH62" s="63"/>
      <c r="EI62" s="63"/>
      <c r="EJ62" s="63"/>
      <c r="EK62" s="63"/>
      <c r="EL62" s="63"/>
      <c r="EM62" s="63"/>
      <c r="EN62" s="63"/>
      <c r="EO62" s="63"/>
      <c r="EP62" s="63"/>
      <c r="EQ62" s="63"/>
      <c r="ER62" s="63"/>
      <c r="ES62" s="63"/>
      <c r="ET62" s="63"/>
      <c r="EU62" s="63"/>
      <c r="EV62" s="63"/>
      <c r="EW62" s="63"/>
      <c r="EX62" s="63"/>
      <c r="EY62" s="63"/>
      <c r="EZ62" s="63"/>
      <c r="FA62" s="63"/>
      <c r="FB62" s="63"/>
      <c r="FC62" s="63"/>
      <c r="FD62" s="63"/>
      <c r="FE62" s="63"/>
      <c r="FF62" s="63"/>
      <c r="FG62" s="63"/>
      <c r="FH62" s="63"/>
      <c r="FI62" s="63"/>
      <c r="FJ62" s="63"/>
      <c r="FK62" s="63"/>
      <c r="FL62" s="63"/>
      <c r="FM62" s="63"/>
      <c r="FN62" s="63"/>
      <c r="FO62" s="63"/>
      <c r="FP62" s="63"/>
      <c r="FQ62" s="63"/>
      <c r="FR62" s="63"/>
      <c r="FS62" s="63"/>
      <c r="FT62" s="63"/>
      <c r="FU62" s="63"/>
      <c r="FV62" s="63"/>
      <c r="FW62" s="63"/>
      <c r="FX62" s="63"/>
      <c r="FY62" s="63"/>
      <c r="FZ62" s="63"/>
      <c r="GA62" s="63"/>
      <c r="GB62" s="63"/>
      <c r="GC62" s="63"/>
      <c r="GD62" s="63"/>
      <c r="GE62" s="63"/>
      <c r="GF62" s="63"/>
      <c r="GG62" s="63"/>
      <c r="GH62" s="63"/>
      <c r="GI62" s="63"/>
      <c r="GJ62" s="63"/>
      <c r="GK62" s="63"/>
    </row>
    <row r="63" spans="1:193" ht="18" customHeight="1" x14ac:dyDescent="0.2">
      <c r="B63" s="1362" t="s">
        <v>1671</v>
      </c>
      <c r="C63" s="1363"/>
      <c r="D63" s="1363"/>
      <c r="E63" s="1363"/>
      <c r="F63" s="1363"/>
      <c r="G63" s="1363"/>
      <c r="H63" s="1364"/>
      <c r="I63" s="1491">
        <f>O52</f>
        <v>0</v>
      </c>
      <c r="J63" s="1491"/>
      <c r="K63" s="1491"/>
      <c r="L63" s="1805"/>
      <c r="M63" s="2152"/>
      <c r="N63" s="1806"/>
      <c r="O63" s="2153">
        <f>IF(AND(AL63&lt;0.01,AL63&gt;0),0.01,ROUND(AL63,4))</f>
        <v>0</v>
      </c>
      <c r="P63" s="2154"/>
      <c r="Q63" s="2155"/>
      <c r="R63" s="315"/>
      <c r="S63" s="1362" t="s">
        <v>1671</v>
      </c>
      <c r="T63" s="1363"/>
      <c r="U63" s="1363"/>
      <c r="V63" s="1363"/>
      <c r="W63" s="1363"/>
      <c r="X63" s="1363"/>
      <c r="Y63" s="1364"/>
      <c r="Z63" s="1491">
        <f>AF52</f>
        <v>0</v>
      </c>
      <c r="AA63" s="1491"/>
      <c r="AB63" s="1491"/>
      <c r="AC63" s="1805"/>
      <c r="AD63" s="2152"/>
      <c r="AE63" s="1806"/>
      <c r="AF63" s="2153">
        <f>IF(AND(AM63&lt;0.01,AM63&gt;0),0.01,ROUND(AM63,4))</f>
        <v>0</v>
      </c>
      <c r="AG63" s="2154"/>
      <c r="AH63" s="2155"/>
      <c r="AI63" s="63"/>
      <c r="AJ63" s="63"/>
      <c r="AK63" s="63"/>
      <c r="AL63" s="1000">
        <f t="shared" si="10"/>
        <v>0</v>
      </c>
      <c r="AM63" s="1130">
        <f t="shared" si="11"/>
        <v>0</v>
      </c>
      <c r="AN63" s="1142">
        <f t="shared" si="8"/>
        <v>0</v>
      </c>
      <c r="AO63" s="479">
        <f t="shared" si="4"/>
        <v>0</v>
      </c>
      <c r="AP63" s="1143">
        <f>LARGE(AO60:AO66,4)</f>
        <v>0</v>
      </c>
      <c r="AQ63" s="62">
        <f>AR62+AP64*(1-AR62)</f>
        <v>0</v>
      </c>
      <c r="AR63" s="479">
        <f t="shared" si="5"/>
        <v>0</v>
      </c>
      <c r="AS63" s="1142">
        <f t="shared" si="9"/>
        <v>0</v>
      </c>
      <c r="AT63" s="479">
        <f t="shared" si="6"/>
        <v>0</v>
      </c>
      <c r="AU63" s="62">
        <f>LARGE(AT60:AT66,4)</f>
        <v>0</v>
      </c>
      <c r="AV63" s="62">
        <f>AW62+AU64*(1-AW62)</f>
        <v>0</v>
      </c>
      <c r="AW63" s="479">
        <f t="shared" si="7"/>
        <v>0</v>
      </c>
      <c r="AX63" s="63"/>
      <c r="AY63" s="89"/>
      <c r="AZ63" s="63"/>
      <c r="BA63" s="63"/>
      <c r="BB63" s="153"/>
      <c r="BC63" s="15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c r="DW63" s="63"/>
      <c r="DX63" s="63"/>
      <c r="DY63" s="63"/>
      <c r="DZ63" s="63"/>
      <c r="EA63" s="63"/>
      <c r="EB63" s="63"/>
      <c r="EC63" s="63"/>
      <c r="ED63" s="63"/>
      <c r="EE63" s="63"/>
      <c r="EF63" s="63"/>
      <c r="EG63" s="63"/>
      <c r="EH63" s="63"/>
      <c r="EI63" s="63"/>
      <c r="EJ63" s="63"/>
      <c r="EK63" s="63"/>
      <c r="EL63" s="63"/>
      <c r="EM63" s="63"/>
      <c r="EN63" s="63"/>
      <c r="EO63" s="63"/>
      <c r="EP63" s="63"/>
      <c r="EQ63" s="63"/>
      <c r="ER63" s="63"/>
      <c r="ES63" s="63"/>
      <c r="ET63" s="63"/>
      <c r="EU63" s="63"/>
      <c r="EV63" s="63"/>
      <c r="EW63" s="63"/>
      <c r="EX63" s="63"/>
      <c r="EY63" s="63"/>
      <c r="EZ63" s="63"/>
      <c r="FA63" s="63"/>
      <c r="FB63" s="63"/>
      <c r="FC63" s="63"/>
      <c r="FD63" s="63"/>
      <c r="FE63" s="63"/>
      <c r="FF63" s="63"/>
      <c r="FG63" s="63"/>
      <c r="FH63" s="63"/>
      <c r="FI63" s="63"/>
      <c r="FJ63" s="63"/>
      <c r="FK63" s="63"/>
      <c r="FL63" s="63"/>
      <c r="FM63" s="63"/>
      <c r="FN63" s="63"/>
      <c r="FO63" s="63"/>
      <c r="FP63" s="63"/>
      <c r="FQ63" s="63"/>
      <c r="FR63" s="63"/>
      <c r="FS63" s="63"/>
      <c r="FT63" s="63"/>
      <c r="FU63" s="63"/>
      <c r="FV63" s="63"/>
      <c r="FW63" s="63"/>
      <c r="FX63" s="63"/>
      <c r="FY63" s="63"/>
      <c r="FZ63" s="63"/>
      <c r="GA63" s="63"/>
      <c r="GB63" s="63"/>
      <c r="GC63" s="63"/>
      <c r="GD63" s="63"/>
      <c r="GE63" s="63"/>
      <c r="GF63" s="63"/>
      <c r="GG63" s="63"/>
      <c r="GH63" s="63"/>
      <c r="GI63" s="63"/>
      <c r="GJ63" s="63"/>
      <c r="GK63" s="63"/>
    </row>
    <row r="64" spans="1:193" ht="18" customHeight="1" x14ac:dyDescent="0.2">
      <c r="B64" s="1362" t="s">
        <v>302</v>
      </c>
      <c r="C64" s="1363"/>
      <c r="D64" s="1363"/>
      <c r="E64" s="1363"/>
      <c r="F64" s="1363"/>
      <c r="G64" s="1363"/>
      <c r="H64" s="1364"/>
      <c r="I64" s="1491">
        <f>O53</f>
        <v>0</v>
      </c>
      <c r="J64" s="1491"/>
      <c r="K64" s="1491"/>
      <c r="L64" s="1805"/>
      <c r="M64" s="2152"/>
      <c r="N64" s="1806"/>
      <c r="O64" s="2153">
        <f>IF(AND(AL64&lt;0.01,AL64&gt;0),0.01,ROUND(AL64,4))</f>
        <v>0</v>
      </c>
      <c r="P64" s="2154"/>
      <c r="Q64" s="2155"/>
      <c r="R64" s="315"/>
      <c r="S64" s="1362" t="s">
        <v>302</v>
      </c>
      <c r="T64" s="1363"/>
      <c r="U64" s="1363"/>
      <c r="V64" s="1363"/>
      <c r="W64" s="1363"/>
      <c r="X64" s="1363"/>
      <c r="Y64" s="1364"/>
      <c r="Z64" s="1491">
        <f>AF53</f>
        <v>0</v>
      </c>
      <c r="AA64" s="1491"/>
      <c r="AB64" s="1491"/>
      <c r="AC64" s="1805"/>
      <c r="AD64" s="2152"/>
      <c r="AE64" s="1806"/>
      <c r="AF64" s="2153">
        <f>IF(AND(AM64&lt;0.01,AM64&gt;0),0.01,ROUND(AM64,4))</f>
        <v>0</v>
      </c>
      <c r="AG64" s="2154"/>
      <c r="AH64" s="2155"/>
      <c r="AI64" s="63"/>
      <c r="AJ64" s="63"/>
      <c r="AK64" s="63"/>
      <c r="AL64" s="1000">
        <f t="shared" si="10"/>
        <v>0</v>
      </c>
      <c r="AM64" s="1130">
        <f t="shared" si="11"/>
        <v>0</v>
      </c>
      <c r="AN64" s="1142">
        <f t="shared" si="8"/>
        <v>0</v>
      </c>
      <c r="AO64" s="479">
        <f t="shared" si="4"/>
        <v>0</v>
      </c>
      <c r="AP64" s="1143">
        <f>LARGE(AO60:AO66,5)</f>
        <v>0</v>
      </c>
      <c r="AQ64" s="62">
        <f>AR63+AP65*(1-AR63)</f>
        <v>0</v>
      </c>
      <c r="AR64" s="479">
        <f t="shared" si="5"/>
        <v>0</v>
      </c>
      <c r="AS64" s="1142">
        <f t="shared" si="9"/>
        <v>0</v>
      </c>
      <c r="AT64" s="479">
        <f t="shared" si="6"/>
        <v>0</v>
      </c>
      <c r="AU64" s="62">
        <f>LARGE(AT60:AT66,5)</f>
        <v>0</v>
      </c>
      <c r="AV64" s="62">
        <f>AW63+AU65*(1-AW63)</f>
        <v>0</v>
      </c>
      <c r="AW64" s="479">
        <f t="shared" si="7"/>
        <v>0</v>
      </c>
      <c r="AX64" s="63"/>
      <c r="AY64" s="63"/>
      <c r="AZ64" s="63"/>
      <c r="BA64" s="63"/>
      <c r="BB64" s="63"/>
      <c r="BC64" s="15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c r="DW64" s="63"/>
      <c r="DX64" s="63"/>
      <c r="DY64" s="63"/>
      <c r="DZ64" s="63"/>
      <c r="EA64" s="63"/>
      <c r="EB64" s="63"/>
      <c r="EC64" s="63"/>
      <c r="ED64" s="63"/>
      <c r="EE64" s="63"/>
      <c r="EF64" s="63"/>
      <c r="EG64" s="63"/>
      <c r="EH64" s="63"/>
      <c r="EI64" s="63"/>
      <c r="EJ64" s="63"/>
      <c r="EK64" s="63"/>
      <c r="EL64" s="63"/>
      <c r="EM64" s="63"/>
      <c r="EN64" s="63"/>
      <c r="EO64" s="63"/>
      <c r="EP64" s="63"/>
      <c r="EQ64" s="63"/>
      <c r="ER64" s="63"/>
      <c r="ES64" s="63"/>
      <c r="ET64" s="63"/>
      <c r="EU64" s="63"/>
      <c r="EV64" s="63"/>
      <c r="EW64" s="63"/>
      <c r="EX64" s="63"/>
      <c r="EY64" s="63"/>
      <c r="EZ64" s="63"/>
      <c r="FA64" s="63"/>
      <c r="FB64" s="63"/>
      <c r="FC64" s="63"/>
      <c r="FD64" s="63"/>
      <c r="FE64" s="63"/>
      <c r="FF64" s="63"/>
      <c r="FG64" s="63"/>
      <c r="FH64" s="63"/>
      <c r="FI64" s="63"/>
      <c r="FJ64" s="63"/>
      <c r="FK64" s="63"/>
      <c r="FL64" s="63"/>
      <c r="FM64" s="63"/>
      <c r="FN64" s="63"/>
      <c r="FO64" s="63"/>
      <c r="FP64" s="63"/>
      <c r="FQ64" s="63"/>
      <c r="FR64" s="63"/>
      <c r="FS64" s="63"/>
      <c r="FT64" s="63"/>
      <c r="FU64" s="63"/>
      <c r="FV64" s="63"/>
      <c r="FW64" s="63"/>
      <c r="FX64" s="63"/>
      <c r="FY64" s="63"/>
      <c r="FZ64" s="63"/>
      <c r="GA64" s="63"/>
      <c r="GB64" s="63"/>
      <c r="GC64" s="63"/>
      <c r="GD64" s="63"/>
      <c r="GE64" s="63"/>
      <c r="GF64" s="63"/>
      <c r="GG64" s="63"/>
      <c r="GH64" s="63"/>
      <c r="GI64" s="63"/>
      <c r="GJ64" s="63"/>
      <c r="GK64" s="63"/>
    </row>
    <row r="65" spans="2:193" ht="18" customHeight="1" x14ac:dyDescent="0.2">
      <c r="B65" s="1362" t="s">
        <v>1804</v>
      </c>
      <c r="C65" s="1363"/>
      <c r="D65" s="1363"/>
      <c r="E65" s="1363"/>
      <c r="F65" s="1363"/>
      <c r="G65" s="1363"/>
      <c r="H65" s="1364"/>
      <c r="I65" s="1491">
        <f>O54</f>
        <v>0</v>
      </c>
      <c r="J65" s="1491"/>
      <c r="K65" s="1491"/>
      <c r="L65" s="1805"/>
      <c r="M65" s="2152"/>
      <c r="N65" s="1806"/>
      <c r="O65" s="2153">
        <f>IF(AND(AL65&lt;0.01,AL65&gt;0),0.01,ROUND(AL65,4))</f>
        <v>0</v>
      </c>
      <c r="P65" s="2154"/>
      <c r="Q65" s="2155"/>
      <c r="R65" s="315"/>
      <c r="S65" s="1362" t="s">
        <v>1804</v>
      </c>
      <c r="T65" s="1363"/>
      <c r="U65" s="1363"/>
      <c r="V65" s="1363"/>
      <c r="W65" s="1363"/>
      <c r="X65" s="1363"/>
      <c r="Y65" s="1364"/>
      <c r="Z65" s="1491">
        <f>AF54</f>
        <v>0</v>
      </c>
      <c r="AA65" s="1491"/>
      <c r="AB65" s="1491"/>
      <c r="AC65" s="1805"/>
      <c r="AD65" s="2152"/>
      <c r="AE65" s="1806"/>
      <c r="AF65" s="2153">
        <f>IF(AND(AM65&lt;0.01,AM65&gt;0),0.01,ROUND(AM65,4))</f>
        <v>0</v>
      </c>
      <c r="AG65" s="2154"/>
      <c r="AH65" s="2155"/>
      <c r="AI65" s="63"/>
      <c r="AJ65" s="63"/>
      <c r="AK65" s="63"/>
      <c r="AL65" s="1000">
        <f t="shared" si="10"/>
        <v>0</v>
      </c>
      <c r="AM65" s="1130">
        <f t="shared" si="11"/>
        <v>0</v>
      </c>
      <c r="AN65" s="1142">
        <f t="shared" si="8"/>
        <v>0</v>
      </c>
      <c r="AO65" s="479">
        <f t="shared" si="4"/>
        <v>0</v>
      </c>
      <c r="AP65" s="1143">
        <f>LARGE(AO60:AO66,6)</f>
        <v>0</v>
      </c>
      <c r="AQ65" s="62">
        <f>AR64+AP66*(1-AR64)</f>
        <v>0</v>
      </c>
      <c r="AR65" s="479">
        <f t="shared" si="5"/>
        <v>0</v>
      </c>
      <c r="AS65" s="1142">
        <f t="shared" si="9"/>
        <v>0</v>
      </c>
      <c r="AT65" s="479">
        <f t="shared" si="6"/>
        <v>0</v>
      </c>
      <c r="AU65" s="62">
        <f>LARGE(AT60:AT66,6)</f>
        <v>0</v>
      </c>
      <c r="AV65" s="62">
        <f>AW64+AU66*(1-AW64)</f>
        <v>0</v>
      </c>
      <c r="AW65" s="479">
        <f t="shared" si="7"/>
        <v>0</v>
      </c>
      <c r="AX65" s="63"/>
      <c r="AY65" s="63"/>
      <c r="AZ65" s="63"/>
      <c r="BA65" s="63"/>
      <c r="BB65" s="63"/>
      <c r="BC65" s="15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c r="DW65" s="63"/>
      <c r="DX65" s="63"/>
      <c r="DY65" s="63"/>
      <c r="DZ65" s="63"/>
      <c r="EA65" s="63"/>
      <c r="EB65" s="63"/>
      <c r="EC65" s="63"/>
      <c r="ED65" s="63"/>
      <c r="EE65" s="63"/>
      <c r="EF65" s="63"/>
      <c r="EG65" s="63"/>
      <c r="EH65" s="63"/>
      <c r="EI65" s="63"/>
      <c r="EJ65" s="63"/>
      <c r="EK65" s="63"/>
      <c r="EL65" s="63"/>
      <c r="EM65" s="63"/>
      <c r="EN65" s="63"/>
      <c r="EO65" s="63"/>
      <c r="EP65" s="63"/>
      <c r="EQ65" s="63"/>
      <c r="ER65" s="63"/>
      <c r="ES65" s="63"/>
      <c r="ET65" s="63"/>
      <c r="EU65" s="63"/>
      <c r="EV65" s="63"/>
      <c r="EW65" s="63"/>
      <c r="EX65" s="63"/>
      <c r="EY65" s="63"/>
      <c r="EZ65" s="63"/>
      <c r="FA65" s="63"/>
      <c r="FB65" s="63"/>
      <c r="FC65" s="63"/>
      <c r="FD65" s="63"/>
      <c r="FE65" s="63"/>
      <c r="FF65" s="63"/>
      <c r="FG65" s="63"/>
      <c r="FH65" s="63"/>
      <c r="FI65" s="63"/>
      <c r="FJ65" s="63"/>
      <c r="FK65" s="63"/>
      <c r="FL65" s="63"/>
      <c r="FM65" s="63"/>
      <c r="FN65" s="63"/>
      <c r="FO65" s="63"/>
      <c r="FP65" s="63"/>
      <c r="FQ65" s="63"/>
      <c r="FR65" s="63"/>
      <c r="FS65" s="63"/>
      <c r="FT65" s="63"/>
      <c r="FU65" s="63"/>
      <c r="FV65" s="63"/>
      <c r="FW65" s="63"/>
      <c r="FX65" s="63"/>
      <c r="FY65" s="63"/>
      <c r="FZ65" s="63"/>
      <c r="GA65" s="63"/>
      <c r="GB65" s="63"/>
      <c r="GC65" s="63"/>
      <c r="GD65" s="63"/>
      <c r="GE65" s="63"/>
      <c r="GF65" s="63"/>
      <c r="GG65" s="63"/>
      <c r="GH65" s="63"/>
      <c r="GI65" s="63"/>
      <c r="GJ65" s="63"/>
      <c r="GK65" s="63"/>
    </row>
    <row r="66" spans="2:193" ht="18" customHeight="1" x14ac:dyDescent="0.2">
      <c r="B66" s="1362" t="s">
        <v>1974</v>
      </c>
      <c r="C66" s="1363"/>
      <c r="D66" s="1363"/>
      <c r="E66" s="1363"/>
      <c r="F66" s="1363"/>
      <c r="G66" s="1363"/>
      <c r="H66" s="1364"/>
      <c r="I66" s="1421">
        <f>O56</f>
        <v>0</v>
      </c>
      <c r="J66" s="1508"/>
      <c r="K66" s="1509"/>
      <c r="L66" s="2178" t="s">
        <v>1942</v>
      </c>
      <c r="M66" s="2179"/>
      <c r="N66" s="2180"/>
      <c r="O66" s="2160"/>
      <c r="P66" s="2161"/>
      <c r="Q66" s="2162"/>
      <c r="R66" s="315"/>
      <c r="S66" s="1362" t="s">
        <v>1974</v>
      </c>
      <c r="T66" s="1363"/>
      <c r="U66" s="1363"/>
      <c r="V66" s="1363"/>
      <c r="W66" s="1363"/>
      <c r="X66" s="1363"/>
      <c r="Y66" s="1364"/>
      <c r="Z66" s="1421">
        <f>AF56</f>
        <v>0</v>
      </c>
      <c r="AA66" s="1508"/>
      <c r="AB66" s="1509"/>
      <c r="AC66" s="2178" t="s">
        <v>1942</v>
      </c>
      <c r="AD66" s="2179"/>
      <c r="AE66" s="2180"/>
      <c r="AF66" s="2160"/>
      <c r="AG66" s="2161"/>
      <c r="AH66" s="2162"/>
      <c r="AI66" s="63"/>
      <c r="AJ66" s="63"/>
      <c r="AK66" s="63"/>
      <c r="AL66" s="63"/>
      <c r="AM66" s="63"/>
      <c r="AN66" s="1142">
        <f>I66</f>
        <v>0</v>
      </c>
      <c r="AO66" s="479">
        <f t="shared" si="4"/>
        <v>0</v>
      </c>
      <c r="AP66" s="1143">
        <f>LARGE(AO60:AO66,7)</f>
        <v>0</v>
      </c>
      <c r="AQ66" s="131"/>
      <c r="AR66" s="499"/>
      <c r="AS66" s="1142">
        <f>Z66</f>
        <v>0</v>
      </c>
      <c r="AT66" s="479">
        <f t="shared" si="6"/>
        <v>0</v>
      </c>
      <c r="AU66" s="62">
        <f>LARGE(AT60:AT66,7)</f>
        <v>0</v>
      </c>
      <c r="AV66" s="41"/>
      <c r="AW66" s="3"/>
      <c r="AX66" s="63"/>
      <c r="AY66" s="63"/>
      <c r="AZ66" s="63"/>
      <c r="BA66" s="63"/>
      <c r="BB66" s="63"/>
      <c r="BC66" s="15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c r="DW66" s="63"/>
      <c r="DX66" s="63"/>
      <c r="DY66" s="63"/>
      <c r="DZ66" s="63"/>
      <c r="EA66" s="63"/>
      <c r="EB66" s="63"/>
      <c r="EC66" s="63"/>
      <c r="ED66" s="63"/>
      <c r="EE66" s="63"/>
      <c r="EF66" s="63"/>
      <c r="EG66" s="63"/>
      <c r="EH66" s="63"/>
      <c r="EI66" s="63"/>
      <c r="EJ66" s="63"/>
      <c r="EK66" s="63"/>
      <c r="EL66" s="63"/>
      <c r="EM66" s="63"/>
      <c r="EN66" s="63"/>
      <c r="EO66" s="63"/>
      <c r="EP66" s="63"/>
      <c r="EQ66" s="63"/>
      <c r="ER66" s="63"/>
      <c r="ES66" s="63"/>
      <c r="ET66" s="63"/>
      <c r="EU66" s="63"/>
      <c r="EV66" s="63"/>
      <c r="EW66" s="63"/>
      <c r="EX66" s="63"/>
      <c r="EY66" s="63"/>
      <c r="EZ66" s="63"/>
      <c r="FA66" s="63"/>
      <c r="FB66" s="63"/>
      <c r="FC66" s="63"/>
      <c r="FD66" s="63"/>
      <c r="FE66" s="63"/>
      <c r="FF66" s="63"/>
      <c r="FG66" s="63"/>
      <c r="FH66" s="63"/>
      <c r="FI66" s="63"/>
      <c r="FJ66" s="63"/>
      <c r="FK66" s="63"/>
      <c r="FL66" s="63"/>
      <c r="FM66" s="63"/>
      <c r="FN66" s="63"/>
      <c r="FO66" s="63"/>
      <c r="FP66" s="63"/>
      <c r="FQ66" s="63"/>
      <c r="FR66" s="63"/>
      <c r="FS66" s="63"/>
      <c r="FT66" s="63"/>
      <c r="FU66" s="63"/>
      <c r="FV66" s="63"/>
      <c r="FW66" s="63"/>
      <c r="FX66" s="63"/>
      <c r="FY66" s="63"/>
      <c r="FZ66" s="63"/>
      <c r="GA66" s="63"/>
      <c r="GB66" s="63"/>
      <c r="GC66" s="63"/>
      <c r="GD66" s="63"/>
      <c r="GE66" s="63"/>
      <c r="GF66" s="63"/>
      <c r="GG66" s="63"/>
      <c r="GH66" s="63"/>
      <c r="GI66" s="63"/>
      <c r="GJ66" s="63"/>
      <c r="GK66" s="63"/>
    </row>
    <row r="67" spans="2:193" ht="27" customHeight="1" x14ac:dyDescent="0.2">
      <c r="B67" s="1374" t="s">
        <v>1092</v>
      </c>
      <c r="C67" s="1363"/>
      <c r="D67" s="1363"/>
      <c r="E67" s="1363"/>
      <c r="F67" s="1363"/>
      <c r="G67" s="1363"/>
      <c r="H67" s="1364"/>
      <c r="I67" s="1381">
        <f>IF(AY61=1,AY62,AR65)</f>
        <v>0</v>
      </c>
      <c r="J67" s="1381"/>
      <c r="K67" s="1381"/>
      <c r="L67" s="1555"/>
      <c r="M67" s="1555"/>
      <c r="N67" s="1555"/>
      <c r="O67" s="1555"/>
      <c r="P67" s="1555"/>
      <c r="Q67" s="1555"/>
      <c r="R67" s="399"/>
      <c r="S67" s="1374" t="s">
        <v>1093</v>
      </c>
      <c r="T67" s="1363"/>
      <c r="U67" s="1363"/>
      <c r="V67" s="1363"/>
      <c r="W67" s="1363"/>
      <c r="X67" s="1363"/>
      <c r="Y67" s="1364"/>
      <c r="Z67" s="1381">
        <f>IF(AZ61=1,AZ62,AW65)</f>
        <v>0</v>
      </c>
      <c r="AA67" s="1381"/>
      <c r="AB67" s="1381"/>
      <c r="AC67" s="1555"/>
      <c r="AD67" s="1555"/>
      <c r="AE67" s="1555"/>
      <c r="AF67" s="1555"/>
      <c r="AG67" s="1555"/>
      <c r="AH67" s="1555"/>
      <c r="AI67" s="63"/>
      <c r="AJ67" s="63"/>
      <c r="AK67" s="63"/>
      <c r="AL67" s="63"/>
      <c r="AM67" s="63"/>
      <c r="AN67" s="191"/>
      <c r="AP67" s="63"/>
      <c r="AQ67" s="63"/>
      <c r="AR67" s="500"/>
      <c r="AU67" s="191"/>
      <c r="AV67" s="63"/>
      <c r="AW67" s="63"/>
      <c r="AX67" s="63"/>
      <c r="AY67" s="63"/>
      <c r="AZ67" s="63"/>
      <c r="BA67" s="63"/>
      <c r="BB67" s="63"/>
      <c r="BC67" s="89"/>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c r="DW67" s="63"/>
      <c r="DX67" s="63"/>
      <c r="DY67" s="63"/>
      <c r="DZ67" s="63"/>
      <c r="EA67" s="63"/>
      <c r="EB67" s="63"/>
      <c r="EC67" s="63"/>
      <c r="ED67" s="63"/>
      <c r="EE67" s="63"/>
      <c r="EF67" s="63"/>
      <c r="EG67" s="63"/>
      <c r="EH67" s="63"/>
      <c r="EI67" s="63"/>
      <c r="EJ67" s="63"/>
      <c r="EK67" s="63"/>
      <c r="EL67" s="63"/>
      <c r="EM67" s="63"/>
      <c r="EN67" s="63"/>
      <c r="EO67" s="63"/>
      <c r="EP67" s="63"/>
      <c r="EQ67" s="63"/>
      <c r="ER67" s="63"/>
      <c r="ES67" s="63"/>
      <c r="ET67" s="63"/>
      <c r="EU67" s="63"/>
      <c r="EV67" s="63"/>
      <c r="EW67" s="63"/>
      <c r="EX67" s="63"/>
      <c r="EY67" s="63"/>
      <c r="EZ67" s="63"/>
      <c r="FA67" s="63"/>
      <c r="FB67" s="63"/>
      <c r="FC67" s="63"/>
      <c r="FD67" s="63"/>
      <c r="FE67" s="63"/>
      <c r="FF67" s="63"/>
      <c r="FG67" s="63"/>
      <c r="FH67" s="63"/>
      <c r="FI67" s="63"/>
      <c r="FJ67" s="63"/>
      <c r="FK67" s="63"/>
      <c r="FL67" s="63"/>
      <c r="FM67" s="63"/>
      <c r="FN67" s="63"/>
      <c r="FO67" s="63"/>
      <c r="FP67" s="63"/>
      <c r="FQ67" s="63"/>
      <c r="FR67" s="63"/>
      <c r="FS67" s="63"/>
      <c r="FT67" s="63"/>
      <c r="FU67" s="63"/>
      <c r="FV67" s="63"/>
      <c r="FW67" s="63"/>
      <c r="FX67" s="63"/>
      <c r="FY67" s="63"/>
      <c r="FZ67" s="63"/>
      <c r="GA67" s="63"/>
      <c r="GB67" s="63"/>
      <c r="GC67" s="63"/>
      <c r="GD67" s="63"/>
      <c r="GE67" s="63"/>
      <c r="GF67" s="63"/>
      <c r="GG67" s="63"/>
      <c r="GH67" s="63"/>
      <c r="GI67" s="63"/>
      <c r="GJ67" s="63"/>
      <c r="GK67" s="63"/>
    </row>
    <row r="68" spans="2:193" ht="12" customHeight="1" x14ac:dyDescent="0.2">
      <c r="B68" s="1395"/>
      <c r="C68" s="1395"/>
      <c r="D68" s="1395"/>
      <c r="E68" s="1395"/>
      <c r="F68" s="1395"/>
      <c r="G68" s="1395"/>
      <c r="H68" s="1395"/>
      <c r="I68" s="1395"/>
      <c r="J68" s="1395"/>
      <c r="K68" s="1395"/>
      <c r="L68" s="1395"/>
      <c r="M68" s="1395"/>
      <c r="N68" s="1395"/>
      <c r="O68" s="1395"/>
      <c r="P68" s="1395"/>
      <c r="Q68" s="1395"/>
      <c r="R68" s="1395"/>
      <c r="S68" s="1395"/>
      <c r="T68" s="1395"/>
      <c r="U68" s="1395"/>
      <c r="V68" s="1395"/>
      <c r="W68" s="1395"/>
      <c r="X68" s="1395"/>
      <c r="Y68" s="1395"/>
      <c r="Z68" s="1395"/>
      <c r="AA68" s="1395"/>
      <c r="AB68" s="1395"/>
      <c r="AC68" s="1395"/>
      <c r="AD68" s="1395"/>
      <c r="AE68" s="1395"/>
      <c r="AF68" s="1395"/>
      <c r="AG68" s="1395"/>
      <c r="AH68" s="1395"/>
      <c r="AI68" s="63"/>
      <c r="AJ68" s="63"/>
      <c r="AK68" s="63"/>
      <c r="AN68" s="63"/>
      <c r="AO68" s="63"/>
      <c r="AP68" s="63"/>
      <c r="AQ68" s="63"/>
      <c r="AR68" s="500"/>
      <c r="AV68" s="63"/>
      <c r="AW68" s="63"/>
      <c r="AX68" s="63"/>
      <c r="BA68" s="2"/>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c r="DW68" s="63"/>
      <c r="DX68" s="63"/>
      <c r="DY68" s="63"/>
      <c r="DZ68" s="63"/>
      <c r="EA68" s="63"/>
      <c r="EB68" s="63"/>
      <c r="EC68" s="63"/>
      <c r="ED68" s="63"/>
      <c r="EE68" s="63"/>
      <c r="EF68" s="63"/>
      <c r="EG68" s="63"/>
      <c r="EH68" s="63"/>
      <c r="EI68" s="63"/>
      <c r="EJ68" s="63"/>
      <c r="EK68" s="63"/>
      <c r="EL68" s="63"/>
      <c r="EM68" s="63"/>
      <c r="EN68" s="63"/>
      <c r="EO68" s="63"/>
      <c r="EP68" s="63"/>
      <c r="EQ68" s="63"/>
      <c r="ER68" s="63"/>
      <c r="ES68" s="63"/>
      <c r="ET68" s="63"/>
      <c r="EU68" s="63"/>
      <c r="EV68" s="63"/>
      <c r="EW68" s="63"/>
      <c r="EX68" s="63"/>
      <c r="EY68" s="63"/>
      <c r="EZ68" s="63"/>
      <c r="FA68" s="63"/>
      <c r="FB68" s="63"/>
      <c r="FC68" s="63"/>
      <c r="FD68" s="63"/>
      <c r="FE68" s="63"/>
      <c r="FF68" s="63"/>
      <c r="FG68" s="63"/>
      <c r="FH68" s="63"/>
      <c r="FI68" s="63"/>
      <c r="FJ68" s="63"/>
      <c r="FK68" s="63"/>
      <c r="FL68" s="63"/>
      <c r="FM68" s="63"/>
      <c r="FN68" s="63"/>
      <c r="FO68" s="63"/>
      <c r="FP68" s="63"/>
      <c r="FQ68" s="63"/>
      <c r="FR68" s="63"/>
      <c r="FS68" s="63"/>
      <c r="FT68" s="63"/>
      <c r="FU68" s="63"/>
      <c r="FV68" s="63"/>
      <c r="FW68" s="63"/>
      <c r="FX68" s="63"/>
      <c r="FY68" s="63"/>
      <c r="FZ68" s="63"/>
      <c r="GA68" s="63"/>
      <c r="GB68" s="63"/>
      <c r="GC68" s="63"/>
      <c r="GD68" s="63"/>
      <c r="GE68" s="63"/>
      <c r="GF68" s="63"/>
      <c r="GG68" s="63"/>
      <c r="GH68" s="63"/>
      <c r="GI68" s="63"/>
      <c r="GJ68" s="63"/>
      <c r="GK68" s="63"/>
    </row>
    <row r="69" spans="2:193" ht="33" customHeight="1" x14ac:dyDescent="0.2">
      <c r="B69" s="1519" t="s">
        <v>1089</v>
      </c>
      <c r="C69" s="1520"/>
      <c r="D69" s="1520"/>
      <c r="E69" s="1520"/>
      <c r="F69" s="1520"/>
      <c r="G69" s="1520"/>
      <c r="H69" s="1520"/>
      <c r="I69" s="1520"/>
      <c r="J69" s="1520"/>
      <c r="K69" s="1520"/>
      <c r="L69" s="1520"/>
      <c r="M69" s="1520"/>
      <c r="N69" s="1520"/>
      <c r="O69" s="1520"/>
      <c r="P69" s="1520"/>
      <c r="Q69" s="2242"/>
      <c r="R69" s="2242"/>
      <c r="S69" s="2242"/>
      <c r="T69" s="2242"/>
      <c r="U69" s="2242"/>
      <c r="V69" s="2242"/>
      <c r="W69" s="2242"/>
      <c r="X69" s="2242"/>
      <c r="Y69" s="2242"/>
      <c r="Z69" s="2242"/>
      <c r="AA69" s="2242"/>
      <c r="AB69" s="2242"/>
      <c r="AC69" s="2242"/>
      <c r="AD69" s="2242"/>
      <c r="AE69" s="2242"/>
      <c r="AF69" s="2242"/>
      <c r="AG69" s="2242"/>
      <c r="AH69" s="2243"/>
      <c r="AI69" s="63"/>
      <c r="AJ69" s="63"/>
      <c r="AK69" s="63"/>
      <c r="AL69" s="1165">
        <f>MAX(Q73,AE78)</f>
        <v>0</v>
      </c>
      <c r="AM69" s="1374" t="s">
        <v>1019</v>
      </c>
      <c r="AN69" s="1376"/>
      <c r="AO69" s="63"/>
      <c r="AP69" s="1164" t="s">
        <v>192</v>
      </c>
      <c r="AQ69" s="1164" t="s">
        <v>193</v>
      </c>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c r="DW69" s="63"/>
      <c r="DX69" s="63"/>
      <c r="DY69" s="63"/>
      <c r="DZ69" s="63"/>
      <c r="EA69" s="63"/>
      <c r="EB69" s="63"/>
      <c r="EC69" s="63"/>
      <c r="ED69" s="63"/>
      <c r="EE69" s="63"/>
      <c r="EF69" s="63"/>
      <c r="EG69" s="63"/>
      <c r="EH69" s="63"/>
      <c r="EI69" s="63"/>
      <c r="EJ69" s="63"/>
      <c r="EK69" s="63"/>
      <c r="EL69" s="63"/>
      <c r="EM69" s="63"/>
      <c r="EN69" s="63"/>
      <c r="EO69" s="63"/>
      <c r="EP69" s="63"/>
      <c r="EQ69" s="63"/>
      <c r="ER69" s="63"/>
      <c r="ES69" s="63"/>
      <c r="ET69" s="63"/>
      <c r="EU69" s="63"/>
      <c r="EV69" s="63"/>
      <c r="EW69" s="63"/>
      <c r="EX69" s="63"/>
      <c r="EY69" s="63"/>
      <c r="EZ69" s="63"/>
      <c r="FA69" s="63"/>
      <c r="FB69" s="63"/>
      <c r="FC69" s="63"/>
      <c r="FD69" s="63"/>
      <c r="FE69" s="63"/>
      <c r="FF69" s="63"/>
      <c r="FG69" s="63"/>
      <c r="FH69" s="63"/>
      <c r="FI69" s="63"/>
      <c r="FJ69" s="63"/>
      <c r="FK69" s="63"/>
      <c r="FL69" s="63"/>
      <c r="FM69" s="63"/>
      <c r="FN69" s="63"/>
      <c r="FO69" s="63"/>
      <c r="FP69" s="63"/>
      <c r="FQ69" s="63"/>
      <c r="FR69" s="63"/>
      <c r="FS69" s="63"/>
      <c r="FT69" s="63"/>
      <c r="FU69" s="63"/>
      <c r="FV69" s="63"/>
      <c r="FW69" s="63"/>
      <c r="FX69" s="63"/>
      <c r="FY69" s="63"/>
      <c r="FZ69" s="63"/>
      <c r="GA69" s="63"/>
      <c r="GB69" s="63"/>
      <c r="GC69" s="63"/>
      <c r="GD69" s="63"/>
      <c r="GE69" s="63"/>
      <c r="GF69" s="63"/>
      <c r="GG69" s="63"/>
      <c r="GH69" s="63"/>
      <c r="GI69" s="63"/>
      <c r="GJ69" s="63"/>
      <c r="GK69" s="63"/>
    </row>
    <row r="70" spans="2:193" ht="38.25" customHeight="1" x14ac:dyDescent="0.2">
      <c r="B70" s="2095" t="s">
        <v>1085</v>
      </c>
      <c r="C70" s="2096"/>
      <c r="D70" s="2096"/>
      <c r="E70" s="2096"/>
      <c r="F70" s="2096"/>
      <c r="G70" s="2096"/>
      <c r="H70" s="2096"/>
      <c r="I70" s="2096"/>
      <c r="J70" s="2096"/>
      <c r="K70" s="2096"/>
      <c r="L70" s="1557" t="s">
        <v>1087</v>
      </c>
      <c r="M70" s="1557"/>
      <c r="N70" s="1557"/>
      <c r="O70" s="1557"/>
      <c r="P70" s="1519"/>
      <c r="Q70" s="490"/>
      <c r="R70" s="398"/>
      <c r="S70" s="398"/>
      <c r="T70" s="398"/>
      <c r="U70" s="501"/>
      <c r="V70" s="1520"/>
      <c r="W70" s="1520"/>
      <c r="X70" s="1520"/>
      <c r="Y70" s="383"/>
      <c r="Z70" s="383"/>
      <c r="AA70" s="383"/>
      <c r="AB70" s="383"/>
      <c r="AC70" s="383"/>
      <c r="AD70" s="383"/>
      <c r="AE70" s="377"/>
      <c r="AF70" s="381"/>
      <c r="AG70" s="381"/>
      <c r="AH70" s="382"/>
      <c r="AI70" s="63"/>
      <c r="AJ70" s="63"/>
      <c r="AK70" s="63"/>
      <c r="AL70" s="16" t="s">
        <v>1305</v>
      </c>
      <c r="AM70" s="1167" t="s">
        <v>1307</v>
      </c>
      <c r="AN70" s="1167" t="s">
        <v>1306</v>
      </c>
      <c r="AO70" s="63"/>
      <c r="AP70" s="62">
        <f>I67</f>
        <v>0</v>
      </c>
      <c r="AQ70" s="62">
        <f>Z67</f>
        <v>0</v>
      </c>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c r="DW70" s="63"/>
      <c r="DX70" s="63"/>
      <c r="DY70" s="63"/>
      <c r="DZ70" s="63"/>
      <c r="EA70" s="63"/>
      <c r="EB70" s="63"/>
      <c r="EC70" s="63"/>
      <c r="ED70" s="63"/>
      <c r="EE70" s="63"/>
      <c r="EF70" s="63"/>
      <c r="EG70" s="63"/>
      <c r="EH70" s="63"/>
      <c r="EI70" s="63"/>
      <c r="EJ70" s="63"/>
      <c r="EK70" s="63"/>
      <c r="EL70" s="63"/>
      <c r="EM70" s="63"/>
      <c r="EN70" s="63"/>
      <c r="EO70" s="63"/>
      <c r="EP70" s="63"/>
      <c r="EQ70" s="63"/>
      <c r="ER70" s="63"/>
      <c r="ES70" s="63"/>
      <c r="ET70" s="63"/>
      <c r="EU70" s="63"/>
      <c r="EV70" s="63"/>
      <c r="EW70" s="63"/>
      <c r="EX70" s="63"/>
      <c r="EY70" s="63"/>
      <c r="EZ70" s="63"/>
      <c r="FA70" s="63"/>
      <c r="FB70" s="63"/>
      <c r="FC70" s="63"/>
      <c r="FD70" s="63"/>
      <c r="FE70" s="63"/>
      <c r="FF70" s="63"/>
      <c r="FG70" s="63"/>
      <c r="FH70" s="63"/>
      <c r="FI70" s="63"/>
      <c r="FJ70" s="63"/>
      <c r="FK70" s="63"/>
      <c r="FL70" s="63"/>
      <c r="FM70" s="63"/>
      <c r="FN70" s="63"/>
      <c r="FO70" s="63"/>
      <c r="FP70" s="63"/>
      <c r="FQ70" s="63"/>
      <c r="FR70" s="63"/>
      <c r="FS70" s="63"/>
      <c r="FT70" s="63"/>
      <c r="FU70" s="63"/>
      <c r="FV70" s="63"/>
      <c r="FW70" s="63"/>
      <c r="FX70" s="63"/>
      <c r="FY70" s="63"/>
      <c r="FZ70" s="63"/>
      <c r="GA70" s="63"/>
      <c r="GB70" s="63"/>
      <c r="GC70" s="63"/>
      <c r="GD70" s="63"/>
      <c r="GE70" s="63"/>
      <c r="GF70" s="63"/>
      <c r="GG70" s="63"/>
      <c r="GH70" s="63"/>
      <c r="GI70" s="63"/>
      <c r="GJ70" s="63"/>
      <c r="GK70" s="63"/>
    </row>
    <row r="71" spans="2:193" ht="18" customHeight="1" x14ac:dyDescent="0.2">
      <c r="B71" s="1362" t="s">
        <v>137</v>
      </c>
      <c r="C71" s="1363"/>
      <c r="D71" s="1363"/>
      <c r="E71" s="1363"/>
      <c r="F71" s="1363"/>
      <c r="G71" s="1363"/>
      <c r="H71" s="1364"/>
      <c r="I71" s="1421">
        <f>IF(I83&lt;AL3,"DOI&lt;2005",AP70)</f>
        <v>0</v>
      </c>
      <c r="J71" s="1508"/>
      <c r="K71" s="1509"/>
      <c r="L71" s="23" t="s">
        <v>1791</v>
      </c>
      <c r="M71" s="1353">
        <v>0.31</v>
      </c>
      <c r="N71" s="1354"/>
      <c r="O71" s="1355"/>
      <c r="P71" s="23" t="s">
        <v>1793</v>
      </c>
      <c r="Q71" s="2199">
        <f>IF(I83&lt;AL3,"DOI&lt;2005",IF(AND(I71*M71&gt;0,I71*M71&lt;0.01),0.01,ROUND(I71*M71,2)))</f>
        <v>0</v>
      </c>
      <c r="R71" s="2200"/>
      <c r="S71" s="2200"/>
      <c r="T71" s="2200"/>
      <c r="U71" s="287"/>
      <c r="V71" s="2244" t="s">
        <v>599</v>
      </c>
      <c r="W71" s="2244"/>
      <c r="X71" s="2245"/>
      <c r="Y71" s="1395"/>
      <c r="Z71" s="1395"/>
      <c r="AA71" s="1395"/>
      <c r="AB71" s="1395"/>
      <c r="AC71" s="1395"/>
      <c r="AD71" s="2195"/>
      <c r="AE71" s="2201" t="s">
        <v>1088</v>
      </c>
      <c r="AF71" s="2201"/>
      <c r="AG71" s="2201"/>
      <c r="AH71" s="2202"/>
      <c r="AI71" s="63"/>
      <c r="AJ71" s="63"/>
      <c r="AK71" s="63"/>
      <c r="AL71" s="62">
        <f>LARGE(Q71:Q72,1)</f>
        <v>0</v>
      </c>
      <c r="AM71" s="1166">
        <f>IF(AND(AL71&gt;0,AL71&lt;0.01),0.01,ROUND(AL71,2))</f>
        <v>0</v>
      </c>
      <c r="AN71" s="16">
        <f>AM71+AM72*(1-AM71)</f>
        <v>0</v>
      </c>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c r="DW71" s="63"/>
      <c r="DX71" s="63"/>
      <c r="DY71" s="63"/>
      <c r="DZ71" s="63"/>
      <c r="EA71" s="63"/>
      <c r="EB71" s="63"/>
      <c r="EC71" s="63"/>
      <c r="ED71" s="63"/>
      <c r="EE71" s="63"/>
      <c r="EF71" s="63"/>
      <c r="EG71" s="63"/>
      <c r="EH71" s="63"/>
      <c r="EI71" s="63"/>
      <c r="EJ71" s="63"/>
      <c r="EK71" s="63"/>
      <c r="EL71" s="63"/>
      <c r="EM71" s="63"/>
      <c r="EN71" s="63"/>
      <c r="EO71" s="63"/>
      <c r="EP71" s="63"/>
      <c r="EQ71" s="63"/>
      <c r="ER71" s="63"/>
      <c r="ES71" s="63"/>
      <c r="ET71" s="63"/>
      <c r="EU71" s="63"/>
      <c r="EV71" s="63"/>
      <c r="EW71" s="63"/>
      <c r="EX71" s="63"/>
      <c r="EY71" s="63"/>
      <c r="EZ71" s="63"/>
      <c r="FA71" s="63"/>
      <c r="FB71" s="63"/>
      <c r="FC71" s="63"/>
      <c r="FD71" s="63"/>
      <c r="FE71" s="63"/>
      <c r="FF71" s="63"/>
      <c r="FG71" s="63"/>
      <c r="FH71" s="63"/>
      <c r="FI71" s="63"/>
      <c r="FJ71" s="63"/>
      <c r="FK71" s="63"/>
      <c r="FL71" s="63"/>
      <c r="FM71" s="63"/>
      <c r="FN71" s="63"/>
      <c r="FO71" s="63"/>
      <c r="FP71" s="63"/>
      <c r="FQ71" s="63"/>
      <c r="FR71" s="63"/>
      <c r="FS71" s="63"/>
      <c r="FT71" s="63"/>
      <c r="FU71" s="63"/>
      <c r="FV71" s="63"/>
      <c r="FW71" s="63"/>
      <c r="FX71" s="63"/>
      <c r="FY71" s="63"/>
      <c r="FZ71" s="63"/>
      <c r="GA71" s="63"/>
      <c r="GB71" s="63"/>
      <c r="GC71" s="63"/>
      <c r="GD71" s="63"/>
      <c r="GE71" s="63"/>
      <c r="GF71" s="63"/>
      <c r="GG71" s="63"/>
      <c r="GH71" s="63"/>
      <c r="GI71" s="63"/>
      <c r="GJ71" s="63"/>
      <c r="GK71" s="63"/>
    </row>
    <row r="72" spans="2:193" ht="18" customHeight="1" x14ac:dyDescent="0.2">
      <c r="B72" s="1462" t="s">
        <v>138</v>
      </c>
      <c r="C72" s="1463"/>
      <c r="D72" s="1463"/>
      <c r="E72" s="1463"/>
      <c r="F72" s="1463"/>
      <c r="G72" s="1463"/>
      <c r="H72" s="1464"/>
      <c r="I72" s="2167">
        <f>IF(I83&lt;AL3,"DOI&lt;2005",AQ70)</f>
        <v>0</v>
      </c>
      <c r="J72" s="2168"/>
      <c r="K72" s="2169"/>
      <c r="L72" s="251" t="s">
        <v>1791</v>
      </c>
      <c r="M72" s="2196">
        <v>0.31</v>
      </c>
      <c r="N72" s="2197"/>
      <c r="O72" s="2198"/>
      <c r="P72" s="251" t="s">
        <v>1793</v>
      </c>
      <c r="Q72" s="2203">
        <f>IF(I83&lt;AL3,"DOI&lt;2005",IF(AND(I72*M72&gt;0,I72*M72&lt;0.01),0.01,ROUND(I72*M72,2)))</f>
        <v>0</v>
      </c>
      <c r="R72" s="2204"/>
      <c r="S72" s="2204"/>
      <c r="T72" s="2204"/>
      <c r="U72" s="25"/>
      <c r="V72" s="2246"/>
      <c r="W72" s="2246"/>
      <c r="X72" s="2247"/>
      <c r="Y72" s="396"/>
      <c r="Z72" s="396"/>
      <c r="AA72" s="396"/>
      <c r="AB72" s="396"/>
      <c r="AC72" s="396"/>
      <c r="AD72" s="244"/>
      <c r="AE72" s="1819"/>
      <c r="AF72" s="1819"/>
      <c r="AG72" s="1819"/>
      <c r="AH72" s="1820"/>
      <c r="AI72" s="63"/>
      <c r="AJ72" s="63"/>
      <c r="AK72" s="63"/>
      <c r="AL72" s="62">
        <f>LARGE(Q71:Q72,2)</f>
        <v>0</v>
      </c>
      <c r="AM72" s="1166">
        <f>IF(AND(AL72&gt;0,AL72&lt;0.01),0.01,ROUND(AL72,2))</f>
        <v>0</v>
      </c>
      <c r="AN72" s="61">
        <f>ROUND(AN71,2)</f>
        <v>0</v>
      </c>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c r="DW72" s="63"/>
      <c r="DX72" s="63"/>
      <c r="DY72" s="63"/>
      <c r="DZ72" s="63"/>
      <c r="EA72" s="63"/>
      <c r="EB72" s="63"/>
      <c r="EC72" s="63"/>
      <c r="ED72" s="63"/>
      <c r="EE72" s="63"/>
      <c r="EF72" s="63"/>
      <c r="EG72" s="63"/>
      <c r="EH72" s="63"/>
      <c r="EI72" s="63"/>
      <c r="EJ72" s="63"/>
      <c r="EK72" s="63"/>
      <c r="EL72" s="63"/>
      <c r="EM72" s="63"/>
      <c r="EN72" s="63"/>
      <c r="EO72" s="63"/>
      <c r="EP72" s="63"/>
      <c r="EQ72" s="63"/>
      <c r="ER72" s="63"/>
      <c r="ES72" s="63"/>
      <c r="ET72" s="63"/>
      <c r="EU72" s="63"/>
      <c r="EV72" s="63"/>
      <c r="EW72" s="63"/>
      <c r="EX72" s="63"/>
      <c r="EY72" s="63"/>
      <c r="EZ72" s="63"/>
      <c r="FA72" s="63"/>
      <c r="FB72" s="63"/>
      <c r="FC72" s="63"/>
      <c r="FD72" s="63"/>
      <c r="FE72" s="63"/>
      <c r="FF72" s="63"/>
      <c r="FG72" s="63"/>
      <c r="FH72" s="63"/>
      <c r="FI72" s="63"/>
      <c r="FJ72" s="63"/>
      <c r="FK72" s="63"/>
      <c r="FL72" s="63"/>
      <c r="FM72" s="63"/>
      <c r="FN72" s="63"/>
      <c r="FO72" s="63"/>
      <c r="FP72" s="63"/>
      <c r="FQ72" s="63"/>
      <c r="FR72" s="63"/>
      <c r="FS72" s="63"/>
      <c r="FT72" s="63"/>
      <c r="FU72" s="63"/>
      <c r="FV72" s="63"/>
      <c r="FW72" s="63"/>
      <c r="FX72" s="63"/>
      <c r="FY72" s="63"/>
      <c r="FZ72" s="63"/>
      <c r="GA72" s="63"/>
      <c r="GB72" s="63"/>
      <c r="GC72" s="63"/>
      <c r="GD72" s="63"/>
      <c r="GE72" s="63"/>
      <c r="GF72" s="63"/>
      <c r="GG72" s="63"/>
      <c r="GH72" s="63"/>
      <c r="GI72" s="63"/>
      <c r="GJ72" s="63"/>
      <c r="GK72" s="63"/>
    </row>
    <row r="73" spans="2:193" ht="14.25" customHeight="1" x14ac:dyDescent="0.2">
      <c r="B73" s="2175" t="str">
        <f>IF(I83&lt;AL3,"",IF(AND(I71&gt;0,I72&gt;0),AM74,AL74))</f>
        <v>Monocular total</v>
      </c>
      <c r="C73" s="2176"/>
      <c r="D73" s="2176"/>
      <c r="E73" s="2176"/>
      <c r="F73" s="2176"/>
      <c r="G73" s="2176"/>
      <c r="H73" s="2176"/>
      <c r="I73" s="2176"/>
      <c r="J73" s="2176"/>
      <c r="K73" s="2176"/>
      <c r="L73" s="2176"/>
      <c r="M73" s="2176"/>
      <c r="N73" s="2176"/>
      <c r="O73" s="2177"/>
      <c r="P73" s="251" t="s">
        <v>1793</v>
      </c>
      <c r="Q73" s="1342">
        <f>IF(I83&lt;AL3,"DOI&lt;2005",AN72)</f>
        <v>0</v>
      </c>
      <c r="R73" s="1343"/>
      <c r="S73" s="1343"/>
      <c r="T73" s="1344"/>
      <c r="U73" s="25" t="s">
        <v>1791</v>
      </c>
      <c r="V73" s="1418">
        <f>SAWW!D6</f>
        <v>0</v>
      </c>
      <c r="W73" s="2174"/>
      <c r="X73" s="2174"/>
      <c r="Y73" s="1549" t="s">
        <v>603</v>
      </c>
      <c r="Z73" s="1550"/>
      <c r="AA73" s="1550"/>
      <c r="AB73" s="1550"/>
      <c r="AC73" s="1550"/>
      <c r="AD73" s="1551"/>
      <c r="AE73" s="2171">
        <f>IF(I83&lt;AL3,"DOI&lt;2005",ROUND(Q73*V73*100,2))</f>
        <v>0</v>
      </c>
      <c r="AF73" s="2172"/>
      <c r="AG73" s="2172"/>
      <c r="AH73" s="2173"/>
      <c r="AI73" s="63"/>
      <c r="AJ73" s="63"/>
      <c r="AK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c r="DW73" s="63"/>
      <c r="DX73" s="63"/>
      <c r="DY73" s="63"/>
      <c r="DZ73" s="63"/>
      <c r="EA73" s="63"/>
      <c r="EB73" s="63"/>
      <c r="EC73" s="63"/>
      <c r="ED73" s="63"/>
      <c r="EE73" s="63"/>
      <c r="EF73" s="63"/>
      <c r="EG73" s="63"/>
      <c r="EH73" s="63"/>
      <c r="EI73" s="63"/>
      <c r="EJ73" s="63"/>
      <c r="EK73" s="63"/>
      <c r="EL73" s="63"/>
      <c r="EM73" s="63"/>
      <c r="EN73" s="63"/>
      <c r="EO73" s="63"/>
      <c r="EP73" s="63"/>
      <c r="EQ73" s="63"/>
      <c r="ER73" s="63"/>
      <c r="ES73" s="63"/>
      <c r="ET73" s="63"/>
      <c r="EU73" s="63"/>
      <c r="EV73" s="63"/>
      <c r="EW73" s="63"/>
      <c r="EX73" s="63"/>
      <c r="EY73" s="63"/>
      <c r="EZ73" s="63"/>
      <c r="FA73" s="63"/>
      <c r="FB73" s="63"/>
      <c r="FC73" s="63"/>
      <c r="FD73" s="63"/>
      <c r="FE73" s="63"/>
      <c r="FF73" s="63"/>
      <c r="FG73" s="63"/>
      <c r="FH73" s="63"/>
      <c r="FI73" s="63"/>
      <c r="FJ73" s="63"/>
      <c r="FK73" s="63"/>
      <c r="FL73" s="63"/>
      <c r="FM73" s="63"/>
      <c r="FN73" s="63"/>
      <c r="FO73" s="63"/>
      <c r="FP73" s="63"/>
      <c r="FQ73" s="63"/>
      <c r="FR73" s="63"/>
      <c r="FS73" s="63"/>
      <c r="FT73" s="63"/>
      <c r="FU73" s="63"/>
      <c r="FV73" s="63"/>
      <c r="FW73" s="63"/>
      <c r="FX73" s="63"/>
      <c r="FY73" s="63"/>
      <c r="FZ73" s="63"/>
      <c r="GA73" s="63"/>
      <c r="GB73" s="63"/>
      <c r="GC73" s="63"/>
      <c r="GD73" s="63"/>
      <c r="GE73" s="63"/>
      <c r="GF73" s="63"/>
      <c r="GG73" s="63"/>
      <c r="GH73" s="63"/>
      <c r="GI73" s="63"/>
      <c r="GJ73" s="63"/>
      <c r="GK73" s="63"/>
    </row>
    <row r="74" spans="2:193" ht="18" customHeight="1" x14ac:dyDescent="0.2">
      <c r="B74" s="1488" t="s">
        <v>880</v>
      </c>
      <c r="C74" s="1489"/>
      <c r="D74" s="1489"/>
      <c r="E74" s="1489"/>
      <c r="F74" s="1489"/>
      <c r="G74" s="1489"/>
      <c r="H74" s="1489"/>
      <c r="I74" s="1489"/>
      <c r="J74" s="1489"/>
      <c r="K74" s="1489"/>
      <c r="L74" s="1489"/>
      <c r="M74" s="1489"/>
      <c r="N74" s="1489"/>
      <c r="O74" s="1489"/>
      <c r="P74" s="1489"/>
      <c r="Q74" s="2166"/>
      <c r="R74" s="2166"/>
      <c r="S74" s="1"/>
      <c r="T74" s="1"/>
      <c r="U74" s="1"/>
      <c r="V74" s="1"/>
      <c r="W74" s="1"/>
      <c r="X74" s="1"/>
      <c r="Y74" s="1"/>
      <c r="Z74" s="1"/>
      <c r="AA74" s="1"/>
      <c r="AB74" s="1"/>
      <c r="AC74" s="1"/>
      <c r="AD74" s="1"/>
      <c r="AE74" s="1"/>
      <c r="AF74" s="1"/>
      <c r="AG74" s="1"/>
      <c r="AH74" s="198"/>
      <c r="AI74" s="63"/>
      <c r="AJ74" s="63"/>
      <c r="AK74" s="63"/>
      <c r="AL74" s="1168" t="s">
        <v>1814</v>
      </c>
      <c r="AM74" s="2248" t="s">
        <v>1269</v>
      </c>
      <c r="AN74" s="2248"/>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c r="DW74" s="63"/>
      <c r="DX74" s="63"/>
      <c r="DY74" s="63"/>
      <c r="DZ74" s="63"/>
      <c r="EA74" s="63"/>
      <c r="EB74" s="63"/>
      <c r="EC74" s="63"/>
      <c r="ED74" s="63"/>
      <c r="EE74" s="63"/>
      <c r="EF74" s="63"/>
      <c r="EG74" s="63"/>
      <c r="EH74" s="63"/>
      <c r="EI74" s="63"/>
      <c r="EJ74" s="63"/>
      <c r="EK74" s="63"/>
      <c r="EL74" s="63"/>
      <c r="EM74" s="63"/>
      <c r="EN74" s="63"/>
      <c r="EO74" s="63"/>
      <c r="EP74" s="63"/>
      <c r="EQ74" s="63"/>
      <c r="ER74" s="63"/>
      <c r="ES74" s="63"/>
      <c r="ET74" s="63"/>
      <c r="EU74" s="63"/>
      <c r="EV74" s="63"/>
      <c r="EW74" s="63"/>
      <c r="EX74" s="63"/>
      <c r="EY74" s="63"/>
      <c r="EZ74" s="63"/>
      <c r="FA74" s="63"/>
      <c r="FB74" s="63"/>
      <c r="FC74" s="63"/>
      <c r="FD74" s="63"/>
      <c r="FE74" s="63"/>
      <c r="FF74" s="63"/>
      <c r="FG74" s="63"/>
      <c r="FH74" s="63"/>
      <c r="FI74" s="63"/>
      <c r="FJ74" s="63"/>
      <c r="FK74" s="63"/>
      <c r="FL74" s="63"/>
      <c r="FM74" s="63"/>
      <c r="FN74" s="63"/>
      <c r="FO74" s="63"/>
      <c r="FP74" s="63"/>
      <c r="FQ74" s="63"/>
      <c r="FR74" s="63"/>
      <c r="FS74" s="63"/>
      <c r="FT74" s="63"/>
      <c r="FU74" s="63"/>
      <c r="FV74" s="63"/>
      <c r="FW74" s="63"/>
      <c r="FX74" s="63"/>
      <c r="FY74" s="63"/>
      <c r="FZ74" s="63"/>
      <c r="GA74" s="63"/>
      <c r="GB74" s="63"/>
      <c r="GC74" s="63"/>
      <c r="GD74" s="63"/>
      <c r="GE74" s="63"/>
      <c r="GF74" s="63"/>
      <c r="GG74" s="63"/>
      <c r="GH74" s="63"/>
      <c r="GI74" s="63"/>
      <c r="GJ74" s="63"/>
      <c r="GK74" s="63"/>
    </row>
    <row r="75" spans="2:193" ht="18" customHeight="1" x14ac:dyDescent="0.2">
      <c r="B75" s="1410" t="s">
        <v>749</v>
      </c>
      <c r="C75" s="1410"/>
      <c r="D75" s="1410"/>
      <c r="E75" s="1410"/>
      <c r="F75" s="1410"/>
      <c r="G75" s="1410"/>
      <c r="H75" s="1410"/>
      <c r="I75" s="1410"/>
      <c r="J75" s="1410"/>
      <c r="K75" s="1410"/>
      <c r="L75" s="1410"/>
      <c r="M75" s="1410"/>
      <c r="N75" s="1410"/>
      <c r="O75" s="1410"/>
      <c r="P75" s="1410"/>
      <c r="Q75" s="1410"/>
      <c r="R75" s="1410"/>
      <c r="S75" s="1491">
        <f>IF(I83&lt;AL3,"DOI&lt;2005",MIN(AP70,AQ70))</f>
        <v>0</v>
      </c>
      <c r="T75" s="1491"/>
      <c r="U75" s="1491"/>
      <c r="V75" s="1491"/>
      <c r="W75" s="1491"/>
      <c r="X75" s="42" t="s">
        <v>1791</v>
      </c>
      <c r="Y75" s="1347">
        <v>3</v>
      </c>
      <c r="Z75" s="1351"/>
      <c r="AA75" s="1352"/>
      <c r="AB75" s="1549" t="s">
        <v>1793</v>
      </c>
      <c r="AC75" s="1550"/>
      <c r="AD75" s="1551"/>
      <c r="AE75" s="1365">
        <f>IF(I83&lt;AL3,"DOI&lt;2005",S75*Y75)</f>
        <v>0</v>
      </c>
      <c r="AF75" s="1365"/>
      <c r="AG75" s="1365"/>
      <c r="AH75" s="1365"/>
      <c r="AI75" s="63"/>
      <c r="AJ75" s="63"/>
      <c r="AK75" s="63"/>
      <c r="AL75" s="23">
        <f>IF(AND(AM75=1,I71&gt;0),"Right",IF(AND(AM75=1,I72&gt;0),"Left",0))</f>
        <v>0</v>
      </c>
      <c r="AM75" s="1169">
        <f>IF(AND(I71=0,I72=0),0,IF(OR(I71=0,I72=0),1,IF(Q73&gt;S79,2,3)))</f>
        <v>0</v>
      </c>
      <c r="AN75" s="14" t="s">
        <v>2179</v>
      </c>
      <c r="AO75" s="7"/>
      <c r="AP75" s="7"/>
      <c r="AQ75" s="7"/>
      <c r="AR75" s="7"/>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c r="DW75" s="63"/>
      <c r="DX75" s="63"/>
      <c r="DY75" s="63"/>
      <c r="DZ75" s="63"/>
      <c r="EA75" s="63"/>
      <c r="EB75" s="63"/>
      <c r="EC75" s="63"/>
      <c r="ED75" s="63"/>
      <c r="EE75" s="63"/>
      <c r="EF75" s="63"/>
      <c r="EG75" s="63"/>
      <c r="EH75" s="63"/>
      <c r="EI75" s="63"/>
      <c r="EJ75" s="63"/>
      <c r="EK75" s="63"/>
      <c r="EL75" s="63"/>
      <c r="EM75" s="63"/>
      <c r="EN75" s="63"/>
      <c r="EO75" s="63"/>
      <c r="EP75" s="63"/>
      <c r="EQ75" s="63"/>
      <c r="ER75" s="63"/>
      <c r="ES75" s="63"/>
      <c r="ET75" s="63"/>
      <c r="EU75" s="63"/>
      <c r="EV75" s="63"/>
      <c r="EW75" s="63"/>
      <c r="EX75" s="63"/>
      <c r="EY75" s="63"/>
      <c r="EZ75" s="63"/>
      <c r="FA75" s="63"/>
      <c r="FB75" s="63"/>
      <c r="FC75" s="63"/>
      <c r="FD75" s="63"/>
      <c r="FE75" s="63"/>
      <c r="FF75" s="63"/>
      <c r="FG75" s="63"/>
      <c r="FH75" s="63"/>
      <c r="FI75" s="63"/>
      <c r="FJ75" s="63"/>
      <c r="FK75" s="63"/>
      <c r="FL75" s="63"/>
      <c r="FM75" s="63"/>
      <c r="FN75" s="63"/>
      <c r="FO75" s="63"/>
      <c r="FP75" s="63"/>
      <c r="FQ75" s="63"/>
      <c r="FR75" s="63"/>
      <c r="FS75" s="63"/>
      <c r="FT75" s="63"/>
      <c r="FU75" s="63"/>
      <c r="FV75" s="63"/>
      <c r="FW75" s="63"/>
      <c r="FX75" s="63"/>
      <c r="FY75" s="63"/>
      <c r="FZ75" s="63"/>
      <c r="GA75" s="63"/>
      <c r="GB75" s="63"/>
      <c r="GC75" s="63"/>
      <c r="GD75" s="63"/>
      <c r="GE75" s="63"/>
      <c r="GF75" s="63"/>
      <c r="GG75" s="63"/>
      <c r="GH75" s="63"/>
      <c r="GI75" s="63"/>
      <c r="GJ75" s="63"/>
      <c r="GK75" s="63"/>
    </row>
    <row r="76" spans="2:193" ht="18" customHeight="1" x14ac:dyDescent="0.2">
      <c r="B76" s="1410" t="s">
        <v>750</v>
      </c>
      <c r="C76" s="1410"/>
      <c r="D76" s="1410"/>
      <c r="E76" s="1410"/>
      <c r="F76" s="1410"/>
      <c r="G76" s="1410"/>
      <c r="H76" s="1410"/>
      <c r="I76" s="1410"/>
      <c r="J76" s="1410"/>
      <c r="K76" s="1410"/>
      <c r="L76" s="1410"/>
      <c r="M76" s="1410"/>
      <c r="N76" s="1410"/>
      <c r="O76" s="1410"/>
      <c r="P76" s="1410"/>
      <c r="Q76" s="1410"/>
      <c r="R76" s="1410"/>
      <c r="S76" s="1491">
        <f>AE75</f>
        <v>0</v>
      </c>
      <c r="T76" s="1491"/>
      <c r="U76" s="1491"/>
      <c r="V76" s="1491"/>
      <c r="W76" s="1491"/>
      <c r="X76" s="267" t="s">
        <v>1091</v>
      </c>
      <c r="Y76" s="1421">
        <f>IF(I83&lt;AL3,"DOI&lt;2005",IF(S75=0,0,MAX(I71,I72)))</f>
        <v>0</v>
      </c>
      <c r="Z76" s="1508"/>
      <c r="AA76" s="1509"/>
      <c r="AB76" s="1549" t="s">
        <v>1793</v>
      </c>
      <c r="AC76" s="1550"/>
      <c r="AD76" s="1551"/>
      <c r="AE76" s="1491">
        <f>IF(I83&lt;AL3,"DOI&lt;2005",S76+Y76)</f>
        <v>0</v>
      </c>
      <c r="AF76" s="1491"/>
      <c r="AG76" s="1491"/>
      <c r="AH76" s="1491"/>
      <c r="AI76" s="63"/>
      <c r="AJ76" s="63"/>
      <c r="AK76" s="63"/>
      <c r="AL76" s="14" t="s">
        <v>1094</v>
      </c>
      <c r="AM76" s="7"/>
      <c r="AN76" s="7"/>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c r="DW76" s="63"/>
      <c r="DX76" s="63"/>
      <c r="DY76" s="63"/>
      <c r="DZ76" s="63"/>
      <c r="EA76" s="63"/>
      <c r="EB76" s="63"/>
      <c r="EC76" s="63"/>
      <c r="ED76" s="63"/>
      <c r="EE76" s="63"/>
      <c r="EF76" s="63"/>
      <c r="EG76" s="63"/>
      <c r="EH76" s="63"/>
      <c r="EI76" s="63"/>
      <c r="EJ76" s="63"/>
      <c r="EK76" s="63"/>
      <c r="EL76" s="63"/>
      <c r="EM76" s="63"/>
      <c r="EN76" s="63"/>
      <c r="EO76" s="63"/>
      <c r="EP76" s="63"/>
      <c r="EQ76" s="63"/>
      <c r="ER76" s="63"/>
      <c r="ES76" s="63"/>
      <c r="ET76" s="63"/>
      <c r="EU76" s="63"/>
      <c r="EV76" s="63"/>
      <c r="EW76" s="63"/>
      <c r="EX76" s="63"/>
      <c r="EY76" s="63"/>
      <c r="EZ76" s="63"/>
      <c r="FA76" s="63"/>
      <c r="FB76" s="63"/>
      <c r="FC76" s="63"/>
      <c r="FD76" s="63"/>
      <c r="FE76" s="63"/>
      <c r="FF76" s="63"/>
      <c r="FG76" s="63"/>
      <c r="FH76" s="63"/>
      <c r="FI76" s="63"/>
      <c r="FJ76" s="63"/>
      <c r="FK76" s="63"/>
      <c r="FL76" s="63"/>
      <c r="FM76" s="63"/>
      <c r="FN76" s="63"/>
      <c r="FO76" s="63"/>
      <c r="FP76" s="63"/>
      <c r="FQ76" s="63"/>
      <c r="FR76" s="63"/>
      <c r="FS76" s="63"/>
      <c r="FT76" s="63"/>
      <c r="FU76" s="63"/>
      <c r="FV76" s="63"/>
      <c r="FW76" s="63"/>
      <c r="FX76" s="63"/>
      <c r="FY76" s="63"/>
      <c r="FZ76" s="63"/>
      <c r="GA76" s="63"/>
      <c r="GB76" s="63"/>
      <c r="GC76" s="63"/>
      <c r="GD76" s="63"/>
      <c r="GE76" s="63"/>
      <c r="GF76" s="63"/>
      <c r="GG76" s="63"/>
      <c r="GH76" s="63"/>
      <c r="GI76" s="63"/>
      <c r="GJ76" s="63"/>
      <c r="GK76" s="63"/>
    </row>
    <row r="77" spans="2:193" ht="18" customHeight="1" x14ac:dyDescent="0.2">
      <c r="B77" s="1410" t="s">
        <v>751</v>
      </c>
      <c r="C77" s="1410"/>
      <c r="D77" s="1410"/>
      <c r="E77" s="1410"/>
      <c r="F77" s="1410"/>
      <c r="G77" s="1410"/>
      <c r="H77" s="1410"/>
      <c r="I77" s="1410"/>
      <c r="J77" s="1410"/>
      <c r="K77" s="1410"/>
      <c r="L77" s="1410"/>
      <c r="M77" s="1410"/>
      <c r="N77" s="1410"/>
      <c r="O77" s="1410"/>
      <c r="P77" s="1410"/>
      <c r="Q77" s="1410"/>
      <c r="R77" s="1410"/>
      <c r="S77" s="2191">
        <f>AE76</f>
        <v>0</v>
      </c>
      <c r="T77" s="2191"/>
      <c r="U77" s="2191"/>
      <c r="V77" s="2191"/>
      <c r="W77" s="2191"/>
      <c r="X77" s="268" t="s">
        <v>481</v>
      </c>
      <c r="Y77" s="2192">
        <v>4</v>
      </c>
      <c r="Z77" s="2193"/>
      <c r="AA77" s="2194"/>
      <c r="AB77" s="1549" t="s">
        <v>1793</v>
      </c>
      <c r="AC77" s="1550"/>
      <c r="AD77" s="1551"/>
      <c r="AE77" s="2241">
        <f>IF(I83&lt;AL3,"DOI&lt;2005",S77/Y77)</f>
        <v>0</v>
      </c>
      <c r="AF77" s="2241"/>
      <c r="AG77" s="2241"/>
      <c r="AH77" s="2241"/>
      <c r="AI77" s="63"/>
      <c r="AJ77" s="63"/>
      <c r="AK77" s="63"/>
      <c r="AL77" s="35" t="s">
        <v>1095</v>
      </c>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c r="DW77" s="63"/>
      <c r="DX77" s="63"/>
      <c r="DY77" s="63"/>
      <c r="DZ77" s="63"/>
      <c r="EA77" s="63"/>
      <c r="EB77" s="63"/>
      <c r="EC77" s="63"/>
      <c r="ED77" s="63"/>
      <c r="EE77" s="63"/>
      <c r="EF77" s="63"/>
      <c r="EG77" s="63"/>
      <c r="EH77" s="63"/>
      <c r="EI77" s="63"/>
      <c r="EJ77" s="63"/>
      <c r="EK77" s="63"/>
      <c r="EL77" s="63"/>
      <c r="EM77" s="63"/>
      <c r="EN77" s="63"/>
      <c r="EO77" s="63"/>
      <c r="EP77" s="63"/>
      <c r="EQ77" s="63"/>
      <c r="ER77" s="63"/>
      <c r="ES77" s="63"/>
      <c r="ET77" s="63"/>
      <c r="EU77" s="63"/>
      <c r="EV77" s="63"/>
      <c r="EW77" s="63"/>
      <c r="EX77" s="63"/>
      <c r="EY77" s="63"/>
      <c r="EZ77" s="63"/>
      <c r="FA77" s="63"/>
      <c r="FB77" s="63"/>
      <c r="FC77" s="63"/>
      <c r="FD77" s="63"/>
      <c r="FE77" s="63"/>
      <c r="FF77" s="63"/>
      <c r="FG77" s="63"/>
      <c r="FH77" s="63"/>
      <c r="FI77" s="63"/>
      <c r="FJ77" s="63"/>
      <c r="FK77" s="63"/>
      <c r="FL77" s="63"/>
      <c r="FM77" s="63"/>
      <c r="FN77" s="63"/>
      <c r="FO77" s="63"/>
      <c r="FP77" s="63"/>
      <c r="FQ77" s="63"/>
      <c r="FR77" s="63"/>
      <c r="FS77" s="63"/>
      <c r="FT77" s="63"/>
      <c r="FU77" s="63"/>
      <c r="FV77" s="63"/>
      <c r="FW77" s="63"/>
      <c r="FX77" s="63"/>
      <c r="FY77" s="63"/>
      <c r="FZ77" s="63"/>
      <c r="GA77" s="63"/>
      <c r="GB77" s="63"/>
      <c r="GC77" s="63"/>
      <c r="GD77" s="63"/>
      <c r="GE77" s="63"/>
      <c r="GF77" s="63"/>
      <c r="GG77" s="63"/>
      <c r="GH77" s="63"/>
      <c r="GI77" s="63"/>
      <c r="GJ77" s="63"/>
      <c r="GK77" s="63"/>
    </row>
    <row r="78" spans="2:193" ht="18" customHeight="1" x14ac:dyDescent="0.2">
      <c r="B78" s="1362" t="s">
        <v>1086</v>
      </c>
      <c r="C78" s="1363"/>
      <c r="D78" s="1363"/>
      <c r="E78" s="1363"/>
      <c r="F78" s="1363"/>
      <c r="G78" s="1363"/>
      <c r="H78" s="1363"/>
      <c r="I78" s="1363"/>
      <c r="J78" s="1363"/>
      <c r="K78" s="1363"/>
      <c r="L78" s="1363"/>
      <c r="M78" s="1363"/>
      <c r="N78" s="1363"/>
      <c r="O78" s="1363"/>
      <c r="P78" s="1363"/>
      <c r="Q78" s="1363"/>
      <c r="R78" s="1364"/>
      <c r="S78" s="1491">
        <f>AE77</f>
        <v>0</v>
      </c>
      <c r="T78" s="1491"/>
      <c r="U78" s="1491"/>
      <c r="V78" s="1491"/>
      <c r="W78" s="1491"/>
      <c r="X78" s="42" t="s">
        <v>1791</v>
      </c>
      <c r="Y78" s="1342">
        <v>0.94</v>
      </c>
      <c r="Z78" s="1343"/>
      <c r="AA78" s="1343"/>
      <c r="AB78" s="1555" t="s">
        <v>1793</v>
      </c>
      <c r="AC78" s="1555"/>
      <c r="AD78" s="1555"/>
      <c r="AE78" s="2092">
        <f>IF(I83&lt;AL3,"DOI&lt;2005",IF(AND(S78*Y78&gt;0,S78*Y78&lt;0.01),0.01,ROUND(S78*Y78,2)))</f>
        <v>0</v>
      </c>
      <c r="AF78" s="2187"/>
      <c r="AG78" s="2187"/>
      <c r="AH78" s="2093"/>
      <c r="AI78" s="63"/>
      <c r="AJ78" s="63"/>
      <c r="AK78" s="63"/>
      <c r="AL78" s="14"/>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3"/>
      <c r="ET78" s="63"/>
      <c r="EU78" s="63"/>
      <c r="EV78" s="63"/>
      <c r="EW78" s="63"/>
      <c r="EX78" s="63"/>
      <c r="EY78" s="63"/>
      <c r="EZ78" s="63"/>
      <c r="FA78" s="63"/>
      <c r="FB78" s="63"/>
      <c r="FC78" s="63"/>
      <c r="FD78" s="63"/>
      <c r="FE78" s="63"/>
      <c r="FF78" s="63"/>
      <c r="FG78" s="63"/>
      <c r="FH78" s="63"/>
      <c r="FI78" s="63"/>
      <c r="FJ78" s="63"/>
      <c r="FK78" s="63"/>
      <c r="FL78" s="63"/>
      <c r="FM78" s="63"/>
      <c r="FN78" s="63"/>
      <c r="FO78" s="63"/>
      <c r="FP78" s="63"/>
      <c r="FQ78" s="63"/>
      <c r="FR78" s="63"/>
      <c r="FS78" s="63"/>
      <c r="FT78" s="63"/>
      <c r="FU78" s="63"/>
      <c r="FV78" s="63"/>
      <c r="FW78" s="63"/>
      <c r="FX78" s="63"/>
      <c r="FY78" s="63"/>
      <c r="FZ78" s="63"/>
      <c r="GA78" s="63"/>
      <c r="GB78" s="63"/>
      <c r="GC78" s="63"/>
      <c r="GD78" s="63"/>
      <c r="GE78" s="63"/>
      <c r="GF78" s="63"/>
      <c r="GG78" s="63"/>
      <c r="GH78" s="63"/>
      <c r="GI78" s="63"/>
      <c r="GJ78" s="63"/>
      <c r="GK78" s="63"/>
    </row>
    <row r="79" spans="2:193" ht="27" customHeight="1" x14ac:dyDescent="0.2">
      <c r="B79" s="1379" t="s">
        <v>1114</v>
      </c>
      <c r="C79" s="1379"/>
      <c r="D79" s="1379"/>
      <c r="E79" s="1379"/>
      <c r="F79" s="1379"/>
      <c r="G79" s="1379"/>
      <c r="H79" s="1379"/>
      <c r="I79" s="1379"/>
      <c r="J79" s="1379"/>
      <c r="K79" s="1379"/>
      <c r="L79" s="1379"/>
      <c r="M79" s="1379"/>
      <c r="N79" s="1379"/>
      <c r="O79" s="1379"/>
      <c r="P79" s="1379"/>
      <c r="Q79" s="1379"/>
      <c r="R79" s="1379"/>
      <c r="S79" s="1728">
        <f>AE78</f>
        <v>0</v>
      </c>
      <c r="T79" s="2188"/>
      <c r="U79" s="2188"/>
      <c r="V79" s="2188"/>
      <c r="W79" s="1846"/>
      <c r="X79" s="42" t="s">
        <v>1791</v>
      </c>
      <c r="Y79" s="1674">
        <f>SAWW!D6</f>
        <v>0</v>
      </c>
      <c r="Z79" s="1674"/>
      <c r="AA79" s="1674"/>
      <c r="AB79" s="1555" t="s">
        <v>603</v>
      </c>
      <c r="AC79" s="1555"/>
      <c r="AD79" s="1555"/>
      <c r="AE79" s="2170">
        <f>IF(I83&lt;AL3,"DOI&lt;2005",ROUND(S79*Y79*100,2))</f>
        <v>0</v>
      </c>
      <c r="AF79" s="2170"/>
      <c r="AG79" s="2170"/>
      <c r="AH79" s="2170"/>
      <c r="AI79" s="63"/>
      <c r="AJ79" s="63"/>
      <c r="AK79" s="63"/>
      <c r="AL79" s="14"/>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3"/>
      <c r="ET79" s="63"/>
      <c r="EU79" s="63"/>
      <c r="EV79" s="63"/>
      <c r="EW79" s="63"/>
      <c r="EX79" s="63"/>
      <c r="EY79" s="63"/>
      <c r="EZ79" s="63"/>
      <c r="FA79" s="63"/>
      <c r="FB79" s="63"/>
      <c r="FC79" s="63"/>
      <c r="FD79" s="63"/>
      <c r="FE79" s="63"/>
      <c r="FF79" s="63"/>
      <c r="FG79" s="63"/>
      <c r="FH79" s="63"/>
      <c r="FI79" s="63"/>
      <c r="FJ79" s="63"/>
      <c r="FK79" s="63"/>
      <c r="FL79" s="63"/>
      <c r="FM79" s="63"/>
      <c r="FN79" s="63"/>
      <c r="FO79" s="63"/>
      <c r="FP79" s="63"/>
      <c r="FQ79" s="63"/>
      <c r="FR79" s="63"/>
      <c r="FS79" s="63"/>
      <c r="FT79" s="63"/>
      <c r="FU79" s="63"/>
      <c r="FV79" s="63"/>
      <c r="FW79" s="63"/>
      <c r="FX79" s="63"/>
      <c r="FY79" s="63"/>
      <c r="FZ79" s="63"/>
      <c r="GA79" s="63"/>
      <c r="GB79" s="63"/>
      <c r="GC79" s="63"/>
      <c r="GD79" s="63"/>
      <c r="GE79" s="63"/>
      <c r="GF79" s="63"/>
      <c r="GG79" s="63"/>
      <c r="GH79" s="63"/>
      <c r="GI79" s="63"/>
      <c r="GJ79" s="63"/>
      <c r="GK79" s="63"/>
    </row>
    <row r="80" spans="2:193" ht="18" customHeight="1" x14ac:dyDescent="0.2">
      <c r="B80" s="2189" t="str">
        <f>IF(OR(I83&lt;AL3,S75=0),"",IF(AE73&gt;AE79,AL76,IF(AE80&gt;=AE73,AL77,"")))</f>
        <v/>
      </c>
      <c r="C80" s="2189"/>
      <c r="D80" s="2189"/>
      <c r="E80" s="2189"/>
      <c r="F80" s="2189"/>
      <c r="G80" s="2189"/>
      <c r="H80" s="2189"/>
      <c r="I80" s="2189"/>
      <c r="J80" s="2189"/>
      <c r="K80" s="2189"/>
      <c r="L80" s="2189"/>
      <c r="M80" s="2189"/>
      <c r="N80" s="2189"/>
      <c r="O80" s="2189"/>
      <c r="P80" s="2189"/>
      <c r="Q80" s="2189"/>
      <c r="R80" s="2189"/>
      <c r="S80" s="2189"/>
      <c r="T80" s="2189"/>
      <c r="U80" s="2189"/>
      <c r="V80" s="2189"/>
      <c r="W80" s="2189"/>
      <c r="X80" s="2189"/>
      <c r="Y80" s="2189"/>
      <c r="Z80" s="2189"/>
      <c r="AA80" s="2189"/>
      <c r="AB80" s="2189"/>
      <c r="AC80" s="2189"/>
      <c r="AD80" s="2189"/>
      <c r="AE80" s="2190">
        <f>IF(I83&lt;AL3,"DOI&lt;2005",IF(S75=0,0,MAX(AE73,AE79)))</f>
        <v>0</v>
      </c>
      <c r="AF80" s="2170"/>
      <c r="AG80" s="2170"/>
      <c r="AH80" s="2170"/>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3"/>
      <c r="ET80" s="63"/>
      <c r="EU80" s="63"/>
      <c r="EV80" s="63"/>
      <c r="EW80" s="63"/>
      <c r="EX80" s="63"/>
      <c r="EY80" s="63"/>
      <c r="EZ80" s="63"/>
      <c r="FA80" s="63"/>
      <c r="FB80" s="63"/>
      <c r="FC80" s="63"/>
      <c r="FD80" s="63"/>
      <c r="FE80" s="63"/>
      <c r="FF80" s="63"/>
      <c r="FG80" s="63"/>
      <c r="FH80" s="63"/>
      <c r="FI80" s="63"/>
      <c r="FJ80" s="63"/>
      <c r="FK80" s="63"/>
      <c r="FL80" s="63"/>
      <c r="FM80" s="63"/>
      <c r="FN80" s="63"/>
      <c r="FO80" s="63"/>
      <c r="FP80" s="63"/>
      <c r="FQ80" s="63"/>
      <c r="FR80" s="63"/>
      <c r="FS80" s="63"/>
      <c r="FT80" s="63"/>
      <c r="FU80" s="63"/>
      <c r="FV80" s="63"/>
      <c r="FW80" s="63"/>
      <c r="FX80" s="63"/>
      <c r="FY80" s="63"/>
      <c r="FZ80" s="63"/>
      <c r="GA80" s="63"/>
      <c r="GB80" s="63"/>
      <c r="GC80" s="63"/>
      <c r="GD80" s="63"/>
      <c r="GE80" s="63"/>
      <c r="GF80" s="63"/>
      <c r="GG80" s="63"/>
      <c r="GH80" s="63"/>
      <c r="GI80" s="63"/>
      <c r="GJ80" s="63"/>
      <c r="GK80" s="63"/>
    </row>
    <row r="81" spans="1:193" ht="18" customHeight="1" x14ac:dyDescent="0.2">
      <c r="B81" s="47"/>
      <c r="C81" s="47"/>
      <c r="D81" s="47"/>
      <c r="E81" s="47"/>
      <c r="F81" s="47"/>
      <c r="G81" s="47"/>
      <c r="H81" s="47"/>
      <c r="I81" s="47"/>
      <c r="J81" s="47"/>
      <c r="K81" s="47"/>
      <c r="L81" s="47"/>
      <c r="M81" s="47"/>
      <c r="N81" s="47"/>
      <c r="O81" s="194"/>
      <c r="P81" s="194"/>
      <c r="Q81" s="194"/>
      <c r="R81" s="194"/>
      <c r="S81" s="194"/>
      <c r="T81" s="127"/>
      <c r="U81" s="127"/>
      <c r="V81" s="127"/>
      <c r="W81" s="127"/>
      <c r="X81" s="127"/>
      <c r="Y81" s="127"/>
      <c r="Z81" s="127"/>
      <c r="AA81" s="127"/>
      <c r="AB81" s="127"/>
      <c r="AC81" s="127"/>
      <c r="AD81" s="193"/>
      <c r="AE81" s="193"/>
      <c r="AF81" s="193"/>
      <c r="AG81" s="193"/>
      <c r="AH81" s="19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3"/>
      <c r="ET81" s="63"/>
      <c r="EU81" s="63"/>
      <c r="EV81" s="63"/>
      <c r="EW81" s="63"/>
      <c r="EX81" s="63"/>
      <c r="EY81" s="63"/>
      <c r="EZ81" s="63"/>
      <c r="FA81" s="63"/>
      <c r="FB81" s="63"/>
      <c r="FC81" s="63"/>
      <c r="FD81" s="63"/>
      <c r="FE81" s="63"/>
      <c r="FF81" s="63"/>
      <c r="FG81" s="63"/>
      <c r="FH81" s="63"/>
      <c r="FI81" s="63"/>
      <c r="FJ81" s="63"/>
      <c r="FK81" s="63"/>
      <c r="FL81" s="63"/>
      <c r="FM81" s="63"/>
      <c r="FN81" s="63"/>
      <c r="FO81" s="63"/>
      <c r="FP81" s="63"/>
      <c r="FQ81" s="63"/>
      <c r="FR81" s="63"/>
      <c r="FS81" s="63"/>
      <c r="FT81" s="63"/>
      <c r="FU81" s="63"/>
      <c r="FV81" s="63"/>
      <c r="FW81" s="63"/>
      <c r="FX81" s="63"/>
      <c r="FY81" s="63"/>
      <c r="FZ81" s="63"/>
      <c r="GA81" s="63"/>
      <c r="GB81" s="63"/>
      <c r="GC81" s="63"/>
      <c r="GD81" s="63"/>
      <c r="GE81" s="63"/>
      <c r="GF81" s="63"/>
      <c r="GG81" s="63"/>
      <c r="GH81" s="63"/>
      <c r="GI81" s="63"/>
      <c r="GJ81" s="63"/>
      <c r="GK81" s="63"/>
    </row>
    <row r="82" spans="1:193" ht="31.5" customHeight="1" x14ac:dyDescent="0.2">
      <c r="B82" s="1519" t="s">
        <v>879</v>
      </c>
      <c r="C82" s="1520"/>
      <c r="D82" s="1520"/>
      <c r="E82" s="1520"/>
      <c r="F82" s="1520"/>
      <c r="G82" s="1520"/>
      <c r="H82" s="1520"/>
      <c r="I82" s="1520"/>
      <c r="J82" s="1520"/>
      <c r="K82" s="1520"/>
      <c r="L82" s="1520"/>
      <c r="M82" s="1520"/>
      <c r="N82" s="1520"/>
      <c r="O82" s="1520"/>
      <c r="P82" s="1520"/>
      <c r="Q82" s="1520"/>
      <c r="R82" s="1520"/>
      <c r="S82" s="1520"/>
      <c r="T82" s="1520"/>
      <c r="U82" s="1520"/>
      <c r="V82" s="1520"/>
      <c r="W82" s="1520"/>
      <c r="X82" s="1520"/>
      <c r="Y82" s="1520"/>
      <c r="Z82" s="1520"/>
      <c r="AA82" s="1520"/>
      <c r="AB82" s="1520"/>
      <c r="AC82" s="1520"/>
      <c r="AD82" s="1520"/>
      <c r="AE82" s="1520"/>
      <c r="AF82" s="1520"/>
      <c r="AG82" s="1520"/>
      <c r="AH82" s="1521"/>
      <c r="AI82" s="63"/>
      <c r="AJ82" s="63"/>
      <c r="AK82" s="63"/>
      <c r="AL82" s="270"/>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3"/>
      <c r="ET82" s="63"/>
      <c r="EU82" s="63"/>
      <c r="EV82" s="63"/>
      <c r="EW82" s="63"/>
      <c r="EX82" s="63"/>
      <c r="EY82" s="63"/>
      <c r="EZ82" s="63"/>
      <c r="FA82" s="63"/>
      <c r="FB82" s="63"/>
      <c r="FC82" s="63"/>
      <c r="FD82" s="63"/>
      <c r="FE82" s="63"/>
      <c r="FF82" s="63"/>
      <c r="FG82" s="63"/>
      <c r="FH82" s="63"/>
      <c r="FI82" s="63"/>
      <c r="FJ82" s="63"/>
      <c r="FK82" s="63"/>
      <c r="FL82" s="63"/>
      <c r="FM82" s="63"/>
      <c r="FN82" s="63"/>
      <c r="FO82" s="63"/>
      <c r="FP82" s="63"/>
      <c r="FQ82" s="63"/>
      <c r="FR82" s="63"/>
      <c r="FS82" s="63"/>
      <c r="FT82" s="63"/>
      <c r="FU82" s="63"/>
      <c r="FV82" s="63"/>
      <c r="FW82" s="63"/>
      <c r="FX82" s="63"/>
      <c r="FY82" s="63"/>
      <c r="FZ82" s="63"/>
      <c r="GA82" s="63"/>
      <c r="GB82" s="63"/>
      <c r="GC82" s="63"/>
      <c r="GD82" s="63"/>
      <c r="GE82" s="63"/>
      <c r="GF82" s="63"/>
      <c r="GG82" s="63"/>
      <c r="GH82" s="63"/>
      <c r="GI82" s="63"/>
      <c r="GJ82" s="63"/>
      <c r="GK82" s="63"/>
    </row>
    <row r="83" spans="1:193" ht="18.75" customHeight="1" x14ac:dyDescent="0.25">
      <c r="A83" s="8"/>
      <c r="B83" s="348" t="s">
        <v>1189</v>
      </c>
      <c r="C83" s="276"/>
      <c r="D83" s="276"/>
      <c r="E83" s="276"/>
      <c r="F83" s="276"/>
      <c r="G83" s="276"/>
      <c r="H83" s="276"/>
      <c r="I83" s="2024" t="str">
        <f>IF('Start here'!A8="","",'Start here'!A8)</f>
        <v/>
      </c>
      <c r="J83" s="2164"/>
      <c r="K83" s="2164"/>
      <c r="L83" s="2165"/>
      <c r="M83" s="2250" t="str">
        <f>IF(I83="","Enter date of injury on 'Start here' worksheet.","")</f>
        <v>Enter date of injury on 'Start here' worksheet.</v>
      </c>
      <c r="N83" s="2251"/>
      <c r="O83" s="2251"/>
      <c r="P83" s="2251"/>
      <c r="Q83" s="2251"/>
      <c r="R83" s="2251"/>
      <c r="S83" s="2251"/>
      <c r="T83" s="2251"/>
      <c r="U83" s="2251"/>
      <c r="V83" s="2251"/>
      <c r="W83" s="2251"/>
      <c r="X83" s="2251"/>
      <c r="Y83" s="2251"/>
      <c r="Z83" s="2251"/>
      <c r="AA83" s="2251"/>
      <c r="AB83" s="2251"/>
      <c r="AC83" s="2251"/>
      <c r="AD83" s="2251"/>
      <c r="AE83" s="2251"/>
      <c r="AF83" s="2251"/>
      <c r="AG83" s="2251"/>
      <c r="AH83" s="2252"/>
      <c r="AI83" s="60"/>
      <c r="AJ83" s="60"/>
      <c r="AK83" s="60"/>
      <c r="AL83" s="60"/>
      <c r="AM83" s="60"/>
      <c r="AN83" s="60"/>
      <c r="AO83" s="60"/>
      <c r="AP83" s="60"/>
      <c r="AQ83" s="60"/>
      <c r="AR83" s="60"/>
      <c r="AS83" s="60"/>
      <c r="AT83" s="60"/>
      <c r="AU83" s="60"/>
      <c r="AV83" s="60"/>
      <c r="AW83" s="60"/>
      <c r="AX83" s="60"/>
      <c r="AY83" s="60"/>
      <c r="AZ83" s="60"/>
      <c r="BA83" s="60"/>
      <c r="BB83" s="60"/>
      <c r="BC83" s="60"/>
      <c r="BD83" s="60"/>
      <c r="BE83" s="60"/>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row>
    <row r="84" spans="1:193" ht="27.75" customHeight="1" x14ac:dyDescent="0.2">
      <c r="B84" s="2095" t="s">
        <v>1085</v>
      </c>
      <c r="C84" s="2096"/>
      <c r="D84" s="2096"/>
      <c r="E84" s="2096"/>
      <c r="F84" s="2096"/>
      <c r="G84" s="2096"/>
      <c r="H84" s="2096"/>
      <c r="I84" s="2096"/>
      <c r="J84" s="2096"/>
      <c r="K84" s="2096"/>
      <c r="L84" s="2097"/>
      <c r="M84" s="1557" t="s">
        <v>1796</v>
      </c>
      <c r="N84" s="1557"/>
      <c r="O84" s="1557"/>
      <c r="P84" s="1557"/>
      <c r="Q84" s="393"/>
      <c r="R84" s="1792" t="s">
        <v>104</v>
      </c>
      <c r="S84" s="1792"/>
      <c r="T84" s="1792"/>
      <c r="U84" s="393"/>
      <c r="V84" s="1557" t="s">
        <v>365</v>
      </c>
      <c r="W84" s="1557"/>
      <c r="X84" s="1557"/>
      <c r="Y84" s="185"/>
      <c r="Z84" s="1557" t="s">
        <v>1890</v>
      </c>
      <c r="AA84" s="1557"/>
      <c r="AB84" s="1557"/>
      <c r="AC84" s="1557"/>
      <c r="AD84" s="393"/>
      <c r="AE84" s="1487" t="s">
        <v>1192</v>
      </c>
      <c r="AF84" s="1487"/>
      <c r="AG84" s="1487"/>
      <c r="AH84" s="1487"/>
      <c r="AI84" s="63"/>
      <c r="AJ84" s="63"/>
      <c r="AK84" s="63"/>
      <c r="AL84" s="89"/>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3"/>
      <c r="ET84" s="63"/>
      <c r="EU84" s="63"/>
      <c r="EV84" s="63"/>
      <c r="EW84" s="63"/>
      <c r="EX84" s="63"/>
      <c r="EY84" s="63"/>
      <c r="EZ84" s="63"/>
      <c r="FA84" s="63"/>
      <c r="FB84" s="63"/>
      <c r="FC84" s="63"/>
      <c r="FD84" s="63"/>
      <c r="FE84" s="63"/>
      <c r="FF84" s="63"/>
      <c r="FG84" s="63"/>
      <c r="FH84" s="63"/>
      <c r="FI84" s="63"/>
      <c r="FJ84" s="63"/>
      <c r="FK84" s="63"/>
      <c r="FL84" s="63"/>
      <c r="FM84" s="63"/>
      <c r="FN84" s="63"/>
      <c r="FO84" s="63"/>
      <c r="FP84" s="63"/>
      <c r="FQ84" s="63"/>
      <c r="FR84" s="63"/>
      <c r="FS84" s="63"/>
      <c r="FT84" s="63"/>
      <c r="FU84" s="63"/>
      <c r="FV84" s="63"/>
      <c r="FW84" s="63"/>
      <c r="FX84" s="63"/>
      <c r="FY84" s="63"/>
      <c r="FZ84" s="63"/>
      <c r="GA84" s="63"/>
      <c r="GB84" s="63"/>
      <c r="GC84" s="63"/>
      <c r="GD84" s="63"/>
      <c r="GE84" s="63"/>
      <c r="GF84" s="63"/>
      <c r="GG84" s="63"/>
      <c r="GH84" s="63"/>
      <c r="GI84" s="63"/>
      <c r="GJ84" s="63"/>
      <c r="GK84" s="63"/>
    </row>
    <row r="85" spans="1:193" ht="18" customHeight="1" x14ac:dyDescent="0.2">
      <c r="B85" s="1410" t="s">
        <v>1115</v>
      </c>
      <c r="C85" s="1410"/>
      <c r="D85" s="1410"/>
      <c r="E85" s="1410"/>
      <c r="F85" s="1410"/>
      <c r="G85" s="1410"/>
      <c r="H85" s="1410"/>
      <c r="I85" s="1410"/>
      <c r="J85" s="1410"/>
      <c r="K85" s="1410"/>
      <c r="L85" s="1410"/>
      <c r="M85" s="1373">
        <f>IF(I83="",0,IF(I83&gt;=AL3,"DOI&gt;2004",IF(AND(AP70&gt;0,AP70&lt;0.01),0.01,ROUND(AP70,2))))</f>
        <v>0</v>
      </c>
      <c r="N85" s="1373"/>
      <c r="O85" s="1373"/>
      <c r="P85" s="1373"/>
      <c r="Q85" s="23" t="s">
        <v>1791</v>
      </c>
      <c r="R85" s="1346">
        <v>100</v>
      </c>
      <c r="S85" s="1346"/>
      <c r="T85" s="1346"/>
      <c r="U85" s="23" t="s">
        <v>1793</v>
      </c>
      <c r="V85" s="1468">
        <f>IF(I83="",0,IF(I83&gt;=AL3,"DOI&gt;2004",ROUND(M85*R85,2)))</f>
        <v>0</v>
      </c>
      <c r="W85" s="1468"/>
      <c r="X85" s="1468"/>
      <c r="Y85" s="23" t="s">
        <v>1791</v>
      </c>
      <c r="Z85" s="1522" t="e">
        <f>'Dol Per Deg'!H11</f>
        <v>#N/A</v>
      </c>
      <c r="AA85" s="1522"/>
      <c r="AB85" s="1522"/>
      <c r="AC85" s="1522"/>
      <c r="AD85" s="23" t="s">
        <v>1793</v>
      </c>
      <c r="AE85" s="2253">
        <f>IF(I83="",0,IF(I83&gt;=AL3,"DOI&gt;2004",ROUND(M85*R85*Z85,2)))</f>
        <v>0</v>
      </c>
      <c r="AF85" s="2253"/>
      <c r="AG85" s="2253"/>
      <c r="AH85" s="2253"/>
      <c r="AI85" s="63"/>
      <c r="AJ85" s="63"/>
      <c r="AK85" s="63"/>
      <c r="AL85" s="89"/>
      <c r="AM85" s="89"/>
      <c r="AN85" s="192"/>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3"/>
      <c r="ET85" s="63"/>
      <c r="EU85" s="63"/>
      <c r="EV85" s="63"/>
      <c r="EW85" s="63"/>
      <c r="EX85" s="63"/>
      <c r="EY85" s="63"/>
      <c r="EZ85" s="63"/>
      <c r="FA85" s="63"/>
      <c r="FB85" s="63"/>
      <c r="FC85" s="63"/>
      <c r="FD85" s="63"/>
      <c r="FE85" s="63"/>
      <c r="FF85" s="63"/>
      <c r="FG85" s="63"/>
      <c r="FH85" s="63"/>
      <c r="FI85" s="63"/>
      <c r="FJ85" s="63"/>
      <c r="FK85" s="63"/>
      <c r="FL85" s="63"/>
      <c r="FM85" s="63"/>
      <c r="FN85" s="63"/>
      <c r="FO85" s="63"/>
      <c r="FP85" s="63"/>
      <c r="FQ85" s="63"/>
      <c r="FR85" s="63"/>
      <c r="FS85" s="63"/>
      <c r="FT85" s="63"/>
      <c r="FU85" s="63"/>
      <c r="FV85" s="63"/>
      <c r="FW85" s="63"/>
      <c r="FX85" s="63"/>
      <c r="FY85" s="63"/>
      <c r="FZ85" s="63"/>
      <c r="GA85" s="63"/>
      <c r="GB85" s="63"/>
      <c r="GC85" s="63"/>
      <c r="GD85" s="63"/>
      <c r="GE85" s="63"/>
      <c r="GF85" s="63"/>
      <c r="GG85" s="63"/>
      <c r="GH85" s="63"/>
      <c r="GI85" s="63"/>
      <c r="GJ85" s="63"/>
      <c r="GK85" s="63"/>
    </row>
    <row r="86" spans="1:193" ht="18" customHeight="1" x14ac:dyDescent="0.2">
      <c r="B86" s="1410" t="s">
        <v>1116</v>
      </c>
      <c r="C86" s="1410"/>
      <c r="D86" s="1410"/>
      <c r="E86" s="1410"/>
      <c r="F86" s="1410"/>
      <c r="G86" s="1410"/>
      <c r="H86" s="1410"/>
      <c r="I86" s="1410"/>
      <c r="J86" s="1410"/>
      <c r="K86" s="1410"/>
      <c r="L86" s="1410"/>
      <c r="M86" s="1373">
        <f>IF(I83="",0,IF(I83&gt;=AL3,"DOI&gt;2004",IF(AND(AQ70&gt;0,AQ70&lt;0.01),0.01,ROUND(AQ70,2))))</f>
        <v>0</v>
      </c>
      <c r="N86" s="1373"/>
      <c r="O86" s="1373"/>
      <c r="P86" s="1373"/>
      <c r="Q86" s="23" t="s">
        <v>1791</v>
      </c>
      <c r="R86" s="1346">
        <v>100</v>
      </c>
      <c r="S86" s="1346"/>
      <c r="T86" s="1346"/>
      <c r="U86" s="23" t="s">
        <v>1793</v>
      </c>
      <c r="V86" s="1468">
        <f>IF(I83="",0,IF(I83&gt;=AL3,"DOI&gt;2004",ROUND(M86*R86,2)))</f>
        <v>0</v>
      </c>
      <c r="W86" s="1468"/>
      <c r="X86" s="1468"/>
      <c r="Y86" s="23" t="s">
        <v>1791</v>
      </c>
      <c r="Z86" s="1522" t="e">
        <f>'Dol Per Deg'!H11</f>
        <v>#N/A</v>
      </c>
      <c r="AA86" s="1522"/>
      <c r="AB86" s="1522"/>
      <c r="AC86" s="1522"/>
      <c r="AD86" s="23" t="s">
        <v>1793</v>
      </c>
      <c r="AE86" s="2253">
        <f>IF(I83="",0,IF(I83&gt;=AL3,"DOI&gt;2004",ROUND(M86*R86*Z86,2)))</f>
        <v>0</v>
      </c>
      <c r="AF86" s="2253"/>
      <c r="AG86" s="2253"/>
      <c r="AH86" s="2253"/>
      <c r="AI86" s="63"/>
      <c r="AJ86" s="63"/>
      <c r="AK86" s="63"/>
      <c r="AL86" s="89"/>
      <c r="AM86" s="89"/>
      <c r="AN86" s="192"/>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3"/>
      <c r="ET86" s="63"/>
      <c r="EU86" s="63"/>
      <c r="EV86" s="63"/>
      <c r="EW86" s="63"/>
      <c r="EX86" s="63"/>
      <c r="EY86" s="63"/>
      <c r="EZ86" s="63"/>
      <c r="FA86" s="63"/>
      <c r="FB86" s="63"/>
      <c r="FC86" s="63"/>
      <c r="FD86" s="63"/>
      <c r="FE86" s="63"/>
      <c r="FF86" s="63"/>
      <c r="FG86" s="63"/>
      <c r="FH86" s="63"/>
      <c r="FI86" s="63"/>
      <c r="FJ86" s="63"/>
      <c r="FK86" s="63"/>
      <c r="FL86" s="63"/>
      <c r="FM86" s="63"/>
      <c r="FN86" s="63"/>
      <c r="FO86" s="63"/>
      <c r="FP86" s="63"/>
      <c r="FQ86" s="63"/>
      <c r="FR86" s="63"/>
      <c r="FS86" s="63"/>
      <c r="FT86" s="63"/>
      <c r="FU86" s="63"/>
      <c r="FV86" s="63"/>
      <c r="FW86" s="63"/>
      <c r="FX86" s="63"/>
      <c r="FY86" s="63"/>
      <c r="FZ86" s="63"/>
      <c r="GA86" s="63"/>
      <c r="GB86" s="63"/>
      <c r="GC86" s="63"/>
      <c r="GD86" s="63"/>
      <c r="GE86" s="63"/>
      <c r="GF86" s="63"/>
      <c r="GG86" s="63"/>
      <c r="GH86" s="63"/>
      <c r="GI86" s="63"/>
      <c r="GJ86" s="63"/>
      <c r="GK86" s="63"/>
    </row>
    <row r="87" spans="1:193" ht="14.25" customHeight="1" x14ac:dyDescent="0.2">
      <c r="B87" s="2175" t="s">
        <v>918</v>
      </c>
      <c r="C87" s="2176"/>
      <c r="D87" s="2176"/>
      <c r="E87" s="2176"/>
      <c r="F87" s="2176"/>
      <c r="G87" s="2176"/>
      <c r="H87" s="2176"/>
      <c r="I87" s="2176"/>
      <c r="J87" s="2176"/>
      <c r="K87" s="2176"/>
      <c r="L87" s="2176"/>
      <c r="M87" s="2176"/>
      <c r="N87" s="2176"/>
      <c r="O87" s="2176"/>
      <c r="P87" s="2176"/>
      <c r="Q87" s="2176"/>
      <c r="R87" s="2176"/>
      <c r="S87" s="2176"/>
      <c r="T87" s="2176"/>
      <c r="U87" s="2176"/>
      <c r="V87" s="2176"/>
      <c r="W87" s="2176"/>
      <c r="X87" s="2176"/>
      <c r="Y87" s="2176"/>
      <c r="Z87" s="2176"/>
      <c r="AA87" s="2176"/>
      <c r="AB87" s="2176"/>
      <c r="AC87" s="2177"/>
      <c r="AD87" s="23" t="s">
        <v>1793</v>
      </c>
      <c r="AE87" s="2254">
        <f>IF(I83="",0,IF(I83&gt;=AL3,"DOI&gt;2004",SUM(AE85:AH86)))</f>
        <v>0</v>
      </c>
      <c r="AF87" s="2254"/>
      <c r="AG87" s="2254"/>
      <c r="AH87" s="2254"/>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3"/>
      <c r="ET87" s="63"/>
      <c r="EU87" s="63"/>
      <c r="EV87" s="63"/>
      <c r="EW87" s="63"/>
      <c r="EX87" s="63"/>
      <c r="EY87" s="63"/>
      <c r="EZ87" s="63"/>
      <c r="FA87" s="63"/>
      <c r="FB87" s="63"/>
      <c r="FC87" s="63"/>
      <c r="FD87" s="63"/>
      <c r="FE87" s="63"/>
      <c r="FF87" s="63"/>
      <c r="FG87" s="63"/>
      <c r="FH87" s="63"/>
      <c r="FI87" s="63"/>
      <c r="FJ87" s="63"/>
      <c r="FK87" s="63"/>
      <c r="FL87" s="63"/>
      <c r="FM87" s="63"/>
      <c r="FN87" s="63"/>
      <c r="FO87" s="63"/>
      <c r="FP87" s="63"/>
      <c r="FQ87" s="63"/>
      <c r="FR87" s="63"/>
      <c r="FS87" s="63"/>
      <c r="FT87" s="63"/>
      <c r="FU87" s="63"/>
      <c r="FV87" s="63"/>
      <c r="FW87" s="63"/>
      <c r="FX87" s="63"/>
      <c r="FY87" s="63"/>
      <c r="FZ87" s="63"/>
      <c r="GA87" s="63"/>
      <c r="GB87" s="63"/>
      <c r="GC87" s="63"/>
      <c r="GD87" s="63"/>
      <c r="GE87" s="63"/>
      <c r="GF87" s="63"/>
      <c r="GG87" s="63"/>
      <c r="GH87" s="63"/>
      <c r="GI87" s="63"/>
      <c r="GJ87" s="63"/>
      <c r="GK87" s="63"/>
    </row>
    <row r="88" spans="1:193" ht="12" customHeight="1" x14ac:dyDescent="0.2">
      <c r="B88" s="2240"/>
      <c r="C88" s="1821"/>
      <c r="D88" s="1821"/>
      <c r="E88" s="1821"/>
      <c r="F88" s="1821"/>
      <c r="G88" s="1821"/>
      <c r="H88" s="1821"/>
      <c r="I88" s="1821"/>
      <c r="J88" s="1821"/>
      <c r="K88" s="1821"/>
      <c r="L88" s="1821"/>
      <c r="M88" s="1821"/>
      <c r="N88" s="1821"/>
      <c r="O88" s="1821"/>
      <c r="P88" s="1821"/>
      <c r="Q88" s="1821"/>
      <c r="R88" s="1821"/>
      <c r="S88" s="3"/>
      <c r="T88" s="3"/>
      <c r="U88" s="3"/>
      <c r="V88" s="3"/>
      <c r="W88" s="3"/>
      <c r="X88" s="3"/>
      <c r="Y88" s="3"/>
      <c r="Z88" s="3"/>
      <c r="AA88" s="3"/>
      <c r="AB88" s="3"/>
      <c r="AC88" s="3"/>
      <c r="AD88" s="3"/>
      <c r="AE88" s="3"/>
      <c r="AF88" s="3"/>
      <c r="AG88" s="3"/>
      <c r="AH88" s="395"/>
      <c r="AI88" s="63"/>
      <c r="AJ88" s="63"/>
      <c r="AK88" s="63"/>
      <c r="AL88" s="14"/>
      <c r="AM88" s="14"/>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3"/>
      <c r="ET88" s="63"/>
      <c r="EU88" s="63"/>
      <c r="EV88" s="63"/>
      <c r="EW88" s="63"/>
      <c r="EX88" s="63"/>
      <c r="EY88" s="63"/>
      <c r="EZ88" s="63"/>
      <c r="FA88" s="63"/>
      <c r="FB88" s="63"/>
      <c r="FC88" s="63"/>
      <c r="FD88" s="63"/>
      <c r="FE88" s="63"/>
      <c r="FF88" s="63"/>
      <c r="FG88" s="63"/>
      <c r="FH88" s="63"/>
      <c r="FI88" s="63"/>
      <c r="FJ88" s="63"/>
      <c r="FK88" s="63"/>
      <c r="FL88" s="63"/>
      <c r="FM88" s="63"/>
      <c r="FN88" s="63"/>
      <c r="FO88" s="63"/>
      <c r="FP88" s="63"/>
      <c r="FQ88" s="63"/>
      <c r="FR88" s="63"/>
      <c r="FS88" s="63"/>
      <c r="FT88" s="63"/>
      <c r="FU88" s="63"/>
      <c r="FV88" s="63"/>
      <c r="FW88" s="63"/>
      <c r="FX88" s="63"/>
      <c r="FY88" s="63"/>
      <c r="FZ88" s="63"/>
      <c r="GA88" s="63"/>
      <c r="GB88" s="63"/>
      <c r="GC88" s="63"/>
      <c r="GD88" s="63"/>
      <c r="GE88" s="63"/>
      <c r="GF88" s="63"/>
      <c r="GG88" s="63"/>
      <c r="GH88" s="63"/>
      <c r="GI88" s="63"/>
      <c r="GJ88" s="63"/>
      <c r="GK88" s="63"/>
    </row>
    <row r="89" spans="1:193" ht="18" customHeight="1" x14ac:dyDescent="0.2">
      <c r="B89" s="1410" t="s">
        <v>749</v>
      </c>
      <c r="C89" s="1410"/>
      <c r="D89" s="1410"/>
      <c r="E89" s="1410"/>
      <c r="F89" s="1410"/>
      <c r="G89" s="1410"/>
      <c r="H89" s="1410"/>
      <c r="I89" s="1410"/>
      <c r="J89" s="1410"/>
      <c r="K89" s="1410"/>
      <c r="L89" s="1410"/>
      <c r="M89" s="1410"/>
      <c r="N89" s="1410"/>
      <c r="O89" s="1410"/>
      <c r="P89" s="1410"/>
      <c r="Q89" s="1410"/>
      <c r="R89" s="1410"/>
      <c r="S89" s="1365">
        <f>IF(I83="",0,IF(I83&gt;=AL3,"DOI&gt;2004",MIN(AP70,AQ70)))</f>
        <v>0</v>
      </c>
      <c r="T89" s="1365"/>
      <c r="U89" s="1365"/>
      <c r="V89" s="1365"/>
      <c r="W89" s="1365"/>
      <c r="X89" s="23" t="s">
        <v>1791</v>
      </c>
      <c r="Y89" s="1346">
        <v>3</v>
      </c>
      <c r="Z89" s="1346"/>
      <c r="AA89" s="1346"/>
      <c r="AB89" s="1346"/>
      <c r="AC89" s="1346"/>
      <c r="AD89" s="23" t="s">
        <v>1793</v>
      </c>
      <c r="AE89" s="1365">
        <f>IF(I83="",0,IF(I83&gt;=AL3,"DOI&gt;2004",S89*Y89))</f>
        <v>0</v>
      </c>
      <c r="AF89" s="1365"/>
      <c r="AG89" s="1365"/>
      <c r="AH89" s="1365"/>
      <c r="AI89" s="63"/>
      <c r="AJ89" s="63"/>
      <c r="AK89" s="63"/>
      <c r="AL89" s="18"/>
      <c r="AM89" s="7"/>
      <c r="AN89" s="7"/>
      <c r="AO89" s="7"/>
      <c r="AP89" s="7"/>
      <c r="AQ89" s="7"/>
      <c r="AR89" s="7"/>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3"/>
      <c r="ET89" s="63"/>
      <c r="EU89" s="63"/>
      <c r="EV89" s="63"/>
      <c r="EW89" s="63"/>
      <c r="EX89" s="63"/>
      <c r="EY89" s="63"/>
      <c r="EZ89" s="63"/>
      <c r="FA89" s="63"/>
      <c r="FB89" s="63"/>
      <c r="FC89" s="63"/>
      <c r="FD89" s="63"/>
      <c r="FE89" s="63"/>
      <c r="FF89" s="63"/>
      <c r="FG89" s="63"/>
      <c r="FH89" s="63"/>
      <c r="FI89" s="63"/>
      <c r="FJ89" s="63"/>
      <c r="FK89" s="63"/>
      <c r="FL89" s="63"/>
      <c r="FM89" s="63"/>
      <c r="FN89" s="63"/>
      <c r="FO89" s="63"/>
      <c r="FP89" s="63"/>
      <c r="FQ89" s="63"/>
      <c r="FR89" s="63"/>
      <c r="FS89" s="63"/>
      <c r="FT89" s="63"/>
      <c r="FU89" s="63"/>
      <c r="FV89" s="63"/>
      <c r="FW89" s="63"/>
      <c r="FX89" s="63"/>
      <c r="FY89" s="63"/>
      <c r="FZ89" s="63"/>
      <c r="GA89" s="63"/>
      <c r="GB89" s="63"/>
      <c r="GC89" s="63"/>
      <c r="GD89" s="63"/>
      <c r="GE89" s="63"/>
      <c r="GF89" s="63"/>
      <c r="GG89" s="63"/>
      <c r="GH89" s="63"/>
      <c r="GI89" s="63"/>
      <c r="GJ89" s="63"/>
      <c r="GK89" s="63"/>
    </row>
    <row r="90" spans="1:193" ht="18" customHeight="1" x14ac:dyDescent="0.2">
      <c r="B90" s="1410" t="s">
        <v>750</v>
      </c>
      <c r="C90" s="1410"/>
      <c r="D90" s="1410"/>
      <c r="E90" s="1410"/>
      <c r="F90" s="1410"/>
      <c r="G90" s="1410"/>
      <c r="H90" s="1410"/>
      <c r="I90" s="1410"/>
      <c r="J90" s="1410"/>
      <c r="K90" s="1410"/>
      <c r="L90" s="1410"/>
      <c r="M90" s="1410"/>
      <c r="N90" s="1410"/>
      <c r="O90" s="1410"/>
      <c r="P90" s="1410"/>
      <c r="Q90" s="1410"/>
      <c r="R90" s="1410"/>
      <c r="S90" s="1365">
        <f>AE89</f>
        <v>0</v>
      </c>
      <c r="T90" s="1365"/>
      <c r="U90" s="1365"/>
      <c r="V90" s="1365"/>
      <c r="W90" s="1365"/>
      <c r="X90" s="23" t="s">
        <v>1091</v>
      </c>
      <c r="Y90" s="1365">
        <f>IF(I83="",0,IF(I83&gt;=AL3,"DOI&gt;2004",MAX(AP70,AQ70)))</f>
        <v>0</v>
      </c>
      <c r="Z90" s="1365"/>
      <c r="AA90" s="1365"/>
      <c r="AB90" s="1365"/>
      <c r="AC90" s="1365"/>
      <c r="AD90" s="23" t="s">
        <v>1793</v>
      </c>
      <c r="AE90" s="1365">
        <f>IF(I83="",0,IF(I83&gt;=AL3,"DOI&gt;2004",S90+Y90))</f>
        <v>0</v>
      </c>
      <c r="AF90" s="1365"/>
      <c r="AG90" s="1365"/>
      <c r="AH90" s="1365"/>
      <c r="AI90" s="63"/>
      <c r="AJ90" s="63"/>
      <c r="AK90" s="63"/>
      <c r="AL90" s="14"/>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3"/>
      <c r="ET90" s="63"/>
      <c r="EU90" s="63"/>
      <c r="EV90" s="63"/>
      <c r="EW90" s="63"/>
      <c r="EX90" s="63"/>
      <c r="EY90" s="63"/>
      <c r="EZ90" s="63"/>
      <c r="FA90" s="63"/>
      <c r="FB90" s="63"/>
      <c r="FC90" s="63"/>
      <c r="FD90" s="63"/>
      <c r="FE90" s="63"/>
      <c r="FF90" s="63"/>
      <c r="FG90" s="63"/>
      <c r="FH90" s="63"/>
      <c r="FI90" s="63"/>
      <c r="FJ90" s="63"/>
      <c r="FK90" s="63"/>
      <c r="FL90" s="63"/>
      <c r="FM90" s="63"/>
      <c r="FN90" s="63"/>
      <c r="FO90" s="63"/>
      <c r="FP90" s="63"/>
      <c r="FQ90" s="63"/>
      <c r="FR90" s="63"/>
      <c r="FS90" s="63"/>
      <c r="FT90" s="63"/>
      <c r="FU90" s="63"/>
      <c r="FV90" s="63"/>
      <c r="FW90" s="63"/>
      <c r="FX90" s="63"/>
      <c r="FY90" s="63"/>
      <c r="FZ90" s="63"/>
      <c r="GA90" s="63"/>
      <c r="GB90" s="63"/>
      <c r="GC90" s="63"/>
      <c r="GD90" s="63"/>
      <c r="GE90" s="63"/>
      <c r="GF90" s="63"/>
      <c r="GG90" s="63"/>
      <c r="GH90" s="63"/>
      <c r="GI90" s="63"/>
      <c r="GJ90" s="63"/>
      <c r="GK90" s="63"/>
    </row>
    <row r="91" spans="1:193" ht="18" customHeight="1" x14ac:dyDescent="0.2">
      <c r="B91" s="1410" t="s">
        <v>751</v>
      </c>
      <c r="C91" s="1410"/>
      <c r="D91" s="1410"/>
      <c r="E91" s="1410"/>
      <c r="F91" s="1410"/>
      <c r="G91" s="1410"/>
      <c r="H91" s="1410"/>
      <c r="I91" s="1410"/>
      <c r="J91" s="1410"/>
      <c r="K91" s="1410"/>
      <c r="L91" s="1410"/>
      <c r="M91" s="1410"/>
      <c r="N91" s="1410"/>
      <c r="O91" s="1410"/>
      <c r="P91" s="1410"/>
      <c r="Q91" s="1410"/>
      <c r="R91" s="1410"/>
      <c r="S91" s="1365">
        <f>AE90</f>
        <v>0</v>
      </c>
      <c r="T91" s="1365"/>
      <c r="U91" s="1365"/>
      <c r="V91" s="1365"/>
      <c r="W91" s="1365"/>
      <c r="X91" s="23" t="s">
        <v>481</v>
      </c>
      <c r="Y91" s="1346">
        <v>4</v>
      </c>
      <c r="Z91" s="1346"/>
      <c r="AA91" s="1346"/>
      <c r="AB91" s="1346"/>
      <c r="AC91" s="1346"/>
      <c r="AD91" s="23" t="s">
        <v>1793</v>
      </c>
      <c r="AE91" s="1688">
        <f>IF(I83="",0,IF(I83&gt;=AL3,"DOI&gt;2004",IF(AND(S91/Y91&gt;0,S91/Y91&lt;0.01),0.01,ROUND(S91/Y91,2))))</f>
        <v>0</v>
      </c>
      <c r="AF91" s="1688"/>
      <c r="AG91" s="1688"/>
      <c r="AH91" s="1688"/>
      <c r="AI91" s="63"/>
      <c r="AJ91" s="63"/>
      <c r="AK91" s="63"/>
      <c r="AL91" s="14"/>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3"/>
      <c r="ET91" s="63"/>
      <c r="EU91" s="63"/>
      <c r="EV91" s="63"/>
      <c r="EW91" s="63"/>
      <c r="EX91" s="63"/>
      <c r="EY91" s="63"/>
      <c r="EZ91" s="63"/>
      <c r="FA91" s="63"/>
      <c r="FB91" s="63"/>
      <c r="FC91" s="63"/>
      <c r="FD91" s="63"/>
      <c r="FE91" s="63"/>
      <c r="FF91" s="63"/>
      <c r="FG91" s="63"/>
      <c r="FH91" s="63"/>
      <c r="FI91" s="63"/>
      <c r="FJ91" s="63"/>
      <c r="FK91" s="63"/>
      <c r="FL91" s="63"/>
      <c r="FM91" s="63"/>
      <c r="FN91" s="63"/>
      <c r="FO91" s="63"/>
      <c r="FP91" s="63"/>
      <c r="FQ91" s="63"/>
      <c r="FR91" s="63"/>
      <c r="FS91" s="63"/>
      <c r="FT91" s="63"/>
      <c r="FU91" s="63"/>
      <c r="FV91" s="63"/>
      <c r="FW91" s="63"/>
      <c r="FX91" s="63"/>
      <c r="FY91" s="63"/>
      <c r="FZ91" s="63"/>
      <c r="GA91" s="63"/>
      <c r="GB91" s="63"/>
      <c r="GC91" s="63"/>
      <c r="GD91" s="63"/>
      <c r="GE91" s="63"/>
      <c r="GF91" s="63"/>
      <c r="GG91" s="63"/>
      <c r="GH91" s="63"/>
      <c r="GI91" s="63"/>
      <c r="GJ91" s="63"/>
      <c r="GK91" s="63"/>
    </row>
    <row r="92" spans="1:193" ht="12" customHeight="1" x14ac:dyDescent="0.2">
      <c r="B92" s="102"/>
      <c r="C92" s="7"/>
      <c r="D92" s="7"/>
      <c r="E92" s="7"/>
      <c r="F92" s="7"/>
      <c r="G92" s="7"/>
      <c r="H92" s="7"/>
      <c r="I92" s="7"/>
      <c r="J92" s="7"/>
      <c r="K92" s="7"/>
      <c r="L92" s="7"/>
      <c r="M92" s="7"/>
      <c r="N92" s="7"/>
      <c r="O92" s="7"/>
      <c r="P92" s="7"/>
      <c r="Q92" s="7"/>
      <c r="R92" s="7"/>
      <c r="S92" s="263"/>
      <c r="T92" s="263"/>
      <c r="U92" s="263"/>
      <c r="V92" s="263"/>
      <c r="W92" s="263"/>
      <c r="X92" s="1"/>
      <c r="Y92" s="1"/>
      <c r="Z92" s="1"/>
      <c r="AA92" s="1"/>
      <c r="AB92" s="1"/>
      <c r="AC92" s="1"/>
      <c r="AD92" s="1"/>
      <c r="AE92" s="263"/>
      <c r="AF92" s="263"/>
      <c r="AG92" s="263"/>
      <c r="AH92" s="349"/>
      <c r="AI92" s="63"/>
      <c r="AJ92" s="63"/>
      <c r="AK92" s="63"/>
      <c r="AL92" s="14"/>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3"/>
      <c r="ET92" s="63"/>
      <c r="EU92" s="63"/>
      <c r="EV92" s="63"/>
      <c r="EW92" s="63"/>
      <c r="EX92" s="63"/>
      <c r="EY92" s="63"/>
      <c r="EZ92" s="63"/>
      <c r="FA92" s="63"/>
      <c r="FB92" s="63"/>
      <c r="FC92" s="63"/>
      <c r="FD92" s="63"/>
      <c r="FE92" s="63"/>
      <c r="FF92" s="63"/>
      <c r="FG92" s="63"/>
      <c r="FH92" s="63"/>
      <c r="FI92" s="63"/>
      <c r="FJ92" s="63"/>
      <c r="FK92" s="63"/>
      <c r="FL92" s="63"/>
      <c r="FM92" s="63"/>
      <c r="FN92" s="63"/>
      <c r="FO92" s="63"/>
      <c r="FP92" s="63"/>
      <c r="FQ92" s="63"/>
      <c r="FR92" s="63"/>
      <c r="FS92" s="63"/>
      <c r="FT92" s="63"/>
      <c r="FU92" s="63"/>
      <c r="FV92" s="63"/>
      <c r="FW92" s="63"/>
      <c r="FX92" s="63"/>
      <c r="FY92" s="63"/>
      <c r="FZ92" s="63"/>
      <c r="GA92" s="63"/>
      <c r="GB92" s="63"/>
      <c r="GC92" s="63"/>
      <c r="GD92" s="63"/>
      <c r="GE92" s="63"/>
      <c r="GF92" s="63"/>
      <c r="GG92" s="63"/>
      <c r="GH92" s="63"/>
      <c r="GI92" s="63"/>
      <c r="GJ92" s="63"/>
      <c r="GK92" s="63"/>
    </row>
    <row r="93" spans="1:193" ht="27.75" customHeight="1" x14ac:dyDescent="0.2">
      <c r="B93" s="1860"/>
      <c r="C93" s="1860"/>
      <c r="D93" s="1860"/>
      <c r="E93" s="1860"/>
      <c r="F93" s="1860"/>
      <c r="G93" s="1860"/>
      <c r="H93" s="1860"/>
      <c r="I93" s="1860"/>
      <c r="J93" s="1860"/>
      <c r="K93" s="1860"/>
      <c r="L93" s="1860"/>
      <c r="M93" s="1860" t="s">
        <v>1796</v>
      </c>
      <c r="N93" s="1860"/>
      <c r="O93" s="1860"/>
      <c r="P93" s="1860"/>
      <c r="Q93" s="467"/>
      <c r="R93" s="2239" t="s">
        <v>104</v>
      </c>
      <c r="S93" s="2239"/>
      <c r="T93" s="2239"/>
      <c r="U93" s="467"/>
      <c r="V93" s="1860" t="s">
        <v>365</v>
      </c>
      <c r="W93" s="1860"/>
      <c r="X93" s="1860"/>
      <c r="Y93" s="269"/>
      <c r="Z93" s="1860" t="s">
        <v>1890</v>
      </c>
      <c r="AA93" s="1860"/>
      <c r="AB93" s="1860"/>
      <c r="AC93" s="1860"/>
      <c r="AD93" s="467"/>
      <c r="AE93" s="1959" t="s">
        <v>1192</v>
      </c>
      <c r="AF93" s="1959"/>
      <c r="AG93" s="1959"/>
      <c r="AH93" s="1959"/>
      <c r="AI93" s="63"/>
      <c r="AJ93" s="63"/>
      <c r="AK93" s="63"/>
      <c r="AL93" s="89"/>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3"/>
      <c r="ET93" s="63"/>
      <c r="EU93" s="63"/>
      <c r="EV93" s="63"/>
      <c r="EW93" s="63"/>
      <c r="EX93" s="63"/>
      <c r="EY93" s="63"/>
      <c r="EZ93" s="63"/>
      <c r="FA93" s="63"/>
      <c r="FB93" s="63"/>
      <c r="FC93" s="63"/>
      <c r="FD93" s="63"/>
      <c r="FE93" s="63"/>
      <c r="FF93" s="63"/>
      <c r="FG93" s="63"/>
      <c r="FH93" s="63"/>
      <c r="FI93" s="63"/>
      <c r="FJ93" s="63"/>
      <c r="FK93" s="63"/>
      <c r="FL93" s="63"/>
      <c r="FM93" s="63"/>
      <c r="FN93" s="63"/>
      <c r="FO93" s="63"/>
      <c r="FP93" s="63"/>
      <c r="FQ93" s="63"/>
      <c r="FR93" s="63"/>
      <c r="FS93" s="63"/>
      <c r="FT93" s="63"/>
      <c r="FU93" s="63"/>
      <c r="FV93" s="63"/>
      <c r="FW93" s="63"/>
      <c r="FX93" s="63"/>
      <c r="FY93" s="63"/>
      <c r="FZ93" s="63"/>
      <c r="GA93" s="63"/>
      <c r="GB93" s="63"/>
      <c r="GC93" s="63"/>
      <c r="GD93" s="63"/>
      <c r="GE93" s="63"/>
      <c r="GF93" s="63"/>
      <c r="GG93" s="63"/>
      <c r="GH93" s="63"/>
      <c r="GI93" s="63"/>
      <c r="GJ93" s="63"/>
      <c r="GK93" s="63"/>
    </row>
    <row r="94" spans="1:193" ht="18" customHeight="1" x14ac:dyDescent="0.2">
      <c r="B94" s="1632" t="s">
        <v>1117</v>
      </c>
      <c r="C94" s="1633"/>
      <c r="D94" s="1633"/>
      <c r="E94" s="1633"/>
      <c r="F94" s="1633"/>
      <c r="G94" s="1633"/>
      <c r="H94" s="1633"/>
      <c r="I94" s="1633"/>
      <c r="J94" s="1633"/>
      <c r="K94" s="1633"/>
      <c r="L94" s="1634"/>
      <c r="M94" s="1373">
        <f>AE91</f>
        <v>0</v>
      </c>
      <c r="N94" s="1373"/>
      <c r="O94" s="1373"/>
      <c r="P94" s="1373"/>
      <c r="Q94" s="42" t="s">
        <v>1791</v>
      </c>
      <c r="R94" s="1346">
        <v>300</v>
      </c>
      <c r="S94" s="1346"/>
      <c r="T94" s="1346"/>
      <c r="U94" s="42" t="s">
        <v>1793</v>
      </c>
      <c r="V94" s="1468">
        <f>IF(I83="",0,IF(I83&gt;=AL3,"DOI&gt;2004",ROUND(M94*R94,2)))</f>
        <v>0</v>
      </c>
      <c r="W94" s="1468"/>
      <c r="X94" s="1468"/>
      <c r="Y94" s="42" t="s">
        <v>1791</v>
      </c>
      <c r="Z94" s="1522" t="e">
        <f>'Dol Per Deg'!H11</f>
        <v>#N/A</v>
      </c>
      <c r="AA94" s="1522"/>
      <c r="AB94" s="1522"/>
      <c r="AC94" s="1522"/>
      <c r="AD94" s="42" t="s">
        <v>1793</v>
      </c>
      <c r="AE94" s="2190">
        <f>IF(I83="",0,IF(I83&gt;=AL3,"DOI&gt;2004",ROUND(V94*Z94,2)))</f>
        <v>0</v>
      </c>
      <c r="AF94" s="2190"/>
      <c r="AG94" s="2190"/>
      <c r="AH94" s="2190"/>
      <c r="AI94" s="63"/>
      <c r="AJ94" s="63"/>
      <c r="AK94" s="63"/>
      <c r="AL94" s="89"/>
      <c r="AM94" s="89"/>
      <c r="AN94" s="192"/>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3"/>
      <c r="ET94" s="63"/>
      <c r="EU94" s="63"/>
      <c r="EV94" s="63"/>
      <c r="EW94" s="63"/>
      <c r="EX94" s="63"/>
      <c r="EY94" s="63"/>
      <c r="EZ94" s="63"/>
      <c r="FA94" s="63"/>
      <c r="FB94" s="63"/>
      <c r="FC94" s="63"/>
      <c r="FD94" s="63"/>
      <c r="FE94" s="63"/>
      <c r="FF94" s="63"/>
      <c r="FG94" s="63"/>
      <c r="FH94" s="63"/>
      <c r="FI94" s="63"/>
      <c r="FJ94" s="63"/>
      <c r="FK94" s="63"/>
      <c r="FL94" s="63"/>
      <c r="FM94" s="63"/>
      <c r="FN94" s="63"/>
      <c r="FO94" s="63"/>
      <c r="FP94" s="63"/>
      <c r="FQ94" s="63"/>
      <c r="FR94" s="63"/>
      <c r="FS94" s="63"/>
      <c r="FT94" s="63"/>
      <c r="FU94" s="63"/>
      <c r="FV94" s="63"/>
      <c r="FW94" s="63"/>
      <c r="FX94" s="63"/>
      <c r="FY94" s="63"/>
      <c r="FZ94" s="63"/>
      <c r="GA94" s="63"/>
      <c r="GB94" s="63"/>
      <c r="GC94" s="63"/>
      <c r="GD94" s="63"/>
      <c r="GE94" s="63"/>
      <c r="GF94" s="63"/>
      <c r="GG94" s="63"/>
      <c r="GH94" s="63"/>
      <c r="GI94" s="63"/>
      <c r="GJ94" s="63"/>
      <c r="GK94" s="63"/>
    </row>
    <row r="95" spans="1:193" ht="18" customHeight="1" x14ac:dyDescent="0.2">
      <c r="B95" s="2163" t="str">
        <f>IF(OR(I83&gt;=AL3,AE95=0),"",IF(AE87&gt;AE94,AL76,IF(AE94&gt;=AE87,AL77,"")))</f>
        <v/>
      </c>
      <c r="C95" s="2163"/>
      <c r="D95" s="2163"/>
      <c r="E95" s="2163"/>
      <c r="F95" s="2163"/>
      <c r="G95" s="2163"/>
      <c r="H95" s="2163"/>
      <c r="I95" s="2163"/>
      <c r="J95" s="2163"/>
      <c r="K95" s="2163"/>
      <c r="L95" s="2163"/>
      <c r="M95" s="2163"/>
      <c r="N95" s="2163"/>
      <c r="O95" s="2163"/>
      <c r="P95" s="2163"/>
      <c r="Q95" s="2163"/>
      <c r="R95" s="2163"/>
      <c r="S95" s="2163"/>
      <c r="T95" s="2163"/>
      <c r="U95" s="2163"/>
      <c r="V95" s="2163"/>
      <c r="W95" s="2163"/>
      <c r="X95" s="2163"/>
      <c r="Y95" s="2163"/>
      <c r="Z95" s="2163"/>
      <c r="AA95" s="2163"/>
      <c r="AB95" s="2163"/>
      <c r="AC95" s="2163"/>
      <c r="AD95" s="2163"/>
      <c r="AE95" s="2170">
        <f>IF(I83="",0,IF(I83&gt;=AL3,"DOI&gt;2004",MAX(AE87,AE94)))</f>
        <v>0</v>
      </c>
      <c r="AF95" s="2170"/>
      <c r="AG95" s="2170"/>
      <c r="AH95" s="2170"/>
      <c r="AI95" s="63"/>
      <c r="AJ95" s="63"/>
      <c r="AK95" s="63"/>
      <c r="AL95" s="17">
        <f>IF(B95=AL77,4,IF(B95=AL76,3,IF(AND(M85&lt;&gt;"DOI&gt;2004",M85&gt;0),2,IF(AND(M86&lt;&gt;"DOI&gt;2004",M86&gt;0),1,0))))</f>
        <v>0</v>
      </c>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3"/>
      <c r="ET95" s="63"/>
      <c r="EU95" s="63"/>
      <c r="EV95" s="63"/>
      <c r="EW95" s="63"/>
      <c r="EX95" s="63"/>
      <c r="EY95" s="63"/>
      <c r="EZ95" s="63"/>
      <c r="FA95" s="63"/>
      <c r="FB95" s="63"/>
      <c r="FC95" s="63"/>
      <c r="FD95" s="63"/>
      <c r="FE95" s="63"/>
      <c r="FF95" s="63"/>
      <c r="FG95" s="63"/>
      <c r="FH95" s="63"/>
      <c r="FI95" s="63"/>
      <c r="FJ95" s="63"/>
      <c r="FK95" s="63"/>
      <c r="FL95" s="63"/>
      <c r="FM95" s="63"/>
      <c r="FN95" s="63"/>
      <c r="FO95" s="63"/>
      <c r="FP95" s="63"/>
      <c r="FQ95" s="63"/>
      <c r="FR95" s="63"/>
      <c r="FS95" s="63"/>
      <c r="FT95" s="63"/>
      <c r="FU95" s="63"/>
      <c r="FV95" s="63"/>
      <c r="FW95" s="63"/>
      <c r="FX95" s="63"/>
      <c r="FY95" s="63"/>
      <c r="FZ95" s="63"/>
      <c r="GA95" s="63"/>
      <c r="GB95" s="63"/>
      <c r="GC95" s="63"/>
      <c r="GD95" s="63"/>
      <c r="GE95" s="63"/>
      <c r="GF95" s="63"/>
      <c r="GG95" s="63"/>
      <c r="GH95" s="63"/>
      <c r="GI95" s="63"/>
      <c r="GJ95" s="63"/>
      <c r="GK95" s="63"/>
    </row>
    <row r="96" spans="1:193" ht="30.75" customHeight="1" x14ac:dyDescent="0.2">
      <c r="B96" s="2181" t="s">
        <v>947</v>
      </c>
      <c r="C96" s="2182"/>
      <c r="D96" s="2182"/>
      <c r="E96" s="2182"/>
      <c r="F96" s="2182"/>
      <c r="G96" s="2182"/>
      <c r="H96" s="2182"/>
      <c r="I96" s="2182"/>
      <c r="J96" s="2182"/>
      <c r="K96" s="2182"/>
      <c r="L96" s="2182"/>
      <c r="M96" s="2182"/>
      <c r="N96" s="2182"/>
      <c r="O96" s="2182"/>
      <c r="P96" s="2182"/>
      <c r="Q96" s="2182"/>
      <c r="R96" s="2182"/>
      <c r="S96" s="2182"/>
      <c r="T96" s="2182"/>
      <c r="U96" s="2182"/>
      <c r="V96" s="2182"/>
      <c r="W96" s="2182"/>
      <c r="X96" s="2182"/>
      <c r="Y96" s="2182"/>
      <c r="Z96" s="2182"/>
      <c r="AA96" s="2182"/>
      <c r="AB96" s="2182"/>
      <c r="AC96" s="2182"/>
      <c r="AD96" s="2182"/>
      <c r="AE96" s="2182"/>
      <c r="AF96" s="2182"/>
      <c r="AG96" s="2182"/>
      <c r="AH96" s="218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3"/>
      <c r="ET96" s="63"/>
      <c r="EU96" s="63"/>
      <c r="EV96" s="63"/>
      <c r="EW96" s="63"/>
      <c r="EX96" s="63"/>
      <c r="EY96" s="63"/>
      <c r="EZ96" s="63"/>
      <c r="FA96" s="63"/>
      <c r="FB96" s="63"/>
      <c r="FC96" s="63"/>
      <c r="FD96" s="63"/>
      <c r="FE96" s="63"/>
      <c r="FF96" s="63"/>
      <c r="FG96" s="63"/>
      <c r="FH96" s="63"/>
      <c r="FI96" s="63"/>
      <c r="FJ96" s="63"/>
      <c r="FK96" s="63"/>
      <c r="FL96" s="63"/>
      <c r="FM96" s="63"/>
      <c r="FN96" s="63"/>
      <c r="FO96" s="63"/>
      <c r="FP96" s="63"/>
      <c r="FQ96" s="63"/>
      <c r="FR96" s="63"/>
      <c r="FS96" s="63"/>
      <c r="FT96" s="63"/>
      <c r="FU96" s="63"/>
      <c r="FV96" s="63"/>
      <c r="FW96" s="63"/>
      <c r="FX96" s="63"/>
      <c r="FY96" s="63"/>
      <c r="FZ96" s="63"/>
      <c r="GA96" s="63"/>
      <c r="GB96" s="63"/>
      <c r="GC96" s="63"/>
      <c r="GD96" s="63"/>
      <c r="GE96" s="63"/>
      <c r="GF96" s="63"/>
      <c r="GG96" s="63"/>
      <c r="GH96" s="63"/>
      <c r="GI96" s="63"/>
      <c r="GJ96" s="63"/>
      <c r="GK96" s="63"/>
    </row>
    <row r="97" spans="1:193" ht="18" customHeight="1" x14ac:dyDescent="0.2">
      <c r="A97" s="3"/>
      <c r="B97" s="2184" t="s">
        <v>790</v>
      </c>
      <c r="C97" s="2185"/>
      <c r="D97" s="2185"/>
      <c r="E97" s="2185"/>
      <c r="F97" s="2185"/>
      <c r="G97" s="2185"/>
      <c r="H97" s="2185"/>
      <c r="I97" s="2185"/>
      <c r="J97" s="2185"/>
      <c r="K97" s="2186" t="str">
        <f>IF(AN4&lt;&gt;"",AN4,"")</f>
        <v>Go to PPD Worksheet</v>
      </c>
      <c r="L97" s="2186"/>
      <c r="M97" s="2186"/>
      <c r="N97" s="2186"/>
      <c r="O97" s="2186"/>
      <c r="P97" s="2186"/>
      <c r="Q97" s="2186"/>
      <c r="R97" s="2186"/>
      <c r="S97" s="2186"/>
      <c r="T97" s="2186" t="str">
        <f>IF(AL4&lt;&gt;"",AL4,"")</f>
        <v/>
      </c>
      <c r="U97" s="2186"/>
      <c r="V97" s="2186"/>
      <c r="W97" s="2186"/>
      <c r="X97" s="2186"/>
      <c r="Y97" s="2186"/>
      <c r="Z97" s="2186"/>
      <c r="AH97" s="189"/>
      <c r="AI97" s="63"/>
      <c r="AJ97" s="63"/>
      <c r="AK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3"/>
      <c r="ET97" s="63"/>
      <c r="EU97" s="63"/>
      <c r="EV97" s="63"/>
      <c r="EW97" s="63"/>
      <c r="EX97" s="63"/>
      <c r="EY97" s="63"/>
      <c r="EZ97" s="63"/>
      <c r="FA97" s="63"/>
      <c r="FB97" s="63"/>
      <c r="FC97" s="63"/>
      <c r="FD97" s="63"/>
      <c r="FE97" s="63"/>
      <c r="FF97" s="63"/>
      <c r="FG97" s="63"/>
      <c r="FH97" s="63"/>
      <c r="FI97" s="63"/>
      <c r="FJ97" s="63"/>
      <c r="FK97" s="63"/>
      <c r="FL97" s="63"/>
      <c r="FM97" s="63"/>
      <c r="FN97" s="63"/>
      <c r="FO97" s="63"/>
      <c r="FP97" s="63"/>
      <c r="FQ97" s="63"/>
      <c r="FR97" s="63"/>
      <c r="FS97" s="63"/>
      <c r="FT97" s="63"/>
      <c r="FU97" s="63"/>
      <c r="FV97" s="63"/>
      <c r="FW97" s="63"/>
      <c r="FX97" s="63"/>
      <c r="FY97" s="63"/>
      <c r="FZ97" s="63"/>
      <c r="GA97" s="63"/>
      <c r="GB97" s="63"/>
      <c r="GC97" s="63"/>
      <c r="GD97" s="63"/>
      <c r="GE97" s="63"/>
      <c r="GF97" s="63"/>
      <c r="GG97" s="63"/>
      <c r="GH97" s="63"/>
      <c r="GI97" s="63"/>
      <c r="GJ97" s="63"/>
      <c r="GK97" s="63"/>
    </row>
    <row r="98" spans="1:193" ht="18" customHeight="1" x14ac:dyDescent="0.2">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c r="FC98" s="63"/>
      <c r="FD98" s="63"/>
      <c r="FE98" s="63"/>
      <c r="FF98" s="63"/>
      <c r="FG98" s="63"/>
      <c r="FH98" s="63"/>
      <c r="FI98" s="63"/>
      <c r="FJ98" s="63"/>
      <c r="FK98" s="63"/>
      <c r="FL98" s="63"/>
      <c r="FM98" s="63"/>
      <c r="FN98" s="63"/>
      <c r="FO98" s="63"/>
      <c r="FP98" s="63"/>
      <c r="FQ98" s="63"/>
      <c r="FR98" s="63"/>
      <c r="FS98" s="63"/>
      <c r="FT98" s="63"/>
      <c r="FU98" s="63"/>
      <c r="FV98" s="63"/>
      <c r="FW98" s="63"/>
      <c r="FX98" s="63"/>
      <c r="FY98" s="63"/>
      <c r="FZ98" s="63"/>
      <c r="GA98" s="63"/>
      <c r="GB98" s="63"/>
      <c r="GC98" s="63"/>
      <c r="GD98" s="63"/>
      <c r="GE98" s="63"/>
      <c r="GF98" s="63"/>
      <c r="GG98" s="63"/>
      <c r="GH98" s="63"/>
      <c r="GI98" s="63"/>
      <c r="GJ98" s="63"/>
      <c r="GK98" s="63"/>
    </row>
    <row r="99" spans="1:193" ht="18" customHeight="1" x14ac:dyDescent="0.2">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3"/>
      <c r="ET99" s="63"/>
      <c r="EU99" s="63"/>
      <c r="EV99" s="63"/>
      <c r="EW99" s="63"/>
      <c r="EX99" s="63"/>
      <c r="EY99" s="63"/>
      <c r="EZ99" s="63"/>
      <c r="FA99" s="63"/>
      <c r="FB99" s="63"/>
      <c r="FC99" s="63"/>
      <c r="FD99" s="63"/>
      <c r="FE99" s="63"/>
      <c r="FF99" s="63"/>
      <c r="FG99" s="63"/>
      <c r="FH99" s="63"/>
      <c r="FI99" s="63"/>
      <c r="FJ99" s="63"/>
      <c r="FK99" s="63"/>
      <c r="FL99" s="63"/>
      <c r="FM99" s="63"/>
      <c r="FN99" s="63"/>
      <c r="FO99" s="63"/>
      <c r="FP99" s="63"/>
      <c r="FQ99" s="63"/>
      <c r="FR99" s="63"/>
      <c r="FS99" s="63"/>
      <c r="FT99" s="63"/>
      <c r="FU99" s="63"/>
      <c r="FV99" s="63"/>
      <c r="FW99" s="63"/>
      <c r="FX99" s="63"/>
      <c r="FY99" s="63"/>
      <c r="FZ99" s="63"/>
      <c r="GA99" s="63"/>
      <c r="GB99" s="63"/>
      <c r="GC99" s="63"/>
      <c r="GD99" s="63"/>
      <c r="GE99" s="63"/>
      <c r="GF99" s="63"/>
      <c r="GG99" s="63"/>
      <c r="GH99" s="63"/>
      <c r="GI99" s="63"/>
      <c r="GJ99" s="63"/>
      <c r="GK99" s="63"/>
    </row>
    <row r="100" spans="1:193" ht="18" customHeight="1" x14ac:dyDescent="0.2">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3"/>
      <c r="ET100" s="63"/>
      <c r="EU100" s="63"/>
      <c r="EV100" s="63"/>
      <c r="EW100" s="63"/>
      <c r="EX100" s="63"/>
      <c r="EY100" s="63"/>
      <c r="EZ100" s="63"/>
      <c r="FA100" s="63"/>
      <c r="FB100" s="63"/>
      <c r="FC100" s="63"/>
      <c r="FD100" s="63"/>
      <c r="FE100" s="63"/>
      <c r="FF100" s="63"/>
      <c r="FG100" s="63"/>
      <c r="FH100" s="63"/>
      <c r="FI100" s="63"/>
      <c r="FJ100" s="63"/>
      <c r="FK100" s="63"/>
      <c r="FL100" s="63"/>
      <c r="FM100" s="63"/>
      <c r="FN100" s="63"/>
      <c r="FO100" s="63"/>
      <c r="FP100" s="63"/>
      <c r="FQ100" s="63"/>
      <c r="FR100" s="63"/>
      <c r="FS100" s="63"/>
      <c r="FT100" s="63"/>
      <c r="FU100" s="63"/>
      <c r="FV100" s="63"/>
      <c r="FW100" s="63"/>
      <c r="FX100" s="63"/>
      <c r="FY100" s="63"/>
      <c r="FZ100" s="63"/>
      <c r="GA100" s="63"/>
      <c r="GB100" s="63"/>
      <c r="GC100" s="63"/>
      <c r="GD100" s="63"/>
      <c r="GE100" s="63"/>
      <c r="GF100" s="63"/>
      <c r="GG100" s="63"/>
      <c r="GH100" s="63"/>
      <c r="GI100" s="63"/>
      <c r="GJ100" s="63"/>
      <c r="GK100" s="63"/>
    </row>
    <row r="101" spans="1:193" ht="18" hidden="1" customHeight="1" x14ac:dyDescent="0.2">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3"/>
      <c r="ET101" s="63"/>
      <c r="EU101" s="63"/>
      <c r="EV101" s="63"/>
      <c r="EW101" s="63"/>
      <c r="EX101" s="63"/>
      <c r="EY101" s="63"/>
      <c r="EZ101" s="63"/>
      <c r="FA101" s="63"/>
      <c r="FB101" s="63"/>
      <c r="FC101" s="63"/>
      <c r="FD101" s="63"/>
      <c r="FE101" s="63"/>
      <c r="FF101" s="63"/>
      <c r="FG101" s="63"/>
      <c r="FH101" s="63"/>
      <c r="FI101" s="63"/>
      <c r="FJ101" s="63"/>
      <c r="FK101" s="63"/>
      <c r="FL101" s="63"/>
      <c r="FM101" s="63"/>
      <c r="FN101" s="63"/>
      <c r="FO101" s="63"/>
      <c r="FP101" s="63"/>
      <c r="FQ101" s="63"/>
      <c r="FR101" s="63"/>
      <c r="FS101" s="63"/>
      <c r="FT101" s="63"/>
      <c r="FU101" s="63"/>
      <c r="FV101" s="63"/>
      <c r="FW101" s="63"/>
      <c r="FX101" s="63"/>
      <c r="FY101" s="63"/>
      <c r="FZ101" s="63"/>
      <c r="GA101" s="63"/>
      <c r="GB101" s="63"/>
      <c r="GC101" s="63"/>
      <c r="GD101" s="63"/>
      <c r="GE101" s="63"/>
      <c r="GF101" s="63"/>
      <c r="GG101" s="63"/>
      <c r="GH101" s="63"/>
      <c r="GI101" s="63"/>
      <c r="GJ101" s="63"/>
      <c r="GK101" s="63"/>
    </row>
    <row r="102" spans="1:193" ht="18" hidden="1" customHeight="1" x14ac:dyDescent="0.2">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3"/>
      <c r="ET102" s="63"/>
      <c r="EU102" s="63"/>
      <c r="EV102" s="63"/>
      <c r="EW102" s="63"/>
      <c r="EX102" s="63"/>
      <c r="EY102" s="63"/>
      <c r="EZ102" s="63"/>
      <c r="FA102" s="63"/>
      <c r="FB102" s="63"/>
      <c r="FC102" s="63"/>
      <c r="FD102" s="63"/>
      <c r="FE102" s="63"/>
      <c r="FF102" s="63"/>
      <c r="FG102" s="63"/>
      <c r="FH102" s="63"/>
      <c r="FI102" s="63"/>
      <c r="FJ102" s="63"/>
      <c r="FK102" s="63"/>
      <c r="FL102" s="63"/>
      <c r="FM102" s="63"/>
      <c r="FN102" s="63"/>
      <c r="FO102" s="63"/>
      <c r="FP102" s="63"/>
      <c r="FQ102" s="63"/>
      <c r="FR102" s="63"/>
      <c r="FS102" s="63"/>
      <c r="FT102" s="63"/>
      <c r="FU102" s="63"/>
      <c r="FV102" s="63"/>
      <c r="FW102" s="63"/>
      <c r="FX102" s="63"/>
      <c r="FY102" s="63"/>
      <c r="FZ102" s="63"/>
      <c r="GA102" s="63"/>
      <c r="GB102" s="63"/>
      <c r="GC102" s="63"/>
      <c r="GD102" s="63"/>
      <c r="GE102" s="63"/>
      <c r="GF102" s="63"/>
      <c r="GG102" s="63"/>
      <c r="GH102" s="63"/>
      <c r="GI102" s="63"/>
      <c r="GJ102" s="63"/>
      <c r="GK102" s="63"/>
    </row>
    <row r="103" spans="1:193" ht="18" hidden="1" customHeight="1" x14ac:dyDescent="0.2">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3"/>
      <c r="ET103" s="63"/>
      <c r="EU103" s="63"/>
      <c r="EV103" s="63"/>
      <c r="EW103" s="63"/>
      <c r="EX103" s="63"/>
      <c r="EY103" s="63"/>
      <c r="EZ103" s="63"/>
      <c r="FA103" s="63"/>
      <c r="FB103" s="63"/>
      <c r="FC103" s="63"/>
      <c r="FD103" s="63"/>
      <c r="FE103" s="63"/>
      <c r="FF103" s="63"/>
      <c r="FG103" s="63"/>
      <c r="FH103" s="63"/>
      <c r="FI103" s="63"/>
      <c r="FJ103" s="63"/>
      <c r="FK103" s="63"/>
      <c r="FL103" s="63"/>
      <c r="FM103" s="63"/>
      <c r="FN103" s="63"/>
      <c r="FO103" s="63"/>
      <c r="FP103" s="63"/>
      <c r="FQ103" s="63"/>
      <c r="FR103" s="63"/>
      <c r="FS103" s="63"/>
      <c r="FT103" s="63"/>
      <c r="FU103" s="63"/>
      <c r="FV103" s="63"/>
      <c r="FW103" s="63"/>
      <c r="FX103" s="63"/>
      <c r="FY103" s="63"/>
      <c r="FZ103" s="63"/>
      <c r="GA103" s="63"/>
      <c r="GB103" s="63"/>
      <c r="GC103" s="63"/>
      <c r="GD103" s="63"/>
      <c r="GE103" s="63"/>
      <c r="GF103" s="63"/>
      <c r="GG103" s="63"/>
      <c r="GH103" s="63"/>
      <c r="GI103" s="63"/>
      <c r="GJ103" s="63"/>
      <c r="GK103" s="63"/>
    </row>
    <row r="104" spans="1:193" ht="18" hidden="1" customHeight="1" x14ac:dyDescent="0.2">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3"/>
      <c r="ET104" s="63"/>
      <c r="EU104" s="63"/>
      <c r="EV104" s="63"/>
      <c r="EW104" s="63"/>
      <c r="EX104" s="63"/>
      <c r="EY104" s="63"/>
      <c r="EZ104" s="63"/>
      <c r="FA104" s="63"/>
      <c r="FB104" s="63"/>
      <c r="FC104" s="63"/>
      <c r="FD104" s="63"/>
      <c r="FE104" s="63"/>
      <c r="FF104" s="63"/>
      <c r="FG104" s="63"/>
      <c r="FH104" s="63"/>
      <c r="FI104" s="63"/>
      <c r="FJ104" s="63"/>
      <c r="FK104" s="63"/>
      <c r="FL104" s="63"/>
      <c r="FM104" s="63"/>
      <c r="FN104" s="63"/>
      <c r="FO104" s="63"/>
      <c r="FP104" s="63"/>
      <c r="FQ104" s="63"/>
      <c r="FR104" s="63"/>
      <c r="FS104" s="63"/>
      <c r="FT104" s="63"/>
      <c r="FU104" s="63"/>
      <c r="FV104" s="63"/>
      <c r="FW104" s="63"/>
      <c r="FX104" s="63"/>
      <c r="FY104" s="63"/>
      <c r="FZ104" s="63"/>
      <c r="GA104" s="63"/>
      <c r="GB104" s="63"/>
      <c r="GC104" s="63"/>
      <c r="GD104" s="63"/>
      <c r="GE104" s="63"/>
      <c r="GF104" s="63"/>
      <c r="GG104" s="63"/>
      <c r="GH104" s="63"/>
      <c r="GI104" s="63"/>
      <c r="GJ104" s="63"/>
      <c r="GK104" s="63"/>
    </row>
    <row r="105" spans="1:193" ht="18" hidden="1" customHeight="1" x14ac:dyDescent="0.2">
      <c r="B105" s="47"/>
      <c r="C105" s="2249" t="s">
        <v>2268</v>
      </c>
      <c r="D105" s="2249"/>
      <c r="E105" s="2249"/>
      <c r="F105" s="2249"/>
      <c r="G105" s="2249"/>
      <c r="H105" s="2249"/>
      <c r="I105" s="2249"/>
      <c r="J105" s="2249"/>
      <c r="K105" s="2249"/>
      <c r="L105" s="2249"/>
      <c r="M105" s="2249"/>
      <c r="N105" s="2249"/>
      <c r="O105" s="2249"/>
      <c r="P105" s="2249"/>
      <c r="Q105" s="2249"/>
      <c r="R105" s="2249"/>
      <c r="S105" s="2249"/>
      <c r="T105" s="2249"/>
      <c r="U105" s="2249"/>
      <c r="V105" s="2249"/>
      <c r="W105" s="2249"/>
      <c r="X105" s="2249"/>
      <c r="Y105" s="2249"/>
      <c r="Z105" s="2249"/>
      <c r="AA105" s="2249"/>
      <c r="AB105" s="2249"/>
      <c r="AC105" s="2249"/>
      <c r="AD105" s="2249"/>
      <c r="AE105" s="2249"/>
      <c r="AF105" s="2249"/>
      <c r="AG105" s="2249"/>
      <c r="AH105" s="2249"/>
      <c r="AI105" s="2249"/>
      <c r="AJ105" s="2249"/>
      <c r="AK105" s="2249"/>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3"/>
      <c r="ET105" s="63"/>
      <c r="EU105" s="63"/>
      <c r="EV105" s="63"/>
      <c r="EW105" s="63"/>
      <c r="EX105" s="63"/>
      <c r="EY105" s="63"/>
      <c r="EZ105" s="63"/>
      <c r="FA105" s="63"/>
      <c r="FB105" s="63"/>
      <c r="FC105" s="63"/>
      <c r="FD105" s="63"/>
      <c r="FE105" s="63"/>
      <c r="FF105" s="63"/>
      <c r="FG105" s="63"/>
      <c r="FH105" s="63"/>
      <c r="FI105" s="63"/>
      <c r="FJ105" s="63"/>
      <c r="FK105" s="63"/>
      <c r="FL105" s="63"/>
      <c r="FM105" s="63"/>
      <c r="FN105" s="63"/>
      <c r="FO105" s="63"/>
      <c r="FP105" s="63"/>
      <c r="FQ105" s="63"/>
      <c r="FR105" s="63"/>
      <c r="FS105" s="63"/>
      <c r="FT105" s="63"/>
      <c r="FU105" s="63"/>
      <c r="FV105" s="63"/>
      <c r="FW105" s="63"/>
      <c r="FX105" s="63"/>
      <c r="FY105" s="63"/>
      <c r="FZ105" s="63"/>
      <c r="GA105" s="63"/>
      <c r="GB105" s="63"/>
      <c r="GC105" s="63"/>
      <c r="GD105" s="63"/>
      <c r="GE105" s="63"/>
      <c r="GF105" s="63"/>
      <c r="GG105" s="63"/>
      <c r="GH105" s="63"/>
      <c r="GI105" s="63"/>
      <c r="GJ105" s="63"/>
      <c r="GK105" s="63"/>
    </row>
    <row r="106" spans="1:193" ht="18" hidden="1" customHeight="1" x14ac:dyDescent="0.2">
      <c r="B106" s="47"/>
      <c r="C106" s="1171">
        <v>0.01</v>
      </c>
      <c r="D106" s="1171">
        <v>0.99</v>
      </c>
      <c r="E106" s="1170"/>
      <c r="F106" s="47"/>
      <c r="G106" s="47"/>
      <c r="H106" s="47"/>
      <c r="I106" s="47"/>
      <c r="J106" s="47"/>
      <c r="K106" s="47"/>
      <c r="L106" s="47"/>
      <c r="M106" s="47"/>
      <c r="N106" s="202"/>
      <c r="O106" s="202"/>
      <c r="P106" s="202"/>
      <c r="Q106" s="202"/>
      <c r="R106" s="202"/>
      <c r="S106" s="502"/>
      <c r="V106" s="502"/>
      <c r="W106" s="502"/>
      <c r="X106" s="502"/>
      <c r="Y106" s="502"/>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3"/>
      <c r="ET106" s="63"/>
      <c r="EU106" s="63"/>
      <c r="EV106" s="63"/>
      <c r="EW106" s="63"/>
      <c r="EX106" s="63"/>
      <c r="EY106" s="63"/>
      <c r="EZ106" s="63"/>
      <c r="FA106" s="63"/>
      <c r="FB106" s="63"/>
      <c r="FC106" s="63"/>
      <c r="FD106" s="63"/>
      <c r="FE106" s="63"/>
      <c r="FF106" s="63"/>
      <c r="FG106" s="63"/>
      <c r="FH106" s="63"/>
      <c r="FI106" s="63"/>
      <c r="FJ106" s="63"/>
      <c r="FK106" s="63"/>
      <c r="FL106" s="63"/>
      <c r="FM106" s="63"/>
      <c r="FN106" s="63"/>
      <c r="FO106" s="63"/>
      <c r="FP106" s="63"/>
      <c r="FQ106" s="63"/>
      <c r="FR106" s="63"/>
      <c r="FS106" s="63"/>
      <c r="FT106" s="63"/>
      <c r="FU106" s="63"/>
      <c r="FV106" s="63"/>
      <c r="FW106" s="63"/>
      <c r="FX106" s="63"/>
      <c r="FY106" s="63"/>
      <c r="FZ106" s="63"/>
      <c r="GA106" s="63"/>
      <c r="GB106" s="63"/>
      <c r="GC106" s="63"/>
      <c r="GD106" s="63"/>
      <c r="GE106" s="63"/>
      <c r="GF106" s="63"/>
      <c r="GG106" s="63"/>
      <c r="GH106" s="63"/>
      <c r="GI106" s="63"/>
      <c r="GJ106" s="63"/>
      <c r="GK106" s="63"/>
    </row>
    <row r="107" spans="1:193" hidden="1" x14ac:dyDescent="0.2">
      <c r="C107" s="994" t="s">
        <v>1809</v>
      </c>
      <c r="D107" s="994" t="s">
        <v>1810</v>
      </c>
      <c r="E107" s="994" t="s">
        <v>752</v>
      </c>
      <c r="F107" s="994" t="s">
        <v>470</v>
      </c>
      <c r="G107" s="994" t="s">
        <v>753</v>
      </c>
      <c r="H107" s="994" t="s">
        <v>754</v>
      </c>
      <c r="I107" s="994" t="s">
        <v>755</v>
      </c>
      <c r="J107" s="994" t="s">
        <v>756</v>
      </c>
      <c r="K107" s="994" t="s">
        <v>757</v>
      </c>
      <c r="L107" s="994" t="s">
        <v>758</v>
      </c>
      <c r="M107" s="994" t="s">
        <v>759</v>
      </c>
      <c r="N107" s="994" t="s">
        <v>760</v>
      </c>
      <c r="O107" s="994" t="s">
        <v>761</v>
      </c>
      <c r="P107" s="994" t="s">
        <v>762</v>
      </c>
      <c r="Q107" s="994" t="s">
        <v>763</v>
      </c>
      <c r="R107" s="1004" t="s">
        <v>764</v>
      </c>
      <c r="S107" s="1004" t="s">
        <v>765</v>
      </c>
      <c r="V107" s="502"/>
      <c r="W107" s="502"/>
      <c r="X107" s="502"/>
      <c r="Y107" s="502"/>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3"/>
      <c r="ET107" s="63"/>
      <c r="EU107" s="63"/>
      <c r="EV107" s="63"/>
      <c r="EW107" s="63"/>
      <c r="EX107" s="63"/>
      <c r="EY107" s="63"/>
      <c r="EZ107" s="63"/>
      <c r="FA107" s="63"/>
      <c r="FB107" s="63"/>
      <c r="FC107" s="63"/>
      <c r="FD107" s="63"/>
      <c r="FE107" s="63"/>
      <c r="FF107" s="63"/>
      <c r="FG107" s="63"/>
      <c r="FH107" s="63"/>
      <c r="FI107" s="63"/>
      <c r="FJ107" s="63"/>
      <c r="FK107" s="63"/>
      <c r="FL107" s="63"/>
      <c r="FM107" s="63"/>
      <c r="FN107" s="63"/>
      <c r="FO107" s="63"/>
      <c r="FP107" s="63"/>
      <c r="FQ107" s="63"/>
      <c r="FR107" s="63"/>
      <c r="FS107" s="63"/>
      <c r="FT107" s="63"/>
      <c r="FU107" s="63"/>
      <c r="FV107" s="63"/>
      <c r="FW107" s="63"/>
      <c r="FX107" s="63"/>
      <c r="FY107" s="63"/>
      <c r="FZ107" s="63"/>
      <c r="GA107" s="63"/>
      <c r="GB107" s="63"/>
      <c r="GC107" s="63"/>
      <c r="GD107" s="63"/>
      <c r="GE107" s="63"/>
      <c r="GF107" s="63"/>
      <c r="GG107" s="63"/>
      <c r="GH107" s="63"/>
      <c r="GI107" s="63"/>
      <c r="GJ107" s="63"/>
      <c r="GK107" s="63"/>
    </row>
    <row r="108" spans="1:193" hidden="1" x14ac:dyDescent="0.2">
      <c r="C108" s="35">
        <v>0</v>
      </c>
      <c r="D108" s="35">
        <v>0</v>
      </c>
      <c r="E108" s="35">
        <v>5</v>
      </c>
      <c r="F108" s="35">
        <v>10</v>
      </c>
      <c r="G108" s="35">
        <v>15</v>
      </c>
      <c r="H108" s="35">
        <v>25</v>
      </c>
      <c r="I108" s="35">
        <v>35</v>
      </c>
      <c r="J108" s="35">
        <v>40</v>
      </c>
      <c r="K108" s="35">
        <v>45</v>
      </c>
      <c r="L108" s="35">
        <v>50</v>
      </c>
      <c r="M108" s="35">
        <v>60</v>
      </c>
      <c r="N108" s="35">
        <v>70</v>
      </c>
      <c r="O108" s="35">
        <v>80</v>
      </c>
      <c r="P108" s="35">
        <v>85</v>
      </c>
      <c r="Q108" s="35">
        <v>90</v>
      </c>
      <c r="R108" s="502">
        <v>95</v>
      </c>
      <c r="S108" s="502">
        <v>100</v>
      </c>
      <c r="V108" s="502"/>
      <c r="W108" s="502"/>
      <c r="X108" s="502"/>
      <c r="Y108" s="502"/>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3"/>
      <c r="ET108" s="63"/>
      <c r="EU108" s="63"/>
      <c r="EV108" s="63"/>
      <c r="EW108" s="63"/>
      <c r="EX108" s="63"/>
      <c r="EY108" s="63"/>
      <c r="EZ108" s="63"/>
      <c r="FA108" s="63"/>
      <c r="FB108" s="63"/>
      <c r="FC108" s="63"/>
      <c r="FD108" s="63"/>
      <c r="FE108" s="63"/>
      <c r="FF108" s="63"/>
      <c r="FG108" s="63"/>
      <c r="FH108" s="63"/>
      <c r="FI108" s="63"/>
      <c r="FJ108" s="63"/>
      <c r="FK108" s="63"/>
      <c r="FL108" s="63"/>
      <c r="FM108" s="63"/>
      <c r="FN108" s="63"/>
      <c r="FO108" s="63"/>
      <c r="FP108" s="63"/>
      <c r="FQ108" s="63"/>
      <c r="FR108" s="63"/>
      <c r="FS108" s="63"/>
      <c r="FT108" s="63"/>
      <c r="FU108" s="63"/>
      <c r="FV108" s="63"/>
      <c r="FW108" s="63"/>
      <c r="FX108" s="63"/>
      <c r="FY108" s="63"/>
      <c r="FZ108" s="63"/>
      <c r="GA108" s="63"/>
      <c r="GB108" s="63"/>
      <c r="GC108" s="63"/>
      <c r="GD108" s="63"/>
      <c r="GE108" s="63"/>
      <c r="GF108" s="63"/>
      <c r="GG108" s="63"/>
      <c r="GH108" s="63"/>
      <c r="GI108" s="63"/>
      <c r="GJ108" s="63"/>
      <c r="GK108" s="63"/>
    </row>
    <row r="109" spans="1:193" s="503" customFormat="1" hidden="1" x14ac:dyDescent="0.2">
      <c r="C109" s="503" t="s">
        <v>1522</v>
      </c>
      <c r="D109" s="503" t="s">
        <v>1523</v>
      </c>
      <c r="E109" s="503" t="s">
        <v>1524</v>
      </c>
      <c r="F109" s="503" t="s">
        <v>1540</v>
      </c>
      <c r="G109" s="503" t="s">
        <v>1541</v>
      </c>
      <c r="H109" s="503" t="s">
        <v>1542</v>
      </c>
      <c r="I109" s="503" t="s">
        <v>1543</v>
      </c>
      <c r="J109" s="503" t="s">
        <v>988</v>
      </c>
      <c r="K109" s="503" t="s">
        <v>989</v>
      </c>
      <c r="L109" s="503" t="s">
        <v>990</v>
      </c>
      <c r="M109" s="503" t="s">
        <v>991</v>
      </c>
      <c r="N109" s="503" t="s">
        <v>992</v>
      </c>
      <c r="O109" s="503" t="s">
        <v>993</v>
      </c>
      <c r="P109" s="503" t="s">
        <v>1395</v>
      </c>
      <c r="Q109" s="503" t="s">
        <v>1396</v>
      </c>
      <c r="R109" s="502" t="s">
        <v>764</v>
      </c>
      <c r="S109" s="502" t="s">
        <v>765</v>
      </c>
      <c r="AI109" s="146"/>
      <c r="AJ109" s="146"/>
      <c r="AK109" s="146"/>
      <c r="AL109" s="146"/>
      <c r="AM109" s="146"/>
      <c r="AN109" s="146"/>
      <c r="AO109" s="146"/>
      <c r="AP109" s="146"/>
      <c r="AQ109" s="146"/>
      <c r="AR109" s="146"/>
      <c r="AS109" s="146"/>
      <c r="AT109" s="146"/>
      <c r="AU109" s="146"/>
      <c r="AV109" s="146"/>
      <c r="AW109" s="146"/>
      <c r="AX109" s="146"/>
      <c r="AY109" s="146"/>
      <c r="AZ109" s="146"/>
      <c r="BA109" s="146"/>
      <c r="BB109" s="146"/>
      <c r="BC109" s="146"/>
      <c r="BD109" s="146"/>
      <c r="BE109" s="146"/>
      <c r="BF109" s="146"/>
      <c r="BG109" s="146"/>
      <c r="BH109" s="146"/>
      <c r="BI109" s="146"/>
      <c r="BJ109" s="146"/>
      <c r="BK109" s="146"/>
      <c r="BL109" s="146"/>
      <c r="BM109" s="146"/>
      <c r="BN109" s="146"/>
      <c r="BO109" s="146"/>
      <c r="BP109" s="146"/>
      <c r="BQ109" s="146"/>
      <c r="BR109" s="146"/>
      <c r="BS109" s="146"/>
      <c r="BT109" s="146"/>
      <c r="BU109" s="146"/>
      <c r="BV109" s="146"/>
      <c r="BW109" s="146"/>
      <c r="BX109" s="146"/>
      <c r="BY109" s="146"/>
      <c r="BZ109" s="146"/>
      <c r="CA109" s="146"/>
      <c r="CB109" s="146"/>
      <c r="CC109" s="146"/>
      <c r="CD109" s="146"/>
      <c r="CE109" s="146"/>
      <c r="CF109" s="146"/>
      <c r="CG109" s="146"/>
      <c r="CH109" s="146"/>
      <c r="CI109" s="146"/>
      <c r="CJ109" s="146"/>
      <c r="CK109" s="146"/>
      <c r="CL109" s="146"/>
      <c r="CM109" s="146"/>
      <c r="CN109" s="146"/>
      <c r="CO109" s="146"/>
      <c r="CP109" s="146"/>
      <c r="CQ109" s="146"/>
      <c r="CR109" s="146"/>
      <c r="CS109" s="146"/>
      <c r="CT109" s="146"/>
      <c r="CU109" s="146"/>
      <c r="CV109" s="146"/>
      <c r="CW109" s="146"/>
      <c r="CX109" s="146"/>
      <c r="CY109" s="146"/>
      <c r="CZ109" s="146"/>
      <c r="DA109" s="146"/>
      <c r="DB109" s="146"/>
      <c r="DC109" s="146"/>
      <c r="DD109" s="146"/>
      <c r="DE109" s="63"/>
      <c r="DF109" s="63"/>
      <c r="DG109" s="146"/>
      <c r="DH109" s="146"/>
      <c r="DI109" s="146"/>
      <c r="DJ109" s="146"/>
      <c r="DK109" s="146"/>
      <c r="DL109" s="146"/>
      <c r="DM109" s="146"/>
      <c r="DN109" s="146"/>
      <c r="DO109" s="146"/>
      <c r="DP109" s="146"/>
      <c r="DQ109" s="146"/>
      <c r="DR109" s="146"/>
      <c r="DS109" s="146"/>
      <c r="DT109" s="146"/>
      <c r="DU109" s="146"/>
      <c r="DV109" s="146"/>
      <c r="DW109" s="146"/>
      <c r="DX109" s="146"/>
      <c r="DY109" s="146"/>
      <c r="DZ109" s="146"/>
      <c r="EA109" s="146"/>
      <c r="EB109" s="146"/>
      <c r="EC109" s="146"/>
      <c r="ED109" s="146"/>
      <c r="EE109" s="146"/>
      <c r="EF109" s="146"/>
      <c r="EG109" s="146"/>
      <c r="EH109" s="146"/>
      <c r="EI109" s="146"/>
      <c r="EJ109" s="146"/>
      <c r="EK109" s="146"/>
      <c r="EL109" s="146"/>
      <c r="EM109" s="146"/>
      <c r="EN109" s="146"/>
      <c r="EO109" s="146"/>
      <c r="EP109" s="146"/>
      <c r="EQ109" s="146"/>
      <c r="ER109" s="146"/>
      <c r="ES109" s="146"/>
      <c r="ET109" s="146"/>
      <c r="EU109" s="146"/>
      <c r="EV109" s="146"/>
      <c r="EW109" s="146"/>
      <c r="EX109" s="146"/>
      <c r="EY109" s="146"/>
      <c r="EZ109" s="146"/>
      <c r="FA109" s="146"/>
      <c r="FB109" s="146"/>
      <c r="FC109" s="146"/>
      <c r="FD109" s="146"/>
      <c r="FE109" s="146"/>
      <c r="FF109" s="146"/>
      <c r="FG109" s="146"/>
      <c r="FH109" s="146"/>
      <c r="FI109" s="146"/>
      <c r="FJ109" s="146"/>
      <c r="FK109" s="146"/>
      <c r="FL109" s="146"/>
      <c r="FM109" s="146"/>
      <c r="FN109" s="146"/>
      <c r="FO109" s="146"/>
      <c r="FP109" s="146"/>
      <c r="FQ109" s="146"/>
      <c r="FR109" s="146"/>
      <c r="FS109" s="146"/>
      <c r="FT109" s="146"/>
      <c r="FU109" s="146"/>
      <c r="FV109" s="146"/>
      <c r="FW109" s="146"/>
      <c r="FX109" s="146"/>
      <c r="FY109" s="146"/>
      <c r="FZ109" s="146"/>
      <c r="GA109" s="146"/>
      <c r="GB109" s="146"/>
      <c r="GC109" s="146"/>
      <c r="GD109" s="146"/>
      <c r="GE109" s="146"/>
      <c r="GF109" s="146"/>
      <c r="GG109" s="146"/>
      <c r="GH109" s="146"/>
      <c r="GI109" s="146"/>
      <c r="GJ109" s="146"/>
      <c r="GK109" s="146"/>
    </row>
    <row r="110" spans="1:193" hidden="1" x14ac:dyDescent="0.2">
      <c r="C110" s="35">
        <v>0</v>
      </c>
      <c r="D110" s="35">
        <v>0</v>
      </c>
      <c r="E110" s="35">
        <v>5</v>
      </c>
      <c r="F110" s="35">
        <v>10</v>
      </c>
      <c r="G110" s="35">
        <v>15</v>
      </c>
      <c r="H110" s="35">
        <v>25</v>
      </c>
      <c r="I110" s="35">
        <v>35</v>
      </c>
      <c r="J110" s="35">
        <v>40</v>
      </c>
      <c r="K110" s="35">
        <v>45</v>
      </c>
      <c r="L110" s="35">
        <v>50</v>
      </c>
      <c r="M110" s="35">
        <v>60</v>
      </c>
      <c r="N110" s="35">
        <v>70</v>
      </c>
      <c r="O110" s="35">
        <v>80</v>
      </c>
      <c r="P110" s="35">
        <v>85</v>
      </c>
      <c r="Q110" s="35">
        <v>90</v>
      </c>
      <c r="R110" s="502">
        <v>95</v>
      </c>
      <c r="S110" s="502">
        <v>100</v>
      </c>
      <c r="V110" s="502"/>
      <c r="W110" s="502"/>
      <c r="X110" s="502"/>
      <c r="Y110" s="502"/>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3"/>
      <c r="ET110" s="63"/>
      <c r="EU110" s="63"/>
      <c r="EV110" s="63"/>
      <c r="EW110" s="63"/>
      <c r="EX110" s="63"/>
      <c r="EY110" s="63"/>
      <c r="EZ110" s="63"/>
      <c r="FA110" s="63"/>
      <c r="FB110" s="63"/>
      <c r="FC110" s="63"/>
      <c r="FD110" s="63"/>
      <c r="FE110" s="63"/>
      <c r="FF110" s="63"/>
      <c r="FG110" s="63"/>
      <c r="FH110" s="63"/>
      <c r="FI110" s="63"/>
      <c r="FJ110" s="63"/>
      <c r="FK110" s="63"/>
      <c r="FL110" s="63"/>
      <c r="FM110" s="63"/>
      <c r="FN110" s="63"/>
      <c r="FO110" s="63"/>
      <c r="FP110" s="63"/>
      <c r="FQ110" s="63"/>
      <c r="FR110" s="63"/>
      <c r="FS110" s="63"/>
      <c r="FT110" s="63"/>
      <c r="FU110" s="63"/>
      <c r="FV110" s="63"/>
      <c r="FW110" s="63"/>
      <c r="FX110" s="63"/>
      <c r="FY110" s="63"/>
      <c r="FZ110" s="63"/>
      <c r="GA110" s="63"/>
      <c r="GB110" s="63"/>
      <c r="GC110" s="63"/>
      <c r="GD110" s="63"/>
      <c r="GE110" s="63"/>
      <c r="GF110" s="63"/>
      <c r="GG110" s="63"/>
      <c r="GH110" s="63"/>
      <c r="GI110" s="63"/>
      <c r="GJ110" s="63"/>
      <c r="GK110" s="63"/>
    </row>
    <row r="111" spans="1:193" hidden="1" x14ac:dyDescent="0.2">
      <c r="C111" s="35" t="s">
        <v>1397</v>
      </c>
      <c r="D111" s="35" t="s">
        <v>1398</v>
      </c>
      <c r="E111" s="35" t="s">
        <v>1399</v>
      </c>
      <c r="F111" s="35" t="s">
        <v>1400</v>
      </c>
      <c r="G111" s="35" t="s">
        <v>1401</v>
      </c>
      <c r="H111" s="35" t="s">
        <v>1402</v>
      </c>
      <c r="I111" s="35" t="s">
        <v>1403</v>
      </c>
      <c r="J111" s="35" t="s">
        <v>1404</v>
      </c>
      <c r="K111" s="35" t="s">
        <v>747</v>
      </c>
      <c r="L111" s="35" t="s">
        <v>748</v>
      </c>
      <c r="M111" s="35" t="s">
        <v>510</v>
      </c>
      <c r="N111" s="35" t="s">
        <v>1108</v>
      </c>
      <c r="O111" s="35" t="s">
        <v>1109</v>
      </c>
      <c r="P111" s="35" t="s">
        <v>1110</v>
      </c>
      <c r="R111" s="502"/>
      <c r="S111" s="502"/>
      <c r="V111" s="502"/>
      <c r="W111" s="502"/>
      <c r="X111" s="502"/>
      <c r="Y111" s="502"/>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3"/>
      <c r="ET111" s="63"/>
      <c r="EU111" s="63"/>
      <c r="EV111" s="63"/>
      <c r="EW111" s="63"/>
      <c r="EX111" s="63"/>
      <c r="EY111" s="63"/>
      <c r="EZ111" s="63"/>
      <c r="FA111" s="63"/>
      <c r="FB111" s="63"/>
      <c r="FC111" s="63"/>
      <c r="FD111" s="63"/>
      <c r="FE111" s="63"/>
      <c r="FF111" s="63"/>
      <c r="FG111" s="63"/>
      <c r="FH111" s="63"/>
      <c r="FI111" s="63"/>
      <c r="FJ111" s="63"/>
      <c r="FK111" s="63"/>
      <c r="FL111" s="63"/>
      <c r="FM111" s="63"/>
      <c r="FN111" s="63"/>
      <c r="FO111" s="63"/>
      <c r="FP111" s="63"/>
      <c r="FQ111" s="63"/>
      <c r="FR111" s="63"/>
      <c r="FS111" s="63"/>
      <c r="FT111" s="63"/>
      <c r="FU111" s="63"/>
      <c r="FV111" s="63"/>
      <c r="FW111" s="63"/>
      <c r="FX111" s="63"/>
      <c r="FY111" s="63"/>
      <c r="FZ111" s="63"/>
      <c r="GA111" s="63"/>
      <c r="GB111" s="63"/>
      <c r="GC111" s="63"/>
      <c r="GD111" s="63"/>
      <c r="GE111" s="63"/>
      <c r="GF111" s="63"/>
      <c r="GG111" s="63"/>
      <c r="GH111" s="63"/>
      <c r="GI111" s="63"/>
      <c r="GJ111" s="63"/>
      <c r="GK111" s="63"/>
    </row>
    <row r="112" spans="1:193" hidden="1" x14ac:dyDescent="0.2">
      <c r="C112" s="35">
        <v>0</v>
      </c>
      <c r="D112" s="35">
        <v>0</v>
      </c>
      <c r="E112" s="35">
        <v>5</v>
      </c>
      <c r="F112" s="35">
        <v>7</v>
      </c>
      <c r="G112" s="35">
        <v>10</v>
      </c>
      <c r="H112" s="35">
        <v>50</v>
      </c>
      <c r="I112" s="35">
        <v>55</v>
      </c>
      <c r="J112" s="35">
        <v>60</v>
      </c>
      <c r="K112" s="35">
        <v>80</v>
      </c>
      <c r="L112" s="35">
        <v>85</v>
      </c>
      <c r="M112" s="35">
        <v>87</v>
      </c>
      <c r="N112" s="35">
        <v>90</v>
      </c>
      <c r="O112" s="35">
        <v>95</v>
      </c>
      <c r="P112" s="35">
        <v>98</v>
      </c>
      <c r="R112" s="502"/>
      <c r="S112" s="502"/>
      <c r="V112" s="502"/>
      <c r="W112" s="502"/>
      <c r="X112" s="502"/>
      <c r="Y112" s="502"/>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3"/>
      <c r="ET112" s="63"/>
      <c r="EU112" s="63"/>
      <c r="EV112" s="63"/>
      <c r="EW112" s="63"/>
      <c r="EX112" s="63"/>
      <c r="EY112" s="63"/>
      <c r="EZ112" s="63"/>
      <c r="FA112" s="63"/>
      <c r="FB112" s="63"/>
      <c r="FC112" s="63"/>
      <c r="FD112" s="63"/>
      <c r="FE112" s="63"/>
      <c r="FF112" s="63"/>
      <c r="FG112" s="63"/>
      <c r="FH112" s="63"/>
      <c r="FI112" s="63"/>
      <c r="FJ112" s="63"/>
      <c r="FK112" s="63"/>
      <c r="FL112" s="63"/>
      <c r="FM112" s="63"/>
      <c r="FN112" s="63"/>
      <c r="FO112" s="63"/>
      <c r="FP112" s="63"/>
      <c r="FQ112" s="63"/>
      <c r="FR112" s="63"/>
      <c r="FS112" s="63"/>
      <c r="FT112" s="63"/>
      <c r="FU112" s="63"/>
      <c r="FV112" s="63"/>
      <c r="FW112" s="63"/>
      <c r="FX112" s="63"/>
      <c r="FY112" s="63"/>
      <c r="FZ112" s="63"/>
      <c r="GA112" s="63"/>
      <c r="GB112" s="63"/>
      <c r="GC112" s="63"/>
      <c r="GD112" s="63"/>
      <c r="GE112" s="63"/>
      <c r="GF112" s="63"/>
      <c r="GG112" s="63"/>
      <c r="GH112" s="63"/>
      <c r="GI112" s="63"/>
      <c r="GJ112" s="63"/>
      <c r="GK112" s="63"/>
    </row>
    <row r="113" spans="2:253" hidden="1" x14ac:dyDescent="0.2">
      <c r="C113" s="35">
        <v>1</v>
      </c>
      <c r="D113" s="35">
        <v>2</v>
      </c>
      <c r="E113" s="35">
        <v>3</v>
      </c>
      <c r="F113" s="35">
        <v>4</v>
      </c>
      <c r="G113" s="35">
        <v>5</v>
      </c>
      <c r="H113" s="35">
        <v>6</v>
      </c>
      <c r="I113" s="35">
        <v>7</v>
      </c>
      <c r="J113" s="35">
        <v>8</v>
      </c>
      <c r="K113" s="35">
        <v>9</v>
      </c>
      <c r="L113" s="35">
        <v>10</v>
      </c>
      <c r="M113" s="35">
        <v>11</v>
      </c>
      <c r="N113" s="35">
        <v>12</v>
      </c>
      <c r="O113" s="35">
        <v>13</v>
      </c>
      <c r="P113" s="35">
        <v>14</v>
      </c>
      <c r="R113" s="502"/>
      <c r="S113" s="502"/>
      <c r="V113" s="502"/>
      <c r="W113" s="502"/>
      <c r="X113" s="502"/>
      <c r="Y113" s="502"/>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3"/>
      <c r="ET113" s="63"/>
      <c r="EU113" s="63"/>
      <c r="EV113" s="63"/>
      <c r="EW113" s="63"/>
      <c r="EX113" s="63"/>
      <c r="EY113" s="63"/>
      <c r="EZ113" s="63"/>
      <c r="FA113" s="63"/>
      <c r="FB113" s="63"/>
      <c r="FC113" s="63"/>
      <c r="FD113" s="63"/>
      <c r="FE113" s="63"/>
      <c r="FF113" s="63"/>
      <c r="FG113" s="63"/>
      <c r="FH113" s="63"/>
      <c r="FI113" s="63"/>
      <c r="FJ113" s="63"/>
      <c r="FK113" s="63"/>
      <c r="FL113" s="63"/>
      <c r="FM113" s="63"/>
      <c r="FN113" s="63"/>
      <c r="FO113" s="63"/>
      <c r="FP113" s="63"/>
      <c r="FQ113" s="63"/>
      <c r="FR113" s="63"/>
      <c r="FS113" s="63"/>
      <c r="FT113" s="63"/>
      <c r="FU113" s="63"/>
      <c r="FV113" s="63"/>
      <c r="FW113" s="63"/>
      <c r="FX113" s="63"/>
      <c r="FY113" s="63"/>
      <c r="FZ113" s="63"/>
      <c r="GA113" s="63"/>
      <c r="GB113" s="63"/>
      <c r="GC113" s="63"/>
      <c r="GD113" s="63"/>
      <c r="GE113" s="63"/>
      <c r="GF113" s="63"/>
      <c r="GG113" s="63"/>
      <c r="GH113" s="63"/>
      <c r="GI113" s="63"/>
      <c r="GJ113" s="63"/>
      <c r="GK113" s="63"/>
    </row>
    <row r="114" spans="2:253" hidden="1" x14ac:dyDescent="0.2">
      <c r="C114" s="35">
        <v>0</v>
      </c>
      <c r="D114" s="35">
        <v>0</v>
      </c>
      <c r="E114" s="35">
        <v>5</v>
      </c>
      <c r="F114" s="35">
        <v>7</v>
      </c>
      <c r="G114" s="35">
        <v>10</v>
      </c>
      <c r="H114" s="35">
        <v>50</v>
      </c>
      <c r="I114" s="35">
        <v>55</v>
      </c>
      <c r="J114" s="35">
        <v>60</v>
      </c>
      <c r="K114" s="35">
        <v>80</v>
      </c>
      <c r="L114" s="35">
        <v>85</v>
      </c>
      <c r="M114" s="35">
        <v>87</v>
      </c>
      <c r="N114" s="35">
        <v>90</v>
      </c>
      <c r="O114" s="35">
        <v>95</v>
      </c>
      <c r="P114" s="35">
        <v>98</v>
      </c>
      <c r="R114" s="502"/>
      <c r="S114" s="502"/>
      <c r="V114" s="502"/>
      <c r="W114" s="502"/>
      <c r="X114" s="502"/>
      <c r="Y114" s="502"/>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3"/>
      <c r="ET114" s="63"/>
      <c r="EU114" s="63"/>
      <c r="EV114" s="63"/>
      <c r="EW114" s="63"/>
      <c r="EX114" s="63"/>
      <c r="EY114" s="63"/>
      <c r="EZ114" s="63"/>
      <c r="FA114" s="63"/>
      <c r="FB114" s="63"/>
      <c r="FC114" s="63"/>
      <c r="FD114" s="63"/>
      <c r="FE114" s="63"/>
      <c r="FF114" s="63"/>
      <c r="FG114" s="63"/>
      <c r="FH114" s="63"/>
      <c r="FI114" s="63"/>
      <c r="FJ114" s="63"/>
      <c r="FK114" s="63"/>
      <c r="FL114" s="63"/>
      <c r="FM114" s="63"/>
      <c r="FN114" s="63"/>
      <c r="FO114" s="63"/>
      <c r="FP114" s="63"/>
      <c r="FQ114" s="63"/>
      <c r="FR114" s="63"/>
      <c r="FS114" s="63"/>
      <c r="FT114" s="63"/>
      <c r="FU114" s="63"/>
      <c r="FV114" s="63"/>
      <c r="FW114" s="63"/>
      <c r="FX114" s="63"/>
      <c r="FY114" s="63"/>
      <c r="FZ114" s="63"/>
      <c r="GA114" s="63"/>
      <c r="GB114" s="63"/>
      <c r="GC114" s="63"/>
      <c r="GD114" s="63"/>
      <c r="GE114" s="63"/>
      <c r="GF114" s="63"/>
      <c r="GG114" s="63"/>
      <c r="GH114" s="63"/>
      <c r="GI114" s="63"/>
      <c r="GJ114" s="63"/>
      <c r="GK114" s="63"/>
    </row>
    <row r="115" spans="2:253" hidden="1" x14ac:dyDescent="0.2">
      <c r="C115" s="35">
        <v>3</v>
      </c>
      <c r="D115" s="35">
        <v>4</v>
      </c>
      <c r="E115" s="35">
        <v>5</v>
      </c>
      <c r="F115" s="35">
        <v>6</v>
      </c>
      <c r="G115" s="35">
        <v>7</v>
      </c>
      <c r="H115" s="35">
        <v>8</v>
      </c>
      <c r="I115" s="35">
        <v>9</v>
      </c>
      <c r="J115" s="35">
        <v>10</v>
      </c>
      <c r="K115" s="35">
        <v>11</v>
      </c>
      <c r="L115" s="35">
        <v>12</v>
      </c>
      <c r="M115" s="35">
        <v>13</v>
      </c>
      <c r="N115" s="35">
        <v>14</v>
      </c>
      <c r="O115" s="35">
        <v>21</v>
      </c>
      <c r="P115" s="35">
        <v>23</v>
      </c>
      <c r="R115" s="502"/>
      <c r="S115" s="502"/>
      <c r="V115" s="502"/>
      <c r="W115" s="502"/>
      <c r="X115" s="502"/>
      <c r="Y115" s="502"/>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3"/>
      <c r="ET115" s="63"/>
      <c r="EU115" s="63"/>
      <c r="EV115" s="63"/>
      <c r="EW115" s="63"/>
      <c r="EX115" s="63"/>
      <c r="EY115" s="63"/>
      <c r="EZ115" s="63"/>
      <c r="FA115" s="63"/>
      <c r="FB115" s="63"/>
      <c r="FC115" s="63"/>
      <c r="FD115" s="63"/>
      <c r="FE115" s="63"/>
      <c r="FF115" s="63"/>
      <c r="FG115" s="63"/>
      <c r="FH115" s="63"/>
      <c r="FI115" s="63"/>
      <c r="FJ115" s="63"/>
      <c r="FK115" s="63"/>
      <c r="FL115" s="63"/>
      <c r="FM115" s="63"/>
      <c r="FN115" s="63"/>
      <c r="FO115" s="63"/>
      <c r="FP115" s="63"/>
      <c r="FQ115" s="63"/>
      <c r="FR115" s="63"/>
      <c r="FS115" s="63"/>
      <c r="FT115" s="63"/>
      <c r="FU115" s="63"/>
      <c r="FV115" s="63"/>
      <c r="FW115" s="63"/>
      <c r="FX115" s="63"/>
      <c r="FY115" s="63"/>
      <c r="FZ115" s="63"/>
      <c r="GA115" s="63"/>
      <c r="GB115" s="63"/>
      <c r="GC115" s="63"/>
      <c r="GD115" s="63"/>
      <c r="GE115" s="63"/>
      <c r="GF115" s="63"/>
      <c r="GG115" s="63"/>
      <c r="GH115" s="63"/>
      <c r="GI115" s="63"/>
      <c r="GJ115" s="63"/>
      <c r="GK115" s="63"/>
    </row>
    <row r="116" spans="2:253" hidden="1" x14ac:dyDescent="0.2">
      <c r="C116" s="35">
        <v>0</v>
      </c>
      <c r="D116" s="35">
        <v>0</v>
      </c>
      <c r="E116" s="35">
        <v>5</v>
      </c>
      <c r="F116" s="35">
        <v>7</v>
      </c>
      <c r="G116" s="35">
        <v>10</v>
      </c>
      <c r="H116" s="35">
        <v>50</v>
      </c>
      <c r="I116" s="35">
        <v>55</v>
      </c>
      <c r="J116" s="35">
        <v>60</v>
      </c>
      <c r="K116" s="35">
        <v>80</v>
      </c>
      <c r="L116" s="35">
        <v>85</v>
      </c>
      <c r="M116" s="35">
        <v>87</v>
      </c>
      <c r="N116" s="35">
        <v>90</v>
      </c>
      <c r="O116" s="35">
        <v>95</v>
      </c>
      <c r="P116" s="35">
        <v>98</v>
      </c>
      <c r="R116" s="502"/>
      <c r="S116" s="502"/>
      <c r="V116" s="502"/>
      <c r="W116" s="502"/>
      <c r="X116" s="502"/>
      <c r="Y116" s="502"/>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3"/>
      <c r="ET116" s="63"/>
      <c r="EU116" s="63"/>
      <c r="EV116" s="63"/>
      <c r="EW116" s="63"/>
      <c r="EX116" s="63"/>
      <c r="EY116" s="63"/>
      <c r="EZ116" s="63"/>
      <c r="FA116" s="63"/>
      <c r="FB116" s="63"/>
      <c r="FC116" s="63"/>
      <c r="FD116" s="63"/>
      <c r="FE116" s="63"/>
      <c r="FF116" s="63"/>
      <c r="FG116" s="63"/>
      <c r="FH116" s="63"/>
      <c r="FI116" s="63"/>
      <c r="FJ116" s="63"/>
      <c r="FK116" s="63"/>
      <c r="FL116" s="63"/>
      <c r="FM116" s="63"/>
      <c r="FN116" s="63"/>
      <c r="FO116" s="63"/>
      <c r="FP116" s="63"/>
      <c r="FQ116" s="63"/>
      <c r="FR116" s="63"/>
      <c r="FS116" s="63"/>
      <c r="FT116" s="63"/>
      <c r="FU116" s="63"/>
      <c r="FV116" s="63"/>
      <c r="FW116" s="63"/>
      <c r="FX116" s="63"/>
      <c r="FY116" s="63"/>
      <c r="FZ116" s="63"/>
      <c r="GA116" s="63"/>
      <c r="GB116" s="63"/>
      <c r="GC116" s="63"/>
      <c r="GD116" s="63"/>
      <c r="GE116" s="63"/>
      <c r="GF116" s="63"/>
      <c r="GG116" s="63"/>
      <c r="GH116" s="63"/>
      <c r="GI116" s="63"/>
      <c r="GJ116" s="63"/>
      <c r="GK116" s="63"/>
    </row>
    <row r="117" spans="2:253" hidden="1" x14ac:dyDescent="0.2">
      <c r="C117" s="35" t="s">
        <v>1111</v>
      </c>
      <c r="D117" s="35" t="s">
        <v>1112</v>
      </c>
      <c r="E117" s="35" t="s">
        <v>229</v>
      </c>
      <c r="R117" s="502"/>
      <c r="S117" s="502"/>
      <c r="V117" s="502"/>
      <c r="W117" s="502"/>
      <c r="X117" s="502"/>
      <c r="Y117" s="502"/>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3"/>
      <c r="ET117" s="63"/>
      <c r="EU117" s="63"/>
      <c r="EV117" s="63"/>
      <c r="EW117" s="63"/>
      <c r="EX117" s="63"/>
      <c r="EY117" s="63"/>
      <c r="EZ117" s="63"/>
      <c r="FA117" s="63"/>
      <c r="FB117" s="63"/>
      <c r="FC117" s="63"/>
      <c r="FD117" s="63"/>
      <c r="FE117" s="63"/>
      <c r="FF117" s="63"/>
      <c r="FG117" s="63"/>
      <c r="FH117" s="63"/>
      <c r="FI117" s="63"/>
      <c r="FJ117" s="63"/>
      <c r="FK117" s="63"/>
      <c r="FL117" s="63"/>
      <c r="FM117" s="63"/>
      <c r="FN117" s="63"/>
      <c r="FO117" s="63"/>
      <c r="FP117" s="63"/>
      <c r="FQ117" s="63"/>
      <c r="FR117" s="63"/>
      <c r="FS117" s="63"/>
      <c r="FT117" s="63"/>
      <c r="FU117" s="63"/>
      <c r="FV117" s="63"/>
      <c r="FW117" s="63"/>
      <c r="FX117" s="63"/>
      <c r="FY117" s="63"/>
      <c r="FZ117" s="63"/>
      <c r="GA117" s="63"/>
      <c r="GB117" s="63"/>
      <c r="GC117" s="63"/>
      <c r="GD117" s="63"/>
      <c r="GE117" s="63"/>
      <c r="GF117" s="63"/>
      <c r="GG117" s="63"/>
      <c r="GH117" s="63"/>
      <c r="GI117" s="63"/>
      <c r="GJ117" s="63"/>
      <c r="GK117" s="63"/>
    </row>
    <row r="118" spans="2:253" hidden="1" x14ac:dyDescent="0.2">
      <c r="C118" s="35">
        <v>0</v>
      </c>
      <c r="D118" s="35">
        <v>1</v>
      </c>
      <c r="E118" s="35">
        <v>2</v>
      </c>
      <c r="F118" s="35">
        <v>3</v>
      </c>
      <c r="G118" s="35">
        <v>4</v>
      </c>
      <c r="H118" s="35">
        <v>5</v>
      </c>
      <c r="I118" s="35">
        <v>6</v>
      </c>
      <c r="J118" s="35">
        <v>7</v>
      </c>
      <c r="K118" s="35">
        <v>8</v>
      </c>
      <c r="L118" s="35">
        <v>9</v>
      </c>
      <c r="M118" s="35">
        <v>10</v>
      </c>
      <c r="N118" s="35">
        <v>11</v>
      </c>
      <c r="O118" s="35">
        <v>12</v>
      </c>
      <c r="P118" s="35">
        <v>13</v>
      </c>
      <c r="Q118" s="35">
        <v>14</v>
      </c>
      <c r="R118" s="35">
        <v>15</v>
      </c>
      <c r="S118" s="35">
        <v>16</v>
      </c>
      <c r="T118" s="35">
        <v>17</v>
      </c>
      <c r="U118" s="35">
        <v>18</v>
      </c>
      <c r="V118" s="35">
        <v>19</v>
      </c>
      <c r="W118" s="35">
        <v>20</v>
      </c>
      <c r="X118" s="35">
        <v>21</v>
      </c>
      <c r="Y118" s="35">
        <v>22</v>
      </c>
      <c r="Z118" s="35">
        <v>23</v>
      </c>
      <c r="AA118" s="35">
        <v>24</v>
      </c>
      <c r="AB118" s="35">
        <v>25</v>
      </c>
      <c r="AC118" s="35">
        <v>26</v>
      </c>
      <c r="AD118" s="35">
        <v>27</v>
      </c>
      <c r="AE118" s="35">
        <v>28</v>
      </c>
      <c r="AF118" s="35">
        <v>29</v>
      </c>
      <c r="AG118" s="35">
        <v>30</v>
      </c>
      <c r="AH118" s="35">
        <v>31</v>
      </c>
      <c r="AI118" s="63">
        <v>32</v>
      </c>
      <c r="AJ118" s="63">
        <v>33</v>
      </c>
      <c r="AK118" s="63">
        <v>34</v>
      </c>
      <c r="AL118" s="63">
        <v>35</v>
      </c>
      <c r="AM118" s="63">
        <v>36</v>
      </c>
      <c r="AN118" s="63">
        <v>37</v>
      </c>
      <c r="AO118" s="63">
        <v>38</v>
      </c>
      <c r="AP118" s="63">
        <v>39</v>
      </c>
      <c r="AQ118" s="63">
        <v>40</v>
      </c>
      <c r="AR118" s="63">
        <v>41</v>
      </c>
      <c r="AS118" s="63">
        <v>42</v>
      </c>
      <c r="AT118" s="63">
        <v>43</v>
      </c>
      <c r="AU118" s="63">
        <v>44</v>
      </c>
      <c r="AV118" s="63">
        <v>45</v>
      </c>
      <c r="AW118" s="63">
        <v>46</v>
      </c>
      <c r="AX118" s="63">
        <v>47</v>
      </c>
      <c r="AY118" s="63">
        <v>48</v>
      </c>
      <c r="AZ118" s="63">
        <v>49</v>
      </c>
      <c r="BA118" s="63">
        <v>50</v>
      </c>
      <c r="BB118" s="63">
        <v>51</v>
      </c>
      <c r="BC118" s="63">
        <v>52</v>
      </c>
      <c r="BD118" s="63">
        <v>53</v>
      </c>
      <c r="BE118" s="63">
        <v>54</v>
      </c>
      <c r="BF118" s="63">
        <v>55</v>
      </c>
      <c r="BG118" s="63">
        <v>56</v>
      </c>
      <c r="BH118" s="63">
        <v>57</v>
      </c>
      <c r="BI118" s="63">
        <v>58</v>
      </c>
      <c r="BJ118" s="63">
        <v>59</v>
      </c>
      <c r="BK118" s="63">
        <v>60</v>
      </c>
      <c r="BL118" s="63">
        <v>61</v>
      </c>
      <c r="BM118" s="63">
        <v>62</v>
      </c>
      <c r="BN118" s="63">
        <v>63</v>
      </c>
      <c r="BO118" s="63">
        <v>64</v>
      </c>
      <c r="BP118" s="63">
        <v>65</v>
      </c>
      <c r="BQ118" s="63">
        <v>66</v>
      </c>
      <c r="BR118" s="63">
        <v>67</v>
      </c>
      <c r="BS118" s="63">
        <v>68</v>
      </c>
      <c r="BT118" s="63">
        <v>69</v>
      </c>
      <c r="BU118" s="63">
        <v>70</v>
      </c>
      <c r="BV118" s="63">
        <v>71</v>
      </c>
      <c r="BW118" s="63">
        <v>72</v>
      </c>
      <c r="BX118" s="63">
        <v>73</v>
      </c>
      <c r="BY118" s="63">
        <v>74</v>
      </c>
      <c r="BZ118" s="63">
        <v>75</v>
      </c>
      <c r="CA118" s="63">
        <v>76</v>
      </c>
      <c r="CB118" s="63">
        <v>77</v>
      </c>
      <c r="CC118" s="63">
        <v>78</v>
      </c>
      <c r="CD118" s="63">
        <v>79</v>
      </c>
      <c r="CE118" s="63">
        <v>80</v>
      </c>
      <c r="CF118" s="63">
        <v>81</v>
      </c>
      <c r="CG118" s="63">
        <v>82</v>
      </c>
      <c r="CH118" s="63">
        <v>83</v>
      </c>
      <c r="CI118" s="63">
        <v>84</v>
      </c>
      <c r="CJ118" s="63">
        <v>85</v>
      </c>
      <c r="CK118" s="63">
        <v>86</v>
      </c>
      <c r="CL118" s="63">
        <v>87</v>
      </c>
      <c r="CM118" s="63">
        <v>88</v>
      </c>
      <c r="CN118" s="63">
        <v>89</v>
      </c>
      <c r="CO118" s="63">
        <v>90</v>
      </c>
      <c r="CP118" s="63">
        <v>91</v>
      </c>
      <c r="CQ118" s="63">
        <v>92</v>
      </c>
      <c r="CR118" s="63">
        <v>93</v>
      </c>
      <c r="CS118" s="63">
        <v>94</v>
      </c>
      <c r="CT118" s="63">
        <v>95</v>
      </c>
      <c r="CU118" s="63">
        <v>96</v>
      </c>
      <c r="CV118" s="63">
        <v>97</v>
      </c>
      <c r="CW118" s="63">
        <v>98</v>
      </c>
      <c r="CX118" s="63">
        <v>99</v>
      </c>
      <c r="CY118" s="63">
        <v>100</v>
      </c>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c r="FC118" s="63"/>
      <c r="FD118" s="63"/>
      <c r="FE118" s="63"/>
      <c r="FF118" s="63"/>
      <c r="FG118" s="63"/>
      <c r="FH118" s="63"/>
      <c r="FI118" s="63"/>
      <c r="FJ118" s="63"/>
      <c r="FK118" s="63"/>
      <c r="FL118" s="63"/>
      <c r="FM118" s="63"/>
      <c r="FN118" s="63"/>
      <c r="FO118" s="63"/>
      <c r="FP118" s="63"/>
      <c r="FQ118" s="63"/>
      <c r="FR118" s="63"/>
      <c r="FS118" s="63"/>
      <c r="FT118" s="63"/>
      <c r="FU118" s="63"/>
      <c r="FV118" s="63"/>
      <c r="FW118" s="63"/>
      <c r="FX118" s="63"/>
      <c r="FY118" s="63"/>
      <c r="FZ118" s="63"/>
      <c r="GA118" s="63"/>
      <c r="GB118" s="63"/>
      <c r="GC118" s="63"/>
      <c r="GD118" s="63"/>
      <c r="GE118" s="63"/>
      <c r="GF118" s="63"/>
      <c r="GG118" s="63"/>
      <c r="GH118" s="63"/>
      <c r="GI118" s="63"/>
      <c r="GJ118" s="63"/>
      <c r="GK118" s="63"/>
    </row>
    <row r="119" spans="2:253" hidden="1" x14ac:dyDescent="0.2">
      <c r="C119" s="504">
        <v>0</v>
      </c>
      <c r="D119" s="504">
        <v>-1</v>
      </c>
      <c r="E119" s="504">
        <v>-2</v>
      </c>
      <c r="F119" s="504">
        <v>-3</v>
      </c>
      <c r="G119" s="504">
        <v>-4</v>
      </c>
      <c r="H119" s="504">
        <v>-5</v>
      </c>
      <c r="I119" s="504">
        <v>-6</v>
      </c>
      <c r="J119" s="504">
        <v>-7</v>
      </c>
      <c r="K119" s="504">
        <v>-8</v>
      </c>
      <c r="L119" s="504">
        <v>-9</v>
      </c>
      <c r="M119" s="504">
        <v>-10</v>
      </c>
      <c r="N119" s="504">
        <v>-11</v>
      </c>
      <c r="O119" s="504">
        <v>-12</v>
      </c>
      <c r="P119" s="504">
        <v>-13</v>
      </c>
      <c r="Q119" s="504">
        <v>-14</v>
      </c>
      <c r="R119" s="504">
        <v>-15</v>
      </c>
      <c r="S119" s="504">
        <v>-16</v>
      </c>
      <c r="T119" s="504">
        <v>-17</v>
      </c>
      <c r="U119" s="504">
        <v>-18</v>
      </c>
      <c r="V119" s="504">
        <v>-19</v>
      </c>
      <c r="W119" s="504">
        <v>-20</v>
      </c>
      <c r="X119" s="504">
        <v>-21</v>
      </c>
      <c r="Y119" s="504">
        <v>-22</v>
      </c>
      <c r="Z119" s="504">
        <v>-23</v>
      </c>
      <c r="AA119" s="504">
        <v>-24</v>
      </c>
      <c r="AB119" s="504">
        <v>-25</v>
      </c>
      <c r="AC119" s="504">
        <v>-26</v>
      </c>
      <c r="AD119" s="504">
        <v>-27</v>
      </c>
      <c r="AE119" s="504">
        <v>-28</v>
      </c>
      <c r="AF119" s="504">
        <v>-29</v>
      </c>
      <c r="AG119" s="504">
        <v>-30</v>
      </c>
      <c r="AH119" s="504">
        <v>-31</v>
      </c>
      <c r="AI119" s="154">
        <v>-32</v>
      </c>
      <c r="AJ119" s="154">
        <v>-33</v>
      </c>
      <c r="AK119" s="154">
        <v>-34</v>
      </c>
      <c r="AL119" s="154">
        <v>-35</v>
      </c>
      <c r="AM119" s="154">
        <v>-36</v>
      </c>
      <c r="AN119" s="154">
        <v>-37</v>
      </c>
      <c r="AO119" s="154">
        <v>-38</v>
      </c>
      <c r="AP119" s="154">
        <v>-39</v>
      </c>
      <c r="AQ119" s="154">
        <v>-40</v>
      </c>
      <c r="AR119" s="154">
        <v>-41</v>
      </c>
      <c r="AS119" s="154">
        <v>-42</v>
      </c>
      <c r="AT119" s="154">
        <v>-43</v>
      </c>
      <c r="AU119" s="154">
        <v>-44</v>
      </c>
      <c r="AV119" s="154">
        <v>-45</v>
      </c>
      <c r="AW119" s="154">
        <v>-46</v>
      </c>
      <c r="AX119" s="154">
        <v>-47</v>
      </c>
      <c r="AY119" s="154">
        <v>-48</v>
      </c>
      <c r="AZ119" s="154">
        <v>-49</v>
      </c>
      <c r="BA119" s="154">
        <v>-50</v>
      </c>
      <c r="BB119" s="154">
        <v>-51</v>
      </c>
      <c r="BC119" s="154">
        <v>-52</v>
      </c>
      <c r="BD119" s="154">
        <v>-53</v>
      </c>
      <c r="BE119" s="154">
        <v>-54</v>
      </c>
      <c r="BF119" s="154">
        <v>-55</v>
      </c>
      <c r="BG119" s="154">
        <v>-56</v>
      </c>
      <c r="BH119" s="154">
        <v>-57</v>
      </c>
      <c r="BI119" s="154">
        <v>-58</v>
      </c>
      <c r="BJ119" s="154">
        <v>-59</v>
      </c>
      <c r="BK119" s="154">
        <v>-60</v>
      </c>
      <c r="BL119" s="154">
        <v>-61</v>
      </c>
      <c r="BM119" s="154">
        <v>-62</v>
      </c>
      <c r="BN119" s="154">
        <v>-63</v>
      </c>
      <c r="BO119" s="154">
        <v>-64</v>
      </c>
      <c r="BP119" s="154">
        <v>-65</v>
      </c>
      <c r="BQ119" s="154">
        <v>-66</v>
      </c>
      <c r="BR119" s="154">
        <v>-67</v>
      </c>
      <c r="BS119" s="154">
        <v>-68</v>
      </c>
      <c r="BT119" s="154">
        <v>-69</v>
      </c>
      <c r="BU119" s="154">
        <v>-70</v>
      </c>
      <c r="BV119" s="154">
        <v>-71</v>
      </c>
      <c r="BW119" s="154">
        <v>-72</v>
      </c>
      <c r="BX119" s="154">
        <v>-73</v>
      </c>
      <c r="BY119" s="154">
        <v>-74</v>
      </c>
      <c r="BZ119" s="154">
        <v>-75</v>
      </c>
      <c r="CA119" s="154">
        <v>-76</v>
      </c>
      <c r="CB119" s="154">
        <v>-77</v>
      </c>
      <c r="CC119" s="154">
        <v>-78</v>
      </c>
      <c r="CD119" s="154">
        <v>-79</v>
      </c>
      <c r="CE119" s="154">
        <v>-80</v>
      </c>
      <c r="CF119" s="154">
        <v>-81</v>
      </c>
      <c r="CG119" s="154">
        <v>-82</v>
      </c>
      <c r="CH119" s="154">
        <v>-83</v>
      </c>
      <c r="CI119" s="154">
        <v>-84</v>
      </c>
      <c r="CJ119" s="154">
        <v>-85</v>
      </c>
      <c r="CK119" s="154">
        <v>-86</v>
      </c>
      <c r="CL119" s="154">
        <v>-87</v>
      </c>
      <c r="CM119" s="154">
        <v>-88</v>
      </c>
      <c r="CN119" s="154">
        <v>-89</v>
      </c>
      <c r="CO119" s="154">
        <v>-90</v>
      </c>
      <c r="CP119" s="154">
        <v>-91</v>
      </c>
      <c r="CQ119" s="154">
        <v>-92</v>
      </c>
      <c r="CR119" s="154">
        <v>-93</v>
      </c>
      <c r="CS119" s="154">
        <v>-94</v>
      </c>
      <c r="CT119" s="154">
        <v>-95</v>
      </c>
      <c r="CU119" s="154">
        <v>-96</v>
      </c>
      <c r="CV119" s="154">
        <v>-97</v>
      </c>
      <c r="CW119" s="154">
        <v>-98</v>
      </c>
      <c r="CX119" s="154">
        <v>-99</v>
      </c>
      <c r="CY119" s="154">
        <v>-100</v>
      </c>
      <c r="CZ119" s="154">
        <v>-101</v>
      </c>
      <c r="DA119" s="154">
        <v>-102</v>
      </c>
      <c r="DB119" s="154">
        <v>-103</v>
      </c>
      <c r="DC119" s="154">
        <v>-104</v>
      </c>
      <c r="DD119" s="154">
        <v>-105</v>
      </c>
      <c r="DE119" s="154">
        <v>-106</v>
      </c>
      <c r="DF119" s="154">
        <v>-107</v>
      </c>
      <c r="DG119" s="154">
        <v>-108</v>
      </c>
      <c r="DH119" s="154">
        <v>-109</v>
      </c>
      <c r="DI119" s="154">
        <v>-110</v>
      </c>
      <c r="DJ119" s="154">
        <v>-111</v>
      </c>
      <c r="DK119" s="154">
        <v>-112</v>
      </c>
      <c r="DL119" s="154">
        <v>-113</v>
      </c>
      <c r="DM119" s="154">
        <v>-114</v>
      </c>
      <c r="DN119" s="154">
        <v>-115</v>
      </c>
      <c r="DO119" s="154">
        <v>-116</v>
      </c>
      <c r="DP119" s="154">
        <v>-117</v>
      </c>
      <c r="DQ119" s="154">
        <v>-118</v>
      </c>
      <c r="DR119" s="154">
        <v>-119</v>
      </c>
      <c r="DS119" s="154">
        <v>-120</v>
      </c>
      <c r="DT119" s="154">
        <v>-121</v>
      </c>
      <c r="DU119" s="154">
        <v>-122</v>
      </c>
      <c r="DV119" s="154">
        <v>-123</v>
      </c>
      <c r="DW119" s="154">
        <v>-124</v>
      </c>
      <c r="DX119" s="154">
        <v>-125</v>
      </c>
      <c r="DY119" s="154">
        <v>-126</v>
      </c>
      <c r="DZ119" s="154">
        <v>-127</v>
      </c>
      <c r="EA119" s="154">
        <v>-128</v>
      </c>
      <c r="EB119" s="154">
        <v>-129</v>
      </c>
      <c r="EC119" s="154">
        <v>-130</v>
      </c>
      <c r="ED119" s="154">
        <v>-131</v>
      </c>
      <c r="EE119" s="154">
        <v>-132</v>
      </c>
      <c r="EF119" s="154">
        <v>-133</v>
      </c>
      <c r="EG119" s="154">
        <v>-134</v>
      </c>
      <c r="EH119" s="154">
        <v>-135</v>
      </c>
      <c r="EI119" s="154">
        <v>-136</v>
      </c>
      <c r="EJ119" s="154">
        <v>-137</v>
      </c>
      <c r="EK119" s="154">
        <v>-138</v>
      </c>
      <c r="EL119" s="154">
        <v>-139</v>
      </c>
      <c r="EM119" s="154">
        <v>-140</v>
      </c>
      <c r="EN119" s="154">
        <v>-141</v>
      </c>
      <c r="EO119" s="154">
        <v>-142</v>
      </c>
      <c r="EP119" s="154">
        <v>-143</v>
      </c>
      <c r="EQ119" s="154">
        <v>-144</v>
      </c>
      <c r="ER119" s="154">
        <v>-145</v>
      </c>
      <c r="ES119" s="154">
        <v>-146</v>
      </c>
      <c r="ET119" s="154">
        <v>-147</v>
      </c>
      <c r="EU119" s="154">
        <v>-148</v>
      </c>
      <c r="EV119" s="154">
        <v>-149</v>
      </c>
      <c r="EW119" s="154">
        <v>-150</v>
      </c>
      <c r="EX119" s="154">
        <v>-151</v>
      </c>
      <c r="EY119" s="154">
        <v>-152</v>
      </c>
      <c r="EZ119" s="154">
        <v>-153</v>
      </c>
      <c r="FA119" s="154">
        <v>-154</v>
      </c>
      <c r="FB119" s="154">
        <v>-155</v>
      </c>
      <c r="FC119" s="154">
        <v>-156</v>
      </c>
      <c r="FD119" s="154">
        <v>-157</v>
      </c>
      <c r="FE119" s="154">
        <v>-158</v>
      </c>
      <c r="FF119" s="154">
        <v>-159</v>
      </c>
      <c r="FG119" s="154">
        <v>-160</v>
      </c>
      <c r="FH119" s="154">
        <v>-161</v>
      </c>
      <c r="FI119" s="154">
        <v>-162</v>
      </c>
      <c r="FJ119" s="154">
        <v>-163</v>
      </c>
      <c r="FK119" s="154">
        <v>-164</v>
      </c>
      <c r="FL119" s="154">
        <v>-165</v>
      </c>
      <c r="FM119" s="154">
        <v>-166</v>
      </c>
      <c r="FN119" s="154">
        <v>-167</v>
      </c>
      <c r="FO119" s="154">
        <v>-168</v>
      </c>
      <c r="FP119" s="154">
        <v>-169</v>
      </c>
      <c r="FQ119" s="154">
        <v>-170</v>
      </c>
      <c r="FR119" s="154">
        <v>-171</v>
      </c>
      <c r="FS119" s="154">
        <v>-172</v>
      </c>
      <c r="FT119" s="154">
        <v>-173</v>
      </c>
      <c r="FU119" s="154">
        <v>-174</v>
      </c>
      <c r="FV119" s="154">
        <v>-175</v>
      </c>
      <c r="FW119" s="154">
        <v>-176</v>
      </c>
      <c r="FX119" s="154">
        <v>-177</v>
      </c>
      <c r="FY119" s="154">
        <v>-178</v>
      </c>
      <c r="FZ119" s="154">
        <v>-179</v>
      </c>
      <c r="GA119" s="154">
        <v>-180</v>
      </c>
      <c r="GB119" s="154">
        <v>-181</v>
      </c>
      <c r="GC119" s="154">
        <v>-182</v>
      </c>
      <c r="GD119" s="154">
        <v>-183</v>
      </c>
      <c r="GE119" s="154">
        <v>-184</v>
      </c>
      <c r="GF119" s="154">
        <v>-185</v>
      </c>
      <c r="GG119" s="154">
        <v>-186</v>
      </c>
      <c r="GH119" s="154">
        <v>-187</v>
      </c>
      <c r="GI119" s="154">
        <v>-188</v>
      </c>
      <c r="GJ119" s="154">
        <v>-189</v>
      </c>
      <c r="GK119" s="154">
        <v>-190</v>
      </c>
      <c r="GL119" s="504">
        <v>-191</v>
      </c>
      <c r="GM119" s="504">
        <v>-192</v>
      </c>
      <c r="GN119" s="504">
        <v>-193</v>
      </c>
      <c r="GO119" s="504">
        <v>-194</v>
      </c>
      <c r="GP119" s="504">
        <v>-195</v>
      </c>
      <c r="GQ119" s="504">
        <v>-196</v>
      </c>
      <c r="GR119" s="504">
        <v>-197</v>
      </c>
      <c r="GS119" s="504">
        <v>-198</v>
      </c>
      <c r="GT119" s="504">
        <v>-199</v>
      </c>
      <c r="GU119" s="504">
        <v>-200</v>
      </c>
      <c r="GV119" s="504">
        <v>-201</v>
      </c>
      <c r="GW119" s="504">
        <v>-202</v>
      </c>
      <c r="GX119" s="504">
        <v>-203</v>
      </c>
      <c r="GY119" s="504">
        <v>-204</v>
      </c>
      <c r="GZ119" s="504">
        <v>-205</v>
      </c>
      <c r="HA119" s="504">
        <v>-206</v>
      </c>
      <c r="HB119" s="504">
        <v>-207</v>
      </c>
      <c r="HC119" s="504">
        <v>-208</v>
      </c>
      <c r="HD119" s="504">
        <v>-209</v>
      </c>
      <c r="HE119" s="504">
        <v>-210</v>
      </c>
      <c r="HF119" s="504">
        <v>-211</v>
      </c>
      <c r="HG119" s="504">
        <v>-212</v>
      </c>
      <c r="HH119" s="504">
        <v>-213</v>
      </c>
      <c r="HI119" s="504">
        <v>-214</v>
      </c>
      <c r="HJ119" s="504">
        <v>-215</v>
      </c>
      <c r="HK119" s="504">
        <v>-216</v>
      </c>
      <c r="HL119" s="504">
        <v>-217</v>
      </c>
      <c r="HM119" s="504">
        <v>-218</v>
      </c>
      <c r="HN119" s="504">
        <v>-219</v>
      </c>
      <c r="HO119" s="504">
        <v>-220</v>
      </c>
      <c r="HP119" s="504">
        <v>-221</v>
      </c>
      <c r="HQ119" s="504">
        <v>-222</v>
      </c>
      <c r="HR119" s="504">
        <v>-223</v>
      </c>
      <c r="HS119" s="504">
        <v>-224</v>
      </c>
      <c r="HT119" s="504">
        <v>-225</v>
      </c>
      <c r="HU119" s="504">
        <v>-226</v>
      </c>
      <c r="HV119" s="504">
        <v>-227</v>
      </c>
      <c r="HW119" s="504">
        <v>-228</v>
      </c>
      <c r="HX119" s="504">
        <v>-229</v>
      </c>
      <c r="HY119" s="504">
        <v>-230</v>
      </c>
      <c r="HZ119" s="504">
        <v>-231</v>
      </c>
      <c r="IA119" s="504">
        <v>-232</v>
      </c>
      <c r="IB119" s="504">
        <v>-233</v>
      </c>
      <c r="IC119" s="504">
        <v>-234</v>
      </c>
      <c r="ID119" s="504">
        <v>-235</v>
      </c>
      <c r="IE119" s="504">
        <v>-236</v>
      </c>
      <c r="IF119" s="504">
        <v>-237</v>
      </c>
      <c r="IG119" s="504">
        <v>-238</v>
      </c>
      <c r="IH119" s="504">
        <v>-239</v>
      </c>
      <c r="II119" s="504">
        <v>-240</v>
      </c>
      <c r="IJ119" s="504">
        <v>-241</v>
      </c>
      <c r="IK119" s="504">
        <v>-242</v>
      </c>
      <c r="IL119" s="504">
        <v>-243</v>
      </c>
      <c r="IM119" s="504">
        <v>-244</v>
      </c>
      <c r="IN119" s="504">
        <v>-245</v>
      </c>
      <c r="IO119" s="504">
        <v>-246</v>
      </c>
      <c r="IP119" s="504">
        <v>-247</v>
      </c>
      <c r="IQ119" s="504">
        <v>-248</v>
      </c>
      <c r="IR119" s="504">
        <v>-249</v>
      </c>
      <c r="IS119" s="504">
        <v>-250</v>
      </c>
    </row>
    <row r="120" spans="2:253" hidden="1" x14ac:dyDescent="0.2">
      <c r="C120" s="35" t="s">
        <v>286</v>
      </c>
      <c r="D120" s="35" t="s">
        <v>288</v>
      </c>
      <c r="E120" s="35" t="s">
        <v>290</v>
      </c>
      <c r="F120" s="35" t="s">
        <v>292</v>
      </c>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c r="FC120" s="63"/>
      <c r="FD120" s="63"/>
      <c r="FE120" s="63"/>
      <c r="FF120" s="63"/>
      <c r="FG120" s="63"/>
      <c r="FH120" s="63"/>
      <c r="FI120" s="63"/>
      <c r="FJ120" s="63"/>
      <c r="FK120" s="63"/>
      <c r="FL120" s="63"/>
      <c r="FM120" s="63"/>
      <c r="FN120" s="63"/>
      <c r="FO120" s="63"/>
      <c r="FP120" s="63"/>
      <c r="FQ120" s="63"/>
      <c r="FR120" s="63"/>
      <c r="FS120" s="63"/>
      <c r="FT120" s="63"/>
      <c r="FU120" s="63"/>
      <c r="FV120" s="63"/>
      <c r="FW120" s="63"/>
      <c r="FX120" s="63"/>
      <c r="FY120" s="63"/>
      <c r="FZ120" s="63"/>
      <c r="GA120" s="63"/>
      <c r="GB120" s="63"/>
      <c r="GC120" s="63"/>
      <c r="GD120" s="63"/>
      <c r="GE120" s="63"/>
      <c r="GF120" s="63"/>
      <c r="GG120" s="63"/>
      <c r="GH120" s="63"/>
      <c r="GI120" s="63"/>
      <c r="GJ120" s="63"/>
      <c r="GK120" s="63"/>
    </row>
    <row r="121" spans="2:253" hidden="1" x14ac:dyDescent="0.2">
      <c r="C121" s="35" t="s">
        <v>230</v>
      </c>
      <c r="D121" s="35" t="s">
        <v>1803</v>
      </c>
      <c r="E121" s="35" t="s">
        <v>1672</v>
      </c>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3"/>
      <c r="ET121" s="63"/>
      <c r="EU121" s="63"/>
      <c r="EV121" s="63"/>
      <c r="EW121" s="63"/>
      <c r="EX121" s="63"/>
      <c r="EY121" s="63"/>
      <c r="EZ121" s="63"/>
      <c r="FA121" s="63"/>
      <c r="FB121" s="63"/>
      <c r="FC121" s="63"/>
      <c r="FD121" s="63"/>
      <c r="FE121" s="63"/>
      <c r="FF121" s="63"/>
      <c r="FG121" s="63"/>
      <c r="FH121" s="63"/>
      <c r="FI121" s="63"/>
      <c r="FJ121" s="63"/>
      <c r="FK121" s="63"/>
      <c r="FL121" s="63"/>
      <c r="FM121" s="63"/>
      <c r="FN121" s="63"/>
      <c r="FO121" s="63"/>
      <c r="FP121" s="63"/>
      <c r="FQ121" s="63"/>
      <c r="FR121" s="63"/>
      <c r="FS121" s="63"/>
      <c r="FT121" s="63"/>
      <c r="FU121" s="63"/>
      <c r="FV121" s="63"/>
      <c r="FW121" s="63"/>
      <c r="FX121" s="63"/>
      <c r="FY121" s="63"/>
      <c r="FZ121" s="63"/>
      <c r="GA121" s="63"/>
      <c r="GB121" s="63"/>
      <c r="GC121" s="63"/>
      <c r="GD121" s="63"/>
      <c r="GE121" s="63"/>
      <c r="GF121" s="63"/>
      <c r="GG121" s="63"/>
      <c r="GH121" s="63"/>
      <c r="GI121" s="63"/>
      <c r="GJ121" s="63"/>
      <c r="GK121" s="63"/>
    </row>
    <row r="122" spans="2:253" hidden="1" x14ac:dyDescent="0.2">
      <c r="B122" s="2"/>
      <c r="C122" s="14" t="s">
        <v>231</v>
      </c>
      <c r="D122" s="14" t="s">
        <v>232</v>
      </c>
      <c r="E122" s="14" t="s">
        <v>233</v>
      </c>
      <c r="F122" s="14" t="s">
        <v>234</v>
      </c>
      <c r="G122" s="14" t="s">
        <v>235</v>
      </c>
      <c r="H122" s="14" t="s">
        <v>236</v>
      </c>
      <c r="I122" s="14" t="s">
        <v>237</v>
      </c>
      <c r="J122" s="14" t="s">
        <v>238</v>
      </c>
      <c r="K122" s="14" t="s">
        <v>239</v>
      </c>
      <c r="L122" s="14" t="s">
        <v>127</v>
      </c>
      <c r="M122" s="14" t="s">
        <v>128</v>
      </c>
      <c r="N122" s="14" t="s">
        <v>129</v>
      </c>
      <c r="O122" s="14" t="s">
        <v>130</v>
      </c>
      <c r="P122" s="14" t="s">
        <v>131</v>
      </c>
      <c r="Q122" s="14" t="s">
        <v>132</v>
      </c>
      <c r="R122" s="67" t="s">
        <v>1757</v>
      </c>
      <c r="S122" s="67"/>
      <c r="T122" s="14"/>
      <c r="U122" s="14"/>
      <c r="V122" s="67"/>
      <c r="W122" s="67"/>
      <c r="X122" s="67"/>
      <c r="Y122" s="67"/>
      <c r="Z122" s="14"/>
      <c r="AA122" s="14"/>
      <c r="AB122" s="14"/>
      <c r="AC122" s="14"/>
      <c r="AD122" s="14"/>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3"/>
      <c r="ET122" s="63"/>
      <c r="EU122" s="63"/>
      <c r="EV122" s="63"/>
      <c r="EW122" s="63"/>
      <c r="EX122" s="63"/>
      <c r="EY122" s="63"/>
      <c r="EZ122" s="63"/>
      <c r="FA122" s="63"/>
      <c r="FB122" s="63"/>
      <c r="FC122" s="63"/>
      <c r="FD122" s="63"/>
      <c r="FE122" s="63"/>
      <c r="FF122" s="63"/>
      <c r="FG122" s="63"/>
      <c r="FH122" s="63"/>
      <c r="FI122" s="63"/>
      <c r="FJ122" s="63"/>
      <c r="FK122" s="63"/>
      <c r="FL122" s="63"/>
      <c r="FM122" s="63"/>
      <c r="FN122" s="63"/>
      <c r="FO122" s="63"/>
      <c r="FP122" s="63"/>
      <c r="FQ122" s="63"/>
      <c r="FR122" s="63"/>
      <c r="FS122" s="63"/>
      <c r="FT122" s="63"/>
      <c r="FU122" s="63"/>
      <c r="FV122" s="63"/>
      <c r="FW122" s="63"/>
      <c r="FX122" s="63"/>
      <c r="FY122" s="63"/>
      <c r="FZ122" s="63"/>
      <c r="GA122" s="63"/>
      <c r="GB122" s="63"/>
      <c r="GC122" s="63"/>
      <c r="GD122" s="63"/>
      <c r="GE122" s="63"/>
      <c r="GF122" s="63"/>
      <c r="GG122" s="63"/>
      <c r="GH122" s="63"/>
      <c r="GI122" s="63"/>
      <c r="GJ122" s="63"/>
      <c r="GK122" s="63"/>
    </row>
    <row r="123" spans="2:253" hidden="1" x14ac:dyDescent="0.2">
      <c r="R123" s="502"/>
      <c r="S123" s="502"/>
      <c r="V123" s="502"/>
      <c r="W123" s="502"/>
      <c r="X123" s="502"/>
      <c r="Y123" s="502"/>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3"/>
      <c r="ET123" s="63"/>
      <c r="EU123" s="63"/>
      <c r="EV123" s="63"/>
      <c r="EW123" s="63"/>
      <c r="EX123" s="63"/>
      <c r="EY123" s="63"/>
      <c r="EZ123" s="63"/>
      <c r="FA123" s="63"/>
      <c r="FB123" s="63"/>
      <c r="FC123" s="63"/>
      <c r="FD123" s="63"/>
      <c r="FE123" s="63"/>
      <c r="FF123" s="63"/>
      <c r="FG123" s="63"/>
      <c r="FH123" s="63"/>
      <c r="FI123" s="63"/>
      <c r="FJ123" s="63"/>
      <c r="FK123" s="63"/>
      <c r="FL123" s="63"/>
      <c r="FM123" s="63"/>
      <c r="FN123" s="63"/>
      <c r="FO123" s="63"/>
      <c r="FP123" s="63"/>
      <c r="FQ123" s="63"/>
      <c r="FR123" s="63"/>
      <c r="FS123" s="63"/>
      <c r="FT123" s="63"/>
      <c r="FU123" s="63"/>
      <c r="FV123" s="63"/>
      <c r="FW123" s="63"/>
      <c r="FX123" s="63"/>
      <c r="FY123" s="63"/>
      <c r="FZ123" s="63"/>
      <c r="GA123" s="63"/>
      <c r="GB123" s="63"/>
      <c r="GC123" s="63"/>
      <c r="GD123" s="63"/>
      <c r="GE123" s="63"/>
      <c r="GF123" s="63"/>
      <c r="GG123" s="63"/>
      <c r="GH123" s="63"/>
      <c r="GI123" s="63"/>
      <c r="GJ123" s="63"/>
      <c r="GK123" s="63"/>
    </row>
    <row r="124" spans="2:253" hidden="1" x14ac:dyDescent="0.2">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3"/>
      <c r="ET124" s="63"/>
      <c r="EU124" s="63"/>
      <c r="EV124" s="63"/>
      <c r="EW124" s="63"/>
      <c r="EX124" s="63"/>
      <c r="EY124" s="63"/>
      <c r="EZ124" s="63"/>
      <c r="FA124" s="63"/>
      <c r="FB124" s="63"/>
      <c r="FC124" s="63"/>
      <c r="FD124" s="63"/>
      <c r="FE124" s="63"/>
      <c r="FF124" s="63"/>
      <c r="FG124" s="63"/>
      <c r="FH124" s="63"/>
      <c r="FI124" s="63"/>
      <c r="FJ124" s="63"/>
      <c r="FK124" s="63"/>
      <c r="FL124" s="63"/>
      <c r="FM124" s="63"/>
      <c r="FN124" s="63"/>
      <c r="FO124" s="63"/>
      <c r="FP124" s="63"/>
      <c r="FQ124" s="63"/>
      <c r="FR124" s="63"/>
      <c r="FS124" s="63"/>
      <c r="FT124" s="63"/>
      <c r="FU124" s="63"/>
      <c r="FV124" s="63"/>
      <c r="FW124" s="63"/>
      <c r="FX124" s="63"/>
      <c r="FY124" s="63"/>
      <c r="FZ124" s="63"/>
      <c r="GA124" s="63"/>
      <c r="GB124" s="63"/>
      <c r="GC124" s="63"/>
      <c r="GD124" s="63"/>
      <c r="GE124" s="63"/>
      <c r="GF124" s="63"/>
      <c r="GG124" s="63"/>
      <c r="GH124" s="63"/>
      <c r="GI124" s="63"/>
      <c r="GJ124" s="63"/>
      <c r="GK124" s="63"/>
    </row>
    <row r="125" spans="2:253" hidden="1" x14ac:dyDescent="0.2">
      <c r="C125" s="68"/>
      <c r="D125" s="423"/>
      <c r="R125" s="502"/>
      <c r="S125" s="502"/>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3"/>
      <c r="ET125" s="63"/>
      <c r="EU125" s="63"/>
      <c r="EV125" s="63"/>
      <c r="EW125" s="63"/>
      <c r="EX125" s="63"/>
      <c r="EY125" s="63"/>
      <c r="EZ125" s="63"/>
      <c r="FA125" s="63"/>
      <c r="FB125" s="63"/>
      <c r="FC125" s="63"/>
      <c r="FD125" s="63"/>
      <c r="FE125" s="63"/>
      <c r="FF125" s="63"/>
      <c r="FG125" s="63"/>
      <c r="FH125" s="63"/>
      <c r="FI125" s="63"/>
      <c r="FJ125" s="63"/>
      <c r="FK125" s="63"/>
      <c r="FL125" s="63"/>
      <c r="FM125" s="63"/>
      <c r="FN125" s="63"/>
      <c r="FO125" s="63"/>
      <c r="FP125" s="63"/>
      <c r="FQ125" s="63"/>
      <c r="FR125" s="63"/>
      <c r="FS125" s="63"/>
      <c r="FT125" s="63"/>
      <c r="FU125" s="63"/>
      <c r="FV125" s="63"/>
      <c r="FW125" s="63"/>
      <c r="FX125" s="63"/>
      <c r="FY125" s="63"/>
      <c r="FZ125" s="63"/>
      <c r="GA125" s="63"/>
      <c r="GB125" s="63"/>
      <c r="GC125" s="63"/>
      <c r="GD125" s="63"/>
      <c r="GE125" s="63"/>
      <c r="GF125" s="63"/>
      <c r="GG125" s="63"/>
      <c r="GH125" s="63"/>
      <c r="GI125" s="63"/>
      <c r="GJ125" s="63"/>
      <c r="GK125" s="63"/>
    </row>
    <row r="126" spans="2:253" hidden="1" x14ac:dyDescent="0.2">
      <c r="R126" s="502"/>
      <c r="S126" s="502"/>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3"/>
      <c r="ET126" s="63"/>
      <c r="EU126" s="63"/>
      <c r="EV126" s="63"/>
      <c r="EW126" s="63"/>
      <c r="EX126" s="63"/>
      <c r="EY126" s="63"/>
      <c r="EZ126" s="63"/>
      <c r="FA126" s="63"/>
      <c r="FB126" s="63"/>
      <c r="FC126" s="63"/>
      <c r="FD126" s="63"/>
      <c r="FE126" s="63"/>
      <c r="FF126" s="63"/>
      <c r="FG126" s="63"/>
      <c r="FH126" s="63"/>
      <c r="FI126" s="63"/>
      <c r="FJ126" s="63"/>
      <c r="FK126" s="63"/>
      <c r="FL126" s="63"/>
      <c r="FM126" s="63"/>
      <c r="FN126" s="63"/>
      <c r="FO126" s="63"/>
      <c r="FP126" s="63"/>
      <c r="FQ126" s="63"/>
      <c r="FR126" s="63"/>
      <c r="FS126" s="63"/>
      <c r="FT126" s="63"/>
      <c r="FU126" s="63"/>
      <c r="FV126" s="63"/>
      <c r="FW126" s="63"/>
      <c r="FX126" s="63"/>
      <c r="FY126" s="63"/>
      <c r="FZ126" s="63"/>
      <c r="GA126" s="63"/>
      <c r="GB126" s="63"/>
      <c r="GC126" s="63"/>
      <c r="GD126" s="63"/>
      <c r="GE126" s="63"/>
      <c r="GF126" s="63"/>
      <c r="GG126" s="63"/>
      <c r="GH126" s="63"/>
      <c r="GI126" s="63"/>
      <c r="GJ126" s="63"/>
      <c r="GK126" s="63"/>
    </row>
    <row r="127" spans="2:253" hidden="1" x14ac:dyDescent="0.2">
      <c r="B127" s="8"/>
      <c r="C127" s="8"/>
      <c r="D127" s="8"/>
      <c r="E127" s="8"/>
      <c r="F127" s="8"/>
      <c r="G127" s="8"/>
      <c r="H127" s="8"/>
      <c r="I127" s="8"/>
      <c r="J127" s="8"/>
      <c r="K127" s="8"/>
      <c r="M127" s="69"/>
      <c r="N127" s="69"/>
      <c r="O127" s="69"/>
      <c r="P127" s="69"/>
      <c r="R127" s="502"/>
      <c r="S127" s="502"/>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3"/>
      <c r="ET127" s="63"/>
      <c r="EU127" s="63"/>
      <c r="EV127" s="63"/>
      <c r="EW127" s="63"/>
      <c r="EX127" s="63"/>
      <c r="EY127" s="63"/>
      <c r="EZ127" s="63"/>
      <c r="FA127" s="63"/>
      <c r="FB127" s="63"/>
      <c r="FC127" s="63"/>
      <c r="FD127" s="63"/>
      <c r="FE127" s="63"/>
      <c r="FF127" s="63"/>
      <c r="FG127" s="63"/>
      <c r="FH127" s="63"/>
      <c r="FI127" s="63"/>
      <c r="FJ127" s="63"/>
      <c r="FK127" s="63"/>
      <c r="FL127" s="63"/>
      <c r="FM127" s="63"/>
      <c r="FN127" s="63"/>
      <c r="FO127" s="63"/>
      <c r="FP127" s="63"/>
      <c r="FQ127" s="63"/>
      <c r="FR127" s="63"/>
      <c r="FS127" s="63"/>
      <c r="FT127" s="63"/>
      <c r="FU127" s="63"/>
      <c r="FV127" s="63"/>
      <c r="FW127" s="63"/>
      <c r="FX127" s="63"/>
      <c r="FY127" s="63"/>
      <c r="FZ127" s="63"/>
      <c r="GA127" s="63"/>
      <c r="GB127" s="63"/>
      <c r="GC127" s="63"/>
      <c r="GD127" s="63"/>
      <c r="GE127" s="63"/>
      <c r="GF127" s="63"/>
      <c r="GG127" s="63"/>
      <c r="GH127" s="63"/>
      <c r="GI127" s="63"/>
      <c r="GJ127" s="63"/>
      <c r="GK127" s="63"/>
    </row>
    <row r="128" spans="2:253" s="69" customFormat="1" hidden="1" x14ac:dyDescent="0.2">
      <c r="B128" s="70"/>
      <c r="C128" s="70"/>
      <c r="D128" s="70"/>
      <c r="E128" s="70"/>
      <c r="F128" s="70"/>
      <c r="G128" s="70"/>
      <c r="H128" s="70"/>
      <c r="I128" s="70"/>
      <c r="J128" s="70"/>
      <c r="K128" s="70"/>
      <c r="M128" s="502"/>
      <c r="N128" s="502"/>
      <c r="O128" s="502"/>
      <c r="P128" s="502"/>
      <c r="R128" s="502"/>
      <c r="S128" s="502"/>
      <c r="T128" s="35"/>
      <c r="U128" s="35"/>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c r="BM128" s="121"/>
      <c r="BN128" s="121"/>
      <c r="BO128" s="121"/>
      <c r="BP128" s="121"/>
      <c r="BQ128" s="121"/>
      <c r="BR128" s="121"/>
      <c r="BS128" s="121"/>
      <c r="BT128" s="121"/>
      <c r="BU128" s="121"/>
      <c r="BV128" s="121"/>
      <c r="BW128" s="121"/>
      <c r="BX128" s="121"/>
      <c r="BY128" s="121"/>
      <c r="BZ128" s="121"/>
      <c r="CA128" s="121"/>
      <c r="CB128" s="121"/>
      <c r="CC128" s="121"/>
      <c r="CD128" s="121"/>
      <c r="CE128" s="121"/>
      <c r="CF128" s="121"/>
      <c r="CG128" s="121"/>
      <c r="CH128" s="121"/>
      <c r="CI128" s="121"/>
      <c r="CJ128" s="121"/>
      <c r="CK128" s="121"/>
      <c r="CL128" s="121"/>
      <c r="CM128" s="121"/>
      <c r="CN128" s="121"/>
      <c r="CO128" s="121"/>
      <c r="CP128" s="121"/>
      <c r="CQ128" s="121"/>
      <c r="CR128" s="121"/>
      <c r="CS128" s="121"/>
      <c r="CT128" s="121"/>
      <c r="CU128" s="121"/>
      <c r="CV128" s="121"/>
      <c r="CW128" s="121"/>
      <c r="CX128" s="121"/>
      <c r="CY128" s="121"/>
      <c r="CZ128" s="121"/>
      <c r="DA128" s="121"/>
      <c r="DB128" s="121"/>
      <c r="DC128" s="121"/>
      <c r="DD128" s="121"/>
      <c r="DE128" s="63"/>
      <c r="DF128" s="63"/>
      <c r="DG128" s="121"/>
      <c r="DH128" s="121"/>
      <c r="DI128" s="121"/>
      <c r="DJ128" s="121"/>
      <c r="DK128" s="121"/>
      <c r="DL128" s="121"/>
      <c r="DM128" s="121"/>
      <c r="DN128" s="121"/>
      <c r="DO128" s="121"/>
      <c r="DP128" s="121"/>
      <c r="DQ128" s="121"/>
      <c r="DR128" s="121"/>
      <c r="DS128" s="121"/>
      <c r="DT128" s="121"/>
      <c r="DU128" s="121"/>
      <c r="DV128" s="121"/>
      <c r="DW128" s="121"/>
      <c r="DX128" s="121"/>
      <c r="DY128" s="121"/>
      <c r="DZ128" s="121"/>
      <c r="EA128" s="121"/>
      <c r="EB128" s="121"/>
      <c r="EC128" s="121"/>
      <c r="ED128" s="121"/>
      <c r="EE128" s="121"/>
      <c r="EF128" s="121"/>
      <c r="EG128" s="121"/>
      <c r="EH128" s="121"/>
      <c r="EI128" s="121"/>
      <c r="EJ128" s="121"/>
      <c r="EK128" s="121"/>
      <c r="EL128" s="121"/>
      <c r="EM128" s="121"/>
      <c r="EN128" s="121"/>
      <c r="EO128" s="121"/>
      <c r="EP128" s="121"/>
      <c r="EQ128" s="121"/>
      <c r="ER128" s="121"/>
      <c r="ES128" s="121"/>
      <c r="ET128" s="121"/>
      <c r="EU128" s="121"/>
      <c r="EV128" s="121"/>
      <c r="EW128" s="121"/>
      <c r="EX128" s="121"/>
      <c r="EY128" s="121"/>
      <c r="EZ128" s="121"/>
      <c r="FA128" s="121"/>
      <c r="FB128" s="121"/>
      <c r="FC128" s="121"/>
      <c r="FD128" s="121"/>
      <c r="FE128" s="121"/>
      <c r="FF128" s="121"/>
      <c r="FG128" s="121"/>
      <c r="FH128" s="121"/>
      <c r="FI128" s="121"/>
      <c r="FJ128" s="121"/>
      <c r="FK128" s="121"/>
      <c r="FL128" s="121"/>
      <c r="FM128" s="121"/>
      <c r="FN128" s="121"/>
      <c r="FO128" s="121"/>
      <c r="FP128" s="121"/>
      <c r="FQ128" s="121"/>
      <c r="FR128" s="121"/>
      <c r="FS128" s="121"/>
      <c r="FT128" s="121"/>
      <c r="FU128" s="121"/>
      <c r="FV128" s="121"/>
      <c r="FW128" s="121"/>
      <c r="FX128" s="121"/>
      <c r="FY128" s="121"/>
      <c r="FZ128" s="121"/>
      <c r="GA128" s="121"/>
      <c r="GB128" s="121"/>
      <c r="GC128" s="121"/>
      <c r="GD128" s="121"/>
      <c r="GE128" s="121"/>
      <c r="GF128" s="121"/>
      <c r="GG128" s="121"/>
      <c r="GH128" s="121"/>
      <c r="GI128" s="121"/>
      <c r="GJ128" s="121"/>
      <c r="GK128" s="121"/>
    </row>
    <row r="129" spans="2:21" hidden="1" x14ac:dyDescent="0.2">
      <c r="B129" s="8"/>
      <c r="C129" s="505"/>
      <c r="D129" s="8"/>
      <c r="E129" s="8"/>
      <c r="F129" s="8"/>
      <c r="G129" s="8"/>
      <c r="H129" s="9"/>
      <c r="I129" s="8"/>
      <c r="J129" s="506"/>
      <c r="K129" s="506"/>
      <c r="M129" s="502"/>
      <c r="N129" s="502"/>
      <c r="O129" s="502"/>
      <c r="P129" s="502"/>
      <c r="R129" s="502"/>
      <c r="S129" s="502"/>
    </row>
    <row r="130" spans="2:21" x14ac:dyDescent="0.2">
      <c r="B130" s="8"/>
      <c r="C130" s="505"/>
      <c r="D130" s="8"/>
      <c r="E130" s="8"/>
      <c r="F130" s="8"/>
      <c r="G130" s="8"/>
      <c r="H130" s="9"/>
      <c r="I130" s="8"/>
      <c r="J130" s="506"/>
      <c r="K130" s="506"/>
      <c r="M130" s="502"/>
      <c r="N130" s="502"/>
      <c r="O130" s="502"/>
      <c r="P130" s="502"/>
      <c r="R130" s="502"/>
      <c r="S130" s="502"/>
    </row>
    <row r="131" spans="2:21" x14ac:dyDescent="0.2">
      <c r="B131" s="8"/>
      <c r="C131" s="8"/>
      <c r="D131" s="8"/>
      <c r="E131" s="8"/>
      <c r="F131" s="8"/>
      <c r="G131" s="8"/>
      <c r="H131" s="8"/>
      <c r="I131" s="8"/>
      <c r="J131" s="8"/>
      <c r="K131" s="506"/>
      <c r="M131" s="502"/>
      <c r="N131" s="502"/>
      <c r="O131" s="502"/>
      <c r="P131" s="502"/>
      <c r="R131" s="502"/>
      <c r="S131" s="502"/>
    </row>
    <row r="132" spans="2:21" x14ac:dyDescent="0.2">
      <c r="B132" s="8"/>
      <c r="C132" s="8"/>
      <c r="D132" s="8"/>
      <c r="E132" s="8"/>
      <c r="F132" s="8"/>
      <c r="G132" s="8"/>
      <c r="H132" s="8"/>
      <c r="I132" s="8"/>
      <c r="J132" s="8"/>
      <c r="K132" s="8"/>
      <c r="M132" s="502"/>
      <c r="N132" s="502"/>
      <c r="O132" s="502"/>
      <c r="P132" s="502"/>
      <c r="R132" s="502"/>
      <c r="S132" s="502"/>
    </row>
    <row r="133" spans="2:21" x14ac:dyDescent="0.2">
      <c r="B133" s="8"/>
      <c r="C133" s="8"/>
      <c r="D133" s="10"/>
      <c r="E133" s="10"/>
      <c r="F133" s="10"/>
      <c r="G133" s="10"/>
      <c r="H133" s="10"/>
      <c r="I133" s="10"/>
      <c r="J133" s="8"/>
      <c r="K133" s="8"/>
      <c r="M133" s="502"/>
      <c r="N133" s="502"/>
      <c r="O133" s="502"/>
      <c r="P133" s="502"/>
      <c r="R133" s="502"/>
      <c r="S133" s="502"/>
    </row>
    <row r="134" spans="2:21" x14ac:dyDescent="0.2">
      <c r="B134" s="8"/>
      <c r="C134" s="8"/>
      <c r="D134" s="9"/>
      <c r="E134" s="9"/>
      <c r="F134" s="9"/>
      <c r="G134" s="9"/>
      <c r="H134" s="9"/>
      <c r="I134" s="8"/>
      <c r="J134" s="506"/>
      <c r="K134" s="506"/>
      <c r="M134" s="502"/>
      <c r="N134" s="502"/>
      <c r="O134" s="502"/>
      <c r="P134" s="502"/>
      <c r="R134" s="502"/>
      <c r="S134" s="502"/>
    </row>
    <row r="135" spans="2:21" x14ac:dyDescent="0.2">
      <c r="B135" s="8"/>
      <c r="C135" s="8"/>
      <c r="D135" s="8"/>
      <c r="E135" s="8"/>
      <c r="F135" s="8"/>
      <c r="G135" s="8"/>
      <c r="H135" s="8"/>
      <c r="I135" s="8"/>
      <c r="J135" s="8"/>
      <c r="K135" s="8"/>
      <c r="M135" s="502"/>
      <c r="N135" s="502"/>
      <c r="O135" s="502"/>
      <c r="P135" s="502"/>
      <c r="R135" s="502"/>
      <c r="S135" s="502"/>
    </row>
    <row r="136" spans="2:21" x14ac:dyDescent="0.2">
      <c r="B136" s="8"/>
      <c r="C136" s="8"/>
      <c r="D136" s="8"/>
      <c r="E136" s="8"/>
      <c r="F136" s="8"/>
      <c r="G136" s="8"/>
      <c r="H136" s="8"/>
      <c r="I136" s="8"/>
      <c r="J136" s="8"/>
      <c r="K136" s="8"/>
      <c r="M136" s="502"/>
      <c r="N136" s="502"/>
      <c r="O136" s="502"/>
      <c r="P136" s="502"/>
      <c r="R136" s="502"/>
      <c r="S136" s="502"/>
    </row>
    <row r="137" spans="2:21" x14ac:dyDescent="0.2">
      <c r="B137" s="8"/>
      <c r="C137" s="8"/>
      <c r="D137" s="8"/>
      <c r="E137" s="8"/>
      <c r="F137" s="8"/>
      <c r="G137" s="8"/>
      <c r="H137" s="8"/>
      <c r="I137" s="8"/>
      <c r="J137" s="8"/>
      <c r="K137" s="506"/>
      <c r="M137" s="502"/>
      <c r="N137" s="502"/>
      <c r="O137" s="502"/>
      <c r="P137" s="502"/>
      <c r="R137" s="502"/>
      <c r="S137" s="502"/>
    </row>
    <row r="138" spans="2:21" x14ac:dyDescent="0.2">
      <c r="B138" s="8"/>
      <c r="C138" s="8"/>
      <c r="D138" s="8"/>
      <c r="E138" s="8"/>
      <c r="F138" s="8"/>
      <c r="G138" s="8"/>
      <c r="H138" s="8"/>
      <c r="I138" s="8"/>
      <c r="J138" s="8"/>
      <c r="K138" s="8"/>
      <c r="M138" s="502"/>
      <c r="N138" s="502"/>
      <c r="O138" s="502"/>
      <c r="P138" s="502"/>
      <c r="R138" s="502"/>
      <c r="S138" s="502"/>
    </row>
    <row r="139" spans="2:21" x14ac:dyDescent="0.2">
      <c r="M139" s="502"/>
      <c r="N139" s="502"/>
      <c r="O139" s="502"/>
      <c r="P139" s="502"/>
      <c r="R139" s="502"/>
      <c r="S139" s="502"/>
    </row>
    <row r="140" spans="2:21" x14ac:dyDescent="0.2">
      <c r="M140" s="502"/>
      <c r="N140" s="502"/>
      <c r="O140" s="502"/>
      <c r="P140" s="502"/>
      <c r="R140" s="502"/>
      <c r="U140" s="507"/>
    </row>
    <row r="141" spans="2:21" x14ac:dyDescent="0.2">
      <c r="M141" s="502"/>
      <c r="N141" s="502"/>
      <c r="O141" s="502"/>
      <c r="P141" s="502"/>
      <c r="R141" s="502"/>
      <c r="U141" s="507"/>
    </row>
  </sheetData>
  <sheetProtection sheet="1" objects="1" scenarios="1"/>
  <mergeCells count="436">
    <mergeCell ref="AM74:AN74"/>
    <mergeCell ref="C105:AK105"/>
    <mergeCell ref="AL4:AM4"/>
    <mergeCell ref="AN4:AO4"/>
    <mergeCell ref="AE94:AH94"/>
    <mergeCell ref="S9:W9"/>
    <mergeCell ref="Z93:AC93"/>
    <mergeCell ref="AE93:AH93"/>
    <mergeCell ref="M83:AH83"/>
    <mergeCell ref="AE85:AH85"/>
    <mergeCell ref="AE84:AH84"/>
    <mergeCell ref="AE86:AH86"/>
    <mergeCell ref="AE87:AH87"/>
    <mergeCell ref="AE90:AH90"/>
    <mergeCell ref="M84:P84"/>
    <mergeCell ref="W41:AE41"/>
    <mergeCell ref="AF48:AH48"/>
    <mergeCell ref="B50:Q50"/>
    <mergeCell ref="S50:AH50"/>
    <mergeCell ref="S49:AH49"/>
    <mergeCell ref="B49:Q49"/>
    <mergeCell ref="B43:E43"/>
    <mergeCell ref="B44:E44"/>
    <mergeCell ref="F44:N44"/>
    <mergeCell ref="AE91:AH91"/>
    <mergeCell ref="Z84:AC84"/>
    <mergeCell ref="V84:X84"/>
    <mergeCell ref="R84:T84"/>
    <mergeCell ref="R85:T85"/>
    <mergeCell ref="AE89:AH89"/>
    <mergeCell ref="AF53:AH53"/>
    <mergeCell ref="AC52:AE52"/>
    <mergeCell ref="L52:N52"/>
    <mergeCell ref="S53:AB53"/>
    <mergeCell ref="L53:N53"/>
    <mergeCell ref="M71:O71"/>
    <mergeCell ref="B69:AH69"/>
    <mergeCell ref="I71:K71"/>
    <mergeCell ref="V71:X72"/>
    <mergeCell ref="B70:K70"/>
    <mergeCell ref="S61:Y61"/>
    <mergeCell ref="S62:Y62"/>
    <mergeCell ref="Z63:AB63"/>
    <mergeCell ref="B64:H64"/>
    <mergeCell ref="B65:H65"/>
    <mergeCell ref="B67:H67"/>
    <mergeCell ref="Z67:AB67"/>
    <mergeCell ref="AE75:AH75"/>
    <mergeCell ref="B75:R75"/>
    <mergeCell ref="B76:R76"/>
    <mergeCell ref="AB75:AD75"/>
    <mergeCell ref="B85:L85"/>
    <mergeCell ref="M85:P85"/>
    <mergeCell ref="AF42:AH42"/>
    <mergeCell ref="W42:AE42"/>
    <mergeCell ref="AE76:AH76"/>
    <mergeCell ref="AE77:AH77"/>
    <mergeCell ref="S58:AH58"/>
    <mergeCell ref="L67:Q67"/>
    <mergeCell ref="AC67:AH67"/>
    <mergeCell ref="AC53:AE53"/>
    <mergeCell ref="O53:Q53"/>
    <mergeCell ref="O52:Q52"/>
    <mergeCell ref="O46:Q46"/>
    <mergeCell ref="F46:N46"/>
    <mergeCell ref="B51:AH51"/>
    <mergeCell ref="S52:AB52"/>
    <mergeCell ref="S46:V46"/>
    <mergeCell ref="W46:AE46"/>
    <mergeCell ref="AF46:AH46"/>
    <mergeCell ref="Z85:AC85"/>
    <mergeCell ref="B84:L84"/>
    <mergeCell ref="V93:X93"/>
    <mergeCell ref="R94:T94"/>
    <mergeCell ref="Z86:AC86"/>
    <mergeCell ref="R86:T86"/>
    <mergeCell ref="B86:L86"/>
    <mergeCell ref="B91:R91"/>
    <mergeCell ref="B89:R89"/>
    <mergeCell ref="Z94:AC94"/>
    <mergeCell ref="V94:X94"/>
    <mergeCell ref="M93:P93"/>
    <mergeCell ref="R93:T93"/>
    <mergeCell ref="B93:L93"/>
    <mergeCell ref="M86:P86"/>
    <mergeCell ref="B88:R88"/>
    <mergeCell ref="Y90:AC90"/>
    <mergeCell ref="B87:AC87"/>
    <mergeCell ref="Y89:AC89"/>
    <mergeCell ref="B90:R90"/>
    <mergeCell ref="AP29:AQ29"/>
    <mergeCell ref="B31:G31"/>
    <mergeCell ref="H31:J31"/>
    <mergeCell ref="Y31:AA31"/>
    <mergeCell ref="B30:G30"/>
    <mergeCell ref="AE26:AH32"/>
    <mergeCell ref="S32:AA32"/>
    <mergeCell ref="AB32:AD32"/>
    <mergeCell ref="K30:M30"/>
    <mergeCell ref="H27:J27"/>
    <mergeCell ref="B28:G28"/>
    <mergeCell ref="AB28:AD28"/>
    <mergeCell ref="AB29:AD29"/>
    <mergeCell ref="S30:X30"/>
    <mergeCell ref="S27:X27"/>
    <mergeCell ref="S29:X29"/>
    <mergeCell ref="B2:AH2"/>
    <mergeCell ref="B18:AH18"/>
    <mergeCell ref="S31:X31"/>
    <mergeCell ref="K31:M31"/>
    <mergeCell ref="AB31:AD31"/>
    <mergeCell ref="B20:C20"/>
    <mergeCell ref="D20:Q20"/>
    <mergeCell ref="H30:J30"/>
    <mergeCell ref="B29:G29"/>
    <mergeCell ref="B27:G27"/>
    <mergeCell ref="H26:J26"/>
    <mergeCell ref="B10:I10"/>
    <mergeCell ref="O10:Q10"/>
    <mergeCell ref="B9:F9"/>
    <mergeCell ref="G9:N9"/>
    <mergeCell ref="B11:I11"/>
    <mergeCell ref="O13:Q13"/>
    <mergeCell ref="J11:N11"/>
    <mergeCell ref="O6:Q6"/>
    <mergeCell ref="N25:Q25"/>
    <mergeCell ref="N23:Q24"/>
    <mergeCell ref="H28:J28"/>
    <mergeCell ref="K27:M27"/>
    <mergeCell ref="H29:J29"/>
    <mergeCell ref="B15:N15"/>
    <mergeCell ref="B16:N16"/>
    <mergeCell ref="B35:AH35"/>
    <mergeCell ref="W38:AE38"/>
    <mergeCell ref="R19:R21"/>
    <mergeCell ref="R23:R33"/>
    <mergeCell ref="S26:X26"/>
    <mergeCell ref="Y26:AA26"/>
    <mergeCell ref="S25:X25"/>
    <mergeCell ref="S24:X24"/>
    <mergeCell ref="AB25:AD25"/>
    <mergeCell ref="Y29:AA29"/>
    <mergeCell ref="Y30:AA30"/>
    <mergeCell ref="O38:Q38"/>
    <mergeCell ref="B23:G23"/>
    <mergeCell ref="H23:J23"/>
    <mergeCell ref="K23:M23"/>
    <mergeCell ref="B34:AH34"/>
    <mergeCell ref="K25:M25"/>
    <mergeCell ref="S23:X23"/>
    <mergeCell ref="Y23:AA23"/>
    <mergeCell ref="AE23:AH24"/>
    <mergeCell ref="AB23:AD23"/>
    <mergeCell ref="AF33:AH33"/>
    <mergeCell ref="B33:N33"/>
    <mergeCell ref="S33:AE33"/>
    <mergeCell ref="O33:Q33"/>
    <mergeCell ref="X6:AE6"/>
    <mergeCell ref="S7:W7"/>
    <mergeCell ref="S6:W6"/>
    <mergeCell ref="O7:Q7"/>
    <mergeCell ref="X7:AE7"/>
    <mergeCell ref="B8:N8"/>
    <mergeCell ref="X9:AE9"/>
    <mergeCell ref="S8:AE8"/>
    <mergeCell ref="G7:N7"/>
    <mergeCell ref="G6:N6"/>
    <mergeCell ref="B6:F6"/>
    <mergeCell ref="B7:F7"/>
    <mergeCell ref="B14:N14"/>
    <mergeCell ref="J12:N12"/>
    <mergeCell ref="B12:I12"/>
    <mergeCell ref="N21:Q21"/>
    <mergeCell ref="B17:N17"/>
    <mergeCell ref="B21:J21"/>
    <mergeCell ref="K21:M21"/>
    <mergeCell ref="B19:Q19"/>
    <mergeCell ref="O17:Q17"/>
    <mergeCell ref="B3:AH3"/>
    <mergeCell ref="B4:Q4"/>
    <mergeCell ref="B5:F5"/>
    <mergeCell ref="S5:W5"/>
    <mergeCell ref="S4:AH4"/>
    <mergeCell ref="X5:AE5"/>
    <mergeCell ref="G5:N5"/>
    <mergeCell ref="AF5:AH5"/>
    <mergeCell ref="O5:Q5"/>
    <mergeCell ref="R4:R17"/>
    <mergeCell ref="O15:Q16"/>
    <mergeCell ref="O12:Q12"/>
    <mergeCell ref="S10:Z10"/>
    <mergeCell ref="AA10:AE10"/>
    <mergeCell ref="O14:Q14"/>
    <mergeCell ref="S12:Z12"/>
    <mergeCell ref="S11:Z11"/>
    <mergeCell ref="O11:Q11"/>
    <mergeCell ref="AA11:AE11"/>
    <mergeCell ref="AA12:AE12"/>
    <mergeCell ref="B13:N13"/>
    <mergeCell ref="O8:Q8"/>
    <mergeCell ref="O9:Q9"/>
    <mergeCell ref="J10:N10"/>
    <mergeCell ref="AF6:AH6"/>
    <mergeCell ref="AN22:AO22"/>
    <mergeCell ref="AF15:AH16"/>
    <mergeCell ref="S13:AE13"/>
    <mergeCell ref="AF13:AH13"/>
    <mergeCell ref="S15:AE15"/>
    <mergeCell ref="S16:AE16"/>
    <mergeCell ref="S14:AE14"/>
    <mergeCell ref="AL22:AM22"/>
    <mergeCell ref="AF11:AH11"/>
    <mergeCell ref="AF14:AH14"/>
    <mergeCell ref="AF12:AH12"/>
    <mergeCell ref="AF7:AH7"/>
    <mergeCell ref="AF9:AH9"/>
    <mergeCell ref="AF8:AH8"/>
    <mergeCell ref="AF10:AH10"/>
    <mergeCell ref="S19:AH19"/>
    <mergeCell ref="AF17:AH17"/>
    <mergeCell ref="S20:T20"/>
    <mergeCell ref="U20:AH20"/>
    <mergeCell ref="S17:AE17"/>
    <mergeCell ref="S21:AA21"/>
    <mergeCell ref="AB21:AD21"/>
    <mergeCell ref="AE21:AH21"/>
    <mergeCell ref="AR22:AS22"/>
    <mergeCell ref="B22:AH22"/>
    <mergeCell ref="S28:X28"/>
    <mergeCell ref="AE25:AH25"/>
    <mergeCell ref="Y24:AA24"/>
    <mergeCell ref="AB24:AD24"/>
    <mergeCell ref="K28:M28"/>
    <mergeCell ref="K26:M26"/>
    <mergeCell ref="N26:Q32"/>
    <mergeCell ref="Y28:AA28"/>
    <mergeCell ref="B32:J32"/>
    <mergeCell ref="Y27:AA27"/>
    <mergeCell ref="AB26:AD26"/>
    <mergeCell ref="AB30:AD30"/>
    <mergeCell ref="AB27:AD27"/>
    <mergeCell ref="K29:M29"/>
    <mergeCell ref="K32:M32"/>
    <mergeCell ref="B26:G26"/>
    <mergeCell ref="B24:G24"/>
    <mergeCell ref="B25:G25"/>
    <mergeCell ref="H24:J24"/>
    <mergeCell ref="H25:J25"/>
    <mergeCell ref="K24:M24"/>
    <mergeCell ref="Y25:AA25"/>
    <mergeCell ref="S36:AH36"/>
    <mergeCell ref="B36:Q36"/>
    <mergeCell ref="O39:Q39"/>
    <mergeCell ref="O40:Q40"/>
    <mergeCell ref="AF40:AH40"/>
    <mergeCell ref="F39:N39"/>
    <mergeCell ref="S38:V38"/>
    <mergeCell ref="F40:N40"/>
    <mergeCell ref="W40:AE40"/>
    <mergeCell ref="B37:Q37"/>
    <mergeCell ref="W39:AE39"/>
    <mergeCell ref="B38:E38"/>
    <mergeCell ref="B40:E40"/>
    <mergeCell ref="AF39:AH39"/>
    <mergeCell ref="S37:AH37"/>
    <mergeCell ref="S39:V39"/>
    <mergeCell ref="AF38:AH38"/>
    <mergeCell ref="F38:N38"/>
    <mergeCell ref="S40:V40"/>
    <mergeCell ref="B39:E39"/>
    <mergeCell ref="AE71:AH72"/>
    <mergeCell ref="AF64:AH64"/>
    <mergeCell ref="AF63:AH63"/>
    <mergeCell ref="AC63:AE63"/>
    <mergeCell ref="AC65:AE65"/>
    <mergeCell ref="Q72:T72"/>
    <mergeCell ref="AF65:AH65"/>
    <mergeCell ref="AF66:AH66"/>
    <mergeCell ref="S66:Y66"/>
    <mergeCell ref="AC66:AE66"/>
    <mergeCell ref="B68:AH68"/>
    <mergeCell ref="B66:H66"/>
    <mergeCell ref="I66:K66"/>
    <mergeCell ref="O66:Q66"/>
    <mergeCell ref="Z66:AB66"/>
    <mergeCell ref="AF47:AH47"/>
    <mergeCell ref="B52:K52"/>
    <mergeCell ref="S48:AE48"/>
    <mergeCell ref="S47:V47"/>
    <mergeCell ref="B46:E46"/>
    <mergeCell ref="B47:E47"/>
    <mergeCell ref="B48:N48"/>
    <mergeCell ref="AF52:AH52"/>
    <mergeCell ref="AF54:AH54"/>
    <mergeCell ref="F47:N47"/>
    <mergeCell ref="W47:AE47"/>
    <mergeCell ref="O48:Q48"/>
    <mergeCell ref="O47:Q47"/>
    <mergeCell ref="O54:Q54"/>
    <mergeCell ref="L54:N54"/>
    <mergeCell ref="B77:R77"/>
    <mergeCell ref="S75:W75"/>
    <mergeCell ref="B54:K54"/>
    <mergeCell ref="S76:W76"/>
    <mergeCell ref="S77:W77"/>
    <mergeCell ref="Y77:AA77"/>
    <mergeCell ref="Y75:AA75"/>
    <mergeCell ref="I64:K64"/>
    <mergeCell ref="Z60:AB60"/>
    <mergeCell ref="Y71:AD71"/>
    <mergeCell ref="S67:Y67"/>
    <mergeCell ref="S64:Y64"/>
    <mergeCell ref="Z64:AB64"/>
    <mergeCell ref="I67:K67"/>
    <mergeCell ref="B63:H63"/>
    <mergeCell ref="S65:Y65"/>
    <mergeCell ref="Z65:AB65"/>
    <mergeCell ref="L64:N64"/>
    <mergeCell ref="M72:O72"/>
    <mergeCell ref="Q71:T71"/>
    <mergeCell ref="Q73:T73"/>
    <mergeCell ref="O65:Q65"/>
    <mergeCell ref="S54:AB54"/>
    <mergeCell ref="AC54:AE54"/>
    <mergeCell ref="AF41:AH41"/>
    <mergeCell ref="B41:E41"/>
    <mergeCell ref="AF43:AH43"/>
    <mergeCell ref="F43:N43"/>
    <mergeCell ref="AF45:AH45"/>
    <mergeCell ref="W44:AE44"/>
    <mergeCell ref="B45:E45"/>
    <mergeCell ref="B42:E42"/>
    <mergeCell ref="AF44:AH44"/>
    <mergeCell ref="W45:AE45"/>
    <mergeCell ref="W43:AE43"/>
    <mergeCell ref="S44:V44"/>
    <mergeCell ref="S43:V43"/>
    <mergeCell ref="S42:V42"/>
    <mergeCell ref="S41:V41"/>
    <mergeCell ref="O42:Q42"/>
    <mergeCell ref="F42:N42"/>
    <mergeCell ref="O43:Q43"/>
    <mergeCell ref="O44:Q44"/>
    <mergeCell ref="O45:Q45"/>
    <mergeCell ref="S45:V45"/>
    <mergeCell ref="F45:N45"/>
    <mergeCell ref="B96:AH96"/>
    <mergeCell ref="B97:J97"/>
    <mergeCell ref="K97:S97"/>
    <mergeCell ref="T97:Z97"/>
    <mergeCell ref="B78:R78"/>
    <mergeCell ref="AE78:AH78"/>
    <mergeCell ref="AE95:AH95"/>
    <mergeCell ref="B94:L94"/>
    <mergeCell ref="M94:P94"/>
    <mergeCell ref="B82:AH82"/>
    <mergeCell ref="S79:W79"/>
    <mergeCell ref="Y78:AA78"/>
    <mergeCell ref="AB78:AD78"/>
    <mergeCell ref="S78:W78"/>
    <mergeCell ref="Y79:AA79"/>
    <mergeCell ref="AB79:AD79"/>
    <mergeCell ref="B80:AD80"/>
    <mergeCell ref="AE80:AH80"/>
    <mergeCell ref="B79:R79"/>
    <mergeCell ref="S90:W90"/>
    <mergeCell ref="V85:X85"/>
    <mergeCell ref="Y91:AC91"/>
    <mergeCell ref="V86:X86"/>
    <mergeCell ref="S89:W89"/>
    <mergeCell ref="B95:AD95"/>
    <mergeCell ref="S91:W91"/>
    <mergeCell ref="V1:AH1"/>
    <mergeCell ref="J1:T1"/>
    <mergeCell ref="I83:L83"/>
    <mergeCell ref="AB76:AD76"/>
    <mergeCell ref="AB77:AD77"/>
    <mergeCell ref="L70:P70"/>
    <mergeCell ref="V70:X70"/>
    <mergeCell ref="B74:R74"/>
    <mergeCell ref="I72:K72"/>
    <mergeCell ref="AE79:AH79"/>
    <mergeCell ref="AE73:AH73"/>
    <mergeCell ref="V73:X73"/>
    <mergeCell ref="Y73:AD73"/>
    <mergeCell ref="Y76:AA76"/>
    <mergeCell ref="B71:H71"/>
    <mergeCell ref="B72:H72"/>
    <mergeCell ref="F41:N41"/>
    <mergeCell ref="B73:O73"/>
    <mergeCell ref="O41:Q41"/>
    <mergeCell ref="I65:K65"/>
    <mergeCell ref="B53:K53"/>
    <mergeCell ref="L66:N66"/>
    <mergeCell ref="O56:Q56"/>
    <mergeCell ref="S56:AB56"/>
    <mergeCell ref="AC56:AE56"/>
    <mergeCell ref="O61:Q61"/>
    <mergeCell ref="S60:Y60"/>
    <mergeCell ref="I61:K61"/>
    <mergeCell ref="AC59:AH59"/>
    <mergeCell ref="AF56:AH56"/>
    <mergeCell ref="I60:K60"/>
    <mergeCell ref="AC61:AE61"/>
    <mergeCell ref="B56:K56"/>
    <mergeCell ref="L56:N56"/>
    <mergeCell ref="B61:H61"/>
    <mergeCell ref="S59:AB59"/>
    <mergeCell ref="L59:Q59"/>
    <mergeCell ref="B58:Q58"/>
    <mergeCell ref="O60:Q60"/>
    <mergeCell ref="AF60:AH60"/>
    <mergeCell ref="B55:Q55"/>
    <mergeCell ref="S55:AH55"/>
    <mergeCell ref="AC60:AE60"/>
    <mergeCell ref="AC64:AE64"/>
    <mergeCell ref="I62:K62"/>
    <mergeCell ref="L61:N61"/>
    <mergeCell ref="AM69:AN69"/>
    <mergeCell ref="B60:H60"/>
    <mergeCell ref="L65:N65"/>
    <mergeCell ref="O64:Q64"/>
    <mergeCell ref="AF61:AH61"/>
    <mergeCell ref="AF62:AH62"/>
    <mergeCell ref="Z61:AB61"/>
    <mergeCell ref="B59:K59"/>
    <mergeCell ref="L60:N60"/>
    <mergeCell ref="O63:Q63"/>
    <mergeCell ref="S63:Y63"/>
    <mergeCell ref="AC62:AE62"/>
    <mergeCell ref="Z62:AB62"/>
    <mergeCell ref="L62:N62"/>
    <mergeCell ref="O62:Q62"/>
    <mergeCell ref="I63:K63"/>
    <mergeCell ref="L63:N63"/>
    <mergeCell ref="B62:H62"/>
  </mergeCells>
  <phoneticPr fontId="0" type="noConversion"/>
  <dataValidations xWindow="856" yWindow="452" count="27">
    <dataValidation type="list" allowBlank="1" showInputMessage="1" showErrorMessage="1" promptTitle="Stereopsis" prompt="Extent of stereopsis (depth perception) impairment" sqref="L52:N52" xr:uid="{00000000-0002-0000-0900-000000000000}">
      <formula1>C121:E121</formula1>
    </dataValidation>
    <dataValidation type="list" allowBlank="1" showInputMessage="1" showErrorMessage="1" promptTitle="Glare disturbances" prompt="Extent of impairment due to glare disturances" sqref="L53:N53" xr:uid="{00000000-0002-0000-0900-000001000000}">
      <formula1>C121:E121</formula1>
    </dataValidation>
    <dataValidation type="list" allowBlank="1" showInputMessage="1" showErrorMessage="1" promptTitle="Monocular diplopia" prompt="Extent of impairment due to monocular diplopia" sqref="L54:N54" xr:uid="{00000000-0002-0000-0900-000002000000}">
      <formula1>C121:E121</formula1>
    </dataValidation>
    <dataValidation type="list" allowBlank="1" showInputMessage="1" showErrorMessage="1" promptTitle="Central vision" prompt="distance acuity - English measure" sqref="G6:N6 X6:AE6" xr:uid="{00000000-0002-0000-0900-000003000000}">
      <formula1>$B$107:$S$107</formula1>
    </dataValidation>
    <dataValidation type="list" allowBlank="1" showInputMessage="1" showErrorMessage="1" promptTitle="Central vision" prompt="distance acuity - metric 6" sqref="G7:N7 X7:AE7" xr:uid="{00000000-0002-0000-0900-000004000000}">
      <formula1>$B$109:$S$109</formula1>
    </dataValidation>
    <dataValidation type="list" allowBlank="1" showInputMessage="1" showErrorMessage="1" promptTitle="Central vision" prompt="near acuity - Near Snellen Inches" sqref="J10:N10 AA10:AE10" xr:uid="{00000000-0002-0000-0900-000005000000}">
      <formula1>$B$111:$P$111</formula1>
    </dataValidation>
    <dataValidation type="list" allowBlank="1" showInputMessage="1" showErrorMessage="1" promptTitle="Central vision" prompt="near acuity - Revised Jaeger Standard" sqref="J11:N11 AA11:AE11" xr:uid="{00000000-0002-0000-0900-000006000000}">
      <formula1>$B$113:$P$113</formula1>
    </dataValidation>
    <dataValidation type="list" allowBlank="1" showInputMessage="1" showErrorMessage="1" promptTitle="Central vision" prompt="near acuity - American Point-type" sqref="J12:N12 AA12:AE12" xr:uid="{00000000-0002-0000-0900-000007000000}">
      <formula1>$B$115:$P$115</formula1>
    </dataValidation>
    <dataValidation type="list" allowBlank="1" showInputMessage="1" showErrorMessage="1" promptTitle="Visual field" prompt="Extent of retained vision (50 degrees is minimal normal extent of this peripheral visual field.)" sqref="Y26:AA26" xr:uid="{00000000-0002-0000-0900-000008000000}">
      <formula1>$B$118:$CO$118</formula1>
    </dataValidation>
    <dataValidation type="list" allowBlank="1" showInputMessage="1" showErrorMessage="1" promptTitle="Visual field loss" prompt="Monocular Esterman Grid - count all the printed dots outside or falling on the line marking the extent of the visual field. The number of dots counted is the percentage of visual field loss." sqref="K21:M21 AB21:AD21" xr:uid="{00000000-0002-0000-0900-000009000000}">
      <formula1>$B$118:$CY$118</formula1>
    </dataValidation>
    <dataValidation type="list" allowBlank="1" showInputMessage="1" showErrorMessage="1" sqref="F39:N39 W39:AE39" xr:uid="{00000000-0002-0000-0900-00000A000000}">
      <formula1>$C$120</formula1>
    </dataValidation>
    <dataValidation type="list" allowBlank="1" showInputMessage="1" showErrorMessage="1" sqref="F40:N44 W40:AE44" xr:uid="{00000000-0002-0000-0900-00000B000000}">
      <formula1>$D$120:$E$120</formula1>
    </dataValidation>
    <dataValidation type="list" allowBlank="1" showInputMessage="1" showErrorMessage="1" sqref="F45:N47 W45:AE47" xr:uid="{00000000-0002-0000-0900-00000C000000}">
      <formula1>$F$120</formula1>
    </dataValidation>
    <dataValidation type="list" allowBlank="1" showInputMessage="1" showErrorMessage="1" promptTitle="Field loss" prompt="Enter data here only if the worker has lost 1/4 or 1/2 of the visual field. This will be either 3 or 5 meridians. The program will enter 1/2 the sum of minimal normal for the boundary meridians - at the first (identified by letter) boundary meridian." sqref="N25:Q25 AE25:AH25" xr:uid="{00000000-0002-0000-0900-00000E000000}">
      <formula1>$B$122:$R$122</formula1>
    </dataValidation>
    <dataValidation type="decimal" operator="equal" allowBlank="1" showInputMessage="1" showErrorMessage="1" promptTitle="Lens involvement" prompt="Check the type of lens loss or &quot;NA.&quot;" sqref="A16" xr:uid="{00000000-0002-0000-0900-00000F000000}">
      <formula1>AK16</formula1>
    </dataValidation>
    <dataValidation type="list" allowBlank="1" showInputMessage="1" showErrorMessage="1" promptTitle="Scotoma" prompt="Scotoma: Add the degrees lost within the scotoma along affected meridians and (the program will) subtract that amount from the retained peripheral field." sqref="H31:J31 Y31:AA31" xr:uid="{00000000-0002-0000-0900-000010000000}">
      <formula1>$B$119:$IS$119</formula1>
    </dataValidation>
    <dataValidation type="decimal" operator="equal" allowBlank="1" showInputMessage="1" showErrorMessage="1" promptTitle="Peripheral visual field" prompt="Enter field loss data or check box if all meridians are at least minimal normal. Enter scotoma loss if applicable." sqref="A20" xr:uid="{00000000-0002-0000-0900-000011000000}">
      <formula1>AR20</formula1>
    </dataValidation>
    <dataValidation type="list" allowBlank="1" showInputMessage="1" showErrorMessage="1" promptTitle="Visual field" prompt="Extent of retained vision (55 degrees is minimal normal extent of this peripheral visual field.)" sqref="Y30:AA30 Y28:AA28" xr:uid="{00000000-0002-0000-0900-000012000000}">
      <formula1>$B$118:$CO$118</formula1>
    </dataValidation>
    <dataValidation type="list" allowBlank="1" showInputMessage="1" showErrorMessage="1" promptTitle="Visual field" prompt="Extent of retained vision (45 degrees is minimal normal extent of this peripheral visual field.)" sqref="Y29:AA29" xr:uid="{00000000-0002-0000-0900-000013000000}">
      <formula1>$B$118:$CO$118</formula1>
    </dataValidation>
    <dataValidation type="list" allowBlank="1" showInputMessage="1" showErrorMessage="1" promptTitle="Visual field" prompt="Extent of retained vision (60 degrees is minimal normal extent of this peripheral visual field.)" sqref="Y27:AA27" xr:uid="{00000000-0002-0000-0900-000014000000}">
      <formula1>$B$118:$CO$118</formula1>
    </dataValidation>
    <dataValidation type="list" allowBlank="1" showInputMessage="1" showErrorMessage="1" promptTitle="Visual field" prompt="Extent of retained vision (65 degrees is minimal normal extent of this peripheral visual field.)" sqref="Y25:AA25" xr:uid="{00000000-0002-0000-0900-000015000000}">
      <formula1>$B$118:$CO$118</formula1>
    </dataValidation>
    <dataValidation type="list" allowBlank="1" showInputMessage="1" showErrorMessage="1" promptTitle="Visual field" prompt="Extent of retained vision (85 degrees is minimal normal extent of this peripheral visual field.)" sqref="Y23:AA24 H23:J30" xr:uid="{00000000-0002-0000-0900-000016000000}">
      <formula1>$B$118:$CO$118</formula1>
    </dataValidation>
    <dataValidation allowBlank="1" showInputMessage="1" showErrorMessage="1" promptTitle="Date of injury" prompt="The dollar value of each degree of disability depends on the date of injury, and the program cannot calculate the disability award without the date." sqref="I83" xr:uid="{00000000-0002-0000-0900-000019000000}"/>
    <dataValidation allowBlank="1" showInputMessage="1" showErrorMessage="1" promptTitle="End of worksheet" prompt="Press TAB to return to top of sheet." sqref="AH97" xr:uid="{00000000-0002-0000-0900-00001A000000}"/>
    <dataValidation type="decimal" allowBlank="1" showInputMessage="1" showErrorMessage="1" promptTitle="Apportionment (if any)" prompt="Enter percentage of impairment caused by the injury or illness. See OAR 436-035-0013." sqref="L61:N65 AF11 O11 AC61:AE65 AF7:AH7 O7:Q7" xr:uid="{00000000-0002-0000-0900-00001C000000}">
      <formula1>$C$106</formula1>
      <formula2>$D$106</formula2>
    </dataValidation>
    <dataValidation allowBlank="1" showInputMessage="1" showErrorMessage="1" promptTitle="Enucleation" prompt="Check box next to eye removed." sqref="A56" xr:uid="{00000000-0002-0000-0900-00001D000000}"/>
    <dataValidation type="list" allowBlank="1" showInputMessage="1" showErrorMessage="1" promptTitle="Stereopsis" prompt="Extent of stereopsis (depth perception) impairment" sqref="AC52:AE54" xr:uid="{C71E1069-6316-473F-AAE7-E9C522DCCE50}">
      <formula1>$C$121:$E$121</formula1>
    </dataValidation>
  </dataValidations>
  <hyperlinks>
    <hyperlink ref="B97" location="Hearing!A1" display="Return to top of sheet" xr:uid="{00000000-0004-0000-0900-000000000000}"/>
    <hyperlink ref="B97:J97" location="Vision!A1" display="Return to top of sheet" xr:uid="{00000000-0004-0000-0900-000001000000}"/>
    <hyperlink ref="K97:S97" location="'PPD DOI before 2005'!A1" display="'PPD DOI before 2005'!A1" xr:uid="{00000000-0004-0000-0900-000002000000}"/>
    <hyperlink ref="T97:Y97" location="'PPD DOI on or after 2005'!A1" display="'PPD DOI on or after 2005'!A1" xr:uid="{00000000-0004-0000-0900-000003000000}"/>
    <hyperlink ref="M83:AH83" location="'Start here'!A8" display="'Start here'!A8" xr:uid="{00000000-0004-0000-0900-000004000000}"/>
  </hyperlinks>
  <pageMargins left="0.5" right="0.5" top="0.52" bottom="0.89" header="0.56999999999999995" footer="0.59"/>
  <pageSetup orientation="portrait" r:id="rId1"/>
  <headerFooter alignWithMargins="0">
    <oddFooter>&amp;LVision&amp;CPage &amp;P</oddFooter>
  </headerFooter>
  <rowBreaks count="2" manualBreakCount="2">
    <brk id="34" max="16383" man="1"/>
    <brk id="6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Group Box 1">
              <controlPr defaultSize="0" autoFill="0" autoPict="0">
                <anchor moveWithCells="1">
                  <from>
                    <xdr:col>1</xdr:col>
                    <xdr:colOff>0</xdr:colOff>
                    <xdr:row>13</xdr:row>
                    <xdr:rowOff>180975</xdr:rowOff>
                  </from>
                  <to>
                    <xdr:col>14</xdr:col>
                    <xdr:colOff>9525</xdr:colOff>
                    <xdr:row>15</xdr:row>
                    <xdr:rowOff>733425</xdr:rowOff>
                  </to>
                </anchor>
              </controlPr>
            </control>
          </mc:Choice>
        </mc:AlternateContent>
        <mc:AlternateContent xmlns:mc="http://schemas.openxmlformats.org/markup-compatibility/2006">
          <mc:Choice Requires="x14">
            <control shapeId="43010" r:id="rId5" name="Option Button 2">
              <controlPr defaultSize="0" autoFill="0" autoLine="0" autoPict="0">
                <anchor moveWithCells="1">
                  <from>
                    <xdr:col>1</xdr:col>
                    <xdr:colOff>76200</xdr:colOff>
                    <xdr:row>15</xdr:row>
                    <xdr:rowOff>19050</xdr:rowOff>
                  </from>
                  <to>
                    <xdr:col>3</xdr:col>
                    <xdr:colOff>76200</xdr:colOff>
                    <xdr:row>15</xdr:row>
                    <xdr:rowOff>238125</xdr:rowOff>
                  </to>
                </anchor>
              </controlPr>
            </control>
          </mc:Choice>
        </mc:AlternateContent>
        <mc:AlternateContent xmlns:mc="http://schemas.openxmlformats.org/markup-compatibility/2006">
          <mc:Choice Requires="x14">
            <control shapeId="43011" r:id="rId6" name="Option Button 3">
              <controlPr defaultSize="0" autoFill="0" autoLine="0" autoPict="0">
                <anchor moveWithCells="1">
                  <from>
                    <xdr:col>1</xdr:col>
                    <xdr:colOff>76200</xdr:colOff>
                    <xdr:row>15</xdr:row>
                    <xdr:rowOff>228600</xdr:rowOff>
                  </from>
                  <to>
                    <xdr:col>12</xdr:col>
                    <xdr:colOff>123825</xdr:colOff>
                    <xdr:row>15</xdr:row>
                    <xdr:rowOff>447675</xdr:rowOff>
                  </to>
                </anchor>
              </controlPr>
            </control>
          </mc:Choice>
        </mc:AlternateContent>
        <mc:AlternateContent xmlns:mc="http://schemas.openxmlformats.org/markup-compatibility/2006">
          <mc:Choice Requires="x14">
            <control shapeId="43012" r:id="rId7" name="Option Button 4">
              <controlPr defaultSize="0" autoFill="0" autoLine="0" autoPict="0">
                <anchor moveWithCells="1">
                  <from>
                    <xdr:col>1</xdr:col>
                    <xdr:colOff>76200</xdr:colOff>
                    <xdr:row>15</xdr:row>
                    <xdr:rowOff>447675</xdr:rowOff>
                  </from>
                  <to>
                    <xdr:col>12</xdr:col>
                    <xdr:colOff>142875</xdr:colOff>
                    <xdr:row>15</xdr:row>
                    <xdr:rowOff>666750</xdr:rowOff>
                  </to>
                </anchor>
              </controlPr>
            </control>
          </mc:Choice>
        </mc:AlternateContent>
        <mc:AlternateContent xmlns:mc="http://schemas.openxmlformats.org/markup-compatibility/2006">
          <mc:Choice Requires="x14">
            <control shapeId="43013" r:id="rId8" name="Group Box 5">
              <controlPr defaultSize="0" autoFill="0" autoPict="0">
                <anchor moveWithCells="1">
                  <from>
                    <xdr:col>18</xdr:col>
                    <xdr:colOff>28575</xdr:colOff>
                    <xdr:row>14</xdr:row>
                    <xdr:rowOff>0</xdr:rowOff>
                  </from>
                  <to>
                    <xdr:col>30</xdr:col>
                    <xdr:colOff>152400</xdr:colOff>
                    <xdr:row>15</xdr:row>
                    <xdr:rowOff>733425</xdr:rowOff>
                  </to>
                </anchor>
              </controlPr>
            </control>
          </mc:Choice>
        </mc:AlternateContent>
        <mc:AlternateContent xmlns:mc="http://schemas.openxmlformats.org/markup-compatibility/2006">
          <mc:Choice Requires="x14">
            <control shapeId="43014" r:id="rId9" name="Option Button 6">
              <controlPr defaultSize="0" autoFill="0" autoLine="0" autoPict="0">
                <anchor moveWithCells="1">
                  <from>
                    <xdr:col>18</xdr:col>
                    <xdr:colOff>114300</xdr:colOff>
                    <xdr:row>15</xdr:row>
                    <xdr:rowOff>19050</xdr:rowOff>
                  </from>
                  <to>
                    <xdr:col>28</xdr:col>
                    <xdr:colOff>171450</xdr:colOff>
                    <xdr:row>15</xdr:row>
                    <xdr:rowOff>238125</xdr:rowOff>
                  </to>
                </anchor>
              </controlPr>
            </control>
          </mc:Choice>
        </mc:AlternateContent>
        <mc:AlternateContent xmlns:mc="http://schemas.openxmlformats.org/markup-compatibility/2006">
          <mc:Choice Requires="x14">
            <control shapeId="43015" r:id="rId10" name="Option Button 7">
              <controlPr defaultSize="0" autoFill="0" autoLine="0" autoPict="0">
                <anchor moveWithCells="1">
                  <from>
                    <xdr:col>18</xdr:col>
                    <xdr:colOff>114300</xdr:colOff>
                    <xdr:row>15</xdr:row>
                    <xdr:rowOff>219075</xdr:rowOff>
                  </from>
                  <to>
                    <xdr:col>28</xdr:col>
                    <xdr:colOff>171450</xdr:colOff>
                    <xdr:row>15</xdr:row>
                    <xdr:rowOff>438150</xdr:rowOff>
                  </to>
                </anchor>
              </controlPr>
            </control>
          </mc:Choice>
        </mc:AlternateContent>
        <mc:AlternateContent xmlns:mc="http://schemas.openxmlformats.org/markup-compatibility/2006">
          <mc:Choice Requires="x14">
            <control shapeId="43016" r:id="rId11" name="Option Button 8">
              <controlPr defaultSize="0" autoFill="0" autoLine="0" autoPict="0">
                <anchor moveWithCells="1">
                  <from>
                    <xdr:col>18</xdr:col>
                    <xdr:colOff>114300</xdr:colOff>
                    <xdr:row>15</xdr:row>
                    <xdr:rowOff>447675</xdr:rowOff>
                  </from>
                  <to>
                    <xdr:col>29</xdr:col>
                    <xdr:colOff>47625</xdr:colOff>
                    <xdr:row>15</xdr:row>
                    <xdr:rowOff>666750</xdr:rowOff>
                  </to>
                </anchor>
              </controlPr>
            </control>
          </mc:Choice>
        </mc:AlternateContent>
        <mc:AlternateContent xmlns:mc="http://schemas.openxmlformats.org/markup-compatibility/2006">
          <mc:Choice Requires="x14">
            <control shapeId="43017" r:id="rId12" name="Check Box 9">
              <controlPr defaultSize="0" autoFill="0" autoLine="0" autoPict="0">
                <anchor moveWithCells="1">
                  <from>
                    <xdr:col>1</xdr:col>
                    <xdr:colOff>28575</xdr:colOff>
                    <xdr:row>18</xdr:row>
                    <xdr:rowOff>219075</xdr:rowOff>
                  </from>
                  <to>
                    <xdr:col>2</xdr:col>
                    <xdr:colOff>123825</xdr:colOff>
                    <xdr:row>19</xdr:row>
                    <xdr:rowOff>209550</xdr:rowOff>
                  </to>
                </anchor>
              </controlPr>
            </control>
          </mc:Choice>
        </mc:AlternateContent>
        <mc:AlternateContent xmlns:mc="http://schemas.openxmlformats.org/markup-compatibility/2006">
          <mc:Choice Requires="x14">
            <control shapeId="43018" r:id="rId13" name="Check Box 10">
              <controlPr defaultSize="0" autoFill="0" autoLine="0" autoPict="0">
                <anchor moveWithCells="1">
                  <from>
                    <xdr:col>18</xdr:col>
                    <xdr:colOff>85725</xdr:colOff>
                    <xdr:row>19</xdr:row>
                    <xdr:rowOff>0</xdr:rowOff>
                  </from>
                  <to>
                    <xdr:col>19</xdr:col>
                    <xdr:colOff>171450</xdr:colOff>
                    <xdr:row>19</xdr:row>
                    <xdr:rowOff>219075</xdr:rowOff>
                  </to>
                </anchor>
              </controlPr>
            </control>
          </mc:Choice>
        </mc:AlternateContent>
        <mc:AlternateContent xmlns:mc="http://schemas.openxmlformats.org/markup-compatibility/2006">
          <mc:Choice Requires="x14">
            <control shapeId="43096" r:id="rId14" name="Check Box 88">
              <controlPr defaultSize="0" autoFill="0" autoLine="0" autoPict="0">
                <anchor moveWithCells="1">
                  <from>
                    <xdr:col>12</xdr:col>
                    <xdr:colOff>9525</xdr:colOff>
                    <xdr:row>55</xdr:row>
                    <xdr:rowOff>9525</xdr:rowOff>
                  </from>
                  <to>
                    <xdr:col>13</xdr:col>
                    <xdr:colOff>133350</xdr:colOff>
                    <xdr:row>55</xdr:row>
                    <xdr:rowOff>219075</xdr:rowOff>
                  </to>
                </anchor>
              </controlPr>
            </control>
          </mc:Choice>
        </mc:AlternateContent>
        <mc:AlternateContent xmlns:mc="http://schemas.openxmlformats.org/markup-compatibility/2006">
          <mc:Choice Requires="x14">
            <control shapeId="43097" r:id="rId15" name="Check Box 89">
              <controlPr defaultSize="0" autoFill="0" autoLine="0" autoPict="0">
                <anchor moveWithCells="1">
                  <from>
                    <xdr:col>29</xdr:col>
                    <xdr:colOff>38100</xdr:colOff>
                    <xdr:row>55</xdr:row>
                    <xdr:rowOff>9525</xdr:rowOff>
                  </from>
                  <to>
                    <xdr:col>31</xdr:col>
                    <xdr:colOff>0</xdr:colOff>
                    <xdr:row>55</xdr:row>
                    <xdr:rowOff>219075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IG390"/>
  <sheetViews>
    <sheetView showGridLines="0" zoomScale="120" zoomScaleNormal="120" workbookViewId="0"/>
  </sheetViews>
  <sheetFormatPr defaultColWidth="2.85546875" defaultRowHeight="12.75" x14ac:dyDescent="0.2"/>
  <cols>
    <col min="1" max="1" width="1.42578125" style="35" customWidth="1"/>
    <col min="2" max="2" width="22.5703125" style="35" customWidth="1"/>
    <col min="3" max="3" width="3.42578125" style="2" customWidth="1"/>
    <col min="4" max="4" width="4.7109375" style="191" customWidth="1"/>
    <col min="5" max="5" width="4.28515625" style="35" customWidth="1"/>
    <col min="6" max="6" width="4.42578125" style="191" customWidth="1"/>
    <col min="7" max="7" width="4.28515625" style="35" customWidth="1"/>
    <col min="8" max="8" width="4" style="191" customWidth="1"/>
    <col min="9" max="9" width="4.85546875" style="35" customWidth="1"/>
    <col min="10" max="10" width="4.28515625" style="191" customWidth="1"/>
    <col min="11" max="11" width="2.85546875" style="35" customWidth="1"/>
    <col min="12" max="12" width="4" style="191" customWidth="1"/>
    <col min="13" max="13" width="4.42578125" style="35" customWidth="1"/>
    <col min="14" max="14" width="4" style="191" customWidth="1"/>
    <col min="15" max="15" width="11.28515625" style="35" customWidth="1"/>
    <col min="16" max="16" width="10.85546875" style="35" customWidth="1"/>
    <col min="17" max="17" width="2" style="35" customWidth="1"/>
    <col min="18" max="18" width="14.5703125" style="35" hidden="1" customWidth="1"/>
    <col min="19" max="19" width="15.140625" style="35" hidden="1" customWidth="1"/>
    <col min="20" max="20" width="13.85546875" style="35" hidden="1" customWidth="1"/>
    <col min="21" max="21" width="13.140625" style="35" hidden="1" customWidth="1"/>
    <col min="22" max="22" width="12.42578125" style="35" hidden="1" customWidth="1"/>
    <col min="23" max="23" width="17.140625" style="35" hidden="1" customWidth="1"/>
    <col min="24" max="24" width="12.5703125" style="35" hidden="1" customWidth="1"/>
    <col min="25" max="25" width="13.5703125" style="35" hidden="1" customWidth="1"/>
    <col min="26" max="26" width="11.7109375" style="35" hidden="1" customWidth="1"/>
    <col min="27" max="27" width="7.5703125" style="35" hidden="1" customWidth="1"/>
    <col min="28" max="28" width="10" style="35" hidden="1" customWidth="1"/>
    <col min="29" max="29" width="7" style="35" hidden="1" customWidth="1"/>
    <col min="30" max="30" width="5.85546875" style="35" hidden="1" customWidth="1"/>
    <col min="31" max="31" width="4" style="35" hidden="1" customWidth="1"/>
    <col min="32" max="32" width="5.140625" style="35" hidden="1" customWidth="1"/>
    <col min="33" max="130" width="2.85546875" style="35" hidden="1" customWidth="1"/>
    <col min="131" max="255" width="2.85546875" style="35" customWidth="1"/>
    <col min="256" max="16384" width="2.85546875" style="35"/>
  </cols>
  <sheetData>
    <row r="1" spans="2:236" ht="15" customHeight="1" x14ac:dyDescent="0.2">
      <c r="B1" s="14" t="s">
        <v>1733</v>
      </c>
      <c r="C1" s="1347" t="str">
        <f>IF('Start here'!A6="","",'Start here'!A6)</f>
        <v/>
      </c>
      <c r="D1" s="1351"/>
      <c r="E1" s="1351"/>
      <c r="F1" s="1351"/>
      <c r="G1" s="1351"/>
      <c r="H1" s="1351"/>
      <c r="I1" s="1351"/>
      <c r="J1" s="1352"/>
      <c r="K1" s="2"/>
      <c r="L1" s="1347" t="str">
        <f>IF('Start here'!A7="","",'Start here'!A7)</f>
        <v/>
      </c>
      <c r="M1" s="1351"/>
      <c r="N1" s="1351"/>
      <c r="O1" s="1351"/>
      <c r="P1" s="1352"/>
      <c r="R1" s="694">
        <v>38353</v>
      </c>
      <c r="S1" s="196">
        <f>'Start here'!A8</f>
        <v>0</v>
      </c>
      <c r="T1" s="1175" t="str">
        <f>IF(S1&gt;=R1,"Go to PPD Worksheet","")</f>
        <v/>
      </c>
      <c r="U1" s="1175"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236" ht="8.25" customHeight="1" x14ac:dyDescent="0.2">
      <c r="B2" s="1772"/>
      <c r="C2" s="1772"/>
      <c r="D2" s="1772"/>
      <c r="E2" s="1772"/>
      <c r="F2" s="1772"/>
      <c r="G2" s="1772"/>
      <c r="H2" s="1772"/>
      <c r="I2" s="1772"/>
      <c r="J2" s="1772"/>
      <c r="K2" s="1772"/>
      <c r="L2" s="1772"/>
      <c r="M2" s="1772"/>
      <c r="N2" s="1772"/>
      <c r="O2" s="1772"/>
      <c r="P2" s="1772"/>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row>
    <row r="3" spans="2:236" ht="25.5" customHeight="1" x14ac:dyDescent="0.3">
      <c r="B3" s="1773" t="s">
        <v>1774</v>
      </c>
      <c r="C3" s="1858"/>
      <c r="D3" s="1858"/>
      <c r="E3" s="1858"/>
      <c r="F3" s="1858"/>
      <c r="G3" s="1858"/>
      <c r="H3" s="1858"/>
      <c r="I3" s="1858"/>
      <c r="J3" s="1858"/>
      <c r="K3" s="1858"/>
      <c r="L3" s="1858"/>
      <c r="M3" s="1858"/>
      <c r="N3" s="1858"/>
      <c r="O3" s="1858"/>
      <c r="P3" s="1859"/>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c r="HU3" s="14"/>
      <c r="HV3" s="14"/>
      <c r="HW3" s="14"/>
      <c r="HX3" s="14"/>
      <c r="HY3" s="14"/>
      <c r="HZ3" s="14"/>
      <c r="IA3" s="14"/>
      <c r="IB3" s="14"/>
    </row>
    <row r="4" spans="2:236" x14ac:dyDescent="0.2">
      <c r="B4" s="1395"/>
      <c r="C4" s="1395"/>
      <c r="D4" s="1395"/>
      <c r="E4" s="1395"/>
      <c r="F4" s="1395"/>
      <c r="G4" s="1395"/>
      <c r="H4" s="1395"/>
      <c r="I4" s="1395"/>
      <c r="J4" s="1395"/>
      <c r="K4" s="1395"/>
      <c r="L4" s="1395"/>
      <c r="M4" s="1395"/>
      <c r="N4" s="1395"/>
      <c r="O4" s="1395"/>
      <c r="P4" s="1395"/>
      <c r="Q4" s="63"/>
      <c r="R4" s="63"/>
      <c r="S4" s="63"/>
      <c r="T4" s="63"/>
      <c r="U4" s="63"/>
      <c r="V4" s="7"/>
      <c r="W4" s="7"/>
      <c r="X4" s="7"/>
      <c r="Y4" s="7"/>
      <c r="Z4" s="7"/>
      <c r="AA4" s="7"/>
      <c r="AB4" s="7"/>
      <c r="AC4" s="63"/>
      <c r="AD4" s="63"/>
      <c r="AE4" s="63"/>
      <c r="AF4" s="63"/>
      <c r="AG4" s="63"/>
      <c r="AH4" s="7"/>
      <c r="AI4" s="126"/>
      <c r="AJ4" s="7"/>
      <c r="AK4" s="7"/>
      <c r="AL4" s="7"/>
      <c r="AM4" s="7"/>
      <c r="AN4" s="7"/>
      <c r="AO4" s="7"/>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c r="HU4" s="14"/>
      <c r="HV4" s="14"/>
      <c r="HW4" s="14"/>
      <c r="HX4" s="14"/>
      <c r="HY4" s="14"/>
      <c r="HZ4" s="14"/>
      <c r="IA4" s="14"/>
      <c r="IB4" s="14"/>
    </row>
    <row r="5" spans="2:236" ht="18" customHeight="1" x14ac:dyDescent="0.2">
      <c r="B5" s="1487" t="s">
        <v>1595</v>
      </c>
      <c r="C5" s="1487"/>
      <c r="D5" s="1487"/>
      <c r="E5" s="1487"/>
      <c r="F5" s="1487"/>
      <c r="G5" s="1487"/>
      <c r="H5" s="1487"/>
      <c r="I5" s="1487"/>
      <c r="J5" s="1487"/>
      <c r="K5" s="1487"/>
      <c r="L5" s="1487"/>
      <c r="M5" s="1487"/>
      <c r="N5" s="1487"/>
      <c r="O5" s="1487"/>
      <c r="P5" s="1645"/>
      <c r="Q5" s="63"/>
      <c r="R5" s="63"/>
      <c r="S5" s="63"/>
      <c r="T5" s="127"/>
      <c r="U5" s="127"/>
      <c r="V5" s="63"/>
      <c r="W5" s="63"/>
      <c r="X5" s="63"/>
      <c r="Y5" s="63"/>
      <c r="Z5" s="63"/>
      <c r="AA5" s="63"/>
      <c r="AB5" s="63"/>
      <c r="AC5" s="63"/>
      <c r="AD5" s="63"/>
      <c r="AE5" s="63"/>
      <c r="AF5" s="63"/>
      <c r="AG5" s="63"/>
      <c r="AH5" s="7"/>
      <c r="AI5" s="63"/>
      <c r="AJ5" s="63"/>
      <c r="AK5" s="63"/>
      <c r="AL5" s="63"/>
      <c r="AM5" s="63"/>
      <c r="AN5" s="7"/>
      <c r="AO5" s="7"/>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row>
    <row r="6" spans="2:236" ht="18" customHeight="1" x14ac:dyDescent="0.2">
      <c r="B6" s="23"/>
      <c r="C6" s="1487" t="s">
        <v>1596</v>
      </c>
      <c r="D6" s="1487"/>
      <c r="E6" s="1487"/>
      <c r="F6" s="1487"/>
      <c r="G6" s="1487" t="s">
        <v>1597</v>
      </c>
      <c r="H6" s="1487"/>
      <c r="I6" s="1487"/>
      <c r="J6" s="1487"/>
      <c r="K6" s="1555"/>
      <c r="L6" s="1555"/>
      <c r="M6" s="1555"/>
      <c r="N6" s="1555"/>
      <c r="O6" s="1555"/>
      <c r="P6" s="1745"/>
      <c r="Q6" s="63"/>
      <c r="R6" s="63"/>
      <c r="S6" s="17" t="s">
        <v>1598</v>
      </c>
      <c r="T6" s="1970" t="s">
        <v>211</v>
      </c>
      <c r="U6" s="1972"/>
      <c r="V6" s="1549" t="s">
        <v>194</v>
      </c>
      <c r="W6" s="1551"/>
      <c r="X6" s="7"/>
      <c r="Y6" s="7"/>
      <c r="Z6" s="7"/>
      <c r="AA6" s="7"/>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row>
    <row r="7" spans="2:236" ht="30" customHeight="1" x14ac:dyDescent="0.2">
      <c r="B7" s="335" t="s">
        <v>1864</v>
      </c>
      <c r="C7" s="1308"/>
      <c r="D7" s="1308"/>
      <c r="E7" s="1558">
        <f>'Sh-Table'!R3</f>
        <v>0</v>
      </c>
      <c r="F7" s="1964"/>
      <c r="G7" s="1308"/>
      <c r="H7" s="1308"/>
      <c r="I7" s="1538">
        <f>IF(C7="",0,IF(OR(C7&lt;=0,G7&lt;=0),E7,IF(G7&lt;C7,0,'Sh-Table'!W3)))</f>
        <v>0</v>
      </c>
      <c r="J7" s="1538"/>
      <c r="K7" s="1556" t="str">
        <f>IF(OR(C7="NA",G7="NA"),"",IF(AND(C7&lt;&gt;"",G7=""),"Enter contralateral or NA.",IF(AND(C7="",G7&lt;&gt;""),"Need data","")))</f>
        <v/>
      </c>
      <c r="L7" s="1556"/>
      <c r="M7" s="1556"/>
      <c r="N7" s="1556"/>
      <c r="O7" s="1556"/>
      <c r="P7" s="1745"/>
      <c r="Q7" s="63"/>
      <c r="R7" s="153"/>
      <c r="S7" s="17">
        <v>180</v>
      </c>
      <c r="T7" s="17" t="str">
        <f t="shared" ref="T7:T18" si="0">IF(OR(C7="",C7="NA"),"",IF(C7&gt;S7,S7,IF(C7&lt;0,0,C7)))</f>
        <v/>
      </c>
      <c r="U7" s="17" t="str">
        <f>IF(OR(G7="",G7="NA"),"",IF(G7&gt;S7,S7,IF(G7&lt;0,0,G7)))</f>
        <v/>
      </c>
      <c r="V7" s="66" t="str">
        <f>IF(W7="","",ROUND(W7,0))</f>
        <v/>
      </c>
      <c r="W7" s="139" t="str">
        <f>IF(T7="","",IF(OR(U7="",U7=0,U7&lt;T7),T7,(T7*S7)/U7))</f>
        <v/>
      </c>
      <c r="X7" s="62">
        <f>IF(AND(Y18=1,Z18=1),"ERROR",SUM(I7,I9,I11,I13,I15,I17,X9))</f>
        <v>0</v>
      </c>
      <c r="Y7" s="1374" t="s">
        <v>2275</v>
      </c>
      <c r="Z7" s="1376"/>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row>
    <row r="8" spans="2:236" ht="30" customHeight="1" x14ac:dyDescent="0.2">
      <c r="B8" s="335" t="s">
        <v>1503</v>
      </c>
      <c r="C8" s="1308"/>
      <c r="D8" s="1308"/>
      <c r="E8" s="1558">
        <f>IF(AND($Y$18=1,$Z$18=1),"ERROR",'Sh-Table'!R4)</f>
        <v>0</v>
      </c>
      <c r="F8" s="1964"/>
      <c r="G8" s="1556" t="str">
        <f>IF(AND($Z$18=1,$Y$18=1),"Cannot rate ROM and ankylosis.","")</f>
        <v/>
      </c>
      <c r="H8" s="1556"/>
      <c r="I8" s="1556"/>
      <c r="J8" s="1556"/>
      <c r="K8" s="1556"/>
      <c r="L8" s="1556"/>
      <c r="M8" s="1556"/>
      <c r="N8" s="1556"/>
      <c r="O8" s="1556"/>
      <c r="P8" s="1745"/>
      <c r="Q8" s="63"/>
      <c r="R8" s="63"/>
      <c r="S8" s="17">
        <v>180</v>
      </c>
      <c r="T8" s="17" t="str">
        <f t="shared" si="0"/>
        <v/>
      </c>
      <c r="U8" s="63"/>
      <c r="V8" s="66"/>
      <c r="W8" s="140"/>
      <c r="X8" s="7"/>
      <c r="Y8" s="1184"/>
      <c r="Z8" s="1184"/>
      <c r="AA8" s="7"/>
      <c r="AB8" s="6"/>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row>
    <row r="9" spans="2:236" ht="30" customHeight="1" x14ac:dyDescent="0.2">
      <c r="B9" s="335" t="s">
        <v>1504</v>
      </c>
      <c r="C9" s="1308"/>
      <c r="D9" s="1308"/>
      <c r="E9" s="1558">
        <f>'Sh-Table'!R5</f>
        <v>0</v>
      </c>
      <c r="F9" s="1964"/>
      <c r="G9" s="1308"/>
      <c r="H9" s="1308"/>
      <c r="I9" s="1538">
        <f>IF(C9="",0,IF(OR(C9&lt;=0,G9&lt;=0),E9,IF(G9&lt;C9,0,'Sh-Table'!W5)))</f>
        <v>0</v>
      </c>
      <c r="J9" s="1538"/>
      <c r="K9" s="1556" t="str">
        <f>IF(OR(C9="NA",G9="NA"),"",IF(AND(C9&lt;&gt;"",G9=""),"Enter contralateral or NA.",IF(AND(C9="",G9&lt;&gt;""),"Need data","")))</f>
        <v/>
      </c>
      <c r="L9" s="1556"/>
      <c r="M9" s="1556"/>
      <c r="N9" s="1556"/>
      <c r="O9" s="1556"/>
      <c r="P9" s="1745"/>
      <c r="Q9" s="63"/>
      <c r="R9" s="63"/>
      <c r="S9" s="17">
        <v>50</v>
      </c>
      <c r="T9" s="17" t="str">
        <f t="shared" si="0"/>
        <v/>
      </c>
      <c r="U9" s="17" t="str">
        <f>IF(OR(G9="",G9="NA"),"",IF(G9&gt;S9,S9,IF(G9&lt;0,0,G9)))</f>
        <v/>
      </c>
      <c r="V9" s="66" t="str">
        <f>IF(W9="","",ROUND(W9,0))</f>
        <v/>
      </c>
      <c r="W9" s="139" t="str">
        <f>IF(T9="","",IF(OR(U9="",U9=0,U9&lt;T9),T9,(T9*S9)/U9))</f>
        <v/>
      </c>
      <c r="X9" s="141">
        <f>MAX(E8,E10,E12,E14,E16,E18)</f>
        <v>0</v>
      </c>
      <c r="Y9" s="1362" t="s">
        <v>2272</v>
      </c>
      <c r="Z9" s="136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row>
    <row r="10" spans="2:236" ht="30" customHeight="1" x14ac:dyDescent="0.2">
      <c r="B10" s="335" t="s">
        <v>1505</v>
      </c>
      <c r="C10" s="1308"/>
      <c r="D10" s="1308"/>
      <c r="E10" s="1558">
        <f>IF(AND($Y$18=1,$Z$18=1),"ERROR",'Sh-Table'!R6)</f>
        <v>0</v>
      </c>
      <c r="F10" s="1964"/>
      <c r="G10" s="1556" t="str">
        <f>IF(AND($Z$18=1,$Y$18=1),"Cannot rate ROM and ankylosis.","")</f>
        <v/>
      </c>
      <c r="H10" s="1556"/>
      <c r="I10" s="1556"/>
      <c r="J10" s="1556"/>
      <c r="K10" s="1556"/>
      <c r="L10" s="1556"/>
      <c r="M10" s="1556"/>
      <c r="N10" s="1556"/>
      <c r="O10" s="1556"/>
      <c r="P10" s="1745"/>
      <c r="Q10" s="63"/>
      <c r="R10" s="63"/>
      <c r="S10" s="17">
        <v>50</v>
      </c>
      <c r="T10" s="17" t="str">
        <f t="shared" si="0"/>
        <v/>
      </c>
      <c r="U10" s="63"/>
      <c r="V10" s="66"/>
      <c r="W10" s="140"/>
      <c r="X10" s="7"/>
      <c r="Y10" s="7"/>
      <c r="Z10" s="7"/>
      <c r="AA10" s="7"/>
      <c r="AB10" s="6"/>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row>
    <row r="11" spans="2:236" ht="30" customHeight="1" x14ac:dyDescent="0.2">
      <c r="B11" s="185" t="s">
        <v>691</v>
      </c>
      <c r="C11" s="1308"/>
      <c r="D11" s="1308"/>
      <c r="E11" s="1558">
        <f>'Sh-Table'!R7</f>
        <v>0</v>
      </c>
      <c r="F11" s="1964"/>
      <c r="G11" s="1308"/>
      <c r="H11" s="1308"/>
      <c r="I11" s="1538">
        <f>IF(C11="",0,IF(OR(C11&lt;=0,G11&lt;=0),E11,IF(G11&lt;C11,0,'Sh-Table'!W7)))</f>
        <v>0</v>
      </c>
      <c r="J11" s="1538"/>
      <c r="K11" s="1556" t="str">
        <f>IF(OR(C11="NA",G11="NA"),"",IF(AND(C11&lt;&gt;"",G11=""),"Enter contralateral or NA.",IF(AND(C11="",G11&lt;&gt;""),"Need data","")))</f>
        <v/>
      </c>
      <c r="L11" s="1556"/>
      <c r="M11" s="1556"/>
      <c r="N11" s="1556"/>
      <c r="O11" s="1556"/>
      <c r="P11" s="1745"/>
      <c r="Q11" s="63"/>
      <c r="R11" s="63"/>
      <c r="S11" s="17">
        <v>180</v>
      </c>
      <c r="T11" s="17" t="str">
        <f t="shared" si="0"/>
        <v/>
      </c>
      <c r="U11" s="17" t="str">
        <f>IF(OR(G11="",G11="NA"),"",IF(G11&gt;S11,S11,IF(G11&lt;0,0,G11)))</f>
        <v/>
      </c>
      <c r="V11" s="66" t="str">
        <f>IF(W11="","",ROUND(W11,0))</f>
        <v/>
      </c>
      <c r="W11" s="140" t="str">
        <f>IF(T11="","",IF(OR(U11="",U11=0,U11&lt;T11),T11,(T11*S11)/U11))</f>
        <v/>
      </c>
      <c r="X11" s="63"/>
      <c r="Y11" s="1026" t="s">
        <v>2273</v>
      </c>
      <c r="Z11" s="1026" t="s">
        <v>2274</v>
      </c>
      <c r="AA11" s="7"/>
      <c r="AB11" s="7"/>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row>
    <row r="12" spans="2:236" ht="30" customHeight="1" x14ac:dyDescent="0.2">
      <c r="B12" s="185" t="s">
        <v>694</v>
      </c>
      <c r="C12" s="1308"/>
      <c r="D12" s="1308"/>
      <c r="E12" s="1558">
        <f>IF(AND($Y$18=1,$Z$18=1),"ERROR",'Sh-Table'!R8)</f>
        <v>0</v>
      </c>
      <c r="F12" s="1964"/>
      <c r="G12" s="1556" t="str">
        <f>IF(AND($Z$18=1,$Y$18=1),"Cannot rate ROM and ankylosis.","")</f>
        <v/>
      </c>
      <c r="H12" s="1556"/>
      <c r="I12" s="1556"/>
      <c r="J12" s="1556"/>
      <c r="K12" s="1556"/>
      <c r="L12" s="1556"/>
      <c r="M12" s="1556"/>
      <c r="N12" s="1556"/>
      <c r="O12" s="1556"/>
      <c r="P12" s="1745"/>
      <c r="Q12" s="63"/>
      <c r="R12" s="63"/>
      <c r="S12" s="17">
        <v>180</v>
      </c>
      <c r="T12" s="17" t="str">
        <f t="shared" si="0"/>
        <v/>
      </c>
      <c r="U12" s="63"/>
      <c r="V12" s="17"/>
      <c r="W12" s="17"/>
      <c r="X12" s="63"/>
      <c r="Y12" s="17">
        <f>IF(AND(C7&lt;&gt;"",C7&lt;&gt;"NA"),1,0)</f>
        <v>0</v>
      </c>
      <c r="Z12" s="17">
        <f>IF(AND(C8&lt;&gt;"",C8&lt;&gt;"NA"),1,0)</f>
        <v>0</v>
      </c>
      <c r="AA12" s="7"/>
      <c r="AB12" s="7"/>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row>
    <row r="13" spans="2:236" ht="30" customHeight="1" x14ac:dyDescent="0.2">
      <c r="B13" s="185" t="s">
        <v>695</v>
      </c>
      <c r="C13" s="1308"/>
      <c r="D13" s="1308"/>
      <c r="E13" s="1558">
        <f>'Sh-Table'!R9</f>
        <v>0</v>
      </c>
      <c r="F13" s="1964"/>
      <c r="G13" s="1308"/>
      <c r="H13" s="1308"/>
      <c r="I13" s="1538">
        <f>IF(C13="",0,IF(OR(C13&lt;=0,G13&lt;=0),E13,IF(G13&lt;C13,0,'Sh-Table'!W9)))</f>
        <v>0</v>
      </c>
      <c r="J13" s="1538"/>
      <c r="K13" s="1556" t="str">
        <f>IF(OR(C13="NA",G13="NA"),"",IF(AND(C13&lt;&gt;"",G13=""),"Enter contralateral or NA.",IF(AND(C13="",G13&lt;&gt;""),"Need data","")))</f>
        <v/>
      </c>
      <c r="L13" s="1556"/>
      <c r="M13" s="1556"/>
      <c r="N13" s="1556"/>
      <c r="O13" s="1556"/>
      <c r="P13" s="1745"/>
      <c r="Q13" s="63"/>
      <c r="R13" s="142" t="s">
        <v>696</v>
      </c>
      <c r="S13" s="17">
        <v>50</v>
      </c>
      <c r="T13" s="17" t="str">
        <f t="shared" si="0"/>
        <v/>
      </c>
      <c r="U13" s="17" t="str">
        <f>IF(OR(G13="",G13="NA"),"",IF(G13&gt;S13,S13,IF(G13&lt;0,0,G13)))</f>
        <v/>
      </c>
      <c r="V13" s="66" t="str">
        <f>IF(W13="","",ROUND(W13,0))</f>
        <v/>
      </c>
      <c r="W13" s="140" t="str">
        <f>IF(T13="","",IF(OR(U13="",U13=0,U13&lt;T13),T13,(T13*S13)/U13))</f>
        <v/>
      </c>
      <c r="X13" s="63"/>
      <c r="Y13" s="17">
        <f>IF(AND(C9&lt;&gt;"",C9&lt;&gt;"NA"),1,0)</f>
        <v>0</v>
      </c>
      <c r="Z13" s="17">
        <f>IF(AND(C10&lt;&gt;"",C10&lt;&gt;"NA"),1,0)</f>
        <v>0</v>
      </c>
      <c r="AA13" s="7"/>
      <c r="AB13" s="7"/>
      <c r="AC13" s="63"/>
      <c r="AD13" s="63"/>
      <c r="AE13" s="63"/>
      <c r="AF13" s="63"/>
      <c r="AG13" s="63"/>
      <c r="AH13" s="127"/>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row>
    <row r="14" spans="2:236" ht="30" customHeight="1" x14ac:dyDescent="0.2">
      <c r="B14" s="185" t="s">
        <v>697</v>
      </c>
      <c r="C14" s="1308"/>
      <c r="D14" s="1308"/>
      <c r="E14" s="1558">
        <f>IF(AND($Y$18=1,$Z$18=1),"ERROR",'Sh-Table'!R10)</f>
        <v>0</v>
      </c>
      <c r="F14" s="1964"/>
      <c r="G14" s="1556" t="str">
        <f>IF(AND($Z$18=1,$Y$18=1),"Cannot rate ROM and ankylosis.","")</f>
        <v/>
      </c>
      <c r="H14" s="1556"/>
      <c r="I14" s="1556"/>
      <c r="J14" s="1556"/>
      <c r="K14" s="1556"/>
      <c r="L14" s="1556"/>
      <c r="M14" s="1556"/>
      <c r="N14" s="1556"/>
      <c r="O14" s="1556"/>
      <c r="P14" s="1745"/>
      <c r="Q14" s="63"/>
      <c r="R14" s="102" t="s">
        <v>698</v>
      </c>
      <c r="S14" s="17">
        <v>50</v>
      </c>
      <c r="T14" s="17" t="str">
        <f t="shared" si="0"/>
        <v/>
      </c>
      <c r="U14" s="63"/>
      <c r="V14" s="17"/>
      <c r="W14" s="17"/>
      <c r="X14" s="63"/>
      <c r="Y14" s="17">
        <f>IF(AND(C11&lt;&gt;"",C11&lt;&gt;"NA"),1,0)</f>
        <v>0</v>
      </c>
      <c r="Z14" s="17">
        <f>IF(AND(C12&lt;&gt;"",C12&lt;&gt;"NA"),1,0)</f>
        <v>0</v>
      </c>
      <c r="AA14" s="7"/>
      <c r="AB14" s="63"/>
      <c r="AC14" s="63"/>
      <c r="AD14" s="63"/>
      <c r="AE14" s="63"/>
      <c r="AF14" s="63"/>
      <c r="AG14" s="63"/>
      <c r="AH14" s="127"/>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row>
    <row r="15" spans="2:236" ht="30" customHeight="1" x14ac:dyDescent="0.2">
      <c r="B15" s="185" t="s">
        <v>699</v>
      </c>
      <c r="C15" s="1308"/>
      <c r="D15" s="1308"/>
      <c r="E15" s="1558">
        <f>'Sh-Table'!R11</f>
        <v>0</v>
      </c>
      <c r="F15" s="1964"/>
      <c r="G15" s="1308"/>
      <c r="H15" s="1308"/>
      <c r="I15" s="1538">
        <f>IF(C15="",0,IF(OR(C15&lt;=0,G15&lt;=0),E15,IF(G15&lt;C15,0,'Sh-Table'!W11)))</f>
        <v>0</v>
      </c>
      <c r="J15" s="1538"/>
      <c r="K15" s="1556" t="str">
        <f>IF(OR(C15="NA",G15="NA"),"",IF(AND(C15&lt;&gt;"",G15=""),"Enter contralateral or NA.",IF(AND(C15="",G15&lt;&gt;""),"Need data","")))</f>
        <v/>
      </c>
      <c r="L15" s="1556"/>
      <c r="M15" s="1556"/>
      <c r="N15" s="1556"/>
      <c r="O15" s="1556"/>
      <c r="P15" s="1745"/>
      <c r="Q15" s="63"/>
      <c r="R15" s="135">
        <f>IF(R19="ERROR",1,0)</f>
        <v>0</v>
      </c>
      <c r="S15" s="17">
        <v>90</v>
      </c>
      <c r="T15" s="17" t="str">
        <f t="shared" si="0"/>
        <v/>
      </c>
      <c r="U15" s="17" t="str">
        <f>IF(OR(G15="",G15="NA"),"",IF(G15&gt;S15,S15,IF(G15&lt;0,0,G15)))</f>
        <v/>
      </c>
      <c r="V15" s="66" t="str">
        <f>IF(W15="","",ROUND(W15,0))</f>
        <v/>
      </c>
      <c r="W15" s="140" t="str">
        <f>IF(T15="","",IF(OR(U15="",U15=0,U15&lt;T15),T15,(T15*S15)/U15))</f>
        <v/>
      </c>
      <c r="Y15" s="1182">
        <f>IF(AND(C13&lt;&gt;"",C13&lt;&gt;"NA"),1,0)</f>
        <v>0</v>
      </c>
      <c r="Z15" s="17">
        <f>IF(AND(C14&lt;&gt;"",C14&lt;&gt;"NA"),1,0)</f>
        <v>0</v>
      </c>
      <c r="AA15" s="7"/>
      <c r="AB15" s="63"/>
      <c r="AC15" s="63"/>
      <c r="AD15" s="63"/>
      <c r="AE15" s="63"/>
      <c r="AF15" s="63"/>
      <c r="AG15" s="63"/>
      <c r="AH15" s="127"/>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row>
    <row r="16" spans="2:236" ht="30" customHeight="1" x14ac:dyDescent="0.2">
      <c r="B16" s="156" t="s">
        <v>591</v>
      </c>
      <c r="C16" s="1308"/>
      <c r="D16" s="1308"/>
      <c r="E16" s="1558">
        <f>IF(AND($Y$18=1,$Z$18=1),"ERROR",'Sh-Table'!R12)</f>
        <v>0</v>
      </c>
      <c r="F16" s="1964"/>
      <c r="G16" s="1556" t="str">
        <f>IF(AND($Z$18=1,$Y$18=1),"Cannot rate ROM and ankylosis.","")</f>
        <v/>
      </c>
      <c r="H16" s="1556"/>
      <c r="I16" s="1556"/>
      <c r="J16" s="1556"/>
      <c r="K16" s="1556"/>
      <c r="L16" s="1556"/>
      <c r="M16" s="1556"/>
      <c r="N16" s="1556"/>
      <c r="O16" s="1556"/>
      <c r="P16" s="1745"/>
      <c r="Q16" s="63"/>
      <c r="R16" s="7"/>
      <c r="S16" s="17">
        <v>90</v>
      </c>
      <c r="T16" s="17" t="str">
        <f t="shared" si="0"/>
        <v/>
      </c>
      <c r="U16" s="17"/>
      <c r="V16" s="17"/>
      <c r="W16" s="17"/>
      <c r="X16" s="7"/>
      <c r="Y16" s="17">
        <f>IF(AND(C15&lt;&gt;"",C15&lt;&gt;"NA"),1,0)</f>
        <v>0</v>
      </c>
      <c r="Z16" s="17">
        <f>IF(AND(C16&lt;&gt;"",C16&lt;&gt;"NA"),1,0)</f>
        <v>0</v>
      </c>
      <c r="AA16" s="7"/>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row>
    <row r="17" spans="1:236" ht="30" customHeight="1" x14ac:dyDescent="0.2">
      <c r="B17" s="335" t="s">
        <v>592</v>
      </c>
      <c r="C17" s="1308"/>
      <c r="D17" s="1308"/>
      <c r="E17" s="1558">
        <f>'Sh-Table'!R13</f>
        <v>0</v>
      </c>
      <c r="F17" s="1964"/>
      <c r="G17" s="1308"/>
      <c r="H17" s="1308"/>
      <c r="I17" s="1538">
        <f>IF(C17="",0,IF(OR(C17&lt;=0,G17&lt;=0),E17,IF(G17&lt;C17,0,'Sh-Table'!W13)))</f>
        <v>0</v>
      </c>
      <c r="J17" s="1538"/>
      <c r="K17" s="1556" t="str">
        <f>IF(OR(C17="NA",G17="NA"),"",IF(AND(C17&lt;&gt;"",G17=""),"Enter contralateral or NA.",IF(AND(C17="",G17&lt;&gt;""),"Need data","")))</f>
        <v/>
      </c>
      <c r="L17" s="1556"/>
      <c r="M17" s="1556"/>
      <c r="N17" s="1556"/>
      <c r="O17" s="1556"/>
      <c r="P17" s="1745"/>
      <c r="Q17" s="63"/>
      <c r="R17" s="63"/>
      <c r="S17" s="17">
        <v>90</v>
      </c>
      <c r="T17" s="17" t="str">
        <f t="shared" si="0"/>
        <v/>
      </c>
      <c r="U17" s="17" t="str">
        <f>IF(OR(G17="",G17="NA"),"",IF(G17&gt;S17,S17,IF(G17&lt;0,0,G17)))</f>
        <v/>
      </c>
      <c r="V17" s="66" t="str">
        <f>IF(W17="","",ROUND(W17,0))</f>
        <v/>
      </c>
      <c r="W17" s="140" t="str">
        <f>IF(T17="","",IF(OR(U17="",U17=0,U17&lt;T17),T17,(T17*S17)/U17))</f>
        <v/>
      </c>
      <c r="X17" s="7"/>
      <c r="Y17" s="17">
        <f>IF(AND(C17&lt;&gt;"",C17&lt;&gt;"NA"),1,0)</f>
        <v>0</v>
      </c>
      <c r="Z17" s="17">
        <f>IF(AND(C18&lt;&gt;"",C18&lt;&gt;"NA"),1,0)</f>
        <v>0</v>
      </c>
      <c r="AA17" s="7"/>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row>
    <row r="18" spans="1:236" ht="30" customHeight="1" x14ac:dyDescent="0.2">
      <c r="B18" s="335" t="s">
        <v>593</v>
      </c>
      <c r="C18" s="1308"/>
      <c r="D18" s="1308"/>
      <c r="E18" s="1558">
        <f>IF(AND($Y$18=1,$Z$18=1),"ERROR",'Sh-Table'!R14)</f>
        <v>0</v>
      </c>
      <c r="F18" s="1964"/>
      <c r="G18" s="1556" t="str">
        <f>IF(AND($Z$18=1,$Y$18=1),"Cannot rate ROM and ankylosis.","")</f>
        <v/>
      </c>
      <c r="H18" s="1556"/>
      <c r="I18" s="1556"/>
      <c r="J18" s="1556"/>
      <c r="K18" s="1556"/>
      <c r="L18" s="1556"/>
      <c r="M18" s="1556"/>
      <c r="N18" s="1556"/>
      <c r="O18" s="1556"/>
      <c r="P18" s="1746"/>
      <c r="Q18" s="63"/>
      <c r="R18" s="63"/>
      <c r="S18" s="106">
        <v>90</v>
      </c>
      <c r="T18" s="17" t="str">
        <f t="shared" si="0"/>
        <v/>
      </c>
      <c r="U18" s="63"/>
      <c r="V18" s="6"/>
      <c r="W18" s="7"/>
      <c r="X18" s="7"/>
      <c r="Y18" s="894">
        <f>IF(OR(Y12=1,Y13=1,Y14=1,Y15=1,Y16=1,Y17=1),1,0)</f>
        <v>0</v>
      </c>
      <c r="Z18" s="894">
        <f>IF(OR(Z12=1,Z13=1,Z14=1,Z15=1,Z16=1,Z17=1),1,0)</f>
        <v>0</v>
      </c>
      <c r="AA18" s="7"/>
      <c r="AB18" s="6"/>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row>
    <row r="19" spans="1:236" ht="24" customHeight="1" x14ac:dyDescent="0.25">
      <c r="B19" s="1555"/>
      <c r="C19" s="1555"/>
      <c r="D19" s="1555"/>
      <c r="E19" s="1555"/>
      <c r="F19" s="1555"/>
      <c r="G19" s="1555"/>
      <c r="H19" s="1740" t="s">
        <v>820</v>
      </c>
      <c r="I19" s="1741"/>
      <c r="J19" s="1741"/>
      <c r="K19" s="1741"/>
      <c r="L19" s="1741"/>
      <c r="M19" s="1741"/>
      <c r="N19" s="1741"/>
      <c r="O19" s="1742"/>
      <c r="P19" s="346">
        <f>IF(R15=1,"ERROR",S19)</f>
        <v>0</v>
      </c>
      <c r="Q19" s="63"/>
      <c r="R19" s="143">
        <f>IF(AND(X7&gt;0,X7&lt;0.01),0.01,X7)</f>
        <v>0</v>
      </c>
      <c r="S19" s="61">
        <f>IF(R19&lt;&gt;"ERROR",ROUND(R19,2),0)</f>
        <v>0</v>
      </c>
      <c r="T19" s="63"/>
      <c r="U19" s="63"/>
      <c r="W19" s="63"/>
      <c r="X19" s="63"/>
      <c r="Y19" s="63"/>
      <c r="Z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row>
    <row r="20" spans="1:236" ht="12" customHeight="1" x14ac:dyDescent="0.25">
      <c r="B20" s="1876"/>
      <c r="C20" s="1876"/>
      <c r="D20" s="1876"/>
      <c r="E20" s="1876"/>
      <c r="F20" s="1876"/>
      <c r="G20" s="1876"/>
      <c r="H20" s="1876"/>
      <c r="I20" s="1876"/>
      <c r="J20" s="1876"/>
      <c r="K20" s="1876"/>
      <c r="L20" s="1876"/>
      <c r="M20" s="1876"/>
      <c r="N20" s="1876"/>
      <c r="O20" s="1876"/>
      <c r="P20" s="469"/>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row>
    <row r="21" spans="1:236" s="8" customFormat="1" ht="18" customHeight="1" x14ac:dyDescent="0.2">
      <c r="B21" s="1487" t="s">
        <v>1775</v>
      </c>
      <c r="C21" s="1487"/>
      <c r="D21" s="1487"/>
      <c r="E21" s="1487"/>
      <c r="F21" s="1487"/>
      <c r="G21" s="1487"/>
      <c r="H21" s="1487"/>
      <c r="I21" s="1487"/>
      <c r="J21" s="1487"/>
      <c r="K21" s="1487"/>
      <c r="L21" s="1487"/>
      <c r="M21" s="1487"/>
      <c r="N21" s="1487"/>
      <c r="O21" s="1487"/>
      <c r="P21" s="42"/>
      <c r="Q21" s="120"/>
      <c r="R21" s="134"/>
      <c r="S21" s="120"/>
      <c r="T21" s="149"/>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c r="HB21" s="60"/>
      <c r="HC21" s="60"/>
      <c r="HD21" s="60"/>
      <c r="HE21" s="60"/>
      <c r="HF21" s="60"/>
      <c r="HG21" s="60"/>
      <c r="HH21" s="60"/>
      <c r="HI21" s="60"/>
      <c r="HJ21" s="60"/>
      <c r="HK21" s="60"/>
      <c r="HL21" s="60"/>
      <c r="HM21" s="60"/>
      <c r="HN21" s="60"/>
      <c r="HO21" s="60"/>
      <c r="HP21" s="60"/>
      <c r="HQ21" s="60"/>
      <c r="HR21" s="60"/>
      <c r="HS21" s="60"/>
      <c r="HT21" s="60"/>
      <c r="HU21" s="60"/>
      <c r="HV21" s="60"/>
      <c r="HW21" s="60"/>
      <c r="HX21" s="60"/>
      <c r="HY21" s="60"/>
      <c r="HZ21" s="60"/>
      <c r="IA21" s="60"/>
      <c r="IB21" s="60"/>
    </row>
    <row r="22" spans="1:236" s="8" customFormat="1" ht="20.100000000000001" customHeight="1" x14ac:dyDescent="0.25">
      <c r="A22" s="20"/>
      <c r="B22" s="2278"/>
      <c r="C22" s="2278"/>
      <c r="D22" s="2278"/>
      <c r="E22" s="2278"/>
      <c r="F22" s="2278"/>
      <c r="G22" s="2278"/>
      <c r="H22" s="2278"/>
      <c r="I22" s="2278"/>
      <c r="J22" s="2278"/>
      <c r="K22" s="2278"/>
      <c r="L22" s="2278"/>
      <c r="M22" s="2278"/>
      <c r="N22" s="2278"/>
      <c r="O22" s="2278"/>
      <c r="P22" s="347">
        <f>IF(S22=1,0.15,IF(S22=2,0.05,IF(S22=3,0,0)))</f>
        <v>0</v>
      </c>
      <c r="Q22" s="120"/>
      <c r="R22" s="2279" t="s">
        <v>2276</v>
      </c>
      <c r="S22" s="1196">
        <v>3</v>
      </c>
      <c r="T22" s="149">
        <v>1E-4</v>
      </c>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60"/>
      <c r="CN22" s="60"/>
      <c r="CO22" s="60"/>
      <c r="CP22" s="60"/>
      <c r="CQ22" s="60"/>
      <c r="CR22" s="60"/>
      <c r="CS22" s="60"/>
      <c r="CT22" s="60"/>
      <c r="CU22" s="60"/>
      <c r="CV22" s="60"/>
      <c r="CW22" s="60"/>
      <c r="CX22" s="60"/>
      <c r="CY22" s="60"/>
      <c r="CZ22" s="60"/>
      <c r="DA22" s="60"/>
      <c r="DB22" s="60"/>
      <c r="DC22" s="60"/>
      <c r="DD22" s="60"/>
      <c r="DE22" s="60"/>
      <c r="DF22" s="60"/>
      <c r="DG22" s="60"/>
      <c r="DH22" s="60"/>
      <c r="DI22" s="60"/>
      <c r="DJ22" s="60"/>
      <c r="DK22" s="60"/>
      <c r="DL22" s="60"/>
      <c r="DM22" s="60"/>
      <c r="DN22" s="60"/>
      <c r="DO22" s="60"/>
      <c r="DP22" s="60"/>
      <c r="DQ22" s="60"/>
      <c r="DR22" s="60"/>
      <c r="DS22" s="60"/>
      <c r="DT22" s="60"/>
      <c r="DU22" s="60"/>
      <c r="DV22" s="60"/>
      <c r="DW22" s="60"/>
      <c r="DX22" s="60"/>
      <c r="DY22" s="60"/>
      <c r="DZ22" s="60"/>
      <c r="EA22" s="60"/>
      <c r="EB22" s="60"/>
      <c r="EC22" s="60"/>
      <c r="ED22" s="60"/>
      <c r="EE22" s="60"/>
      <c r="EF22" s="60"/>
      <c r="EG22" s="60"/>
      <c r="EH22" s="60"/>
      <c r="EI22" s="60"/>
      <c r="EJ22" s="60"/>
      <c r="EK22" s="60"/>
      <c r="EL22" s="60"/>
      <c r="EM22" s="60"/>
      <c r="EN22" s="60"/>
      <c r="EO22" s="60"/>
      <c r="EP22" s="60"/>
      <c r="EQ22" s="60"/>
      <c r="ER22" s="60"/>
      <c r="ES22" s="60"/>
      <c r="ET22" s="60"/>
      <c r="EU22" s="60"/>
      <c r="EV22" s="60"/>
      <c r="EW22" s="60"/>
      <c r="EX22" s="60"/>
      <c r="EY22" s="60"/>
      <c r="EZ22" s="60"/>
      <c r="FA22" s="60"/>
      <c r="FB22" s="60"/>
      <c r="FC22" s="60"/>
      <c r="FD22" s="60"/>
      <c r="FE22" s="60"/>
      <c r="FF22" s="60"/>
      <c r="FG22" s="60"/>
      <c r="FH22" s="60"/>
      <c r="FI22" s="60"/>
      <c r="FJ22" s="60"/>
      <c r="FK22" s="60"/>
      <c r="FL22" s="60"/>
      <c r="FM22" s="60"/>
      <c r="FN22" s="60"/>
      <c r="FO22" s="60"/>
      <c r="FP22" s="60"/>
      <c r="FQ22" s="60"/>
      <c r="FR22" s="60"/>
      <c r="FS22" s="60"/>
      <c r="FT22" s="60"/>
      <c r="FU22" s="60"/>
      <c r="FV22" s="60"/>
      <c r="FW22" s="60"/>
      <c r="FX22" s="60"/>
      <c r="FY22" s="60"/>
      <c r="FZ22" s="60"/>
      <c r="GA22" s="60"/>
      <c r="GB22" s="60"/>
      <c r="GC22" s="60"/>
      <c r="GD22" s="60"/>
      <c r="GE22" s="60"/>
      <c r="GF22" s="60"/>
      <c r="GG22" s="60"/>
      <c r="GH22" s="60"/>
      <c r="GI22" s="60"/>
      <c r="GJ22" s="60"/>
      <c r="GK22" s="60"/>
      <c r="GL22" s="60"/>
      <c r="GM22" s="60"/>
      <c r="GN22" s="60"/>
      <c r="GO22" s="60"/>
      <c r="GP22" s="60"/>
      <c r="GQ22" s="60"/>
      <c r="GR22" s="60"/>
      <c r="GS22" s="60"/>
      <c r="GT22" s="60"/>
      <c r="GU22" s="60"/>
      <c r="GV22" s="60"/>
      <c r="GW22" s="60"/>
      <c r="GX22" s="60"/>
      <c r="GY22" s="60"/>
      <c r="GZ22" s="60"/>
      <c r="HA22" s="60"/>
      <c r="HB22" s="60"/>
      <c r="HC22" s="60"/>
      <c r="HD22" s="60"/>
      <c r="HE22" s="60"/>
      <c r="HF22" s="60"/>
      <c r="HG22" s="60"/>
      <c r="HH22" s="60"/>
      <c r="HI22" s="60"/>
      <c r="HJ22" s="60"/>
      <c r="HK22" s="60"/>
      <c r="HL22" s="60"/>
      <c r="HM22" s="60"/>
      <c r="HN22" s="60"/>
      <c r="HO22" s="60"/>
      <c r="HP22" s="60"/>
      <c r="HQ22" s="60"/>
      <c r="HR22" s="60"/>
      <c r="HS22" s="60"/>
      <c r="HT22" s="60"/>
      <c r="HU22" s="60"/>
      <c r="HV22" s="60"/>
      <c r="HW22" s="60"/>
      <c r="HX22" s="60"/>
      <c r="HY22" s="60"/>
      <c r="HZ22" s="60"/>
      <c r="IA22" s="60"/>
      <c r="IB22" s="60"/>
    </row>
    <row r="23" spans="1:236" s="8" customFormat="1" ht="20.100000000000001" customHeight="1" x14ac:dyDescent="0.25">
      <c r="B23" s="2278"/>
      <c r="C23" s="2278"/>
      <c r="D23" s="2278"/>
      <c r="E23" s="2278"/>
      <c r="F23" s="2278"/>
      <c r="G23" s="2278"/>
      <c r="H23" s="2278"/>
      <c r="I23" s="2278"/>
      <c r="J23" s="2278"/>
      <c r="K23" s="2278"/>
      <c r="L23" s="2278"/>
      <c r="M23" s="2278"/>
      <c r="N23" s="2278"/>
      <c r="O23" s="2278"/>
      <c r="P23" s="347">
        <f>IF(S23=1,0.05,0)</f>
        <v>0</v>
      </c>
      <c r="Q23" s="120"/>
      <c r="R23" s="2279"/>
      <c r="S23" s="1196">
        <v>2</v>
      </c>
      <c r="T23" s="149"/>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60"/>
      <c r="CN23" s="60"/>
      <c r="CO23" s="60"/>
      <c r="CP23" s="60"/>
      <c r="CQ23" s="60"/>
      <c r="CR23" s="60"/>
      <c r="CS23" s="60"/>
      <c r="CT23" s="60"/>
      <c r="CU23" s="60"/>
      <c r="CV23" s="60"/>
      <c r="CW23" s="60"/>
      <c r="CX23" s="60"/>
      <c r="CY23" s="60"/>
      <c r="CZ23" s="60"/>
      <c r="DA23" s="60"/>
      <c r="DB23" s="60"/>
      <c r="DC23" s="60"/>
      <c r="DD23" s="60"/>
      <c r="DE23" s="60"/>
      <c r="DF23" s="60"/>
      <c r="DG23" s="60"/>
      <c r="DH23" s="60"/>
      <c r="DI23" s="60"/>
      <c r="DJ23" s="60"/>
      <c r="DK23" s="60"/>
      <c r="DL23" s="60"/>
      <c r="DM23" s="60"/>
      <c r="DN23" s="60"/>
      <c r="DO23" s="60"/>
      <c r="DP23" s="60"/>
      <c r="DQ23" s="60"/>
      <c r="DR23" s="60"/>
      <c r="DS23" s="60"/>
      <c r="DT23" s="60"/>
      <c r="DU23" s="60"/>
      <c r="DV23" s="60"/>
      <c r="DW23" s="60"/>
      <c r="DX23" s="60"/>
      <c r="DY23" s="60"/>
      <c r="DZ23" s="60"/>
      <c r="EA23" s="60"/>
      <c r="EB23" s="60"/>
      <c r="EC23" s="60"/>
      <c r="ED23" s="60"/>
      <c r="EE23" s="60"/>
      <c r="EF23" s="60"/>
      <c r="EG23" s="60"/>
      <c r="EH23" s="60"/>
      <c r="EI23" s="60"/>
      <c r="EJ23" s="60"/>
      <c r="EK23" s="60"/>
      <c r="EL23" s="60"/>
      <c r="EM23" s="60"/>
      <c r="EN23" s="60"/>
      <c r="EO23" s="60"/>
      <c r="EP23" s="60"/>
      <c r="EQ23" s="60"/>
      <c r="ER23" s="60"/>
      <c r="ES23" s="60"/>
      <c r="ET23" s="60"/>
      <c r="EU23" s="60"/>
      <c r="EV23" s="60"/>
      <c r="EW23" s="60"/>
      <c r="EX23" s="60"/>
      <c r="EY23" s="60"/>
      <c r="EZ23" s="60"/>
      <c r="FA23" s="60"/>
      <c r="FB23" s="60"/>
      <c r="FC23" s="60"/>
      <c r="FD23" s="60"/>
      <c r="FE23" s="60"/>
      <c r="FF23" s="60"/>
      <c r="FG23" s="60"/>
      <c r="FH23" s="60"/>
      <c r="FI23" s="60"/>
      <c r="FJ23" s="60"/>
      <c r="FK23" s="60"/>
      <c r="FL23" s="60"/>
      <c r="FM23" s="60"/>
      <c r="FN23" s="60"/>
      <c r="FO23" s="60"/>
      <c r="FP23" s="60"/>
      <c r="FQ23" s="60"/>
      <c r="FR23" s="60"/>
      <c r="FS23" s="60"/>
      <c r="FT23" s="60"/>
      <c r="FU23" s="60"/>
      <c r="FV23" s="60"/>
      <c r="FW23" s="60"/>
      <c r="FX23" s="60"/>
      <c r="FY23" s="60"/>
      <c r="FZ23" s="60"/>
      <c r="GA23" s="60"/>
      <c r="GB23" s="60"/>
      <c r="GC23" s="60"/>
      <c r="GD23" s="60"/>
      <c r="GE23" s="60"/>
      <c r="GF23" s="60"/>
      <c r="GG23" s="60"/>
      <c r="GH23" s="60"/>
      <c r="GI23" s="60"/>
      <c r="GJ23" s="60"/>
      <c r="GK23" s="60"/>
      <c r="GL23" s="60"/>
      <c r="GM23" s="60"/>
      <c r="GN23" s="60"/>
      <c r="GO23" s="60"/>
      <c r="GP23" s="60"/>
      <c r="GQ23" s="60"/>
      <c r="GR23" s="60"/>
      <c r="GS23" s="60"/>
      <c r="GT23" s="60"/>
      <c r="GU23" s="60"/>
      <c r="GV23" s="60"/>
      <c r="GW23" s="60"/>
      <c r="GX23" s="60"/>
      <c r="GY23" s="60"/>
      <c r="GZ23" s="60"/>
      <c r="HA23" s="60"/>
      <c r="HB23" s="60"/>
      <c r="HC23" s="60"/>
      <c r="HD23" s="60"/>
      <c r="HE23" s="60"/>
      <c r="HF23" s="60"/>
      <c r="HG23" s="60"/>
      <c r="HH23" s="60"/>
      <c r="HI23" s="60"/>
      <c r="HJ23" s="60"/>
      <c r="HK23" s="60"/>
      <c r="HL23" s="60"/>
      <c r="HM23" s="60"/>
      <c r="HN23" s="60"/>
      <c r="HO23" s="60"/>
      <c r="HP23" s="60"/>
      <c r="HQ23" s="60"/>
      <c r="HR23" s="60"/>
      <c r="HS23" s="60"/>
      <c r="HT23" s="60"/>
      <c r="HU23" s="60"/>
      <c r="HV23" s="60"/>
      <c r="HW23" s="60"/>
      <c r="HX23" s="60"/>
      <c r="HY23" s="60"/>
      <c r="HZ23" s="60"/>
      <c r="IA23" s="60"/>
      <c r="IB23" s="60"/>
    </row>
    <row r="24" spans="1:236" s="8" customFormat="1" ht="20.100000000000001" customHeight="1" x14ac:dyDescent="0.25">
      <c r="B24" s="2278"/>
      <c r="C24" s="2278"/>
      <c r="D24" s="2278"/>
      <c r="E24" s="2278"/>
      <c r="F24" s="2278"/>
      <c r="G24" s="2278"/>
      <c r="H24" s="2278"/>
      <c r="I24" s="2278"/>
      <c r="J24" s="2278"/>
      <c r="K24" s="2278"/>
      <c r="L24" s="2278"/>
      <c r="M24" s="2278"/>
      <c r="N24" s="2278"/>
      <c r="O24" s="2278"/>
      <c r="P24" s="347">
        <f>IF(S24=1,0.3,0)</f>
        <v>0</v>
      </c>
      <c r="Q24" s="120"/>
      <c r="R24" s="2279"/>
      <c r="S24" s="1196">
        <v>2</v>
      </c>
      <c r="T24" s="149"/>
      <c r="U24" s="134"/>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60"/>
      <c r="CN24" s="60"/>
      <c r="CO24" s="60"/>
      <c r="CP24" s="60"/>
      <c r="CQ24" s="60"/>
      <c r="CR24" s="60"/>
      <c r="CS24" s="60"/>
      <c r="CT24" s="60"/>
      <c r="CU24" s="60"/>
      <c r="CV24" s="60"/>
      <c r="CW24" s="60"/>
      <c r="CX24" s="60"/>
      <c r="CY24" s="60"/>
      <c r="CZ24" s="60"/>
      <c r="DA24" s="60"/>
      <c r="DB24" s="60"/>
      <c r="DC24" s="60"/>
      <c r="DD24" s="60"/>
      <c r="DE24" s="60"/>
      <c r="DF24" s="60"/>
      <c r="DG24" s="60"/>
      <c r="DH24" s="60"/>
      <c r="DI24" s="60"/>
      <c r="DJ24" s="60"/>
      <c r="DK24" s="60"/>
      <c r="DL24" s="60"/>
      <c r="DM24" s="60"/>
      <c r="DN24" s="60"/>
      <c r="DO24" s="60"/>
      <c r="DP24" s="60"/>
      <c r="DQ24" s="60"/>
      <c r="DR24" s="60"/>
      <c r="DS24" s="60"/>
      <c r="DT24" s="60"/>
      <c r="DU24" s="60"/>
      <c r="DV24" s="60"/>
      <c r="DW24" s="60"/>
      <c r="DX24" s="60"/>
      <c r="DY24" s="60"/>
      <c r="DZ24" s="60"/>
      <c r="EA24" s="60"/>
      <c r="EB24" s="60"/>
      <c r="EC24" s="60"/>
      <c r="ED24" s="60"/>
      <c r="EE24" s="60"/>
      <c r="EF24" s="60"/>
      <c r="EG24" s="60"/>
      <c r="EH24" s="60"/>
      <c r="EI24" s="60"/>
      <c r="EJ24" s="60"/>
      <c r="EK24" s="60"/>
      <c r="EL24" s="60"/>
      <c r="EM24" s="60"/>
      <c r="EN24" s="60"/>
      <c r="EO24" s="60"/>
      <c r="EP24" s="60"/>
      <c r="EQ24" s="60"/>
      <c r="ER24" s="60"/>
      <c r="ES24" s="60"/>
      <c r="ET24" s="60"/>
      <c r="EU24" s="60"/>
      <c r="EV24" s="60"/>
      <c r="EW24" s="60"/>
      <c r="EX24" s="60"/>
      <c r="EY24" s="60"/>
      <c r="EZ24" s="60"/>
      <c r="FA24" s="60"/>
      <c r="FB24" s="60"/>
      <c r="FC24" s="60"/>
      <c r="FD24" s="60"/>
      <c r="FE24" s="60"/>
      <c r="FF24" s="60"/>
      <c r="FG24" s="60"/>
      <c r="FH24" s="60"/>
      <c r="FI24" s="60"/>
      <c r="FJ24" s="60"/>
      <c r="FK24" s="60"/>
      <c r="FL24" s="60"/>
      <c r="FM24" s="60"/>
      <c r="FN24" s="60"/>
      <c r="FO24" s="60"/>
      <c r="FP24" s="60"/>
      <c r="FQ24" s="60"/>
      <c r="FR24" s="60"/>
      <c r="FS24" s="60"/>
      <c r="FT24" s="60"/>
      <c r="FU24" s="60"/>
      <c r="FV24" s="60"/>
      <c r="FW24" s="60"/>
      <c r="FX24" s="60"/>
      <c r="FY24" s="60"/>
      <c r="FZ24" s="60"/>
      <c r="GA24" s="60"/>
      <c r="GB24" s="60"/>
      <c r="GC24" s="60"/>
      <c r="GD24" s="60"/>
      <c r="GE24" s="60"/>
      <c r="GF24" s="60"/>
      <c r="GG24" s="60"/>
      <c r="GH24" s="60"/>
      <c r="GI24" s="60"/>
      <c r="GJ24" s="60"/>
      <c r="GK24" s="60"/>
      <c r="GL24" s="6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60"/>
      <c r="HL24" s="60"/>
      <c r="HM24" s="60"/>
      <c r="HN24" s="60"/>
      <c r="HO24" s="60"/>
      <c r="HP24" s="60"/>
      <c r="HQ24" s="60"/>
      <c r="HR24" s="60"/>
      <c r="HS24" s="60"/>
      <c r="HT24" s="60"/>
      <c r="HU24" s="60"/>
      <c r="HV24" s="60"/>
      <c r="HW24" s="60"/>
      <c r="HX24" s="60"/>
      <c r="HY24" s="60"/>
      <c r="HZ24" s="60"/>
      <c r="IA24" s="60"/>
      <c r="IB24" s="60"/>
    </row>
    <row r="25" spans="1:236" s="8" customFormat="1" ht="20.100000000000001" customHeight="1" x14ac:dyDescent="0.25">
      <c r="B25" s="2278"/>
      <c r="C25" s="2278"/>
      <c r="D25" s="2278"/>
      <c r="E25" s="2278"/>
      <c r="F25" s="2278"/>
      <c r="G25" s="2278"/>
      <c r="H25" s="2278"/>
      <c r="I25" s="2278"/>
      <c r="J25" s="2278"/>
      <c r="K25" s="2278"/>
      <c r="L25" s="2278"/>
      <c r="M25" s="2278"/>
      <c r="N25" s="2278"/>
      <c r="O25" s="2278"/>
      <c r="P25" s="347">
        <f>IF(S25=1,0.1,0)</f>
        <v>0</v>
      </c>
      <c r="Q25" s="120"/>
      <c r="R25" s="2279"/>
      <c r="S25" s="1197">
        <v>2</v>
      </c>
      <c r="T25" s="145"/>
      <c r="U25" s="134"/>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60"/>
      <c r="CN25" s="60"/>
      <c r="CO25" s="60"/>
      <c r="CP25" s="60"/>
      <c r="CQ25" s="60"/>
      <c r="CR25" s="60"/>
      <c r="CS25" s="60"/>
      <c r="CT25" s="60"/>
      <c r="CU25" s="60"/>
      <c r="CV25" s="60"/>
      <c r="CW25" s="60"/>
      <c r="CX25" s="60"/>
      <c r="CY25" s="60"/>
      <c r="CZ25" s="60"/>
      <c r="DA25" s="60"/>
      <c r="DB25" s="60"/>
      <c r="DC25" s="60"/>
      <c r="DD25" s="60"/>
      <c r="DE25" s="60"/>
      <c r="DF25" s="60"/>
      <c r="DG25" s="60"/>
      <c r="DH25" s="60"/>
      <c r="DI25" s="60"/>
      <c r="DJ25" s="60"/>
      <c r="DK25" s="60"/>
      <c r="DL25" s="60"/>
      <c r="DM25" s="60"/>
      <c r="DN25" s="60"/>
      <c r="DO25" s="60"/>
      <c r="DP25" s="60"/>
      <c r="DQ25" s="60"/>
      <c r="DR25" s="60"/>
      <c r="DS25" s="60"/>
      <c r="DT25" s="60"/>
      <c r="DU25" s="60"/>
      <c r="DV25" s="60"/>
      <c r="DW25" s="60"/>
      <c r="DX25" s="60"/>
      <c r="DY25" s="60"/>
      <c r="DZ25" s="60"/>
      <c r="EA25" s="60"/>
      <c r="EB25" s="60"/>
      <c r="EC25" s="60"/>
      <c r="ED25" s="60"/>
      <c r="EE25" s="60"/>
      <c r="EF25" s="60"/>
      <c r="EG25" s="60"/>
      <c r="EH25" s="60"/>
      <c r="EI25" s="60"/>
      <c r="EJ25" s="60"/>
      <c r="EK25" s="60"/>
      <c r="EL25" s="60"/>
      <c r="EM25" s="60"/>
      <c r="EN25" s="60"/>
      <c r="EO25" s="60"/>
      <c r="EP25" s="60"/>
      <c r="EQ25" s="60"/>
      <c r="ER25" s="60"/>
      <c r="ES25" s="60"/>
      <c r="ET25" s="60"/>
      <c r="EU25" s="60"/>
      <c r="EV25" s="60"/>
      <c r="EW25" s="60"/>
      <c r="EX25" s="60"/>
      <c r="EY25" s="60"/>
      <c r="EZ25" s="60"/>
      <c r="FA25" s="60"/>
      <c r="FB25" s="60"/>
      <c r="FC25" s="60"/>
      <c r="FD25" s="60"/>
      <c r="FE25" s="60"/>
      <c r="FF25" s="60"/>
      <c r="FG25" s="60"/>
      <c r="FH25" s="60"/>
      <c r="FI25" s="60"/>
      <c r="FJ25" s="60"/>
      <c r="FK25" s="60"/>
      <c r="FL25" s="60"/>
      <c r="FM25" s="60"/>
      <c r="FN25" s="60"/>
      <c r="FO25" s="60"/>
      <c r="FP25" s="60"/>
      <c r="FQ25" s="60"/>
      <c r="FR25" s="60"/>
      <c r="FS25" s="60"/>
      <c r="FT25" s="60"/>
      <c r="FU25" s="60"/>
      <c r="FV25" s="60"/>
      <c r="FW25" s="60"/>
      <c r="FX25" s="60"/>
      <c r="FY25" s="60"/>
      <c r="FZ25" s="60"/>
      <c r="GA25" s="60"/>
      <c r="GB25" s="60"/>
      <c r="GC25" s="60"/>
      <c r="GD25" s="60"/>
      <c r="GE25" s="60"/>
      <c r="GF25" s="60"/>
      <c r="GG25" s="60"/>
      <c r="GH25" s="60"/>
      <c r="GI25" s="60"/>
      <c r="GJ25" s="60"/>
      <c r="GK25" s="60"/>
      <c r="GL25" s="60"/>
      <c r="GM25" s="60"/>
      <c r="GN25" s="60"/>
      <c r="GO25" s="60"/>
      <c r="GP25" s="60"/>
      <c r="GQ25" s="60"/>
      <c r="GR25" s="60"/>
      <c r="GS25" s="60"/>
      <c r="GT25" s="60"/>
      <c r="GU25" s="60"/>
      <c r="GV25" s="60"/>
      <c r="GW25" s="60"/>
      <c r="GX25" s="60"/>
      <c r="GY25" s="60"/>
      <c r="GZ25" s="60"/>
      <c r="HA25" s="60"/>
      <c r="HB25" s="60"/>
      <c r="HC25" s="60"/>
      <c r="HD25" s="60"/>
      <c r="HE25" s="60"/>
      <c r="HF25" s="60"/>
      <c r="HG25" s="60"/>
      <c r="HH25" s="60"/>
      <c r="HI25" s="60"/>
      <c r="HJ25" s="60"/>
      <c r="HK25" s="60"/>
      <c r="HL25" s="60"/>
      <c r="HM25" s="60"/>
      <c r="HN25" s="60"/>
      <c r="HO25" s="60"/>
      <c r="HP25" s="60"/>
      <c r="HQ25" s="60"/>
      <c r="HR25" s="60"/>
      <c r="HS25" s="60"/>
      <c r="HT25" s="60"/>
      <c r="HU25" s="60"/>
      <c r="HV25" s="60"/>
      <c r="HW25" s="60"/>
      <c r="HX25" s="60"/>
      <c r="HY25" s="60"/>
      <c r="HZ25" s="60"/>
      <c r="IA25" s="60"/>
      <c r="IB25" s="60"/>
    </row>
    <row r="26" spans="1:236" s="8" customFormat="1" ht="11.25" customHeight="1" x14ac:dyDescent="0.2">
      <c r="B26" s="2283"/>
      <c r="C26" s="2283"/>
      <c r="D26" s="2283"/>
      <c r="E26" s="2283"/>
      <c r="F26" s="2283"/>
      <c r="G26" s="2283"/>
      <c r="H26" s="2283"/>
      <c r="I26" s="2283"/>
      <c r="J26" s="2283"/>
      <c r="K26" s="2283"/>
      <c r="L26" s="2283"/>
      <c r="M26" s="2283"/>
      <c r="N26" s="2283"/>
      <c r="O26" s="2283"/>
      <c r="P26" s="21"/>
      <c r="Q26" s="120"/>
      <c r="R26" s="134"/>
      <c r="S26" s="132"/>
      <c r="T26" s="134"/>
      <c r="U26" s="134"/>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60"/>
      <c r="CN26" s="60"/>
      <c r="CO26" s="60"/>
      <c r="CP26" s="60"/>
      <c r="CQ26" s="60"/>
      <c r="CR26" s="60"/>
      <c r="CS26" s="60"/>
      <c r="CT26" s="60"/>
      <c r="CU26" s="60"/>
      <c r="CV26" s="60"/>
      <c r="CW26" s="60"/>
      <c r="CX26" s="60"/>
      <c r="CY26" s="60"/>
      <c r="CZ26" s="60"/>
      <c r="DA26" s="60"/>
      <c r="DB26" s="60"/>
      <c r="DC26" s="60"/>
      <c r="DD26" s="60"/>
      <c r="DE26" s="60"/>
      <c r="DF26" s="60"/>
      <c r="DG26" s="60"/>
      <c r="DH26" s="60"/>
      <c r="DI26" s="60"/>
      <c r="DJ26" s="60"/>
      <c r="DK26" s="60"/>
      <c r="DL26" s="60"/>
      <c r="DM26" s="60"/>
      <c r="DN26" s="60"/>
      <c r="DO26" s="60"/>
      <c r="DP26" s="60"/>
      <c r="DQ26" s="60"/>
      <c r="DR26" s="60"/>
      <c r="DS26" s="60"/>
      <c r="DT26" s="60"/>
      <c r="DU26" s="60"/>
      <c r="DV26" s="60"/>
      <c r="DW26" s="60"/>
      <c r="DX26" s="60"/>
      <c r="DY26" s="60"/>
      <c r="DZ26" s="60"/>
      <c r="EA26" s="60"/>
      <c r="EB26" s="60"/>
      <c r="EC26" s="60"/>
      <c r="ED26" s="60"/>
      <c r="EE26" s="60"/>
      <c r="EF26" s="60"/>
      <c r="EG26" s="60"/>
      <c r="EH26" s="60"/>
      <c r="EI26" s="60"/>
      <c r="EJ26" s="60"/>
      <c r="EK26" s="60"/>
      <c r="EL26" s="60"/>
      <c r="EM26" s="60"/>
      <c r="EN26" s="60"/>
      <c r="EO26" s="60"/>
      <c r="EP26" s="60"/>
      <c r="EQ26" s="60"/>
      <c r="ER26" s="60"/>
      <c r="ES26" s="60"/>
      <c r="ET26" s="60"/>
      <c r="EU26" s="60"/>
      <c r="EV26" s="60"/>
      <c r="EW26" s="60"/>
      <c r="EX26" s="60"/>
      <c r="EY26" s="60"/>
      <c r="EZ26" s="60"/>
      <c r="FA26" s="60"/>
      <c r="FB26" s="60"/>
      <c r="FC26" s="60"/>
      <c r="FD26" s="60"/>
      <c r="FE26" s="60"/>
      <c r="FF26" s="60"/>
      <c r="FG26" s="60"/>
      <c r="FH26" s="60"/>
      <c r="FI26" s="60"/>
      <c r="FJ26" s="60"/>
      <c r="FK26" s="60"/>
      <c r="FL26" s="60"/>
      <c r="FM26" s="60"/>
      <c r="FN26" s="60"/>
      <c r="FO26" s="60"/>
      <c r="FP26" s="60"/>
      <c r="FQ26" s="60"/>
      <c r="FR26" s="60"/>
      <c r="FS26" s="60"/>
      <c r="FT26" s="60"/>
      <c r="FU26" s="60"/>
      <c r="FV26" s="60"/>
      <c r="FW26" s="60"/>
      <c r="FX26" s="60"/>
      <c r="FY26" s="60"/>
      <c r="FZ26" s="60"/>
      <c r="GA26" s="60"/>
      <c r="GB26" s="60"/>
      <c r="GC26" s="60"/>
      <c r="GD26" s="60"/>
      <c r="GE26" s="60"/>
      <c r="GF26" s="60"/>
      <c r="GG26" s="60"/>
      <c r="GH26" s="60"/>
      <c r="GI26" s="60"/>
      <c r="GJ26" s="60"/>
      <c r="GK26" s="60"/>
      <c r="GL26" s="60"/>
      <c r="GM26" s="60"/>
      <c r="GN26" s="60"/>
      <c r="GO26" s="60"/>
      <c r="GP26" s="60"/>
      <c r="GQ26" s="60"/>
      <c r="GR26" s="60"/>
      <c r="GS26" s="60"/>
      <c r="GT26" s="60"/>
      <c r="GU26" s="60"/>
      <c r="GV26" s="60"/>
      <c r="GW26" s="60"/>
      <c r="GX26" s="60"/>
      <c r="GY26" s="60"/>
      <c r="GZ26" s="60"/>
      <c r="HA26" s="60"/>
      <c r="HB26" s="60"/>
      <c r="HC26" s="60"/>
      <c r="HD26" s="60"/>
      <c r="HE26" s="60"/>
      <c r="HF26" s="60"/>
      <c r="HG26" s="60"/>
      <c r="HH26" s="60"/>
      <c r="HI26" s="60"/>
      <c r="HJ26" s="60"/>
      <c r="HK26" s="60"/>
      <c r="HL26" s="60"/>
      <c r="HM26" s="60"/>
      <c r="HN26" s="60"/>
      <c r="HO26" s="60"/>
      <c r="HP26" s="60"/>
      <c r="HQ26" s="60"/>
      <c r="HR26" s="60"/>
      <c r="HS26" s="60"/>
      <c r="HT26" s="60"/>
      <c r="HU26" s="60"/>
      <c r="HV26" s="60"/>
      <c r="HW26" s="60"/>
      <c r="HX26" s="60"/>
      <c r="HY26" s="60"/>
      <c r="HZ26" s="60"/>
      <c r="IA26" s="60"/>
      <c r="IB26" s="60"/>
    </row>
    <row r="27" spans="1:236" s="8" customFormat="1" ht="18" customHeight="1" x14ac:dyDescent="0.2">
      <c r="B27" s="1487" t="s">
        <v>505</v>
      </c>
      <c r="C27" s="1487"/>
      <c r="D27" s="1487"/>
      <c r="E27" s="1487"/>
      <c r="F27" s="1487"/>
      <c r="G27" s="1487"/>
      <c r="H27" s="1487"/>
      <c r="I27" s="1487"/>
      <c r="J27" s="1487"/>
      <c r="K27" s="1487"/>
      <c r="L27" s="1487"/>
      <c r="M27" s="1487"/>
      <c r="N27" s="1487"/>
      <c r="O27" s="1487"/>
      <c r="P27" s="42"/>
      <c r="Q27" s="120"/>
      <c r="R27" s="134"/>
      <c r="S27" s="132"/>
      <c r="T27" s="134"/>
      <c r="U27" s="134"/>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c r="HB27" s="60"/>
      <c r="HC27" s="60"/>
      <c r="HD27" s="60"/>
      <c r="HE27" s="60"/>
      <c r="HF27" s="60"/>
      <c r="HG27" s="60"/>
      <c r="HH27" s="60"/>
      <c r="HI27" s="60"/>
      <c r="HJ27" s="60"/>
      <c r="HK27" s="60"/>
      <c r="HL27" s="60"/>
      <c r="HM27" s="60"/>
      <c r="HN27" s="60"/>
      <c r="HO27" s="60"/>
      <c r="HP27" s="60"/>
      <c r="HQ27" s="60"/>
      <c r="HR27" s="60"/>
      <c r="HS27" s="60"/>
      <c r="HT27" s="60"/>
      <c r="HU27" s="60"/>
      <c r="HV27" s="60"/>
      <c r="HW27" s="60"/>
      <c r="HX27" s="60"/>
      <c r="HY27" s="60"/>
      <c r="HZ27" s="60"/>
      <c r="IA27" s="60"/>
      <c r="IB27" s="60"/>
    </row>
    <row r="28" spans="1:236" s="8" customFormat="1" ht="15" customHeight="1" x14ac:dyDescent="0.2">
      <c r="B28" s="1830" t="s">
        <v>1719</v>
      </c>
      <c r="C28" s="1830"/>
      <c r="D28" s="1830"/>
      <c r="E28" s="1830"/>
      <c r="F28" s="1830"/>
      <c r="G28" s="1830"/>
      <c r="H28" s="1830"/>
      <c r="I28" s="1830"/>
      <c r="J28" s="1830"/>
      <c r="K28" s="1830"/>
      <c r="L28" s="1830"/>
      <c r="M28" s="1830"/>
      <c r="N28" s="1830"/>
      <c r="O28" s="1830"/>
      <c r="P28" s="1848"/>
      <c r="Q28" s="120"/>
      <c r="R28" s="134"/>
      <c r="S28" s="132"/>
      <c r="T28" s="136"/>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60"/>
      <c r="FO28" s="60"/>
      <c r="FP28" s="60"/>
      <c r="FQ28" s="60"/>
      <c r="FR28" s="60"/>
      <c r="FS28" s="60"/>
      <c r="FT28" s="60"/>
      <c r="FU28" s="60"/>
      <c r="FV28" s="60"/>
      <c r="FW28" s="60"/>
      <c r="FX28" s="60"/>
      <c r="FY28" s="60"/>
      <c r="FZ28" s="60"/>
      <c r="GA28" s="60"/>
      <c r="GB28" s="60"/>
      <c r="GC28" s="60"/>
      <c r="GD28" s="60"/>
      <c r="GE28" s="60"/>
      <c r="GF28" s="60"/>
      <c r="GG28" s="60"/>
      <c r="GH28" s="60"/>
      <c r="GI28" s="60"/>
      <c r="GJ28" s="60"/>
      <c r="GK28" s="60"/>
      <c r="GL28" s="60"/>
      <c r="GM28" s="60"/>
      <c r="GN28" s="60"/>
      <c r="GO28" s="60"/>
      <c r="GP28" s="60"/>
      <c r="GQ28" s="60"/>
      <c r="GR28" s="60"/>
      <c r="GS28" s="60"/>
      <c r="GT28" s="60"/>
      <c r="GU28" s="60"/>
      <c r="GV28" s="60"/>
      <c r="GW28" s="60"/>
      <c r="GX28" s="60"/>
      <c r="GY28" s="60"/>
      <c r="GZ28" s="60"/>
      <c r="HA28" s="60"/>
      <c r="HB28" s="60"/>
      <c r="HC28" s="60"/>
      <c r="HD28" s="60"/>
      <c r="HE28" s="60"/>
      <c r="HF28" s="60"/>
      <c r="HG28" s="60"/>
      <c r="HH28" s="60"/>
      <c r="HI28" s="60"/>
      <c r="HJ28" s="60"/>
      <c r="HK28" s="60"/>
      <c r="HL28" s="60"/>
      <c r="HM28" s="60"/>
      <c r="HN28" s="60"/>
      <c r="HO28" s="60"/>
      <c r="HP28" s="60"/>
      <c r="HQ28" s="60"/>
      <c r="HR28" s="60"/>
      <c r="HS28" s="60"/>
      <c r="HT28" s="60"/>
      <c r="HU28" s="60"/>
      <c r="HV28" s="60"/>
      <c r="HW28" s="60"/>
      <c r="HX28" s="60"/>
      <c r="HY28" s="60"/>
      <c r="HZ28" s="60"/>
      <c r="IA28" s="60"/>
      <c r="IB28" s="60"/>
    </row>
    <row r="29" spans="1:236" s="8" customFormat="1" ht="15" customHeight="1" x14ac:dyDescent="0.2">
      <c r="B29" s="1830"/>
      <c r="C29" s="1830"/>
      <c r="D29" s="1830"/>
      <c r="E29" s="1830"/>
      <c r="F29" s="1830"/>
      <c r="G29" s="1830"/>
      <c r="H29" s="1830"/>
      <c r="I29" s="1830"/>
      <c r="J29" s="1830"/>
      <c r="K29" s="1830"/>
      <c r="L29" s="1830"/>
      <c r="M29" s="1830"/>
      <c r="N29" s="1830"/>
      <c r="O29" s="1830"/>
      <c r="P29" s="1848"/>
      <c r="Q29" s="120"/>
      <c r="R29" s="2280" t="s">
        <v>2277</v>
      </c>
      <c r="S29" s="2280"/>
      <c r="T29" s="134"/>
      <c r="U29" s="134"/>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60"/>
      <c r="CN29" s="60"/>
      <c r="CO29" s="60"/>
      <c r="CP29" s="60"/>
      <c r="CQ29" s="60"/>
      <c r="CR29" s="60"/>
      <c r="CS29" s="60"/>
      <c r="CT29" s="60"/>
      <c r="CU29" s="60"/>
      <c r="CV29" s="60"/>
      <c r="CW29" s="60"/>
      <c r="CX29" s="60"/>
      <c r="CY29" s="60"/>
      <c r="CZ29" s="60"/>
      <c r="DA29" s="60"/>
      <c r="DB29" s="60"/>
      <c r="DC29" s="60"/>
      <c r="DD29" s="60"/>
      <c r="DE29" s="60"/>
      <c r="DF29" s="60"/>
      <c r="DG29" s="60"/>
      <c r="DH29" s="60"/>
      <c r="DI29" s="60"/>
      <c r="DJ29" s="60"/>
      <c r="DK29" s="60"/>
      <c r="DL29" s="60"/>
      <c r="DM29" s="60"/>
      <c r="DN29" s="60"/>
      <c r="DO29" s="60"/>
      <c r="DP29" s="60"/>
      <c r="DQ29" s="60"/>
      <c r="DR29" s="60"/>
      <c r="DS29" s="60"/>
      <c r="DT29" s="60"/>
      <c r="DU29" s="60"/>
      <c r="DV29" s="60"/>
      <c r="DW29" s="60"/>
      <c r="DX29" s="60"/>
      <c r="DY29" s="60"/>
      <c r="DZ29" s="60"/>
      <c r="EA29" s="60"/>
      <c r="EB29" s="60"/>
      <c r="EC29" s="60"/>
      <c r="ED29" s="60"/>
      <c r="EE29" s="60"/>
      <c r="EF29" s="60"/>
      <c r="EG29" s="60"/>
      <c r="EH29" s="60"/>
      <c r="EI29" s="60"/>
      <c r="EJ29" s="60"/>
      <c r="EK29" s="60"/>
      <c r="EL29" s="60"/>
      <c r="EM29" s="60"/>
      <c r="EN29" s="60"/>
      <c r="EO29" s="60"/>
      <c r="EP29" s="60"/>
      <c r="EQ29" s="60"/>
      <c r="ER29" s="60"/>
      <c r="ES29" s="60"/>
      <c r="ET29" s="60"/>
      <c r="EU29" s="60"/>
      <c r="EV29" s="60"/>
      <c r="EW29" s="60"/>
      <c r="EX29" s="60"/>
      <c r="EY29" s="60"/>
      <c r="EZ29" s="60"/>
      <c r="FA29" s="60"/>
      <c r="FB29" s="60"/>
      <c r="FC29" s="60"/>
      <c r="FD29" s="60"/>
      <c r="FE29" s="60"/>
      <c r="FF29" s="60"/>
      <c r="FG29" s="60"/>
      <c r="FH29" s="60"/>
      <c r="FI29" s="60"/>
      <c r="FJ29" s="60"/>
      <c r="FK29" s="60"/>
      <c r="FL29" s="60"/>
      <c r="FM29" s="60"/>
      <c r="FN29" s="60"/>
      <c r="FO29" s="60"/>
      <c r="FP29" s="60"/>
      <c r="FQ29" s="60"/>
      <c r="FR29" s="60"/>
      <c r="FS29" s="60"/>
      <c r="FT29" s="60"/>
      <c r="FU29" s="60"/>
      <c r="FV29" s="60"/>
      <c r="FW29" s="60"/>
      <c r="FX29" s="60"/>
      <c r="FY29" s="60"/>
      <c r="FZ29" s="60"/>
      <c r="GA29" s="60"/>
      <c r="GB29" s="60"/>
      <c r="GC29" s="60"/>
      <c r="GD29" s="60"/>
      <c r="GE29" s="60"/>
      <c r="GF29" s="60"/>
      <c r="GG29" s="60"/>
      <c r="GH29" s="60"/>
      <c r="GI29" s="60"/>
      <c r="GJ29" s="60"/>
      <c r="GK29" s="60"/>
      <c r="GL29" s="60"/>
      <c r="GM29" s="60"/>
      <c r="GN29" s="60"/>
      <c r="GO29" s="60"/>
      <c r="GP29" s="60"/>
      <c r="GQ29" s="60"/>
      <c r="GR29" s="60"/>
      <c r="GS29" s="60"/>
      <c r="GT29" s="60"/>
      <c r="GU29" s="60"/>
      <c r="GV29" s="60"/>
      <c r="GW29" s="60"/>
      <c r="GX29" s="60"/>
      <c r="GY29" s="60"/>
      <c r="GZ29" s="60"/>
      <c r="HA29" s="60"/>
      <c r="HB29" s="60"/>
      <c r="HC29" s="60"/>
      <c r="HD29" s="60"/>
      <c r="HE29" s="60"/>
      <c r="HF29" s="60"/>
      <c r="HG29" s="60"/>
      <c r="HH29" s="60"/>
      <c r="HI29" s="60"/>
      <c r="HJ29" s="60"/>
      <c r="HK29" s="60"/>
      <c r="HL29" s="60"/>
      <c r="HM29" s="60"/>
      <c r="HN29" s="60"/>
      <c r="HO29" s="60"/>
      <c r="HP29" s="60"/>
      <c r="HQ29" s="60"/>
      <c r="HR29" s="60"/>
      <c r="HS29" s="60"/>
      <c r="HT29" s="60"/>
      <c r="HU29" s="60"/>
      <c r="HV29" s="60"/>
      <c r="HW29" s="60"/>
      <c r="HX29" s="60"/>
      <c r="HY29" s="60"/>
      <c r="HZ29" s="60"/>
      <c r="IA29" s="60"/>
      <c r="IB29" s="60"/>
    </row>
    <row r="30" spans="1:236" s="8" customFormat="1" ht="15" customHeight="1" x14ac:dyDescent="0.2">
      <c r="B30" s="1830"/>
      <c r="C30" s="1830"/>
      <c r="D30" s="1830"/>
      <c r="E30" s="1830"/>
      <c r="F30" s="1830"/>
      <c r="G30" s="1830"/>
      <c r="H30" s="1830"/>
      <c r="I30" s="1830"/>
      <c r="J30" s="1830"/>
      <c r="K30" s="1830"/>
      <c r="L30" s="1830"/>
      <c r="M30" s="1830"/>
      <c r="N30" s="1830"/>
      <c r="O30" s="1830"/>
      <c r="P30" s="1848"/>
      <c r="Q30" s="120"/>
      <c r="R30" s="2280"/>
      <c r="S30" s="228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60"/>
      <c r="CN30" s="60"/>
      <c r="CO30" s="60"/>
      <c r="CP30" s="60"/>
      <c r="CQ30" s="60"/>
      <c r="CR30" s="60"/>
      <c r="CS30" s="60"/>
      <c r="CT30" s="60"/>
      <c r="CU30" s="60"/>
      <c r="CV30" s="60"/>
      <c r="CW30" s="60"/>
      <c r="CX30" s="60"/>
      <c r="CY30" s="60"/>
      <c r="CZ30" s="60"/>
      <c r="DA30" s="60"/>
      <c r="DB30" s="60"/>
      <c r="DC30" s="60"/>
      <c r="DD30" s="60"/>
      <c r="DE30" s="60"/>
      <c r="DF30" s="60"/>
      <c r="DG30" s="60"/>
      <c r="DH30" s="60"/>
      <c r="DI30" s="60"/>
      <c r="DJ30" s="60"/>
      <c r="DK30" s="60"/>
      <c r="DL30" s="60"/>
      <c r="DM30" s="60"/>
      <c r="DN30" s="60"/>
      <c r="DO30" s="60"/>
      <c r="DP30" s="60"/>
      <c r="DQ30" s="60"/>
      <c r="DR30" s="60"/>
      <c r="DS30" s="60"/>
      <c r="DT30" s="60"/>
      <c r="DU30" s="60"/>
      <c r="DV30" s="60"/>
      <c r="DW30" s="60"/>
      <c r="DX30" s="60"/>
      <c r="DY30" s="60"/>
      <c r="DZ30" s="60"/>
      <c r="EA30" s="60"/>
      <c r="EB30" s="60"/>
      <c r="EC30" s="60"/>
      <c r="ED30" s="60"/>
      <c r="EE30" s="60"/>
      <c r="EF30" s="60"/>
      <c r="EG30" s="60"/>
      <c r="EH30" s="60"/>
      <c r="EI30" s="60"/>
      <c r="EJ30" s="60"/>
      <c r="EK30" s="60"/>
      <c r="EL30" s="60"/>
      <c r="EM30" s="60"/>
      <c r="EN30" s="60"/>
      <c r="EO30" s="60"/>
      <c r="EP30" s="60"/>
      <c r="EQ30" s="60"/>
      <c r="ER30" s="60"/>
      <c r="ES30" s="60"/>
      <c r="ET30" s="60"/>
      <c r="EU30" s="60"/>
      <c r="EV30" s="60"/>
      <c r="EW30" s="60"/>
      <c r="EX30" s="60"/>
      <c r="EY30" s="60"/>
      <c r="EZ30" s="60"/>
      <c r="FA30" s="60"/>
      <c r="FB30" s="60"/>
      <c r="FC30" s="60"/>
      <c r="FD30" s="60"/>
      <c r="FE30" s="60"/>
      <c r="FF30" s="60"/>
      <c r="FG30" s="60"/>
      <c r="FH30" s="60"/>
      <c r="FI30" s="60"/>
      <c r="FJ30" s="60"/>
      <c r="FK30" s="60"/>
      <c r="FL30" s="60"/>
      <c r="FM30" s="60"/>
      <c r="FN30" s="60"/>
      <c r="FO30" s="60"/>
      <c r="FP30" s="60"/>
      <c r="FQ30" s="60"/>
      <c r="FR30" s="60"/>
      <c r="FS30" s="60"/>
      <c r="FT30" s="60"/>
      <c r="FU30" s="60"/>
      <c r="FV30" s="60"/>
      <c r="FW30" s="60"/>
      <c r="FX30" s="60"/>
      <c r="FY30" s="60"/>
      <c r="FZ30" s="60"/>
      <c r="GA30" s="60"/>
      <c r="GB30" s="60"/>
      <c r="GC30" s="60"/>
      <c r="GD30" s="60"/>
      <c r="GE30" s="60"/>
      <c r="GF30" s="60"/>
      <c r="GG30" s="60"/>
      <c r="GH30" s="60"/>
      <c r="GI30" s="60"/>
      <c r="GJ30" s="60"/>
      <c r="GK30" s="60"/>
      <c r="GL30" s="60"/>
      <c r="GM30" s="60"/>
      <c r="GN30" s="60"/>
      <c r="GO30" s="60"/>
      <c r="GP30" s="60"/>
      <c r="GQ30" s="60"/>
      <c r="GR30" s="60"/>
      <c r="GS30" s="60"/>
      <c r="GT30" s="60"/>
      <c r="GU30" s="60"/>
      <c r="GV30" s="60"/>
      <c r="GW30" s="60"/>
      <c r="GX30" s="60"/>
      <c r="GY30" s="60"/>
      <c r="GZ30" s="60"/>
      <c r="HA30" s="60"/>
      <c r="HB30" s="60"/>
      <c r="HC30" s="60"/>
      <c r="HD30" s="60"/>
      <c r="HE30" s="60"/>
      <c r="HF30" s="60"/>
      <c r="HG30" s="60"/>
      <c r="HH30" s="60"/>
      <c r="HI30" s="60"/>
      <c r="HJ30" s="60"/>
      <c r="HK30" s="60"/>
      <c r="HL30" s="60"/>
      <c r="HM30" s="60"/>
      <c r="HN30" s="60"/>
      <c r="HO30" s="60"/>
      <c r="HP30" s="60"/>
      <c r="HQ30" s="60"/>
      <c r="HR30" s="60"/>
      <c r="HS30" s="60"/>
      <c r="HT30" s="60"/>
      <c r="HU30" s="60"/>
      <c r="HV30" s="60"/>
      <c r="HW30" s="60"/>
      <c r="HX30" s="60"/>
      <c r="HY30" s="60"/>
      <c r="HZ30" s="60"/>
      <c r="IA30" s="60"/>
      <c r="IB30" s="60"/>
    </row>
    <row r="31" spans="1:236" s="8" customFormat="1" ht="19.5" customHeight="1" x14ac:dyDescent="0.2">
      <c r="A31" s="20"/>
      <c r="B31" s="1639"/>
      <c r="C31" s="1639"/>
      <c r="D31" s="1639"/>
      <c r="E31" s="1639"/>
      <c r="F31" s="1639"/>
      <c r="G31" s="1639"/>
      <c r="H31" s="1639"/>
      <c r="I31" s="1639"/>
      <c r="J31" s="1639"/>
      <c r="K31" s="1639"/>
      <c r="L31" s="1639"/>
      <c r="M31" s="1639"/>
      <c r="N31" s="1639"/>
      <c r="O31" s="1639"/>
      <c r="P31" s="2284">
        <f>IF(OR(S31=1,S32=1),0.15,0)</f>
        <v>0</v>
      </c>
      <c r="Q31" s="120"/>
      <c r="R31" s="1198" t="b">
        <v>0</v>
      </c>
      <c r="S31" s="1185">
        <f>IF(R31=TRUE,1,0)</f>
        <v>0</v>
      </c>
      <c r="T31" s="120">
        <v>1E-4</v>
      </c>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60"/>
      <c r="CN31" s="60"/>
      <c r="CO31" s="60"/>
      <c r="CP31" s="60"/>
      <c r="CQ31" s="60"/>
      <c r="CR31" s="60"/>
      <c r="CS31" s="60"/>
      <c r="CT31" s="60"/>
      <c r="CU31" s="60"/>
      <c r="CV31" s="60"/>
      <c r="CW31" s="60"/>
      <c r="CX31" s="60"/>
      <c r="CY31" s="60"/>
      <c r="CZ31" s="60"/>
      <c r="DA31" s="60"/>
      <c r="DB31" s="60"/>
      <c r="DC31" s="60"/>
      <c r="DD31" s="60"/>
      <c r="DE31" s="60"/>
      <c r="DF31" s="60"/>
      <c r="DG31" s="60"/>
      <c r="DH31" s="60"/>
      <c r="DI31" s="60"/>
      <c r="DJ31" s="60"/>
      <c r="DK31" s="60"/>
      <c r="DL31" s="60"/>
      <c r="DM31" s="60"/>
      <c r="DN31" s="60"/>
      <c r="DO31" s="60"/>
      <c r="DP31" s="60"/>
      <c r="DQ31" s="60"/>
      <c r="DR31" s="60"/>
      <c r="DS31" s="60"/>
      <c r="DT31" s="60"/>
      <c r="DU31" s="60"/>
      <c r="DV31" s="60"/>
      <c r="DW31" s="60"/>
      <c r="DX31" s="60"/>
      <c r="DY31" s="60"/>
      <c r="DZ31" s="60"/>
      <c r="EA31" s="60"/>
      <c r="EB31" s="60"/>
      <c r="EC31" s="60"/>
      <c r="ED31" s="60"/>
      <c r="EE31" s="60"/>
      <c r="EF31" s="60"/>
      <c r="EG31" s="60"/>
      <c r="EH31" s="60"/>
      <c r="EI31" s="60"/>
      <c r="EJ31" s="60"/>
      <c r="EK31" s="60"/>
      <c r="EL31" s="60"/>
      <c r="EM31" s="60"/>
      <c r="EN31" s="60"/>
      <c r="EO31" s="60"/>
      <c r="EP31" s="60"/>
      <c r="EQ31" s="60"/>
      <c r="ER31" s="60"/>
      <c r="ES31" s="60"/>
      <c r="ET31" s="60"/>
      <c r="EU31" s="60"/>
      <c r="EV31" s="60"/>
      <c r="EW31" s="60"/>
      <c r="EX31" s="60"/>
      <c r="EY31" s="60"/>
      <c r="EZ31" s="60"/>
      <c r="FA31" s="60"/>
      <c r="FB31" s="60"/>
      <c r="FC31" s="60"/>
      <c r="FD31" s="60"/>
      <c r="FE31" s="60"/>
      <c r="FF31" s="60"/>
      <c r="FG31" s="60"/>
      <c r="FH31" s="60"/>
      <c r="FI31" s="60"/>
      <c r="FJ31" s="60"/>
      <c r="FK31" s="60"/>
      <c r="FL31" s="60"/>
      <c r="FM31" s="60"/>
      <c r="FN31" s="60"/>
      <c r="FO31" s="60"/>
      <c r="FP31" s="60"/>
      <c r="FQ31" s="60"/>
      <c r="FR31" s="60"/>
      <c r="FS31" s="60"/>
      <c r="FT31" s="60"/>
      <c r="FU31" s="60"/>
      <c r="FV31" s="60"/>
      <c r="FW31" s="60"/>
      <c r="FX31" s="60"/>
      <c r="FY31" s="60"/>
      <c r="FZ31" s="60"/>
      <c r="GA31" s="60"/>
      <c r="GB31" s="60"/>
      <c r="GC31" s="60"/>
      <c r="GD31" s="60"/>
      <c r="GE31" s="60"/>
      <c r="GF31" s="60"/>
      <c r="GG31" s="60"/>
      <c r="GH31" s="60"/>
      <c r="GI31" s="60"/>
      <c r="GJ31" s="60"/>
      <c r="GK31" s="60"/>
      <c r="GL31" s="60"/>
      <c r="GM31" s="60"/>
      <c r="GN31" s="60"/>
      <c r="GO31" s="60"/>
      <c r="GP31" s="60"/>
      <c r="GQ31" s="60"/>
      <c r="GR31" s="60"/>
      <c r="GS31" s="60"/>
      <c r="GT31" s="60"/>
      <c r="GU31" s="60"/>
      <c r="GV31" s="60"/>
      <c r="GW31" s="60"/>
      <c r="GX31" s="60"/>
      <c r="GY31" s="60"/>
      <c r="GZ31" s="60"/>
      <c r="HA31" s="60"/>
      <c r="HB31" s="60"/>
      <c r="HC31" s="60"/>
      <c r="HD31" s="60"/>
      <c r="HE31" s="60"/>
      <c r="HF31" s="60"/>
      <c r="HG31" s="60"/>
      <c r="HH31" s="60"/>
      <c r="HI31" s="60"/>
      <c r="HJ31" s="60"/>
      <c r="HK31" s="60"/>
      <c r="HL31" s="60"/>
      <c r="HM31" s="60"/>
      <c r="HN31" s="60"/>
      <c r="HO31" s="60"/>
      <c r="HP31" s="60"/>
      <c r="HQ31" s="60"/>
      <c r="HR31" s="60"/>
      <c r="HS31" s="60"/>
      <c r="HT31" s="60"/>
      <c r="HU31" s="60"/>
      <c r="HV31" s="60"/>
      <c r="HW31" s="60"/>
      <c r="HX31" s="60"/>
      <c r="HY31" s="60"/>
      <c r="HZ31" s="60"/>
      <c r="IA31" s="60"/>
      <c r="IB31" s="60"/>
    </row>
    <row r="32" spans="1:236" s="8" customFormat="1" ht="20.25" customHeight="1" x14ac:dyDescent="0.2">
      <c r="B32" s="2278"/>
      <c r="C32" s="2278"/>
      <c r="D32" s="2278"/>
      <c r="E32" s="2278"/>
      <c r="F32" s="2278"/>
      <c r="G32" s="2278"/>
      <c r="H32" s="2278"/>
      <c r="I32" s="2278"/>
      <c r="J32" s="2278"/>
      <c r="K32" s="2278"/>
      <c r="L32" s="2278"/>
      <c r="M32" s="2278"/>
      <c r="N32" s="2278"/>
      <c r="O32" s="2278"/>
      <c r="P32" s="2284"/>
      <c r="Q32" s="120"/>
      <c r="R32" s="1198" t="b">
        <v>0</v>
      </c>
      <c r="S32" s="1185">
        <f>IF(R32=TRUE,1,0)</f>
        <v>0</v>
      </c>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60"/>
      <c r="EZ32" s="60"/>
      <c r="FA32" s="60"/>
      <c r="FB32" s="60"/>
      <c r="FC32" s="60"/>
      <c r="FD32" s="60"/>
      <c r="FE32" s="60"/>
      <c r="FF32" s="60"/>
      <c r="FG32" s="60"/>
      <c r="FH32" s="60"/>
      <c r="FI32" s="60"/>
      <c r="FJ32" s="60"/>
      <c r="FK32" s="60"/>
      <c r="FL32" s="60"/>
      <c r="FM32" s="60"/>
      <c r="FN32" s="60"/>
      <c r="FO32" s="60"/>
      <c r="FP32" s="60"/>
      <c r="FQ32" s="60"/>
      <c r="FR32" s="60"/>
      <c r="FS32" s="60"/>
      <c r="FT32" s="60"/>
      <c r="FU32" s="60"/>
      <c r="FV32" s="60"/>
      <c r="FW32" s="60"/>
      <c r="FX32" s="60"/>
      <c r="FY32" s="60"/>
      <c r="FZ32" s="60"/>
      <c r="GA32" s="60"/>
      <c r="GB32" s="60"/>
      <c r="GC32" s="60"/>
      <c r="GD32" s="60"/>
      <c r="GE32" s="60"/>
      <c r="GF32" s="60"/>
      <c r="GG32" s="60"/>
      <c r="GH32" s="60"/>
      <c r="GI32" s="60"/>
      <c r="GJ32" s="60"/>
      <c r="GK32" s="60"/>
      <c r="GL32" s="60"/>
      <c r="GM32" s="60"/>
      <c r="GN32" s="60"/>
      <c r="GO32" s="60"/>
      <c r="GP32" s="60"/>
      <c r="GQ32" s="60"/>
      <c r="GR32" s="60"/>
      <c r="GS32" s="60"/>
      <c r="GT32" s="60"/>
      <c r="GU32" s="60"/>
      <c r="GV32" s="60"/>
      <c r="GW32" s="60"/>
      <c r="GX32" s="60"/>
      <c r="GY32" s="60"/>
      <c r="GZ32" s="60"/>
      <c r="HA32" s="60"/>
      <c r="HB32" s="60"/>
      <c r="HC32" s="60"/>
      <c r="HD32" s="60"/>
      <c r="HE32" s="60"/>
      <c r="HF32" s="60"/>
      <c r="HG32" s="60"/>
      <c r="HH32" s="60"/>
      <c r="HI32" s="60"/>
      <c r="HJ32" s="60"/>
      <c r="HK32" s="60"/>
      <c r="HL32" s="60"/>
      <c r="HM32" s="60"/>
      <c r="HN32" s="60"/>
      <c r="HO32" s="60"/>
      <c r="HP32" s="60"/>
      <c r="HQ32" s="60"/>
      <c r="HR32" s="60"/>
      <c r="HS32" s="60"/>
      <c r="HT32" s="60"/>
      <c r="HU32" s="60"/>
      <c r="HV32" s="60"/>
      <c r="HW32" s="60"/>
      <c r="HX32" s="60"/>
      <c r="HY32" s="60"/>
      <c r="HZ32" s="60"/>
      <c r="IA32" s="60"/>
      <c r="IB32" s="60"/>
    </row>
    <row r="33" spans="2:236" s="8" customFormat="1" ht="12" customHeight="1" x14ac:dyDescent="0.2">
      <c r="B33" s="2283"/>
      <c r="C33" s="2283"/>
      <c r="D33" s="2283"/>
      <c r="E33" s="2283"/>
      <c r="F33" s="2283"/>
      <c r="G33" s="2283"/>
      <c r="H33" s="2283"/>
      <c r="I33" s="2283"/>
      <c r="J33" s="2283"/>
      <c r="K33" s="2283"/>
      <c r="L33" s="2283"/>
      <c r="M33" s="2283"/>
      <c r="N33" s="2283"/>
      <c r="O33" s="2283"/>
      <c r="P33" s="21"/>
      <c r="Q33" s="120"/>
      <c r="R33" s="144"/>
      <c r="S33" s="149"/>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60"/>
      <c r="CN33" s="60"/>
      <c r="CO33" s="60"/>
      <c r="CP33" s="60"/>
      <c r="CQ33" s="60"/>
      <c r="CR33" s="60"/>
      <c r="CS33" s="60"/>
      <c r="CT33" s="60"/>
      <c r="CU33" s="60"/>
      <c r="CV33" s="60"/>
      <c r="CW33" s="60"/>
      <c r="CX33" s="60"/>
      <c r="CY33" s="60"/>
      <c r="CZ33" s="60"/>
      <c r="DA33" s="60"/>
      <c r="DB33" s="60"/>
      <c r="DC33" s="60"/>
      <c r="DD33" s="60"/>
      <c r="DE33" s="60"/>
      <c r="DF33" s="60"/>
      <c r="DG33" s="60"/>
      <c r="DH33" s="60"/>
      <c r="DI33" s="60"/>
      <c r="DJ33" s="60"/>
      <c r="DK33" s="60"/>
      <c r="DL33" s="60"/>
      <c r="DM33" s="60"/>
      <c r="DN33" s="60"/>
      <c r="DO33" s="60"/>
      <c r="DP33" s="60"/>
      <c r="DQ33" s="60"/>
      <c r="DR33" s="60"/>
      <c r="DS33" s="60"/>
      <c r="DT33" s="60"/>
      <c r="DU33" s="60"/>
      <c r="DV33" s="60"/>
      <c r="DW33" s="60"/>
      <c r="DX33" s="60"/>
      <c r="DY33" s="60"/>
      <c r="DZ33" s="60"/>
      <c r="EA33" s="60"/>
      <c r="EB33" s="60"/>
      <c r="EC33" s="60"/>
      <c r="ED33" s="60"/>
      <c r="EE33" s="60"/>
      <c r="EF33" s="60"/>
      <c r="EG33" s="60"/>
      <c r="EH33" s="60"/>
      <c r="EI33" s="60"/>
      <c r="EJ33" s="60"/>
      <c r="EK33" s="60"/>
      <c r="EL33" s="60"/>
      <c r="EM33" s="60"/>
      <c r="EN33" s="60"/>
      <c r="EO33" s="60"/>
      <c r="EP33" s="60"/>
      <c r="EQ33" s="60"/>
      <c r="ER33" s="60"/>
      <c r="ES33" s="60"/>
      <c r="ET33" s="60"/>
      <c r="EU33" s="60"/>
      <c r="EV33" s="60"/>
      <c r="EW33" s="60"/>
      <c r="EX33" s="60"/>
      <c r="EY33" s="60"/>
      <c r="EZ33" s="60"/>
      <c r="FA33" s="60"/>
      <c r="FB33" s="60"/>
      <c r="FC33" s="60"/>
      <c r="FD33" s="60"/>
      <c r="FE33" s="60"/>
      <c r="FF33" s="60"/>
      <c r="FG33" s="60"/>
      <c r="FH33" s="60"/>
      <c r="FI33" s="60"/>
      <c r="FJ33" s="60"/>
      <c r="FK33" s="60"/>
      <c r="FL33" s="60"/>
      <c r="FM33" s="60"/>
      <c r="FN33" s="60"/>
      <c r="FO33" s="60"/>
      <c r="FP33" s="60"/>
      <c r="FQ33" s="60"/>
      <c r="FR33" s="60"/>
      <c r="FS33" s="60"/>
      <c r="FT33" s="60"/>
      <c r="FU33" s="60"/>
      <c r="FV33" s="60"/>
      <c r="FW33" s="60"/>
      <c r="FX33" s="60"/>
      <c r="FY33" s="60"/>
      <c r="FZ33" s="60"/>
      <c r="GA33" s="60"/>
      <c r="GB33" s="60"/>
      <c r="GC33" s="60"/>
      <c r="GD33" s="60"/>
      <c r="GE33" s="60"/>
      <c r="GF33" s="60"/>
      <c r="GG33" s="60"/>
      <c r="GH33" s="60"/>
      <c r="GI33" s="60"/>
      <c r="GJ33" s="60"/>
      <c r="GK33" s="60"/>
      <c r="GL33" s="60"/>
      <c r="GM33" s="60"/>
      <c r="GN33" s="60"/>
      <c r="GO33" s="60"/>
      <c r="GP33" s="60"/>
      <c r="GQ33" s="60"/>
      <c r="GR33" s="60"/>
      <c r="GS33" s="60"/>
      <c r="GT33" s="60"/>
      <c r="GU33" s="60"/>
      <c r="GV33" s="60"/>
      <c r="GW33" s="60"/>
      <c r="GX33" s="60"/>
      <c r="GY33" s="60"/>
      <c r="GZ33" s="60"/>
      <c r="HA33" s="60"/>
      <c r="HB33" s="60"/>
      <c r="HC33" s="60"/>
      <c r="HD33" s="60"/>
      <c r="HE33" s="60"/>
      <c r="HF33" s="60"/>
      <c r="HG33" s="60"/>
      <c r="HH33" s="60"/>
      <c r="HI33" s="60"/>
      <c r="HJ33" s="60"/>
      <c r="HK33" s="60"/>
      <c r="HL33" s="60"/>
      <c r="HM33" s="60"/>
      <c r="HN33" s="60"/>
      <c r="HO33" s="60"/>
      <c r="HP33" s="60"/>
      <c r="HQ33" s="60"/>
      <c r="HR33" s="60"/>
      <c r="HS33" s="60"/>
      <c r="HT33" s="60"/>
      <c r="HU33" s="60"/>
      <c r="HV33" s="60"/>
      <c r="HW33" s="60"/>
      <c r="HX33" s="60"/>
      <c r="HY33" s="60"/>
      <c r="HZ33" s="60"/>
      <c r="IA33" s="60"/>
      <c r="IB33" s="60"/>
    </row>
    <row r="34" spans="2:236" s="8" customFormat="1" ht="12" customHeight="1" x14ac:dyDescent="0.2">
      <c r="B34" s="2283"/>
      <c r="C34" s="2283"/>
      <c r="D34" s="2283"/>
      <c r="E34" s="2283"/>
      <c r="F34" s="2283"/>
      <c r="G34" s="2283"/>
      <c r="H34" s="2283"/>
      <c r="I34" s="2283"/>
      <c r="J34" s="2283"/>
      <c r="K34" s="2283"/>
      <c r="L34" s="2283"/>
      <c r="M34" s="2283"/>
      <c r="N34" s="2283"/>
      <c r="O34" s="2283"/>
      <c r="P34" s="21"/>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DW34" s="60"/>
      <c r="DX34" s="60"/>
      <c r="DY34" s="60"/>
      <c r="DZ34" s="60"/>
      <c r="EA34" s="60"/>
      <c r="EB34" s="60"/>
      <c r="EC34" s="60"/>
      <c r="ED34" s="60"/>
      <c r="EE34" s="60"/>
      <c r="EF34" s="60"/>
      <c r="EG34" s="60"/>
      <c r="EH34" s="60"/>
      <c r="EI34" s="60"/>
      <c r="EJ34" s="60"/>
      <c r="EK34" s="60"/>
      <c r="EL34" s="60"/>
      <c r="EM34" s="60"/>
      <c r="EN34" s="60"/>
      <c r="EO34" s="60"/>
      <c r="EP34" s="60"/>
      <c r="EQ34" s="60"/>
      <c r="ER34" s="60"/>
      <c r="ES34" s="60"/>
      <c r="ET34" s="60"/>
      <c r="EU34" s="60"/>
      <c r="EV34" s="60"/>
      <c r="EW34" s="60"/>
      <c r="EX34" s="60"/>
      <c r="EY34" s="60"/>
      <c r="EZ34" s="60"/>
      <c r="FA34" s="60"/>
      <c r="FB34" s="60"/>
      <c r="FC34" s="60"/>
      <c r="FD34" s="60"/>
      <c r="FE34" s="60"/>
      <c r="FF34" s="60"/>
      <c r="FG34" s="60"/>
      <c r="FH34" s="60"/>
      <c r="FI34" s="60"/>
      <c r="FJ34" s="60"/>
      <c r="FK34" s="60"/>
      <c r="FL34" s="60"/>
      <c r="FM34" s="60"/>
      <c r="FN34" s="60"/>
      <c r="FO34" s="60"/>
      <c r="FP34" s="60"/>
      <c r="FQ34" s="60"/>
      <c r="FR34" s="60"/>
      <c r="FS34" s="60"/>
      <c r="FT34" s="60"/>
      <c r="FU34" s="60"/>
      <c r="FV34" s="60"/>
      <c r="FW34" s="60"/>
      <c r="FX34" s="60"/>
      <c r="FY34" s="60"/>
      <c r="FZ34" s="60"/>
      <c r="GA34" s="60"/>
      <c r="GB34" s="60"/>
      <c r="GC34" s="60"/>
      <c r="GD34" s="60"/>
      <c r="GE34" s="60"/>
      <c r="GF34" s="60"/>
      <c r="GG34" s="60"/>
      <c r="GH34" s="60"/>
      <c r="GI34" s="60"/>
      <c r="GJ34" s="60"/>
      <c r="GK34" s="60"/>
      <c r="GL34" s="60"/>
      <c r="GM34" s="60"/>
      <c r="GN34" s="60"/>
      <c r="GO34" s="60"/>
      <c r="GP34" s="60"/>
      <c r="GQ34" s="60"/>
      <c r="GR34" s="60"/>
      <c r="GS34" s="60"/>
      <c r="GT34" s="60"/>
      <c r="GU34" s="60"/>
      <c r="GV34" s="60"/>
      <c r="GW34" s="60"/>
      <c r="GX34" s="60"/>
      <c r="GY34" s="60"/>
      <c r="GZ34" s="60"/>
      <c r="HA34" s="60"/>
      <c r="HB34" s="60"/>
      <c r="HC34" s="60"/>
      <c r="HD34" s="60"/>
      <c r="HE34" s="60"/>
      <c r="HF34" s="60"/>
      <c r="HG34" s="60"/>
      <c r="HH34" s="60"/>
      <c r="HI34" s="60"/>
      <c r="HJ34" s="60"/>
      <c r="HK34" s="60"/>
      <c r="HL34" s="60"/>
      <c r="HM34" s="60"/>
      <c r="HN34" s="60"/>
      <c r="HO34" s="60"/>
      <c r="HP34" s="60"/>
      <c r="HQ34" s="60"/>
      <c r="HR34" s="60"/>
      <c r="HS34" s="60"/>
      <c r="HT34" s="60"/>
      <c r="HU34" s="60"/>
      <c r="HV34" s="60"/>
      <c r="HW34" s="60"/>
      <c r="HX34" s="60"/>
      <c r="HY34" s="60"/>
      <c r="HZ34" s="60"/>
      <c r="IA34" s="60"/>
      <c r="IB34" s="60"/>
    </row>
    <row r="35" spans="2:236" ht="21" customHeight="1" x14ac:dyDescent="0.2">
      <c r="B35" s="1860" t="s">
        <v>506</v>
      </c>
      <c r="C35" s="1959"/>
      <c r="D35" s="1959"/>
      <c r="E35" s="1959"/>
      <c r="F35" s="1959"/>
      <c r="G35" s="1959"/>
      <c r="H35" s="1959"/>
      <c r="I35" s="1959"/>
      <c r="J35" s="1959"/>
      <c r="K35" s="1959"/>
      <c r="L35" s="1959"/>
      <c r="M35" s="1959"/>
      <c r="N35" s="1959"/>
      <c r="O35" s="1959"/>
      <c r="P35" s="185"/>
      <c r="Q35" s="63"/>
      <c r="R35" s="63"/>
      <c r="S35" s="63"/>
      <c r="T35" s="63"/>
      <c r="U35" s="63"/>
      <c r="V35" s="63"/>
      <c r="W35" s="63"/>
      <c r="X35" s="63"/>
      <c r="Y35" s="63"/>
      <c r="Z35" s="63"/>
      <c r="AA35" s="63"/>
      <c r="AB35" s="63"/>
      <c r="AC35" s="63"/>
      <c r="AD35" s="63"/>
      <c r="AE35" s="63"/>
      <c r="AF35" s="63"/>
      <c r="AG35" s="146"/>
      <c r="AH35" s="146"/>
      <c r="AI35" s="146"/>
      <c r="AJ35" s="146"/>
      <c r="AK35" s="146"/>
      <c r="AL35" s="146"/>
      <c r="AM35" s="146"/>
      <c r="AN35" s="146"/>
      <c r="AO35" s="146"/>
      <c r="AP35" s="146"/>
      <c r="AQ35" s="146"/>
      <c r="AR35" s="146"/>
      <c r="AS35" s="146"/>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row>
    <row r="36" spans="2:236" ht="21" customHeight="1" x14ac:dyDescent="0.2">
      <c r="B36" s="2281" t="s">
        <v>813</v>
      </c>
      <c r="C36" s="2281"/>
      <c r="D36" s="2281"/>
      <c r="E36" s="2281"/>
      <c r="F36" s="2281"/>
      <c r="G36" s="2281"/>
      <c r="H36" s="2281"/>
      <c r="I36" s="2281"/>
      <c r="J36" s="2281"/>
      <c r="K36" s="2281"/>
      <c r="L36" s="2281"/>
      <c r="M36" s="2281"/>
      <c r="N36" s="2281"/>
      <c r="O36" s="2282"/>
      <c r="P36" s="1450"/>
      <c r="Q36" s="63"/>
      <c r="R36" s="63"/>
      <c r="S36" s="63"/>
      <c r="T36" s="63"/>
      <c r="U36" s="63"/>
      <c r="V36" s="63"/>
      <c r="W36" s="63"/>
      <c r="X36" s="63"/>
      <c r="Y36" s="63"/>
      <c r="Z36" s="63"/>
      <c r="AA36" s="63"/>
      <c r="AB36" s="63"/>
      <c r="AC36" s="63"/>
      <c r="AD36" s="63"/>
      <c r="AE36" s="63"/>
      <c r="AF36" s="63"/>
      <c r="AG36" s="146"/>
      <c r="AH36" s="146"/>
      <c r="AI36" s="146"/>
      <c r="AJ36" s="146"/>
      <c r="AK36" s="146"/>
      <c r="AL36" s="146"/>
      <c r="AM36" s="146"/>
      <c r="AN36" s="146"/>
      <c r="AO36" s="146"/>
      <c r="AP36" s="146"/>
      <c r="AQ36" s="146"/>
      <c r="AR36" s="146"/>
      <c r="AS36" s="146"/>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row>
    <row r="37" spans="2:236" ht="46.5" customHeight="1" x14ac:dyDescent="0.2">
      <c r="B37" s="1830" t="s">
        <v>1872</v>
      </c>
      <c r="C37" s="1830"/>
      <c r="D37" s="1830"/>
      <c r="E37" s="1830"/>
      <c r="F37" s="1830"/>
      <c r="G37" s="1830"/>
      <c r="H37" s="1830"/>
      <c r="I37" s="1830"/>
      <c r="J37" s="1830"/>
      <c r="K37" s="1830"/>
      <c r="L37" s="1830"/>
      <c r="M37" s="1830"/>
      <c r="N37" s="1830"/>
      <c r="O37" s="1981"/>
      <c r="P37" s="1451"/>
      <c r="Q37" s="63"/>
      <c r="R37" s="63"/>
      <c r="S37" s="1557" t="s">
        <v>2278</v>
      </c>
      <c r="T37" s="1557"/>
      <c r="U37" s="63"/>
      <c r="V37" s="63"/>
      <c r="W37" s="63"/>
      <c r="X37" s="63"/>
      <c r="Y37" s="63"/>
      <c r="Z37" s="63"/>
      <c r="AA37" s="63"/>
      <c r="AB37" s="63"/>
      <c r="AC37" s="63"/>
      <c r="AD37" s="63"/>
      <c r="AE37" s="63"/>
      <c r="AF37" s="63"/>
      <c r="AG37" s="146"/>
      <c r="AH37" s="146"/>
      <c r="AI37" s="146"/>
      <c r="AJ37" s="146"/>
      <c r="AK37" s="146"/>
      <c r="AL37" s="146"/>
      <c r="AM37" s="146"/>
      <c r="AN37" s="146"/>
      <c r="AO37" s="146"/>
      <c r="AP37" s="146"/>
      <c r="AQ37" s="146"/>
      <c r="AR37" s="146"/>
      <c r="AS37" s="146"/>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row>
    <row r="38" spans="2:236" ht="13.5" customHeight="1" x14ac:dyDescent="0.2">
      <c r="B38" s="1687" t="s">
        <v>66</v>
      </c>
      <c r="C38" s="1687" t="s">
        <v>67</v>
      </c>
      <c r="D38" s="1687"/>
      <c r="E38" s="1687"/>
      <c r="F38" s="1687" t="s">
        <v>68</v>
      </c>
      <c r="G38" s="1534"/>
      <c r="H38" s="1534"/>
      <c r="I38" s="1687" t="s">
        <v>1597</v>
      </c>
      <c r="J38" s="1687"/>
      <c r="K38" s="1687"/>
      <c r="L38" s="1687" t="s">
        <v>68</v>
      </c>
      <c r="M38" s="1964"/>
      <c r="N38" s="1534"/>
      <c r="O38" s="1626" t="s">
        <v>69</v>
      </c>
      <c r="P38" s="1451"/>
      <c r="Q38" s="63"/>
      <c r="R38" s="63"/>
      <c r="S38" s="1557"/>
      <c r="T38" s="1557"/>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row>
    <row r="39" spans="2:236" ht="15.75" customHeight="1" x14ac:dyDescent="0.2">
      <c r="B39" s="1687"/>
      <c r="C39" s="1687"/>
      <c r="D39" s="1687"/>
      <c r="E39" s="1687"/>
      <c r="F39" s="1534"/>
      <c r="G39" s="1534"/>
      <c r="H39" s="1534"/>
      <c r="I39" s="1687"/>
      <c r="J39" s="1687"/>
      <c r="K39" s="1687"/>
      <c r="L39" s="1964"/>
      <c r="M39" s="1964"/>
      <c r="N39" s="1534"/>
      <c r="O39" s="1702"/>
      <c r="P39" s="1451"/>
      <c r="R39" s="1602"/>
      <c r="S39" s="1199" t="s">
        <v>1942</v>
      </c>
      <c r="T39" s="1200" t="s">
        <v>70</v>
      </c>
      <c r="U39" s="1200" t="s">
        <v>71</v>
      </c>
      <c r="V39" s="1200" t="s">
        <v>72</v>
      </c>
      <c r="W39" s="1200" t="s">
        <v>73</v>
      </c>
      <c r="X39" s="1182" t="s">
        <v>1843</v>
      </c>
      <c r="Y39" s="1200" t="s">
        <v>1844</v>
      </c>
      <c r="Z39" s="1200" t="s">
        <v>1845</v>
      </c>
      <c r="AA39" s="1200" t="s">
        <v>1846</v>
      </c>
      <c r="AB39" s="1200" t="s">
        <v>1847</v>
      </c>
      <c r="AC39" s="1200" t="s">
        <v>1848</v>
      </c>
      <c r="AD39" s="1200" t="s">
        <v>1849</v>
      </c>
      <c r="AE39" s="1200" t="s">
        <v>1787</v>
      </c>
      <c r="AF39" s="1200" t="s">
        <v>1788</v>
      </c>
      <c r="AG39" s="1200" t="s">
        <v>1789</v>
      </c>
      <c r="AH39" s="1200" t="s">
        <v>1790</v>
      </c>
      <c r="AI39" s="1182"/>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c r="HU39" s="14"/>
      <c r="HV39" s="14"/>
      <c r="HW39" s="14"/>
      <c r="HX39" s="14"/>
      <c r="HY39" s="14"/>
      <c r="HZ39" s="14"/>
      <c r="IA39" s="14"/>
      <c r="IB39" s="14"/>
    </row>
    <row r="40" spans="2:236" ht="15" customHeight="1" x14ac:dyDescent="0.2">
      <c r="B40" s="508" t="s">
        <v>1383</v>
      </c>
      <c r="C40" s="1555"/>
      <c r="D40" s="1555"/>
      <c r="E40" s="185"/>
      <c r="F40" s="1658"/>
      <c r="G40" s="1658"/>
      <c r="H40" s="452"/>
      <c r="I40" s="1555"/>
      <c r="J40" s="1555"/>
      <c r="K40" s="185"/>
      <c r="L40" s="1658"/>
      <c r="M40" s="1658"/>
      <c r="N40" s="452"/>
      <c r="O40" s="376"/>
      <c r="P40" s="1451"/>
      <c r="R40" s="1602"/>
      <c r="S40" s="1201">
        <v>0</v>
      </c>
      <c r="T40" s="1181">
        <v>0</v>
      </c>
      <c r="U40" s="1181">
        <v>0.05</v>
      </c>
      <c r="V40" s="1181">
        <v>0.1</v>
      </c>
      <c r="W40" s="1181">
        <v>0.2</v>
      </c>
      <c r="X40" s="1181">
        <v>0.3</v>
      </c>
      <c r="Y40" s="1181">
        <v>0.4</v>
      </c>
      <c r="Z40" s="1181">
        <v>0.5</v>
      </c>
      <c r="AA40" s="1181">
        <v>0.6</v>
      </c>
      <c r="AB40" s="1181">
        <v>0.7</v>
      </c>
      <c r="AC40" s="1181">
        <v>0.75</v>
      </c>
      <c r="AD40" s="1181">
        <v>0.8</v>
      </c>
      <c r="AE40" s="1181">
        <v>0.85</v>
      </c>
      <c r="AF40" s="1181">
        <v>0.9</v>
      </c>
      <c r="AG40" s="1181">
        <v>0.95</v>
      </c>
      <c r="AH40" s="1181">
        <v>1</v>
      </c>
      <c r="AI40" s="1182"/>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c r="HU40" s="14"/>
      <c r="HV40" s="14"/>
      <c r="HW40" s="14"/>
      <c r="HX40" s="14"/>
      <c r="HY40" s="14"/>
      <c r="HZ40" s="14"/>
      <c r="IA40" s="14"/>
      <c r="IB40" s="14"/>
    </row>
    <row r="41" spans="2:236" ht="15" customHeight="1" x14ac:dyDescent="0.2">
      <c r="B41" s="509" t="s">
        <v>1382</v>
      </c>
      <c r="C41" s="1545">
        <v>0.1</v>
      </c>
      <c r="D41" s="1545"/>
      <c r="E41" s="23" t="s">
        <v>1791</v>
      </c>
      <c r="F41" s="1545">
        <f>SUMIF($T$39:$AH$39,F40,$T$40:$AH$40)</f>
        <v>0</v>
      </c>
      <c r="G41" s="1545"/>
      <c r="H41" s="201" t="s">
        <v>1792</v>
      </c>
      <c r="I41" s="1545">
        <v>0.1</v>
      </c>
      <c r="J41" s="1545"/>
      <c r="K41" s="23" t="s">
        <v>1791</v>
      </c>
      <c r="L41" s="1545">
        <f>SUMIF($T$39:$AH$39,L40,$T$40:$AH$40)</f>
        <v>0</v>
      </c>
      <c r="M41" s="1545"/>
      <c r="N41" s="201" t="s">
        <v>1793</v>
      </c>
      <c r="O41" s="297">
        <f>IF(C41*F41-I41*L41&lt;0,0,C41*F41-I41*L41)</f>
        <v>0</v>
      </c>
      <c r="P41" s="1451"/>
      <c r="Q41" s="63"/>
      <c r="R41" s="63"/>
      <c r="S41" s="40"/>
      <c r="T41" s="40"/>
      <c r="U41" s="40"/>
      <c r="V41" s="40"/>
      <c r="W41" s="40"/>
      <c r="X41" s="40"/>
      <c r="Y41" s="40"/>
      <c r="Z41" s="40"/>
      <c r="AA41" s="40"/>
      <c r="AB41" s="40"/>
      <c r="AC41" s="40"/>
      <c r="AD41" s="40"/>
      <c r="AE41" s="40"/>
      <c r="AF41" s="40"/>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c r="HU41" s="14"/>
      <c r="HV41" s="14"/>
      <c r="HW41" s="14"/>
      <c r="HX41" s="14"/>
      <c r="HY41" s="14"/>
      <c r="HZ41" s="14"/>
      <c r="IA41" s="14"/>
      <c r="IB41" s="14"/>
    </row>
    <row r="42" spans="2:236" ht="15" customHeight="1" x14ac:dyDescent="0.2">
      <c r="B42" s="508" t="s">
        <v>555</v>
      </c>
      <c r="C42" s="1824"/>
      <c r="D42" s="1452"/>
      <c r="E42" s="286"/>
      <c r="F42" s="2277"/>
      <c r="G42" s="2277"/>
      <c r="H42" s="510"/>
      <c r="I42" s="1452"/>
      <c r="J42" s="1452"/>
      <c r="K42" s="286"/>
      <c r="L42" s="2277"/>
      <c r="M42" s="2277"/>
      <c r="N42" s="510"/>
      <c r="O42" s="437"/>
      <c r="P42" s="1451"/>
      <c r="Q42" s="63"/>
      <c r="R42" s="63"/>
      <c r="S42" s="1791" t="s">
        <v>1040</v>
      </c>
      <c r="T42" s="1791" t="s">
        <v>1041</v>
      </c>
      <c r="U42" s="1791" t="s">
        <v>1042</v>
      </c>
      <c r="V42" s="1791" t="s">
        <v>1043</v>
      </c>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c r="HU42" s="14"/>
      <c r="HV42" s="14"/>
      <c r="HW42" s="14"/>
      <c r="HX42" s="14"/>
      <c r="HY42" s="14"/>
      <c r="HZ42" s="14"/>
      <c r="IA42" s="14"/>
      <c r="IB42" s="14"/>
    </row>
    <row r="43" spans="2:236" ht="15" customHeight="1" x14ac:dyDescent="0.2">
      <c r="B43" s="511" t="s">
        <v>1044</v>
      </c>
      <c r="C43" s="1545">
        <v>0.03</v>
      </c>
      <c r="D43" s="1545"/>
      <c r="E43" s="23" t="s">
        <v>1791</v>
      </c>
      <c r="F43" s="1545">
        <f>SUMIF($T$39:$AH$39,F42,$T$40:$AH$40)</f>
        <v>0</v>
      </c>
      <c r="G43" s="1545"/>
      <c r="H43" s="201" t="s">
        <v>1792</v>
      </c>
      <c r="I43" s="1545">
        <v>0.03</v>
      </c>
      <c r="J43" s="1545"/>
      <c r="K43" s="23" t="s">
        <v>1791</v>
      </c>
      <c r="L43" s="1545">
        <f>SUMIF($T$39:$AH$39,L42,$T$40:$AH$40)</f>
        <v>0</v>
      </c>
      <c r="M43" s="1545"/>
      <c r="N43" s="201" t="s">
        <v>1793</v>
      </c>
      <c r="O43" s="297">
        <f>IF(C43*F43-I43*L43&lt;0,0,C43*F43-I43*L43)</f>
        <v>0</v>
      </c>
      <c r="P43" s="1451"/>
      <c r="Q43" s="63"/>
      <c r="R43" s="40"/>
      <c r="S43" s="1570"/>
      <c r="T43" s="1791"/>
      <c r="U43" s="1791"/>
      <c r="V43" s="1791"/>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c r="HU43" s="14"/>
      <c r="HV43" s="14"/>
      <c r="HW43" s="14"/>
      <c r="HX43" s="14"/>
      <c r="HY43" s="14"/>
      <c r="HZ43" s="14"/>
      <c r="IA43" s="14"/>
      <c r="IB43" s="14"/>
    </row>
    <row r="44" spans="2:236" ht="15" customHeight="1" x14ac:dyDescent="0.2">
      <c r="B44" s="512" t="s">
        <v>1384</v>
      </c>
      <c r="C44" s="1452"/>
      <c r="D44" s="1452"/>
      <c r="E44" s="286"/>
      <c r="F44" s="2277"/>
      <c r="G44" s="2277"/>
      <c r="H44" s="510"/>
      <c r="I44" s="1452"/>
      <c r="J44" s="1452"/>
      <c r="K44" s="286"/>
      <c r="L44" s="2277"/>
      <c r="M44" s="2277"/>
      <c r="N44" s="510"/>
      <c r="O44" s="437"/>
      <c r="P44" s="1451"/>
      <c r="Q44" s="63"/>
      <c r="R44" s="63"/>
      <c r="S44" s="147">
        <f>IF(OR(O47&lt;&gt;"",O49&lt;&gt;"",O51&lt;&gt;"",O53&lt;&gt;""),1,0)</f>
        <v>0</v>
      </c>
      <c r="T44" s="147">
        <f>IF(OR(O58&lt;&gt;"",O60&lt;&gt;"",O62&lt;&gt;""),1,0)</f>
        <v>0</v>
      </c>
      <c r="U44" s="147">
        <f>IF(OR(O69&lt;&gt;"",O71&lt;&gt;""),1,0)</f>
        <v>0</v>
      </c>
      <c r="V44" s="147">
        <f>IF(OR(O78&lt;&gt;"",O80&lt;&gt;""),1,0)</f>
        <v>0</v>
      </c>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c r="HU44" s="14"/>
      <c r="HV44" s="14"/>
      <c r="HW44" s="14"/>
      <c r="HX44" s="14"/>
      <c r="HY44" s="14"/>
      <c r="HZ44" s="14"/>
      <c r="IA44" s="14"/>
      <c r="IB44" s="14"/>
    </row>
    <row r="45" spans="2:236" ht="15" customHeight="1" x14ac:dyDescent="0.2">
      <c r="B45" s="511" t="s">
        <v>1001</v>
      </c>
      <c r="C45" s="1545">
        <v>0.21</v>
      </c>
      <c r="D45" s="1545"/>
      <c r="E45" s="23" t="s">
        <v>1791</v>
      </c>
      <c r="F45" s="1545">
        <f>SUMIF($T$39:$AH$39,F44,$T$40:$AH$40)</f>
        <v>0</v>
      </c>
      <c r="G45" s="1545"/>
      <c r="H45" s="201" t="s">
        <v>1792</v>
      </c>
      <c r="I45" s="1545">
        <v>0.21</v>
      </c>
      <c r="J45" s="1545"/>
      <c r="K45" s="23" t="s">
        <v>1791</v>
      </c>
      <c r="L45" s="1545">
        <f>SUMIF($T$39:$AH$39,L44,$T$40:$AH$40)</f>
        <v>0</v>
      </c>
      <c r="M45" s="1545"/>
      <c r="N45" s="201" t="s">
        <v>1793</v>
      </c>
      <c r="O45" s="259" t="str">
        <f>IF(F44="","",IF(C45*F45-I45*L45&lt;=0,"",C45*F45-I45*L45))</f>
        <v/>
      </c>
      <c r="P45" s="1451"/>
      <c r="Q45" s="63"/>
      <c r="R45" s="148"/>
      <c r="S45" s="40"/>
      <c r="T45" s="89"/>
      <c r="U45" s="148"/>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c r="HU45" s="14"/>
      <c r="HV45" s="14"/>
      <c r="HW45" s="14"/>
      <c r="HX45" s="14"/>
      <c r="HY45" s="14"/>
      <c r="HZ45" s="14"/>
      <c r="IA45" s="14"/>
      <c r="IB45" s="14"/>
    </row>
    <row r="46" spans="2:236" ht="15" customHeight="1" x14ac:dyDescent="0.2">
      <c r="B46" s="2268" t="s">
        <v>1002</v>
      </c>
      <c r="C46" s="1452"/>
      <c r="D46" s="1452"/>
      <c r="E46" s="286"/>
      <c r="F46" s="2277"/>
      <c r="G46" s="2277"/>
      <c r="H46" s="510"/>
      <c r="I46" s="1452"/>
      <c r="J46" s="1452"/>
      <c r="K46" s="286"/>
      <c r="L46" s="2277"/>
      <c r="M46" s="2277"/>
      <c r="N46" s="452"/>
      <c r="O46" s="124"/>
      <c r="P46" s="1451"/>
      <c r="Q46" s="63"/>
      <c r="R46" s="63"/>
      <c r="S46" s="1182" t="s">
        <v>2279</v>
      </c>
      <c r="T46" s="1179" t="s">
        <v>1305</v>
      </c>
      <c r="U46" s="1179" t="s">
        <v>1306</v>
      </c>
      <c r="V46" s="1179" t="s">
        <v>1307</v>
      </c>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c r="HU46" s="14"/>
      <c r="HV46" s="14"/>
      <c r="HW46" s="14"/>
      <c r="HX46" s="14"/>
      <c r="HY46" s="14"/>
      <c r="HZ46" s="14"/>
      <c r="IA46" s="14"/>
      <c r="IB46" s="14"/>
    </row>
    <row r="47" spans="2:236" ht="15" customHeight="1" x14ac:dyDescent="0.2">
      <c r="B47" s="2269"/>
      <c r="C47" s="1545">
        <v>0.21</v>
      </c>
      <c r="D47" s="1545"/>
      <c r="E47" s="23" t="s">
        <v>1791</v>
      </c>
      <c r="F47" s="1545">
        <f>SUMIF($T$39:$AH$39,F46,$T$40:$AH$40)</f>
        <v>0</v>
      </c>
      <c r="G47" s="1545"/>
      <c r="H47" s="201" t="s">
        <v>1792</v>
      </c>
      <c r="I47" s="1545">
        <v>0.21</v>
      </c>
      <c r="J47" s="1545"/>
      <c r="K47" s="23" t="s">
        <v>1791</v>
      </c>
      <c r="L47" s="1545">
        <f>SUMIF($T$39:$AH$39,L46,$T$40:$AH$40)</f>
        <v>0</v>
      </c>
      <c r="M47" s="1545"/>
      <c r="N47" s="201" t="s">
        <v>1793</v>
      </c>
      <c r="O47" s="259" t="str">
        <f>IF(F46="","",IF(C47*F47-I47*L47&lt;=0,"",C47*F47-I47*L47))</f>
        <v/>
      </c>
      <c r="P47" s="1451"/>
      <c r="Q47" s="63"/>
      <c r="R47" s="63"/>
      <c r="S47" s="61">
        <f>IF(AND(O41&gt;0,O41&lt;0.01),0.01,ROUND(O41,2))</f>
        <v>0</v>
      </c>
      <c r="T47" s="1181">
        <f>LARGE($S$47:$S$54,1)</f>
        <v>0</v>
      </c>
      <c r="U47" s="16">
        <f>T47+T48*(1-T47)</f>
        <v>0</v>
      </c>
      <c r="V47" s="61">
        <f t="shared" ref="V47:V53" si="1">ROUND(U47,2)</f>
        <v>0</v>
      </c>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c r="HU47" s="14"/>
      <c r="HV47" s="14"/>
      <c r="HW47" s="14"/>
      <c r="HX47" s="14"/>
      <c r="HY47" s="14"/>
      <c r="HZ47" s="14"/>
      <c r="IA47" s="14"/>
      <c r="IB47" s="14"/>
    </row>
    <row r="48" spans="2:236" ht="15" customHeight="1" x14ac:dyDescent="0.2">
      <c r="B48" s="2268" t="s">
        <v>1003</v>
      </c>
      <c r="C48" s="1452"/>
      <c r="D48" s="1452"/>
      <c r="E48" s="286"/>
      <c r="F48" s="2277"/>
      <c r="G48" s="2277"/>
      <c r="H48" s="510"/>
      <c r="I48" s="1452"/>
      <c r="J48" s="1452"/>
      <c r="K48" s="286"/>
      <c r="L48" s="2277"/>
      <c r="M48" s="2277"/>
      <c r="N48" s="452"/>
      <c r="O48" s="124"/>
      <c r="P48" s="1451"/>
      <c r="Q48" s="89"/>
      <c r="R48" s="63"/>
      <c r="S48" s="61">
        <f>IF(AND(O43&gt;0,O43&lt;0.01),0.01,ROUND(O43,2))</f>
        <v>0</v>
      </c>
      <c r="T48" s="1181">
        <f>LARGE($S$47:$S$54,2)</f>
        <v>0</v>
      </c>
      <c r="U48" s="16">
        <f t="shared" ref="U48:U53" si="2">V47+T49*(1-V47)</f>
        <v>0</v>
      </c>
      <c r="V48" s="61">
        <f t="shared" si="1"/>
        <v>0</v>
      </c>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c r="HU48" s="14"/>
      <c r="HV48" s="14"/>
      <c r="HW48" s="14"/>
      <c r="HX48" s="14"/>
      <c r="HY48" s="14"/>
      <c r="HZ48" s="14"/>
      <c r="IA48" s="14"/>
      <c r="IB48" s="14"/>
    </row>
    <row r="49" spans="2:236" ht="15" customHeight="1" x14ac:dyDescent="0.2">
      <c r="B49" s="2269"/>
      <c r="C49" s="1545">
        <v>0.21</v>
      </c>
      <c r="D49" s="1545"/>
      <c r="E49" s="23" t="s">
        <v>1791</v>
      </c>
      <c r="F49" s="1545">
        <f>SUMIF($T$39:$AH$39,F48,$T$40:$AH$40)</f>
        <v>0</v>
      </c>
      <c r="G49" s="1545"/>
      <c r="H49" s="201" t="s">
        <v>1792</v>
      </c>
      <c r="I49" s="1545">
        <v>0.21</v>
      </c>
      <c r="J49" s="1545"/>
      <c r="K49" s="23" t="s">
        <v>1791</v>
      </c>
      <c r="L49" s="1545">
        <f>SUMIF($T$39:$AH$39,L48,$T$40:$AH$40)</f>
        <v>0</v>
      </c>
      <c r="M49" s="1545"/>
      <c r="N49" s="201" t="s">
        <v>1793</v>
      </c>
      <c r="O49" s="259" t="str">
        <f>IF(F48="","",IF(C49*F49-I49*L49&lt;=0,"",C49*F49-I49*L49))</f>
        <v/>
      </c>
      <c r="P49" s="1451"/>
      <c r="Q49" s="63"/>
      <c r="R49" s="63"/>
      <c r="S49" s="61">
        <f>IF(AND(O54&gt;0,O54&lt;0.01),0.01,ROUND(O54,2))</f>
        <v>0</v>
      </c>
      <c r="T49" s="1181">
        <f>LARGE($S$47:$S$54,3)</f>
        <v>0</v>
      </c>
      <c r="U49" s="16">
        <f t="shared" si="2"/>
        <v>0</v>
      </c>
      <c r="V49" s="61">
        <f t="shared" si="1"/>
        <v>0</v>
      </c>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c r="HU49" s="14"/>
      <c r="HV49" s="14"/>
      <c r="HW49" s="14"/>
      <c r="HX49" s="14"/>
      <c r="HY49" s="14"/>
      <c r="HZ49" s="14"/>
      <c r="IA49" s="14"/>
      <c r="IB49" s="14"/>
    </row>
    <row r="50" spans="2:236" ht="15" customHeight="1" x14ac:dyDescent="0.2">
      <c r="B50" s="2268" t="s">
        <v>1811</v>
      </c>
      <c r="C50" s="1452"/>
      <c r="D50" s="1452"/>
      <c r="E50" s="286"/>
      <c r="F50" s="2277"/>
      <c r="G50" s="2277"/>
      <c r="H50" s="510"/>
      <c r="I50" s="1452"/>
      <c r="J50" s="1452"/>
      <c r="K50" s="286"/>
      <c r="L50" s="2277"/>
      <c r="M50" s="2277"/>
      <c r="N50" s="452"/>
      <c r="O50" s="124"/>
      <c r="P50" s="1451"/>
      <c r="Q50" s="63"/>
      <c r="R50" s="89"/>
      <c r="S50" s="61">
        <f>IF(AND(O63&gt;0,O63&lt;0.01),0.01,ROUND(O63,2))</f>
        <v>0</v>
      </c>
      <c r="T50" s="1181">
        <f>LARGE($S$47:$S$54,4)</f>
        <v>0</v>
      </c>
      <c r="U50" s="16">
        <f t="shared" si="2"/>
        <v>0</v>
      </c>
      <c r="V50" s="61">
        <f t="shared" si="1"/>
        <v>0</v>
      </c>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c r="HU50" s="14"/>
      <c r="HV50" s="14"/>
      <c r="HW50" s="14"/>
      <c r="HX50" s="14"/>
      <c r="HY50" s="14"/>
      <c r="HZ50" s="14"/>
      <c r="IA50" s="14"/>
      <c r="IB50" s="14"/>
    </row>
    <row r="51" spans="2:236" ht="15" customHeight="1" x14ac:dyDescent="0.2">
      <c r="B51" s="2269"/>
      <c r="C51" s="1545">
        <v>0.21</v>
      </c>
      <c r="D51" s="1545"/>
      <c r="E51" s="23" t="s">
        <v>1791</v>
      </c>
      <c r="F51" s="1545">
        <f>SUMIF($T$39:$AH$39,F50,$T$40:$AH$40)</f>
        <v>0</v>
      </c>
      <c r="G51" s="1545"/>
      <c r="H51" s="201" t="s">
        <v>1792</v>
      </c>
      <c r="I51" s="1545">
        <v>0.21</v>
      </c>
      <c r="J51" s="1545"/>
      <c r="K51" s="23" t="s">
        <v>1791</v>
      </c>
      <c r="L51" s="1545">
        <f>SUMIF($T$39:$AH$39,L50,$T$40:$AH$40)</f>
        <v>0</v>
      </c>
      <c r="M51" s="1545"/>
      <c r="N51" s="201" t="s">
        <v>1793</v>
      </c>
      <c r="O51" s="259" t="str">
        <f>IF(F50="","",IF(C51*F51-I51*L51&lt;=0,"",C51*F51-I51*L51))</f>
        <v/>
      </c>
      <c r="P51" s="1451"/>
      <c r="Q51" s="63"/>
      <c r="R51" s="63"/>
      <c r="S51" s="61">
        <f>IF(AND(O65&gt;0,O65&lt;0.01),0.01,ROUND(O65,2))</f>
        <v>0</v>
      </c>
      <c r="T51" s="1181">
        <f>LARGE($S$47:$S$54,5)</f>
        <v>0</v>
      </c>
      <c r="U51" s="16">
        <f t="shared" si="2"/>
        <v>0</v>
      </c>
      <c r="V51" s="61">
        <f t="shared" si="1"/>
        <v>0</v>
      </c>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c r="HU51" s="14"/>
      <c r="HV51" s="14"/>
      <c r="HW51" s="14"/>
      <c r="HX51" s="14"/>
      <c r="HY51" s="14"/>
      <c r="HZ51" s="14"/>
      <c r="IA51" s="14"/>
      <c r="IB51" s="14"/>
    </row>
    <row r="52" spans="2:236" ht="15" customHeight="1" x14ac:dyDescent="0.2">
      <c r="B52" s="2268" t="s">
        <v>1812</v>
      </c>
      <c r="C52" s="1452"/>
      <c r="D52" s="1452"/>
      <c r="E52" s="286"/>
      <c r="F52" s="2277"/>
      <c r="G52" s="2277"/>
      <c r="H52" s="510"/>
      <c r="I52" s="1452"/>
      <c r="J52" s="1452"/>
      <c r="K52" s="286"/>
      <c r="L52" s="2277"/>
      <c r="M52" s="2277"/>
      <c r="N52" s="452"/>
      <c r="O52" s="124"/>
      <c r="P52" s="1451"/>
      <c r="Q52" s="63"/>
      <c r="R52" s="63"/>
      <c r="S52" s="61">
        <f>IF(AND(O72&gt;0,O72&lt;0.01),0.01,ROUND(O72,2))</f>
        <v>0</v>
      </c>
      <c r="T52" s="1181">
        <f>LARGE($S$47:$S$54,6)</f>
        <v>0</v>
      </c>
      <c r="U52" s="16">
        <f t="shared" si="2"/>
        <v>0</v>
      </c>
      <c r="V52" s="61">
        <f t="shared" si="1"/>
        <v>0</v>
      </c>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c r="HU52" s="14"/>
      <c r="HV52" s="14"/>
      <c r="HW52" s="14"/>
      <c r="HX52" s="14"/>
      <c r="HY52" s="14"/>
      <c r="HZ52" s="14"/>
      <c r="IA52" s="14"/>
      <c r="IB52" s="14"/>
    </row>
    <row r="53" spans="2:236" ht="15" customHeight="1" x14ac:dyDescent="0.2">
      <c r="B53" s="2269"/>
      <c r="C53" s="1545">
        <v>0.21</v>
      </c>
      <c r="D53" s="1545"/>
      <c r="E53" s="23" t="s">
        <v>1791</v>
      </c>
      <c r="F53" s="1545">
        <f>SUMIF($T$39:$AH$39,F52,$T$40:$AH$40)</f>
        <v>0</v>
      </c>
      <c r="G53" s="1545"/>
      <c r="H53" s="201" t="s">
        <v>1792</v>
      </c>
      <c r="I53" s="1545">
        <v>0.21</v>
      </c>
      <c r="J53" s="1545"/>
      <c r="K53" s="23" t="s">
        <v>1791</v>
      </c>
      <c r="L53" s="1545">
        <f>SUMIF($T$39:$AH$39,L52,$T$40:$AH$40)</f>
        <v>0</v>
      </c>
      <c r="M53" s="1545"/>
      <c r="N53" s="201" t="s">
        <v>1793</v>
      </c>
      <c r="O53" s="259" t="str">
        <f>IF(F52="","",IF(C53*F53-I53*L53&lt;=0,"",C53*F53-I53*L53))</f>
        <v/>
      </c>
      <c r="P53" s="1451"/>
      <c r="Q53" s="63"/>
      <c r="R53" s="63"/>
      <c r="S53" s="61">
        <f>IF(AND(O81&gt;0,O81&lt;0.01),0.01,ROUND(O81,2))</f>
        <v>0</v>
      </c>
      <c r="T53" s="1181">
        <f>LARGE($S$47:$S$54,7)</f>
        <v>0</v>
      </c>
      <c r="U53" s="16">
        <f t="shared" si="2"/>
        <v>0</v>
      </c>
      <c r="V53" s="61">
        <f t="shared" si="1"/>
        <v>0</v>
      </c>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c r="HU53" s="14"/>
      <c r="HV53" s="14"/>
      <c r="HW53" s="14"/>
      <c r="HX53" s="14"/>
      <c r="HY53" s="14"/>
      <c r="HZ53" s="14"/>
      <c r="IA53" s="14"/>
      <c r="IB53" s="14"/>
    </row>
    <row r="54" spans="2:236" ht="29.25" customHeight="1" x14ac:dyDescent="0.2">
      <c r="B54" s="513" t="s">
        <v>1385</v>
      </c>
      <c r="C54" s="2293" t="str">
        <f>IF(AND(O45&lt;&gt;"",S44=1),"ERROR: Record strength for 'Overall' or specific muscles, not both.","")</f>
        <v/>
      </c>
      <c r="D54" s="2293"/>
      <c r="E54" s="2293"/>
      <c r="F54" s="2293"/>
      <c r="G54" s="2293"/>
      <c r="H54" s="2293"/>
      <c r="I54" s="2293"/>
      <c r="J54" s="2293"/>
      <c r="K54" s="2293"/>
      <c r="L54" s="2293"/>
      <c r="M54" s="2293"/>
      <c r="N54" s="201" t="s">
        <v>1793</v>
      </c>
      <c r="O54" s="296">
        <f>IF(C54&lt;&gt;"","ERROR",IF(AND(O45="",O47="",O49="",O51="",O53=""),0,AVERAGE(O45,O47,O49,O51,O53)))</f>
        <v>0</v>
      </c>
      <c r="P54" s="1451"/>
      <c r="Q54" s="63"/>
      <c r="R54" s="63"/>
      <c r="S54" s="61">
        <f>IF(AND(O83&gt;0,O83&lt;0.01),0.01,ROUND(O83,2))</f>
        <v>0</v>
      </c>
      <c r="T54" s="1181">
        <f>LARGE($S$47:$S$54,8)</f>
        <v>0</v>
      </c>
      <c r="U54" s="89"/>
      <c r="V54" s="148"/>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c r="HU54" s="14"/>
      <c r="HV54" s="14"/>
      <c r="HW54" s="14"/>
      <c r="HX54" s="14"/>
      <c r="HY54" s="14"/>
      <c r="HZ54" s="14"/>
      <c r="IA54" s="14"/>
      <c r="IB54" s="14"/>
    </row>
    <row r="55" spans="2:236" ht="15" customHeight="1" x14ac:dyDescent="0.2">
      <c r="B55" s="512" t="s">
        <v>1381</v>
      </c>
      <c r="C55" s="1452"/>
      <c r="D55" s="1452"/>
      <c r="E55" s="286"/>
      <c r="F55" s="2277"/>
      <c r="G55" s="2277"/>
      <c r="H55" s="510"/>
      <c r="I55" s="1452"/>
      <c r="J55" s="1452"/>
      <c r="K55" s="286"/>
      <c r="L55" s="2277"/>
      <c r="M55" s="2277"/>
      <c r="N55" s="510"/>
      <c r="O55" s="437"/>
      <c r="P55" s="1451"/>
      <c r="Q55" s="63"/>
      <c r="R55" s="63"/>
      <c r="S55" s="148"/>
      <c r="T55" s="40"/>
      <c r="U55" s="89"/>
      <c r="V55" s="148"/>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c r="HU55" s="14"/>
      <c r="HV55" s="14"/>
      <c r="HW55" s="14"/>
      <c r="HX55" s="14"/>
      <c r="HY55" s="14"/>
      <c r="HZ55" s="14"/>
      <c r="IA55" s="14"/>
      <c r="IB55" s="14"/>
    </row>
    <row r="56" spans="2:236" ht="15" customHeight="1" x14ac:dyDescent="0.2">
      <c r="B56" s="511" t="s">
        <v>1001</v>
      </c>
      <c r="C56" s="1545">
        <v>0.03</v>
      </c>
      <c r="D56" s="1545"/>
      <c r="E56" s="23" t="s">
        <v>1791</v>
      </c>
      <c r="F56" s="1545">
        <f>SUMIF($T$39:$AH$39,F55,$T$40:$AH$40)</f>
        <v>0</v>
      </c>
      <c r="G56" s="1545"/>
      <c r="H56" s="201" t="s">
        <v>1792</v>
      </c>
      <c r="I56" s="1545">
        <v>0.03</v>
      </c>
      <c r="J56" s="1545"/>
      <c r="K56" s="23" t="s">
        <v>1791</v>
      </c>
      <c r="L56" s="1545">
        <f>SUMIF($T$39:$AH$39,L55,$T$40:$AH$40)</f>
        <v>0</v>
      </c>
      <c r="M56" s="1545"/>
      <c r="N56" s="201" t="s">
        <v>1793</v>
      </c>
      <c r="O56" s="259" t="str">
        <f>IF(F55="","",IF(C56*F56-I56*L56&lt;=0,"",C56*F56-I56*L56))</f>
        <v/>
      </c>
      <c r="P56" s="1451"/>
      <c r="Q56" s="63"/>
      <c r="R56" s="63"/>
      <c r="S56" s="148"/>
      <c r="T56" s="40"/>
      <c r="U56" s="89"/>
      <c r="V56" s="148"/>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c r="HU56" s="14"/>
      <c r="HV56" s="14"/>
      <c r="HW56" s="14"/>
      <c r="HX56" s="14"/>
      <c r="HY56" s="14"/>
      <c r="HZ56" s="14"/>
      <c r="IA56" s="14"/>
      <c r="IB56" s="14"/>
    </row>
    <row r="57" spans="2:236" ht="15" customHeight="1" x14ac:dyDescent="0.2">
      <c r="B57" s="2268" t="s">
        <v>634</v>
      </c>
      <c r="C57" s="1452"/>
      <c r="D57" s="1452"/>
      <c r="E57" s="286"/>
      <c r="F57" s="2277"/>
      <c r="G57" s="2277"/>
      <c r="H57" s="510"/>
      <c r="I57" s="1452"/>
      <c r="J57" s="1452"/>
      <c r="K57" s="286"/>
      <c r="L57" s="2277"/>
      <c r="M57" s="2277"/>
      <c r="N57" s="452"/>
      <c r="O57" s="124"/>
      <c r="P57" s="1451"/>
      <c r="Q57" s="63"/>
      <c r="R57" s="148"/>
      <c r="S57" s="40"/>
      <c r="T57" s="89"/>
      <c r="U57" s="148"/>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c r="HU57" s="14"/>
      <c r="HV57" s="14"/>
      <c r="HW57" s="14"/>
      <c r="HX57" s="14"/>
      <c r="HY57" s="14"/>
      <c r="HZ57" s="14"/>
      <c r="IA57" s="14"/>
      <c r="IB57" s="14"/>
    </row>
    <row r="58" spans="2:236" ht="15" customHeight="1" x14ac:dyDescent="0.2">
      <c r="B58" s="2269"/>
      <c r="C58" s="1545">
        <v>0.03</v>
      </c>
      <c r="D58" s="1545"/>
      <c r="E58" s="23" t="s">
        <v>1791</v>
      </c>
      <c r="F58" s="1545">
        <f>SUMIF($T$39:$AH$39,F57,$T$40:$AH$40)</f>
        <v>0</v>
      </c>
      <c r="G58" s="1545"/>
      <c r="H58" s="201" t="s">
        <v>1792</v>
      </c>
      <c r="I58" s="1545">
        <v>0.03</v>
      </c>
      <c r="J58" s="1545"/>
      <c r="K58" s="23" t="s">
        <v>1791</v>
      </c>
      <c r="L58" s="1545">
        <f>SUMIF($T$39:$AH$39,L57,$T$40:$AH$40)</f>
        <v>0</v>
      </c>
      <c r="M58" s="1545"/>
      <c r="N58" s="201" t="s">
        <v>1793</v>
      </c>
      <c r="O58" s="259" t="str">
        <f>IF(F57="","",IF(C58*F58-I58*L58&lt;=0,"",C58*F58-I58*L58))</f>
        <v/>
      </c>
      <c r="P58" s="1451"/>
      <c r="Q58" s="63"/>
      <c r="R58" s="148"/>
      <c r="S58" s="40"/>
      <c r="T58" s="89"/>
      <c r="U58" s="148"/>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c r="HU58" s="14"/>
      <c r="HV58" s="14"/>
      <c r="HW58" s="14"/>
      <c r="HX58" s="14"/>
      <c r="HY58" s="14"/>
      <c r="HZ58" s="14"/>
      <c r="IA58" s="14"/>
      <c r="IB58" s="14"/>
    </row>
    <row r="59" spans="2:236" ht="15" customHeight="1" x14ac:dyDescent="0.2">
      <c r="B59" s="2268" t="s">
        <v>635</v>
      </c>
      <c r="C59" s="1452"/>
      <c r="D59" s="1452"/>
      <c r="E59" s="286"/>
      <c r="F59" s="2277"/>
      <c r="G59" s="2277"/>
      <c r="H59" s="510"/>
      <c r="I59" s="1452"/>
      <c r="J59" s="1452"/>
      <c r="K59" s="286"/>
      <c r="L59" s="2277"/>
      <c r="M59" s="2277"/>
      <c r="N59" s="452"/>
      <c r="O59" s="124"/>
      <c r="P59" s="1451"/>
      <c r="Q59" s="63"/>
      <c r="R59" s="148"/>
      <c r="S59" s="40"/>
      <c r="T59" s="89"/>
      <c r="U59" s="148"/>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c r="HU59" s="14"/>
      <c r="HV59" s="14"/>
      <c r="HW59" s="14"/>
      <c r="HX59" s="14"/>
      <c r="HY59" s="14"/>
      <c r="HZ59" s="14"/>
      <c r="IA59" s="14"/>
      <c r="IB59" s="14"/>
    </row>
    <row r="60" spans="2:236" ht="15" customHeight="1" x14ac:dyDescent="0.2">
      <c r="B60" s="2269"/>
      <c r="C60" s="1545">
        <v>0.03</v>
      </c>
      <c r="D60" s="1545"/>
      <c r="E60" s="23" t="s">
        <v>1791</v>
      </c>
      <c r="F60" s="1545">
        <f>SUMIF($T$39:$AH$39,F57,$T$40:$AH$40)</f>
        <v>0</v>
      </c>
      <c r="G60" s="1545"/>
      <c r="H60" s="201" t="s">
        <v>1792</v>
      </c>
      <c r="I60" s="1545">
        <v>0.03</v>
      </c>
      <c r="J60" s="1545"/>
      <c r="K60" s="23" t="s">
        <v>1791</v>
      </c>
      <c r="L60" s="1545">
        <f>SUMIF($T$39:$AH$39,L59,$T$40:$AH$40)</f>
        <v>0</v>
      </c>
      <c r="M60" s="1545"/>
      <c r="N60" s="201" t="s">
        <v>1793</v>
      </c>
      <c r="O60" s="259" t="str">
        <f>IF(F59="","",IF(C60*F60-I60*L60&lt;=0,"",C60*F60-I60*L60))</f>
        <v/>
      </c>
      <c r="P60" s="1451"/>
      <c r="Q60" s="63"/>
      <c r="R60" s="148"/>
      <c r="S60" s="40"/>
      <c r="T60" s="89"/>
      <c r="U60" s="148"/>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c r="HU60" s="14"/>
      <c r="HV60" s="14"/>
      <c r="HW60" s="14"/>
      <c r="HX60" s="14"/>
      <c r="HY60" s="14"/>
      <c r="HZ60" s="14"/>
      <c r="IA60" s="14"/>
      <c r="IB60" s="14"/>
    </row>
    <row r="61" spans="2:236" ht="15" customHeight="1" x14ac:dyDescent="0.2">
      <c r="B61" s="2268" t="s">
        <v>636</v>
      </c>
      <c r="C61" s="1452"/>
      <c r="D61" s="1452"/>
      <c r="E61" s="286"/>
      <c r="F61" s="2277"/>
      <c r="G61" s="2277"/>
      <c r="H61" s="510"/>
      <c r="I61" s="1452"/>
      <c r="J61" s="1452"/>
      <c r="K61" s="286"/>
      <c r="L61" s="2277"/>
      <c r="M61" s="2277"/>
      <c r="N61" s="452"/>
      <c r="O61" s="135"/>
      <c r="P61" s="1451"/>
      <c r="Q61" s="63"/>
      <c r="R61" s="148"/>
      <c r="S61" s="40"/>
      <c r="T61" s="89"/>
      <c r="U61" s="148"/>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c r="HU61" s="14"/>
      <c r="HV61" s="14"/>
      <c r="HW61" s="14"/>
      <c r="HX61" s="14"/>
      <c r="HY61" s="14"/>
      <c r="HZ61" s="14"/>
      <c r="IA61" s="14"/>
      <c r="IB61" s="14"/>
    </row>
    <row r="62" spans="2:236" ht="15" customHeight="1" x14ac:dyDescent="0.2">
      <c r="B62" s="2269"/>
      <c r="C62" s="1545">
        <v>0.03</v>
      </c>
      <c r="D62" s="1545"/>
      <c r="E62" s="23" t="s">
        <v>1791</v>
      </c>
      <c r="F62" s="1545">
        <f>SUMIF($T$39:$AH$39,F61,$T$40:$AH$40)</f>
        <v>0</v>
      </c>
      <c r="G62" s="1545"/>
      <c r="H62" s="201" t="s">
        <v>1792</v>
      </c>
      <c r="I62" s="1545">
        <v>0.03</v>
      </c>
      <c r="J62" s="1545"/>
      <c r="K62" s="23" t="s">
        <v>1791</v>
      </c>
      <c r="L62" s="1545">
        <f>SUMIF($T$39:$AH$39,L61,$T$40:$AH$40)</f>
        <v>0</v>
      </c>
      <c r="M62" s="1545"/>
      <c r="N62" s="201" t="s">
        <v>1793</v>
      </c>
      <c r="O62" s="296" t="str">
        <f>IF(F61="","",IF(C62*F62-I62*L62&lt;=0,"",C62*F62-I62*L62))</f>
        <v/>
      </c>
      <c r="P62" s="1451"/>
      <c r="Q62" s="63"/>
      <c r="R62" s="148"/>
      <c r="S62" s="40"/>
      <c r="T62" s="89"/>
      <c r="U62" s="148"/>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c r="HU62" s="14"/>
      <c r="HV62" s="14"/>
      <c r="HW62" s="14"/>
      <c r="HX62" s="14"/>
      <c r="HY62" s="14"/>
      <c r="HZ62" s="14"/>
      <c r="IA62" s="14"/>
      <c r="IB62" s="14"/>
    </row>
    <row r="63" spans="2:236" ht="30" customHeight="1" x14ac:dyDescent="0.2">
      <c r="B63" s="513" t="s">
        <v>1556</v>
      </c>
      <c r="C63" s="2293" t="str">
        <f>IF(AND(O56&lt;&gt;"",T44=1),"ERROR: Record strength for 'Overall' or specific muscles, not both.","")</f>
        <v/>
      </c>
      <c r="D63" s="2293"/>
      <c r="E63" s="2293"/>
      <c r="F63" s="2293"/>
      <c r="G63" s="2293"/>
      <c r="H63" s="2293"/>
      <c r="I63" s="2293"/>
      <c r="J63" s="2293"/>
      <c r="K63" s="2293"/>
      <c r="L63" s="2293"/>
      <c r="M63" s="2293"/>
      <c r="N63" s="201" t="s">
        <v>1793</v>
      </c>
      <c r="O63" s="296">
        <f>IF(C63&lt;&gt;"","ERROR",IF(AND(O56="",O58="",O60="",O62=""),0,AVERAGE(O56,O58,O60,O62)))</f>
        <v>0</v>
      </c>
      <c r="P63" s="1451"/>
      <c r="Q63" s="63"/>
      <c r="R63" s="148"/>
      <c r="S63" s="40"/>
      <c r="T63" s="89"/>
      <c r="U63" s="148"/>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c r="HU63" s="14"/>
      <c r="HV63" s="14"/>
      <c r="HW63" s="14"/>
      <c r="HX63" s="14"/>
      <c r="HY63" s="14"/>
      <c r="HZ63" s="14"/>
      <c r="IA63" s="14"/>
      <c r="IB63" s="14"/>
    </row>
    <row r="64" spans="2:236" ht="15" customHeight="1" x14ac:dyDescent="0.2">
      <c r="B64" s="514" t="s">
        <v>556</v>
      </c>
      <c r="C64" s="1452"/>
      <c r="D64" s="1452"/>
      <c r="E64" s="286"/>
      <c r="F64" s="2277"/>
      <c r="G64" s="2277"/>
      <c r="H64" s="510"/>
      <c r="I64" s="1452"/>
      <c r="J64" s="1452"/>
      <c r="K64" s="286"/>
      <c r="L64" s="2277"/>
      <c r="M64" s="2277"/>
      <c r="N64" s="510"/>
      <c r="O64" s="437"/>
      <c r="P64" s="1451"/>
      <c r="Q64" s="63"/>
      <c r="R64" s="148"/>
      <c r="S64" s="40"/>
      <c r="T64" s="89"/>
      <c r="U64" s="130"/>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c r="HU64" s="14"/>
      <c r="HV64" s="14"/>
      <c r="HW64" s="14"/>
      <c r="HX64" s="14"/>
      <c r="HY64" s="14"/>
      <c r="HZ64" s="14"/>
      <c r="IA64" s="14"/>
      <c r="IB64" s="14"/>
    </row>
    <row r="65" spans="2:236" ht="15" customHeight="1" x14ac:dyDescent="0.2">
      <c r="B65" s="515" t="s">
        <v>637</v>
      </c>
      <c r="C65" s="1545">
        <v>0.09</v>
      </c>
      <c r="D65" s="1545"/>
      <c r="E65" s="23" t="s">
        <v>1791</v>
      </c>
      <c r="F65" s="1545">
        <f>SUMIF($T$39:$AH$39,F64,$T$40:$AH$40)</f>
        <v>0</v>
      </c>
      <c r="G65" s="1545"/>
      <c r="H65" s="201" t="s">
        <v>1792</v>
      </c>
      <c r="I65" s="1545">
        <v>0.09</v>
      </c>
      <c r="J65" s="1545"/>
      <c r="K65" s="23" t="s">
        <v>1791</v>
      </c>
      <c r="L65" s="1545">
        <f>SUMIF($T$39:$AH$39,L64,$T$40:$AH$40)</f>
        <v>0</v>
      </c>
      <c r="M65" s="1545"/>
      <c r="N65" s="201" t="s">
        <v>1793</v>
      </c>
      <c r="O65" s="297">
        <f>IF(C65*F65-I65*L65&lt;0,0,C65*F65-I65*L65)</f>
        <v>0</v>
      </c>
      <c r="P65" s="1451"/>
      <c r="Q65" s="63"/>
      <c r="R65" s="148"/>
      <c r="S65" s="40"/>
      <c r="T65" s="89"/>
      <c r="U65" s="130"/>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c r="EM65" s="14"/>
      <c r="EN65" s="14"/>
      <c r="EO65" s="14"/>
      <c r="EP65" s="14"/>
      <c r="EQ65" s="14"/>
      <c r="ER65" s="14"/>
      <c r="ES65" s="14"/>
      <c r="ET65" s="14"/>
      <c r="EU65" s="14"/>
      <c r="EV65" s="14"/>
      <c r="EW65" s="14"/>
      <c r="EX65" s="14"/>
      <c r="EY65" s="14"/>
      <c r="EZ65" s="14"/>
      <c r="FA65" s="14"/>
      <c r="FB65" s="14"/>
      <c r="FC65" s="14"/>
      <c r="FD65" s="14"/>
      <c r="FE65" s="14"/>
      <c r="FF65" s="14"/>
      <c r="FG65" s="14"/>
      <c r="FH65" s="14"/>
      <c r="FI65" s="14"/>
      <c r="FJ65" s="14"/>
      <c r="FK65" s="14"/>
      <c r="FL65" s="14"/>
      <c r="FM65" s="14"/>
      <c r="FN65" s="14"/>
      <c r="FO65" s="14"/>
      <c r="FP65" s="14"/>
      <c r="FQ65" s="14"/>
      <c r="FR65" s="14"/>
      <c r="FS65" s="14"/>
      <c r="FT65" s="14"/>
      <c r="FU65" s="14"/>
      <c r="FV65" s="14"/>
      <c r="FW65" s="14"/>
      <c r="FX65" s="14"/>
      <c r="FY65" s="14"/>
      <c r="FZ65" s="14"/>
      <c r="GA65" s="14"/>
      <c r="GB65" s="14"/>
      <c r="GC65" s="14"/>
      <c r="GD65" s="14"/>
      <c r="GE65" s="14"/>
      <c r="GF65" s="14"/>
      <c r="GG65" s="14"/>
      <c r="GH65" s="14"/>
      <c r="GI65" s="14"/>
      <c r="GJ65" s="14"/>
      <c r="GK65" s="14"/>
      <c r="GL65" s="14"/>
      <c r="GM65" s="14"/>
      <c r="GN65" s="14"/>
      <c r="GO65" s="14"/>
      <c r="GP65" s="14"/>
      <c r="GQ65" s="14"/>
      <c r="GR65" s="14"/>
      <c r="GS65" s="14"/>
      <c r="GT65" s="14"/>
      <c r="GU65" s="14"/>
      <c r="GV65" s="14"/>
      <c r="GW65" s="14"/>
      <c r="GX65" s="14"/>
      <c r="GY65" s="14"/>
      <c r="GZ65" s="14"/>
      <c r="HA65" s="14"/>
      <c r="HB65" s="14"/>
      <c r="HC65" s="14"/>
      <c r="HD65" s="14"/>
      <c r="HE65" s="14"/>
      <c r="HF65" s="14"/>
      <c r="HG65" s="14"/>
      <c r="HH65" s="14"/>
      <c r="HI65" s="14"/>
      <c r="HJ65" s="14"/>
      <c r="HK65" s="14"/>
      <c r="HL65" s="14"/>
      <c r="HM65" s="14"/>
      <c r="HN65" s="14"/>
      <c r="HO65" s="14"/>
      <c r="HP65" s="14"/>
      <c r="HQ65" s="14"/>
      <c r="HR65" s="14"/>
      <c r="HS65" s="14"/>
      <c r="HT65" s="14"/>
      <c r="HU65" s="14"/>
      <c r="HV65" s="14"/>
      <c r="HW65" s="14"/>
      <c r="HX65" s="14"/>
      <c r="HY65" s="14"/>
      <c r="HZ65" s="14"/>
      <c r="IA65" s="14"/>
      <c r="IB65" s="14"/>
    </row>
    <row r="66" spans="2:236" ht="15" customHeight="1" x14ac:dyDescent="0.2">
      <c r="B66" s="512" t="s">
        <v>1379</v>
      </c>
      <c r="C66" s="1824"/>
      <c r="D66" s="1452"/>
      <c r="E66" s="286"/>
      <c r="F66" s="2277"/>
      <c r="G66" s="2277"/>
      <c r="H66" s="510"/>
      <c r="I66" s="1452"/>
      <c r="J66" s="1452"/>
      <c r="K66" s="286"/>
      <c r="L66" s="2277"/>
      <c r="M66" s="2277"/>
      <c r="N66" s="510"/>
      <c r="O66" s="437"/>
      <c r="P66" s="1451"/>
      <c r="Q66" s="63"/>
      <c r="R66" s="148"/>
      <c r="S66" s="40"/>
      <c r="T66" s="89"/>
      <c r="U66" s="148"/>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c r="EM66" s="14"/>
      <c r="EN66" s="14"/>
      <c r="EO66" s="14"/>
      <c r="EP66" s="14"/>
      <c r="EQ66" s="14"/>
      <c r="ER66" s="14"/>
      <c r="ES66" s="14"/>
      <c r="ET66" s="14"/>
      <c r="EU66" s="14"/>
      <c r="EV66" s="14"/>
      <c r="EW66" s="14"/>
      <c r="EX66" s="14"/>
      <c r="EY66" s="14"/>
      <c r="EZ66" s="14"/>
      <c r="FA66" s="14"/>
      <c r="FB66" s="14"/>
      <c r="FC66" s="14"/>
      <c r="FD66" s="14"/>
      <c r="FE66" s="14"/>
      <c r="FF66" s="14"/>
      <c r="FG66" s="14"/>
      <c r="FH66" s="14"/>
      <c r="FI66" s="14"/>
      <c r="FJ66" s="14"/>
      <c r="FK66" s="14"/>
      <c r="FL66" s="14"/>
      <c r="FM66" s="14"/>
      <c r="FN66" s="14"/>
      <c r="FO66" s="14"/>
      <c r="FP66" s="14"/>
      <c r="FQ66" s="14"/>
      <c r="FR66" s="14"/>
      <c r="FS66" s="14"/>
      <c r="FT66" s="14"/>
      <c r="FU66" s="14"/>
      <c r="FV66" s="14"/>
      <c r="FW66" s="14"/>
      <c r="FX66" s="14"/>
      <c r="FY66" s="14"/>
      <c r="FZ66" s="14"/>
      <c r="GA66" s="14"/>
      <c r="GB66" s="14"/>
      <c r="GC66" s="14"/>
      <c r="GD66" s="14"/>
      <c r="GE66" s="14"/>
      <c r="GF66" s="14"/>
      <c r="GG66" s="14"/>
      <c r="GH66" s="14"/>
      <c r="GI66" s="14"/>
      <c r="GJ66" s="14"/>
      <c r="GK66" s="14"/>
      <c r="GL66" s="14"/>
      <c r="GM66" s="14"/>
      <c r="GN66" s="14"/>
      <c r="GO66" s="14"/>
      <c r="GP66" s="14"/>
      <c r="GQ66" s="14"/>
      <c r="GR66" s="14"/>
      <c r="GS66" s="14"/>
      <c r="GT66" s="14"/>
      <c r="GU66" s="14"/>
      <c r="GV66" s="14"/>
      <c r="GW66" s="14"/>
      <c r="GX66" s="14"/>
      <c r="GY66" s="14"/>
      <c r="GZ66" s="14"/>
      <c r="HA66" s="14"/>
      <c r="HB66" s="14"/>
      <c r="HC66" s="14"/>
      <c r="HD66" s="14"/>
      <c r="HE66" s="14"/>
      <c r="HF66" s="14"/>
      <c r="HG66" s="14"/>
      <c r="HH66" s="14"/>
      <c r="HI66" s="14"/>
      <c r="HJ66" s="14"/>
      <c r="HK66" s="14"/>
      <c r="HL66" s="14"/>
      <c r="HM66" s="14"/>
      <c r="HN66" s="14"/>
      <c r="HO66" s="14"/>
      <c r="HP66" s="14"/>
      <c r="HQ66" s="14"/>
      <c r="HR66" s="14"/>
      <c r="HS66" s="14"/>
      <c r="HT66" s="14"/>
      <c r="HU66" s="14"/>
      <c r="HV66" s="14"/>
      <c r="HW66" s="14"/>
      <c r="HX66" s="14"/>
      <c r="HY66" s="14"/>
      <c r="HZ66" s="14"/>
      <c r="IA66" s="14"/>
      <c r="IB66" s="14"/>
    </row>
    <row r="67" spans="2:236" ht="15" customHeight="1" x14ac:dyDescent="0.2">
      <c r="B67" s="511" t="s">
        <v>1380</v>
      </c>
      <c r="C67" s="1545">
        <v>0.03</v>
      </c>
      <c r="D67" s="1545"/>
      <c r="E67" s="23" t="s">
        <v>1791</v>
      </c>
      <c r="F67" s="1545">
        <f>SUMIF($T$39:$AH$39,F66,$T$40:$AH$40)</f>
        <v>0</v>
      </c>
      <c r="G67" s="1545"/>
      <c r="H67" s="201" t="s">
        <v>1792</v>
      </c>
      <c r="I67" s="1545">
        <v>0.03</v>
      </c>
      <c r="J67" s="1545"/>
      <c r="K67" s="23" t="s">
        <v>1791</v>
      </c>
      <c r="L67" s="1545">
        <f>SUMIF($T$39:$AH$39,L66,$T$40:$AH$40)</f>
        <v>0</v>
      </c>
      <c r="M67" s="1545"/>
      <c r="N67" s="201" t="s">
        <v>1793</v>
      </c>
      <c r="O67" s="259" t="str">
        <f>IF(F66="","",IF(C67*F67-I67*L67&lt;=0,"",C67*F67-I67*L67))</f>
        <v/>
      </c>
      <c r="P67" s="1451"/>
      <c r="Q67" s="63"/>
      <c r="R67" s="148"/>
      <c r="S67" s="40"/>
      <c r="T67" s="89"/>
      <c r="U67" s="148"/>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c r="HU67" s="14"/>
      <c r="HV67" s="14"/>
      <c r="HW67" s="14"/>
      <c r="HX67" s="14"/>
      <c r="HY67" s="14"/>
      <c r="HZ67" s="14"/>
      <c r="IA67" s="14"/>
      <c r="IB67" s="14"/>
    </row>
    <row r="68" spans="2:236" ht="15" customHeight="1" x14ac:dyDescent="0.2">
      <c r="B68" s="2268" t="s">
        <v>638</v>
      </c>
      <c r="C68" s="1452"/>
      <c r="D68" s="1452"/>
      <c r="E68" s="286"/>
      <c r="F68" s="2277"/>
      <c r="G68" s="2277"/>
      <c r="H68" s="510"/>
      <c r="I68" s="1452"/>
      <c r="J68" s="1452"/>
      <c r="K68" s="286"/>
      <c r="L68" s="2277"/>
      <c r="M68" s="2277"/>
      <c r="N68" s="452"/>
      <c r="O68" s="135"/>
      <c r="P68" s="1451"/>
      <c r="Q68" s="63"/>
      <c r="R68" s="148"/>
      <c r="S68" s="40"/>
      <c r="T68" s="89"/>
      <c r="U68" s="148"/>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c r="HU68" s="14"/>
      <c r="HV68" s="14"/>
      <c r="HW68" s="14"/>
      <c r="HX68" s="14"/>
      <c r="HY68" s="14"/>
      <c r="HZ68" s="14"/>
      <c r="IA68" s="14"/>
      <c r="IB68" s="14"/>
    </row>
    <row r="69" spans="2:236" ht="15" customHeight="1" x14ac:dyDescent="0.2">
      <c r="B69" s="2269"/>
      <c r="C69" s="1545">
        <v>0.03</v>
      </c>
      <c r="D69" s="1545"/>
      <c r="E69" s="23" t="s">
        <v>1791</v>
      </c>
      <c r="F69" s="1545">
        <f>SUMIF($T$39:$AH$39,F68,$T$40:$AH$40)</f>
        <v>0</v>
      </c>
      <c r="G69" s="1545"/>
      <c r="H69" s="201" t="s">
        <v>1792</v>
      </c>
      <c r="I69" s="1545">
        <v>0.03</v>
      </c>
      <c r="J69" s="1545"/>
      <c r="K69" s="23" t="s">
        <v>1791</v>
      </c>
      <c r="L69" s="1545">
        <f>SUMIF($T$39:$AH$39,L68,$T$40:$AH$40)</f>
        <v>0</v>
      </c>
      <c r="M69" s="1545"/>
      <c r="N69" s="201" t="s">
        <v>1793</v>
      </c>
      <c r="O69" s="259" t="str">
        <f>IF(F68="","",IF(C69*F69-I69*L69&lt;=0,"",C69*F69-I69*L69))</f>
        <v/>
      </c>
      <c r="P69" s="1451"/>
      <c r="Q69" s="63"/>
      <c r="R69" s="148"/>
      <c r="S69" s="40"/>
      <c r="T69" s="89"/>
      <c r="U69" s="148"/>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c r="HU69" s="14"/>
      <c r="HV69" s="14"/>
      <c r="HW69" s="14"/>
      <c r="HX69" s="14"/>
      <c r="HY69" s="14"/>
      <c r="HZ69" s="14"/>
      <c r="IA69" s="14"/>
      <c r="IB69" s="14"/>
    </row>
    <row r="70" spans="2:236" ht="15" customHeight="1" x14ac:dyDescent="0.2">
      <c r="B70" s="2268" t="s">
        <v>639</v>
      </c>
      <c r="C70" s="1452"/>
      <c r="D70" s="1452"/>
      <c r="E70" s="286"/>
      <c r="F70" s="2277"/>
      <c r="G70" s="2277"/>
      <c r="H70" s="510"/>
      <c r="I70" s="1452"/>
      <c r="J70" s="1452"/>
      <c r="K70" s="286"/>
      <c r="L70" s="2277"/>
      <c r="M70" s="2277"/>
      <c r="N70" s="452"/>
      <c r="O70" s="135"/>
      <c r="P70" s="1451"/>
      <c r="Q70" s="63"/>
      <c r="R70" s="148"/>
      <c r="S70" s="40"/>
      <c r="T70" s="89"/>
      <c r="U70" s="148"/>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c r="HU70" s="14"/>
      <c r="HV70" s="14"/>
      <c r="HW70" s="14"/>
      <c r="HX70" s="14"/>
      <c r="HY70" s="14"/>
      <c r="HZ70" s="14"/>
      <c r="IA70" s="14"/>
      <c r="IB70" s="14"/>
    </row>
    <row r="71" spans="2:236" ht="15" customHeight="1" x14ac:dyDescent="0.2">
      <c r="B71" s="2269"/>
      <c r="C71" s="1545">
        <v>0.03</v>
      </c>
      <c r="D71" s="1545"/>
      <c r="E71" s="23" t="s">
        <v>1791</v>
      </c>
      <c r="F71" s="1545">
        <f>SUMIF($T$39:$AH$39,F70,$T$40:$AH$40)</f>
        <v>0</v>
      </c>
      <c r="G71" s="1545"/>
      <c r="H71" s="201" t="s">
        <v>1792</v>
      </c>
      <c r="I71" s="1545">
        <v>0.03</v>
      </c>
      <c r="J71" s="1545"/>
      <c r="K71" s="23" t="s">
        <v>1791</v>
      </c>
      <c r="L71" s="1545">
        <f>SUMIF($T$39:$AH$39,L70,$T$40:$AH$40)</f>
        <v>0</v>
      </c>
      <c r="M71" s="1545"/>
      <c r="N71" s="201" t="s">
        <v>1793</v>
      </c>
      <c r="O71" s="296" t="str">
        <f>IF(F70="","",IF(C71*F71-I71*L71&lt;=0,"",C71*F71-I71*L71))</f>
        <v/>
      </c>
      <c r="P71" s="1451"/>
      <c r="Q71" s="63"/>
      <c r="R71" s="148"/>
      <c r="S71" s="40"/>
      <c r="T71" s="89"/>
      <c r="U71" s="148"/>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c r="HU71" s="14"/>
      <c r="HV71" s="14"/>
      <c r="HW71" s="14"/>
      <c r="HX71" s="14"/>
      <c r="HY71" s="14"/>
      <c r="HZ71" s="14"/>
      <c r="IA71" s="14"/>
      <c r="IB71" s="14"/>
    </row>
    <row r="72" spans="2:236" ht="30" customHeight="1" x14ac:dyDescent="0.2">
      <c r="B72" s="513" t="s">
        <v>1388</v>
      </c>
      <c r="C72" s="2297" t="str">
        <f>IF(AND(O67&lt;&gt;"",U44=1),"ERROR: Record strength for 'Overall' or specific muscles, not both.","")</f>
        <v/>
      </c>
      <c r="D72" s="2297"/>
      <c r="E72" s="2297"/>
      <c r="F72" s="2297"/>
      <c r="G72" s="2297"/>
      <c r="H72" s="2297"/>
      <c r="I72" s="2297"/>
      <c r="J72" s="2297"/>
      <c r="K72" s="2297"/>
      <c r="L72" s="2297"/>
      <c r="M72" s="2297"/>
      <c r="N72" s="342" t="s">
        <v>1793</v>
      </c>
      <c r="O72" s="343">
        <f>IF(C72&lt;&gt;"","ERROR",IF(AND(O67="",O69="",O71=""),0,AVERAGE(O67,O69,O71)))</f>
        <v>0</v>
      </c>
      <c r="P72" s="1452"/>
      <c r="Q72" s="63"/>
      <c r="R72" s="148"/>
      <c r="S72" s="40"/>
      <c r="T72" s="89"/>
      <c r="U72" s="148"/>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c r="HU72" s="14"/>
      <c r="HV72" s="14"/>
      <c r="HW72" s="14"/>
      <c r="HX72" s="14"/>
      <c r="HY72" s="14"/>
      <c r="HZ72" s="14"/>
      <c r="IA72" s="14"/>
      <c r="IB72" s="14"/>
    </row>
    <row r="73" spans="2:236" s="3" customFormat="1" ht="11.25" customHeight="1" x14ac:dyDescent="0.2">
      <c r="B73" s="1854"/>
      <c r="C73" s="1854"/>
      <c r="D73" s="1854"/>
      <c r="E73" s="1854"/>
      <c r="F73" s="1854"/>
      <c r="G73" s="1854"/>
      <c r="H73" s="1854"/>
      <c r="I73" s="1854"/>
      <c r="J73" s="1854"/>
      <c r="K73" s="1854"/>
      <c r="L73" s="1854"/>
      <c r="M73" s="1854"/>
      <c r="N73" s="1854"/>
      <c r="O73" s="1854"/>
      <c r="P73" s="1854"/>
      <c r="Q73" s="7"/>
      <c r="R73" s="130"/>
      <c r="S73" s="41"/>
      <c r="T73" s="131"/>
      <c r="U73" s="130"/>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c r="FF73" s="18"/>
      <c r="FG73" s="18"/>
      <c r="FH73" s="18"/>
      <c r="FI73" s="18"/>
      <c r="FJ73" s="18"/>
      <c r="FK73" s="18"/>
      <c r="FL73" s="18"/>
      <c r="FM73" s="18"/>
      <c r="FN73" s="18"/>
      <c r="FO73" s="18"/>
      <c r="FP73" s="18"/>
      <c r="FQ73" s="18"/>
      <c r="FR73" s="18"/>
      <c r="FS73" s="18"/>
      <c r="FT73" s="18"/>
      <c r="FU73" s="18"/>
      <c r="FV73" s="18"/>
      <c r="FW73" s="18"/>
      <c r="FX73" s="18"/>
      <c r="FY73" s="18"/>
      <c r="FZ73" s="18"/>
      <c r="GA73" s="18"/>
      <c r="GB73" s="18"/>
      <c r="GC73" s="18"/>
      <c r="GD73" s="18"/>
      <c r="GE73" s="18"/>
      <c r="GF73" s="18"/>
      <c r="GG73" s="18"/>
      <c r="GH73" s="18"/>
      <c r="GI73" s="18"/>
      <c r="GJ73" s="18"/>
      <c r="GK73" s="18"/>
      <c r="GL73" s="18"/>
      <c r="GM73" s="18"/>
      <c r="GN73" s="18"/>
      <c r="GO73" s="18"/>
      <c r="GP73" s="18"/>
      <c r="GQ73" s="18"/>
      <c r="GR73" s="18"/>
      <c r="GS73" s="18"/>
      <c r="GT73" s="18"/>
      <c r="GU73" s="18"/>
      <c r="GV73" s="18"/>
      <c r="GW73" s="18"/>
      <c r="GX73" s="18"/>
      <c r="GY73" s="18"/>
      <c r="GZ73" s="18"/>
      <c r="HA73" s="18"/>
      <c r="HB73" s="18"/>
      <c r="HC73" s="18"/>
      <c r="HD73" s="18"/>
      <c r="HE73" s="18"/>
      <c r="HF73" s="18"/>
      <c r="HG73" s="18"/>
      <c r="HH73" s="18"/>
      <c r="HI73" s="18"/>
      <c r="HJ73" s="18"/>
      <c r="HK73" s="18"/>
      <c r="HL73" s="18"/>
      <c r="HM73" s="18"/>
      <c r="HN73" s="18"/>
      <c r="HO73" s="18"/>
      <c r="HP73" s="18"/>
      <c r="HQ73" s="18"/>
      <c r="HR73" s="18"/>
      <c r="HS73" s="18"/>
      <c r="HT73" s="18"/>
      <c r="HU73" s="18"/>
      <c r="HV73" s="18"/>
      <c r="HW73" s="18"/>
      <c r="HX73" s="18"/>
      <c r="HY73" s="18"/>
      <c r="HZ73" s="18"/>
      <c r="IA73" s="18"/>
      <c r="IB73" s="18"/>
    </row>
    <row r="74" spans="2:236" s="3" customFormat="1" ht="11.25" customHeight="1" x14ac:dyDescent="0.2">
      <c r="B74" s="1854"/>
      <c r="C74" s="1854"/>
      <c r="D74" s="1854"/>
      <c r="E74" s="1854"/>
      <c r="F74" s="1854"/>
      <c r="G74" s="1854"/>
      <c r="H74" s="1854"/>
      <c r="I74" s="1854"/>
      <c r="J74" s="1854"/>
      <c r="K74" s="1854"/>
      <c r="L74" s="1854"/>
      <c r="M74" s="1854"/>
      <c r="N74" s="1854"/>
      <c r="O74" s="1854"/>
      <c r="P74" s="1854"/>
      <c r="Q74" s="7"/>
      <c r="R74" s="130"/>
      <c r="S74" s="41"/>
      <c r="T74" s="131"/>
      <c r="U74" s="130"/>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c r="FF74" s="18"/>
      <c r="FG74" s="18"/>
      <c r="FH74" s="18"/>
      <c r="FI74" s="18"/>
      <c r="FJ74" s="18"/>
      <c r="FK74" s="18"/>
      <c r="FL74" s="18"/>
      <c r="FM74" s="18"/>
      <c r="FN74" s="18"/>
      <c r="FO74" s="18"/>
      <c r="FP74" s="18"/>
      <c r="FQ74" s="18"/>
      <c r="FR74" s="18"/>
      <c r="FS74" s="18"/>
      <c r="FT74" s="18"/>
      <c r="FU74" s="18"/>
      <c r="FV74" s="18"/>
      <c r="FW74" s="18"/>
      <c r="FX74" s="18"/>
      <c r="FY74" s="18"/>
      <c r="FZ74" s="18"/>
      <c r="GA74" s="18"/>
      <c r="GB74" s="18"/>
      <c r="GC74" s="18"/>
      <c r="GD74" s="18"/>
      <c r="GE74" s="18"/>
      <c r="GF74" s="18"/>
      <c r="GG74" s="18"/>
      <c r="GH74" s="18"/>
      <c r="GI74" s="18"/>
      <c r="GJ74" s="18"/>
      <c r="GK74" s="18"/>
      <c r="GL74" s="18"/>
      <c r="GM74" s="18"/>
      <c r="GN74" s="18"/>
      <c r="GO74" s="18"/>
      <c r="GP74" s="18"/>
      <c r="GQ74" s="18"/>
      <c r="GR74" s="18"/>
      <c r="GS74" s="18"/>
      <c r="GT74" s="18"/>
      <c r="GU74" s="18"/>
      <c r="GV74" s="18"/>
      <c r="GW74" s="18"/>
      <c r="GX74" s="18"/>
      <c r="GY74" s="18"/>
      <c r="GZ74" s="18"/>
      <c r="HA74" s="18"/>
      <c r="HB74" s="18"/>
      <c r="HC74" s="18"/>
      <c r="HD74" s="18"/>
      <c r="HE74" s="18"/>
      <c r="HF74" s="18"/>
      <c r="HG74" s="18"/>
      <c r="HH74" s="18"/>
      <c r="HI74" s="18"/>
      <c r="HJ74" s="18"/>
      <c r="HK74" s="18"/>
      <c r="HL74" s="18"/>
      <c r="HM74" s="18"/>
      <c r="HN74" s="18"/>
      <c r="HO74" s="18"/>
      <c r="HP74" s="18"/>
      <c r="HQ74" s="18"/>
      <c r="HR74" s="18"/>
      <c r="HS74" s="18"/>
      <c r="HT74" s="18"/>
      <c r="HU74" s="18"/>
      <c r="HV74" s="18"/>
      <c r="HW74" s="18"/>
      <c r="HX74" s="18"/>
      <c r="HY74" s="18"/>
      <c r="HZ74" s="18"/>
      <c r="IA74" s="18"/>
      <c r="IB74" s="18"/>
    </row>
    <row r="75" spans="2:236" ht="15" customHeight="1" x14ac:dyDescent="0.2">
      <c r="B75" s="508" t="s">
        <v>1386</v>
      </c>
      <c r="C75" s="1555"/>
      <c r="D75" s="1555"/>
      <c r="E75" s="185"/>
      <c r="F75" s="1658"/>
      <c r="G75" s="1658"/>
      <c r="H75" s="452"/>
      <c r="I75" s="1555"/>
      <c r="J75" s="1555"/>
      <c r="K75" s="185"/>
      <c r="L75" s="1658"/>
      <c r="M75" s="1658"/>
      <c r="N75" s="452"/>
      <c r="O75" s="376"/>
      <c r="P75" s="1450"/>
      <c r="Q75" s="63"/>
      <c r="R75" s="148"/>
      <c r="S75" s="40"/>
      <c r="T75" s="89"/>
      <c r="U75" s="148"/>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row>
    <row r="76" spans="2:236" ht="15" customHeight="1" x14ac:dyDescent="0.2">
      <c r="B76" s="511" t="s">
        <v>1001</v>
      </c>
      <c r="C76" s="1545">
        <v>0.09</v>
      </c>
      <c r="D76" s="1545"/>
      <c r="E76" s="23" t="s">
        <v>1791</v>
      </c>
      <c r="F76" s="1545">
        <f>SUMIF($T$39:$AH$39,F75,$T$40:$AH$40)</f>
        <v>0</v>
      </c>
      <c r="G76" s="1545"/>
      <c r="H76" s="201" t="s">
        <v>1792</v>
      </c>
      <c r="I76" s="1545">
        <v>0.09</v>
      </c>
      <c r="J76" s="1545"/>
      <c r="K76" s="23" t="s">
        <v>1791</v>
      </c>
      <c r="L76" s="1545">
        <f>SUMIF($T$39:$AH$39,L75,$T$40:$AH$40)</f>
        <v>0</v>
      </c>
      <c r="M76" s="1545"/>
      <c r="N76" s="201" t="s">
        <v>1793</v>
      </c>
      <c r="O76" s="296" t="str">
        <f>IF(F75="","",IF(C76*F76-I76*L76&lt;=0,"",C76*F76-I76*L76))</f>
        <v/>
      </c>
      <c r="P76" s="1451"/>
      <c r="Q76" s="63"/>
      <c r="R76" s="148"/>
      <c r="S76" s="40"/>
      <c r="T76" s="89"/>
      <c r="U76" s="148"/>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row>
    <row r="77" spans="2:236" ht="15" customHeight="1" x14ac:dyDescent="0.2">
      <c r="B77" s="2268" t="s">
        <v>224</v>
      </c>
      <c r="C77" s="1452"/>
      <c r="D77" s="1452"/>
      <c r="E77" s="286"/>
      <c r="F77" s="2277"/>
      <c r="G77" s="2277"/>
      <c r="H77" s="510"/>
      <c r="I77" s="1452"/>
      <c r="J77" s="1452"/>
      <c r="K77" s="286"/>
      <c r="L77" s="2277"/>
      <c r="M77" s="2277"/>
      <c r="N77" s="510"/>
      <c r="O77" s="135"/>
      <c r="P77" s="1451"/>
      <c r="Q77" s="63"/>
      <c r="R77" s="148"/>
      <c r="S77" s="40"/>
      <c r="T77" s="89"/>
      <c r="U77" s="148"/>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row>
    <row r="78" spans="2:236" ht="15" customHeight="1" x14ac:dyDescent="0.2">
      <c r="B78" s="2269"/>
      <c r="C78" s="1545">
        <v>0.09</v>
      </c>
      <c r="D78" s="1545"/>
      <c r="E78" s="23" t="s">
        <v>1791</v>
      </c>
      <c r="F78" s="1545">
        <f>SUMIF($T$39:$AH$39,F77,$T$40:$AH$40)</f>
        <v>0</v>
      </c>
      <c r="G78" s="1545"/>
      <c r="H78" s="201" t="s">
        <v>1792</v>
      </c>
      <c r="I78" s="1545">
        <v>0.09</v>
      </c>
      <c r="J78" s="1545"/>
      <c r="K78" s="23" t="s">
        <v>1791</v>
      </c>
      <c r="L78" s="1545">
        <f>SUMIF($T$39:$AH$39,L77,$T$40:$AH$40)</f>
        <v>0</v>
      </c>
      <c r="M78" s="1545"/>
      <c r="N78" s="201" t="s">
        <v>1793</v>
      </c>
      <c r="O78" s="296" t="str">
        <f>IF(F77="","",IF(C78*F78-I78*L78&lt;=0,"",C78*F78-I78*L78))</f>
        <v/>
      </c>
      <c r="P78" s="1451"/>
      <c r="Q78" s="63"/>
      <c r="R78" s="148"/>
      <c r="S78" s="40"/>
      <c r="T78" s="89"/>
      <c r="U78" s="148"/>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row>
    <row r="79" spans="2:236" ht="15" customHeight="1" x14ac:dyDescent="0.2">
      <c r="B79" s="2268" t="s">
        <v>225</v>
      </c>
      <c r="C79" s="1452"/>
      <c r="D79" s="1452"/>
      <c r="E79" s="286"/>
      <c r="F79" s="2277"/>
      <c r="G79" s="2277"/>
      <c r="H79" s="510"/>
      <c r="I79" s="1452"/>
      <c r="J79" s="1452"/>
      <c r="K79" s="286"/>
      <c r="L79" s="2277"/>
      <c r="M79" s="2277"/>
      <c r="N79" s="510"/>
      <c r="O79" s="135"/>
      <c r="P79" s="1451"/>
      <c r="Q79" s="63"/>
      <c r="R79" s="148"/>
      <c r="S79" s="40"/>
      <c r="T79" s="89"/>
      <c r="U79" s="148"/>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row>
    <row r="80" spans="2:236" ht="15" customHeight="1" x14ac:dyDescent="0.2">
      <c r="B80" s="2269"/>
      <c r="C80" s="1545">
        <v>0.09</v>
      </c>
      <c r="D80" s="1545"/>
      <c r="E80" s="23" t="s">
        <v>1791</v>
      </c>
      <c r="F80" s="1545">
        <f>SUMIF($T$39:$AH$39,F79,$T$40:$AH$40)</f>
        <v>0</v>
      </c>
      <c r="G80" s="1545"/>
      <c r="H80" s="201" t="s">
        <v>1792</v>
      </c>
      <c r="I80" s="1545">
        <v>0.09</v>
      </c>
      <c r="J80" s="1545"/>
      <c r="K80" s="23" t="s">
        <v>1791</v>
      </c>
      <c r="L80" s="1545">
        <f>SUMIF($T$39:$AH$39,L79,$T$40:$AH$40)</f>
        <v>0</v>
      </c>
      <c r="M80" s="1545"/>
      <c r="N80" s="201" t="s">
        <v>1793</v>
      </c>
      <c r="O80" s="296" t="str">
        <f>IF(F79="","",IF(C80*F80-I80*L80&lt;=0,"",C80*F80-I80*L80))</f>
        <v/>
      </c>
      <c r="P80" s="1451"/>
      <c r="Q80" s="63"/>
      <c r="R80" s="148"/>
      <c r="S80" s="40"/>
      <c r="T80" s="89"/>
      <c r="U80" s="148"/>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row>
    <row r="81" spans="1:236" ht="36" customHeight="1" x14ac:dyDescent="0.2">
      <c r="B81" s="513" t="s">
        <v>1732</v>
      </c>
      <c r="C81" s="2293" t="str">
        <f>IF(AND(O76&lt;&gt;"",V44=1),"ERROR: Record strength for 'Overall' or specific muscles, not both.","")</f>
        <v/>
      </c>
      <c r="D81" s="2293"/>
      <c r="E81" s="2293"/>
      <c r="F81" s="2293"/>
      <c r="G81" s="2293"/>
      <c r="H81" s="2293"/>
      <c r="I81" s="2293"/>
      <c r="J81" s="2293"/>
      <c r="K81" s="2293"/>
      <c r="L81" s="2293"/>
      <c r="M81" s="2293"/>
      <c r="N81" s="201" t="s">
        <v>1793</v>
      </c>
      <c r="O81" s="296">
        <f>IF(C81&lt;&gt;"","ERROR",IF(AND(O76="",O78="",O80=""),0,AVERAGE(O76,O78,O80)))</f>
        <v>0</v>
      </c>
      <c r="P81" s="1451"/>
      <c r="Q81" s="63"/>
      <c r="R81" s="148"/>
      <c r="S81" s="40"/>
      <c r="T81" s="89"/>
      <c r="U81" s="148"/>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row>
    <row r="82" spans="1:236" ht="15" customHeight="1" x14ac:dyDescent="0.2">
      <c r="B82" s="512" t="s">
        <v>1387</v>
      </c>
      <c r="C82" s="1452"/>
      <c r="D82" s="1452"/>
      <c r="E82" s="286"/>
      <c r="F82" s="2277"/>
      <c r="G82" s="2277"/>
      <c r="H82" s="510"/>
      <c r="I82" s="1452"/>
      <c r="J82" s="1452"/>
      <c r="K82" s="286"/>
      <c r="L82" s="2277"/>
      <c r="M82" s="2277"/>
      <c r="N82" s="510"/>
      <c r="O82" s="437"/>
      <c r="P82" s="1451"/>
      <c r="Q82" s="63"/>
      <c r="R82" s="148"/>
      <c r="S82" s="40"/>
      <c r="T82" s="89"/>
      <c r="U82" s="130"/>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row>
    <row r="83" spans="1:236" ht="15" customHeight="1" x14ac:dyDescent="0.2">
      <c r="B83" s="511" t="s">
        <v>226</v>
      </c>
      <c r="C83" s="1545">
        <v>0.06</v>
      </c>
      <c r="D83" s="1545"/>
      <c r="E83" s="23" t="s">
        <v>1791</v>
      </c>
      <c r="F83" s="1545">
        <f>SUMIF($T$39:$AH$39,F82,$T$40:$AH$40)</f>
        <v>0</v>
      </c>
      <c r="G83" s="1545"/>
      <c r="H83" s="201" t="s">
        <v>1792</v>
      </c>
      <c r="I83" s="1545">
        <v>0.06</v>
      </c>
      <c r="J83" s="1545"/>
      <c r="K83" s="23" t="s">
        <v>1791</v>
      </c>
      <c r="L83" s="1545">
        <f>SUMIF($T$39:$AH$39,L82,$T$40:$AH$40)</f>
        <v>0</v>
      </c>
      <c r="M83" s="1545"/>
      <c r="N83" s="201" t="s">
        <v>1793</v>
      </c>
      <c r="O83" s="297">
        <f>IF(C83*F83-I83*L83&lt;0,0,C83*F83-I83*L83)</f>
        <v>0</v>
      </c>
      <c r="P83" s="1452"/>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row>
    <row r="84" spans="1:236" ht="18" customHeight="1" x14ac:dyDescent="0.2">
      <c r="B84" s="2288" t="s">
        <v>227</v>
      </c>
      <c r="C84" s="2289"/>
      <c r="D84" s="2289"/>
      <c r="E84" s="2289"/>
      <c r="F84" s="2289"/>
      <c r="G84" s="2289"/>
      <c r="H84" s="2289"/>
      <c r="I84" s="2289"/>
      <c r="J84" s="2289"/>
      <c r="K84" s="2289"/>
      <c r="L84" s="2289"/>
      <c r="M84" s="2289"/>
      <c r="N84" s="2289"/>
      <c r="O84" s="2289"/>
      <c r="P84" s="338">
        <f>V53</f>
        <v>0</v>
      </c>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row>
    <row r="85" spans="1:236" ht="13.5" customHeight="1" x14ac:dyDescent="0.2">
      <c r="B85" s="1854"/>
      <c r="C85" s="1854"/>
      <c r="D85" s="1854"/>
      <c r="E85" s="1854"/>
      <c r="F85" s="1854"/>
      <c r="G85" s="1854"/>
      <c r="H85" s="1854"/>
      <c r="I85" s="1854"/>
      <c r="J85" s="1854"/>
      <c r="K85" s="1854"/>
      <c r="L85" s="1854"/>
      <c r="M85" s="1854"/>
      <c r="N85" s="1854"/>
      <c r="O85" s="1854"/>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row>
    <row r="86" spans="1:236" ht="20.25" customHeight="1" x14ac:dyDescent="0.2">
      <c r="B86" s="1860" t="s">
        <v>596</v>
      </c>
      <c r="C86" s="1959"/>
      <c r="D86" s="1959"/>
      <c r="E86" s="1959"/>
      <c r="F86" s="1959"/>
      <c r="G86" s="1959"/>
      <c r="H86" s="1959"/>
      <c r="I86" s="1959"/>
      <c r="J86" s="1959"/>
      <c r="K86" s="1959"/>
      <c r="L86" s="1959"/>
      <c r="M86" s="1959"/>
      <c r="N86" s="1959"/>
      <c r="O86" s="1959"/>
      <c r="P86" s="185"/>
      <c r="Q86" s="63"/>
      <c r="R86" s="1379" t="s">
        <v>2280</v>
      </c>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row>
    <row r="87" spans="1:236" ht="43.5" customHeight="1" x14ac:dyDescent="0.2">
      <c r="B87" s="1379" t="s">
        <v>607</v>
      </c>
      <c r="C87" s="1379"/>
      <c r="D87" s="1379"/>
      <c r="E87" s="1379"/>
      <c r="F87" s="1379"/>
      <c r="G87" s="1379"/>
      <c r="H87" s="1379"/>
      <c r="I87" s="1379"/>
      <c r="J87" s="1379"/>
      <c r="K87" s="1379"/>
      <c r="L87" s="1379"/>
      <c r="M87" s="1379"/>
      <c r="N87" s="1379"/>
      <c r="O87" s="1379"/>
      <c r="P87" s="185"/>
      <c r="Q87" s="63"/>
      <c r="R87" s="1379"/>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row>
    <row r="88" spans="1:236" ht="20.25" customHeight="1" x14ac:dyDescent="0.2">
      <c r="A88" s="189"/>
      <c r="B88" s="1410" t="s">
        <v>948</v>
      </c>
      <c r="C88" s="1410"/>
      <c r="D88" s="1410"/>
      <c r="E88" s="1410"/>
      <c r="F88" s="1410"/>
      <c r="G88" s="1410"/>
      <c r="H88" s="1410"/>
      <c r="I88" s="1410"/>
      <c r="J88" s="1410"/>
      <c r="K88" s="2276"/>
      <c r="L88" s="2276"/>
      <c r="M88" s="2276"/>
      <c r="N88" s="2276"/>
      <c r="O88" s="2276"/>
      <c r="P88" s="26">
        <f>IF(R88=1,0.05,0)</f>
        <v>0</v>
      </c>
      <c r="Q88" s="63"/>
      <c r="R88" s="1005">
        <v>2</v>
      </c>
      <c r="S88" s="63">
        <v>1E-4</v>
      </c>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row>
    <row r="89" spans="1:236" ht="13.5" customHeight="1" x14ac:dyDescent="0.2">
      <c r="B89" s="1854"/>
      <c r="C89" s="1854"/>
      <c r="D89" s="1854"/>
      <c r="E89" s="1854"/>
      <c r="F89" s="1854"/>
      <c r="G89" s="1854"/>
      <c r="H89" s="1854"/>
      <c r="I89" s="1854"/>
      <c r="J89" s="1854"/>
      <c r="K89" s="1854"/>
      <c r="L89" s="1854"/>
      <c r="M89" s="1854"/>
      <c r="N89" s="1854"/>
      <c r="O89" s="1854"/>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row>
    <row r="90" spans="1:236" ht="30" customHeight="1" x14ac:dyDescent="0.2">
      <c r="B90" s="1632" t="s">
        <v>507</v>
      </c>
      <c r="C90" s="1633"/>
      <c r="D90" s="1633"/>
      <c r="E90" s="1633"/>
      <c r="F90" s="1634"/>
      <c r="G90" s="1626" t="s">
        <v>1525</v>
      </c>
      <c r="H90" s="1764"/>
      <c r="I90" s="1764"/>
      <c r="J90" s="1764"/>
      <c r="K90" s="2270" t="str">
        <f>IF(AND(Y91=0,Y93=1),Z94,"")</f>
        <v/>
      </c>
      <c r="L90" s="2271"/>
      <c r="M90" s="2271"/>
      <c r="N90" s="2271"/>
      <c r="O90" s="2272"/>
      <c r="P90" s="2294">
        <f>W97</f>
        <v>0</v>
      </c>
      <c r="Q90" s="63"/>
      <c r="S90" s="999" t="s">
        <v>511</v>
      </c>
      <c r="T90" s="1002" t="s">
        <v>1865</v>
      </c>
      <c r="U90" s="1002" t="s">
        <v>1305</v>
      </c>
      <c r="V90" s="1002" t="s">
        <v>1306</v>
      </c>
      <c r="W90" s="1002" t="s">
        <v>1307</v>
      </c>
      <c r="X90" s="63"/>
      <c r="Y90" s="1174">
        <f>IF(OR(Y91=0,Y92=0),0,1)</f>
        <v>1</v>
      </c>
      <c r="Z90" s="3" t="s">
        <v>1328</v>
      </c>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row>
    <row r="91" spans="1:236" s="8" customFormat="1" ht="21" customHeight="1" x14ac:dyDescent="0.2">
      <c r="B91" s="1410" t="s">
        <v>1959</v>
      </c>
      <c r="C91" s="1410"/>
      <c r="D91" s="1410"/>
      <c r="E91" s="1373">
        <f>P19</f>
        <v>0</v>
      </c>
      <c r="F91" s="1373"/>
      <c r="G91" s="1483"/>
      <c r="H91" s="1485"/>
      <c r="I91" s="2286">
        <f>IF(AND(S91&lt;0.01,S91&gt;0),0.01,ROUND(S91,2))</f>
        <v>0</v>
      </c>
      <c r="J91" s="2287"/>
      <c r="K91" s="2273"/>
      <c r="L91" s="2274"/>
      <c r="M91" s="2274"/>
      <c r="N91" s="2274"/>
      <c r="O91" s="2275"/>
      <c r="P91" s="2295"/>
      <c r="Q91" s="120"/>
      <c r="S91" s="257">
        <f>IF(Y91=0,0,IF(G91&gt;0,E91*G91,0))</f>
        <v>0</v>
      </c>
      <c r="T91" s="258">
        <f>IF(I91&gt;0,I91,E91)</f>
        <v>0</v>
      </c>
      <c r="U91" s="1001">
        <f>LARGE($T$91:$T$98,1)</f>
        <v>0</v>
      </c>
      <c r="V91" s="16">
        <f>U91+U92*(1-U91)</f>
        <v>0</v>
      </c>
      <c r="W91" s="61">
        <f t="shared" ref="W91:W97" si="3">ROUND(V91,2)</f>
        <v>0</v>
      </c>
      <c r="X91" s="120"/>
      <c r="Y91" s="1173">
        <f>IF(X9&gt;0,0,1)</f>
        <v>1</v>
      </c>
      <c r="Z91" s="3" t="s">
        <v>1327</v>
      </c>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60"/>
      <c r="CN91" s="60"/>
      <c r="CO91" s="60"/>
      <c r="CP91" s="60"/>
      <c r="CQ91" s="60"/>
      <c r="CR91" s="60"/>
      <c r="CS91" s="60"/>
      <c r="CT91" s="60"/>
      <c r="CU91" s="60"/>
      <c r="CV91" s="60"/>
      <c r="CW91" s="60"/>
      <c r="CX91" s="60"/>
      <c r="CY91" s="60"/>
      <c r="CZ91" s="60"/>
      <c r="DA91" s="60"/>
      <c r="DB91" s="60"/>
      <c r="DC91" s="60"/>
      <c r="DD91" s="60"/>
      <c r="DE91" s="60"/>
      <c r="DF91" s="60"/>
      <c r="DG91" s="60"/>
      <c r="DH91" s="60"/>
      <c r="DI91" s="60"/>
      <c r="DJ91" s="60"/>
      <c r="DK91" s="60"/>
      <c r="DL91" s="60"/>
      <c r="DM91" s="60"/>
      <c r="DN91" s="60"/>
      <c r="DO91" s="60"/>
      <c r="DP91" s="60"/>
      <c r="DQ91" s="60"/>
      <c r="DR91" s="60"/>
      <c r="DS91" s="60"/>
      <c r="DT91" s="60"/>
      <c r="DU91" s="60"/>
      <c r="DV91" s="60"/>
      <c r="DW91" s="60"/>
      <c r="DX91" s="60"/>
      <c r="DY91" s="60"/>
      <c r="DZ91" s="60"/>
      <c r="EA91" s="60"/>
      <c r="EB91" s="60"/>
      <c r="EC91" s="60"/>
      <c r="ED91" s="60"/>
      <c r="EE91" s="60"/>
      <c r="EF91" s="60"/>
      <c r="EG91" s="60"/>
      <c r="EH91" s="60"/>
      <c r="EI91" s="60"/>
      <c r="EJ91" s="60"/>
      <c r="EK91" s="60"/>
      <c r="EL91" s="60"/>
      <c r="EM91" s="60"/>
      <c r="EN91" s="60"/>
      <c r="EO91" s="60"/>
      <c r="EP91" s="60"/>
      <c r="EQ91" s="60"/>
      <c r="ER91" s="60"/>
      <c r="ES91" s="60"/>
      <c r="ET91" s="60"/>
      <c r="EU91" s="60"/>
      <c r="EV91" s="60"/>
      <c r="EW91" s="60"/>
      <c r="EX91" s="60"/>
      <c r="EY91" s="60"/>
      <c r="EZ91" s="60"/>
      <c r="FA91" s="60"/>
      <c r="FB91" s="60"/>
      <c r="FC91" s="60"/>
      <c r="FD91" s="60"/>
      <c r="FE91" s="60"/>
      <c r="FF91" s="60"/>
      <c r="FG91" s="60"/>
      <c r="FH91" s="60"/>
      <c r="FI91" s="60"/>
      <c r="FJ91" s="60"/>
      <c r="FK91" s="60"/>
      <c r="FL91" s="60"/>
      <c r="FM91" s="60"/>
      <c r="FN91" s="60"/>
      <c r="FO91" s="60"/>
      <c r="FP91" s="60"/>
      <c r="FQ91" s="60"/>
      <c r="FR91" s="60"/>
      <c r="FS91" s="60"/>
      <c r="FT91" s="60"/>
      <c r="FU91" s="60"/>
      <c r="FV91" s="60"/>
      <c r="FW91" s="60"/>
      <c r="FX91" s="60"/>
      <c r="FY91" s="60"/>
      <c r="FZ91" s="60"/>
      <c r="GA91" s="60"/>
      <c r="GB91" s="60"/>
      <c r="GC91" s="60"/>
      <c r="GD91" s="60"/>
      <c r="GE91" s="60"/>
      <c r="GF91" s="60"/>
      <c r="GG91" s="60"/>
      <c r="GH91" s="60"/>
      <c r="GI91" s="60"/>
      <c r="GJ91" s="60"/>
      <c r="GK91" s="60"/>
      <c r="GL91" s="60"/>
      <c r="GM91" s="60"/>
      <c r="GN91" s="60"/>
      <c r="GO91" s="60"/>
      <c r="GP91" s="60"/>
      <c r="GQ91" s="60"/>
      <c r="GR91" s="60"/>
      <c r="GS91" s="60"/>
      <c r="GT91" s="60"/>
      <c r="GU91" s="60"/>
      <c r="GV91" s="60"/>
      <c r="GW91" s="60"/>
      <c r="GX91" s="60"/>
      <c r="GY91" s="60"/>
      <c r="GZ91" s="60"/>
      <c r="HA91" s="60"/>
      <c r="HB91" s="60"/>
      <c r="HC91" s="60"/>
      <c r="HD91" s="60"/>
      <c r="HE91" s="60"/>
      <c r="HF91" s="60"/>
      <c r="HG91" s="60"/>
      <c r="HH91" s="60"/>
      <c r="HI91" s="60"/>
      <c r="HJ91" s="60"/>
      <c r="HK91" s="60"/>
      <c r="HL91" s="60"/>
      <c r="HM91" s="60"/>
      <c r="HN91" s="60"/>
      <c r="HO91" s="60"/>
      <c r="HP91" s="60"/>
      <c r="HQ91" s="60"/>
      <c r="HR91" s="60"/>
      <c r="HS91" s="60"/>
      <c r="HT91" s="60"/>
      <c r="HU91" s="60"/>
      <c r="HV91" s="60"/>
      <c r="HW91" s="60"/>
      <c r="HX91" s="60"/>
      <c r="HY91" s="60"/>
      <c r="HZ91" s="60"/>
      <c r="IA91" s="60"/>
      <c r="IB91" s="60"/>
    </row>
    <row r="92" spans="1:236" s="8" customFormat="1" ht="21" customHeight="1" x14ac:dyDescent="0.2">
      <c r="B92" s="1410" t="s">
        <v>228</v>
      </c>
      <c r="C92" s="1410"/>
      <c r="D92" s="1410"/>
      <c r="E92" s="1373">
        <f>P22</f>
        <v>0</v>
      </c>
      <c r="F92" s="1373"/>
      <c r="G92" s="2030" t="s">
        <v>1942</v>
      </c>
      <c r="H92" s="2264"/>
      <c r="I92" s="2030"/>
      <c r="J92" s="2264"/>
      <c r="K92" s="2273"/>
      <c r="L92" s="2274"/>
      <c r="M92" s="2274"/>
      <c r="N92" s="2274"/>
      <c r="O92" s="2275"/>
      <c r="P92" s="2295"/>
      <c r="Q92" s="120"/>
      <c r="S92" s="258"/>
      <c r="T92" s="258">
        <f>E92</f>
        <v>0</v>
      </c>
      <c r="U92" s="1001">
        <f>LARGE($T$91:$T$98,2)</f>
        <v>0</v>
      </c>
      <c r="V92" s="16">
        <f t="shared" ref="V92:V97" si="4">W91+U93*(1-W91)</f>
        <v>0</v>
      </c>
      <c r="W92" s="61">
        <f t="shared" si="3"/>
        <v>0</v>
      </c>
      <c r="X92" s="120"/>
      <c r="Y92" s="1173">
        <f>IF(SUM(E92:F96)&gt;0,0,1)</f>
        <v>1</v>
      </c>
      <c r="Z92" s="3" t="s">
        <v>2269</v>
      </c>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c r="CI92" s="120"/>
      <c r="CJ92" s="120"/>
      <c r="CK92" s="120"/>
      <c r="CL92" s="120"/>
      <c r="CM92" s="60"/>
      <c r="CN92" s="60"/>
      <c r="CO92" s="60"/>
      <c r="CP92" s="60"/>
      <c r="CQ92" s="60"/>
      <c r="CR92" s="60"/>
      <c r="CS92" s="60"/>
      <c r="CT92" s="60"/>
      <c r="CU92" s="60"/>
      <c r="CV92" s="60"/>
      <c r="CW92" s="60"/>
      <c r="CX92" s="60"/>
      <c r="CY92" s="60"/>
      <c r="CZ92" s="60"/>
      <c r="DA92" s="60"/>
      <c r="DB92" s="60"/>
      <c r="DC92" s="60"/>
      <c r="DD92" s="60"/>
      <c r="DE92" s="60"/>
      <c r="DF92" s="60"/>
      <c r="DG92" s="60"/>
      <c r="DH92" s="60"/>
      <c r="DI92" s="60"/>
      <c r="DJ92" s="60"/>
      <c r="DK92" s="60"/>
      <c r="DL92" s="60"/>
      <c r="DM92" s="60"/>
      <c r="DN92" s="60"/>
      <c r="DO92" s="60"/>
      <c r="DP92" s="60"/>
      <c r="DQ92" s="60"/>
      <c r="DR92" s="60"/>
      <c r="DS92" s="60"/>
      <c r="DT92" s="60"/>
      <c r="DU92" s="60"/>
      <c r="DV92" s="60"/>
      <c r="DW92" s="60"/>
      <c r="DX92" s="60"/>
      <c r="DY92" s="60"/>
      <c r="DZ92" s="60"/>
      <c r="EA92" s="60"/>
      <c r="EB92" s="60"/>
      <c r="EC92" s="60"/>
      <c r="ED92" s="60"/>
      <c r="EE92" s="60"/>
      <c r="EF92" s="60"/>
      <c r="EG92" s="60"/>
      <c r="EH92" s="60"/>
      <c r="EI92" s="60"/>
      <c r="EJ92" s="60"/>
      <c r="EK92" s="60"/>
      <c r="EL92" s="60"/>
      <c r="EM92" s="60"/>
      <c r="EN92" s="60"/>
      <c r="EO92" s="60"/>
      <c r="EP92" s="60"/>
      <c r="EQ92" s="60"/>
      <c r="ER92" s="60"/>
      <c r="ES92" s="60"/>
      <c r="ET92" s="60"/>
      <c r="EU92" s="60"/>
      <c r="EV92" s="60"/>
      <c r="EW92" s="60"/>
      <c r="EX92" s="60"/>
      <c r="EY92" s="60"/>
      <c r="EZ92" s="60"/>
      <c r="FA92" s="60"/>
      <c r="FB92" s="60"/>
      <c r="FC92" s="60"/>
      <c r="FD92" s="60"/>
      <c r="FE92" s="60"/>
      <c r="FF92" s="60"/>
      <c r="FG92" s="60"/>
      <c r="FH92" s="60"/>
      <c r="FI92" s="60"/>
      <c r="FJ92" s="60"/>
      <c r="FK92" s="60"/>
      <c r="FL92" s="60"/>
      <c r="FM92" s="60"/>
      <c r="FN92" s="60"/>
      <c r="FO92" s="60"/>
      <c r="FP92" s="60"/>
      <c r="FQ92" s="60"/>
      <c r="FR92" s="60"/>
      <c r="FS92" s="60"/>
      <c r="FT92" s="60"/>
      <c r="FU92" s="60"/>
      <c r="FV92" s="60"/>
      <c r="FW92" s="60"/>
      <c r="FX92" s="60"/>
      <c r="FY92" s="60"/>
      <c r="FZ92" s="60"/>
      <c r="GA92" s="60"/>
      <c r="GB92" s="60"/>
      <c r="GC92" s="60"/>
      <c r="GD92" s="60"/>
      <c r="GE92" s="60"/>
      <c r="GF92" s="60"/>
      <c r="GG92" s="60"/>
      <c r="GH92" s="60"/>
      <c r="GI92" s="60"/>
      <c r="GJ92" s="60"/>
      <c r="GK92" s="60"/>
      <c r="GL92" s="60"/>
      <c r="GM92" s="60"/>
      <c r="GN92" s="60"/>
      <c r="GO92" s="60"/>
      <c r="GP92" s="60"/>
      <c r="GQ92" s="60"/>
      <c r="GR92" s="60"/>
      <c r="GS92" s="60"/>
      <c r="GT92" s="60"/>
      <c r="GU92" s="60"/>
      <c r="GV92" s="60"/>
      <c r="GW92" s="60"/>
      <c r="GX92" s="60"/>
      <c r="GY92" s="60"/>
      <c r="GZ92" s="60"/>
      <c r="HA92" s="60"/>
      <c r="HB92" s="60"/>
      <c r="HC92" s="60"/>
      <c r="HD92" s="60"/>
      <c r="HE92" s="60"/>
      <c r="HF92" s="60"/>
      <c r="HG92" s="60"/>
      <c r="HH92" s="60"/>
      <c r="HI92" s="60"/>
      <c r="HJ92" s="60"/>
      <c r="HK92" s="60"/>
      <c r="HL92" s="60"/>
      <c r="HM92" s="60"/>
      <c r="HN92" s="60"/>
      <c r="HO92" s="60"/>
      <c r="HP92" s="60"/>
      <c r="HQ92" s="60"/>
      <c r="HR92" s="60"/>
      <c r="HS92" s="60"/>
      <c r="HT92" s="60"/>
      <c r="HU92" s="60"/>
      <c r="HV92" s="60"/>
      <c r="HW92" s="60"/>
      <c r="HX92" s="60"/>
      <c r="HY92" s="60"/>
      <c r="HZ92" s="60"/>
      <c r="IA92" s="60"/>
      <c r="IB92" s="60"/>
    </row>
    <row r="93" spans="1:236" s="8" customFormat="1" ht="21" customHeight="1" x14ac:dyDescent="0.2">
      <c r="B93" s="1410" t="s">
        <v>1635</v>
      </c>
      <c r="C93" s="1410"/>
      <c r="D93" s="1410"/>
      <c r="E93" s="1373">
        <f>P23</f>
        <v>0</v>
      </c>
      <c r="F93" s="1373"/>
      <c r="G93" s="2030" t="s">
        <v>1942</v>
      </c>
      <c r="H93" s="2264"/>
      <c r="I93" s="2030"/>
      <c r="J93" s="2264"/>
      <c r="K93" s="2290"/>
      <c r="L93" s="2291"/>
      <c r="M93" s="2291"/>
      <c r="N93" s="2291"/>
      <c r="O93" s="2292"/>
      <c r="P93" s="2295"/>
      <c r="Q93" s="120"/>
      <c r="S93" s="258"/>
      <c r="T93" s="258">
        <f>E93</f>
        <v>0</v>
      </c>
      <c r="U93" s="1001">
        <f>LARGE($T$91:$T$98,3)</f>
        <v>0</v>
      </c>
      <c r="V93" s="16">
        <f t="shared" si="4"/>
        <v>0</v>
      </c>
      <c r="W93" s="61">
        <f t="shared" si="3"/>
        <v>0</v>
      </c>
      <c r="X93" s="120"/>
      <c r="Y93" s="1173">
        <f>IF(G91&gt;0,1,0)</f>
        <v>0</v>
      </c>
      <c r="Z93" s="8" t="s">
        <v>197</v>
      </c>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0"/>
      <c r="CF93" s="120"/>
      <c r="CG93" s="120"/>
      <c r="CH93" s="120"/>
      <c r="CI93" s="120"/>
      <c r="CJ93" s="120"/>
      <c r="CK93" s="120"/>
      <c r="CL93" s="120"/>
      <c r="CM93" s="60"/>
      <c r="CN93" s="60"/>
      <c r="CO93" s="60"/>
      <c r="CP93" s="60"/>
      <c r="CQ93" s="60"/>
      <c r="CR93" s="60"/>
      <c r="CS93" s="60"/>
      <c r="CT93" s="60"/>
      <c r="CU93" s="60"/>
      <c r="CV93" s="60"/>
      <c r="CW93" s="60"/>
      <c r="CX93" s="60"/>
      <c r="CY93" s="60"/>
      <c r="CZ93" s="60"/>
      <c r="DA93" s="60"/>
      <c r="DB93" s="60"/>
      <c r="DC93" s="60"/>
      <c r="DD93" s="60"/>
      <c r="DE93" s="60"/>
      <c r="DF93" s="60"/>
      <c r="DG93" s="60"/>
      <c r="DH93" s="60"/>
      <c r="DI93" s="60"/>
      <c r="DJ93" s="60"/>
      <c r="DK93" s="60"/>
      <c r="DL93" s="60"/>
      <c r="DM93" s="60"/>
      <c r="DN93" s="60"/>
      <c r="DO93" s="60"/>
      <c r="DP93" s="60"/>
      <c r="DQ93" s="60"/>
      <c r="DR93" s="60"/>
      <c r="DS93" s="60"/>
      <c r="DT93" s="60"/>
      <c r="DU93" s="60"/>
      <c r="DV93" s="60"/>
      <c r="DW93" s="60"/>
      <c r="DX93" s="60"/>
      <c r="DY93" s="60"/>
      <c r="DZ93" s="60"/>
      <c r="EA93" s="60"/>
      <c r="EB93" s="60"/>
      <c r="EC93" s="60"/>
      <c r="ED93" s="60"/>
      <c r="EE93" s="60"/>
      <c r="EF93" s="60"/>
      <c r="EG93" s="60"/>
      <c r="EH93" s="60"/>
      <c r="EI93" s="60"/>
      <c r="EJ93" s="60"/>
      <c r="EK93" s="60"/>
      <c r="EL93" s="60"/>
      <c r="EM93" s="60"/>
      <c r="EN93" s="60"/>
      <c r="EO93" s="60"/>
      <c r="EP93" s="60"/>
      <c r="EQ93" s="60"/>
      <c r="ER93" s="60"/>
      <c r="ES93" s="60"/>
      <c r="ET93" s="60"/>
      <c r="EU93" s="60"/>
      <c r="EV93" s="60"/>
      <c r="EW93" s="60"/>
      <c r="EX93" s="60"/>
      <c r="EY93" s="60"/>
      <c r="EZ93" s="60"/>
      <c r="FA93" s="60"/>
      <c r="FB93" s="60"/>
      <c r="FC93" s="60"/>
      <c r="FD93" s="60"/>
      <c r="FE93" s="60"/>
      <c r="FF93" s="60"/>
      <c r="FG93" s="60"/>
      <c r="FH93" s="60"/>
      <c r="FI93" s="60"/>
      <c r="FJ93" s="60"/>
      <c r="FK93" s="60"/>
      <c r="FL93" s="60"/>
      <c r="FM93" s="60"/>
      <c r="FN93" s="60"/>
      <c r="FO93" s="60"/>
      <c r="FP93" s="60"/>
      <c r="FQ93" s="60"/>
      <c r="FR93" s="60"/>
      <c r="FS93" s="60"/>
      <c r="FT93" s="60"/>
      <c r="FU93" s="60"/>
      <c r="FV93" s="60"/>
      <c r="FW93" s="60"/>
      <c r="FX93" s="60"/>
      <c r="FY93" s="60"/>
      <c r="FZ93" s="60"/>
      <c r="GA93" s="60"/>
      <c r="GB93" s="60"/>
      <c r="GC93" s="60"/>
      <c r="GD93" s="60"/>
      <c r="GE93" s="60"/>
      <c r="GF93" s="60"/>
      <c r="GG93" s="60"/>
      <c r="GH93" s="60"/>
      <c r="GI93" s="60"/>
      <c r="GJ93" s="60"/>
      <c r="GK93" s="60"/>
      <c r="GL93" s="60"/>
      <c r="GM93" s="60"/>
      <c r="GN93" s="60"/>
      <c r="GO93" s="60"/>
      <c r="GP93" s="60"/>
      <c r="GQ93" s="60"/>
      <c r="GR93" s="60"/>
      <c r="GS93" s="60"/>
      <c r="GT93" s="60"/>
      <c r="GU93" s="60"/>
      <c r="GV93" s="60"/>
      <c r="GW93" s="60"/>
      <c r="GX93" s="60"/>
      <c r="GY93" s="60"/>
      <c r="GZ93" s="60"/>
      <c r="HA93" s="60"/>
      <c r="HB93" s="60"/>
      <c r="HC93" s="60"/>
      <c r="HD93" s="60"/>
      <c r="HE93" s="60"/>
      <c r="HF93" s="60"/>
      <c r="HG93" s="60"/>
      <c r="HH93" s="60"/>
      <c r="HI93" s="60"/>
      <c r="HJ93" s="60"/>
      <c r="HK93" s="60"/>
      <c r="HL93" s="60"/>
      <c r="HM93" s="60"/>
      <c r="HN93" s="60"/>
      <c r="HO93" s="60"/>
      <c r="HP93" s="60"/>
      <c r="HQ93" s="60"/>
      <c r="HR93" s="60"/>
      <c r="HS93" s="60"/>
      <c r="HT93" s="60"/>
      <c r="HU93" s="60"/>
      <c r="HV93" s="60"/>
      <c r="HW93" s="60"/>
      <c r="HX93" s="60"/>
      <c r="HY93" s="60"/>
      <c r="HZ93" s="60"/>
      <c r="IA93" s="60"/>
      <c r="IB93" s="60"/>
    </row>
    <row r="94" spans="1:236" s="8" customFormat="1" ht="21" customHeight="1" x14ac:dyDescent="0.2">
      <c r="B94" s="1410" t="s">
        <v>1636</v>
      </c>
      <c r="C94" s="1410"/>
      <c r="D94" s="1410"/>
      <c r="E94" s="1373">
        <f>P24</f>
        <v>0</v>
      </c>
      <c r="F94" s="1373"/>
      <c r="G94" s="2030" t="s">
        <v>1942</v>
      </c>
      <c r="H94" s="2264"/>
      <c r="I94" s="2030"/>
      <c r="J94" s="2264"/>
      <c r="K94" s="2290"/>
      <c r="L94" s="2291"/>
      <c r="M94" s="2291"/>
      <c r="N94" s="2291"/>
      <c r="O94" s="2292"/>
      <c r="P94" s="2295"/>
      <c r="Q94" s="120"/>
      <c r="S94" s="258"/>
      <c r="T94" s="258">
        <f>E94</f>
        <v>0</v>
      </c>
      <c r="U94" s="1001">
        <f>LARGE($T$91:$T$98,4)</f>
        <v>0</v>
      </c>
      <c r="V94" s="16">
        <f t="shared" si="4"/>
        <v>0</v>
      </c>
      <c r="W94" s="61">
        <f t="shared" si="3"/>
        <v>0</v>
      </c>
      <c r="X94" s="133"/>
      <c r="Y94" s="7"/>
      <c r="Z94" s="18" t="s">
        <v>196</v>
      </c>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c r="CI94" s="120"/>
      <c r="CJ94" s="120"/>
      <c r="CK94" s="120"/>
      <c r="CL94" s="120"/>
      <c r="CM94" s="60"/>
      <c r="CN94" s="60"/>
      <c r="CO94" s="60"/>
      <c r="CP94" s="60"/>
      <c r="CQ94" s="60"/>
      <c r="CR94" s="60"/>
      <c r="CS94" s="60"/>
      <c r="CT94" s="60"/>
      <c r="CU94" s="60"/>
      <c r="CV94" s="60"/>
      <c r="CW94" s="60"/>
      <c r="CX94" s="60"/>
      <c r="CY94" s="60"/>
      <c r="CZ94" s="60"/>
      <c r="DA94" s="60"/>
      <c r="DB94" s="60"/>
      <c r="DC94" s="60"/>
      <c r="DD94" s="60"/>
      <c r="DE94" s="60"/>
      <c r="DF94" s="60"/>
      <c r="DG94" s="60"/>
      <c r="DH94" s="60"/>
      <c r="DI94" s="60"/>
      <c r="DJ94" s="60"/>
      <c r="DK94" s="60"/>
      <c r="DL94" s="60"/>
      <c r="DM94" s="60"/>
      <c r="DN94" s="60"/>
      <c r="DO94" s="60"/>
      <c r="DP94" s="60"/>
      <c r="DQ94" s="60"/>
      <c r="DR94" s="60"/>
      <c r="DS94" s="60"/>
      <c r="DT94" s="60"/>
      <c r="DU94" s="60"/>
      <c r="DV94" s="60"/>
      <c r="DW94" s="60"/>
      <c r="DX94" s="60"/>
      <c r="DY94" s="60"/>
      <c r="DZ94" s="60"/>
      <c r="EA94" s="60"/>
      <c r="EB94" s="60"/>
      <c r="EC94" s="60"/>
      <c r="ED94" s="60"/>
      <c r="EE94" s="60"/>
      <c r="EF94" s="60"/>
      <c r="EG94" s="60"/>
      <c r="EH94" s="60"/>
      <c r="EI94" s="60"/>
      <c r="EJ94" s="60"/>
      <c r="EK94" s="60"/>
      <c r="EL94" s="60"/>
      <c r="EM94" s="60"/>
      <c r="EN94" s="60"/>
      <c r="EO94" s="60"/>
      <c r="EP94" s="60"/>
      <c r="EQ94" s="60"/>
      <c r="ER94" s="60"/>
      <c r="ES94" s="60"/>
      <c r="ET94" s="60"/>
      <c r="EU94" s="60"/>
      <c r="EV94" s="60"/>
      <c r="EW94" s="60"/>
      <c r="EX94" s="60"/>
      <c r="EY94" s="60"/>
      <c r="EZ94" s="60"/>
      <c r="FA94" s="60"/>
      <c r="FB94" s="60"/>
      <c r="FC94" s="60"/>
      <c r="FD94" s="60"/>
      <c r="FE94" s="60"/>
      <c r="FF94" s="60"/>
      <c r="FG94" s="60"/>
      <c r="FH94" s="60"/>
      <c r="FI94" s="60"/>
      <c r="FJ94" s="60"/>
      <c r="FK94" s="60"/>
      <c r="FL94" s="60"/>
      <c r="FM94" s="60"/>
      <c r="FN94" s="60"/>
      <c r="FO94" s="60"/>
      <c r="FP94" s="60"/>
      <c r="FQ94" s="60"/>
      <c r="FR94" s="60"/>
      <c r="FS94" s="60"/>
      <c r="FT94" s="60"/>
      <c r="FU94" s="60"/>
      <c r="FV94" s="60"/>
      <c r="FW94" s="60"/>
      <c r="FX94" s="60"/>
      <c r="FY94" s="60"/>
      <c r="FZ94" s="60"/>
      <c r="GA94" s="60"/>
      <c r="GB94" s="60"/>
      <c r="GC94" s="60"/>
      <c r="GD94" s="60"/>
      <c r="GE94" s="60"/>
      <c r="GF94" s="60"/>
      <c r="GG94" s="60"/>
      <c r="GH94" s="60"/>
      <c r="GI94" s="60"/>
      <c r="GJ94" s="60"/>
      <c r="GK94" s="60"/>
      <c r="GL94" s="60"/>
      <c r="GM94" s="60"/>
      <c r="GN94" s="60"/>
      <c r="GO94" s="60"/>
      <c r="GP94" s="60"/>
      <c r="GQ94" s="60"/>
      <c r="GR94" s="60"/>
      <c r="GS94" s="60"/>
      <c r="GT94" s="60"/>
      <c r="GU94" s="60"/>
      <c r="GV94" s="60"/>
      <c r="GW94" s="60"/>
      <c r="GX94" s="60"/>
      <c r="GY94" s="60"/>
      <c r="GZ94" s="60"/>
      <c r="HA94" s="60"/>
      <c r="HB94" s="60"/>
      <c r="HC94" s="60"/>
      <c r="HD94" s="60"/>
      <c r="HE94" s="60"/>
      <c r="HF94" s="60"/>
      <c r="HG94" s="60"/>
      <c r="HH94" s="60"/>
      <c r="HI94" s="60"/>
      <c r="HJ94" s="60"/>
      <c r="HK94" s="60"/>
      <c r="HL94" s="60"/>
      <c r="HM94" s="60"/>
      <c r="HN94" s="60"/>
      <c r="HO94" s="60"/>
      <c r="HP94" s="60"/>
      <c r="HQ94" s="60"/>
      <c r="HR94" s="60"/>
      <c r="HS94" s="60"/>
      <c r="HT94" s="60"/>
      <c r="HU94" s="60"/>
      <c r="HV94" s="60"/>
      <c r="HW94" s="60"/>
      <c r="HX94" s="60"/>
      <c r="HY94" s="60"/>
      <c r="HZ94" s="60"/>
      <c r="IA94" s="60"/>
      <c r="IB94" s="60"/>
    </row>
    <row r="95" spans="1:236" ht="21" customHeight="1" x14ac:dyDescent="0.2">
      <c r="B95" s="1410" t="s">
        <v>1637</v>
      </c>
      <c r="C95" s="1410"/>
      <c r="D95" s="1410"/>
      <c r="E95" s="1373">
        <f>P25</f>
        <v>0</v>
      </c>
      <c r="F95" s="1373"/>
      <c r="G95" s="2030" t="s">
        <v>1942</v>
      </c>
      <c r="H95" s="2264"/>
      <c r="I95" s="2030"/>
      <c r="J95" s="2264"/>
      <c r="K95" s="2290"/>
      <c r="L95" s="2291"/>
      <c r="M95" s="2291"/>
      <c r="N95" s="2291"/>
      <c r="O95" s="2292"/>
      <c r="P95" s="2295"/>
      <c r="Q95" s="63"/>
      <c r="S95" s="258"/>
      <c r="T95" s="258">
        <f>E95</f>
        <v>0</v>
      </c>
      <c r="U95" s="1001">
        <f>LARGE($T$91:$T$98,5)</f>
        <v>0</v>
      </c>
      <c r="V95" s="16">
        <f t="shared" si="4"/>
        <v>0</v>
      </c>
      <c r="W95" s="61">
        <f t="shared" si="3"/>
        <v>0</v>
      </c>
      <c r="X95" s="7"/>
      <c r="Y95" s="7"/>
      <c r="Z95" s="18"/>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row>
    <row r="96" spans="1:236" ht="21" customHeight="1" x14ac:dyDescent="0.2">
      <c r="B96" s="1379" t="s">
        <v>1638</v>
      </c>
      <c r="C96" s="1410"/>
      <c r="D96" s="1410"/>
      <c r="E96" s="1373">
        <f>P31</f>
        <v>0</v>
      </c>
      <c r="F96" s="1373"/>
      <c r="G96" s="2030" t="s">
        <v>1942</v>
      </c>
      <c r="H96" s="2264"/>
      <c r="I96" s="2030"/>
      <c r="J96" s="2264"/>
      <c r="K96" s="1014"/>
      <c r="L96" s="1015"/>
      <c r="M96" s="1015"/>
      <c r="N96" s="1015"/>
      <c r="O96" s="1016"/>
      <c r="P96" s="2295"/>
      <c r="Q96" s="63"/>
      <c r="S96" s="258"/>
      <c r="T96" s="258">
        <f>E96</f>
        <v>0</v>
      </c>
      <c r="U96" s="1001">
        <f>LARGE($T$91:$T$98,6)</f>
        <v>0</v>
      </c>
      <c r="V96" s="16">
        <f t="shared" si="4"/>
        <v>0</v>
      </c>
      <c r="W96" s="61">
        <f t="shared" si="3"/>
        <v>0</v>
      </c>
      <c r="X96" s="7"/>
      <c r="Y96" s="7"/>
      <c r="Z96" s="18"/>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row>
    <row r="97" spans="2:241" ht="21" customHeight="1" x14ac:dyDescent="0.2">
      <c r="B97" s="1410" t="s">
        <v>1639</v>
      </c>
      <c r="C97" s="1410"/>
      <c r="D97" s="1410"/>
      <c r="E97" s="1373">
        <f>P84</f>
        <v>0</v>
      </c>
      <c r="F97" s="1373"/>
      <c r="G97" s="1483"/>
      <c r="H97" s="1485"/>
      <c r="I97" s="2286">
        <f>IF(AND(S97&lt;0.01,S97&gt;0),0.01,ROUND(S97,2))</f>
        <v>0</v>
      </c>
      <c r="J97" s="2287"/>
      <c r="K97" s="1014"/>
      <c r="L97" s="1015"/>
      <c r="M97" s="1015"/>
      <c r="N97" s="1015"/>
      <c r="O97" s="1016"/>
      <c r="P97" s="2295"/>
      <c r="Q97" s="63"/>
      <c r="S97" s="257">
        <f>IF(G97&gt;0,E97*G97,0)</f>
        <v>0</v>
      </c>
      <c r="T97" s="258">
        <f>IF(I97&gt;0,I97,E97)</f>
        <v>0</v>
      </c>
      <c r="U97" s="1001">
        <f>LARGE($T$91:$T$98,7)</f>
        <v>0</v>
      </c>
      <c r="V97" s="16">
        <f t="shared" si="4"/>
        <v>0</v>
      </c>
      <c r="W97" s="61">
        <f t="shared" si="3"/>
        <v>0</v>
      </c>
      <c r="X97" s="7"/>
      <c r="Y97" s="7"/>
      <c r="Z97" s="7"/>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row>
    <row r="98" spans="2:241" ht="21" customHeight="1" x14ac:dyDescent="0.2">
      <c r="B98" s="1410" t="s">
        <v>1962</v>
      </c>
      <c r="C98" s="1410"/>
      <c r="D98" s="1410"/>
      <c r="E98" s="1373">
        <f>P88</f>
        <v>0</v>
      </c>
      <c r="F98" s="1373"/>
      <c r="G98" s="1483"/>
      <c r="H98" s="1485"/>
      <c r="I98" s="2286">
        <f>IF(AND(S98&lt;0.01,S98&gt;0),0.01,ROUND(S98,2))</f>
        <v>0</v>
      </c>
      <c r="J98" s="2287"/>
      <c r="K98" s="1014"/>
      <c r="L98" s="1015"/>
      <c r="M98" s="1015"/>
      <c r="N98" s="1015"/>
      <c r="O98" s="1016"/>
      <c r="P98" s="2295"/>
      <c r="Q98" s="63"/>
      <c r="S98" s="257">
        <f>IF(G98&gt;0,E98*G98,0)</f>
        <v>0</v>
      </c>
      <c r="T98" s="258">
        <f>IF(I98&gt;0,I98,E98)</f>
        <v>0</v>
      </c>
      <c r="U98" s="1001">
        <f>LARGE($T$91:$T$98,8)</f>
        <v>0</v>
      </c>
      <c r="V98" s="131"/>
      <c r="W98" s="130"/>
      <c r="X98" s="7"/>
      <c r="Y98" s="7"/>
      <c r="Z98" s="7"/>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row>
    <row r="99" spans="2:241" ht="21" customHeight="1" x14ac:dyDescent="0.2">
      <c r="B99" s="2264"/>
      <c r="C99" s="2265"/>
      <c r="D99" s="2265"/>
      <c r="E99" s="2265"/>
      <c r="F99" s="2265"/>
      <c r="G99" s="2265"/>
      <c r="H99" s="2265"/>
      <c r="I99" s="2265"/>
      <c r="J99" s="2266"/>
      <c r="K99" s="2261" t="s">
        <v>2254</v>
      </c>
      <c r="L99" s="2262"/>
      <c r="M99" s="2262"/>
      <c r="N99" s="2262"/>
      <c r="O99" s="2263"/>
      <c r="P99" s="2296"/>
      <c r="Q99" s="63"/>
      <c r="S99" s="499"/>
      <c r="V99" s="131"/>
      <c r="W99" s="130"/>
      <c r="X99" s="133"/>
      <c r="Y99" s="133"/>
      <c r="Z99" s="7"/>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row>
    <row r="100" spans="2:241" ht="36.75" customHeight="1" x14ac:dyDescent="0.25">
      <c r="B100" s="1682" t="s">
        <v>947</v>
      </c>
      <c r="C100" s="1682"/>
      <c r="D100" s="1682"/>
      <c r="E100" s="1682"/>
      <c r="F100" s="1682"/>
      <c r="G100" s="1682"/>
      <c r="H100" s="1682"/>
      <c r="I100" s="1682"/>
      <c r="J100" s="1682"/>
      <c r="K100" s="1682"/>
      <c r="L100" s="1682"/>
      <c r="M100" s="1682"/>
      <c r="N100" s="1682"/>
      <c r="O100" s="1682"/>
      <c r="P100" s="1682"/>
      <c r="Q100" s="63"/>
      <c r="S100" s="499"/>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row>
    <row r="101" spans="2:241" s="8" customFormat="1" ht="15.75" customHeight="1" x14ac:dyDescent="0.25">
      <c r="B101" s="302" t="s">
        <v>790</v>
      </c>
      <c r="C101" s="2028" t="str">
        <f>IF(U1&lt;&gt;"",U1,"")</f>
        <v>Go to PPD Worksheet</v>
      </c>
      <c r="D101" s="2028"/>
      <c r="E101" s="2028"/>
      <c r="F101" s="2028"/>
      <c r="G101" s="2028"/>
      <c r="H101" s="2028"/>
      <c r="I101" s="2267" t="str">
        <f>IF(T1&lt;&gt;"",T1,"")</f>
        <v/>
      </c>
      <c r="J101" s="2267"/>
      <c r="K101" s="2267"/>
      <c r="L101" s="2267"/>
      <c r="M101" s="2267"/>
      <c r="N101" s="2267"/>
      <c r="O101" s="10"/>
      <c r="P101" s="204"/>
      <c r="Q101" s="120"/>
      <c r="R101" s="132"/>
      <c r="S101" s="136"/>
      <c r="T101" s="134"/>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0"/>
      <c r="BR101" s="120"/>
      <c r="BS101" s="120"/>
      <c r="BT101" s="120"/>
      <c r="BU101" s="120"/>
      <c r="BV101" s="120"/>
      <c r="BW101" s="120"/>
      <c r="BX101" s="120"/>
      <c r="BY101" s="120"/>
      <c r="BZ101" s="120"/>
      <c r="CA101" s="120"/>
      <c r="CB101" s="120"/>
      <c r="CC101" s="120"/>
      <c r="CD101" s="120"/>
      <c r="CE101" s="120"/>
      <c r="CF101" s="120"/>
      <c r="CG101" s="120"/>
      <c r="CH101" s="120"/>
      <c r="CI101" s="120"/>
      <c r="CJ101" s="120"/>
      <c r="CK101" s="120"/>
      <c r="CL101" s="120"/>
    </row>
    <row r="102" spans="2:241" s="8" customFormat="1" ht="15.75" customHeight="1" x14ac:dyDescent="0.25">
      <c r="B102" s="203"/>
      <c r="C102" s="203"/>
      <c r="D102" s="203"/>
      <c r="E102" s="11"/>
      <c r="F102" s="11"/>
      <c r="G102" s="10"/>
      <c r="H102" s="516"/>
      <c r="I102" s="516"/>
      <c r="J102" s="516"/>
      <c r="K102" s="516"/>
      <c r="L102" s="516"/>
      <c r="M102" s="516"/>
      <c r="N102" s="516"/>
      <c r="O102" s="10"/>
      <c r="P102" s="94"/>
      <c r="Q102" s="120"/>
      <c r="R102" s="132"/>
      <c r="S102" s="136"/>
      <c r="T102" s="134"/>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c r="BJ102" s="120"/>
      <c r="BK102" s="120"/>
      <c r="BL102" s="120"/>
      <c r="BM102" s="120"/>
      <c r="BN102" s="120"/>
      <c r="BO102" s="120"/>
      <c r="BP102" s="120"/>
      <c r="BQ102" s="120"/>
      <c r="BR102" s="120"/>
      <c r="BS102" s="120"/>
      <c r="BT102" s="120"/>
      <c r="BU102" s="120"/>
      <c r="BV102" s="120"/>
      <c r="BW102" s="120"/>
      <c r="BX102" s="120"/>
      <c r="BY102" s="120"/>
      <c r="BZ102" s="120"/>
      <c r="CA102" s="120"/>
      <c r="CB102" s="120"/>
      <c r="CC102" s="120"/>
      <c r="CD102" s="120"/>
      <c r="CE102" s="120"/>
      <c r="CF102" s="120"/>
      <c r="CG102" s="120"/>
      <c r="CH102" s="120"/>
      <c r="CI102" s="120"/>
      <c r="CJ102" s="120"/>
      <c r="CK102" s="120"/>
      <c r="CL102" s="120"/>
    </row>
    <row r="103" spans="2:241" s="8" customFormat="1" ht="15.75" customHeight="1" x14ac:dyDescent="0.25">
      <c r="B103" s="203"/>
      <c r="C103" s="203"/>
      <c r="D103" s="203"/>
      <c r="E103" s="11"/>
      <c r="F103" s="11"/>
      <c r="G103" s="10"/>
      <c r="H103" s="516"/>
      <c r="I103" s="516"/>
      <c r="J103" s="516"/>
      <c r="K103" s="516"/>
      <c r="L103" s="516"/>
      <c r="M103" s="516"/>
      <c r="N103" s="516"/>
      <c r="O103" s="10"/>
      <c r="P103" s="94"/>
      <c r="Q103" s="120"/>
      <c r="R103" s="132"/>
      <c r="S103" s="136"/>
      <c r="T103" s="134"/>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0"/>
      <c r="BM103" s="120"/>
      <c r="BN103" s="120"/>
      <c r="BO103" s="120"/>
      <c r="BP103" s="120"/>
      <c r="BQ103" s="120"/>
      <c r="BR103" s="120"/>
      <c r="BS103" s="120"/>
      <c r="BT103" s="120"/>
      <c r="BU103" s="120"/>
      <c r="BV103" s="120"/>
      <c r="BW103" s="120"/>
      <c r="BX103" s="120"/>
      <c r="BY103" s="120"/>
      <c r="BZ103" s="120"/>
      <c r="CA103" s="120"/>
      <c r="CB103" s="120"/>
      <c r="CC103" s="120"/>
      <c r="CD103" s="120"/>
      <c r="CE103" s="120"/>
      <c r="CF103" s="120"/>
      <c r="CG103" s="120"/>
      <c r="CH103" s="120"/>
      <c r="CI103" s="120"/>
      <c r="CJ103" s="120"/>
      <c r="CK103" s="120"/>
      <c r="CL103" s="120"/>
    </row>
    <row r="104" spans="2:241" s="8" customFormat="1" ht="15.75" customHeight="1" x14ac:dyDescent="0.25">
      <c r="B104" s="203"/>
      <c r="C104" s="203"/>
      <c r="D104" s="203"/>
      <c r="E104" s="11"/>
      <c r="F104" s="11"/>
      <c r="G104" s="10"/>
      <c r="H104" s="516"/>
      <c r="I104" s="516"/>
      <c r="J104" s="516"/>
      <c r="K104" s="516"/>
      <c r="L104" s="516"/>
      <c r="M104" s="516"/>
      <c r="N104" s="516"/>
      <c r="O104" s="10"/>
      <c r="P104" s="94"/>
      <c r="Q104" s="120"/>
      <c r="R104" s="132"/>
      <c r="S104" s="136"/>
      <c r="T104" s="134"/>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0"/>
      <c r="BM104" s="120"/>
      <c r="BN104" s="120"/>
      <c r="BO104" s="120"/>
      <c r="BP104" s="120"/>
      <c r="BQ104" s="120"/>
      <c r="BR104" s="120"/>
      <c r="BS104" s="120"/>
      <c r="BT104" s="120"/>
      <c r="BU104" s="120"/>
      <c r="BV104" s="120"/>
      <c r="BW104" s="120"/>
      <c r="BX104" s="120"/>
      <c r="BY104" s="120"/>
      <c r="BZ104" s="120"/>
      <c r="CA104" s="120"/>
      <c r="CB104" s="120"/>
      <c r="CC104" s="120"/>
      <c r="CD104" s="120"/>
      <c r="CE104" s="120"/>
      <c r="CF104" s="120"/>
      <c r="CG104" s="120"/>
      <c r="CH104" s="120"/>
      <c r="CI104" s="120"/>
      <c r="CJ104" s="120"/>
      <c r="CK104" s="120"/>
      <c r="CL104" s="120"/>
    </row>
    <row r="105" spans="2:241" s="8" customFormat="1" ht="15.75" customHeight="1" x14ac:dyDescent="0.25">
      <c r="B105" s="203"/>
      <c r="C105" s="203"/>
      <c r="D105" s="203"/>
      <c r="E105" s="11"/>
      <c r="F105" s="11"/>
      <c r="G105" s="10"/>
      <c r="H105" s="516"/>
      <c r="I105" s="516"/>
      <c r="J105" s="516"/>
      <c r="K105" s="516"/>
      <c r="L105" s="516"/>
      <c r="M105" s="516"/>
      <c r="N105" s="516"/>
      <c r="O105" s="10"/>
      <c r="P105" s="94"/>
      <c r="Q105" s="120"/>
      <c r="R105" s="132"/>
      <c r="S105" s="136"/>
      <c r="T105" s="134"/>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0"/>
      <c r="BR105" s="120"/>
      <c r="BS105" s="120"/>
      <c r="BT105" s="120"/>
      <c r="BU105" s="120"/>
      <c r="BV105" s="120"/>
      <c r="BW105" s="120"/>
      <c r="BX105" s="120"/>
      <c r="BY105" s="120"/>
      <c r="BZ105" s="120"/>
      <c r="CA105" s="120"/>
      <c r="CB105" s="120"/>
      <c r="CC105" s="120"/>
      <c r="CD105" s="120"/>
      <c r="CE105" s="120"/>
      <c r="CF105" s="120"/>
      <c r="CG105" s="120"/>
      <c r="CH105" s="120"/>
      <c r="CI105" s="120"/>
      <c r="CJ105" s="120"/>
      <c r="CK105" s="120"/>
      <c r="CL105" s="120"/>
    </row>
    <row r="106" spans="2:241" s="8" customFormat="1" ht="15.75" customHeight="1" x14ac:dyDescent="0.25">
      <c r="B106" s="2255" t="s">
        <v>2271</v>
      </c>
      <c r="C106" s="2256"/>
      <c r="D106" s="203"/>
      <c r="E106" s="11"/>
      <c r="F106" s="10"/>
      <c r="G106" s="10"/>
      <c r="H106" s="205"/>
      <c r="I106" s="205"/>
      <c r="J106" s="205"/>
      <c r="K106" s="205"/>
      <c r="L106" s="205"/>
      <c r="M106" s="205"/>
      <c r="N106" s="205"/>
      <c r="O106" s="205"/>
      <c r="P106" s="94"/>
      <c r="Q106" s="120"/>
      <c r="R106" s="132"/>
      <c r="S106" s="136"/>
      <c r="T106" s="134"/>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c r="BJ106" s="120"/>
      <c r="BK106" s="120"/>
      <c r="BL106" s="120"/>
      <c r="BM106" s="120"/>
      <c r="BN106" s="120"/>
      <c r="BO106" s="120"/>
      <c r="BP106" s="120"/>
      <c r="BQ106" s="120"/>
      <c r="BR106" s="120"/>
      <c r="BS106" s="120"/>
      <c r="BT106" s="120"/>
      <c r="BU106" s="120"/>
      <c r="BV106" s="120"/>
      <c r="BW106" s="120"/>
      <c r="BX106" s="120"/>
      <c r="BY106" s="120"/>
      <c r="BZ106" s="120"/>
      <c r="CA106" s="120"/>
      <c r="CB106" s="120"/>
      <c r="CC106" s="120"/>
      <c r="CD106" s="120"/>
      <c r="CE106" s="120"/>
      <c r="CF106" s="120"/>
      <c r="CG106" s="120"/>
      <c r="CH106" s="120"/>
      <c r="CI106" s="120"/>
      <c r="CJ106" s="120"/>
      <c r="CK106" s="120"/>
      <c r="CL106" s="120"/>
    </row>
    <row r="107" spans="2:241" s="8" customFormat="1" ht="18" customHeight="1" x14ac:dyDescent="0.25">
      <c r="B107" s="2257"/>
      <c r="C107" s="2258"/>
      <c r="D107" s="517"/>
      <c r="E107" s="517"/>
      <c r="F107" s="517"/>
      <c r="G107" s="517"/>
      <c r="H107" s="517"/>
      <c r="I107" s="517"/>
      <c r="J107" s="517"/>
      <c r="K107" s="517"/>
      <c r="L107" s="517"/>
      <c r="M107" s="517"/>
      <c r="N107" s="517"/>
      <c r="O107" s="517"/>
      <c r="P107" s="517"/>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0"/>
      <c r="BM107" s="120"/>
      <c r="BN107" s="120"/>
      <c r="BO107" s="120"/>
      <c r="BP107" s="120"/>
      <c r="BQ107" s="120"/>
      <c r="BR107" s="120"/>
      <c r="BS107" s="120"/>
      <c r="BT107" s="120"/>
      <c r="BU107" s="120"/>
      <c r="BV107" s="120"/>
      <c r="BW107" s="120"/>
      <c r="BX107" s="120"/>
      <c r="BY107" s="120"/>
      <c r="BZ107" s="120"/>
      <c r="CA107" s="120"/>
      <c r="CB107" s="120"/>
      <c r="CC107" s="120"/>
      <c r="CD107" s="120"/>
      <c r="CE107" s="120"/>
      <c r="CF107" s="120"/>
      <c r="CG107" s="120"/>
      <c r="CH107" s="120"/>
      <c r="CI107" s="120"/>
      <c r="CJ107" s="120"/>
      <c r="CK107" s="120"/>
      <c r="CL107" s="120"/>
    </row>
    <row r="108" spans="2:241" ht="15.75" customHeight="1" x14ac:dyDescent="0.25">
      <c r="B108" s="2259"/>
      <c r="C108" s="2260"/>
      <c r="D108" s="1187"/>
      <c r="E108" s="2285"/>
      <c r="F108" s="1469"/>
      <c r="G108" s="10"/>
      <c r="H108" s="8"/>
      <c r="I108" s="8"/>
      <c r="J108" s="8"/>
      <c r="K108" s="8"/>
      <c r="L108" s="8"/>
      <c r="M108" s="8"/>
      <c r="N108" s="8"/>
      <c r="O108" s="8"/>
      <c r="P108" s="206"/>
      <c r="Q108" s="120"/>
      <c r="R108" s="132"/>
      <c r="S108" s="136"/>
      <c r="T108" s="134"/>
      <c r="U108" s="120"/>
      <c r="V108" s="120"/>
      <c r="W108" s="120"/>
      <c r="X108" s="120"/>
      <c r="Y108" s="120"/>
      <c r="Z108" s="120"/>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row>
    <row r="109" spans="2:241" ht="15.75" customHeight="1" x14ac:dyDescent="0.25">
      <c r="B109" s="1176">
        <v>0.01</v>
      </c>
      <c r="C109" s="1176">
        <v>0.99</v>
      </c>
      <c r="D109" s="207"/>
      <c r="E109" s="12"/>
      <c r="F109" s="1"/>
      <c r="G109" s="1"/>
      <c r="H109" s="208"/>
      <c r="I109" s="208"/>
      <c r="J109" s="208"/>
      <c r="K109" s="208"/>
      <c r="L109" s="208"/>
      <c r="M109" s="208"/>
      <c r="N109" s="208"/>
      <c r="O109" s="208"/>
      <c r="P109" s="94"/>
      <c r="Q109" s="63"/>
      <c r="R109" s="40"/>
      <c r="S109" s="89"/>
      <c r="T109" s="130"/>
      <c r="U109" s="7"/>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row>
    <row r="110" spans="2:241" s="219" customFormat="1" x14ac:dyDescent="0.2">
      <c r="C110" s="13"/>
      <c r="D110" s="461"/>
      <c r="F110" s="13"/>
      <c r="G110" s="461"/>
      <c r="I110" s="13"/>
      <c r="J110" s="461"/>
      <c r="L110" s="13"/>
      <c r="M110" s="461"/>
      <c r="O110" s="13"/>
      <c r="P110" s="461"/>
      <c r="Q110" s="34"/>
      <c r="R110" s="34"/>
      <c r="S110" s="137"/>
      <c r="T110" s="34"/>
      <c r="U110" s="34"/>
      <c r="V110" s="137"/>
      <c r="W110" s="34"/>
      <c r="X110" s="34"/>
      <c r="Y110" s="137"/>
      <c r="Z110" s="34"/>
      <c r="AA110" s="34"/>
      <c r="AB110" s="137"/>
      <c r="AC110" s="34"/>
      <c r="AD110" s="34"/>
      <c r="AE110" s="137"/>
      <c r="AF110" s="34"/>
      <c r="AG110" s="34"/>
      <c r="AH110" s="137"/>
      <c r="AI110" s="34"/>
      <c r="AJ110" s="34"/>
      <c r="AK110" s="137"/>
      <c r="AL110" s="34"/>
      <c r="AM110" s="34"/>
      <c r="AN110" s="137"/>
      <c r="AO110" s="34"/>
      <c r="AP110" s="34"/>
      <c r="AQ110" s="137"/>
      <c r="AR110" s="34"/>
      <c r="AS110" s="34"/>
      <c r="AT110" s="137"/>
      <c r="AU110" s="34"/>
      <c r="AV110" s="34"/>
      <c r="AW110" s="137"/>
      <c r="AX110" s="34"/>
      <c r="AY110" s="34"/>
      <c r="AZ110" s="137"/>
      <c r="BA110" s="34"/>
      <c r="BB110" s="34"/>
      <c r="BC110" s="137"/>
      <c r="BD110" s="34"/>
      <c r="BE110" s="34"/>
      <c r="BF110" s="137"/>
      <c r="BG110" s="34"/>
      <c r="BH110" s="34"/>
      <c r="BI110" s="137"/>
      <c r="BJ110" s="34"/>
      <c r="BK110" s="34"/>
      <c r="BL110" s="137"/>
      <c r="BM110" s="34"/>
      <c r="BN110" s="34"/>
      <c r="BO110" s="137"/>
      <c r="BP110" s="34"/>
      <c r="BQ110" s="34"/>
      <c r="BR110" s="137"/>
      <c r="BS110" s="34"/>
      <c r="BT110" s="34"/>
      <c r="BU110" s="137"/>
      <c r="BV110" s="34"/>
      <c r="BW110" s="34"/>
      <c r="BX110" s="137"/>
      <c r="BY110" s="34"/>
      <c r="BZ110" s="34"/>
      <c r="CA110" s="137"/>
      <c r="CB110" s="34"/>
      <c r="CC110" s="34"/>
      <c r="CD110" s="137"/>
      <c r="CE110" s="34"/>
      <c r="CF110" s="34"/>
      <c r="CG110" s="137"/>
      <c r="CH110" s="34"/>
      <c r="CI110" s="34"/>
      <c r="CJ110" s="137"/>
      <c r="CK110" s="34"/>
      <c r="CL110" s="34"/>
      <c r="CM110" s="461"/>
      <c r="CO110" s="13"/>
      <c r="CP110" s="461"/>
      <c r="CR110" s="13"/>
      <c r="CS110" s="461"/>
      <c r="CU110" s="13"/>
      <c r="CV110" s="461"/>
      <c r="CX110" s="13"/>
      <c r="CY110" s="461"/>
      <c r="DA110" s="13"/>
      <c r="DB110" s="461"/>
      <c r="DD110" s="13"/>
      <c r="DE110" s="461"/>
      <c r="DG110" s="13"/>
      <c r="DH110" s="461"/>
      <c r="DJ110" s="13"/>
      <c r="DK110" s="461"/>
      <c r="DM110" s="13"/>
      <c r="DN110" s="461"/>
      <c r="DP110" s="13"/>
      <c r="DQ110" s="461"/>
      <c r="DS110" s="13"/>
      <c r="DT110" s="461"/>
      <c r="DV110" s="13"/>
      <c r="DW110" s="461"/>
      <c r="DY110" s="13"/>
      <c r="DZ110" s="461"/>
      <c r="EB110" s="13"/>
      <c r="EC110" s="461"/>
      <c r="EE110" s="13"/>
      <c r="EF110" s="461"/>
      <c r="EH110" s="13"/>
      <c r="EI110" s="461"/>
      <c r="EK110" s="13"/>
      <c r="EL110" s="461"/>
      <c r="EN110" s="13"/>
      <c r="EO110" s="461"/>
      <c r="EQ110" s="13"/>
      <c r="ER110" s="461"/>
      <c r="ET110" s="13"/>
      <c r="EU110" s="461"/>
      <c r="EW110" s="13"/>
      <c r="EX110" s="461"/>
      <c r="EZ110" s="13"/>
      <c r="FA110" s="461"/>
      <c r="FC110" s="13"/>
      <c r="FD110" s="461"/>
      <c r="FF110" s="13"/>
      <c r="FG110" s="461"/>
      <c r="FI110" s="13"/>
      <c r="FJ110" s="461"/>
      <c r="FL110" s="13"/>
      <c r="FM110" s="461"/>
      <c r="FO110" s="13"/>
      <c r="FP110" s="461"/>
      <c r="FR110" s="13"/>
      <c r="FS110" s="461"/>
      <c r="FU110" s="13"/>
      <c r="FV110" s="461"/>
      <c r="FX110" s="13"/>
      <c r="FY110" s="461"/>
      <c r="GA110" s="13"/>
      <c r="GB110" s="461"/>
      <c r="GD110" s="13"/>
      <c r="GE110" s="461"/>
      <c r="GG110" s="13"/>
      <c r="GH110" s="461"/>
      <c r="GJ110" s="13"/>
      <c r="GK110" s="461"/>
      <c r="GM110" s="13"/>
      <c r="GN110" s="461"/>
      <c r="GP110" s="13"/>
      <c r="GQ110" s="461"/>
      <c r="GS110" s="13"/>
      <c r="GT110" s="461"/>
      <c r="GV110" s="13"/>
      <c r="GW110" s="461"/>
      <c r="GY110" s="13"/>
      <c r="GZ110" s="461"/>
      <c r="HB110" s="13"/>
      <c r="HC110" s="461"/>
      <c r="HE110" s="13"/>
      <c r="HF110" s="461"/>
      <c r="HH110" s="13"/>
      <c r="HI110" s="461"/>
      <c r="HK110" s="13"/>
      <c r="HL110" s="461"/>
      <c r="HN110" s="13"/>
      <c r="HO110" s="461"/>
      <c r="HQ110" s="13"/>
      <c r="HR110" s="461"/>
      <c r="HT110" s="13"/>
      <c r="HU110" s="461"/>
      <c r="HW110" s="13"/>
      <c r="HX110" s="461"/>
      <c r="HZ110" s="13"/>
      <c r="IA110" s="461"/>
      <c r="IC110" s="13"/>
      <c r="ID110" s="461"/>
      <c r="IF110" s="13"/>
      <c r="IG110" s="461"/>
    </row>
    <row r="111" spans="2:241" s="219" customFormat="1" x14ac:dyDescent="0.2">
      <c r="F111" s="13"/>
      <c r="G111" s="461"/>
      <c r="I111" s="13"/>
      <c r="J111" s="461"/>
      <c r="L111" s="13"/>
      <c r="M111" s="461"/>
      <c r="O111" s="13"/>
      <c r="P111" s="461"/>
      <c r="Q111" s="34"/>
      <c r="R111" s="34"/>
      <c r="S111" s="137"/>
      <c r="T111" s="34"/>
      <c r="U111" s="34"/>
      <c r="V111" s="137"/>
      <c r="W111" s="34"/>
      <c r="X111" s="34"/>
      <c r="Y111" s="137"/>
      <c r="Z111" s="34"/>
      <c r="AA111" s="34"/>
      <c r="AB111" s="137"/>
      <c r="AC111" s="34"/>
      <c r="AD111" s="34"/>
      <c r="AE111" s="137"/>
      <c r="AF111" s="34"/>
      <c r="AG111" s="34"/>
      <c r="AH111" s="137"/>
      <c r="AI111" s="34"/>
      <c r="AJ111" s="34"/>
      <c r="AK111" s="137"/>
      <c r="AL111" s="34"/>
      <c r="AM111" s="34"/>
      <c r="AN111" s="137"/>
      <c r="AO111" s="34"/>
      <c r="AP111" s="34"/>
      <c r="AQ111" s="137"/>
      <c r="AR111" s="34"/>
      <c r="AS111" s="34"/>
      <c r="AT111" s="137"/>
      <c r="AU111" s="34"/>
      <c r="AV111" s="34"/>
      <c r="AW111" s="137"/>
      <c r="AX111" s="34"/>
      <c r="AY111" s="34"/>
      <c r="AZ111" s="137"/>
      <c r="BA111" s="34"/>
      <c r="BB111" s="34"/>
      <c r="BC111" s="137"/>
      <c r="BD111" s="34"/>
      <c r="BE111" s="34"/>
      <c r="BF111" s="137"/>
      <c r="BG111" s="34"/>
      <c r="BH111" s="34"/>
      <c r="BI111" s="137"/>
      <c r="BJ111" s="34"/>
      <c r="BK111" s="34"/>
      <c r="BL111" s="137"/>
      <c r="BM111" s="34"/>
      <c r="BN111" s="34"/>
      <c r="BO111" s="137"/>
      <c r="BP111" s="34"/>
      <c r="BQ111" s="34"/>
      <c r="BR111" s="137"/>
      <c r="BS111" s="34"/>
      <c r="BT111" s="34"/>
      <c r="BU111" s="137"/>
      <c r="BV111" s="34"/>
      <c r="BW111" s="34"/>
      <c r="BX111" s="137"/>
      <c r="BY111" s="34"/>
      <c r="BZ111" s="34"/>
      <c r="CA111" s="137"/>
      <c r="CB111" s="34"/>
      <c r="CC111" s="34"/>
      <c r="CD111" s="137"/>
      <c r="CE111" s="34"/>
      <c r="CF111" s="34"/>
      <c r="CG111" s="137"/>
      <c r="CH111" s="34"/>
      <c r="CI111" s="34"/>
      <c r="CJ111" s="137"/>
      <c r="CK111" s="34"/>
      <c r="CL111" s="34"/>
      <c r="CM111" s="461"/>
      <c r="CO111" s="13"/>
      <c r="CP111" s="461"/>
      <c r="CR111" s="13"/>
      <c r="CS111" s="461"/>
      <c r="CU111" s="13"/>
      <c r="CV111" s="461"/>
      <c r="CX111" s="13"/>
      <c r="CY111" s="461"/>
      <c r="DA111" s="13"/>
      <c r="DB111" s="461"/>
      <c r="DD111" s="13"/>
      <c r="DE111" s="461"/>
      <c r="DG111" s="13"/>
      <c r="DH111" s="461"/>
      <c r="DJ111" s="13"/>
      <c r="DK111" s="461"/>
      <c r="DM111" s="13"/>
      <c r="DN111" s="461"/>
      <c r="DP111" s="13"/>
      <c r="DQ111" s="461"/>
      <c r="DS111" s="13"/>
      <c r="DT111" s="461"/>
      <c r="DV111" s="13"/>
      <c r="DW111" s="461"/>
      <c r="DY111" s="13"/>
      <c r="DZ111" s="461"/>
      <c r="EB111" s="13"/>
      <c r="EC111" s="461"/>
      <c r="EE111" s="13"/>
      <c r="EF111" s="461"/>
      <c r="EH111" s="13"/>
      <c r="EI111" s="461"/>
      <c r="EK111" s="13"/>
      <c r="EL111" s="461"/>
      <c r="EN111" s="13"/>
      <c r="EO111" s="461"/>
      <c r="EQ111" s="13"/>
      <c r="ER111" s="461"/>
      <c r="ET111" s="13"/>
      <c r="EU111" s="461"/>
      <c r="EW111" s="13"/>
      <c r="EX111" s="461"/>
      <c r="EZ111" s="13"/>
      <c r="FA111" s="461"/>
      <c r="FC111" s="13"/>
      <c r="FD111" s="461"/>
      <c r="FF111" s="13"/>
      <c r="FG111" s="461"/>
      <c r="FI111" s="13"/>
      <c r="FJ111" s="461"/>
      <c r="FL111" s="13"/>
      <c r="FM111" s="461"/>
      <c r="FO111" s="13"/>
      <c r="FP111" s="461"/>
      <c r="FR111" s="13"/>
      <c r="FS111" s="461"/>
      <c r="FU111" s="13"/>
      <c r="FV111" s="461"/>
      <c r="FX111" s="13"/>
      <c r="FY111" s="461"/>
      <c r="GA111" s="13"/>
      <c r="GB111" s="461"/>
      <c r="GD111" s="13"/>
      <c r="GE111" s="461"/>
      <c r="GG111" s="13"/>
      <c r="GH111" s="461"/>
      <c r="GJ111" s="13"/>
      <c r="GK111" s="461"/>
      <c r="GM111" s="13"/>
      <c r="GN111" s="461"/>
      <c r="GP111" s="13"/>
      <c r="GQ111" s="461"/>
      <c r="GS111" s="13"/>
      <c r="GT111" s="461"/>
      <c r="GV111" s="13"/>
      <c r="GW111" s="461"/>
      <c r="GY111" s="13"/>
      <c r="GZ111" s="461"/>
      <c r="HB111" s="13"/>
      <c r="HC111" s="461"/>
      <c r="HE111" s="13"/>
      <c r="HF111" s="461"/>
      <c r="HH111" s="13"/>
      <c r="HI111" s="461"/>
      <c r="HK111" s="13"/>
      <c r="HL111" s="461"/>
      <c r="HN111" s="13"/>
      <c r="HO111" s="461"/>
      <c r="HQ111" s="13"/>
      <c r="HR111" s="461"/>
      <c r="HT111" s="13"/>
      <c r="HU111" s="461"/>
      <c r="HW111" s="13"/>
      <c r="HX111" s="461"/>
      <c r="HZ111" s="13"/>
      <c r="IA111" s="461"/>
      <c r="IC111" s="13"/>
      <c r="ID111" s="461"/>
      <c r="IF111" s="13"/>
      <c r="IG111" s="461"/>
    </row>
    <row r="112" spans="2:241" x14ac:dyDescent="0.2">
      <c r="C112" s="35"/>
      <c r="D112" s="35"/>
      <c r="E112" s="14"/>
      <c r="F112" s="15"/>
      <c r="G112" s="15"/>
      <c r="H112" s="14"/>
      <c r="I112" s="14"/>
      <c r="J112" s="15"/>
      <c r="K112" s="14"/>
      <c r="L112" s="15"/>
      <c r="M112" s="14"/>
      <c r="N112" s="15"/>
      <c r="O112" s="14"/>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row>
    <row r="113" spans="2:90" x14ac:dyDescent="0.2">
      <c r="C113" s="35"/>
      <c r="D113" s="35"/>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row>
    <row r="114" spans="2:90" x14ac:dyDescent="0.2">
      <c r="C114" s="35"/>
      <c r="D114" s="35"/>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row>
    <row r="115" spans="2:90" x14ac:dyDescent="0.2">
      <c r="B115" s="1176" t="s">
        <v>2270</v>
      </c>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row>
    <row r="116" spans="2:90" x14ac:dyDescent="0.2">
      <c r="B116" s="1176" t="s">
        <v>1942</v>
      </c>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row>
    <row r="117" spans="2:90" x14ac:dyDescent="0.2">
      <c r="B117" s="1176">
        <v>0</v>
      </c>
      <c r="C117" s="35"/>
      <c r="D117" s="35"/>
      <c r="F117" s="35"/>
      <c r="H117" s="15"/>
      <c r="I117" s="14"/>
      <c r="J117" s="15"/>
      <c r="K117" s="14"/>
      <c r="L117" s="15"/>
      <c r="M117" s="14"/>
      <c r="N117" s="15"/>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row>
    <row r="118" spans="2:90" x14ac:dyDescent="0.2">
      <c r="B118" s="1176">
        <v>1</v>
      </c>
      <c r="C118" s="35"/>
      <c r="D118" s="35"/>
      <c r="F118" s="35"/>
      <c r="H118" s="15"/>
      <c r="I118" s="14"/>
      <c r="J118" s="15"/>
      <c r="K118" s="14"/>
      <c r="L118" s="15"/>
      <c r="M118" s="14"/>
      <c r="N118" s="15"/>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row>
    <row r="119" spans="2:90" x14ac:dyDescent="0.2">
      <c r="B119" s="1176">
        <v>2</v>
      </c>
      <c r="C119" s="35"/>
      <c r="D119" s="35"/>
      <c r="F119" s="35"/>
      <c r="H119" s="35"/>
      <c r="J119" s="15"/>
      <c r="K119" s="14"/>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row>
    <row r="120" spans="2:90" x14ac:dyDescent="0.2">
      <c r="B120" s="1176">
        <v>3</v>
      </c>
      <c r="C120" s="35"/>
      <c r="D120" s="35"/>
      <c r="F120" s="35"/>
      <c r="H120" s="35"/>
      <c r="J120" s="15"/>
      <c r="K120" s="14"/>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row>
    <row r="121" spans="2:90" x14ac:dyDescent="0.2">
      <c r="B121" s="1176">
        <v>4</v>
      </c>
      <c r="C121" s="35"/>
      <c r="D121" s="35"/>
      <c r="F121" s="35"/>
      <c r="H121" s="35"/>
      <c r="J121" s="15"/>
      <c r="K121" s="14"/>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row>
    <row r="122" spans="2:90" x14ac:dyDescent="0.2">
      <c r="B122" s="1176">
        <v>5</v>
      </c>
      <c r="C122" s="35"/>
      <c r="D122" s="35"/>
      <c r="F122" s="35"/>
      <c r="H122" s="35"/>
      <c r="J122" s="15"/>
      <c r="K122" s="14"/>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row>
    <row r="123" spans="2:90" x14ac:dyDescent="0.2">
      <c r="B123" s="1176">
        <v>6</v>
      </c>
      <c r="C123" s="35"/>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row>
    <row r="124" spans="2:90" x14ac:dyDescent="0.2">
      <c r="B124" s="1176">
        <v>7</v>
      </c>
      <c r="C124" s="35"/>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row>
    <row r="125" spans="2:90" x14ac:dyDescent="0.2">
      <c r="B125" s="1176">
        <v>8</v>
      </c>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row>
    <row r="126" spans="2:90" x14ac:dyDescent="0.2">
      <c r="B126" s="1176">
        <v>9</v>
      </c>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row>
    <row r="127" spans="2:90" x14ac:dyDescent="0.2">
      <c r="B127" s="1176">
        <v>10</v>
      </c>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row>
    <row r="128" spans="2:90" x14ac:dyDescent="0.2">
      <c r="B128" s="1176">
        <v>11</v>
      </c>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row>
    <row r="129" spans="2:90" x14ac:dyDescent="0.2">
      <c r="B129" s="1176">
        <v>12</v>
      </c>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row>
    <row r="130" spans="2:90" x14ac:dyDescent="0.2">
      <c r="B130" s="1176">
        <v>13</v>
      </c>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row>
    <row r="131" spans="2:90" x14ac:dyDescent="0.2">
      <c r="B131" s="1176">
        <v>14</v>
      </c>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row>
    <row r="132" spans="2:90" x14ac:dyDescent="0.2">
      <c r="B132" s="1176">
        <v>15</v>
      </c>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row>
    <row r="133" spans="2:90" x14ac:dyDescent="0.2">
      <c r="B133" s="1176">
        <v>16</v>
      </c>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row>
    <row r="134" spans="2:90" x14ac:dyDescent="0.2">
      <c r="B134" s="1176">
        <v>17</v>
      </c>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row>
    <row r="135" spans="2:90" x14ac:dyDescent="0.2">
      <c r="B135" s="1176">
        <v>18</v>
      </c>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row>
    <row r="136" spans="2:90" x14ac:dyDescent="0.2">
      <c r="B136" s="1176">
        <v>19</v>
      </c>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row>
    <row r="137" spans="2:90" x14ac:dyDescent="0.2">
      <c r="B137" s="1176">
        <v>20</v>
      </c>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row>
    <row r="138" spans="2:90" x14ac:dyDescent="0.2">
      <c r="B138" s="1176">
        <v>21</v>
      </c>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row>
    <row r="139" spans="2:90" x14ac:dyDescent="0.2">
      <c r="B139" s="1176">
        <v>22</v>
      </c>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row>
    <row r="140" spans="2:90" x14ac:dyDescent="0.2">
      <c r="B140" s="1176">
        <v>23</v>
      </c>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row>
    <row r="141" spans="2:90" x14ac:dyDescent="0.2">
      <c r="B141" s="1176">
        <v>24</v>
      </c>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row>
    <row r="142" spans="2:90" x14ac:dyDescent="0.2">
      <c r="B142" s="1176">
        <v>25</v>
      </c>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row>
    <row r="143" spans="2:90" x14ac:dyDescent="0.2">
      <c r="B143" s="1176">
        <v>26</v>
      </c>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row>
    <row r="144" spans="2:90" x14ac:dyDescent="0.2">
      <c r="B144" s="1176">
        <v>27</v>
      </c>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row>
    <row r="145" spans="2:90" x14ac:dyDescent="0.2">
      <c r="B145" s="1176">
        <v>28</v>
      </c>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row>
    <row r="146" spans="2:90" x14ac:dyDescent="0.2">
      <c r="B146" s="1176">
        <v>29</v>
      </c>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row>
    <row r="147" spans="2:90" x14ac:dyDescent="0.2">
      <c r="B147" s="1176">
        <v>30</v>
      </c>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row>
    <row r="148" spans="2:90" x14ac:dyDescent="0.2">
      <c r="B148" s="1176">
        <v>31</v>
      </c>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row>
    <row r="149" spans="2:90" x14ac:dyDescent="0.2">
      <c r="B149" s="1176">
        <v>32</v>
      </c>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row>
    <row r="150" spans="2:90" x14ac:dyDescent="0.2">
      <c r="B150" s="1176">
        <v>33</v>
      </c>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row>
    <row r="151" spans="2:90" x14ac:dyDescent="0.2">
      <c r="B151" s="1176">
        <v>34</v>
      </c>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row>
    <row r="152" spans="2:90" x14ac:dyDescent="0.2">
      <c r="B152" s="1176">
        <v>35</v>
      </c>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row>
    <row r="153" spans="2:90" x14ac:dyDescent="0.2">
      <c r="B153" s="1176">
        <v>36</v>
      </c>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row>
    <row r="154" spans="2:90" x14ac:dyDescent="0.2">
      <c r="B154" s="1176">
        <v>37</v>
      </c>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row>
    <row r="155" spans="2:90" x14ac:dyDescent="0.2">
      <c r="B155" s="1176">
        <v>38</v>
      </c>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row>
    <row r="156" spans="2:90" x14ac:dyDescent="0.2">
      <c r="B156" s="1176">
        <v>39</v>
      </c>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row>
    <row r="157" spans="2:90" x14ac:dyDescent="0.2">
      <c r="B157" s="1176">
        <v>40</v>
      </c>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row>
    <row r="158" spans="2:90" x14ac:dyDescent="0.2">
      <c r="B158" s="1176">
        <v>41</v>
      </c>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row>
    <row r="159" spans="2:90" x14ac:dyDescent="0.2">
      <c r="B159" s="1176">
        <v>42</v>
      </c>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row>
    <row r="160" spans="2:90" x14ac:dyDescent="0.2">
      <c r="B160" s="1176">
        <v>43</v>
      </c>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row>
    <row r="161" spans="2:90" x14ac:dyDescent="0.2">
      <c r="B161" s="1176">
        <v>44</v>
      </c>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row>
    <row r="162" spans="2:90" x14ac:dyDescent="0.2">
      <c r="B162" s="1176">
        <v>45</v>
      </c>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row>
    <row r="163" spans="2:90" x14ac:dyDescent="0.2">
      <c r="B163" s="1176">
        <v>46</v>
      </c>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row>
    <row r="164" spans="2:90" x14ac:dyDescent="0.2">
      <c r="B164" s="1176">
        <v>47</v>
      </c>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row>
    <row r="165" spans="2:90" x14ac:dyDescent="0.2">
      <c r="B165" s="1176">
        <v>48</v>
      </c>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row>
    <row r="166" spans="2:90" x14ac:dyDescent="0.2">
      <c r="B166" s="1176">
        <v>49</v>
      </c>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row>
    <row r="167" spans="2:90" x14ac:dyDescent="0.2">
      <c r="B167" s="1176">
        <v>50</v>
      </c>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row>
    <row r="168" spans="2:90" x14ac:dyDescent="0.2">
      <c r="B168" s="1176">
        <v>51</v>
      </c>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row>
    <row r="169" spans="2:90" x14ac:dyDescent="0.2">
      <c r="B169" s="1176">
        <v>52</v>
      </c>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row>
    <row r="170" spans="2:90" x14ac:dyDescent="0.2">
      <c r="B170" s="1176">
        <v>53</v>
      </c>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row>
    <row r="171" spans="2:90" x14ac:dyDescent="0.2">
      <c r="B171" s="1176">
        <v>54</v>
      </c>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row>
    <row r="172" spans="2:90" x14ac:dyDescent="0.2">
      <c r="B172" s="1176">
        <v>55</v>
      </c>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row>
    <row r="173" spans="2:90" x14ac:dyDescent="0.2">
      <c r="B173" s="1176">
        <v>56</v>
      </c>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row>
    <row r="174" spans="2:90" x14ac:dyDescent="0.2">
      <c r="B174" s="1176">
        <v>57</v>
      </c>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row>
    <row r="175" spans="2:90" x14ac:dyDescent="0.2">
      <c r="B175" s="1176">
        <v>58</v>
      </c>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row>
    <row r="176" spans="2:90" x14ac:dyDescent="0.2">
      <c r="B176" s="1176">
        <v>59</v>
      </c>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row>
    <row r="177" spans="2:90" x14ac:dyDescent="0.2">
      <c r="B177" s="1176">
        <v>60</v>
      </c>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row>
    <row r="178" spans="2:90" x14ac:dyDescent="0.2">
      <c r="B178" s="1176">
        <v>61</v>
      </c>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row>
    <row r="179" spans="2:90" x14ac:dyDescent="0.2">
      <c r="B179" s="1176">
        <v>62</v>
      </c>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row>
    <row r="180" spans="2:90" x14ac:dyDescent="0.2">
      <c r="B180" s="1176">
        <v>63</v>
      </c>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row>
    <row r="181" spans="2:90" x14ac:dyDescent="0.2">
      <c r="B181" s="1176">
        <v>64</v>
      </c>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row>
    <row r="182" spans="2:90" x14ac:dyDescent="0.2">
      <c r="B182" s="1176">
        <v>65</v>
      </c>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row>
    <row r="183" spans="2:90" x14ac:dyDescent="0.2">
      <c r="B183" s="1176">
        <v>66</v>
      </c>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row>
    <row r="184" spans="2:90" x14ac:dyDescent="0.2">
      <c r="B184" s="1176">
        <v>67</v>
      </c>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row>
    <row r="185" spans="2:90" x14ac:dyDescent="0.2">
      <c r="B185" s="1176">
        <v>68</v>
      </c>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row>
    <row r="186" spans="2:90" x14ac:dyDescent="0.2">
      <c r="B186" s="1176">
        <v>69</v>
      </c>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row>
    <row r="187" spans="2:90" x14ac:dyDescent="0.2">
      <c r="B187" s="1176">
        <v>70</v>
      </c>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row>
    <row r="188" spans="2:90" x14ac:dyDescent="0.2">
      <c r="B188" s="1176">
        <v>71</v>
      </c>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row>
    <row r="189" spans="2:90" x14ac:dyDescent="0.2">
      <c r="B189" s="1176">
        <v>72</v>
      </c>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row>
    <row r="190" spans="2:90" x14ac:dyDescent="0.2">
      <c r="B190" s="1176">
        <v>73</v>
      </c>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row>
    <row r="191" spans="2:90" x14ac:dyDescent="0.2">
      <c r="B191" s="1176">
        <v>74</v>
      </c>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row>
    <row r="192" spans="2:90" x14ac:dyDescent="0.2">
      <c r="B192" s="1176">
        <v>75</v>
      </c>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row>
    <row r="193" spans="2:90" x14ac:dyDescent="0.2">
      <c r="B193" s="1176">
        <v>76</v>
      </c>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row>
    <row r="194" spans="2:90" x14ac:dyDescent="0.2">
      <c r="B194" s="1176">
        <v>77</v>
      </c>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row>
    <row r="195" spans="2:90" x14ac:dyDescent="0.2">
      <c r="B195" s="1176">
        <v>78</v>
      </c>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row>
    <row r="196" spans="2:90" x14ac:dyDescent="0.2">
      <c r="B196" s="1176">
        <v>79</v>
      </c>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row>
    <row r="197" spans="2:90" x14ac:dyDescent="0.2">
      <c r="B197" s="1176">
        <v>80</v>
      </c>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row>
    <row r="198" spans="2:90" x14ac:dyDescent="0.2">
      <c r="B198" s="1176">
        <v>81</v>
      </c>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row>
    <row r="199" spans="2:90" x14ac:dyDescent="0.2">
      <c r="B199" s="1176">
        <v>82</v>
      </c>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row>
    <row r="200" spans="2:90" x14ac:dyDescent="0.2">
      <c r="B200" s="1176">
        <v>83</v>
      </c>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row>
    <row r="201" spans="2:90" x14ac:dyDescent="0.2">
      <c r="B201" s="1176">
        <v>84</v>
      </c>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row>
    <row r="202" spans="2:90" x14ac:dyDescent="0.2">
      <c r="B202" s="1176">
        <v>85</v>
      </c>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row>
    <row r="203" spans="2:90" x14ac:dyDescent="0.2">
      <c r="B203" s="1176">
        <v>86</v>
      </c>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row>
    <row r="204" spans="2:90" x14ac:dyDescent="0.2">
      <c r="B204" s="1176">
        <v>87</v>
      </c>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row>
    <row r="205" spans="2:90" x14ac:dyDescent="0.2">
      <c r="B205" s="1176">
        <v>88</v>
      </c>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row>
    <row r="206" spans="2:90" x14ac:dyDescent="0.2">
      <c r="B206" s="1176">
        <v>89</v>
      </c>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row>
    <row r="207" spans="2:90" x14ac:dyDescent="0.2">
      <c r="B207" s="1176">
        <v>90</v>
      </c>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row>
    <row r="208" spans="2:90" x14ac:dyDescent="0.2">
      <c r="B208" s="1176">
        <v>91</v>
      </c>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row>
    <row r="209" spans="2:90" x14ac:dyDescent="0.2">
      <c r="B209" s="1176">
        <v>92</v>
      </c>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row>
    <row r="210" spans="2:90" x14ac:dyDescent="0.2">
      <c r="B210" s="1176">
        <v>93</v>
      </c>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row>
    <row r="211" spans="2:90" x14ac:dyDescent="0.2">
      <c r="B211" s="1176">
        <v>94</v>
      </c>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row>
    <row r="212" spans="2:90" x14ac:dyDescent="0.2">
      <c r="B212" s="1176">
        <v>95</v>
      </c>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row>
    <row r="213" spans="2:90" x14ac:dyDescent="0.2">
      <c r="B213" s="1176">
        <v>96</v>
      </c>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row>
    <row r="214" spans="2:90" x14ac:dyDescent="0.2">
      <c r="B214" s="1176">
        <v>97</v>
      </c>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row>
    <row r="215" spans="2:90" x14ac:dyDescent="0.2">
      <c r="B215" s="1176">
        <v>98</v>
      </c>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row>
    <row r="216" spans="2:90" x14ac:dyDescent="0.2">
      <c r="B216" s="1176">
        <v>99</v>
      </c>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row>
    <row r="217" spans="2:90" x14ac:dyDescent="0.2">
      <c r="B217" s="1176">
        <v>100</v>
      </c>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row>
    <row r="218" spans="2:90" x14ac:dyDescent="0.2">
      <c r="B218" s="1176">
        <v>101</v>
      </c>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row>
    <row r="219" spans="2:90" x14ac:dyDescent="0.2">
      <c r="B219" s="1176">
        <v>102</v>
      </c>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row>
    <row r="220" spans="2:90" x14ac:dyDescent="0.2">
      <c r="B220" s="1176">
        <v>103</v>
      </c>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row>
    <row r="221" spans="2:90" x14ac:dyDescent="0.2">
      <c r="B221" s="1176">
        <v>104</v>
      </c>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row>
    <row r="222" spans="2:90" x14ac:dyDescent="0.2">
      <c r="B222" s="1176">
        <v>105</v>
      </c>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row>
    <row r="223" spans="2:90" x14ac:dyDescent="0.2">
      <c r="B223" s="1176">
        <v>106</v>
      </c>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row>
    <row r="224" spans="2:90" x14ac:dyDescent="0.2">
      <c r="B224" s="1176">
        <v>107</v>
      </c>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row>
    <row r="225" spans="2:90" x14ac:dyDescent="0.2">
      <c r="B225" s="1176">
        <v>108</v>
      </c>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row>
    <row r="226" spans="2:90" x14ac:dyDescent="0.2">
      <c r="B226" s="1176">
        <v>109</v>
      </c>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row>
    <row r="227" spans="2:90" x14ac:dyDescent="0.2">
      <c r="B227" s="1176">
        <v>110</v>
      </c>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row>
    <row r="228" spans="2:90" x14ac:dyDescent="0.2">
      <c r="B228" s="1176">
        <v>111</v>
      </c>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row>
    <row r="229" spans="2:90" x14ac:dyDescent="0.2">
      <c r="B229" s="1176">
        <v>112</v>
      </c>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row>
    <row r="230" spans="2:90" x14ac:dyDescent="0.2">
      <c r="B230" s="1176">
        <v>113</v>
      </c>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row>
    <row r="231" spans="2:90" x14ac:dyDescent="0.2">
      <c r="B231" s="1176">
        <v>114</v>
      </c>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row>
    <row r="232" spans="2:90" x14ac:dyDescent="0.2">
      <c r="B232" s="1176">
        <v>115</v>
      </c>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row>
    <row r="233" spans="2:90" x14ac:dyDescent="0.2">
      <c r="B233" s="1176">
        <v>116</v>
      </c>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row>
    <row r="234" spans="2:90" x14ac:dyDescent="0.2">
      <c r="B234" s="1176">
        <v>117</v>
      </c>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row>
    <row r="235" spans="2:90" x14ac:dyDescent="0.2">
      <c r="B235" s="1176">
        <v>118</v>
      </c>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row>
    <row r="236" spans="2:90" x14ac:dyDescent="0.2">
      <c r="B236" s="1176">
        <v>119</v>
      </c>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row>
    <row r="237" spans="2:90" x14ac:dyDescent="0.2">
      <c r="B237" s="1176">
        <v>120</v>
      </c>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row>
    <row r="238" spans="2:90" x14ac:dyDescent="0.2">
      <c r="B238" s="1176">
        <v>121</v>
      </c>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row>
    <row r="239" spans="2:90" x14ac:dyDescent="0.2">
      <c r="B239" s="1176">
        <v>122</v>
      </c>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row>
    <row r="240" spans="2:90" x14ac:dyDescent="0.2">
      <c r="B240" s="1176">
        <v>123</v>
      </c>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row>
    <row r="241" spans="2:90" x14ac:dyDescent="0.2">
      <c r="B241" s="1176">
        <v>124</v>
      </c>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row>
    <row r="242" spans="2:90" x14ac:dyDescent="0.2">
      <c r="B242" s="1176">
        <v>125</v>
      </c>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row>
    <row r="243" spans="2:90" x14ac:dyDescent="0.2">
      <c r="B243" s="1176">
        <v>126</v>
      </c>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row>
    <row r="244" spans="2:90" x14ac:dyDescent="0.2">
      <c r="B244" s="1176">
        <v>127</v>
      </c>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row>
    <row r="245" spans="2:90" x14ac:dyDescent="0.2">
      <c r="B245" s="1176">
        <v>128</v>
      </c>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row>
    <row r="246" spans="2:90" x14ac:dyDescent="0.2">
      <c r="B246" s="1176">
        <v>129</v>
      </c>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row>
    <row r="247" spans="2:90" x14ac:dyDescent="0.2">
      <c r="B247" s="1176">
        <v>130</v>
      </c>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row>
    <row r="248" spans="2:90" x14ac:dyDescent="0.2">
      <c r="B248" s="1176">
        <v>131</v>
      </c>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row>
    <row r="249" spans="2:90" x14ac:dyDescent="0.2">
      <c r="B249" s="1176">
        <v>132</v>
      </c>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row>
    <row r="250" spans="2:90" x14ac:dyDescent="0.2">
      <c r="B250" s="1176">
        <v>133</v>
      </c>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row>
    <row r="251" spans="2:90" x14ac:dyDescent="0.2">
      <c r="B251" s="1176">
        <v>134</v>
      </c>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row>
    <row r="252" spans="2:90" x14ac:dyDescent="0.2">
      <c r="B252" s="1176">
        <v>135</v>
      </c>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row>
    <row r="253" spans="2:90" x14ac:dyDescent="0.2">
      <c r="B253" s="1176">
        <v>136</v>
      </c>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row>
    <row r="254" spans="2:90" x14ac:dyDescent="0.2">
      <c r="B254" s="1176">
        <v>137</v>
      </c>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row>
    <row r="255" spans="2:90" x14ac:dyDescent="0.2">
      <c r="B255" s="1176">
        <v>138</v>
      </c>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row>
    <row r="256" spans="2:90" x14ac:dyDescent="0.2">
      <c r="B256" s="1176">
        <v>139</v>
      </c>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row>
    <row r="257" spans="2:90" x14ac:dyDescent="0.2">
      <c r="B257" s="1176">
        <v>140</v>
      </c>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row>
    <row r="258" spans="2:90" x14ac:dyDescent="0.2">
      <c r="B258" s="1176">
        <v>141</v>
      </c>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row>
    <row r="259" spans="2:90" x14ac:dyDescent="0.2">
      <c r="B259" s="1176">
        <v>142</v>
      </c>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row>
    <row r="260" spans="2:90" x14ac:dyDescent="0.2">
      <c r="B260" s="1176">
        <v>143</v>
      </c>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row>
    <row r="261" spans="2:90" x14ac:dyDescent="0.2">
      <c r="B261" s="1176">
        <v>144</v>
      </c>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row>
    <row r="262" spans="2:90" x14ac:dyDescent="0.2">
      <c r="B262" s="1176">
        <v>145</v>
      </c>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row>
    <row r="263" spans="2:90" x14ac:dyDescent="0.2">
      <c r="B263" s="1176">
        <v>146</v>
      </c>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row>
    <row r="264" spans="2:90" x14ac:dyDescent="0.2">
      <c r="B264" s="1176">
        <v>147</v>
      </c>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row>
    <row r="265" spans="2:90" x14ac:dyDescent="0.2">
      <c r="B265" s="1176">
        <v>148</v>
      </c>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row>
    <row r="266" spans="2:90" x14ac:dyDescent="0.2">
      <c r="B266" s="1176">
        <v>149</v>
      </c>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row>
    <row r="267" spans="2:90" x14ac:dyDescent="0.2">
      <c r="B267" s="1176">
        <v>150</v>
      </c>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row>
    <row r="268" spans="2:90" x14ac:dyDescent="0.2">
      <c r="B268" s="1176">
        <v>151</v>
      </c>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row>
    <row r="269" spans="2:90" x14ac:dyDescent="0.2">
      <c r="B269" s="1176">
        <v>152</v>
      </c>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row>
    <row r="270" spans="2:90" x14ac:dyDescent="0.2">
      <c r="B270" s="1176">
        <v>153</v>
      </c>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row>
    <row r="271" spans="2:90" x14ac:dyDescent="0.2">
      <c r="B271" s="1176">
        <v>154</v>
      </c>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row>
    <row r="272" spans="2:90" x14ac:dyDescent="0.2">
      <c r="B272" s="1176">
        <v>155</v>
      </c>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row>
    <row r="273" spans="2:90" x14ac:dyDescent="0.2">
      <c r="B273" s="1176">
        <v>156</v>
      </c>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row>
    <row r="274" spans="2:90" x14ac:dyDescent="0.2">
      <c r="B274" s="1176">
        <v>157</v>
      </c>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row>
    <row r="275" spans="2:90" x14ac:dyDescent="0.2">
      <c r="B275" s="1176">
        <v>158</v>
      </c>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row>
    <row r="276" spans="2:90" x14ac:dyDescent="0.2">
      <c r="B276" s="1176">
        <v>159</v>
      </c>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row>
    <row r="277" spans="2:90" x14ac:dyDescent="0.2">
      <c r="B277" s="1176">
        <v>160</v>
      </c>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row>
    <row r="278" spans="2:90" x14ac:dyDescent="0.2">
      <c r="B278" s="1176">
        <v>161</v>
      </c>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row>
    <row r="279" spans="2:90" x14ac:dyDescent="0.2">
      <c r="B279" s="1176">
        <v>162</v>
      </c>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row>
    <row r="280" spans="2:90" x14ac:dyDescent="0.2">
      <c r="B280" s="1176">
        <v>163</v>
      </c>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row>
    <row r="281" spans="2:90" x14ac:dyDescent="0.2">
      <c r="B281" s="1176">
        <v>164</v>
      </c>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row>
    <row r="282" spans="2:90" x14ac:dyDescent="0.2">
      <c r="B282" s="1176">
        <v>165</v>
      </c>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row>
    <row r="283" spans="2:90" x14ac:dyDescent="0.2">
      <c r="B283" s="1176">
        <v>166</v>
      </c>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row>
    <row r="284" spans="2:90" x14ac:dyDescent="0.2">
      <c r="B284" s="1176">
        <v>167</v>
      </c>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row>
    <row r="285" spans="2:90" x14ac:dyDescent="0.2">
      <c r="B285" s="1176">
        <v>168</v>
      </c>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row>
    <row r="286" spans="2:90" x14ac:dyDescent="0.2">
      <c r="B286" s="1176">
        <v>169</v>
      </c>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row>
    <row r="287" spans="2:90" x14ac:dyDescent="0.2">
      <c r="B287" s="1176">
        <v>170</v>
      </c>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row>
    <row r="288" spans="2:90" x14ac:dyDescent="0.2">
      <c r="B288" s="1176">
        <v>171</v>
      </c>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row>
    <row r="289" spans="2:90" x14ac:dyDescent="0.2">
      <c r="B289" s="1176">
        <v>172</v>
      </c>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row>
    <row r="290" spans="2:90" x14ac:dyDescent="0.2">
      <c r="B290" s="1176">
        <v>173</v>
      </c>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row>
    <row r="291" spans="2:90" x14ac:dyDescent="0.2">
      <c r="B291" s="1176">
        <v>174</v>
      </c>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row>
    <row r="292" spans="2:90" x14ac:dyDescent="0.2">
      <c r="B292" s="1176">
        <v>175</v>
      </c>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row>
    <row r="293" spans="2:90" x14ac:dyDescent="0.2">
      <c r="B293" s="1176">
        <v>176</v>
      </c>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row>
    <row r="294" spans="2:90" x14ac:dyDescent="0.2">
      <c r="B294" s="1176">
        <v>177</v>
      </c>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row>
    <row r="295" spans="2:90" x14ac:dyDescent="0.2">
      <c r="B295" s="1176">
        <v>178</v>
      </c>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row>
    <row r="296" spans="2:90" x14ac:dyDescent="0.2">
      <c r="B296" s="1176">
        <v>179</v>
      </c>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row>
    <row r="297" spans="2:90" x14ac:dyDescent="0.2">
      <c r="B297" s="1176">
        <v>180</v>
      </c>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row>
    <row r="298" spans="2:90" x14ac:dyDescent="0.2">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row>
    <row r="299" spans="2:90" x14ac:dyDescent="0.2">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row>
    <row r="300" spans="2:90" x14ac:dyDescent="0.2">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row>
    <row r="301" spans="2:90" x14ac:dyDescent="0.2">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row>
    <row r="302" spans="2:90" x14ac:dyDescent="0.2">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row>
    <row r="303" spans="2:90" x14ac:dyDescent="0.2">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row>
    <row r="304" spans="2:90" x14ac:dyDescent="0.2">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row>
    <row r="305" spans="17:90" x14ac:dyDescent="0.2">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row>
    <row r="306" spans="17:90" x14ac:dyDescent="0.2">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row>
    <row r="307" spans="17:90" x14ac:dyDescent="0.2">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row>
    <row r="308" spans="17:90" x14ac:dyDescent="0.2">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row>
    <row r="309" spans="17:90" x14ac:dyDescent="0.2">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row>
    <row r="310" spans="17:90" x14ac:dyDescent="0.2">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row>
    <row r="311" spans="17:90" x14ac:dyDescent="0.2">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row>
    <row r="312" spans="17:90" x14ac:dyDescent="0.2">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row>
    <row r="313" spans="17:90" x14ac:dyDescent="0.2">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row>
    <row r="314" spans="17:90" x14ac:dyDescent="0.2">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row>
    <row r="315" spans="17:90" x14ac:dyDescent="0.2">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row>
    <row r="316" spans="17:90" x14ac:dyDescent="0.2">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row>
    <row r="317" spans="17:90" x14ac:dyDescent="0.2">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row>
    <row r="318" spans="17:90" x14ac:dyDescent="0.2">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row>
    <row r="319" spans="17:90" x14ac:dyDescent="0.2">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row>
    <row r="320" spans="17:90" x14ac:dyDescent="0.2">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row>
    <row r="321" spans="17:90" x14ac:dyDescent="0.2">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row>
    <row r="322" spans="17:90" x14ac:dyDescent="0.2">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row>
    <row r="323" spans="17:90" x14ac:dyDescent="0.2">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row>
    <row r="324" spans="17:90" x14ac:dyDescent="0.2">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row>
    <row r="325" spans="17:90" x14ac:dyDescent="0.2">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row>
    <row r="326" spans="17:90" x14ac:dyDescent="0.2">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row>
    <row r="327" spans="17:90" x14ac:dyDescent="0.2">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row>
    <row r="328" spans="17:90" x14ac:dyDescent="0.2">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row>
    <row r="329" spans="17:90" x14ac:dyDescent="0.2">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row>
    <row r="330" spans="17:90" x14ac:dyDescent="0.2">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row>
    <row r="331" spans="17:90" x14ac:dyDescent="0.2">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row>
    <row r="332" spans="17:90" x14ac:dyDescent="0.2">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row>
    <row r="333" spans="17:90" x14ac:dyDescent="0.2">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row>
    <row r="334" spans="17:90" x14ac:dyDescent="0.2">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row>
    <row r="335" spans="17:90" x14ac:dyDescent="0.2">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row>
    <row r="336" spans="17:90" x14ac:dyDescent="0.2">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row>
    <row r="337" spans="17:90" x14ac:dyDescent="0.2">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row>
    <row r="338" spans="17:90" x14ac:dyDescent="0.2">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row>
    <row r="339" spans="17:90" x14ac:dyDescent="0.2">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row>
    <row r="340" spans="17:90" x14ac:dyDescent="0.2">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row>
    <row r="341" spans="17:90" x14ac:dyDescent="0.2">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row>
    <row r="342" spans="17:90" x14ac:dyDescent="0.2">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row>
    <row r="343" spans="17:90" x14ac:dyDescent="0.2">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row>
    <row r="344" spans="17:90" x14ac:dyDescent="0.2">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row>
    <row r="345" spans="17:90" x14ac:dyDescent="0.2">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row>
    <row r="346" spans="17:90" x14ac:dyDescent="0.2">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row>
    <row r="347" spans="17:90" x14ac:dyDescent="0.2">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row>
    <row r="348" spans="17:90" x14ac:dyDescent="0.2">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row>
    <row r="349" spans="17:90" x14ac:dyDescent="0.2">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row>
    <row r="350" spans="17:90" x14ac:dyDescent="0.2">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row>
    <row r="351" spans="17:90" x14ac:dyDescent="0.2">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row>
    <row r="352" spans="17:90" x14ac:dyDescent="0.2">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row>
    <row r="353" spans="17:90" x14ac:dyDescent="0.2">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row>
    <row r="354" spans="17:90" x14ac:dyDescent="0.2">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row>
    <row r="355" spans="17:90" x14ac:dyDescent="0.2">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row>
    <row r="356" spans="17:90" x14ac:dyDescent="0.2">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row>
    <row r="357" spans="17:90" x14ac:dyDescent="0.2">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row>
    <row r="358" spans="17:90" x14ac:dyDescent="0.2">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row>
    <row r="359" spans="17:90" x14ac:dyDescent="0.2">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row>
    <row r="360" spans="17:90" x14ac:dyDescent="0.2">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row>
    <row r="361" spans="17:90" x14ac:dyDescent="0.2">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row>
    <row r="362" spans="17:90" x14ac:dyDescent="0.2">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row>
    <row r="363" spans="17:90" x14ac:dyDescent="0.2">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row>
    <row r="364" spans="17:90" x14ac:dyDescent="0.2">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row>
    <row r="365" spans="17:90" x14ac:dyDescent="0.2">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row>
    <row r="366" spans="17:90" x14ac:dyDescent="0.2">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row>
    <row r="367" spans="17:90" x14ac:dyDescent="0.2">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row>
    <row r="368" spans="17:90" x14ac:dyDescent="0.2">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row>
    <row r="369" spans="17:90" x14ac:dyDescent="0.2">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row>
    <row r="370" spans="17:90" x14ac:dyDescent="0.2">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row>
    <row r="371" spans="17:90" x14ac:dyDescent="0.2">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row>
    <row r="372" spans="17:90" x14ac:dyDescent="0.2">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row>
    <row r="373" spans="17:90" x14ac:dyDescent="0.2">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row>
    <row r="374" spans="17:90" x14ac:dyDescent="0.2">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row>
    <row r="375" spans="17:90" x14ac:dyDescent="0.2">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row>
    <row r="376" spans="17:90" x14ac:dyDescent="0.2">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row>
    <row r="377" spans="17:90" x14ac:dyDescent="0.2">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row>
    <row r="378" spans="17:90" x14ac:dyDescent="0.2">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row>
    <row r="379" spans="17:90" x14ac:dyDescent="0.2">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row>
    <row r="380" spans="17:90" x14ac:dyDescent="0.2">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row>
    <row r="381" spans="17:90" x14ac:dyDescent="0.2">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row>
    <row r="382" spans="17:90" x14ac:dyDescent="0.2">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row>
    <row r="383" spans="17:90" x14ac:dyDescent="0.2">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row>
    <row r="384" spans="17:90" x14ac:dyDescent="0.2">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row>
    <row r="385" spans="17:90" x14ac:dyDescent="0.2">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row>
    <row r="386" spans="17:90" x14ac:dyDescent="0.2">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row>
    <row r="387" spans="17:90" x14ac:dyDescent="0.2">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row>
    <row r="388" spans="17:90" x14ac:dyDescent="0.2">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row>
    <row r="389" spans="17:90" x14ac:dyDescent="0.2">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row>
    <row r="390" spans="17:90" x14ac:dyDescent="0.2">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row>
  </sheetData>
  <sheetProtection sheet="1" objects="1" scenarios="1"/>
  <mergeCells count="321">
    <mergeCell ref="F77:G77"/>
    <mergeCell ref="B73:P73"/>
    <mergeCell ref="B74:P74"/>
    <mergeCell ref="C77:D77"/>
    <mergeCell ref="F69:G69"/>
    <mergeCell ref="I76:J76"/>
    <mergeCell ref="C72:M72"/>
    <mergeCell ref="F75:G75"/>
    <mergeCell ref="C75:D75"/>
    <mergeCell ref="I75:J75"/>
    <mergeCell ref="C66:D66"/>
    <mergeCell ref="F68:G68"/>
    <mergeCell ref="F71:G71"/>
    <mergeCell ref="L69:M69"/>
    <mergeCell ref="C70:D70"/>
    <mergeCell ref="F70:G70"/>
    <mergeCell ref="C69:D69"/>
    <mergeCell ref="B70:B71"/>
    <mergeCell ref="L66:M66"/>
    <mergeCell ref="I67:J67"/>
    <mergeCell ref="C68:D68"/>
    <mergeCell ref="C71:D71"/>
    <mergeCell ref="I69:J69"/>
    <mergeCell ref="I70:J70"/>
    <mergeCell ref="L65:M65"/>
    <mergeCell ref="C60:D60"/>
    <mergeCell ref="I57:J57"/>
    <mergeCell ref="L60:M60"/>
    <mergeCell ref="C59:D59"/>
    <mergeCell ref="I65:J65"/>
    <mergeCell ref="I61:J61"/>
    <mergeCell ref="C63:M63"/>
    <mergeCell ref="C62:D62"/>
    <mergeCell ref="F62:G62"/>
    <mergeCell ref="I62:J62"/>
    <mergeCell ref="L62:M62"/>
    <mergeCell ref="F64:G64"/>
    <mergeCell ref="C61:D61"/>
    <mergeCell ref="L61:M61"/>
    <mergeCell ref="L64:M64"/>
    <mergeCell ref="G97:H97"/>
    <mergeCell ref="I92:J92"/>
    <mergeCell ref="I93:J93"/>
    <mergeCell ref="I97:J97"/>
    <mergeCell ref="B87:O87"/>
    <mergeCell ref="L76:M76"/>
    <mergeCell ref="L82:M82"/>
    <mergeCell ref="C83:D83"/>
    <mergeCell ref="L83:M83"/>
    <mergeCell ref="F78:G78"/>
    <mergeCell ref="B77:B78"/>
    <mergeCell ref="E93:F93"/>
    <mergeCell ref="G96:H96"/>
    <mergeCell ref="F80:G80"/>
    <mergeCell ref="I96:J96"/>
    <mergeCell ref="C78:D78"/>
    <mergeCell ref="I78:J78"/>
    <mergeCell ref="B88:J88"/>
    <mergeCell ref="B79:B80"/>
    <mergeCell ref="L79:M79"/>
    <mergeCell ref="B85:O85"/>
    <mergeCell ref="I79:J79"/>
    <mergeCell ref="L80:M80"/>
    <mergeCell ref="C81:M81"/>
    <mergeCell ref="P90:P99"/>
    <mergeCell ref="F79:G79"/>
    <mergeCell ref="V42:V43"/>
    <mergeCell ref="T42:T43"/>
    <mergeCell ref="U42:U43"/>
    <mergeCell ref="S42:S43"/>
    <mergeCell ref="L56:M56"/>
    <mergeCell ref="L55:M55"/>
    <mergeCell ref="L70:M70"/>
    <mergeCell ref="G95:H95"/>
    <mergeCell ref="F65:G65"/>
    <mergeCell ref="F66:G66"/>
    <mergeCell ref="I66:J66"/>
    <mergeCell ref="I68:J68"/>
    <mergeCell ref="L67:M67"/>
    <mergeCell ref="L68:M68"/>
    <mergeCell ref="F60:G60"/>
    <mergeCell ref="I60:J60"/>
    <mergeCell ref="I59:J59"/>
    <mergeCell ref="L42:M42"/>
    <mergeCell ref="B89:O89"/>
    <mergeCell ref="I91:J91"/>
    <mergeCell ref="C76:D76"/>
    <mergeCell ref="C64:D64"/>
    <mergeCell ref="L51:M51"/>
    <mergeCell ref="L58:M58"/>
    <mergeCell ref="L52:M52"/>
    <mergeCell ref="L57:M57"/>
    <mergeCell ref="L53:M53"/>
    <mergeCell ref="C54:M54"/>
    <mergeCell ref="C55:D55"/>
    <mergeCell ref="I58:J58"/>
    <mergeCell ref="I56:J56"/>
    <mergeCell ref="C57:D57"/>
    <mergeCell ref="C52:D52"/>
    <mergeCell ref="C53:D53"/>
    <mergeCell ref="I53:J53"/>
    <mergeCell ref="I51:J51"/>
    <mergeCell ref="C51:D51"/>
    <mergeCell ref="F51:G51"/>
    <mergeCell ref="F57:G57"/>
    <mergeCell ref="F56:G56"/>
    <mergeCell ref="F53:G53"/>
    <mergeCell ref="F55:G55"/>
    <mergeCell ref="V6:W6"/>
    <mergeCell ref="B20:O20"/>
    <mergeCell ref="B37:O37"/>
    <mergeCell ref="B19:G19"/>
    <mergeCell ref="H19:O19"/>
    <mergeCell ref="C17:D17"/>
    <mergeCell ref="C14:D14"/>
    <mergeCell ref="E7:F7"/>
    <mergeCell ref="E8:F8"/>
    <mergeCell ref="T6:U6"/>
    <mergeCell ref="G6:J6"/>
    <mergeCell ref="I7:J7"/>
    <mergeCell ref="I9:J9"/>
    <mergeCell ref="C9:D9"/>
    <mergeCell ref="C7:D7"/>
    <mergeCell ref="G7:H7"/>
    <mergeCell ref="G9:H9"/>
    <mergeCell ref="P36:P72"/>
    <mergeCell ref="L43:M43"/>
    <mergeCell ref="F52:G52"/>
    <mergeCell ref="C67:D67"/>
    <mergeCell ref="F67:G67"/>
    <mergeCell ref="I64:J64"/>
    <mergeCell ref="C65:D65"/>
    <mergeCell ref="B25:O25"/>
    <mergeCell ref="B26:O26"/>
    <mergeCell ref="B24:O24"/>
    <mergeCell ref="E108:F108"/>
    <mergeCell ref="C80:D80"/>
    <mergeCell ref="B91:D91"/>
    <mergeCell ref="E91:F91"/>
    <mergeCell ref="B92:D92"/>
    <mergeCell ref="B98:D98"/>
    <mergeCell ref="E98:F98"/>
    <mergeCell ref="B100:P100"/>
    <mergeCell ref="C82:D82"/>
    <mergeCell ref="B97:D97"/>
    <mergeCell ref="G93:H93"/>
    <mergeCell ref="I98:J98"/>
    <mergeCell ref="G98:H98"/>
    <mergeCell ref="B84:O84"/>
    <mergeCell ref="I83:J83"/>
    <mergeCell ref="I95:J95"/>
    <mergeCell ref="I94:J94"/>
    <mergeCell ref="K93:O95"/>
    <mergeCell ref="G90:J90"/>
    <mergeCell ref="E97:F97"/>
    <mergeCell ref="B96:D96"/>
    <mergeCell ref="E15:F15"/>
    <mergeCell ref="E18:F18"/>
    <mergeCell ref="C16:D16"/>
    <mergeCell ref="B2:P2"/>
    <mergeCell ref="B3:P3"/>
    <mergeCell ref="B4:P4"/>
    <mergeCell ref="B5:O5"/>
    <mergeCell ref="E12:F12"/>
    <mergeCell ref="O38:O39"/>
    <mergeCell ref="C11:D11"/>
    <mergeCell ref="B28:O30"/>
    <mergeCell ref="B34:O34"/>
    <mergeCell ref="E9:F9"/>
    <mergeCell ref="G14:O14"/>
    <mergeCell ref="E10:F10"/>
    <mergeCell ref="C8:D8"/>
    <mergeCell ref="C13:D13"/>
    <mergeCell ref="E11:F11"/>
    <mergeCell ref="P31:P32"/>
    <mergeCell ref="P28:P30"/>
    <mergeCell ref="K13:O13"/>
    <mergeCell ref="C10:D10"/>
    <mergeCell ref="G12:O12"/>
    <mergeCell ref="C6:F6"/>
    <mergeCell ref="F50:G50"/>
    <mergeCell ref="C44:D44"/>
    <mergeCell ref="C49:D49"/>
    <mergeCell ref="C12:D12"/>
    <mergeCell ref="E13:F13"/>
    <mergeCell ref="E14:F14"/>
    <mergeCell ref="G13:H13"/>
    <mergeCell ref="P5:P18"/>
    <mergeCell ref="I11:J11"/>
    <mergeCell ref="G10:O10"/>
    <mergeCell ref="K11:O11"/>
    <mergeCell ref="E16:F16"/>
    <mergeCell ref="K7:O7"/>
    <mergeCell ref="G8:O8"/>
    <mergeCell ref="K9:O9"/>
    <mergeCell ref="I13:J13"/>
    <mergeCell ref="K6:O6"/>
    <mergeCell ref="G11:H11"/>
    <mergeCell ref="K17:O17"/>
    <mergeCell ref="K15:O15"/>
    <mergeCell ref="I17:J17"/>
    <mergeCell ref="I15:J15"/>
    <mergeCell ref="G15:H15"/>
    <mergeCell ref="G16:O16"/>
    <mergeCell ref="B27:O27"/>
    <mergeCell ref="C41:D41"/>
    <mergeCell ref="F43:G43"/>
    <mergeCell ref="I42:J42"/>
    <mergeCell ref="I41:J41"/>
    <mergeCell ref="C43:D43"/>
    <mergeCell ref="C42:D42"/>
    <mergeCell ref="I43:J43"/>
    <mergeCell ref="F38:G39"/>
    <mergeCell ref="I38:K39"/>
    <mergeCell ref="L38:M39"/>
    <mergeCell ref="H38:H39"/>
    <mergeCell ref="B38:B39"/>
    <mergeCell ref="C38:E39"/>
    <mergeCell ref="L41:M41"/>
    <mergeCell ref="F40:G40"/>
    <mergeCell ref="F41:G41"/>
    <mergeCell ref="F42:G42"/>
    <mergeCell ref="L40:M40"/>
    <mergeCell ref="B35:O35"/>
    <mergeCell ref="B31:O31"/>
    <mergeCell ref="F46:G46"/>
    <mergeCell ref="I46:J46"/>
    <mergeCell ref="C56:D56"/>
    <mergeCell ref="C58:D58"/>
    <mergeCell ref="F58:G58"/>
    <mergeCell ref="I55:J55"/>
    <mergeCell ref="I40:J40"/>
    <mergeCell ref="B32:O32"/>
    <mergeCell ref="N38:N39"/>
    <mergeCell ref="C50:D50"/>
    <mergeCell ref="F45:G45"/>
    <mergeCell ref="I44:J44"/>
    <mergeCell ref="I45:J45"/>
    <mergeCell ref="F49:G49"/>
    <mergeCell ref="F44:G44"/>
    <mergeCell ref="C45:D45"/>
    <mergeCell ref="I49:J49"/>
    <mergeCell ref="F47:G47"/>
    <mergeCell ref="F48:G48"/>
    <mergeCell ref="I48:J48"/>
    <mergeCell ref="C47:D47"/>
    <mergeCell ref="C48:D48"/>
    <mergeCell ref="I50:J50"/>
    <mergeCell ref="I47:J47"/>
    <mergeCell ref="C1:J1"/>
    <mergeCell ref="L1:P1"/>
    <mergeCell ref="B46:B47"/>
    <mergeCell ref="B48:B49"/>
    <mergeCell ref="B50:B51"/>
    <mergeCell ref="B33:O33"/>
    <mergeCell ref="I52:J52"/>
    <mergeCell ref="L50:M50"/>
    <mergeCell ref="L78:M78"/>
    <mergeCell ref="B57:B58"/>
    <mergeCell ref="B59:B60"/>
    <mergeCell ref="B61:B62"/>
    <mergeCell ref="B68:B69"/>
    <mergeCell ref="L71:M71"/>
    <mergeCell ref="I71:J71"/>
    <mergeCell ref="L77:M77"/>
    <mergeCell ref="L75:M75"/>
    <mergeCell ref="I77:J77"/>
    <mergeCell ref="P75:P83"/>
    <mergeCell ref="F76:G76"/>
    <mergeCell ref="F82:G82"/>
    <mergeCell ref="B21:O21"/>
    <mergeCell ref="E17:F17"/>
    <mergeCell ref="G17:H17"/>
    <mergeCell ref="L44:M44"/>
    <mergeCell ref="B22:O22"/>
    <mergeCell ref="Y7:Z7"/>
    <mergeCell ref="Y9:Z9"/>
    <mergeCell ref="R22:R25"/>
    <mergeCell ref="R29:S30"/>
    <mergeCell ref="R39:R40"/>
    <mergeCell ref="S37:T38"/>
    <mergeCell ref="I80:J80"/>
    <mergeCell ref="C40:D40"/>
    <mergeCell ref="B23:O23"/>
    <mergeCell ref="C18:D18"/>
    <mergeCell ref="G18:O18"/>
    <mergeCell ref="C15:D15"/>
    <mergeCell ref="L49:M49"/>
    <mergeCell ref="F59:G59"/>
    <mergeCell ref="L59:M59"/>
    <mergeCell ref="F61:G61"/>
    <mergeCell ref="B36:O36"/>
    <mergeCell ref="L48:M48"/>
    <mergeCell ref="L47:M47"/>
    <mergeCell ref="C46:D46"/>
    <mergeCell ref="L46:M46"/>
    <mergeCell ref="L45:M45"/>
    <mergeCell ref="R86:R87"/>
    <mergeCell ref="B106:C108"/>
    <mergeCell ref="K99:O99"/>
    <mergeCell ref="B99:J99"/>
    <mergeCell ref="C101:H101"/>
    <mergeCell ref="I101:N101"/>
    <mergeCell ref="B52:B53"/>
    <mergeCell ref="K90:O92"/>
    <mergeCell ref="B93:D93"/>
    <mergeCell ref="B95:D95"/>
    <mergeCell ref="E95:F95"/>
    <mergeCell ref="E92:F92"/>
    <mergeCell ref="B94:D94"/>
    <mergeCell ref="E94:F94"/>
    <mergeCell ref="G91:H91"/>
    <mergeCell ref="B90:F90"/>
    <mergeCell ref="G94:H94"/>
    <mergeCell ref="K88:O88"/>
    <mergeCell ref="C79:D79"/>
    <mergeCell ref="I82:J82"/>
    <mergeCell ref="B86:O86"/>
    <mergeCell ref="E96:F96"/>
    <mergeCell ref="F83:G83"/>
    <mergeCell ref="G92:H92"/>
  </mergeCells>
  <phoneticPr fontId="0" type="noConversion"/>
  <conditionalFormatting sqref="G91:H91">
    <cfRule type="cellIs" dxfId="5" priority="1" stopIfTrue="1" operator="greaterThanOrEqual">
      <formula>$Y$91</formula>
    </cfRule>
  </conditionalFormatting>
  <dataValidations xWindow="448" yWindow="661" count="22">
    <dataValidation type="decimal" operator="equal" allowBlank="1" showInputMessage="1" showErrorMessage="1" promptTitle="Shoulder surgery" prompt="Select type of surgery performed, if any." sqref="A22" xr:uid="{00000000-0002-0000-0A00-000004000000}">
      <formula1>T22</formula1>
    </dataValidation>
    <dataValidation type="decimal" operator="equal" allowBlank="1" showInputMessage="1" showErrorMessage="1" promptTitle="Shoulder" prompt="Check box or boxes that apply." sqref="A31" xr:uid="{00000000-0002-0000-0A00-000005000000}">
      <formula1>T31</formula1>
    </dataValidation>
    <dataValidation type="decimal" operator="equal" allowBlank="1" showInputMessage="1" showErrorMessage="1" promptTitle="Shoulder" prompt="Check &quot;Yes&quot; if the chronic condition criteria have been met." sqref="A88" xr:uid="{00000000-0002-0000-0A00-000006000000}">
      <formula1>S88</formula1>
    </dataValidation>
    <dataValidation allowBlank="1" showInputMessage="1" showErrorMessage="1" promptTitle="End of worksheet" prompt="Press TAB to return to top of sheet." sqref="P101" xr:uid="{00000000-0002-0000-0A00-000007000000}"/>
    <dataValidation type="decimal" allowBlank="1" showInputMessage="1" showErrorMessage="1" promptTitle="Apportionment (if any)" prompt="Enter percentage of impairment caused by the injury or illness. See OAR 436-035-0013." sqref="G91:H91 G97:H98" xr:uid="{00000000-0002-0000-0A00-000013000000}">
      <formula1>$B$109</formula1>
      <formula2>$C$109</formula2>
    </dataValidation>
    <dataValidation type="list" showInputMessage="1" showErrorMessage="1" promptTitle="Shoulder ROM" prompt="Enter retained degrees of motion, internal rotation.  If joint was not affected by the injury, select &quot;NA&quot; or leave blank." sqref="C15:D15" xr:uid="{00000000-0002-0000-0A00-000000000000}">
      <formula1>$B$116:$B$207</formula1>
    </dataValidation>
    <dataValidation type="list" showInputMessage="1" showErrorMessage="1" promptTitle="Shoulder" prompt="Enter degrees of internal rotation ankylosis.  If joint was not affected by the injury, select &quot;NA&quot; or leave blank." sqref="C16:D16" xr:uid="{00000000-0002-0000-0A00-000001000000}">
      <formula1>$B$116:$B$207</formula1>
    </dataValidation>
    <dataValidation type="list" showInputMessage="1" showErrorMessage="1" promptTitle="Shoulder ROM" prompt="Enter retained degrees of motion, external rotation.  If joint was not affected by the injury, select &quot;NA&quot; or leave blank." sqref="C17:D17" xr:uid="{00000000-0002-0000-0A00-000002000000}">
      <formula1>$B$116:$B$207</formula1>
    </dataValidation>
    <dataValidation type="list" showInputMessage="1" showErrorMessage="1" promptTitle="Shoulder" prompt="Enter degrees of external rotation ankylosis.  If joint was not affected by the injury, select &quot;NA&quot; or leave blank." sqref="C18:D18" xr:uid="{00000000-0002-0000-0A00-000003000000}">
      <formula1>$B$116:$B$207</formula1>
    </dataValidation>
    <dataValidation type="list" showInputMessage="1" showErrorMessage="1" promptTitle="Shoulder ROM" prompt="Enter retained degrees of motion, forward elevation (flexion). If joint was not affected by the injury, select &quot;NA&quot; or leave blank." sqref="C7:D7" xr:uid="{00000000-0002-0000-0A00-00000A000000}">
      <formula1>$B$116:$B$297</formula1>
    </dataValidation>
    <dataValidation type="list" showInputMessage="1" showErrorMessage="1" promptTitle="Shoulder" prompt="Enter degrees of forward elevation (flexion) ankylosis. If joint was not affected by the injury, select &quot;NA&quot; or leave blank." sqref="C8:D8" xr:uid="{00000000-0002-0000-0A00-00000B000000}">
      <formula1>$B$116:$B$297</formula1>
    </dataValidation>
    <dataValidation type="list" showInputMessage="1" showErrorMessage="1" promptTitle="Shoulder ROM" prompt="Enter retained degrees of motion, backward elevation (extension). If joint was not affected by the injury, select &quot;NA&quot; or leave blank." sqref="C9:D9" xr:uid="{00000000-0002-0000-0A00-00000C000000}">
      <formula1>$B$116:$B$167</formula1>
    </dataValidation>
    <dataValidation type="list" showInputMessage="1" showErrorMessage="1" promptTitle="Shoulder" prompt="Enter degrees of backward elevation (extension) ankylosis.  If joint was not affected by the injury, select &quot;NA&quot; or leave blank." sqref="C10:D10" xr:uid="{00000000-0002-0000-0A00-00000D000000}">
      <formula1>$B$116:$B$167</formula1>
    </dataValidation>
    <dataValidation type="list" showInputMessage="1" showErrorMessage="1" promptTitle="Shoulder ROM" prompt="Enter retained degrees of motion,abduction. If joint was not affected by the injury, select &quot;NA&quot; or leave blank." sqref="C11:D11" xr:uid="{00000000-0002-0000-0A00-00000E000000}">
      <formula1>$B$116:$B$297</formula1>
    </dataValidation>
    <dataValidation type="list" showInputMessage="1" showErrorMessage="1" promptTitle="Shoulder" prompt="Enter degrees of abduction ankylosis. If joint was not affected by the injury, select &quot;NA&quot; or leave blank." sqref="C12:D12" xr:uid="{00000000-0002-0000-0A00-00000F000000}">
      <formula1>$B$116:$B$297</formula1>
    </dataValidation>
    <dataValidation type="list" showInputMessage="1" showErrorMessage="1" promptTitle="Shoulder ROM" prompt="Enter retained degrees of motion, adduction. If joint was not affected by the injury, select &quot;NA&quot; or leave blank." sqref="C13:D13" xr:uid="{00000000-0002-0000-0A00-000010000000}">
      <formula1>$B$116:$B$167</formula1>
    </dataValidation>
    <dataValidation type="list" showInputMessage="1" showErrorMessage="1" promptTitle="Shoulder" prompt="Enter degrees of adduction ankylosis.  If joint was not affected by the injury, select &quot;NA&quot; or leave blank." sqref="C14:D14" xr:uid="{00000000-0002-0000-0A00-000011000000}">
      <formula1>$B$116:$B$167</formula1>
    </dataValidation>
    <dataValidation type="list" showInputMessage="1" showErrorMessage="1" promptTitle="Contralateral comparison" prompt="Enter retained degrees of motion or &quot;NA&quot; if contralateral joint has a history of injury or disease." sqref="G17:H17 G15:H15" xr:uid="{00000000-0002-0000-0A00-000012000000}">
      <formula1>$B$116:$B$207</formula1>
    </dataValidation>
    <dataValidation type="list" showInputMessage="1" showErrorMessage="1" promptTitle="Contralateral comparison" prompt="Enter retained degrees of motion or &quot;NA&quot; if contralateral joint has a history of injury or disease." sqref="G7:H7 G11:H11" xr:uid="{97CE18B9-C965-4546-AF45-D580A82C1AC6}">
      <formula1>$B$116:$B$297</formula1>
    </dataValidation>
    <dataValidation type="list" showInputMessage="1" showErrorMessage="1" promptTitle="Contralateral comparison" prompt="Enter retained degrees of motion or &quot;NA&quot; if contralateral joint has a history of injury or disease." sqref="G9:H9 G13:H13" xr:uid="{8950C5CD-992E-44A7-9516-D29B24BFEB35}">
      <formula1>$B$116:$B$167</formula1>
    </dataValidation>
    <dataValidation type="list" allowBlank="1" showInputMessage="1" showErrorMessage="1" promptTitle="Strength grade" prompt="Record strength using the 0 to 5  grading system as described in OAR 436-035-0011." sqref="F40:G40 F42:G42 F44:G44 F46:G46 F48:G48 F50:G50 F52:G52 F55:G55 F57:G57 F59:G59 F61:G61 F64:G64 F66:G66 F68:G68 F70:G70 F75:G75 F77:G77 F79:G79 F82:G82" xr:uid="{00000000-0002-0000-0A00-000008000000}">
      <formula1>$T$39:$AH$39</formula1>
    </dataValidation>
    <dataValidation type="list" allowBlank="1" showInputMessage="1" showErrorMessage="1" promptTitle="Strength grade" prompt="Record strength using the 0 to 5  grading system as described in OAR 436-035-0011, or enter &quot;NA&quot; if the part has a history of injury or disease." sqref="L40:M40 L42:M42 L44:M44 L46:M46 L48:M48 L50:M50 L52:M52 L55:M55 L57:M57 L59:M59 L61:M61 L64:M64 L66:M66 L68:M68 L70:M70 L75:M75 L77:M77 L79:M79 L82:M82" xr:uid="{00000000-0002-0000-0A00-000009000000}">
      <formula1>$S$39:$AH$39</formula1>
    </dataValidation>
  </dataValidations>
  <hyperlinks>
    <hyperlink ref="B36:O36" location="Rules!A3" display="Strength grade descriptions" xr:uid="{00000000-0004-0000-0A00-000000000000}"/>
    <hyperlink ref="B101" location="'Shoulder-Right'!A1" display="Return to top of sheet" xr:uid="{00000000-0004-0000-0A00-000001000000}"/>
    <hyperlink ref="I101:N101" location="'PPD DOI on or after 2005'!A1" display="'PPD DOI on or after 2005'!A1" xr:uid="{00000000-0004-0000-0A00-000002000000}"/>
    <hyperlink ref="C101:H101" location="'PPD DOI before 2005'!A1" display="'PPD DOI before 2005'!A1" xr:uid="{00000000-0004-0000-0A00-000003000000}"/>
  </hyperlinks>
  <pageMargins left="0.67" right="0.5" top="0.47" bottom="0.59" header="0.5" footer="0.69"/>
  <pageSetup orientation="portrait" horizontalDpi="300" verticalDpi="300" r:id="rId1"/>
  <headerFooter alignWithMargins="0">
    <oddFooter>&amp;LShoulder, Right&amp;CPage &amp;P</oddFooter>
  </headerFooter>
  <rowBreaks count="2" manualBreakCount="2">
    <brk id="33" max="16383" man="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5855" r:id="rId4" name="Check Box 15">
              <controlPr defaultSize="0" autoFill="0" autoLine="0" autoPict="0">
                <anchor moveWithCells="1">
                  <from>
                    <xdr:col>1</xdr:col>
                    <xdr:colOff>19050</xdr:colOff>
                    <xdr:row>30</xdr:row>
                    <xdr:rowOff>0</xdr:rowOff>
                  </from>
                  <to>
                    <xdr:col>4</xdr:col>
                    <xdr:colOff>142875</xdr:colOff>
                    <xdr:row>30</xdr:row>
                    <xdr:rowOff>238125</xdr:rowOff>
                  </to>
                </anchor>
              </controlPr>
            </control>
          </mc:Choice>
        </mc:AlternateContent>
        <mc:AlternateContent xmlns:mc="http://schemas.openxmlformats.org/markup-compatibility/2006">
          <mc:Choice Requires="x14">
            <control shapeId="35856" r:id="rId5" name="Check Box 16">
              <controlPr defaultSize="0" autoFill="0" autoLine="0" autoPict="0">
                <anchor moveWithCells="1">
                  <from>
                    <xdr:col>1</xdr:col>
                    <xdr:colOff>19050</xdr:colOff>
                    <xdr:row>30</xdr:row>
                    <xdr:rowOff>238125</xdr:rowOff>
                  </from>
                  <to>
                    <xdr:col>4</xdr:col>
                    <xdr:colOff>38100</xdr:colOff>
                    <xdr:row>31</xdr:row>
                    <xdr:rowOff>247650</xdr:rowOff>
                  </to>
                </anchor>
              </controlPr>
            </control>
          </mc:Choice>
        </mc:AlternateContent>
        <mc:AlternateContent xmlns:mc="http://schemas.openxmlformats.org/markup-compatibility/2006">
          <mc:Choice Requires="x14">
            <control shapeId="35857" r:id="rId6" name="Group Box 17">
              <controlPr defaultSize="0" autoFill="0" autoPict="0">
                <anchor moveWithCells="1">
                  <from>
                    <xdr:col>10</xdr:col>
                    <xdr:colOff>9525</xdr:colOff>
                    <xdr:row>87</xdr:row>
                    <xdr:rowOff>0</xdr:rowOff>
                  </from>
                  <to>
                    <xdr:col>15</xdr:col>
                    <xdr:colOff>0</xdr:colOff>
                    <xdr:row>87</xdr:row>
                    <xdr:rowOff>247650</xdr:rowOff>
                  </to>
                </anchor>
              </controlPr>
            </control>
          </mc:Choice>
        </mc:AlternateContent>
        <mc:AlternateContent xmlns:mc="http://schemas.openxmlformats.org/markup-compatibility/2006">
          <mc:Choice Requires="x14">
            <control shapeId="35858" r:id="rId7" name="Option Button 18">
              <controlPr defaultSize="0" autoFill="0" autoLine="0" autoPict="0">
                <anchor moveWithCells="1">
                  <from>
                    <xdr:col>10</xdr:col>
                    <xdr:colOff>28575</xdr:colOff>
                    <xdr:row>87</xdr:row>
                    <xdr:rowOff>0</xdr:rowOff>
                  </from>
                  <to>
                    <xdr:col>13</xdr:col>
                    <xdr:colOff>0</xdr:colOff>
                    <xdr:row>87</xdr:row>
                    <xdr:rowOff>219075</xdr:rowOff>
                  </to>
                </anchor>
              </controlPr>
            </control>
          </mc:Choice>
        </mc:AlternateContent>
        <mc:AlternateContent xmlns:mc="http://schemas.openxmlformats.org/markup-compatibility/2006">
          <mc:Choice Requires="x14">
            <control shapeId="35859" r:id="rId8" name="Option Button 19">
              <controlPr defaultSize="0" autoFill="0" autoLine="0" autoPict="0">
                <anchor moveWithCells="1">
                  <from>
                    <xdr:col>13</xdr:col>
                    <xdr:colOff>114300</xdr:colOff>
                    <xdr:row>87</xdr:row>
                    <xdr:rowOff>0</xdr:rowOff>
                  </from>
                  <to>
                    <xdr:col>14</xdr:col>
                    <xdr:colOff>619125</xdr:colOff>
                    <xdr:row>87</xdr:row>
                    <xdr:rowOff>219075</xdr:rowOff>
                  </to>
                </anchor>
              </controlPr>
            </control>
          </mc:Choice>
        </mc:AlternateContent>
        <mc:AlternateContent xmlns:mc="http://schemas.openxmlformats.org/markup-compatibility/2006">
          <mc:Choice Requires="x14">
            <control shapeId="35842" r:id="rId9" name="Group Box 2">
              <controlPr defaultSize="0" autoFill="0" autoPict="0">
                <anchor moveWithCells="1" sizeWithCells="1">
                  <from>
                    <xdr:col>1</xdr:col>
                    <xdr:colOff>0</xdr:colOff>
                    <xdr:row>21</xdr:row>
                    <xdr:rowOff>0</xdr:rowOff>
                  </from>
                  <to>
                    <xdr:col>15</xdr:col>
                    <xdr:colOff>0</xdr:colOff>
                    <xdr:row>22</xdr:row>
                    <xdr:rowOff>0</xdr:rowOff>
                  </to>
                </anchor>
              </controlPr>
            </control>
          </mc:Choice>
        </mc:AlternateContent>
        <mc:AlternateContent xmlns:mc="http://schemas.openxmlformats.org/markup-compatibility/2006">
          <mc:Choice Requires="x14">
            <control shapeId="35843" r:id="rId10" name="Option Button 3">
              <controlPr defaultSize="0" autoFill="0" autoLine="0" autoPict="0">
                <anchor moveWithCells="1" sizeWithCells="1">
                  <from>
                    <xdr:col>1</xdr:col>
                    <xdr:colOff>28575</xdr:colOff>
                    <xdr:row>21</xdr:row>
                    <xdr:rowOff>9525</xdr:rowOff>
                  </from>
                  <to>
                    <xdr:col>1</xdr:col>
                    <xdr:colOff>1400175</xdr:colOff>
                    <xdr:row>21</xdr:row>
                    <xdr:rowOff>228600</xdr:rowOff>
                  </to>
                </anchor>
              </controlPr>
            </control>
          </mc:Choice>
        </mc:AlternateContent>
        <mc:AlternateContent xmlns:mc="http://schemas.openxmlformats.org/markup-compatibility/2006">
          <mc:Choice Requires="x14">
            <control shapeId="35844" r:id="rId11" name="Option Button 4">
              <controlPr defaultSize="0" autoFill="0" autoLine="0" autoPict="0">
                <anchor moveWithCells="1" sizeWithCells="1">
                  <from>
                    <xdr:col>3</xdr:col>
                    <xdr:colOff>19050</xdr:colOff>
                    <xdr:row>21</xdr:row>
                    <xdr:rowOff>9525</xdr:rowOff>
                  </from>
                  <to>
                    <xdr:col>8</xdr:col>
                    <xdr:colOff>133350</xdr:colOff>
                    <xdr:row>21</xdr:row>
                    <xdr:rowOff>228600</xdr:rowOff>
                  </to>
                </anchor>
              </controlPr>
            </control>
          </mc:Choice>
        </mc:AlternateContent>
        <mc:AlternateContent xmlns:mc="http://schemas.openxmlformats.org/markup-compatibility/2006">
          <mc:Choice Requires="x14">
            <control shapeId="35845" r:id="rId12" name="Option Button 5">
              <controlPr defaultSize="0" autoFill="0" autoLine="0" autoPict="0">
                <anchor moveWithCells="1" sizeWithCells="1">
                  <from>
                    <xdr:col>8</xdr:col>
                    <xdr:colOff>304800</xdr:colOff>
                    <xdr:row>21</xdr:row>
                    <xdr:rowOff>9525</xdr:rowOff>
                  </from>
                  <to>
                    <xdr:col>12</xdr:col>
                    <xdr:colOff>180975</xdr:colOff>
                    <xdr:row>21</xdr:row>
                    <xdr:rowOff>228600</xdr:rowOff>
                  </to>
                </anchor>
              </controlPr>
            </control>
          </mc:Choice>
        </mc:AlternateContent>
        <mc:AlternateContent xmlns:mc="http://schemas.openxmlformats.org/markup-compatibility/2006">
          <mc:Choice Requires="x14">
            <control shapeId="35846" r:id="rId13" name="Group Box 6">
              <controlPr defaultSize="0" autoFill="0" autoPict="0">
                <anchor moveWithCells="1" sizeWithCells="1">
                  <from>
                    <xdr:col>1</xdr:col>
                    <xdr:colOff>0</xdr:colOff>
                    <xdr:row>22</xdr:row>
                    <xdr:rowOff>0</xdr:rowOff>
                  </from>
                  <to>
                    <xdr:col>15</xdr:col>
                    <xdr:colOff>0</xdr:colOff>
                    <xdr:row>23</xdr:row>
                    <xdr:rowOff>0</xdr:rowOff>
                  </to>
                </anchor>
              </controlPr>
            </control>
          </mc:Choice>
        </mc:AlternateContent>
        <mc:AlternateContent xmlns:mc="http://schemas.openxmlformats.org/markup-compatibility/2006">
          <mc:Choice Requires="x14">
            <control shapeId="35847" r:id="rId14" name="Option Button 7">
              <controlPr defaultSize="0" autoFill="0" autoLine="0" autoPict="0">
                <anchor moveWithCells="1" sizeWithCells="1">
                  <from>
                    <xdr:col>1</xdr:col>
                    <xdr:colOff>28575</xdr:colOff>
                    <xdr:row>22</xdr:row>
                    <xdr:rowOff>9525</xdr:rowOff>
                  </from>
                  <to>
                    <xdr:col>2</xdr:col>
                    <xdr:colOff>19050</xdr:colOff>
                    <xdr:row>22</xdr:row>
                    <xdr:rowOff>228600</xdr:rowOff>
                  </to>
                </anchor>
              </controlPr>
            </control>
          </mc:Choice>
        </mc:AlternateContent>
        <mc:AlternateContent xmlns:mc="http://schemas.openxmlformats.org/markup-compatibility/2006">
          <mc:Choice Requires="x14">
            <control shapeId="35848" r:id="rId15" name="Option Button 8">
              <controlPr defaultSize="0" autoFill="0" autoLine="0" autoPict="0">
                <anchor moveWithCells="1" sizeWithCells="1">
                  <from>
                    <xdr:col>8</xdr:col>
                    <xdr:colOff>304800</xdr:colOff>
                    <xdr:row>22</xdr:row>
                    <xdr:rowOff>9525</xdr:rowOff>
                  </from>
                  <to>
                    <xdr:col>14</xdr:col>
                    <xdr:colOff>257175</xdr:colOff>
                    <xdr:row>22</xdr:row>
                    <xdr:rowOff>228600</xdr:rowOff>
                  </to>
                </anchor>
              </controlPr>
            </control>
          </mc:Choice>
        </mc:AlternateContent>
        <mc:AlternateContent xmlns:mc="http://schemas.openxmlformats.org/markup-compatibility/2006">
          <mc:Choice Requires="x14">
            <control shapeId="35849" r:id="rId16" name="Group Box 9">
              <controlPr defaultSize="0" autoFill="0" autoPict="0">
                <anchor moveWithCells="1" sizeWithCells="1">
                  <from>
                    <xdr:col>1</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5850" r:id="rId17" name="Option Button 10">
              <controlPr defaultSize="0" autoFill="0" autoLine="0" autoPict="0">
                <anchor moveWithCells="1" sizeWithCells="1">
                  <from>
                    <xdr:col>1</xdr:col>
                    <xdr:colOff>28575</xdr:colOff>
                    <xdr:row>23</xdr:row>
                    <xdr:rowOff>9525</xdr:rowOff>
                  </from>
                  <to>
                    <xdr:col>1</xdr:col>
                    <xdr:colOff>1504950</xdr:colOff>
                    <xdr:row>23</xdr:row>
                    <xdr:rowOff>228600</xdr:rowOff>
                  </to>
                </anchor>
              </controlPr>
            </control>
          </mc:Choice>
        </mc:AlternateContent>
        <mc:AlternateContent xmlns:mc="http://schemas.openxmlformats.org/markup-compatibility/2006">
          <mc:Choice Requires="x14">
            <control shapeId="35851" r:id="rId18" name="Option Button 11">
              <controlPr defaultSize="0" autoFill="0" autoLine="0" autoPict="0">
                <anchor moveWithCells="1" sizeWithCells="1">
                  <from>
                    <xdr:col>8</xdr:col>
                    <xdr:colOff>304800</xdr:colOff>
                    <xdr:row>23</xdr:row>
                    <xdr:rowOff>9525</xdr:rowOff>
                  </from>
                  <to>
                    <xdr:col>14</xdr:col>
                    <xdr:colOff>257175</xdr:colOff>
                    <xdr:row>23</xdr:row>
                    <xdr:rowOff>228600</xdr:rowOff>
                  </to>
                </anchor>
              </controlPr>
            </control>
          </mc:Choice>
        </mc:AlternateContent>
        <mc:AlternateContent xmlns:mc="http://schemas.openxmlformats.org/markup-compatibility/2006">
          <mc:Choice Requires="x14">
            <control shapeId="35852" r:id="rId19" name="Group Box 12">
              <controlPr defaultSize="0" autoFill="0" autoPict="0">
                <anchor moveWithCells="1" sizeWithCells="1">
                  <from>
                    <xdr:col>1</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5853" r:id="rId20" name="Option Button 13">
              <controlPr defaultSize="0" autoFill="0" autoLine="0" autoPict="0">
                <anchor moveWithCells="1" sizeWithCells="1">
                  <from>
                    <xdr:col>1</xdr:col>
                    <xdr:colOff>28575</xdr:colOff>
                    <xdr:row>24</xdr:row>
                    <xdr:rowOff>9525</xdr:rowOff>
                  </from>
                  <to>
                    <xdr:col>3</xdr:col>
                    <xdr:colOff>142875</xdr:colOff>
                    <xdr:row>25</xdr:row>
                    <xdr:rowOff>0</xdr:rowOff>
                  </to>
                </anchor>
              </controlPr>
            </control>
          </mc:Choice>
        </mc:AlternateContent>
        <mc:AlternateContent xmlns:mc="http://schemas.openxmlformats.org/markup-compatibility/2006">
          <mc:Choice Requires="x14">
            <control shapeId="35854" r:id="rId21" name="Option Button 14">
              <controlPr defaultSize="0" autoFill="0" autoLine="0" autoPict="0">
                <anchor moveWithCells="1" sizeWithCells="1">
                  <from>
                    <xdr:col>8</xdr:col>
                    <xdr:colOff>304800</xdr:colOff>
                    <xdr:row>24</xdr:row>
                    <xdr:rowOff>9525</xdr:rowOff>
                  </from>
                  <to>
                    <xdr:col>12</xdr:col>
                    <xdr:colOff>180975</xdr:colOff>
                    <xdr:row>24</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IG297"/>
  <sheetViews>
    <sheetView showGridLines="0" zoomScale="120" zoomScaleNormal="120" workbookViewId="0"/>
  </sheetViews>
  <sheetFormatPr defaultColWidth="3.42578125" defaultRowHeight="12.75" x14ac:dyDescent="0.2"/>
  <cols>
    <col min="1" max="1" width="1.42578125" style="35" customWidth="1"/>
    <col min="2" max="2" width="22.28515625" style="35" customWidth="1"/>
    <col min="3" max="3" width="3.42578125" style="2" customWidth="1"/>
    <col min="4" max="4" width="4.7109375" style="191" customWidth="1"/>
    <col min="5" max="5" width="4.42578125" style="35" customWidth="1"/>
    <col min="6" max="6" width="4.85546875" style="191" customWidth="1"/>
    <col min="7" max="7" width="4.85546875" style="35" customWidth="1"/>
    <col min="8" max="8" width="2.85546875" style="191" customWidth="1"/>
    <col min="9" max="9" width="4" style="35" customWidth="1"/>
    <col min="10" max="10" width="5.5703125" style="191" customWidth="1"/>
    <col min="11" max="11" width="2.85546875" style="35" customWidth="1"/>
    <col min="12" max="12" width="4" style="191" customWidth="1"/>
    <col min="13" max="13" width="4.42578125" style="35" customWidth="1"/>
    <col min="14" max="14" width="3.5703125" style="191" customWidth="1"/>
    <col min="15" max="16" width="10.85546875" style="35" customWidth="1"/>
    <col min="17" max="17" width="1.7109375" style="35" customWidth="1"/>
    <col min="18" max="18" width="14.42578125" style="35" hidden="1" customWidth="1"/>
    <col min="19" max="19" width="16.5703125" style="35" hidden="1" customWidth="1"/>
    <col min="20" max="20" width="13.85546875" style="35" hidden="1" customWidth="1"/>
    <col min="21" max="21" width="13.140625" style="35" hidden="1" customWidth="1"/>
    <col min="22" max="22" width="12.42578125" style="35" hidden="1" customWidth="1"/>
    <col min="23" max="23" width="10.5703125" style="35" hidden="1" customWidth="1"/>
    <col min="24" max="24" width="12.5703125" style="35" hidden="1" customWidth="1"/>
    <col min="25" max="25" width="12" style="35" hidden="1" customWidth="1"/>
    <col min="26" max="26" width="12.7109375" style="35" hidden="1" customWidth="1"/>
    <col min="27" max="27" width="12.5703125" style="35" hidden="1" customWidth="1"/>
    <col min="28" max="28" width="10" style="35" hidden="1" customWidth="1"/>
    <col min="29" max="29" width="7" style="35" hidden="1" customWidth="1"/>
    <col min="30" max="30" width="5.85546875" style="35" hidden="1" customWidth="1"/>
    <col min="31" max="31" width="4" style="35" hidden="1" customWidth="1"/>
    <col min="32" max="32" width="5.140625" style="35" hidden="1" customWidth="1"/>
    <col min="33" max="51" width="3.42578125" style="35" hidden="1" customWidth="1"/>
    <col min="52" max="52" width="3.140625" style="35" hidden="1" customWidth="1"/>
    <col min="53" max="130" width="3.42578125" style="35" hidden="1" customWidth="1"/>
    <col min="131" max="255" width="3.42578125" style="35" customWidth="1"/>
    <col min="256" max="16384" width="3.42578125" style="35"/>
  </cols>
  <sheetData>
    <row r="1" spans="2:170" ht="15" customHeight="1" x14ac:dyDescent="0.2">
      <c r="B1" s="14" t="s">
        <v>1733</v>
      </c>
      <c r="C1" s="1347" t="str">
        <f>IF('Start here'!A6="","",'Start here'!A6)</f>
        <v/>
      </c>
      <c r="D1" s="1351"/>
      <c r="E1" s="1351"/>
      <c r="F1" s="1351"/>
      <c r="G1" s="1351"/>
      <c r="H1" s="1351"/>
      <c r="I1" s="1351"/>
      <c r="J1" s="1352"/>
      <c r="K1" s="2"/>
      <c r="L1" s="1347" t="str">
        <f>IF('Start here'!A7="","",'Start here'!A7)</f>
        <v/>
      </c>
      <c r="M1" s="1351"/>
      <c r="N1" s="1351"/>
      <c r="O1" s="1351"/>
      <c r="P1" s="1352"/>
      <c r="R1" s="694">
        <v>38353</v>
      </c>
      <c r="S1" s="196">
        <f>'Start here'!A8</f>
        <v>0</v>
      </c>
      <c r="T1" s="1179" t="str">
        <f>IF(S1&gt;=R1,"Go to PPD Worksheet","")</f>
        <v/>
      </c>
      <c r="U1" s="1179"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170" ht="8.25" customHeight="1" x14ac:dyDescent="0.2">
      <c r="B2" s="1772"/>
      <c r="C2" s="1772"/>
      <c r="D2" s="1772"/>
      <c r="E2" s="1772"/>
      <c r="F2" s="1772"/>
      <c r="G2" s="1772"/>
      <c r="H2" s="1772"/>
      <c r="I2" s="1772"/>
      <c r="J2" s="1772"/>
      <c r="K2" s="1772"/>
      <c r="L2" s="1772"/>
      <c r="M2" s="1772"/>
      <c r="N2" s="1772"/>
      <c r="O2" s="1772"/>
      <c r="P2" s="1772"/>
    </row>
    <row r="3" spans="2:170" ht="25.5" customHeight="1" x14ac:dyDescent="0.3">
      <c r="B3" s="1773" t="s">
        <v>1905</v>
      </c>
      <c r="C3" s="1858"/>
      <c r="D3" s="1858"/>
      <c r="E3" s="1858"/>
      <c r="F3" s="1858"/>
      <c r="G3" s="1858"/>
      <c r="H3" s="1858"/>
      <c r="I3" s="1858"/>
      <c r="J3" s="1858"/>
      <c r="K3" s="1858"/>
      <c r="L3" s="1858"/>
      <c r="M3" s="1858"/>
      <c r="N3" s="1858"/>
      <c r="O3" s="1858"/>
      <c r="P3" s="1859"/>
      <c r="R3" s="14"/>
      <c r="S3" s="14"/>
      <c r="T3" s="14"/>
      <c r="U3" s="14"/>
      <c r="V3" s="14"/>
      <c r="W3" s="14"/>
      <c r="X3" s="14"/>
      <c r="Y3" s="14"/>
      <c r="Z3" s="14"/>
      <c r="AA3" s="14"/>
      <c r="AB3" s="14"/>
      <c r="AC3" s="14"/>
      <c r="AD3" s="14"/>
      <c r="AE3" s="14"/>
      <c r="AF3" s="14"/>
      <c r="AG3" s="14"/>
      <c r="AH3" s="14"/>
      <c r="AI3" s="14"/>
      <c r="AJ3" s="14"/>
      <c r="AK3" s="14"/>
      <c r="AL3" s="14"/>
      <c r="AM3" s="14"/>
    </row>
    <row r="4" spans="2:170" x14ac:dyDescent="0.2">
      <c r="B4" s="1395"/>
      <c r="C4" s="1395"/>
      <c r="D4" s="1395"/>
      <c r="E4" s="1395"/>
      <c r="F4" s="1395"/>
      <c r="G4" s="1395"/>
      <c r="H4" s="1395"/>
      <c r="I4" s="1395"/>
      <c r="J4" s="1395"/>
      <c r="K4" s="1395"/>
      <c r="L4" s="1395"/>
      <c r="M4" s="1395"/>
      <c r="N4" s="1395"/>
      <c r="O4" s="1395"/>
      <c r="P4" s="1395"/>
      <c r="Q4" s="63"/>
      <c r="R4" s="63"/>
      <c r="S4" s="7"/>
      <c r="T4" s="63"/>
      <c r="U4" s="63"/>
      <c r="V4" s="7"/>
      <c r="W4" s="7"/>
      <c r="X4" s="7"/>
      <c r="Y4" s="7"/>
      <c r="Z4" s="7"/>
      <c r="AA4" s="7"/>
      <c r="AB4" s="7"/>
      <c r="AC4" s="63"/>
      <c r="AD4" s="63"/>
      <c r="AE4" s="63"/>
      <c r="AF4" s="63"/>
      <c r="AG4" s="63"/>
      <c r="AH4" s="7"/>
      <c r="AI4" s="126"/>
      <c r="AJ4" s="7"/>
      <c r="AK4" s="7"/>
      <c r="AL4" s="7"/>
      <c r="AM4" s="7"/>
      <c r="AN4" s="7"/>
      <c r="AO4" s="7"/>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63"/>
      <c r="ET4" s="63"/>
      <c r="EU4" s="63"/>
      <c r="EV4" s="63"/>
      <c r="EW4" s="63"/>
      <c r="EX4" s="63"/>
      <c r="EY4" s="63"/>
      <c r="EZ4" s="63"/>
      <c r="FA4" s="63"/>
      <c r="FB4" s="63"/>
    </row>
    <row r="5" spans="2:170" ht="18" customHeight="1" x14ac:dyDescent="0.2">
      <c r="B5" s="1487" t="s">
        <v>1595</v>
      </c>
      <c r="C5" s="1487"/>
      <c r="D5" s="1487"/>
      <c r="E5" s="1487"/>
      <c r="F5" s="1487"/>
      <c r="G5" s="1487"/>
      <c r="H5" s="1487"/>
      <c r="I5" s="1487"/>
      <c r="J5" s="1487"/>
      <c r="K5" s="1487"/>
      <c r="L5" s="1487"/>
      <c r="M5" s="1487"/>
      <c r="N5" s="1487"/>
      <c r="O5" s="1487"/>
      <c r="P5" s="1645"/>
      <c r="Q5" s="63"/>
      <c r="R5" s="63"/>
      <c r="S5" s="63"/>
      <c r="T5" s="127"/>
      <c r="U5" s="127"/>
      <c r="V5" s="63"/>
      <c r="W5" s="63"/>
      <c r="X5" s="63"/>
      <c r="Y5" s="63"/>
      <c r="Z5" s="63"/>
      <c r="AA5" s="63"/>
      <c r="AB5" s="63"/>
      <c r="AC5" s="63"/>
      <c r="AD5" s="63"/>
      <c r="AE5" s="63"/>
      <c r="AF5" s="63"/>
      <c r="AG5" s="63"/>
      <c r="AH5" s="7"/>
      <c r="AI5" s="63"/>
      <c r="AJ5" s="63"/>
      <c r="AK5" s="63"/>
      <c r="AL5" s="63"/>
      <c r="AM5" s="63"/>
      <c r="AN5" s="7"/>
      <c r="AO5" s="7"/>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row>
    <row r="6" spans="2:170" ht="18" customHeight="1" x14ac:dyDescent="0.2">
      <c r="B6" s="23"/>
      <c r="C6" s="1487" t="s">
        <v>1596</v>
      </c>
      <c r="D6" s="1487"/>
      <c r="E6" s="1487"/>
      <c r="F6" s="1487"/>
      <c r="G6" s="1487" t="s">
        <v>1597</v>
      </c>
      <c r="H6" s="1487"/>
      <c r="I6" s="1487"/>
      <c r="J6" s="1487"/>
      <c r="K6" s="1555"/>
      <c r="L6" s="1555"/>
      <c r="M6" s="1555"/>
      <c r="N6" s="1555"/>
      <c r="O6" s="1555"/>
      <c r="P6" s="1745"/>
      <c r="Q6" s="63"/>
      <c r="R6" s="63"/>
      <c r="S6" s="17" t="s">
        <v>1598</v>
      </c>
      <c r="T6" s="1970" t="s">
        <v>211</v>
      </c>
      <c r="U6" s="1972"/>
      <c r="V6" s="1970" t="s">
        <v>194</v>
      </c>
      <c r="W6" s="1972"/>
      <c r="X6" s="7"/>
      <c r="Y6" s="7"/>
      <c r="Z6" s="7"/>
      <c r="AA6" s="7"/>
      <c r="AB6" s="63"/>
      <c r="AC6" s="63"/>
      <c r="AD6" s="63"/>
      <c r="AE6" s="63"/>
      <c r="AF6" s="63"/>
      <c r="AG6" s="63"/>
      <c r="AH6" s="63"/>
      <c r="AI6" s="63"/>
      <c r="AJ6" s="63"/>
      <c r="AK6" s="63"/>
      <c r="AL6" s="63"/>
      <c r="AM6" s="63"/>
      <c r="AN6" s="63"/>
      <c r="AO6" s="63"/>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row>
    <row r="7" spans="2:170" ht="30" customHeight="1" x14ac:dyDescent="0.2">
      <c r="B7" s="335" t="s">
        <v>1864</v>
      </c>
      <c r="C7" s="1308"/>
      <c r="D7" s="1308"/>
      <c r="E7" s="1558">
        <f>'Sh-Table'!AB3</f>
        <v>0</v>
      </c>
      <c r="F7" s="1964"/>
      <c r="G7" s="1308"/>
      <c r="H7" s="1308"/>
      <c r="I7" s="1538">
        <f>IF(C7="",0,IF(OR(C7&lt;=0,G7&lt;=0),E7,IF(G7&lt;C7,0,'Sh-Table'!AG3)))</f>
        <v>0</v>
      </c>
      <c r="J7" s="1538"/>
      <c r="K7" s="1556" t="str">
        <f>IF(OR(C7="NA",G7="NA"),"",IF(AND(C7&lt;&gt;"",G7=""),"Enter contralateral or NA.",IF(AND(C7="",G7&lt;&gt;""),"Need data","")))</f>
        <v/>
      </c>
      <c r="L7" s="1556"/>
      <c r="M7" s="1556"/>
      <c r="N7" s="1556"/>
      <c r="O7" s="1556"/>
      <c r="P7" s="1745"/>
      <c r="Q7" s="63"/>
      <c r="R7" s="63"/>
      <c r="S7" s="1182">
        <v>180</v>
      </c>
      <c r="T7" s="17" t="str">
        <f t="shared" ref="T7:T18" si="0">IF(OR(C7="",C7="NA"),"",IF(C7&gt;S7,S7,IF(C7&lt;0,0,C7)))</f>
        <v/>
      </c>
      <c r="U7" s="17" t="str">
        <f>IF(OR(G7="",G7="NA"),"",IF(G7&gt;S7,S7,IF(G7&lt;0,0,G7)))</f>
        <v/>
      </c>
      <c r="V7" s="66" t="str">
        <f>IF(W7="","",ROUND(W7,0))</f>
        <v/>
      </c>
      <c r="W7" s="139" t="str">
        <f>IF(T7="","",IF(OR(U7="",U7=0,U7&lt;T7),T7,(T7*S7)/U7))</f>
        <v/>
      </c>
      <c r="X7" s="62">
        <f>IF(AND(Y18=1,Z18=1),"ERROR",SUM(I7,I9,I11,I13,I15,I17,X9))</f>
        <v>0</v>
      </c>
      <c r="Y7" s="1374" t="s">
        <v>2275</v>
      </c>
      <c r="Z7" s="1376"/>
      <c r="AA7" s="63"/>
      <c r="AB7" s="63"/>
      <c r="AC7" s="63"/>
      <c r="AD7" s="63"/>
      <c r="AE7" s="63"/>
      <c r="AF7" s="63"/>
      <c r="AG7" s="63"/>
      <c r="AH7" s="63"/>
      <c r="AI7" s="63"/>
      <c r="AJ7" s="63"/>
      <c r="AK7" s="63"/>
      <c r="AL7" s="63"/>
      <c r="AM7" s="63"/>
      <c r="AN7" s="63"/>
      <c r="AO7" s="63"/>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row>
    <row r="8" spans="2:170" ht="30" customHeight="1" x14ac:dyDescent="0.2">
      <c r="B8" s="335" t="s">
        <v>1503</v>
      </c>
      <c r="C8" s="1308"/>
      <c r="D8" s="1308"/>
      <c r="E8" s="1558">
        <f>IF(AND($Y$18=1,$Z$18=1),"ERROR",'Sh-Table'!AB4)</f>
        <v>0</v>
      </c>
      <c r="F8" s="1964"/>
      <c r="G8" s="1556" t="str">
        <f>IF(AND($Z$18=1,$Y$18=1),"Cannot rate ROM and ankylosis.","")</f>
        <v/>
      </c>
      <c r="H8" s="1556"/>
      <c r="I8" s="1556"/>
      <c r="J8" s="1556"/>
      <c r="K8" s="1556"/>
      <c r="L8" s="1556"/>
      <c r="M8" s="1556"/>
      <c r="N8" s="1556"/>
      <c r="O8" s="1556"/>
      <c r="P8" s="1745"/>
      <c r="Q8" s="63"/>
      <c r="R8" s="63"/>
      <c r="S8" s="1182">
        <v>180</v>
      </c>
      <c r="T8" s="17" t="str">
        <f t="shared" si="0"/>
        <v/>
      </c>
      <c r="U8" s="63"/>
      <c r="V8" s="66"/>
      <c r="W8" s="140"/>
      <c r="X8" s="7"/>
      <c r="Y8" s="7"/>
      <c r="Z8" s="7"/>
      <c r="AA8" s="7"/>
      <c r="AB8" s="6"/>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row>
    <row r="9" spans="2:170" ht="30" customHeight="1" x14ac:dyDescent="0.2">
      <c r="B9" s="335" t="s">
        <v>1504</v>
      </c>
      <c r="C9" s="1308"/>
      <c r="D9" s="1308"/>
      <c r="E9" s="1558">
        <f>'Sh-Table'!AB5</f>
        <v>0</v>
      </c>
      <c r="F9" s="1964"/>
      <c r="G9" s="1308"/>
      <c r="H9" s="1308"/>
      <c r="I9" s="1538">
        <f>IF(C9="",0,IF(OR(C9&lt;=0,G9&lt;=0),E9,IF(G9&lt;C9,0,'Sh-Table'!AG5)))</f>
        <v>0</v>
      </c>
      <c r="J9" s="1538"/>
      <c r="K9" s="1556" t="str">
        <f>IF(OR(C9="NA",G9="NA"),"",IF(AND(C9&lt;&gt;"",G9=""),"Enter contralateral or NA.",IF(AND(C9="",G9&lt;&gt;""),"Need data","")))</f>
        <v/>
      </c>
      <c r="L9" s="1556"/>
      <c r="M9" s="1556"/>
      <c r="N9" s="1556"/>
      <c r="O9" s="1556"/>
      <c r="P9" s="1745"/>
      <c r="Q9" s="63"/>
      <c r="R9" s="63"/>
      <c r="S9" s="1182">
        <v>50</v>
      </c>
      <c r="T9" s="17" t="str">
        <f t="shared" si="0"/>
        <v/>
      </c>
      <c r="U9" s="17" t="str">
        <f>IF(OR(G9="",G9="NA"),"",IF(G9&gt;S9,S9,IF(G9&lt;0,0,G9)))</f>
        <v/>
      </c>
      <c r="V9" s="66" t="str">
        <f>IF(W9="","",ROUND(W9,0))</f>
        <v/>
      </c>
      <c r="W9" s="139" t="str">
        <f>IF(T9="","",IF(OR(U9="",U9=0,U9&lt;T9),T9,(T9*S9)/U9))</f>
        <v/>
      </c>
      <c r="X9" s="141">
        <f>MAX(E8,E10,E12,E14,E16,E18)</f>
        <v>0</v>
      </c>
      <c r="Y9" s="1362" t="s">
        <v>2272</v>
      </c>
      <c r="Z9" s="136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row>
    <row r="10" spans="2:170" ht="30" customHeight="1" x14ac:dyDescent="0.2">
      <c r="B10" s="335" t="s">
        <v>1505</v>
      </c>
      <c r="C10" s="1308"/>
      <c r="D10" s="1308"/>
      <c r="E10" s="1558">
        <f>IF(AND($Y$18=1,$Z$18=1),"ERROR",'Sh-Table'!AB6)</f>
        <v>0</v>
      </c>
      <c r="F10" s="1964"/>
      <c r="G10" s="1556" t="str">
        <f>IF(AND($Z$18=1,$Y$18=1),"Cannot rate ROM and ankylosis.","")</f>
        <v/>
      </c>
      <c r="H10" s="1556"/>
      <c r="I10" s="1556"/>
      <c r="J10" s="1556"/>
      <c r="K10" s="1556"/>
      <c r="L10" s="1556"/>
      <c r="M10" s="1556"/>
      <c r="N10" s="1556"/>
      <c r="O10" s="1556"/>
      <c r="P10" s="1745"/>
      <c r="Q10" s="63"/>
      <c r="R10" s="63"/>
      <c r="S10" s="1182">
        <v>50</v>
      </c>
      <c r="T10" s="17" t="str">
        <f t="shared" si="0"/>
        <v/>
      </c>
      <c r="U10" s="63"/>
      <c r="V10" s="66"/>
      <c r="W10" s="140"/>
      <c r="X10" s="63"/>
      <c r="Y10" s="63"/>
      <c r="Z10" s="63"/>
      <c r="AA10" s="63"/>
      <c r="AB10" s="6"/>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row>
    <row r="11" spans="2:170" ht="30" customHeight="1" x14ac:dyDescent="0.2">
      <c r="B11" s="185" t="s">
        <v>691</v>
      </c>
      <c r="C11" s="1308"/>
      <c r="D11" s="1308"/>
      <c r="E11" s="1558">
        <f>'Sh-Table'!AB7</f>
        <v>0</v>
      </c>
      <c r="F11" s="1964"/>
      <c r="G11" s="1308"/>
      <c r="H11" s="1308"/>
      <c r="I11" s="1538">
        <f>IF(C11="",0,IF(OR(C11&lt;=0,G11&lt;=0),E11,IF(G11&lt;C11,0,'Sh-Table'!AG7)))</f>
        <v>0</v>
      </c>
      <c r="J11" s="1538"/>
      <c r="K11" s="1556" t="str">
        <f>IF(OR(C11="NA",G11="NA"),"",IF(AND(C11&lt;&gt;"",G11=""),"Enter contralateral or NA.",IF(AND(C11="",G11&lt;&gt;""),"Need data","")))</f>
        <v/>
      </c>
      <c r="L11" s="1556"/>
      <c r="M11" s="1556"/>
      <c r="N11" s="1556"/>
      <c r="O11" s="1556"/>
      <c r="P11" s="1745"/>
      <c r="Q11" s="63"/>
      <c r="R11" s="63"/>
      <c r="S11" s="1182">
        <v>180</v>
      </c>
      <c r="T11" s="17" t="str">
        <f t="shared" si="0"/>
        <v/>
      </c>
      <c r="U11" s="17" t="str">
        <f>IF(OR(G11="",G11="NA"),"",IF(G11&gt;S11,S11,IF(G11&lt;0,0,G11)))</f>
        <v/>
      </c>
      <c r="V11" s="66" t="str">
        <f>IF(W11="","",ROUND(W11,0))</f>
        <v/>
      </c>
      <c r="W11" s="140" t="str">
        <f>IF(T11="","",IF(OR(U11="",U11=0,U11&lt;T11),T11,(T11*S11)/U11))</f>
        <v/>
      </c>
      <c r="X11" s="63"/>
      <c r="Y11" s="1026" t="s">
        <v>2273</v>
      </c>
      <c r="Z11" s="1026" t="s">
        <v>2274</v>
      </c>
      <c r="AB11" s="7"/>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row>
    <row r="12" spans="2:170" ht="30" customHeight="1" x14ac:dyDescent="0.2">
      <c r="B12" s="185" t="s">
        <v>694</v>
      </c>
      <c r="C12" s="1308"/>
      <c r="D12" s="1308"/>
      <c r="E12" s="1558">
        <f>IF(AND($Y$18=1,$Z$18=1),"ERROR",'Sh-Table'!AB8)</f>
        <v>0</v>
      </c>
      <c r="F12" s="1964"/>
      <c r="G12" s="1556" t="str">
        <f>IF(AND($Z$18=1,$Y$18=1),"Cannot rate ROM and ankylosis.","")</f>
        <v/>
      </c>
      <c r="H12" s="1556"/>
      <c r="I12" s="1556"/>
      <c r="J12" s="1556"/>
      <c r="K12" s="1556"/>
      <c r="L12" s="1556"/>
      <c r="M12" s="1556"/>
      <c r="N12" s="1556"/>
      <c r="O12" s="1556"/>
      <c r="P12" s="1745"/>
      <c r="Q12" s="63"/>
      <c r="R12" s="63"/>
      <c r="S12" s="1182">
        <v>180</v>
      </c>
      <c r="T12" s="17" t="str">
        <f t="shared" si="0"/>
        <v/>
      </c>
      <c r="U12" s="63"/>
      <c r="V12" s="17"/>
      <c r="W12" s="17"/>
      <c r="X12" s="63"/>
      <c r="Y12" s="17">
        <f>IF(AND(C7&lt;&gt;"",C7&lt;&gt;"NA"),1,0)</f>
        <v>0</v>
      </c>
      <c r="Z12" s="17">
        <f>IF(AND(C8&lt;&gt;"",C8&lt;&gt;"NA"),1,0)</f>
        <v>0</v>
      </c>
      <c r="AB12" s="7"/>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row>
    <row r="13" spans="2:170" ht="30" customHeight="1" x14ac:dyDescent="0.2">
      <c r="B13" s="185" t="s">
        <v>695</v>
      </c>
      <c r="C13" s="1308"/>
      <c r="D13" s="1308"/>
      <c r="E13" s="1558">
        <f>'Sh-Table'!AB9</f>
        <v>0</v>
      </c>
      <c r="F13" s="1964"/>
      <c r="G13" s="1308"/>
      <c r="H13" s="1308"/>
      <c r="I13" s="1538">
        <f>IF(C13="",0,IF(OR(C13&lt;=0,G13&lt;=0),E13,IF(G13&lt;C13,0,'Sh-Table'!AG9)))</f>
        <v>0</v>
      </c>
      <c r="J13" s="1538"/>
      <c r="K13" s="1556" t="str">
        <f>IF(OR(C13="NA",G13="NA"),"",IF(AND(C13&lt;&gt;"",G13=""),"Enter contralateral or NA.",IF(AND(C13="",G13&lt;&gt;""),"Need data","")))</f>
        <v/>
      </c>
      <c r="L13" s="1556"/>
      <c r="M13" s="1556"/>
      <c r="N13" s="1556"/>
      <c r="O13" s="1556"/>
      <c r="P13" s="1745"/>
      <c r="Q13" s="63"/>
      <c r="R13" s="142" t="s">
        <v>696</v>
      </c>
      <c r="S13" s="1182">
        <v>50</v>
      </c>
      <c r="T13" s="17" t="str">
        <f t="shared" si="0"/>
        <v/>
      </c>
      <c r="U13" s="17" t="str">
        <f>IF(OR(G13="",G13="NA"),"",IF(G13&gt;S13,S13,IF(G13&lt;0,0,G13)))</f>
        <v/>
      </c>
      <c r="V13" s="66" t="str">
        <f>IF(W13="","",ROUND(W13,0))</f>
        <v/>
      </c>
      <c r="W13" s="140" t="str">
        <f>IF(T13="","",IF(OR(U13="",U13=0,U13&lt;T13),T13,(T13*S13)/U13))</f>
        <v/>
      </c>
      <c r="X13" s="63"/>
      <c r="Y13" s="17">
        <f>IF(AND(C9&lt;&gt;"",C9&lt;&gt;"NA"),1,0)</f>
        <v>0</v>
      </c>
      <c r="Z13" s="17">
        <f>IF(AND(C10&lt;&gt;"",C10&lt;&gt;"NA"),1,0)</f>
        <v>0</v>
      </c>
      <c r="AB13" s="7"/>
      <c r="AC13" s="63"/>
      <c r="AD13" s="63"/>
      <c r="AE13" s="63"/>
      <c r="AF13" s="63"/>
      <c r="AG13" s="63"/>
      <c r="AH13" s="127"/>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row>
    <row r="14" spans="2:170" ht="30" customHeight="1" x14ac:dyDescent="0.2">
      <c r="B14" s="185" t="s">
        <v>697</v>
      </c>
      <c r="C14" s="1308"/>
      <c r="D14" s="1308"/>
      <c r="E14" s="1558">
        <f>IF(AND($Y$18=1,$Z$18=1),"ERROR",'Sh-Table'!AB10)</f>
        <v>0</v>
      </c>
      <c r="F14" s="1964"/>
      <c r="G14" s="1556" t="str">
        <f>IF(AND($Z$18=1,$Y$18=1),"Cannot rate ROM and ankylosis.","")</f>
        <v/>
      </c>
      <c r="H14" s="1556"/>
      <c r="I14" s="1556"/>
      <c r="J14" s="1556"/>
      <c r="K14" s="1556"/>
      <c r="L14" s="1556"/>
      <c r="M14" s="1556"/>
      <c r="N14" s="1556"/>
      <c r="O14" s="1556"/>
      <c r="P14" s="1745"/>
      <c r="Q14" s="63"/>
      <c r="R14" s="102" t="s">
        <v>698</v>
      </c>
      <c r="S14" s="1182">
        <v>50</v>
      </c>
      <c r="T14" s="17" t="str">
        <f t="shared" si="0"/>
        <v/>
      </c>
      <c r="U14" s="63"/>
      <c r="V14" s="17"/>
      <c r="W14" s="17"/>
      <c r="X14" s="63"/>
      <c r="Y14" s="17">
        <f>IF(AND(C11&lt;&gt;"",C11&lt;&gt;"NA"),1,0)</f>
        <v>0</v>
      </c>
      <c r="Z14" s="17">
        <f>IF(AND(C12&lt;&gt;"",C12&lt;&gt;"NA"),1,0)</f>
        <v>0</v>
      </c>
      <c r="AB14" s="63"/>
      <c r="AC14" s="63"/>
      <c r="AD14" s="63"/>
      <c r="AE14" s="63"/>
      <c r="AF14" s="63"/>
      <c r="AG14" s="63"/>
      <c r="AH14" s="127"/>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row>
    <row r="15" spans="2:170" ht="30" customHeight="1" x14ac:dyDescent="0.2">
      <c r="B15" s="185" t="s">
        <v>699</v>
      </c>
      <c r="C15" s="1308"/>
      <c r="D15" s="1308"/>
      <c r="E15" s="1558">
        <f>'Sh-Table'!AB11</f>
        <v>0</v>
      </c>
      <c r="F15" s="1964"/>
      <c r="G15" s="1308"/>
      <c r="H15" s="1308"/>
      <c r="I15" s="1538">
        <f>IF(C15="",0,IF(OR(C15&lt;=0,G15&lt;=0),E15,IF(G15&lt;C15,0,'Sh-Table'!AG11)))</f>
        <v>0</v>
      </c>
      <c r="J15" s="1538"/>
      <c r="K15" s="1556" t="str">
        <f>IF(OR(C15="NA",G15="NA"),"",IF(AND(C15&lt;&gt;"",G15=""),"Enter contralateral or NA.",IF(AND(C15="",G15&lt;&gt;""),"Need data","")))</f>
        <v/>
      </c>
      <c r="L15" s="1556"/>
      <c r="M15" s="1556"/>
      <c r="N15" s="1556"/>
      <c r="O15" s="1556"/>
      <c r="P15" s="1745"/>
      <c r="Q15" s="63"/>
      <c r="R15" s="135">
        <f>IF(R19="ERROR",1,0)</f>
        <v>0</v>
      </c>
      <c r="S15" s="1182">
        <v>90</v>
      </c>
      <c r="T15" s="17" t="str">
        <f t="shared" si="0"/>
        <v/>
      </c>
      <c r="U15" s="17" t="str">
        <f>IF(OR(G15="",G15="NA"),"",IF(G15&gt;S15,S15,IF(G15&lt;0,0,G15)))</f>
        <v/>
      </c>
      <c r="V15" s="66" t="str">
        <f>IF(W15="","",ROUND(W15,0))</f>
        <v/>
      </c>
      <c r="W15" s="139" t="str">
        <f>IF(T15="","",IF(OR(U15="",U15=0,U15&lt;T15),T15,(T15*S15)/U15))</f>
        <v/>
      </c>
      <c r="Y15" s="1182">
        <f>IF(AND(C13&lt;&gt;"",C13&lt;&gt;"NA"),1,0)</f>
        <v>0</v>
      </c>
      <c r="Z15" s="17">
        <f>IF(AND(C14&lt;&gt;"",C14&lt;&gt;"NA"),1,0)</f>
        <v>0</v>
      </c>
      <c r="AB15" s="63"/>
      <c r="AC15" s="63"/>
      <c r="AD15" s="63"/>
      <c r="AE15" s="63"/>
      <c r="AF15" s="63"/>
      <c r="AG15" s="63"/>
      <c r="AH15" s="127"/>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row>
    <row r="16" spans="2:170" ht="30" customHeight="1" x14ac:dyDescent="0.2">
      <c r="B16" s="156" t="s">
        <v>591</v>
      </c>
      <c r="C16" s="1308"/>
      <c r="D16" s="1308"/>
      <c r="E16" s="1558">
        <f>IF(AND($Y$18=1,$Z$18=1),"ERROR",'Sh-Table'!AB12)</f>
        <v>0</v>
      </c>
      <c r="F16" s="1964"/>
      <c r="G16" s="1556" t="str">
        <f>IF(AND($Z$18=1,$Y$18=1),"Cannot rate ROM and ankylosis.","")</f>
        <v/>
      </c>
      <c r="H16" s="1556"/>
      <c r="I16" s="1556"/>
      <c r="J16" s="1556"/>
      <c r="K16" s="1556"/>
      <c r="L16" s="1556"/>
      <c r="M16" s="1556"/>
      <c r="N16" s="1556"/>
      <c r="O16" s="1556"/>
      <c r="P16" s="1745"/>
      <c r="Q16" s="63"/>
      <c r="R16" s="7"/>
      <c r="S16" s="1182">
        <v>90</v>
      </c>
      <c r="T16" s="17" t="str">
        <f t="shared" si="0"/>
        <v/>
      </c>
      <c r="U16" s="17"/>
      <c r="V16" s="17"/>
      <c r="W16" s="17"/>
      <c r="X16" s="7"/>
      <c r="Y16" s="17">
        <f>IF(AND(C15&lt;&gt;"",C15&lt;&gt;"NA"),1,0)</f>
        <v>0</v>
      </c>
      <c r="Z16" s="17">
        <f>IF(AND(C16&lt;&gt;"",C16&lt;&gt;"NA"),1,0)</f>
        <v>0</v>
      </c>
      <c r="AB16" s="63"/>
      <c r="AC16" s="63"/>
      <c r="AD16" s="63"/>
      <c r="AE16" s="63"/>
      <c r="AF16" s="63"/>
      <c r="AG16" s="63"/>
      <c r="AH16" s="63"/>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row>
    <row r="17" spans="1:158" ht="30" customHeight="1" x14ac:dyDescent="0.2">
      <c r="B17" s="335" t="s">
        <v>592</v>
      </c>
      <c r="C17" s="1308"/>
      <c r="D17" s="1308"/>
      <c r="E17" s="1558">
        <f>'Sh-Table'!AB13</f>
        <v>0</v>
      </c>
      <c r="F17" s="1964"/>
      <c r="G17" s="1308"/>
      <c r="H17" s="1308"/>
      <c r="I17" s="1538">
        <f>IF(C17="",0,IF(OR(C17&lt;=0,G17&lt;=0),E17,IF(G17&lt;C17,0,'Sh-Table'!AG13)))</f>
        <v>0</v>
      </c>
      <c r="J17" s="1538"/>
      <c r="K17" s="1556" t="str">
        <f>IF(OR(C17="NA",G17="NA"),"",IF(AND(C17&lt;&gt;"",G17=""),"Enter contralateral or NA.",IF(AND(C17="",G17&lt;&gt;""),"Need data","")))</f>
        <v/>
      </c>
      <c r="L17" s="1556"/>
      <c r="M17" s="1556"/>
      <c r="N17" s="1556"/>
      <c r="O17" s="1556"/>
      <c r="P17" s="1745"/>
      <c r="Q17" s="63"/>
      <c r="R17" s="63"/>
      <c r="S17" s="1182">
        <v>90</v>
      </c>
      <c r="T17" s="17" t="str">
        <f t="shared" si="0"/>
        <v/>
      </c>
      <c r="U17" s="17" t="str">
        <f>IF(OR(G17="",G17="NA"),"",IF(G17&gt;S17,S17,IF(G17&lt;0,0,G17)))</f>
        <v/>
      </c>
      <c r="V17" s="66" t="str">
        <f>IF(W17="","",ROUND(W17,0))</f>
        <v/>
      </c>
      <c r="W17" s="140" t="str">
        <f>IF(T17="","",IF(OR(U17="",U17=0,U17&lt;T17),T17,(T17*S17)/U17))</f>
        <v/>
      </c>
      <c r="X17" s="7"/>
      <c r="Y17" s="17">
        <f>IF(AND(C17&lt;&gt;"",C17&lt;&gt;"NA"),1,0)</f>
        <v>0</v>
      </c>
      <c r="Z17" s="17">
        <f>IF(AND(C18&lt;&gt;"",C18&lt;&gt;"NA"),1,0)</f>
        <v>0</v>
      </c>
      <c r="AB17" s="63"/>
      <c r="AC17" s="63"/>
      <c r="AD17" s="63"/>
      <c r="AE17" s="63"/>
      <c r="AF17" s="63"/>
      <c r="AG17" s="63"/>
      <c r="AH17" s="63"/>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row>
    <row r="18" spans="1:158" ht="30" customHeight="1" x14ac:dyDescent="0.2">
      <c r="B18" s="335" t="s">
        <v>593</v>
      </c>
      <c r="C18" s="1308"/>
      <c r="D18" s="1308"/>
      <c r="E18" s="1558">
        <f>IF(AND($Y$18=1,$Z$18=1),"ERROR",'Sh-Table'!AB14)</f>
        <v>0</v>
      </c>
      <c r="F18" s="1964"/>
      <c r="G18" s="1556" t="str">
        <f>IF(AND($Z$18=1,$Y$18=1),"Cannot rate ROM and ankylosis.","")</f>
        <v/>
      </c>
      <c r="H18" s="1556"/>
      <c r="I18" s="1556"/>
      <c r="J18" s="1556"/>
      <c r="K18" s="1556"/>
      <c r="L18" s="1556"/>
      <c r="M18" s="1556"/>
      <c r="N18" s="1556"/>
      <c r="O18" s="1556"/>
      <c r="P18" s="1746"/>
      <c r="Q18" s="63"/>
      <c r="R18" s="63"/>
      <c r="S18" s="106">
        <v>90</v>
      </c>
      <c r="T18" s="17" t="str">
        <f t="shared" si="0"/>
        <v/>
      </c>
      <c r="U18" s="63"/>
      <c r="V18" s="6"/>
      <c r="W18" s="7"/>
      <c r="Y18" s="494">
        <f>IF(OR(Y12=1,Y13=1,Y14=1,Y15=1,Y16=1,Y17=1),1,0)</f>
        <v>0</v>
      </c>
      <c r="Z18" s="894">
        <f>IF(OR(Z12=1,Z13=1,Z14=1,Z15=1,Z16=1,Z17=1),1,0)</f>
        <v>0</v>
      </c>
      <c r="AB18" s="6"/>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row>
    <row r="19" spans="1:158" ht="24" customHeight="1" x14ac:dyDescent="0.2">
      <c r="B19" s="1555"/>
      <c r="C19" s="1555"/>
      <c r="D19" s="1555"/>
      <c r="E19" s="1555"/>
      <c r="F19" s="1555"/>
      <c r="G19" s="1555"/>
      <c r="H19" s="1740" t="s">
        <v>536</v>
      </c>
      <c r="I19" s="1741"/>
      <c r="J19" s="1741"/>
      <c r="K19" s="1741"/>
      <c r="L19" s="1741"/>
      <c r="M19" s="1741"/>
      <c r="N19" s="1741"/>
      <c r="O19" s="1742"/>
      <c r="P19" s="303">
        <f>IF(R15=1,"ERROR",S19)</f>
        <v>0</v>
      </c>
      <c r="Q19" s="63"/>
      <c r="R19" s="143">
        <f>IF(AND(X7&gt;0,X7&lt;0.01),0.01,X7)</f>
        <v>0</v>
      </c>
      <c r="S19" s="61">
        <f>IF(R19&lt;&gt;"ERROR",ROUND(R19,2),0)</f>
        <v>0</v>
      </c>
      <c r="T19" s="1178"/>
      <c r="U19" s="1178"/>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row>
    <row r="20" spans="1:158" ht="12" customHeight="1" x14ac:dyDescent="0.25">
      <c r="B20" s="1876"/>
      <c r="C20" s="1876"/>
      <c r="D20" s="1876"/>
      <c r="E20" s="1876"/>
      <c r="F20" s="1876"/>
      <c r="G20" s="1876"/>
      <c r="H20" s="1876"/>
      <c r="I20" s="1876"/>
      <c r="J20" s="1876"/>
      <c r="K20" s="1876"/>
      <c r="L20" s="1876"/>
      <c r="M20" s="1876"/>
      <c r="N20" s="1876"/>
      <c r="O20" s="1876"/>
      <c r="P20" s="469"/>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row>
    <row r="21" spans="1:158" s="8" customFormat="1" ht="18" customHeight="1" x14ac:dyDescent="0.2">
      <c r="B21" s="1487" t="s">
        <v>1906</v>
      </c>
      <c r="C21" s="1487"/>
      <c r="D21" s="1487"/>
      <c r="E21" s="1487"/>
      <c r="F21" s="1487"/>
      <c r="G21" s="1487"/>
      <c r="H21" s="1487"/>
      <c r="I21" s="1487"/>
      <c r="J21" s="1487"/>
      <c r="K21" s="1487"/>
      <c r="L21" s="1487"/>
      <c r="M21" s="1487"/>
      <c r="N21" s="1487"/>
      <c r="O21" s="1487"/>
      <c r="P21" s="42"/>
      <c r="Q21" s="120"/>
      <c r="R21" s="134"/>
      <c r="S21" s="120"/>
      <c r="T21" s="149"/>
      <c r="U21" s="120"/>
      <c r="V21" s="120"/>
      <c r="W21" s="120"/>
      <c r="X21" s="120"/>
      <c r="Y21" s="120"/>
      <c r="Z21" s="120"/>
      <c r="AA21" s="120"/>
      <c r="AB21" s="120"/>
      <c r="AC21" s="120"/>
      <c r="AD21" s="120"/>
      <c r="AE21" s="120"/>
      <c r="AF21" s="120"/>
      <c r="AG21" s="120"/>
      <c r="AH21" s="120"/>
      <c r="AI21" s="120"/>
      <c r="AJ21" s="120"/>
      <c r="AK21" s="120"/>
      <c r="AL21" s="120"/>
      <c r="AM21" s="120"/>
      <c r="AN21" s="120"/>
      <c r="AO21" s="120"/>
      <c r="AP21" s="120"/>
      <c r="AQ21" s="120"/>
      <c r="AR21" s="120"/>
      <c r="AS21" s="120"/>
      <c r="AT21" s="120"/>
      <c r="AU21" s="120"/>
      <c r="AV21" s="120"/>
      <c r="AW21" s="120"/>
      <c r="AX21" s="120"/>
      <c r="AY21" s="120"/>
      <c r="AZ21" s="120"/>
      <c r="BA21" s="120"/>
      <c r="BB21" s="120"/>
      <c r="BC21" s="120"/>
      <c r="BD21" s="120"/>
      <c r="BE21" s="120"/>
      <c r="BF21" s="120"/>
      <c r="BG21" s="120"/>
      <c r="BH21" s="120"/>
      <c r="BI21" s="120"/>
      <c r="BJ21" s="120"/>
      <c r="BK21" s="120"/>
      <c r="BL21" s="120"/>
      <c r="BM21" s="120"/>
      <c r="BN21" s="120"/>
      <c r="BO21" s="120"/>
      <c r="BP21" s="120"/>
      <c r="BQ21" s="120"/>
      <c r="BR21" s="120"/>
      <c r="BS21" s="120"/>
      <c r="BT21" s="120"/>
      <c r="BU21" s="120"/>
      <c r="BV21" s="120"/>
      <c r="BW21" s="120"/>
      <c r="BX21" s="120"/>
      <c r="BY21" s="120"/>
      <c r="BZ21" s="120"/>
      <c r="CA21" s="120"/>
      <c r="CB21" s="120"/>
      <c r="CC21" s="120"/>
      <c r="CD21" s="120"/>
      <c r="CE21" s="120"/>
      <c r="CF21" s="120"/>
      <c r="CG21" s="120"/>
      <c r="CH21" s="120"/>
      <c r="CI21" s="120"/>
      <c r="CJ21" s="120"/>
      <c r="CK21" s="120"/>
      <c r="CL21" s="120"/>
      <c r="CM21" s="120"/>
      <c r="CN21" s="120"/>
      <c r="CO21" s="120"/>
      <c r="CP21" s="120"/>
      <c r="CQ21" s="120"/>
      <c r="CR21" s="120"/>
      <c r="CS21" s="120"/>
      <c r="CT21" s="120"/>
      <c r="CU21" s="120"/>
      <c r="CV21" s="120"/>
      <c r="CW21" s="120"/>
      <c r="CX21" s="120"/>
      <c r="CY21" s="120"/>
      <c r="CZ21" s="120"/>
      <c r="DA21" s="120"/>
      <c r="DB21" s="120"/>
      <c r="DC21" s="120"/>
      <c r="DD21" s="120"/>
      <c r="DE21" s="120"/>
      <c r="DF21" s="120"/>
      <c r="DG21" s="120"/>
      <c r="DH21" s="120"/>
      <c r="DI21" s="120"/>
      <c r="DJ21" s="120"/>
      <c r="DK21" s="120"/>
      <c r="DL21" s="120"/>
      <c r="DM21" s="120"/>
      <c r="DN21" s="120"/>
      <c r="DO21" s="120"/>
      <c r="DP21" s="120"/>
      <c r="DQ21" s="120"/>
      <c r="DR21" s="120"/>
      <c r="DS21" s="120"/>
      <c r="DT21" s="120"/>
      <c r="DU21" s="120"/>
      <c r="DV21" s="120"/>
      <c r="DW21" s="120"/>
      <c r="DX21" s="120"/>
      <c r="DY21" s="120"/>
      <c r="DZ21" s="120"/>
      <c r="EA21" s="120"/>
      <c r="EB21" s="120"/>
      <c r="EC21" s="120"/>
      <c r="ED21" s="120"/>
      <c r="EE21" s="120"/>
      <c r="EF21" s="120"/>
      <c r="EG21" s="120"/>
      <c r="EH21" s="120"/>
      <c r="EI21" s="120"/>
      <c r="EJ21" s="120"/>
      <c r="EK21" s="120"/>
      <c r="EL21" s="120"/>
      <c r="EM21" s="120"/>
      <c r="EN21" s="120"/>
      <c r="EO21" s="120"/>
      <c r="EP21" s="120"/>
      <c r="EQ21" s="120"/>
      <c r="ER21" s="120"/>
      <c r="ES21" s="120"/>
      <c r="ET21" s="120"/>
      <c r="EU21" s="120"/>
      <c r="EV21" s="120"/>
      <c r="EW21" s="120"/>
      <c r="EX21" s="120"/>
      <c r="EY21" s="120"/>
      <c r="EZ21" s="120"/>
      <c r="FA21" s="120"/>
      <c r="FB21" s="120"/>
    </row>
    <row r="22" spans="1:158" s="8" customFormat="1" ht="20.100000000000001" customHeight="1" x14ac:dyDescent="0.2">
      <c r="A22" s="20"/>
      <c r="B22" s="2278"/>
      <c r="C22" s="2278"/>
      <c r="D22" s="2278"/>
      <c r="E22" s="2278"/>
      <c r="F22" s="2278"/>
      <c r="G22" s="2278"/>
      <c r="H22" s="2278"/>
      <c r="I22" s="2278"/>
      <c r="J22" s="2278"/>
      <c r="K22" s="2278"/>
      <c r="L22" s="2278"/>
      <c r="M22" s="2278"/>
      <c r="N22" s="2278"/>
      <c r="O22" s="2278"/>
      <c r="P22" s="341">
        <f>IF(S22=1,0.15,IF(S22=2,0.05,IF(S22=3,0,0)))</f>
        <v>0</v>
      </c>
      <c r="Q22" s="120"/>
      <c r="R22" s="2279" t="s">
        <v>2276</v>
      </c>
      <c r="S22" s="1196">
        <v>3</v>
      </c>
      <c r="T22" s="149">
        <v>1E-4</v>
      </c>
      <c r="U22" s="120"/>
      <c r="V22" s="120"/>
      <c r="W22" s="120"/>
      <c r="X22" s="120"/>
      <c r="Y22" s="120"/>
      <c r="Z22" s="120"/>
      <c r="AA22" s="120"/>
      <c r="AB22" s="120"/>
      <c r="AC22" s="120"/>
      <c r="AD22" s="120"/>
      <c r="AE22" s="120"/>
      <c r="AF22" s="120"/>
      <c r="AG22" s="120"/>
      <c r="AH22" s="120"/>
      <c r="AI22" s="120"/>
      <c r="AJ22" s="120"/>
      <c r="AK22" s="120"/>
      <c r="AL22" s="120"/>
      <c r="AM22" s="120"/>
      <c r="AN22" s="120"/>
      <c r="AO22" s="120"/>
      <c r="AP22" s="120"/>
      <c r="AQ22" s="120"/>
      <c r="AR22" s="120"/>
      <c r="AS22" s="120"/>
      <c r="AT22" s="120"/>
      <c r="AU22" s="120"/>
      <c r="AV22" s="120"/>
      <c r="AW22" s="120"/>
      <c r="AX22" s="120"/>
      <c r="AY22" s="120"/>
      <c r="AZ22" s="120"/>
      <c r="BA22" s="120"/>
      <c r="BB22" s="120"/>
      <c r="BC22" s="120"/>
      <c r="BD22" s="120"/>
      <c r="BE22" s="120"/>
      <c r="BF22" s="120"/>
      <c r="BG22" s="120"/>
      <c r="BH22" s="120"/>
      <c r="BI22" s="120"/>
      <c r="BJ22" s="120"/>
      <c r="BK22" s="120"/>
      <c r="BL22" s="120"/>
      <c r="BM22" s="120"/>
      <c r="BN22" s="120"/>
      <c r="BO22" s="120"/>
      <c r="BP22" s="120"/>
      <c r="BQ22" s="120"/>
      <c r="BR22" s="120"/>
      <c r="BS22" s="120"/>
      <c r="BT22" s="120"/>
      <c r="BU22" s="120"/>
      <c r="BV22" s="120"/>
      <c r="BW22" s="120"/>
      <c r="BX22" s="120"/>
      <c r="BY22" s="120"/>
      <c r="BZ22" s="120"/>
      <c r="CA22" s="120"/>
      <c r="CB22" s="120"/>
      <c r="CC22" s="120"/>
      <c r="CD22" s="120"/>
      <c r="CE22" s="120"/>
      <c r="CF22" s="120"/>
      <c r="CG22" s="120"/>
      <c r="CH22" s="120"/>
      <c r="CI22" s="120"/>
      <c r="CJ22" s="120"/>
      <c r="CK22" s="120"/>
      <c r="CL22" s="120"/>
      <c r="CM22" s="120"/>
      <c r="CN22" s="120"/>
      <c r="CO22" s="120"/>
      <c r="CP22" s="120"/>
      <c r="CQ22" s="120"/>
      <c r="CR22" s="120"/>
      <c r="CS22" s="120"/>
      <c r="CT22" s="120"/>
      <c r="CU22" s="120"/>
      <c r="CV22" s="120"/>
      <c r="CW22" s="120"/>
      <c r="CX22" s="120"/>
      <c r="CY22" s="120"/>
      <c r="CZ22" s="120"/>
      <c r="DA22" s="120"/>
      <c r="DB22" s="120"/>
      <c r="DC22" s="120"/>
      <c r="DD22" s="120"/>
      <c r="DE22" s="120"/>
      <c r="DF22" s="120"/>
      <c r="DG22" s="120"/>
      <c r="DH22" s="120"/>
      <c r="DI22" s="120"/>
      <c r="DJ22" s="120"/>
      <c r="DK22" s="120"/>
      <c r="DL22" s="120"/>
      <c r="DM22" s="120"/>
      <c r="DN22" s="120"/>
      <c r="DO22" s="120"/>
      <c r="DP22" s="120"/>
      <c r="DQ22" s="120"/>
      <c r="DR22" s="120"/>
      <c r="DS22" s="120"/>
      <c r="DT22" s="120"/>
      <c r="DU22" s="120"/>
      <c r="DV22" s="120"/>
      <c r="DW22" s="120"/>
      <c r="DX22" s="120"/>
      <c r="DY22" s="120"/>
      <c r="DZ22" s="120"/>
      <c r="EA22" s="120"/>
      <c r="EB22" s="120"/>
      <c r="EC22" s="120"/>
      <c r="ED22" s="120"/>
      <c r="EE22" s="120"/>
      <c r="EF22" s="120"/>
      <c r="EG22" s="120"/>
      <c r="EH22" s="120"/>
      <c r="EI22" s="120"/>
      <c r="EJ22" s="120"/>
      <c r="EK22" s="120"/>
      <c r="EL22" s="120"/>
      <c r="EM22" s="120"/>
      <c r="EN22" s="120"/>
      <c r="EO22" s="120"/>
      <c r="EP22" s="120"/>
      <c r="EQ22" s="120"/>
      <c r="ER22" s="120"/>
      <c r="ES22" s="120"/>
      <c r="ET22" s="120"/>
      <c r="EU22" s="120"/>
      <c r="EV22" s="120"/>
      <c r="EW22" s="120"/>
      <c r="EX22" s="120"/>
      <c r="EY22" s="120"/>
      <c r="EZ22" s="120"/>
      <c r="FA22" s="120"/>
      <c r="FB22" s="120"/>
    </row>
    <row r="23" spans="1:158" s="8" customFormat="1" ht="20.100000000000001" customHeight="1" x14ac:dyDescent="0.2">
      <c r="B23" s="2278"/>
      <c r="C23" s="2278"/>
      <c r="D23" s="2278"/>
      <c r="E23" s="2278"/>
      <c r="F23" s="2278"/>
      <c r="G23" s="2278"/>
      <c r="H23" s="2278"/>
      <c r="I23" s="2278"/>
      <c r="J23" s="2278"/>
      <c r="K23" s="2278"/>
      <c r="L23" s="2278"/>
      <c r="M23" s="2278"/>
      <c r="N23" s="2278"/>
      <c r="O23" s="2278"/>
      <c r="P23" s="341">
        <f>IF(S23=1,0.05,0)</f>
        <v>0</v>
      </c>
      <c r="Q23" s="120"/>
      <c r="R23" s="2279"/>
      <c r="S23" s="1196">
        <v>2</v>
      </c>
      <c r="T23" s="149"/>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row>
    <row r="24" spans="1:158" s="8" customFormat="1" ht="20.100000000000001" customHeight="1" x14ac:dyDescent="0.2">
      <c r="B24" s="2278"/>
      <c r="C24" s="2278"/>
      <c r="D24" s="2278"/>
      <c r="E24" s="2278"/>
      <c r="F24" s="2278"/>
      <c r="G24" s="2278"/>
      <c r="H24" s="2278"/>
      <c r="I24" s="2278"/>
      <c r="J24" s="2278"/>
      <c r="K24" s="2278"/>
      <c r="L24" s="2278"/>
      <c r="M24" s="2278"/>
      <c r="N24" s="2278"/>
      <c r="O24" s="2278"/>
      <c r="P24" s="341">
        <f>IF(S24=1,0.3,0)</f>
        <v>0</v>
      </c>
      <c r="Q24" s="120"/>
      <c r="R24" s="2279"/>
      <c r="S24" s="1196">
        <v>2</v>
      </c>
      <c r="T24" s="149"/>
      <c r="U24" s="134"/>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row>
    <row r="25" spans="1:158" s="8" customFormat="1" ht="20.100000000000001" customHeight="1" x14ac:dyDescent="0.2">
      <c r="B25" s="2278"/>
      <c r="C25" s="2278"/>
      <c r="D25" s="2278"/>
      <c r="E25" s="2278"/>
      <c r="F25" s="2278"/>
      <c r="G25" s="2278"/>
      <c r="H25" s="2278"/>
      <c r="I25" s="2278"/>
      <c r="J25" s="2278"/>
      <c r="K25" s="2278"/>
      <c r="L25" s="2278"/>
      <c r="M25" s="2278"/>
      <c r="N25" s="2278"/>
      <c r="O25" s="2278"/>
      <c r="P25" s="341">
        <f>IF(S25=1,0.1,0)</f>
        <v>0</v>
      </c>
      <c r="Q25" s="120"/>
      <c r="R25" s="2279"/>
      <c r="S25" s="1197">
        <v>2</v>
      </c>
      <c r="T25" s="145"/>
      <c r="U25" s="134"/>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row>
    <row r="26" spans="1:158" s="8" customFormat="1" ht="11.25" customHeight="1" x14ac:dyDescent="0.2">
      <c r="B26" s="2283"/>
      <c r="C26" s="2283"/>
      <c r="D26" s="2283"/>
      <c r="E26" s="2283"/>
      <c r="F26" s="2283"/>
      <c r="G26" s="2283"/>
      <c r="H26" s="2283"/>
      <c r="I26" s="2283"/>
      <c r="J26" s="2283"/>
      <c r="K26" s="2283"/>
      <c r="L26" s="2283"/>
      <c r="M26" s="2283"/>
      <c r="N26" s="2283"/>
      <c r="O26" s="2283"/>
      <c r="P26" s="21"/>
      <c r="Q26" s="120"/>
      <c r="R26" s="134"/>
      <c r="S26" s="132"/>
      <c r="T26" s="134"/>
      <c r="U26" s="134"/>
      <c r="V26" s="120"/>
      <c r="W26" s="120"/>
      <c r="X26" s="120"/>
      <c r="Y26" s="120"/>
      <c r="Z26" s="120"/>
      <c r="AA26" s="120"/>
      <c r="AB26" s="120"/>
      <c r="AC26" s="120"/>
      <c r="AD26" s="120"/>
      <c r="AE26" s="120"/>
      <c r="AF26" s="120"/>
      <c r="AG26" s="120"/>
      <c r="AH26" s="120"/>
      <c r="AI26" s="120"/>
      <c r="AJ26" s="120"/>
      <c r="AK26" s="120"/>
      <c r="AL26" s="120"/>
      <c r="AM26" s="120"/>
      <c r="AN26" s="120"/>
      <c r="AO26" s="120"/>
      <c r="AP26" s="120"/>
      <c r="AQ26" s="120"/>
      <c r="AR26" s="120"/>
      <c r="AS26" s="120"/>
      <c r="AT26" s="120"/>
      <c r="AU26" s="120"/>
      <c r="AV26" s="120"/>
      <c r="AW26" s="120"/>
      <c r="AX26" s="120"/>
      <c r="AY26" s="120"/>
      <c r="AZ26" s="120"/>
      <c r="BA26" s="120"/>
      <c r="BB26" s="120"/>
      <c r="BC26" s="120"/>
      <c r="BD26" s="120"/>
      <c r="BE26" s="120"/>
      <c r="BF26" s="120"/>
      <c r="BG26" s="120"/>
      <c r="BH26" s="120"/>
      <c r="BI26" s="120"/>
      <c r="BJ26" s="120"/>
      <c r="BK26" s="120"/>
      <c r="BL26" s="120"/>
      <c r="BM26" s="120"/>
      <c r="BN26" s="120"/>
      <c r="BO26" s="120"/>
      <c r="BP26" s="120"/>
      <c r="BQ26" s="120"/>
      <c r="BR26" s="120"/>
      <c r="BS26" s="120"/>
      <c r="BT26" s="120"/>
      <c r="BU26" s="120"/>
      <c r="BV26" s="120"/>
      <c r="BW26" s="120"/>
      <c r="BX26" s="120"/>
      <c r="BY26" s="120"/>
      <c r="BZ26" s="120"/>
      <c r="CA26" s="120"/>
      <c r="CB26" s="120"/>
      <c r="CC26" s="120"/>
      <c r="CD26" s="120"/>
      <c r="CE26" s="120"/>
      <c r="CF26" s="120"/>
      <c r="CG26" s="120"/>
      <c r="CH26" s="120"/>
      <c r="CI26" s="120"/>
      <c r="CJ26" s="120"/>
      <c r="CK26" s="120"/>
      <c r="CL26" s="120"/>
      <c r="CM26" s="120"/>
      <c r="CN26" s="120"/>
      <c r="CO26" s="120"/>
      <c r="CP26" s="120"/>
      <c r="CQ26" s="120"/>
      <c r="CR26" s="120"/>
      <c r="CS26" s="120"/>
      <c r="CT26" s="120"/>
      <c r="CU26" s="120"/>
      <c r="CV26" s="120"/>
      <c r="CW26" s="120"/>
      <c r="CX26" s="120"/>
      <c r="CY26" s="120"/>
      <c r="CZ26" s="120"/>
      <c r="DA26" s="120"/>
      <c r="DB26" s="120"/>
      <c r="DC26" s="120"/>
      <c r="DD26" s="120"/>
      <c r="DE26" s="120"/>
      <c r="DF26" s="120"/>
      <c r="DG26" s="120"/>
      <c r="DH26" s="120"/>
      <c r="DI26" s="120"/>
      <c r="DJ26" s="120"/>
      <c r="DK26" s="120"/>
      <c r="DL26" s="120"/>
      <c r="DM26" s="120"/>
      <c r="DN26" s="120"/>
      <c r="DO26" s="120"/>
      <c r="DP26" s="120"/>
      <c r="DQ26" s="120"/>
      <c r="DR26" s="120"/>
      <c r="DS26" s="120"/>
      <c r="DT26" s="120"/>
      <c r="DU26" s="120"/>
      <c r="DV26" s="120"/>
      <c r="DW26" s="120"/>
      <c r="DX26" s="120"/>
      <c r="DY26" s="120"/>
      <c r="DZ26" s="120"/>
      <c r="EA26" s="120"/>
      <c r="EB26" s="120"/>
      <c r="EC26" s="120"/>
      <c r="ED26" s="120"/>
      <c r="EE26" s="120"/>
      <c r="EF26" s="120"/>
      <c r="EG26" s="120"/>
      <c r="EH26" s="120"/>
      <c r="EI26" s="120"/>
      <c r="EJ26" s="120"/>
      <c r="EK26" s="120"/>
      <c r="EL26" s="120"/>
      <c r="EM26" s="120"/>
      <c r="EN26" s="120"/>
      <c r="EO26" s="120"/>
      <c r="EP26" s="120"/>
      <c r="EQ26" s="120"/>
      <c r="ER26" s="120"/>
      <c r="ES26" s="120"/>
      <c r="ET26" s="120"/>
      <c r="EU26" s="120"/>
      <c r="EV26" s="120"/>
      <c r="EW26" s="120"/>
      <c r="EX26" s="120"/>
      <c r="EY26" s="120"/>
      <c r="EZ26" s="120"/>
      <c r="FA26" s="120"/>
      <c r="FB26" s="120"/>
    </row>
    <row r="27" spans="1:158" s="8" customFormat="1" ht="18" customHeight="1" x14ac:dyDescent="0.2">
      <c r="B27" s="1487" t="s">
        <v>1907</v>
      </c>
      <c r="C27" s="1487"/>
      <c r="D27" s="1487"/>
      <c r="E27" s="1487"/>
      <c r="F27" s="1487"/>
      <c r="G27" s="1487"/>
      <c r="H27" s="1487"/>
      <c r="I27" s="1487"/>
      <c r="J27" s="1487"/>
      <c r="K27" s="1487"/>
      <c r="L27" s="1487"/>
      <c r="M27" s="1487"/>
      <c r="N27" s="1487"/>
      <c r="O27" s="1487"/>
      <c r="P27" s="42"/>
      <c r="Q27" s="120"/>
      <c r="R27" s="134"/>
      <c r="S27" s="132"/>
      <c r="T27" s="134"/>
      <c r="U27" s="134"/>
      <c r="V27" s="120"/>
      <c r="W27" s="120"/>
      <c r="X27" s="120"/>
      <c r="Y27" s="120"/>
      <c r="Z27" s="120"/>
      <c r="AA27" s="120"/>
      <c r="AB27" s="120"/>
      <c r="AC27" s="120"/>
      <c r="AD27" s="120"/>
      <c r="AE27" s="120"/>
      <c r="AF27" s="120"/>
      <c r="AG27" s="120"/>
      <c r="AH27" s="120"/>
      <c r="AI27" s="120"/>
      <c r="AJ27" s="120"/>
      <c r="AK27" s="120"/>
      <c r="AL27" s="120"/>
      <c r="AM27" s="120"/>
      <c r="AN27" s="120"/>
      <c r="AO27" s="120"/>
      <c r="AP27" s="120"/>
      <c r="AQ27" s="120"/>
      <c r="AR27" s="120"/>
      <c r="AS27" s="120"/>
      <c r="AT27" s="120"/>
      <c r="AU27" s="120"/>
      <c r="AV27" s="120"/>
      <c r="AW27" s="120"/>
      <c r="AX27" s="120"/>
      <c r="AY27" s="120"/>
      <c r="AZ27" s="120"/>
      <c r="BA27" s="120"/>
      <c r="BB27" s="120"/>
      <c r="BC27" s="120"/>
      <c r="BD27" s="120"/>
      <c r="BE27" s="120"/>
      <c r="BF27" s="120"/>
      <c r="BG27" s="120"/>
      <c r="BH27" s="120"/>
      <c r="BI27" s="120"/>
      <c r="BJ27" s="120"/>
      <c r="BK27" s="120"/>
      <c r="BL27" s="120"/>
      <c r="BM27" s="120"/>
      <c r="BN27" s="120"/>
      <c r="BO27" s="120"/>
      <c r="BP27" s="120"/>
      <c r="BQ27" s="120"/>
      <c r="BR27" s="120"/>
      <c r="BS27" s="120"/>
      <c r="BT27" s="120"/>
      <c r="BU27" s="120"/>
      <c r="BV27" s="120"/>
      <c r="BW27" s="120"/>
      <c r="BX27" s="120"/>
      <c r="BY27" s="120"/>
      <c r="BZ27" s="120"/>
      <c r="CA27" s="120"/>
      <c r="CB27" s="120"/>
      <c r="CC27" s="120"/>
      <c r="CD27" s="120"/>
      <c r="CE27" s="120"/>
      <c r="CF27" s="120"/>
      <c r="CG27" s="120"/>
      <c r="CH27" s="120"/>
      <c r="CI27" s="120"/>
      <c r="CJ27" s="120"/>
      <c r="CK27" s="120"/>
      <c r="CL27" s="120"/>
      <c r="CM27" s="120"/>
      <c r="CN27" s="120"/>
      <c r="CO27" s="120"/>
      <c r="CP27" s="120"/>
      <c r="CQ27" s="120"/>
      <c r="CR27" s="120"/>
      <c r="CS27" s="120"/>
      <c r="CT27" s="120"/>
      <c r="CU27" s="120"/>
      <c r="CV27" s="120"/>
      <c r="CW27" s="120"/>
      <c r="CX27" s="120"/>
      <c r="CY27" s="120"/>
      <c r="CZ27" s="120"/>
      <c r="DA27" s="120"/>
      <c r="DB27" s="120"/>
      <c r="DC27" s="120"/>
      <c r="DD27" s="120"/>
      <c r="DE27" s="120"/>
      <c r="DF27" s="120"/>
      <c r="DG27" s="120"/>
      <c r="DH27" s="120"/>
      <c r="DI27" s="120"/>
      <c r="DJ27" s="120"/>
      <c r="DK27" s="120"/>
      <c r="DL27" s="120"/>
      <c r="DM27" s="120"/>
      <c r="DN27" s="120"/>
      <c r="DO27" s="120"/>
      <c r="DP27" s="120"/>
      <c r="DQ27" s="120"/>
      <c r="DR27" s="120"/>
      <c r="DS27" s="120"/>
      <c r="DT27" s="120"/>
      <c r="DU27" s="120"/>
      <c r="DV27" s="120"/>
      <c r="DW27" s="120"/>
      <c r="DX27" s="120"/>
      <c r="DY27" s="120"/>
      <c r="DZ27" s="120"/>
      <c r="EA27" s="120"/>
      <c r="EB27" s="120"/>
      <c r="EC27" s="120"/>
      <c r="ED27" s="120"/>
      <c r="EE27" s="120"/>
      <c r="EF27" s="120"/>
      <c r="EG27" s="120"/>
      <c r="EH27" s="120"/>
      <c r="EI27" s="120"/>
      <c r="EJ27" s="120"/>
      <c r="EK27" s="120"/>
      <c r="EL27" s="120"/>
      <c r="EM27" s="120"/>
      <c r="EN27" s="120"/>
      <c r="EO27" s="120"/>
      <c r="EP27" s="120"/>
      <c r="EQ27" s="120"/>
      <c r="ER27" s="120"/>
      <c r="ES27" s="120"/>
      <c r="ET27" s="120"/>
      <c r="EU27" s="120"/>
      <c r="EV27" s="120"/>
      <c r="EW27" s="120"/>
      <c r="EX27" s="120"/>
      <c r="EY27" s="120"/>
      <c r="EZ27" s="120"/>
      <c r="FA27" s="120"/>
      <c r="FB27" s="120"/>
    </row>
    <row r="28" spans="1:158" s="8" customFormat="1" ht="18" customHeight="1" x14ac:dyDescent="0.2">
      <c r="B28" s="1830" t="s">
        <v>1719</v>
      </c>
      <c r="C28" s="1830"/>
      <c r="D28" s="1830"/>
      <c r="E28" s="1830"/>
      <c r="F28" s="1830"/>
      <c r="G28" s="1830"/>
      <c r="H28" s="1830"/>
      <c r="I28" s="1830"/>
      <c r="J28" s="1830"/>
      <c r="K28" s="1830"/>
      <c r="L28" s="1830"/>
      <c r="M28" s="1830"/>
      <c r="N28" s="1830"/>
      <c r="O28" s="1830"/>
      <c r="P28" s="1848"/>
      <c r="Q28" s="120"/>
      <c r="R28" s="134"/>
      <c r="S28" s="132"/>
      <c r="T28" s="136"/>
      <c r="U28" s="120"/>
      <c r="V28" s="120"/>
      <c r="W28" s="120"/>
      <c r="X28" s="120"/>
      <c r="Y28" s="120"/>
      <c r="Z28" s="120"/>
      <c r="AA28" s="120"/>
      <c r="AB28" s="120"/>
      <c r="AC28" s="120"/>
      <c r="AD28" s="120"/>
      <c r="AE28" s="120"/>
      <c r="AF28" s="120"/>
      <c r="AG28" s="120"/>
      <c r="AH28" s="120"/>
      <c r="AI28" s="120"/>
      <c r="AJ28" s="120"/>
      <c r="AK28" s="120"/>
      <c r="AL28" s="120"/>
      <c r="AM28" s="120"/>
      <c r="AN28" s="120"/>
      <c r="AO28" s="120"/>
      <c r="AP28" s="120"/>
      <c r="AQ28" s="120"/>
      <c r="AR28" s="120"/>
      <c r="AS28" s="120"/>
      <c r="AT28" s="120"/>
      <c r="AU28" s="120"/>
      <c r="AV28" s="120"/>
      <c r="AW28" s="120"/>
      <c r="AX28" s="120"/>
      <c r="AY28" s="120"/>
      <c r="AZ28" s="120"/>
      <c r="BA28" s="120"/>
      <c r="BB28" s="120"/>
      <c r="BC28" s="120"/>
      <c r="BD28" s="120"/>
      <c r="BE28" s="120"/>
      <c r="BF28" s="120"/>
      <c r="BG28" s="120"/>
      <c r="BH28" s="120"/>
      <c r="BI28" s="120"/>
      <c r="BJ28" s="120"/>
      <c r="BK28" s="120"/>
      <c r="BL28" s="120"/>
      <c r="BM28" s="120"/>
      <c r="BN28" s="120"/>
      <c r="BO28" s="120"/>
      <c r="BP28" s="120"/>
      <c r="BQ28" s="120"/>
      <c r="BR28" s="120"/>
      <c r="BS28" s="120"/>
      <c r="BT28" s="120"/>
      <c r="BU28" s="120"/>
      <c r="BV28" s="120"/>
      <c r="BW28" s="120"/>
      <c r="BX28" s="120"/>
      <c r="BY28" s="120"/>
      <c r="BZ28" s="120"/>
      <c r="CA28" s="120"/>
      <c r="CB28" s="120"/>
      <c r="CC28" s="120"/>
      <c r="CD28" s="120"/>
      <c r="CE28" s="120"/>
      <c r="CF28" s="120"/>
      <c r="CG28" s="120"/>
      <c r="CH28" s="120"/>
      <c r="CI28" s="120"/>
      <c r="CJ28" s="120"/>
      <c r="CK28" s="120"/>
      <c r="CL28" s="120"/>
      <c r="CM28" s="120"/>
      <c r="CN28" s="120"/>
      <c r="CO28" s="120"/>
      <c r="CP28" s="120"/>
      <c r="CQ28" s="120"/>
      <c r="CR28" s="120"/>
      <c r="CS28" s="120"/>
      <c r="CT28" s="120"/>
      <c r="CU28" s="120"/>
      <c r="CV28" s="120"/>
      <c r="CW28" s="120"/>
      <c r="CX28" s="120"/>
      <c r="CY28" s="120"/>
      <c r="CZ28" s="120"/>
      <c r="DA28" s="120"/>
      <c r="DB28" s="120"/>
      <c r="DC28" s="120"/>
      <c r="DD28" s="120"/>
      <c r="DE28" s="120"/>
      <c r="DF28" s="120"/>
      <c r="DG28" s="120"/>
      <c r="DH28" s="120"/>
      <c r="DI28" s="120"/>
      <c r="DJ28" s="120"/>
      <c r="DK28" s="120"/>
      <c r="DL28" s="120"/>
      <c r="DM28" s="120"/>
      <c r="DN28" s="120"/>
      <c r="DO28" s="120"/>
      <c r="DP28" s="120"/>
      <c r="DQ28" s="120"/>
      <c r="DR28" s="120"/>
      <c r="DS28" s="120"/>
      <c r="DT28" s="120"/>
      <c r="DU28" s="120"/>
      <c r="DV28" s="120"/>
      <c r="DW28" s="120"/>
      <c r="DX28" s="120"/>
      <c r="DY28" s="120"/>
      <c r="DZ28" s="120"/>
      <c r="EA28" s="120"/>
      <c r="EB28" s="120"/>
      <c r="EC28" s="120"/>
      <c r="ED28" s="120"/>
      <c r="EE28" s="120"/>
      <c r="EF28" s="120"/>
      <c r="EG28" s="120"/>
      <c r="EH28" s="120"/>
      <c r="EI28" s="120"/>
      <c r="EJ28" s="120"/>
      <c r="EK28" s="120"/>
      <c r="EL28" s="120"/>
      <c r="EM28" s="120"/>
      <c r="EN28" s="120"/>
      <c r="EO28" s="120"/>
      <c r="EP28" s="120"/>
      <c r="EQ28" s="120"/>
      <c r="ER28" s="120"/>
      <c r="ES28" s="120"/>
      <c r="ET28" s="120"/>
      <c r="EU28" s="120"/>
      <c r="EV28" s="120"/>
      <c r="EW28" s="120"/>
      <c r="EX28" s="120"/>
      <c r="EY28" s="120"/>
      <c r="EZ28" s="120"/>
      <c r="FA28" s="120"/>
      <c r="FB28" s="120"/>
    </row>
    <row r="29" spans="1:158" s="8" customFormat="1" ht="18" customHeight="1" x14ac:dyDescent="0.2">
      <c r="B29" s="1830"/>
      <c r="C29" s="1830"/>
      <c r="D29" s="1830"/>
      <c r="E29" s="1830"/>
      <c r="F29" s="1830"/>
      <c r="G29" s="1830"/>
      <c r="H29" s="1830"/>
      <c r="I29" s="1830"/>
      <c r="J29" s="1830"/>
      <c r="K29" s="1830"/>
      <c r="L29" s="1830"/>
      <c r="M29" s="1830"/>
      <c r="N29" s="1830"/>
      <c r="O29" s="1830"/>
      <c r="P29" s="1848"/>
      <c r="Q29" s="120"/>
      <c r="R29" s="2280" t="s">
        <v>2277</v>
      </c>
      <c r="S29" s="2280"/>
      <c r="T29" s="134"/>
      <c r="U29" s="134"/>
      <c r="V29" s="120"/>
      <c r="W29" s="120"/>
      <c r="X29" s="120"/>
      <c r="Y29" s="120"/>
      <c r="Z29" s="120"/>
      <c r="AA29" s="120"/>
      <c r="AB29" s="120"/>
      <c r="AC29" s="120"/>
      <c r="AD29" s="120"/>
      <c r="AE29" s="120"/>
      <c r="AF29" s="120"/>
      <c r="AG29" s="120"/>
      <c r="AH29" s="120"/>
      <c r="AI29" s="120"/>
      <c r="AJ29" s="120"/>
      <c r="AK29" s="120"/>
      <c r="AL29" s="120"/>
      <c r="AM29" s="120"/>
      <c r="AN29" s="120"/>
      <c r="AO29" s="120"/>
      <c r="AP29" s="120"/>
      <c r="AQ29" s="120"/>
      <c r="AR29" s="120"/>
      <c r="AS29" s="120"/>
      <c r="AT29" s="120"/>
      <c r="AU29" s="120"/>
      <c r="AV29" s="120"/>
      <c r="AW29" s="120"/>
      <c r="AX29" s="120"/>
      <c r="AY29" s="120"/>
      <c r="AZ29" s="120"/>
      <c r="BA29" s="120"/>
      <c r="BB29" s="120"/>
      <c r="BC29" s="120"/>
      <c r="BD29" s="120"/>
      <c r="BE29" s="120"/>
      <c r="BF29" s="120"/>
      <c r="BG29" s="120"/>
      <c r="BH29" s="120"/>
      <c r="BI29" s="120"/>
      <c r="BJ29" s="120"/>
      <c r="BK29" s="120"/>
      <c r="BL29" s="120"/>
      <c r="BM29" s="120"/>
      <c r="BN29" s="120"/>
      <c r="BO29" s="120"/>
      <c r="BP29" s="120"/>
      <c r="BQ29" s="120"/>
      <c r="BR29" s="120"/>
      <c r="BS29" s="120"/>
      <c r="BT29" s="120"/>
      <c r="BU29" s="120"/>
      <c r="BV29" s="120"/>
      <c r="BW29" s="120"/>
      <c r="BX29" s="120"/>
      <c r="BY29" s="120"/>
      <c r="BZ29" s="120"/>
      <c r="CA29" s="120"/>
      <c r="CB29" s="120"/>
      <c r="CC29" s="120"/>
      <c r="CD29" s="120"/>
      <c r="CE29" s="120"/>
      <c r="CF29" s="120"/>
      <c r="CG29" s="120"/>
      <c r="CH29" s="120"/>
      <c r="CI29" s="120"/>
      <c r="CJ29" s="120"/>
      <c r="CK29" s="120"/>
      <c r="CL29" s="120"/>
      <c r="CM29" s="120"/>
      <c r="CN29" s="120"/>
      <c r="CO29" s="120"/>
      <c r="CP29" s="120"/>
      <c r="CQ29" s="120"/>
      <c r="CR29" s="120"/>
      <c r="CS29" s="120"/>
      <c r="CT29" s="120"/>
      <c r="CU29" s="120"/>
      <c r="CV29" s="120"/>
      <c r="CW29" s="120"/>
      <c r="CX29" s="120"/>
      <c r="CY29" s="120"/>
      <c r="CZ29" s="120"/>
      <c r="DA29" s="120"/>
      <c r="DB29" s="120"/>
      <c r="DC29" s="120"/>
      <c r="DD29" s="120"/>
      <c r="DE29" s="120"/>
      <c r="DF29" s="120"/>
      <c r="DG29" s="120"/>
      <c r="DH29" s="120"/>
      <c r="DI29" s="120"/>
      <c r="DJ29" s="120"/>
      <c r="DK29" s="120"/>
      <c r="DL29" s="120"/>
      <c r="DM29" s="120"/>
      <c r="DN29" s="120"/>
      <c r="DO29" s="120"/>
      <c r="DP29" s="120"/>
      <c r="DQ29" s="120"/>
      <c r="DR29" s="120"/>
      <c r="DS29" s="120"/>
      <c r="DT29" s="120"/>
      <c r="DU29" s="120"/>
      <c r="DV29" s="120"/>
      <c r="DW29" s="120"/>
      <c r="DX29" s="120"/>
      <c r="DY29" s="120"/>
      <c r="DZ29" s="120"/>
      <c r="EA29" s="120"/>
      <c r="EB29" s="120"/>
      <c r="EC29" s="120"/>
      <c r="ED29" s="120"/>
      <c r="EE29" s="120"/>
      <c r="EF29" s="120"/>
      <c r="EG29" s="120"/>
      <c r="EH29" s="120"/>
      <c r="EI29" s="120"/>
      <c r="EJ29" s="120"/>
      <c r="EK29" s="120"/>
      <c r="EL29" s="120"/>
      <c r="EM29" s="120"/>
      <c r="EN29" s="120"/>
      <c r="EO29" s="120"/>
      <c r="EP29" s="120"/>
      <c r="EQ29" s="120"/>
      <c r="ER29" s="120"/>
      <c r="ES29" s="120"/>
      <c r="ET29" s="120"/>
      <c r="EU29" s="120"/>
      <c r="EV29" s="120"/>
      <c r="EW29" s="120"/>
      <c r="EX29" s="120"/>
      <c r="EY29" s="120"/>
      <c r="EZ29" s="120"/>
      <c r="FA29" s="120"/>
      <c r="FB29" s="120"/>
    </row>
    <row r="30" spans="1:158" s="8" customFormat="1" ht="18" customHeight="1" x14ac:dyDescent="0.2">
      <c r="B30" s="1830"/>
      <c r="C30" s="1830"/>
      <c r="D30" s="1830"/>
      <c r="E30" s="1830"/>
      <c r="F30" s="1830"/>
      <c r="G30" s="1830"/>
      <c r="H30" s="1830"/>
      <c r="I30" s="1830"/>
      <c r="J30" s="1830"/>
      <c r="K30" s="1830"/>
      <c r="L30" s="1830"/>
      <c r="M30" s="1830"/>
      <c r="N30" s="1830"/>
      <c r="O30" s="1830"/>
      <c r="P30" s="1848"/>
      <c r="Q30" s="120"/>
      <c r="R30" s="2280"/>
      <c r="S30" s="2280"/>
      <c r="T30" s="120"/>
      <c r="U30" s="120"/>
      <c r="V30" s="120"/>
      <c r="W30" s="120"/>
      <c r="X30" s="120"/>
      <c r="Y30" s="120"/>
      <c r="Z30" s="120"/>
      <c r="AA30" s="120"/>
      <c r="AB30" s="120"/>
      <c r="AC30" s="120"/>
      <c r="AD30" s="120"/>
      <c r="AE30" s="120"/>
      <c r="AF30" s="120"/>
      <c r="AG30" s="120"/>
      <c r="AH30" s="120"/>
      <c r="AI30" s="120"/>
      <c r="AJ30" s="120"/>
      <c r="AK30" s="120"/>
      <c r="AL30" s="120"/>
      <c r="AM30" s="120"/>
      <c r="AN30" s="120"/>
      <c r="AO30" s="120"/>
      <c r="AP30" s="120"/>
      <c r="AQ30" s="120"/>
      <c r="AR30" s="120"/>
      <c r="AS30" s="120"/>
      <c r="AT30" s="120"/>
      <c r="AU30" s="120"/>
      <c r="AV30" s="120"/>
      <c r="AW30" s="120"/>
      <c r="AX30" s="120"/>
      <c r="AY30" s="120"/>
      <c r="AZ30" s="120"/>
      <c r="BA30" s="120"/>
      <c r="BB30" s="120"/>
      <c r="BC30" s="120"/>
      <c r="BD30" s="120"/>
      <c r="BE30" s="120"/>
      <c r="BF30" s="120"/>
      <c r="BG30" s="120"/>
      <c r="BH30" s="120"/>
      <c r="BI30" s="120"/>
      <c r="BJ30" s="120"/>
      <c r="BK30" s="120"/>
      <c r="BL30" s="120"/>
      <c r="BM30" s="120"/>
      <c r="BN30" s="120"/>
      <c r="BO30" s="120"/>
      <c r="BP30" s="120"/>
      <c r="BQ30" s="120"/>
      <c r="BR30" s="120"/>
      <c r="BS30" s="120"/>
      <c r="BT30" s="120"/>
      <c r="BU30" s="120"/>
      <c r="BV30" s="120"/>
      <c r="BW30" s="120"/>
      <c r="BX30" s="120"/>
      <c r="BY30" s="120"/>
      <c r="BZ30" s="120"/>
      <c r="CA30" s="120"/>
      <c r="CB30" s="120"/>
      <c r="CC30" s="120"/>
      <c r="CD30" s="120"/>
      <c r="CE30" s="120"/>
      <c r="CF30" s="120"/>
      <c r="CG30" s="120"/>
      <c r="CH30" s="120"/>
      <c r="CI30" s="120"/>
      <c r="CJ30" s="120"/>
      <c r="CK30" s="120"/>
      <c r="CL30" s="120"/>
      <c r="CM30" s="120"/>
      <c r="CN30" s="120"/>
      <c r="CO30" s="120"/>
      <c r="CP30" s="120"/>
      <c r="CQ30" s="120"/>
      <c r="CR30" s="120"/>
      <c r="CS30" s="120"/>
      <c r="CT30" s="120"/>
      <c r="CU30" s="120"/>
      <c r="CV30" s="120"/>
      <c r="CW30" s="120"/>
      <c r="CX30" s="120"/>
      <c r="CY30" s="120"/>
      <c r="CZ30" s="120"/>
      <c r="DA30" s="120"/>
      <c r="DB30" s="120"/>
      <c r="DC30" s="120"/>
      <c r="DD30" s="120"/>
      <c r="DE30" s="120"/>
      <c r="DF30" s="120"/>
      <c r="DG30" s="120"/>
      <c r="DH30" s="120"/>
      <c r="DI30" s="120"/>
      <c r="DJ30" s="120"/>
      <c r="DK30" s="120"/>
      <c r="DL30" s="120"/>
      <c r="DM30" s="120"/>
      <c r="DN30" s="120"/>
      <c r="DO30" s="120"/>
      <c r="DP30" s="120"/>
      <c r="DQ30" s="120"/>
      <c r="DR30" s="120"/>
      <c r="DS30" s="120"/>
      <c r="DT30" s="120"/>
      <c r="DU30" s="120"/>
      <c r="DV30" s="120"/>
      <c r="DW30" s="120"/>
      <c r="DX30" s="120"/>
      <c r="DY30" s="120"/>
      <c r="DZ30" s="120"/>
      <c r="EA30" s="120"/>
      <c r="EB30" s="120"/>
      <c r="EC30" s="120"/>
      <c r="ED30" s="120"/>
      <c r="EE30" s="120"/>
      <c r="EF30" s="120"/>
      <c r="EG30" s="120"/>
      <c r="EH30" s="120"/>
      <c r="EI30" s="120"/>
      <c r="EJ30" s="120"/>
      <c r="EK30" s="120"/>
      <c r="EL30" s="120"/>
      <c r="EM30" s="120"/>
      <c r="EN30" s="120"/>
      <c r="EO30" s="120"/>
      <c r="EP30" s="120"/>
      <c r="EQ30" s="120"/>
      <c r="ER30" s="120"/>
      <c r="ES30" s="120"/>
      <c r="ET30" s="120"/>
      <c r="EU30" s="120"/>
      <c r="EV30" s="120"/>
      <c r="EW30" s="120"/>
      <c r="EX30" s="120"/>
      <c r="EY30" s="120"/>
      <c r="EZ30" s="120"/>
      <c r="FA30" s="120"/>
      <c r="FB30" s="120"/>
    </row>
    <row r="31" spans="1:158" s="8" customFormat="1" ht="19.5" customHeight="1" x14ac:dyDescent="0.2">
      <c r="A31" s="20"/>
      <c r="B31" s="1639"/>
      <c r="C31" s="1639"/>
      <c r="D31" s="1639"/>
      <c r="E31" s="1639"/>
      <c r="F31" s="1639"/>
      <c r="G31" s="1639"/>
      <c r="H31" s="1639"/>
      <c r="I31" s="1639"/>
      <c r="J31" s="1639"/>
      <c r="K31" s="1639"/>
      <c r="L31" s="1639"/>
      <c r="M31" s="1639"/>
      <c r="N31" s="1639"/>
      <c r="O31" s="1639"/>
      <c r="P31" s="2284">
        <f>IF(OR(S31=1,S32=1),0.15,0)</f>
        <v>0</v>
      </c>
      <c r="Q31" s="120"/>
      <c r="R31" s="1198" t="b">
        <v>0</v>
      </c>
      <c r="S31" s="1185">
        <f>IF(R31=TRUE,1,0)</f>
        <v>0</v>
      </c>
      <c r="T31" s="120">
        <v>1E-4</v>
      </c>
      <c r="U31" s="120"/>
      <c r="V31" s="120"/>
      <c r="W31" s="120"/>
      <c r="X31" s="120"/>
      <c r="Y31" s="120"/>
      <c r="Z31" s="120"/>
      <c r="AA31" s="120"/>
      <c r="AB31" s="120"/>
      <c r="AC31" s="120"/>
      <c r="AD31" s="120"/>
      <c r="AE31" s="120"/>
      <c r="AF31" s="120"/>
      <c r="AG31" s="120"/>
      <c r="AH31" s="120"/>
      <c r="AI31" s="120"/>
      <c r="AJ31" s="120"/>
      <c r="AK31" s="120"/>
      <c r="AL31" s="120"/>
      <c r="AM31" s="120"/>
      <c r="AN31" s="120"/>
      <c r="AO31" s="120"/>
      <c r="AP31" s="120"/>
      <c r="AQ31" s="120"/>
      <c r="AR31" s="120"/>
      <c r="AS31" s="120"/>
      <c r="AT31" s="120"/>
      <c r="AU31" s="120"/>
      <c r="AV31" s="120"/>
      <c r="AW31" s="120"/>
      <c r="AX31" s="120"/>
      <c r="AY31" s="120"/>
      <c r="AZ31" s="120"/>
      <c r="BA31" s="120"/>
      <c r="BB31" s="120"/>
      <c r="BC31" s="120"/>
      <c r="BD31" s="120"/>
      <c r="BE31" s="120"/>
      <c r="BF31" s="120"/>
      <c r="BG31" s="120"/>
      <c r="BH31" s="120"/>
      <c r="BI31" s="120"/>
      <c r="BJ31" s="120"/>
      <c r="BK31" s="120"/>
      <c r="BL31" s="120"/>
      <c r="BM31" s="120"/>
      <c r="BN31" s="120"/>
      <c r="BO31" s="120"/>
      <c r="BP31" s="120"/>
      <c r="BQ31" s="120"/>
      <c r="BR31" s="120"/>
      <c r="BS31" s="120"/>
      <c r="BT31" s="120"/>
      <c r="BU31" s="120"/>
      <c r="BV31" s="120"/>
      <c r="BW31" s="120"/>
      <c r="BX31" s="120"/>
      <c r="BY31" s="120"/>
      <c r="BZ31" s="120"/>
      <c r="CA31" s="120"/>
      <c r="CB31" s="120"/>
      <c r="CC31" s="120"/>
      <c r="CD31" s="120"/>
      <c r="CE31" s="120"/>
      <c r="CF31" s="120"/>
      <c r="CG31" s="120"/>
      <c r="CH31" s="120"/>
      <c r="CI31" s="120"/>
      <c r="CJ31" s="120"/>
      <c r="CK31" s="120"/>
      <c r="CL31" s="120"/>
      <c r="CM31" s="120"/>
      <c r="CN31" s="120"/>
      <c r="CO31" s="120"/>
      <c r="CP31" s="120"/>
      <c r="CQ31" s="120"/>
      <c r="CR31" s="120"/>
      <c r="CS31" s="120"/>
      <c r="CT31" s="120"/>
      <c r="CU31" s="120"/>
      <c r="CV31" s="120"/>
      <c r="CW31" s="120"/>
      <c r="CX31" s="120"/>
      <c r="CY31" s="120"/>
      <c r="CZ31" s="120"/>
      <c r="DA31" s="120"/>
      <c r="DB31" s="120"/>
      <c r="DC31" s="120"/>
      <c r="DD31" s="120"/>
      <c r="DE31" s="120"/>
      <c r="DF31" s="120"/>
      <c r="DG31" s="120"/>
      <c r="DH31" s="120"/>
      <c r="DI31" s="120"/>
      <c r="DJ31" s="120"/>
      <c r="DK31" s="120"/>
      <c r="DL31" s="120"/>
      <c r="DM31" s="120"/>
      <c r="DN31" s="120"/>
      <c r="DO31" s="120"/>
      <c r="DP31" s="120"/>
      <c r="DQ31" s="120"/>
      <c r="DR31" s="120"/>
      <c r="DS31" s="120"/>
      <c r="DT31" s="120"/>
      <c r="DU31" s="120"/>
      <c r="DV31" s="120"/>
      <c r="DW31" s="120"/>
      <c r="DX31" s="120"/>
      <c r="DY31" s="120"/>
      <c r="DZ31" s="120"/>
      <c r="EA31" s="120"/>
      <c r="EB31" s="120"/>
      <c r="EC31" s="120"/>
      <c r="ED31" s="120"/>
      <c r="EE31" s="120"/>
      <c r="EF31" s="120"/>
      <c r="EG31" s="120"/>
      <c r="EH31" s="120"/>
      <c r="EI31" s="120"/>
      <c r="EJ31" s="120"/>
      <c r="EK31" s="120"/>
      <c r="EL31" s="120"/>
      <c r="EM31" s="120"/>
      <c r="EN31" s="120"/>
      <c r="EO31" s="120"/>
      <c r="EP31" s="120"/>
      <c r="EQ31" s="120"/>
      <c r="ER31" s="120"/>
      <c r="ES31" s="120"/>
      <c r="ET31" s="120"/>
      <c r="EU31" s="120"/>
      <c r="EV31" s="120"/>
      <c r="EW31" s="120"/>
      <c r="EX31" s="120"/>
      <c r="EY31" s="120"/>
      <c r="EZ31" s="120"/>
      <c r="FA31" s="120"/>
      <c r="FB31" s="120"/>
    </row>
    <row r="32" spans="1:158" s="8" customFormat="1" ht="20.25" customHeight="1" x14ac:dyDescent="0.2">
      <c r="B32" s="2278"/>
      <c r="C32" s="2278"/>
      <c r="D32" s="2278"/>
      <c r="E32" s="2278"/>
      <c r="F32" s="2278"/>
      <c r="G32" s="2278"/>
      <c r="H32" s="2278"/>
      <c r="I32" s="2278"/>
      <c r="J32" s="2278"/>
      <c r="K32" s="2278"/>
      <c r="L32" s="2278"/>
      <c r="M32" s="2278"/>
      <c r="N32" s="2278"/>
      <c r="O32" s="2278"/>
      <c r="P32" s="2284"/>
      <c r="Q32" s="120"/>
      <c r="R32" s="1198" t="b">
        <v>0</v>
      </c>
      <c r="S32" s="1185">
        <f>IF(R32=TRUE,1,0)</f>
        <v>0</v>
      </c>
      <c r="T32" s="120"/>
      <c r="U32" s="120"/>
      <c r="V32" s="120"/>
      <c r="W32" s="120"/>
      <c r="X32" s="120"/>
      <c r="Y32" s="120"/>
      <c r="Z32" s="120"/>
      <c r="AA32" s="120"/>
      <c r="AB32" s="120"/>
      <c r="AC32" s="120"/>
      <c r="AD32" s="120"/>
      <c r="AE32" s="120"/>
      <c r="AF32" s="120"/>
      <c r="AG32" s="120"/>
      <c r="AH32" s="120"/>
      <c r="AI32" s="120"/>
      <c r="AJ32" s="120"/>
      <c r="AK32" s="120"/>
      <c r="AL32" s="120"/>
      <c r="AM32" s="120"/>
      <c r="AN32" s="120"/>
      <c r="AO32" s="120"/>
      <c r="AP32" s="120"/>
      <c r="AQ32" s="120"/>
      <c r="AR32" s="120"/>
      <c r="AS32" s="120"/>
      <c r="AT32" s="120"/>
      <c r="AU32" s="120"/>
      <c r="AV32" s="120"/>
      <c r="AW32" s="120"/>
      <c r="AX32" s="120"/>
      <c r="AY32" s="120"/>
      <c r="AZ32" s="120"/>
      <c r="BA32" s="120"/>
      <c r="BB32" s="120"/>
      <c r="BC32" s="120"/>
      <c r="BD32" s="120"/>
      <c r="BE32" s="120"/>
      <c r="BF32" s="120"/>
      <c r="BG32" s="120"/>
      <c r="BH32" s="120"/>
      <c r="BI32" s="120"/>
      <c r="BJ32" s="120"/>
      <c r="BK32" s="120"/>
      <c r="BL32" s="120"/>
      <c r="BM32" s="120"/>
      <c r="BN32" s="120"/>
      <c r="BO32" s="120"/>
      <c r="BP32" s="120"/>
      <c r="BQ32" s="120"/>
      <c r="BR32" s="120"/>
      <c r="BS32" s="120"/>
      <c r="BT32" s="120"/>
      <c r="BU32" s="120"/>
      <c r="BV32" s="120"/>
      <c r="BW32" s="120"/>
      <c r="BX32" s="120"/>
      <c r="BY32" s="120"/>
      <c r="BZ32" s="120"/>
      <c r="CA32" s="120"/>
      <c r="CB32" s="120"/>
      <c r="CC32" s="120"/>
      <c r="CD32" s="120"/>
      <c r="CE32" s="120"/>
      <c r="CF32" s="120"/>
      <c r="CG32" s="120"/>
      <c r="CH32" s="120"/>
      <c r="CI32" s="120"/>
      <c r="CJ32" s="120"/>
      <c r="CK32" s="120"/>
      <c r="CL32" s="120"/>
      <c r="CM32" s="120"/>
      <c r="CN32" s="120"/>
      <c r="CO32" s="120"/>
      <c r="CP32" s="120"/>
      <c r="CQ32" s="120"/>
      <c r="CR32" s="120"/>
      <c r="CS32" s="120"/>
      <c r="CT32" s="120"/>
      <c r="CU32" s="120"/>
      <c r="CV32" s="120"/>
      <c r="CW32" s="120"/>
      <c r="CX32" s="120"/>
      <c r="CY32" s="120"/>
      <c r="CZ32" s="120"/>
      <c r="DA32" s="120"/>
      <c r="DB32" s="120"/>
      <c r="DC32" s="120"/>
      <c r="DD32" s="120"/>
      <c r="DE32" s="120"/>
      <c r="DF32" s="120"/>
      <c r="DG32" s="120"/>
      <c r="DH32" s="120"/>
      <c r="DI32" s="120"/>
      <c r="DJ32" s="120"/>
      <c r="DK32" s="120"/>
      <c r="DL32" s="120"/>
      <c r="DM32" s="120"/>
      <c r="DN32" s="120"/>
      <c r="DO32" s="120"/>
      <c r="DP32" s="120"/>
      <c r="DQ32" s="120"/>
      <c r="DR32" s="120"/>
      <c r="DS32" s="120"/>
      <c r="DT32" s="120"/>
      <c r="DU32" s="120"/>
      <c r="DV32" s="120"/>
      <c r="DW32" s="120"/>
      <c r="DX32" s="120"/>
      <c r="DY32" s="120"/>
      <c r="DZ32" s="120"/>
      <c r="EA32" s="120"/>
      <c r="EB32" s="120"/>
      <c r="EC32" s="120"/>
      <c r="ED32" s="120"/>
      <c r="EE32" s="120"/>
      <c r="EF32" s="120"/>
      <c r="EG32" s="120"/>
      <c r="EH32" s="120"/>
      <c r="EI32" s="120"/>
      <c r="EJ32" s="120"/>
      <c r="EK32" s="120"/>
      <c r="EL32" s="120"/>
      <c r="EM32" s="120"/>
      <c r="EN32" s="120"/>
      <c r="EO32" s="120"/>
      <c r="EP32" s="120"/>
      <c r="EQ32" s="120"/>
      <c r="ER32" s="120"/>
      <c r="ES32" s="120"/>
      <c r="ET32" s="120"/>
      <c r="EU32" s="120"/>
      <c r="EV32" s="120"/>
      <c r="EW32" s="120"/>
      <c r="EX32" s="120"/>
      <c r="EY32" s="120"/>
      <c r="EZ32" s="120"/>
      <c r="FA32" s="120"/>
      <c r="FB32" s="120"/>
    </row>
    <row r="33" spans="2:158" s="8" customFormat="1" ht="12" customHeight="1" x14ac:dyDescent="0.2">
      <c r="B33" s="2283"/>
      <c r="C33" s="2283"/>
      <c r="D33" s="2283"/>
      <c r="E33" s="2283"/>
      <c r="F33" s="2283"/>
      <c r="G33" s="2283"/>
      <c r="H33" s="2283"/>
      <c r="I33" s="2283"/>
      <c r="J33" s="2283"/>
      <c r="K33" s="2283"/>
      <c r="L33" s="2283"/>
      <c r="M33" s="2283"/>
      <c r="N33" s="2283"/>
      <c r="O33" s="2283"/>
      <c r="P33" s="209"/>
      <c r="Q33" s="120"/>
      <c r="R33" s="144"/>
      <c r="S33" s="149"/>
      <c r="T33" s="120"/>
      <c r="U33" s="120"/>
      <c r="V33" s="120"/>
      <c r="W33" s="120"/>
      <c r="X33" s="120"/>
      <c r="Y33" s="120"/>
      <c r="Z33" s="120"/>
      <c r="AA33" s="120"/>
      <c r="AB33" s="120"/>
      <c r="AC33" s="120"/>
      <c r="AD33" s="120"/>
      <c r="AE33" s="120"/>
      <c r="AF33" s="120"/>
      <c r="AG33" s="120"/>
      <c r="AH33" s="120"/>
      <c r="AI33" s="120"/>
      <c r="AJ33" s="120"/>
      <c r="AK33" s="120"/>
      <c r="AL33" s="120"/>
      <c r="AM33" s="120"/>
      <c r="AN33" s="120"/>
      <c r="AO33" s="120"/>
      <c r="AP33" s="120"/>
      <c r="AQ33" s="120"/>
      <c r="AR33" s="120"/>
      <c r="AS33" s="120"/>
      <c r="AT33" s="120"/>
      <c r="AU33" s="120"/>
      <c r="AV33" s="120"/>
      <c r="AW33" s="120"/>
      <c r="AX33" s="120"/>
      <c r="AY33" s="120"/>
      <c r="AZ33" s="120"/>
      <c r="BA33" s="120"/>
      <c r="BB33" s="120"/>
      <c r="BC33" s="120"/>
      <c r="BD33" s="120"/>
      <c r="BE33" s="120"/>
      <c r="BF33" s="120"/>
      <c r="BG33" s="120"/>
      <c r="BH33" s="120"/>
      <c r="BI33" s="120"/>
      <c r="BJ33" s="120"/>
      <c r="BK33" s="120"/>
      <c r="BL33" s="120"/>
      <c r="BM33" s="120"/>
      <c r="BN33" s="120"/>
      <c r="BO33" s="120"/>
      <c r="BP33" s="120"/>
      <c r="BQ33" s="120"/>
      <c r="BR33" s="120"/>
      <c r="BS33" s="120"/>
      <c r="BT33" s="120"/>
      <c r="BU33" s="120"/>
      <c r="BV33" s="120"/>
      <c r="BW33" s="120"/>
      <c r="BX33" s="120"/>
      <c r="BY33" s="120"/>
      <c r="BZ33" s="120"/>
      <c r="CA33" s="120"/>
      <c r="CB33" s="120"/>
      <c r="CC33" s="120"/>
      <c r="CD33" s="120"/>
      <c r="CE33" s="120"/>
      <c r="CF33" s="120"/>
      <c r="CG33" s="120"/>
      <c r="CH33" s="120"/>
      <c r="CI33" s="120"/>
      <c r="CJ33" s="120"/>
      <c r="CK33" s="120"/>
      <c r="CL33" s="120"/>
      <c r="CM33" s="120"/>
      <c r="CN33" s="120"/>
      <c r="CO33" s="120"/>
      <c r="CP33" s="120"/>
      <c r="CQ33" s="120"/>
      <c r="CR33" s="120"/>
      <c r="CS33" s="120"/>
      <c r="CT33" s="120"/>
      <c r="CU33" s="120"/>
      <c r="CV33" s="120"/>
      <c r="CW33" s="120"/>
      <c r="CX33" s="120"/>
      <c r="CY33" s="120"/>
      <c r="CZ33" s="120"/>
      <c r="DA33" s="120"/>
      <c r="DB33" s="120"/>
      <c r="DC33" s="120"/>
      <c r="DD33" s="120"/>
      <c r="DE33" s="120"/>
      <c r="DF33" s="120"/>
      <c r="DG33" s="120"/>
      <c r="DH33" s="120"/>
      <c r="DI33" s="120"/>
      <c r="DJ33" s="120"/>
      <c r="DK33" s="120"/>
      <c r="DL33" s="120"/>
      <c r="DM33" s="120"/>
      <c r="DN33" s="120"/>
      <c r="DO33" s="120"/>
      <c r="DP33" s="120"/>
      <c r="DQ33" s="120"/>
      <c r="DR33" s="120"/>
      <c r="DS33" s="120"/>
      <c r="DT33" s="120"/>
      <c r="DU33" s="120"/>
      <c r="DV33" s="120"/>
      <c r="DW33" s="120"/>
      <c r="DX33" s="120"/>
      <c r="DY33" s="120"/>
      <c r="DZ33" s="120"/>
      <c r="EA33" s="120"/>
      <c r="EB33" s="120"/>
      <c r="EC33" s="120"/>
      <c r="ED33" s="120"/>
      <c r="EE33" s="120"/>
      <c r="EF33" s="120"/>
      <c r="EG33" s="120"/>
      <c r="EH33" s="120"/>
      <c r="EI33" s="120"/>
      <c r="EJ33" s="120"/>
      <c r="EK33" s="120"/>
      <c r="EL33" s="120"/>
      <c r="EM33" s="120"/>
      <c r="EN33" s="120"/>
      <c r="EO33" s="120"/>
      <c r="EP33" s="120"/>
      <c r="EQ33" s="120"/>
      <c r="ER33" s="120"/>
      <c r="ES33" s="120"/>
      <c r="ET33" s="120"/>
      <c r="EU33" s="120"/>
      <c r="EV33" s="120"/>
      <c r="EW33" s="120"/>
      <c r="EX33" s="120"/>
      <c r="EY33" s="120"/>
      <c r="EZ33" s="120"/>
      <c r="FA33" s="120"/>
      <c r="FB33" s="120"/>
    </row>
    <row r="34" spans="2:158" s="8" customFormat="1" ht="13.5" x14ac:dyDescent="0.2">
      <c r="B34" s="2283"/>
      <c r="C34" s="2283"/>
      <c r="D34" s="2283"/>
      <c r="E34" s="2283"/>
      <c r="F34" s="2283"/>
      <c r="G34" s="2283"/>
      <c r="H34" s="2283"/>
      <c r="I34" s="2283"/>
      <c r="J34" s="2283"/>
      <c r="K34" s="2283"/>
      <c r="L34" s="2283"/>
      <c r="M34" s="2283"/>
      <c r="N34" s="2283"/>
      <c r="O34" s="2283"/>
      <c r="P34" s="21"/>
      <c r="Q34" s="120"/>
      <c r="R34" s="120"/>
      <c r="S34" s="120"/>
      <c r="T34" s="120"/>
      <c r="U34" s="120"/>
      <c r="V34" s="120"/>
      <c r="W34" s="120"/>
      <c r="X34" s="120"/>
      <c r="Y34" s="120"/>
      <c r="Z34" s="120"/>
      <c r="AA34" s="120"/>
      <c r="AB34" s="120"/>
      <c r="AC34" s="120"/>
      <c r="AD34" s="120"/>
      <c r="AE34" s="120"/>
      <c r="AF34" s="120"/>
      <c r="AG34" s="120"/>
      <c r="AH34" s="120"/>
      <c r="AI34" s="120"/>
      <c r="AJ34" s="120"/>
      <c r="AK34" s="120"/>
      <c r="AL34" s="120"/>
      <c r="AM34" s="120"/>
      <c r="AN34" s="120"/>
      <c r="AO34" s="120"/>
      <c r="AP34" s="120"/>
      <c r="AQ34" s="120"/>
      <c r="AR34" s="120"/>
      <c r="AS34" s="120"/>
      <c r="AT34" s="120"/>
      <c r="AU34" s="120"/>
      <c r="AV34" s="120"/>
      <c r="AW34" s="120"/>
      <c r="AX34" s="120"/>
      <c r="AY34" s="120"/>
      <c r="AZ34" s="120"/>
      <c r="BA34" s="120"/>
      <c r="BB34" s="120"/>
      <c r="BC34" s="120"/>
      <c r="BD34" s="120"/>
      <c r="BE34" s="120"/>
      <c r="BF34" s="120"/>
      <c r="BG34" s="120"/>
      <c r="BH34" s="120"/>
      <c r="BI34" s="120"/>
      <c r="BJ34" s="120"/>
      <c r="BK34" s="120"/>
      <c r="BL34" s="120"/>
      <c r="BM34" s="120"/>
      <c r="BN34" s="120"/>
      <c r="BO34" s="120"/>
      <c r="BP34" s="120"/>
      <c r="BQ34" s="120"/>
      <c r="BR34" s="120"/>
      <c r="BS34" s="120"/>
      <c r="BT34" s="120"/>
      <c r="BU34" s="120"/>
      <c r="BV34" s="120"/>
      <c r="BW34" s="120"/>
      <c r="BX34" s="120"/>
      <c r="BY34" s="120"/>
      <c r="BZ34" s="120"/>
      <c r="CA34" s="120"/>
      <c r="CB34" s="120"/>
      <c r="CC34" s="120"/>
      <c r="CD34" s="120"/>
      <c r="CE34" s="120"/>
      <c r="CF34" s="120"/>
      <c r="CG34" s="120"/>
      <c r="CH34" s="120"/>
      <c r="CI34" s="120"/>
      <c r="CJ34" s="120"/>
      <c r="CK34" s="120"/>
      <c r="CL34" s="120"/>
      <c r="CM34" s="120"/>
      <c r="CN34" s="120"/>
      <c r="CO34" s="120"/>
      <c r="CP34" s="120"/>
      <c r="CQ34" s="120"/>
      <c r="CR34" s="120"/>
      <c r="CS34" s="120"/>
      <c r="CT34" s="120"/>
      <c r="CU34" s="120"/>
      <c r="CV34" s="120"/>
      <c r="CW34" s="120"/>
      <c r="CX34" s="120"/>
      <c r="CY34" s="120"/>
      <c r="CZ34" s="120"/>
      <c r="DA34" s="120"/>
      <c r="DB34" s="120"/>
      <c r="DC34" s="120"/>
      <c r="DD34" s="120"/>
      <c r="DE34" s="120"/>
      <c r="DF34" s="120"/>
      <c r="DG34" s="120"/>
      <c r="DH34" s="120"/>
      <c r="DI34" s="120"/>
      <c r="DJ34" s="120"/>
      <c r="DK34" s="120"/>
      <c r="DL34" s="120"/>
      <c r="DM34" s="120"/>
      <c r="DN34" s="120"/>
      <c r="DO34" s="120"/>
      <c r="DP34" s="120"/>
      <c r="DQ34" s="120"/>
      <c r="DR34" s="120"/>
      <c r="DS34" s="120"/>
      <c r="DT34" s="120"/>
      <c r="DU34" s="120"/>
      <c r="DV34" s="120"/>
      <c r="DW34" s="120"/>
      <c r="DX34" s="120"/>
      <c r="DY34" s="120"/>
      <c r="DZ34" s="120"/>
      <c r="EA34" s="120"/>
      <c r="EB34" s="120"/>
      <c r="EC34" s="120"/>
      <c r="ED34" s="120"/>
      <c r="EE34" s="120"/>
      <c r="EF34" s="120"/>
      <c r="EG34" s="120"/>
      <c r="EH34" s="120"/>
      <c r="EI34" s="120"/>
      <c r="EJ34" s="120"/>
      <c r="EK34" s="120"/>
      <c r="EL34" s="120"/>
      <c r="EM34" s="120"/>
      <c r="EN34" s="120"/>
      <c r="EO34" s="120"/>
      <c r="EP34" s="120"/>
      <c r="EQ34" s="120"/>
      <c r="ER34" s="120"/>
      <c r="ES34" s="120"/>
      <c r="ET34" s="120"/>
      <c r="EU34" s="120"/>
      <c r="EV34" s="120"/>
      <c r="EW34" s="120"/>
      <c r="EX34" s="120"/>
      <c r="EY34" s="120"/>
      <c r="EZ34" s="120"/>
      <c r="FA34" s="120"/>
      <c r="FB34" s="120"/>
    </row>
    <row r="35" spans="2:158" ht="21" customHeight="1" x14ac:dyDescent="0.2">
      <c r="B35" s="1860" t="s">
        <v>1908</v>
      </c>
      <c r="C35" s="1959"/>
      <c r="D35" s="1959"/>
      <c r="E35" s="1959"/>
      <c r="F35" s="1959"/>
      <c r="G35" s="1959"/>
      <c r="H35" s="1959"/>
      <c r="I35" s="1959"/>
      <c r="J35" s="1959"/>
      <c r="K35" s="1959"/>
      <c r="L35" s="1959"/>
      <c r="M35" s="1959"/>
      <c r="N35" s="1959"/>
      <c r="O35" s="1959"/>
      <c r="P35" s="185"/>
      <c r="Q35" s="63"/>
      <c r="R35" s="63"/>
      <c r="S35" s="63"/>
      <c r="T35" s="63"/>
      <c r="U35" s="63"/>
      <c r="V35" s="63"/>
      <c r="W35" s="63"/>
      <c r="X35" s="63"/>
      <c r="Y35" s="63"/>
      <c r="Z35" s="63"/>
      <c r="AA35" s="63"/>
      <c r="AB35" s="63"/>
      <c r="AC35" s="63"/>
      <c r="AD35" s="63"/>
      <c r="AE35" s="63"/>
      <c r="AF35" s="63"/>
      <c r="AG35" s="146"/>
      <c r="AH35" s="146"/>
      <c r="AI35" s="146"/>
      <c r="AJ35" s="146"/>
      <c r="AK35" s="146"/>
      <c r="AL35" s="146"/>
      <c r="AM35" s="146"/>
      <c r="AN35" s="146"/>
      <c r="AO35" s="146"/>
      <c r="AP35" s="146"/>
      <c r="AQ35" s="146"/>
      <c r="AR35" s="146"/>
      <c r="AS35" s="146"/>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row>
    <row r="36" spans="2:158" ht="21" customHeight="1" x14ac:dyDescent="0.2">
      <c r="B36" s="2281" t="s">
        <v>813</v>
      </c>
      <c r="C36" s="2281"/>
      <c r="D36" s="2281"/>
      <c r="E36" s="2281"/>
      <c r="F36" s="2281"/>
      <c r="G36" s="2281"/>
      <c r="H36" s="2281"/>
      <c r="I36" s="2281"/>
      <c r="J36" s="2281"/>
      <c r="K36" s="2281"/>
      <c r="L36" s="2281"/>
      <c r="M36" s="2281"/>
      <c r="N36" s="2281"/>
      <c r="O36" s="2281"/>
      <c r="P36" s="1450"/>
      <c r="Q36" s="63"/>
      <c r="R36" s="63"/>
      <c r="S36" s="63"/>
      <c r="T36" s="63"/>
      <c r="U36" s="63"/>
      <c r="V36" s="63"/>
      <c r="W36" s="63"/>
      <c r="X36" s="63"/>
      <c r="Y36" s="63"/>
      <c r="Z36" s="63"/>
      <c r="AA36" s="63"/>
      <c r="AB36" s="63"/>
      <c r="AC36" s="63"/>
      <c r="AD36" s="63"/>
      <c r="AE36" s="63"/>
      <c r="AF36" s="63"/>
      <c r="AG36" s="146"/>
      <c r="AH36" s="146"/>
      <c r="AI36" s="146"/>
      <c r="AJ36" s="146"/>
      <c r="AK36" s="146"/>
      <c r="AL36" s="146"/>
      <c r="AM36" s="146"/>
      <c r="AN36" s="146"/>
      <c r="AO36" s="146"/>
      <c r="AP36" s="146"/>
      <c r="AQ36" s="146"/>
      <c r="AR36" s="146"/>
      <c r="AS36" s="146"/>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row>
    <row r="37" spans="2:158" ht="45" customHeight="1" x14ac:dyDescent="0.2">
      <c r="B37" s="1830" t="s">
        <v>1872</v>
      </c>
      <c r="C37" s="1830"/>
      <c r="D37" s="1830"/>
      <c r="E37" s="1830"/>
      <c r="F37" s="1830"/>
      <c r="G37" s="1830"/>
      <c r="H37" s="1830"/>
      <c r="I37" s="1830"/>
      <c r="J37" s="1830"/>
      <c r="K37" s="1830"/>
      <c r="L37" s="1830"/>
      <c r="M37" s="1830"/>
      <c r="N37" s="1830"/>
      <c r="O37" s="1830"/>
      <c r="P37" s="1451"/>
      <c r="Q37" s="63"/>
      <c r="R37" s="63"/>
      <c r="S37" s="1557" t="s">
        <v>2278</v>
      </c>
      <c r="T37" s="1557"/>
      <c r="U37" s="63"/>
      <c r="V37" s="63"/>
      <c r="W37" s="63"/>
      <c r="X37" s="63"/>
      <c r="Y37" s="63"/>
      <c r="Z37" s="63"/>
      <c r="AA37" s="63"/>
      <c r="AB37" s="63"/>
      <c r="AC37" s="63"/>
      <c r="AD37" s="63"/>
      <c r="AE37" s="63"/>
      <c r="AF37" s="63"/>
      <c r="AG37" s="146"/>
      <c r="AH37" s="146"/>
      <c r="AI37" s="146"/>
      <c r="AJ37" s="146"/>
      <c r="AK37" s="146"/>
      <c r="AL37" s="146"/>
      <c r="AM37" s="146"/>
      <c r="AN37" s="146"/>
      <c r="AO37" s="146"/>
      <c r="AP37" s="146"/>
      <c r="AQ37" s="146"/>
      <c r="AR37" s="146"/>
      <c r="AS37" s="146"/>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row>
    <row r="38" spans="2:158" ht="13.5" customHeight="1" x14ac:dyDescent="0.2">
      <c r="B38" s="1687" t="s">
        <v>66</v>
      </c>
      <c r="C38" s="1687" t="s">
        <v>67</v>
      </c>
      <c r="D38" s="1687"/>
      <c r="E38" s="1687"/>
      <c r="F38" s="1687" t="s">
        <v>68</v>
      </c>
      <c r="G38" s="1534"/>
      <c r="H38" s="1534"/>
      <c r="I38" s="1687" t="s">
        <v>1597</v>
      </c>
      <c r="J38" s="1687"/>
      <c r="K38" s="1687"/>
      <c r="L38" s="1687" t="s">
        <v>68</v>
      </c>
      <c r="M38" s="1964"/>
      <c r="N38" s="1534"/>
      <c r="O38" s="1687" t="s">
        <v>69</v>
      </c>
      <c r="P38" s="1451"/>
      <c r="Q38" s="63"/>
      <c r="R38" s="63"/>
      <c r="S38" s="1557"/>
      <c r="T38" s="1557"/>
      <c r="U38" s="63"/>
      <c r="V38" s="63"/>
      <c r="W38" s="63"/>
      <c r="X38" s="63"/>
      <c r="Y38" s="63"/>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row>
    <row r="39" spans="2:158" ht="15.75" customHeight="1" x14ac:dyDescent="0.2">
      <c r="B39" s="1687"/>
      <c r="C39" s="1687"/>
      <c r="D39" s="1687"/>
      <c r="E39" s="1687"/>
      <c r="F39" s="1534"/>
      <c r="G39" s="1534"/>
      <c r="H39" s="1534"/>
      <c r="I39" s="1687"/>
      <c r="J39" s="1687"/>
      <c r="K39" s="1687"/>
      <c r="L39" s="1964"/>
      <c r="M39" s="1964"/>
      <c r="N39" s="1534"/>
      <c r="O39" s="1534"/>
      <c r="P39" s="1451"/>
      <c r="S39" s="1199" t="s">
        <v>1942</v>
      </c>
      <c r="T39" s="1200" t="s">
        <v>70</v>
      </c>
      <c r="U39" s="1200" t="s">
        <v>71</v>
      </c>
      <c r="V39" s="1200" t="s">
        <v>72</v>
      </c>
      <c r="W39" s="1200" t="s">
        <v>73</v>
      </c>
      <c r="X39" s="1182" t="s">
        <v>1843</v>
      </c>
      <c r="Y39" s="1200" t="s">
        <v>1844</v>
      </c>
      <c r="Z39" s="1200" t="s">
        <v>1845</v>
      </c>
      <c r="AA39" s="1200" t="s">
        <v>1846</v>
      </c>
      <c r="AB39" s="1200" t="s">
        <v>1847</v>
      </c>
      <c r="AC39" s="1200" t="s">
        <v>1848</v>
      </c>
      <c r="AD39" s="1200" t="s">
        <v>1849</v>
      </c>
      <c r="AE39" s="1200" t="s">
        <v>1787</v>
      </c>
      <c r="AF39" s="1200" t="s">
        <v>1788</v>
      </c>
      <c r="AG39" s="1200" t="s">
        <v>1789</v>
      </c>
      <c r="AH39" s="1200" t="s">
        <v>1790</v>
      </c>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c r="DW39" s="63"/>
      <c r="DX39" s="63"/>
      <c r="DY39" s="63"/>
      <c r="DZ39" s="63"/>
      <c r="EA39" s="63"/>
      <c r="EB39" s="63"/>
      <c r="EC39" s="63"/>
      <c r="ED39" s="63"/>
      <c r="EE39" s="63"/>
      <c r="EF39" s="63"/>
      <c r="EG39" s="63"/>
      <c r="EH39" s="63"/>
      <c r="EI39" s="63"/>
      <c r="EJ39" s="63"/>
      <c r="EK39" s="63"/>
      <c r="EL39" s="63"/>
      <c r="EM39" s="63"/>
      <c r="EN39" s="63"/>
      <c r="EO39" s="63"/>
      <c r="EP39" s="63"/>
      <c r="EQ39" s="63"/>
      <c r="ER39" s="63"/>
      <c r="ES39" s="63"/>
      <c r="ET39" s="63"/>
      <c r="EU39" s="63"/>
      <c r="EV39" s="63"/>
      <c r="EW39" s="63"/>
      <c r="EX39" s="63"/>
      <c r="EY39" s="63"/>
      <c r="EZ39" s="63"/>
      <c r="FA39" s="63"/>
      <c r="FB39" s="63"/>
    </row>
    <row r="40" spans="2:158" ht="15" customHeight="1" x14ac:dyDescent="0.2">
      <c r="B40" s="508" t="s">
        <v>1383</v>
      </c>
      <c r="C40" s="1555"/>
      <c r="D40" s="1555"/>
      <c r="E40" s="185"/>
      <c r="F40" s="1658"/>
      <c r="G40" s="1658"/>
      <c r="H40" s="452"/>
      <c r="I40" s="1555"/>
      <c r="J40" s="1555"/>
      <c r="K40" s="185"/>
      <c r="L40" s="1658"/>
      <c r="M40" s="1658"/>
      <c r="N40" s="452"/>
      <c r="O40" s="185"/>
      <c r="P40" s="1451"/>
      <c r="S40" s="1201">
        <v>0</v>
      </c>
      <c r="T40" s="1181">
        <v>0</v>
      </c>
      <c r="U40" s="1181">
        <v>0.05</v>
      </c>
      <c r="V40" s="1181">
        <v>0.1</v>
      </c>
      <c r="W40" s="1181">
        <v>0.2</v>
      </c>
      <c r="X40" s="1181">
        <v>0.3</v>
      </c>
      <c r="Y40" s="1181">
        <v>0.4</v>
      </c>
      <c r="Z40" s="1181">
        <v>0.5</v>
      </c>
      <c r="AA40" s="1181">
        <v>0.6</v>
      </c>
      <c r="AB40" s="1181">
        <v>0.7</v>
      </c>
      <c r="AC40" s="1181">
        <v>0.75</v>
      </c>
      <c r="AD40" s="1181">
        <v>0.8</v>
      </c>
      <c r="AE40" s="1181">
        <v>0.85</v>
      </c>
      <c r="AF40" s="1181">
        <v>0.9</v>
      </c>
      <c r="AG40" s="1181">
        <v>0.95</v>
      </c>
      <c r="AH40" s="1181">
        <v>1</v>
      </c>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c r="EB40" s="63"/>
      <c r="EC40" s="63"/>
      <c r="ED40" s="63"/>
      <c r="EE40" s="63"/>
      <c r="EF40" s="63"/>
      <c r="EG40" s="63"/>
      <c r="EH40" s="63"/>
      <c r="EI40" s="63"/>
      <c r="EJ40" s="63"/>
      <c r="EK40" s="63"/>
      <c r="EL40" s="63"/>
      <c r="EM40" s="63"/>
      <c r="EN40" s="63"/>
      <c r="EO40" s="63"/>
      <c r="EP40" s="63"/>
      <c r="EQ40" s="63"/>
      <c r="ER40" s="63"/>
      <c r="ES40" s="63"/>
      <c r="ET40" s="63"/>
      <c r="EU40" s="63"/>
      <c r="EV40" s="63"/>
      <c r="EW40" s="63"/>
      <c r="EX40" s="63"/>
      <c r="EY40" s="63"/>
      <c r="EZ40" s="63"/>
      <c r="FA40" s="63"/>
      <c r="FB40" s="63"/>
    </row>
    <row r="41" spans="2:158" ht="15" customHeight="1" x14ac:dyDescent="0.2">
      <c r="B41" s="509" t="s">
        <v>1382</v>
      </c>
      <c r="C41" s="1612">
        <v>0.1</v>
      </c>
      <c r="D41" s="1612"/>
      <c r="E41" s="251" t="s">
        <v>1791</v>
      </c>
      <c r="F41" s="1612">
        <f>SUMIF($T$39:$AH$39,F40,$T$40:$AH$40)</f>
        <v>0</v>
      </c>
      <c r="G41" s="1612"/>
      <c r="H41" s="278" t="s">
        <v>1792</v>
      </c>
      <c r="I41" s="1612">
        <v>0.1</v>
      </c>
      <c r="J41" s="1612"/>
      <c r="K41" s="251" t="s">
        <v>1791</v>
      </c>
      <c r="L41" s="1612">
        <f>SUMIF($T$39:$AH$39,L40,$T$40:$AH$40)</f>
        <v>0</v>
      </c>
      <c r="M41" s="1612"/>
      <c r="N41" s="278" t="s">
        <v>1793</v>
      </c>
      <c r="O41" s="298">
        <f>IF(C41*F41-I41*L41&lt;0,0,C41*F41-I41*L41)</f>
        <v>0</v>
      </c>
      <c r="P41" s="1451"/>
      <c r="Q41" s="63"/>
      <c r="R41" s="63"/>
      <c r="S41" s="40"/>
      <c r="T41" s="40"/>
      <c r="U41" s="40"/>
      <c r="V41" s="40"/>
      <c r="W41" s="40"/>
      <c r="X41" s="40"/>
      <c r="Y41" s="40"/>
      <c r="Z41" s="40"/>
      <c r="AA41" s="40"/>
      <c r="AB41" s="40"/>
      <c r="AC41" s="40"/>
      <c r="AD41" s="40"/>
      <c r="AE41" s="40"/>
      <c r="AF41" s="40"/>
      <c r="AG41" s="63"/>
      <c r="AH41" s="63"/>
      <c r="AI41" s="63"/>
      <c r="AJ41" s="63"/>
      <c r="AK41" s="63"/>
      <c r="AL41" s="63"/>
      <c r="AM41" s="63"/>
      <c r="AN41" s="63"/>
      <c r="AO41" s="63"/>
      <c r="AP41" s="63"/>
      <c r="AQ41" s="63"/>
      <c r="AR41" s="63"/>
      <c r="AS41" s="63"/>
      <c r="AT41" s="63"/>
      <c r="AU41" s="63"/>
      <c r="AV41" s="63"/>
      <c r="AW41" s="63"/>
      <c r="AX41" s="63"/>
      <c r="AY41" s="63"/>
      <c r="AZ41" s="63"/>
      <c r="BA41" s="63"/>
      <c r="BB41" s="63"/>
      <c r="BC41" s="63"/>
      <c r="BD41" s="63"/>
      <c r="BE41" s="63"/>
      <c r="BF41" s="63"/>
      <c r="BG41" s="63"/>
      <c r="BH41" s="63"/>
      <c r="BI41" s="63"/>
      <c r="BJ41" s="63"/>
      <c r="BK41" s="63"/>
      <c r="BL41" s="63"/>
      <c r="BM41" s="63"/>
      <c r="BN41" s="63"/>
      <c r="BO41" s="63"/>
      <c r="BP41" s="63"/>
      <c r="BQ41" s="63"/>
      <c r="BR41" s="63"/>
      <c r="BS41" s="63"/>
      <c r="BT41" s="63"/>
      <c r="BU41" s="63"/>
      <c r="BV41" s="63"/>
      <c r="BW41" s="63"/>
      <c r="BX41" s="63"/>
      <c r="BY41" s="63"/>
      <c r="BZ41" s="63"/>
      <c r="CA41" s="63"/>
      <c r="CB41" s="63"/>
      <c r="CC41" s="63"/>
      <c r="CD41" s="63"/>
      <c r="CE41" s="63"/>
      <c r="CF41" s="63"/>
      <c r="CG41" s="63"/>
      <c r="CH41" s="63"/>
      <c r="CI41" s="63"/>
      <c r="CJ41" s="63"/>
      <c r="CK41" s="63"/>
      <c r="CL41" s="63"/>
      <c r="CM41" s="63"/>
      <c r="CN41" s="63"/>
      <c r="CO41" s="63"/>
      <c r="CP41" s="63"/>
      <c r="CQ41" s="63"/>
      <c r="CR41" s="63"/>
      <c r="CS41" s="63"/>
      <c r="CT41" s="63"/>
      <c r="CU41" s="63"/>
      <c r="CV41" s="63"/>
      <c r="CW41" s="63"/>
      <c r="CX41" s="63"/>
      <c r="CY41" s="63"/>
      <c r="CZ41" s="63"/>
      <c r="DA41" s="63"/>
      <c r="DB41" s="63"/>
      <c r="DC41" s="63"/>
      <c r="DD41" s="63"/>
      <c r="DE41" s="63"/>
      <c r="DF41" s="63"/>
      <c r="DG41" s="63"/>
      <c r="DH41" s="63"/>
      <c r="DI41" s="63"/>
      <c r="DJ41" s="63"/>
      <c r="DK41" s="63"/>
      <c r="DL41" s="63"/>
      <c r="DM41" s="63"/>
      <c r="DN41" s="63"/>
      <c r="DO41" s="63"/>
      <c r="DP41" s="63"/>
      <c r="DQ41" s="63"/>
      <c r="DR41" s="63"/>
      <c r="DS41" s="63"/>
      <c r="DT41" s="63"/>
      <c r="DU41" s="63"/>
      <c r="DV41" s="63"/>
      <c r="DW41" s="63"/>
      <c r="DX41" s="63"/>
      <c r="DY41" s="63"/>
      <c r="DZ41" s="63"/>
      <c r="EA41" s="63"/>
      <c r="EB41" s="63"/>
      <c r="EC41" s="63"/>
      <c r="ED41" s="63"/>
      <c r="EE41" s="63"/>
      <c r="EF41" s="63"/>
      <c r="EG41" s="63"/>
      <c r="EH41" s="63"/>
      <c r="EI41" s="63"/>
      <c r="EJ41" s="63"/>
      <c r="EK41" s="63"/>
      <c r="EL41" s="63"/>
      <c r="EM41" s="63"/>
      <c r="EN41" s="63"/>
      <c r="EO41" s="63"/>
      <c r="EP41" s="63"/>
      <c r="EQ41" s="63"/>
      <c r="ER41" s="63"/>
      <c r="ES41" s="63"/>
      <c r="ET41" s="63"/>
      <c r="EU41" s="63"/>
      <c r="EV41" s="63"/>
      <c r="EW41" s="63"/>
      <c r="EX41" s="63"/>
      <c r="EY41" s="63"/>
      <c r="EZ41" s="63"/>
      <c r="FA41" s="63"/>
      <c r="FB41" s="63"/>
    </row>
    <row r="42" spans="2:158" ht="15" customHeight="1" x14ac:dyDescent="0.2">
      <c r="B42" s="518" t="s">
        <v>555</v>
      </c>
      <c r="C42" s="1555"/>
      <c r="D42" s="1555"/>
      <c r="E42" s="185"/>
      <c r="F42" s="1658"/>
      <c r="G42" s="1658"/>
      <c r="H42" s="452"/>
      <c r="I42" s="1555"/>
      <c r="J42" s="1555"/>
      <c r="K42" s="185"/>
      <c r="L42" s="1658"/>
      <c r="M42" s="1658"/>
      <c r="N42" s="452"/>
      <c r="O42" s="185"/>
      <c r="P42" s="2195"/>
      <c r="Q42" s="63"/>
      <c r="R42" s="63"/>
      <c r="S42" s="1791" t="s">
        <v>1040</v>
      </c>
      <c r="T42" s="1791" t="s">
        <v>1041</v>
      </c>
      <c r="U42" s="1791" t="s">
        <v>1042</v>
      </c>
      <c r="V42" s="1791" t="s">
        <v>1043</v>
      </c>
      <c r="W42" s="63"/>
      <c r="X42" s="63"/>
      <c r="Y42" s="63"/>
      <c r="Z42" s="63"/>
      <c r="AA42" s="63"/>
      <c r="AB42" s="63"/>
      <c r="AC42" s="63"/>
      <c r="AD42" s="63"/>
      <c r="AE42" s="63"/>
      <c r="AF42" s="63"/>
      <c r="AG42" s="63"/>
      <c r="AH42" s="63"/>
      <c r="AI42" s="63"/>
      <c r="AJ42" s="63"/>
      <c r="AK42" s="63"/>
      <c r="AL42" s="63"/>
      <c r="AM42" s="63"/>
      <c r="AN42" s="63"/>
      <c r="AO42" s="63"/>
      <c r="AP42" s="63"/>
      <c r="AQ42" s="63"/>
      <c r="AR42" s="63"/>
      <c r="AS42" s="63"/>
      <c r="AT42" s="63"/>
      <c r="AU42" s="63"/>
      <c r="AV42" s="63"/>
      <c r="AW42" s="63"/>
      <c r="AX42" s="63"/>
      <c r="AY42" s="63"/>
      <c r="AZ42" s="63"/>
      <c r="BA42" s="63"/>
      <c r="BB42" s="63"/>
      <c r="BC42" s="63"/>
      <c r="BD42" s="63"/>
      <c r="BE42" s="63"/>
      <c r="BF42" s="63"/>
      <c r="BG42" s="63"/>
      <c r="BH42" s="63"/>
      <c r="BI42" s="63"/>
      <c r="BJ42" s="63"/>
      <c r="BK42" s="63"/>
      <c r="BL42" s="63"/>
      <c r="BM42" s="63"/>
      <c r="BN42" s="63"/>
      <c r="BO42" s="63"/>
      <c r="BP42" s="63"/>
      <c r="BQ42" s="63"/>
      <c r="BR42" s="63"/>
      <c r="BS42" s="63"/>
      <c r="BT42" s="63"/>
      <c r="BU42" s="63"/>
      <c r="BV42" s="63"/>
      <c r="BW42" s="63"/>
      <c r="BX42" s="63"/>
      <c r="BY42" s="63"/>
      <c r="BZ42" s="63"/>
      <c r="CA42" s="63"/>
      <c r="CB42" s="63"/>
      <c r="CC42" s="63"/>
      <c r="CD42" s="63"/>
      <c r="CE42" s="63"/>
      <c r="CF42" s="63"/>
      <c r="CG42" s="63"/>
      <c r="CH42" s="63"/>
      <c r="CI42" s="63"/>
      <c r="CJ42" s="63"/>
      <c r="CK42" s="63"/>
      <c r="CL42" s="63"/>
      <c r="CM42" s="63"/>
      <c r="CN42" s="63"/>
      <c r="CO42" s="63"/>
      <c r="CP42" s="63"/>
      <c r="CQ42" s="63"/>
      <c r="CR42" s="63"/>
      <c r="CS42" s="63"/>
      <c r="CT42" s="63"/>
      <c r="CU42" s="63"/>
      <c r="CV42" s="63"/>
      <c r="CW42" s="63"/>
      <c r="CX42" s="63"/>
      <c r="CY42" s="63"/>
      <c r="CZ42" s="63"/>
      <c r="DA42" s="63"/>
      <c r="DB42" s="63"/>
      <c r="DC42" s="63"/>
      <c r="DD42" s="63"/>
      <c r="DE42" s="63"/>
      <c r="DF42" s="63"/>
      <c r="DG42" s="63"/>
      <c r="DH42" s="63"/>
      <c r="DI42" s="63"/>
      <c r="DJ42" s="63"/>
      <c r="DK42" s="63"/>
      <c r="DL42" s="63"/>
      <c r="DM42" s="63"/>
      <c r="DN42" s="63"/>
      <c r="DO42" s="63"/>
      <c r="DP42" s="63"/>
      <c r="DQ42" s="63"/>
      <c r="DR42" s="63"/>
      <c r="DS42" s="63"/>
      <c r="DT42" s="63"/>
      <c r="DU42" s="63"/>
      <c r="DV42" s="63"/>
      <c r="DW42" s="63"/>
      <c r="DX42" s="63"/>
      <c r="DY42" s="63"/>
      <c r="DZ42" s="63"/>
      <c r="EA42" s="63"/>
      <c r="EB42" s="63"/>
      <c r="EC42" s="63"/>
      <c r="ED42" s="63"/>
      <c r="EE42" s="63"/>
      <c r="EF42" s="63"/>
      <c r="EG42" s="63"/>
      <c r="EH42" s="63"/>
      <c r="EI42" s="63"/>
      <c r="EJ42" s="63"/>
      <c r="EK42" s="63"/>
      <c r="EL42" s="63"/>
      <c r="EM42" s="63"/>
      <c r="EN42" s="63"/>
      <c r="EO42" s="63"/>
      <c r="EP42" s="63"/>
      <c r="EQ42" s="63"/>
      <c r="ER42" s="63"/>
      <c r="ES42" s="63"/>
      <c r="ET42" s="63"/>
      <c r="EU42" s="63"/>
      <c r="EV42" s="63"/>
      <c r="EW42" s="63"/>
      <c r="EX42" s="63"/>
      <c r="EY42" s="63"/>
      <c r="EZ42" s="63"/>
      <c r="FA42" s="63"/>
      <c r="FB42" s="63"/>
    </row>
    <row r="43" spans="2:158" ht="15" customHeight="1" x14ac:dyDescent="0.2">
      <c r="B43" s="515" t="s">
        <v>1044</v>
      </c>
      <c r="C43" s="1545">
        <v>0.03</v>
      </c>
      <c r="D43" s="1545"/>
      <c r="E43" s="23" t="s">
        <v>1791</v>
      </c>
      <c r="F43" s="1545">
        <f>SUMIF($T$39:$AH$39,F42,$T$40:$AH$40)</f>
        <v>0</v>
      </c>
      <c r="G43" s="1545"/>
      <c r="H43" s="201" t="s">
        <v>1792</v>
      </c>
      <c r="I43" s="1545">
        <v>0.03</v>
      </c>
      <c r="J43" s="1545"/>
      <c r="K43" s="23" t="s">
        <v>1791</v>
      </c>
      <c r="L43" s="1545">
        <f>SUMIF($T$39:$AH$39,L42,$T$40:$AH$40)</f>
        <v>0</v>
      </c>
      <c r="M43" s="1545"/>
      <c r="N43" s="201" t="s">
        <v>1793</v>
      </c>
      <c r="O43" s="297">
        <f>IF(C43*F43-I43*L43&lt;0,0,C43*F43-I43*L43)</f>
        <v>0</v>
      </c>
      <c r="P43" s="2195"/>
      <c r="Q43" s="63"/>
      <c r="R43" s="40"/>
      <c r="S43" s="1570"/>
      <c r="T43" s="1791"/>
      <c r="U43" s="1791"/>
      <c r="V43" s="1791"/>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c r="CW43" s="63"/>
      <c r="CX43" s="63"/>
      <c r="CY43" s="63"/>
      <c r="CZ43" s="63"/>
      <c r="DA43" s="63"/>
      <c r="DB43" s="63"/>
      <c r="DC43" s="63"/>
      <c r="DD43" s="63"/>
      <c r="DE43" s="63"/>
      <c r="DF43" s="63"/>
      <c r="DG43" s="63"/>
      <c r="DH43" s="63"/>
      <c r="DI43" s="63"/>
      <c r="DJ43" s="63"/>
      <c r="DK43" s="63"/>
      <c r="DL43" s="63"/>
      <c r="DM43" s="63"/>
      <c r="DN43" s="63"/>
      <c r="DO43" s="63"/>
      <c r="DP43" s="63"/>
      <c r="DQ43" s="63"/>
      <c r="DR43" s="63"/>
      <c r="DS43" s="63"/>
      <c r="DT43" s="63"/>
      <c r="DU43" s="63"/>
      <c r="DV43" s="63"/>
      <c r="DW43" s="63"/>
      <c r="DX43" s="63"/>
      <c r="DY43" s="63"/>
      <c r="DZ43" s="63"/>
      <c r="EA43" s="63"/>
      <c r="EB43" s="63"/>
      <c r="EC43" s="63"/>
      <c r="ED43" s="63"/>
      <c r="EE43" s="63"/>
      <c r="EF43" s="63"/>
      <c r="EG43" s="63"/>
      <c r="EH43" s="63"/>
      <c r="EI43" s="63"/>
      <c r="EJ43" s="63"/>
      <c r="EK43" s="63"/>
      <c r="EL43" s="63"/>
      <c r="EM43" s="63"/>
      <c r="EN43" s="63"/>
      <c r="EO43" s="63"/>
      <c r="EP43" s="63"/>
      <c r="EQ43" s="63"/>
      <c r="ER43" s="63"/>
      <c r="ES43" s="63"/>
      <c r="ET43" s="63"/>
      <c r="EU43" s="63"/>
      <c r="EV43" s="63"/>
      <c r="EW43" s="63"/>
      <c r="EX43" s="63"/>
      <c r="EY43" s="63"/>
      <c r="EZ43" s="63"/>
      <c r="FA43" s="63"/>
      <c r="FB43" s="63"/>
    </row>
    <row r="44" spans="2:158" ht="15" customHeight="1" x14ac:dyDescent="0.2">
      <c r="B44" s="512" t="s">
        <v>1384</v>
      </c>
      <c r="C44" s="1452"/>
      <c r="D44" s="1452"/>
      <c r="E44" s="286"/>
      <c r="F44" s="2277"/>
      <c r="G44" s="2277"/>
      <c r="H44" s="510"/>
      <c r="I44" s="1452"/>
      <c r="J44" s="1452"/>
      <c r="K44" s="286"/>
      <c r="L44" s="2277"/>
      <c r="M44" s="2277"/>
      <c r="N44" s="510"/>
      <c r="O44" s="286"/>
      <c r="P44" s="1451"/>
      <c r="Q44" s="63"/>
      <c r="R44" s="63"/>
      <c r="S44" s="147">
        <f>IF(OR(O47&lt;&gt;"",O49&lt;&gt;"",O51&lt;&gt;"",O53&lt;&gt;""),1,0)</f>
        <v>0</v>
      </c>
      <c r="T44" s="147">
        <f>IF(OR(O58&lt;&gt;"",O60&lt;&gt;"",O62&lt;&gt;""),1,0)</f>
        <v>0</v>
      </c>
      <c r="U44" s="147">
        <f>IF(OR(O69&lt;&gt;"",O71&lt;&gt;""),1,0)</f>
        <v>0</v>
      </c>
      <c r="V44" s="147">
        <f>IF(OR(O78&lt;&gt;"",O80&lt;&gt;""),1,0)</f>
        <v>0</v>
      </c>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c r="DW44" s="63"/>
      <c r="DX44" s="63"/>
      <c r="DY44" s="63"/>
      <c r="DZ44" s="63"/>
      <c r="EA44" s="63"/>
      <c r="EB44" s="63"/>
      <c r="EC44" s="63"/>
      <c r="ED44" s="63"/>
      <c r="EE44" s="63"/>
      <c r="EF44" s="63"/>
      <c r="EG44" s="63"/>
      <c r="EH44" s="63"/>
      <c r="EI44" s="63"/>
      <c r="EJ44" s="63"/>
      <c r="EK44" s="63"/>
      <c r="EL44" s="63"/>
      <c r="EM44" s="63"/>
      <c r="EN44" s="63"/>
      <c r="EO44" s="63"/>
      <c r="EP44" s="63"/>
      <c r="EQ44" s="63"/>
      <c r="ER44" s="63"/>
      <c r="ES44" s="63"/>
      <c r="ET44" s="63"/>
      <c r="EU44" s="63"/>
      <c r="EV44" s="63"/>
      <c r="EW44" s="63"/>
      <c r="EX44" s="63"/>
      <c r="EY44" s="63"/>
      <c r="EZ44" s="63"/>
      <c r="FA44" s="63"/>
      <c r="FB44" s="63"/>
    </row>
    <row r="45" spans="2:158" ht="15" customHeight="1" x14ac:dyDescent="0.2">
      <c r="B45" s="511" t="s">
        <v>1001</v>
      </c>
      <c r="C45" s="1545">
        <v>0.21</v>
      </c>
      <c r="D45" s="1545"/>
      <c r="E45" s="23" t="s">
        <v>1791</v>
      </c>
      <c r="F45" s="1545">
        <f>SUMIF($T$39:$AH$39,F44,$T$40:$AH$40)</f>
        <v>0</v>
      </c>
      <c r="G45" s="1545"/>
      <c r="H45" s="201" t="s">
        <v>1792</v>
      </c>
      <c r="I45" s="1545">
        <v>0.21</v>
      </c>
      <c r="J45" s="1545"/>
      <c r="K45" s="23" t="s">
        <v>1791</v>
      </c>
      <c r="L45" s="1545">
        <f>SUMIF($T$39:$AH$39,L44,$T$40:$AH$40)</f>
        <v>0</v>
      </c>
      <c r="M45" s="1545"/>
      <c r="N45" s="201" t="s">
        <v>1793</v>
      </c>
      <c r="O45" s="296" t="str">
        <f>IF(F44="","",IF(C45*F45-I45*L45&lt;=0,"",C45*F45-I45*L45))</f>
        <v/>
      </c>
      <c r="P45" s="1451"/>
      <c r="Q45" s="63"/>
      <c r="R45" s="148"/>
      <c r="S45" s="40"/>
      <c r="T45" s="89"/>
      <c r="U45" s="148"/>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row>
    <row r="46" spans="2:158" ht="15" customHeight="1" x14ac:dyDescent="0.2">
      <c r="B46" s="2268" t="s">
        <v>1002</v>
      </c>
      <c r="C46" s="1452"/>
      <c r="D46" s="1452"/>
      <c r="E46" s="286"/>
      <c r="F46" s="2277"/>
      <c r="G46" s="2277"/>
      <c r="H46" s="510"/>
      <c r="I46" s="1452"/>
      <c r="J46" s="1452"/>
      <c r="K46" s="286"/>
      <c r="L46" s="2277"/>
      <c r="M46" s="2277"/>
      <c r="N46" s="452"/>
      <c r="O46" s="58"/>
      <c r="P46" s="1451"/>
      <c r="Q46" s="63"/>
      <c r="R46" s="63"/>
      <c r="S46" s="1182" t="s">
        <v>2279</v>
      </c>
      <c r="T46" s="1179" t="s">
        <v>1305</v>
      </c>
      <c r="U46" s="1179" t="s">
        <v>1306</v>
      </c>
      <c r="V46" s="1179" t="s">
        <v>1307</v>
      </c>
      <c r="W46" s="63"/>
      <c r="X46" s="63"/>
      <c r="Y46" s="63"/>
      <c r="Z46" s="63"/>
      <c r="AA46" s="63"/>
      <c r="AB46" s="63"/>
      <c r="AC46" s="63"/>
      <c r="AD46" s="63"/>
      <c r="AE46" s="63"/>
      <c r="AF46" s="63"/>
      <c r="AG46" s="63"/>
      <c r="AH46" s="63"/>
      <c r="AI46" s="63"/>
      <c r="AJ46" s="63"/>
      <c r="AK46" s="63"/>
      <c r="AL46" s="63"/>
      <c r="AM46" s="63"/>
      <c r="AN46" s="63"/>
      <c r="AO46" s="63"/>
      <c r="AP46" s="63"/>
      <c r="AQ46" s="63"/>
      <c r="AR46" s="63"/>
      <c r="AS46" s="63"/>
      <c r="AT46" s="63"/>
      <c r="AU46" s="63"/>
      <c r="AV46" s="63"/>
      <c r="AW46" s="63"/>
      <c r="AX46" s="63"/>
      <c r="AY46" s="63"/>
      <c r="AZ46" s="63"/>
      <c r="BA46" s="63"/>
      <c r="BB46" s="63"/>
      <c r="BC46" s="63"/>
      <c r="BD46" s="63"/>
      <c r="BE46" s="63"/>
      <c r="BF46" s="63"/>
      <c r="BG46" s="63"/>
      <c r="BH46" s="63"/>
      <c r="BI46" s="63"/>
      <c r="BJ46" s="63"/>
      <c r="BK46" s="63"/>
      <c r="BL46" s="63"/>
      <c r="BM46" s="63"/>
      <c r="BN46" s="63"/>
      <c r="BO46" s="63"/>
      <c r="BP46" s="63"/>
      <c r="BQ46" s="63"/>
      <c r="BR46" s="63"/>
      <c r="BS46" s="63"/>
      <c r="BT46" s="63"/>
      <c r="BU46" s="63"/>
      <c r="BV46" s="63"/>
      <c r="BW46" s="63"/>
      <c r="BX46" s="63"/>
      <c r="BY46" s="63"/>
      <c r="BZ46" s="63"/>
      <c r="CA46" s="63"/>
      <c r="CB46" s="63"/>
      <c r="CC46" s="63"/>
      <c r="CD46" s="63"/>
      <c r="CE46" s="63"/>
      <c r="CF46" s="63"/>
      <c r="CG46" s="63"/>
      <c r="CH46" s="63"/>
      <c r="CI46" s="63"/>
      <c r="CJ46" s="63"/>
      <c r="CK46" s="63"/>
      <c r="CL46" s="63"/>
      <c r="CM46" s="63"/>
      <c r="CN46" s="63"/>
      <c r="CO46" s="63"/>
      <c r="CP46" s="63"/>
      <c r="CQ46" s="63"/>
      <c r="CR46" s="63"/>
      <c r="CS46" s="63"/>
      <c r="CT46" s="63"/>
      <c r="CU46" s="63"/>
      <c r="CV46" s="63"/>
      <c r="CW46" s="63"/>
      <c r="CX46" s="63"/>
      <c r="CY46" s="63"/>
      <c r="CZ46" s="63"/>
      <c r="DA46" s="63"/>
      <c r="DB46" s="63"/>
      <c r="DC46" s="63"/>
      <c r="DD46" s="63"/>
      <c r="DE46" s="63"/>
      <c r="DF46" s="63"/>
      <c r="DG46" s="63"/>
      <c r="DH46" s="63"/>
      <c r="DI46" s="63"/>
      <c r="DJ46" s="63"/>
      <c r="DK46" s="63"/>
      <c r="DL46" s="63"/>
      <c r="DM46" s="63"/>
      <c r="DN46" s="63"/>
      <c r="DO46" s="63"/>
      <c r="DP46" s="63"/>
      <c r="DQ46" s="63"/>
      <c r="DR46" s="63"/>
      <c r="DS46" s="63"/>
      <c r="DT46" s="63"/>
      <c r="DU46" s="63"/>
      <c r="DV46" s="63"/>
      <c r="DW46" s="63"/>
      <c r="DX46" s="63"/>
      <c r="DY46" s="63"/>
      <c r="DZ46" s="63"/>
      <c r="EA46" s="63"/>
      <c r="EB46" s="63"/>
      <c r="EC46" s="63"/>
      <c r="ED46" s="63"/>
      <c r="EE46" s="63"/>
      <c r="EF46" s="63"/>
      <c r="EG46" s="63"/>
      <c r="EH46" s="63"/>
      <c r="EI46" s="63"/>
      <c r="EJ46" s="63"/>
      <c r="EK46" s="63"/>
      <c r="EL46" s="63"/>
      <c r="EM46" s="63"/>
      <c r="EN46" s="63"/>
      <c r="EO46" s="63"/>
      <c r="EP46" s="63"/>
      <c r="EQ46" s="63"/>
      <c r="ER46" s="63"/>
      <c r="ES46" s="63"/>
      <c r="ET46" s="63"/>
      <c r="EU46" s="63"/>
      <c r="EV46" s="63"/>
      <c r="EW46" s="63"/>
      <c r="EX46" s="63"/>
      <c r="EY46" s="63"/>
      <c r="EZ46" s="63"/>
      <c r="FA46" s="63"/>
      <c r="FB46" s="63"/>
    </row>
    <row r="47" spans="2:158" ht="15" customHeight="1" x14ac:dyDescent="0.2">
      <c r="B47" s="2269"/>
      <c r="C47" s="1545">
        <v>0.21</v>
      </c>
      <c r="D47" s="1545"/>
      <c r="E47" s="23" t="s">
        <v>1791</v>
      </c>
      <c r="F47" s="1545">
        <f>SUMIF($T$39:$AH$39,F46,$T$40:$AH$40)</f>
        <v>0</v>
      </c>
      <c r="G47" s="1545"/>
      <c r="H47" s="201" t="s">
        <v>1792</v>
      </c>
      <c r="I47" s="1545">
        <v>0.21</v>
      </c>
      <c r="J47" s="1545"/>
      <c r="K47" s="23" t="s">
        <v>1791</v>
      </c>
      <c r="L47" s="1545">
        <f>SUMIF($T$39:$AH$39,L46,$T$40:$AH$40)</f>
        <v>0</v>
      </c>
      <c r="M47" s="1545"/>
      <c r="N47" s="201" t="s">
        <v>1793</v>
      </c>
      <c r="O47" s="297" t="str">
        <f>IF(F46="","",IF(C47*F47-I47*L47&lt;=0,"",C47*F47-I47*L47))</f>
        <v/>
      </c>
      <c r="P47" s="1451"/>
      <c r="Q47" s="63"/>
      <c r="R47" s="63"/>
      <c r="S47" s="61">
        <f>IF(AND(O41&gt;0,O41&lt;0.01),0.01,ROUND(O41,2))</f>
        <v>0</v>
      </c>
      <c r="T47" s="1181">
        <f>LARGE($S$47:$S$54,1)</f>
        <v>0</v>
      </c>
      <c r="U47" s="16">
        <f>T47+T48*(1-T47)</f>
        <v>0</v>
      </c>
      <c r="V47" s="61">
        <f t="shared" ref="V47:V53" si="1">ROUND(U47,2)</f>
        <v>0</v>
      </c>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c r="CA47" s="63"/>
      <c r="CB47" s="63"/>
      <c r="CC47" s="63"/>
      <c r="CD47" s="63"/>
      <c r="CE47" s="63"/>
      <c r="CF47" s="63"/>
      <c r="CG47" s="63"/>
      <c r="CH47" s="63"/>
      <c r="CI47" s="63"/>
      <c r="CJ47" s="63"/>
      <c r="CK47" s="63"/>
      <c r="CL47" s="63"/>
      <c r="CM47" s="63"/>
      <c r="CN47" s="63"/>
      <c r="CO47" s="63"/>
      <c r="CP47" s="63"/>
      <c r="CQ47" s="63"/>
      <c r="CR47" s="63"/>
      <c r="CS47" s="63"/>
      <c r="CT47" s="63"/>
      <c r="CU47" s="63"/>
      <c r="CV47" s="63"/>
      <c r="CW47" s="63"/>
      <c r="CX47" s="63"/>
      <c r="CY47" s="63"/>
      <c r="CZ47" s="63"/>
      <c r="DA47" s="63"/>
      <c r="DB47" s="63"/>
      <c r="DC47" s="63"/>
      <c r="DD47" s="63"/>
      <c r="DE47" s="63"/>
      <c r="DF47" s="63"/>
      <c r="DG47" s="63"/>
      <c r="DH47" s="63"/>
      <c r="DI47" s="63"/>
      <c r="DJ47" s="63"/>
      <c r="DK47" s="63"/>
      <c r="DL47" s="63"/>
      <c r="DM47" s="63"/>
      <c r="DN47" s="63"/>
      <c r="DO47" s="63"/>
      <c r="DP47" s="63"/>
      <c r="DQ47" s="63"/>
      <c r="DR47" s="63"/>
      <c r="DS47" s="63"/>
      <c r="DT47" s="63"/>
      <c r="DU47" s="63"/>
      <c r="DV47" s="63"/>
      <c r="DW47" s="63"/>
      <c r="DX47" s="63"/>
      <c r="DY47" s="63"/>
      <c r="DZ47" s="63"/>
      <c r="EA47" s="63"/>
      <c r="EB47" s="63"/>
      <c r="EC47" s="63"/>
      <c r="ED47" s="63"/>
      <c r="EE47" s="63"/>
      <c r="EF47" s="63"/>
      <c r="EG47" s="63"/>
      <c r="EH47" s="63"/>
      <c r="EI47" s="63"/>
      <c r="EJ47" s="63"/>
      <c r="EK47" s="63"/>
      <c r="EL47" s="63"/>
      <c r="EM47" s="63"/>
      <c r="EN47" s="63"/>
      <c r="EO47" s="63"/>
      <c r="EP47" s="63"/>
      <c r="EQ47" s="63"/>
      <c r="ER47" s="63"/>
      <c r="ES47" s="63"/>
      <c r="ET47" s="63"/>
      <c r="EU47" s="63"/>
      <c r="EV47" s="63"/>
      <c r="EW47" s="63"/>
      <c r="EX47" s="63"/>
      <c r="EY47" s="63"/>
      <c r="EZ47" s="63"/>
      <c r="FA47" s="63"/>
      <c r="FB47" s="63"/>
    </row>
    <row r="48" spans="2:158" ht="15" customHeight="1" x14ac:dyDescent="0.2">
      <c r="B48" s="2268" t="s">
        <v>1003</v>
      </c>
      <c r="C48" s="1452"/>
      <c r="D48" s="1452"/>
      <c r="E48" s="286"/>
      <c r="F48" s="2277"/>
      <c r="G48" s="2277"/>
      <c r="H48" s="510"/>
      <c r="I48" s="1452"/>
      <c r="J48" s="1452"/>
      <c r="K48" s="286"/>
      <c r="L48" s="2277"/>
      <c r="M48" s="2277"/>
      <c r="N48" s="452"/>
      <c r="O48" s="185"/>
      <c r="P48" s="1451"/>
      <c r="Q48" s="89"/>
      <c r="R48" s="63"/>
      <c r="S48" s="61">
        <f>IF(AND(O43&gt;0,O43&lt;0.01),0.01,ROUND(O43,2))</f>
        <v>0</v>
      </c>
      <c r="T48" s="1181">
        <f>LARGE($S$47:$S$54,2)</f>
        <v>0</v>
      </c>
      <c r="U48" s="16">
        <f t="shared" ref="U48:U53" si="2">V47+T49*(1-V47)</f>
        <v>0</v>
      </c>
      <c r="V48" s="61">
        <f t="shared" si="1"/>
        <v>0</v>
      </c>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63"/>
      <c r="CB48" s="63"/>
      <c r="CC48" s="63"/>
      <c r="CD48" s="63"/>
      <c r="CE48" s="63"/>
      <c r="CF48" s="63"/>
      <c r="CG48" s="63"/>
      <c r="CH48" s="63"/>
      <c r="CI48" s="63"/>
      <c r="CJ48" s="63"/>
      <c r="CK48" s="63"/>
      <c r="CL48" s="63"/>
      <c r="CM48" s="63"/>
      <c r="CN48" s="63"/>
      <c r="CO48" s="63"/>
      <c r="CP48" s="63"/>
      <c r="CQ48" s="63"/>
      <c r="CR48" s="63"/>
      <c r="CS48" s="63"/>
      <c r="CT48" s="63"/>
      <c r="CU48" s="63"/>
      <c r="CV48" s="63"/>
      <c r="CW48" s="63"/>
      <c r="CX48" s="63"/>
      <c r="CY48" s="63"/>
      <c r="CZ48" s="63"/>
      <c r="DA48" s="63"/>
      <c r="DB48" s="63"/>
      <c r="DC48" s="63"/>
      <c r="DD48" s="63"/>
      <c r="DE48" s="63"/>
      <c r="DF48" s="63"/>
      <c r="DG48" s="63"/>
      <c r="DH48" s="63"/>
      <c r="DI48" s="63"/>
      <c r="DJ48" s="63"/>
      <c r="DK48" s="63"/>
      <c r="DL48" s="63"/>
      <c r="DM48" s="63"/>
      <c r="DN48" s="63"/>
      <c r="DO48" s="63"/>
      <c r="DP48" s="63"/>
      <c r="DQ48" s="63"/>
      <c r="DR48" s="63"/>
      <c r="DS48" s="63"/>
      <c r="DT48" s="63"/>
      <c r="DU48" s="63"/>
      <c r="DV48" s="63"/>
      <c r="DW48" s="63"/>
      <c r="DX48" s="63"/>
      <c r="DY48" s="63"/>
      <c r="DZ48" s="63"/>
      <c r="EA48" s="63"/>
      <c r="EB48" s="63"/>
      <c r="EC48" s="63"/>
      <c r="ED48" s="63"/>
      <c r="EE48" s="63"/>
      <c r="EF48" s="63"/>
      <c r="EG48" s="63"/>
      <c r="EH48" s="63"/>
      <c r="EI48" s="63"/>
      <c r="EJ48" s="63"/>
      <c r="EK48" s="63"/>
      <c r="EL48" s="63"/>
      <c r="EM48" s="63"/>
      <c r="EN48" s="63"/>
      <c r="EO48" s="63"/>
      <c r="EP48" s="63"/>
      <c r="EQ48" s="63"/>
      <c r="ER48" s="63"/>
      <c r="ES48" s="63"/>
      <c r="ET48" s="63"/>
      <c r="EU48" s="63"/>
      <c r="EV48" s="63"/>
      <c r="EW48" s="63"/>
      <c r="EX48" s="63"/>
      <c r="EY48" s="63"/>
      <c r="EZ48" s="63"/>
      <c r="FA48" s="63"/>
      <c r="FB48" s="63"/>
    </row>
    <row r="49" spans="2:158" ht="15" customHeight="1" x14ac:dyDescent="0.2">
      <c r="B49" s="2269"/>
      <c r="C49" s="1545">
        <v>0.21</v>
      </c>
      <c r="D49" s="1545"/>
      <c r="E49" s="23" t="s">
        <v>1791</v>
      </c>
      <c r="F49" s="1545">
        <f>SUMIF($T$39:$AH$39,F48,$T$40:$AH$40)</f>
        <v>0</v>
      </c>
      <c r="G49" s="1545"/>
      <c r="H49" s="201" t="s">
        <v>1792</v>
      </c>
      <c r="I49" s="1545">
        <v>0.21</v>
      </c>
      <c r="J49" s="1545"/>
      <c r="K49" s="23" t="s">
        <v>1791</v>
      </c>
      <c r="L49" s="1545">
        <f>SUMIF($T$39:$AH$39,L48,$T$40:$AH$40)</f>
        <v>0</v>
      </c>
      <c r="M49" s="1545"/>
      <c r="N49" s="201" t="s">
        <v>1793</v>
      </c>
      <c r="O49" s="297" t="str">
        <f>IF(F48="","",IF(C49*F49-I49*L49&lt;=0,"",C49*F49-I49*L49))</f>
        <v/>
      </c>
      <c r="P49" s="1451"/>
      <c r="Q49" s="63"/>
      <c r="R49" s="63"/>
      <c r="S49" s="61">
        <f>IF(AND(O54&gt;0,O54&lt;0.01),0.01,ROUND(O54,2))</f>
        <v>0</v>
      </c>
      <c r="T49" s="1181">
        <f>LARGE($S$47:$S$54,3)</f>
        <v>0</v>
      </c>
      <c r="U49" s="16">
        <f t="shared" si="2"/>
        <v>0</v>
      </c>
      <c r="V49" s="61">
        <f t="shared" si="1"/>
        <v>0</v>
      </c>
      <c r="W49" s="63"/>
      <c r="X49" s="63"/>
      <c r="Y49" s="63"/>
      <c r="Z49" s="63"/>
      <c r="AA49" s="63"/>
      <c r="AB49" s="63"/>
      <c r="AC49" s="63"/>
      <c r="AD49" s="63"/>
      <c r="AE49" s="63"/>
      <c r="AF49" s="63"/>
      <c r="AG49" s="63"/>
      <c r="AH49" s="63"/>
      <c r="AI49" s="63"/>
      <c r="AJ49" s="63"/>
      <c r="AK49" s="63"/>
      <c r="AL49" s="63"/>
      <c r="AM49" s="63"/>
      <c r="AN49" s="63"/>
      <c r="AO49" s="63"/>
      <c r="AP49" s="63"/>
      <c r="AQ49" s="63"/>
      <c r="AR49" s="63"/>
      <c r="AS49" s="63"/>
      <c r="AT49" s="63"/>
      <c r="AU49" s="63"/>
      <c r="AV49" s="63"/>
      <c r="AW49" s="63"/>
      <c r="AX49" s="63"/>
      <c r="AY49" s="63"/>
      <c r="AZ49" s="63"/>
      <c r="BA49" s="63"/>
      <c r="BB49" s="63"/>
      <c r="BC49" s="63"/>
      <c r="BD49" s="63"/>
      <c r="BE49" s="63"/>
      <c r="BF49" s="63"/>
      <c r="BG49" s="63"/>
      <c r="BH49" s="63"/>
      <c r="BI49" s="63"/>
      <c r="BJ49" s="63"/>
      <c r="BK49" s="63"/>
      <c r="BL49" s="63"/>
      <c r="BM49" s="63"/>
      <c r="BN49" s="63"/>
      <c r="BO49" s="63"/>
      <c r="BP49" s="63"/>
      <c r="BQ49" s="63"/>
      <c r="BR49" s="63"/>
      <c r="BS49" s="63"/>
      <c r="BT49" s="63"/>
      <c r="BU49" s="63"/>
      <c r="BV49" s="63"/>
      <c r="BW49" s="63"/>
      <c r="BX49" s="63"/>
      <c r="BY49" s="63"/>
      <c r="BZ49" s="63"/>
      <c r="CA49" s="63"/>
      <c r="CB49" s="63"/>
      <c r="CC49" s="63"/>
      <c r="CD49" s="63"/>
      <c r="CE49" s="63"/>
      <c r="CF49" s="63"/>
      <c r="CG49" s="63"/>
      <c r="CH49" s="63"/>
      <c r="CI49" s="63"/>
      <c r="CJ49" s="63"/>
      <c r="CK49" s="63"/>
      <c r="CL49" s="63"/>
      <c r="CM49" s="63"/>
      <c r="CN49" s="63"/>
      <c r="CO49" s="63"/>
      <c r="CP49" s="63"/>
      <c r="CQ49" s="63"/>
      <c r="CR49" s="63"/>
      <c r="CS49" s="63"/>
      <c r="CT49" s="63"/>
      <c r="CU49" s="63"/>
      <c r="CV49" s="63"/>
      <c r="CW49" s="63"/>
      <c r="CX49" s="63"/>
      <c r="CY49" s="63"/>
      <c r="CZ49" s="63"/>
      <c r="DA49" s="63"/>
      <c r="DB49" s="63"/>
      <c r="DC49" s="63"/>
      <c r="DD49" s="63"/>
      <c r="DE49" s="63"/>
      <c r="DF49" s="63"/>
      <c r="DG49" s="63"/>
      <c r="DH49" s="63"/>
      <c r="DI49" s="63"/>
      <c r="DJ49" s="63"/>
      <c r="DK49" s="63"/>
      <c r="DL49" s="63"/>
      <c r="DM49" s="63"/>
      <c r="DN49" s="63"/>
      <c r="DO49" s="63"/>
      <c r="DP49" s="63"/>
      <c r="DQ49" s="63"/>
      <c r="DR49" s="63"/>
      <c r="DS49" s="63"/>
      <c r="DT49" s="63"/>
      <c r="DU49" s="63"/>
      <c r="DV49" s="63"/>
      <c r="DW49" s="63"/>
      <c r="DX49" s="63"/>
      <c r="DY49" s="63"/>
      <c r="DZ49" s="63"/>
      <c r="EA49" s="63"/>
      <c r="EB49" s="63"/>
      <c r="EC49" s="63"/>
      <c r="ED49" s="63"/>
      <c r="EE49" s="63"/>
      <c r="EF49" s="63"/>
      <c r="EG49" s="63"/>
      <c r="EH49" s="63"/>
      <c r="EI49" s="63"/>
      <c r="EJ49" s="63"/>
      <c r="EK49" s="63"/>
      <c r="EL49" s="63"/>
      <c r="EM49" s="63"/>
      <c r="EN49" s="63"/>
      <c r="EO49" s="63"/>
      <c r="EP49" s="63"/>
      <c r="EQ49" s="63"/>
      <c r="ER49" s="63"/>
      <c r="ES49" s="63"/>
      <c r="ET49" s="63"/>
      <c r="EU49" s="63"/>
      <c r="EV49" s="63"/>
      <c r="EW49" s="63"/>
      <c r="EX49" s="63"/>
      <c r="EY49" s="63"/>
      <c r="EZ49" s="63"/>
      <c r="FA49" s="63"/>
      <c r="FB49" s="63"/>
    </row>
    <row r="50" spans="2:158" ht="15" customHeight="1" x14ac:dyDescent="0.2">
      <c r="B50" s="2268" t="s">
        <v>1811</v>
      </c>
      <c r="C50" s="1452"/>
      <c r="D50" s="1452"/>
      <c r="E50" s="286"/>
      <c r="F50" s="2277"/>
      <c r="G50" s="2277"/>
      <c r="H50" s="510"/>
      <c r="I50" s="1452"/>
      <c r="J50" s="1452"/>
      <c r="K50" s="286"/>
      <c r="L50" s="2277"/>
      <c r="M50" s="2277"/>
      <c r="N50" s="452"/>
      <c r="O50" s="185"/>
      <c r="P50" s="1451"/>
      <c r="Q50" s="63"/>
      <c r="R50" s="63"/>
      <c r="S50" s="61">
        <f>IF(AND(O63&gt;0,O63&lt;0.01),0.01,ROUND(O63,2))</f>
        <v>0</v>
      </c>
      <c r="T50" s="1181">
        <f>LARGE($S$47:$S$54,4)</f>
        <v>0</v>
      </c>
      <c r="U50" s="16">
        <f t="shared" si="2"/>
        <v>0</v>
      </c>
      <c r="V50" s="61">
        <f t="shared" si="1"/>
        <v>0</v>
      </c>
      <c r="W50" s="63"/>
      <c r="X50" s="63"/>
      <c r="Y50" s="63"/>
      <c r="Z50" s="63"/>
      <c r="AA50" s="63"/>
      <c r="AB50" s="63"/>
      <c r="AC50" s="63"/>
      <c r="AD50" s="63"/>
      <c r="AE50" s="63"/>
      <c r="AF50" s="63"/>
      <c r="AG50" s="63"/>
      <c r="AH50" s="63"/>
      <c r="AI50" s="63"/>
      <c r="AJ50" s="63"/>
      <c r="AK50" s="63"/>
      <c r="AL50" s="63"/>
      <c r="AM50" s="63"/>
      <c r="AN50" s="63"/>
      <c r="AO50" s="63"/>
      <c r="AP50" s="63"/>
      <c r="AQ50" s="63"/>
      <c r="AR50" s="63"/>
      <c r="AS50" s="63"/>
      <c r="AT50" s="63"/>
      <c r="AU50" s="63"/>
      <c r="AV50" s="63"/>
      <c r="AW50" s="63"/>
      <c r="AX50" s="63"/>
      <c r="AY50" s="63"/>
      <c r="AZ50" s="63"/>
      <c r="BA50" s="63"/>
      <c r="BB50" s="63"/>
      <c r="BC50" s="63"/>
      <c r="BD50" s="63"/>
      <c r="BE50" s="63"/>
      <c r="BF50" s="63"/>
      <c r="BG50" s="63"/>
      <c r="BH50" s="63"/>
      <c r="BI50" s="63"/>
      <c r="BJ50" s="63"/>
      <c r="BK50" s="63"/>
      <c r="BL50" s="63"/>
      <c r="BM50" s="63"/>
      <c r="BN50" s="63"/>
      <c r="BO50" s="63"/>
      <c r="BP50" s="63"/>
      <c r="BQ50" s="63"/>
      <c r="BR50" s="63"/>
      <c r="BS50" s="63"/>
      <c r="BT50" s="63"/>
      <c r="BU50" s="63"/>
      <c r="BV50" s="63"/>
      <c r="BW50" s="63"/>
      <c r="BX50" s="63"/>
      <c r="BY50" s="63"/>
      <c r="BZ50" s="63"/>
      <c r="CA50" s="63"/>
      <c r="CB50" s="63"/>
      <c r="CC50" s="63"/>
      <c r="CD50" s="63"/>
      <c r="CE50" s="63"/>
      <c r="CF50" s="63"/>
      <c r="CG50" s="63"/>
      <c r="CH50" s="63"/>
      <c r="CI50" s="63"/>
      <c r="CJ50" s="63"/>
      <c r="CK50" s="63"/>
      <c r="CL50" s="63"/>
      <c r="CM50" s="63"/>
      <c r="CN50" s="63"/>
      <c r="CO50" s="63"/>
      <c r="CP50" s="63"/>
      <c r="CQ50" s="63"/>
      <c r="CR50" s="63"/>
      <c r="CS50" s="63"/>
      <c r="CT50" s="63"/>
      <c r="CU50" s="63"/>
      <c r="CV50" s="63"/>
      <c r="CW50" s="63"/>
      <c r="CX50" s="63"/>
      <c r="CY50" s="63"/>
      <c r="CZ50" s="63"/>
      <c r="DA50" s="63"/>
      <c r="DB50" s="63"/>
      <c r="DC50" s="63"/>
      <c r="DD50" s="63"/>
      <c r="DE50" s="63"/>
      <c r="DF50" s="63"/>
      <c r="DG50" s="63"/>
      <c r="DH50" s="63"/>
      <c r="DI50" s="63"/>
      <c r="DJ50" s="63"/>
      <c r="DK50" s="63"/>
      <c r="DL50" s="63"/>
      <c r="DM50" s="63"/>
      <c r="DN50" s="63"/>
      <c r="DO50" s="63"/>
      <c r="DP50" s="63"/>
      <c r="DQ50" s="63"/>
      <c r="DR50" s="63"/>
      <c r="DS50" s="63"/>
      <c r="DT50" s="63"/>
      <c r="DU50" s="63"/>
      <c r="DV50" s="63"/>
      <c r="DW50" s="63"/>
      <c r="DX50" s="63"/>
      <c r="DY50" s="63"/>
      <c r="DZ50" s="63"/>
      <c r="EA50" s="63"/>
      <c r="EB50" s="63"/>
      <c r="EC50" s="63"/>
      <c r="ED50" s="63"/>
      <c r="EE50" s="63"/>
      <c r="EF50" s="63"/>
      <c r="EG50" s="63"/>
      <c r="EH50" s="63"/>
      <c r="EI50" s="63"/>
      <c r="EJ50" s="63"/>
      <c r="EK50" s="63"/>
      <c r="EL50" s="63"/>
      <c r="EM50" s="63"/>
      <c r="EN50" s="63"/>
      <c r="EO50" s="63"/>
      <c r="EP50" s="63"/>
      <c r="EQ50" s="63"/>
      <c r="ER50" s="63"/>
      <c r="ES50" s="63"/>
      <c r="ET50" s="63"/>
      <c r="EU50" s="63"/>
      <c r="EV50" s="63"/>
      <c r="EW50" s="63"/>
      <c r="EX50" s="63"/>
      <c r="EY50" s="63"/>
      <c r="EZ50" s="63"/>
      <c r="FA50" s="63"/>
      <c r="FB50" s="63"/>
    </row>
    <row r="51" spans="2:158" ht="15" customHeight="1" x14ac:dyDescent="0.2">
      <c r="B51" s="2269"/>
      <c r="C51" s="1545">
        <v>0.21</v>
      </c>
      <c r="D51" s="1545"/>
      <c r="E51" s="23" t="s">
        <v>1791</v>
      </c>
      <c r="F51" s="1545">
        <f>SUMIF($T$39:$AH$39,F50,$T$40:$AH$40)</f>
        <v>0</v>
      </c>
      <c r="G51" s="1545"/>
      <c r="H51" s="201" t="s">
        <v>1792</v>
      </c>
      <c r="I51" s="1545">
        <v>0.21</v>
      </c>
      <c r="J51" s="1545"/>
      <c r="K51" s="23" t="s">
        <v>1791</v>
      </c>
      <c r="L51" s="1545">
        <f>SUMIF($T$39:$AH$39,L50,$T$40:$AH$40)</f>
        <v>0</v>
      </c>
      <c r="M51" s="1545"/>
      <c r="N51" s="201" t="s">
        <v>1793</v>
      </c>
      <c r="O51" s="297" t="str">
        <f>IF(F50="","",IF(C51*F51-I51*L51&lt;=0,"",C51*F51-I51*L51))</f>
        <v/>
      </c>
      <c r="P51" s="1451"/>
      <c r="Q51" s="63"/>
      <c r="R51" s="63"/>
      <c r="S51" s="61">
        <f>IF(AND(O65&gt;0,O65&lt;0.01),0.01,ROUND(O65,2))</f>
        <v>0</v>
      </c>
      <c r="T51" s="1181">
        <f>LARGE($S$47:$S$54,5)</f>
        <v>0</v>
      </c>
      <c r="U51" s="16">
        <f t="shared" si="2"/>
        <v>0</v>
      </c>
      <c r="V51" s="61">
        <f t="shared" si="1"/>
        <v>0</v>
      </c>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A51" s="63"/>
      <c r="CB51" s="63"/>
      <c r="CC51" s="63"/>
      <c r="CD51" s="63"/>
      <c r="CE51" s="63"/>
      <c r="CF51" s="63"/>
      <c r="CG51" s="63"/>
      <c r="CH51" s="63"/>
      <c r="CI51" s="63"/>
      <c r="CJ51" s="63"/>
      <c r="CK51" s="63"/>
      <c r="CL51" s="63"/>
      <c r="CM51" s="63"/>
      <c r="CN51" s="63"/>
      <c r="CO51" s="63"/>
      <c r="CP51" s="63"/>
      <c r="CQ51" s="63"/>
      <c r="CR51" s="63"/>
      <c r="CS51" s="63"/>
      <c r="CT51" s="63"/>
      <c r="CU51" s="63"/>
      <c r="CV51" s="63"/>
      <c r="CW51" s="63"/>
      <c r="CX51" s="63"/>
      <c r="CY51" s="63"/>
      <c r="CZ51" s="63"/>
      <c r="DA51" s="63"/>
      <c r="DB51" s="63"/>
      <c r="DC51" s="63"/>
      <c r="DD51" s="63"/>
      <c r="DE51" s="63"/>
      <c r="DF51" s="63"/>
      <c r="DG51" s="63"/>
      <c r="DH51" s="63"/>
      <c r="DI51" s="63"/>
      <c r="DJ51" s="63"/>
      <c r="DK51" s="63"/>
      <c r="DL51" s="63"/>
      <c r="DM51" s="63"/>
      <c r="DN51" s="63"/>
      <c r="DO51" s="63"/>
      <c r="DP51" s="63"/>
      <c r="DQ51" s="63"/>
      <c r="DR51" s="63"/>
      <c r="DS51" s="63"/>
      <c r="DT51" s="63"/>
      <c r="DU51" s="63"/>
      <c r="DV51" s="63"/>
      <c r="DW51" s="63"/>
      <c r="DX51" s="63"/>
      <c r="DY51" s="63"/>
      <c r="DZ51" s="63"/>
      <c r="EA51" s="63"/>
      <c r="EB51" s="63"/>
      <c r="EC51" s="63"/>
      <c r="ED51" s="63"/>
      <c r="EE51" s="63"/>
      <c r="EF51" s="63"/>
      <c r="EG51" s="63"/>
      <c r="EH51" s="63"/>
      <c r="EI51" s="63"/>
      <c r="EJ51" s="63"/>
      <c r="EK51" s="63"/>
      <c r="EL51" s="63"/>
      <c r="EM51" s="63"/>
      <c r="EN51" s="63"/>
      <c r="EO51" s="63"/>
      <c r="EP51" s="63"/>
      <c r="EQ51" s="63"/>
      <c r="ER51" s="63"/>
      <c r="ES51" s="63"/>
      <c r="ET51" s="63"/>
      <c r="EU51" s="63"/>
      <c r="EV51" s="63"/>
      <c r="EW51" s="63"/>
      <c r="EX51" s="63"/>
      <c r="EY51" s="63"/>
      <c r="EZ51" s="63"/>
      <c r="FA51" s="63"/>
      <c r="FB51" s="63"/>
    </row>
    <row r="52" spans="2:158" ht="15" customHeight="1" x14ac:dyDescent="0.2">
      <c r="B52" s="2268" t="s">
        <v>1812</v>
      </c>
      <c r="C52" s="1452"/>
      <c r="D52" s="1452"/>
      <c r="E52" s="286"/>
      <c r="F52" s="2277"/>
      <c r="G52" s="2277"/>
      <c r="H52" s="510"/>
      <c r="I52" s="1452"/>
      <c r="J52" s="1452"/>
      <c r="K52" s="286"/>
      <c r="L52" s="2277"/>
      <c r="M52" s="2277"/>
      <c r="N52" s="452"/>
      <c r="O52" s="185"/>
      <c r="P52" s="1451"/>
      <c r="Q52" s="63"/>
      <c r="R52" s="63"/>
      <c r="S52" s="61">
        <f>IF(AND(O72&gt;0,O72&lt;0.01),0.01,ROUND(O72,2))</f>
        <v>0</v>
      </c>
      <c r="T52" s="1181">
        <f>LARGE($S$47:$S$54,6)</f>
        <v>0</v>
      </c>
      <c r="U52" s="16">
        <f t="shared" si="2"/>
        <v>0</v>
      </c>
      <c r="V52" s="61">
        <f t="shared" si="1"/>
        <v>0</v>
      </c>
      <c r="W52" s="63"/>
      <c r="X52" s="63"/>
      <c r="Y52" s="63"/>
      <c r="Z52" s="63"/>
      <c r="AA52" s="63"/>
      <c r="AB52" s="63"/>
      <c r="AC52" s="63"/>
      <c r="AD52" s="63"/>
      <c r="AE52" s="63"/>
      <c r="AF52" s="63"/>
      <c r="AG52" s="63"/>
      <c r="AH52" s="63"/>
      <c r="AI52" s="63"/>
      <c r="AJ52" s="63"/>
      <c r="AK52" s="63"/>
      <c r="AL52" s="63"/>
      <c r="AM52" s="63"/>
      <c r="AN52" s="63"/>
      <c r="AO52" s="63"/>
      <c r="AP52" s="63"/>
      <c r="AQ52" s="63"/>
      <c r="AR52" s="63"/>
      <c r="AS52" s="63"/>
      <c r="AT52" s="63"/>
      <c r="AU52" s="63"/>
      <c r="AV52" s="63"/>
      <c r="AW52" s="63"/>
      <c r="AX52" s="63"/>
      <c r="AY52" s="63"/>
      <c r="AZ52" s="63"/>
      <c r="BA52" s="63"/>
      <c r="BB52" s="63"/>
      <c r="BC52" s="63"/>
      <c r="BD52" s="63"/>
      <c r="BE52" s="63"/>
      <c r="BF52" s="63"/>
      <c r="BG52" s="63"/>
      <c r="BH52" s="63"/>
      <c r="BI52" s="63"/>
      <c r="BJ52" s="63"/>
      <c r="BK52" s="63"/>
      <c r="BL52" s="63"/>
      <c r="BM52" s="63"/>
      <c r="BN52" s="63"/>
      <c r="BO52" s="63"/>
      <c r="BP52" s="63"/>
      <c r="BQ52" s="63"/>
      <c r="BR52" s="63"/>
      <c r="BS52" s="63"/>
      <c r="BT52" s="63"/>
      <c r="BU52" s="63"/>
      <c r="BV52" s="63"/>
      <c r="BW52" s="63"/>
      <c r="BX52" s="63"/>
      <c r="BY52" s="63"/>
      <c r="BZ52" s="63"/>
      <c r="CA52" s="63"/>
      <c r="CB52" s="63"/>
      <c r="CC52" s="63"/>
      <c r="CD52" s="63"/>
      <c r="CE52" s="63"/>
      <c r="CF52" s="63"/>
      <c r="CG52" s="63"/>
      <c r="CH52" s="63"/>
      <c r="CI52" s="63"/>
      <c r="CJ52" s="63"/>
      <c r="CK52" s="63"/>
      <c r="CL52" s="63"/>
      <c r="CM52" s="63"/>
      <c r="CN52" s="63"/>
      <c r="CO52" s="63"/>
      <c r="CP52" s="63"/>
      <c r="CQ52" s="63"/>
      <c r="CR52" s="63"/>
      <c r="CS52" s="63"/>
      <c r="CT52" s="63"/>
      <c r="CU52" s="63"/>
      <c r="CV52" s="63"/>
      <c r="CW52" s="63"/>
      <c r="CX52" s="63"/>
      <c r="CY52" s="63"/>
      <c r="CZ52" s="63"/>
      <c r="DA52" s="63"/>
      <c r="DB52" s="63"/>
      <c r="DC52" s="63"/>
      <c r="DD52" s="63"/>
      <c r="DE52" s="63"/>
      <c r="DF52" s="63"/>
      <c r="DG52" s="63"/>
      <c r="DH52" s="63"/>
      <c r="DI52" s="63"/>
      <c r="DJ52" s="63"/>
      <c r="DK52" s="63"/>
      <c r="DL52" s="63"/>
      <c r="DM52" s="63"/>
      <c r="DN52" s="63"/>
      <c r="DO52" s="63"/>
      <c r="DP52" s="63"/>
      <c r="DQ52" s="63"/>
      <c r="DR52" s="63"/>
      <c r="DS52" s="63"/>
      <c r="DT52" s="63"/>
      <c r="DU52" s="63"/>
      <c r="DV52" s="63"/>
      <c r="DW52" s="63"/>
      <c r="DX52" s="63"/>
      <c r="DY52" s="63"/>
      <c r="DZ52" s="63"/>
      <c r="EA52" s="63"/>
      <c r="EB52" s="63"/>
      <c r="EC52" s="63"/>
      <c r="ED52" s="63"/>
      <c r="EE52" s="63"/>
      <c r="EF52" s="63"/>
      <c r="EG52" s="63"/>
      <c r="EH52" s="63"/>
      <c r="EI52" s="63"/>
      <c r="EJ52" s="63"/>
      <c r="EK52" s="63"/>
      <c r="EL52" s="63"/>
      <c r="EM52" s="63"/>
      <c r="EN52" s="63"/>
      <c r="EO52" s="63"/>
      <c r="EP52" s="63"/>
      <c r="EQ52" s="63"/>
      <c r="ER52" s="63"/>
      <c r="ES52" s="63"/>
      <c r="ET52" s="63"/>
      <c r="EU52" s="63"/>
      <c r="EV52" s="63"/>
      <c r="EW52" s="63"/>
      <c r="EX52" s="63"/>
      <c r="EY52" s="63"/>
      <c r="EZ52" s="63"/>
      <c r="FA52" s="63"/>
      <c r="FB52" s="63"/>
    </row>
    <row r="53" spans="2:158" ht="15" customHeight="1" x14ac:dyDescent="0.2">
      <c r="B53" s="2269"/>
      <c r="C53" s="1545">
        <v>0.21</v>
      </c>
      <c r="D53" s="1545"/>
      <c r="E53" s="23" t="s">
        <v>1791</v>
      </c>
      <c r="F53" s="1545">
        <f>SUMIF($T$39:$AH$39,F52,$T$40:$AH$40)</f>
        <v>0</v>
      </c>
      <c r="G53" s="1545"/>
      <c r="H53" s="201" t="s">
        <v>1792</v>
      </c>
      <c r="I53" s="1545">
        <v>0.21</v>
      </c>
      <c r="J53" s="1545"/>
      <c r="K53" s="23" t="s">
        <v>1791</v>
      </c>
      <c r="L53" s="1545">
        <f>SUMIF($T$39:$AH$39,L52,$T$40:$AH$40)</f>
        <v>0</v>
      </c>
      <c r="M53" s="1545"/>
      <c r="N53" s="201" t="s">
        <v>1793</v>
      </c>
      <c r="O53" s="297" t="str">
        <f>IF(F52="","",IF(C53*F53-I53*L53&lt;=0,"",C53*F53-I53*L53))</f>
        <v/>
      </c>
      <c r="P53" s="1451"/>
      <c r="Q53" s="63"/>
      <c r="R53" s="63"/>
      <c r="S53" s="61">
        <f>IF(AND(O81&gt;0,O81&lt;0.01),0.01,ROUND(O81,2))</f>
        <v>0</v>
      </c>
      <c r="T53" s="1181">
        <f>LARGE($S$47:$S$54,7)</f>
        <v>0</v>
      </c>
      <c r="U53" s="16">
        <f t="shared" si="2"/>
        <v>0</v>
      </c>
      <c r="V53" s="61">
        <f t="shared" si="1"/>
        <v>0</v>
      </c>
      <c r="W53" s="63"/>
      <c r="X53" s="63"/>
      <c r="Y53" s="63"/>
      <c r="Z53" s="63"/>
      <c r="AA53" s="63"/>
      <c r="AB53" s="63"/>
      <c r="AC53" s="63"/>
      <c r="AD53" s="63"/>
      <c r="AE53" s="63"/>
      <c r="AF53" s="63"/>
      <c r="AG53" s="63"/>
      <c r="AH53" s="63"/>
      <c r="AI53" s="63"/>
      <c r="AJ53" s="63"/>
      <c r="AK53" s="63"/>
      <c r="AL53" s="63"/>
      <c r="AM53" s="63"/>
      <c r="AN53" s="63"/>
      <c r="AO53" s="63"/>
      <c r="AP53" s="63"/>
      <c r="AQ53" s="63"/>
      <c r="AR53" s="63"/>
      <c r="AS53" s="63"/>
      <c r="AT53" s="63"/>
      <c r="AU53" s="63"/>
      <c r="AV53" s="63"/>
      <c r="AW53" s="63"/>
      <c r="AX53" s="63"/>
      <c r="AY53" s="63"/>
      <c r="AZ53" s="63"/>
      <c r="BA53" s="63"/>
      <c r="BB53" s="63"/>
      <c r="BC53" s="63"/>
      <c r="BD53" s="63"/>
      <c r="BE53" s="63"/>
      <c r="BF53" s="63"/>
      <c r="BG53" s="63"/>
      <c r="BH53" s="63"/>
      <c r="BI53" s="63"/>
      <c r="BJ53" s="63"/>
      <c r="BK53" s="63"/>
      <c r="BL53" s="63"/>
      <c r="BM53" s="63"/>
      <c r="BN53" s="63"/>
      <c r="BO53" s="63"/>
      <c r="BP53" s="63"/>
      <c r="BQ53" s="63"/>
      <c r="BR53" s="63"/>
      <c r="BS53" s="63"/>
      <c r="BT53" s="63"/>
      <c r="BU53" s="63"/>
      <c r="BV53" s="63"/>
      <c r="BW53" s="63"/>
      <c r="BX53" s="63"/>
      <c r="BY53" s="63"/>
      <c r="BZ53" s="63"/>
      <c r="CA53" s="63"/>
      <c r="CB53" s="63"/>
      <c r="CC53" s="63"/>
      <c r="CD53" s="63"/>
      <c r="CE53" s="63"/>
      <c r="CF53" s="63"/>
      <c r="CG53" s="63"/>
      <c r="CH53" s="63"/>
      <c r="CI53" s="63"/>
      <c r="CJ53" s="63"/>
      <c r="CK53" s="63"/>
      <c r="CL53" s="63"/>
      <c r="CM53" s="63"/>
      <c r="CN53" s="63"/>
      <c r="CO53" s="63"/>
      <c r="CP53" s="63"/>
      <c r="CQ53" s="63"/>
      <c r="CR53" s="63"/>
      <c r="CS53" s="63"/>
      <c r="CT53" s="63"/>
      <c r="CU53" s="63"/>
      <c r="CV53" s="63"/>
      <c r="CW53" s="63"/>
      <c r="CX53" s="63"/>
      <c r="CY53" s="63"/>
      <c r="CZ53" s="63"/>
      <c r="DA53" s="63"/>
      <c r="DB53" s="63"/>
      <c r="DC53" s="63"/>
      <c r="DD53" s="63"/>
      <c r="DE53" s="63"/>
      <c r="DF53" s="63"/>
      <c r="DG53" s="63"/>
      <c r="DH53" s="63"/>
      <c r="DI53" s="63"/>
      <c r="DJ53" s="63"/>
      <c r="DK53" s="63"/>
      <c r="DL53" s="63"/>
      <c r="DM53" s="63"/>
      <c r="DN53" s="63"/>
      <c r="DO53" s="63"/>
      <c r="DP53" s="63"/>
      <c r="DQ53" s="63"/>
      <c r="DR53" s="63"/>
      <c r="DS53" s="63"/>
      <c r="DT53" s="63"/>
      <c r="DU53" s="63"/>
      <c r="DV53" s="63"/>
      <c r="DW53" s="63"/>
      <c r="DX53" s="63"/>
      <c r="DY53" s="63"/>
      <c r="DZ53" s="63"/>
      <c r="EA53" s="63"/>
      <c r="EB53" s="63"/>
      <c r="EC53" s="63"/>
      <c r="ED53" s="63"/>
      <c r="EE53" s="63"/>
      <c r="EF53" s="63"/>
      <c r="EG53" s="63"/>
      <c r="EH53" s="63"/>
      <c r="EI53" s="63"/>
      <c r="EJ53" s="63"/>
      <c r="EK53" s="63"/>
      <c r="EL53" s="63"/>
      <c r="EM53" s="63"/>
      <c r="EN53" s="63"/>
      <c r="EO53" s="63"/>
      <c r="EP53" s="63"/>
      <c r="EQ53" s="63"/>
      <c r="ER53" s="63"/>
      <c r="ES53" s="63"/>
      <c r="ET53" s="63"/>
      <c r="EU53" s="63"/>
      <c r="EV53" s="63"/>
      <c r="EW53" s="63"/>
      <c r="EX53" s="63"/>
      <c r="EY53" s="63"/>
      <c r="EZ53" s="63"/>
      <c r="FA53" s="63"/>
      <c r="FB53" s="63"/>
    </row>
    <row r="54" spans="2:158" ht="29.25" customHeight="1" x14ac:dyDescent="0.2">
      <c r="B54" s="513" t="s">
        <v>1385</v>
      </c>
      <c r="C54" s="2293" t="str">
        <f>IF(AND(O45&lt;&gt;"",S44=1),"ERROR: Record strength for 'Overall' or specific muscles, not both.","")</f>
        <v/>
      </c>
      <c r="D54" s="2293"/>
      <c r="E54" s="2293"/>
      <c r="F54" s="2293"/>
      <c r="G54" s="2293"/>
      <c r="H54" s="2293"/>
      <c r="I54" s="2293"/>
      <c r="J54" s="2293"/>
      <c r="K54" s="2293"/>
      <c r="L54" s="2293"/>
      <c r="M54" s="2293"/>
      <c r="N54" s="201" t="s">
        <v>1793</v>
      </c>
      <c r="O54" s="296">
        <f>IF(C54&lt;&gt;"","ERROR",IF(AND(O45="",O47="",O49="",O51="",O53=""),0,AVERAGE(O45,O47,O49,O51,O53)))</f>
        <v>0</v>
      </c>
      <c r="P54" s="1451"/>
      <c r="Q54" s="63"/>
      <c r="R54" s="63"/>
      <c r="S54" s="61">
        <f>IF(AND(O83&gt;0,O83&lt;0.01),0.01,ROUND(O83,2))</f>
        <v>0</v>
      </c>
      <c r="T54" s="1181">
        <f>LARGE($S$47:$S$54,8)</f>
        <v>0</v>
      </c>
      <c r="U54" s="89"/>
      <c r="V54" s="148"/>
      <c r="W54" s="63"/>
      <c r="X54" s="63"/>
      <c r="Y54" s="63"/>
      <c r="Z54" s="63"/>
      <c r="AA54" s="63"/>
      <c r="AB54" s="63"/>
      <c r="AC54" s="63"/>
      <c r="AD54" s="63"/>
      <c r="AE54" s="63"/>
      <c r="AF54" s="63"/>
      <c r="AG54" s="63"/>
      <c r="AH54" s="63"/>
      <c r="AI54" s="63"/>
      <c r="AJ54" s="63"/>
      <c r="AK54" s="63"/>
      <c r="AL54" s="63"/>
      <c r="AM54" s="63"/>
      <c r="AN54" s="63"/>
      <c r="AO54" s="63"/>
      <c r="AP54" s="63"/>
      <c r="AQ54" s="63"/>
      <c r="AR54" s="63"/>
      <c r="AS54" s="63"/>
      <c r="AT54" s="63"/>
      <c r="AU54" s="63"/>
      <c r="AV54" s="63"/>
      <c r="AW54" s="63"/>
      <c r="AX54" s="63"/>
      <c r="AY54" s="63"/>
      <c r="AZ54" s="63"/>
      <c r="BA54" s="63"/>
      <c r="BB54" s="63"/>
      <c r="BC54" s="63"/>
      <c r="BD54" s="63"/>
      <c r="BE54" s="63"/>
      <c r="BF54" s="63"/>
      <c r="BG54" s="63"/>
      <c r="BH54" s="63"/>
      <c r="BI54" s="63"/>
      <c r="BJ54" s="63"/>
      <c r="BK54" s="63"/>
      <c r="BL54" s="63"/>
      <c r="BM54" s="63"/>
      <c r="BN54" s="63"/>
      <c r="BO54" s="63"/>
      <c r="BP54" s="63"/>
      <c r="BQ54" s="63"/>
      <c r="BR54" s="63"/>
      <c r="BS54" s="63"/>
      <c r="BT54" s="63"/>
      <c r="BU54" s="63"/>
      <c r="BV54" s="63"/>
      <c r="BW54" s="63"/>
      <c r="BX54" s="63"/>
      <c r="BY54" s="63"/>
      <c r="BZ54" s="63"/>
      <c r="CA54" s="63"/>
      <c r="CB54" s="63"/>
      <c r="CC54" s="63"/>
      <c r="CD54" s="63"/>
      <c r="CE54" s="63"/>
      <c r="CF54" s="63"/>
      <c r="CG54" s="63"/>
      <c r="CH54" s="63"/>
      <c r="CI54" s="63"/>
      <c r="CJ54" s="63"/>
      <c r="CK54" s="63"/>
      <c r="CL54" s="63"/>
      <c r="CM54" s="63"/>
      <c r="CN54" s="63"/>
      <c r="CO54" s="63"/>
      <c r="CP54" s="63"/>
      <c r="CQ54" s="63"/>
      <c r="CR54" s="63"/>
      <c r="CS54" s="63"/>
      <c r="CT54" s="63"/>
      <c r="CU54" s="63"/>
      <c r="CV54" s="63"/>
      <c r="CW54" s="63"/>
      <c r="CX54" s="63"/>
      <c r="CY54" s="63"/>
      <c r="CZ54" s="63"/>
      <c r="DA54" s="63"/>
      <c r="DB54" s="63"/>
      <c r="DC54" s="63"/>
      <c r="DD54" s="63"/>
      <c r="DE54" s="63"/>
      <c r="DF54" s="63"/>
      <c r="DG54" s="63"/>
      <c r="DH54" s="63"/>
      <c r="DI54" s="63"/>
      <c r="DJ54" s="63"/>
      <c r="DK54" s="63"/>
      <c r="DL54" s="63"/>
      <c r="DM54" s="63"/>
      <c r="DN54" s="63"/>
      <c r="DO54" s="63"/>
      <c r="DP54" s="63"/>
      <c r="DQ54" s="63"/>
      <c r="DR54" s="63"/>
      <c r="DS54" s="63"/>
      <c r="DT54" s="63"/>
      <c r="DU54" s="63"/>
      <c r="DV54" s="63"/>
      <c r="DW54" s="63"/>
      <c r="DX54" s="63"/>
      <c r="DY54" s="63"/>
      <c r="DZ54" s="63"/>
      <c r="EA54" s="63"/>
      <c r="EB54" s="63"/>
      <c r="EC54" s="63"/>
      <c r="ED54" s="63"/>
      <c r="EE54" s="63"/>
      <c r="EF54" s="63"/>
      <c r="EG54" s="63"/>
      <c r="EH54" s="63"/>
      <c r="EI54" s="63"/>
      <c r="EJ54" s="63"/>
      <c r="EK54" s="63"/>
      <c r="EL54" s="63"/>
      <c r="EM54" s="63"/>
      <c r="EN54" s="63"/>
      <c r="EO54" s="63"/>
      <c r="EP54" s="63"/>
      <c r="EQ54" s="63"/>
      <c r="ER54" s="63"/>
      <c r="ES54" s="63"/>
      <c r="ET54" s="63"/>
      <c r="EU54" s="63"/>
      <c r="EV54" s="63"/>
      <c r="EW54" s="63"/>
      <c r="EX54" s="63"/>
      <c r="EY54" s="63"/>
      <c r="EZ54" s="63"/>
      <c r="FA54" s="63"/>
      <c r="FB54" s="63"/>
    </row>
    <row r="55" spans="2:158" ht="15" customHeight="1" x14ac:dyDescent="0.2">
      <c r="B55" s="512" t="s">
        <v>1381</v>
      </c>
      <c r="C55" s="1452"/>
      <c r="D55" s="1452"/>
      <c r="E55" s="286"/>
      <c r="F55" s="2277"/>
      <c r="G55" s="2277"/>
      <c r="H55" s="510"/>
      <c r="I55" s="1452"/>
      <c r="J55" s="1452"/>
      <c r="K55" s="286"/>
      <c r="L55" s="2277"/>
      <c r="M55" s="2277"/>
      <c r="N55" s="510"/>
      <c r="O55" s="286"/>
      <c r="P55" s="1451"/>
      <c r="Q55" s="63"/>
      <c r="R55" s="63"/>
      <c r="S55" s="148"/>
      <c r="T55" s="40"/>
      <c r="U55" s="89"/>
      <c r="V55" s="148"/>
      <c r="W55" s="63"/>
      <c r="X55" s="63"/>
      <c r="Y55" s="63"/>
      <c r="Z55" s="63"/>
      <c r="AA55" s="63"/>
      <c r="AB55" s="63"/>
      <c r="AC55" s="63"/>
      <c r="AD55" s="63"/>
      <c r="AE55" s="63"/>
      <c r="AF55" s="63"/>
      <c r="AG55" s="63"/>
      <c r="AH55" s="63"/>
      <c r="AI55" s="63"/>
      <c r="AJ55" s="63"/>
      <c r="AK55" s="63"/>
      <c r="AL55" s="63"/>
      <c r="AM55" s="63"/>
      <c r="AN55" s="63"/>
      <c r="AO55" s="63"/>
      <c r="AP55" s="63"/>
      <c r="AQ55" s="63"/>
      <c r="AR55" s="63"/>
      <c r="AS55" s="63"/>
      <c r="AT55" s="63"/>
      <c r="AU55" s="63"/>
      <c r="AV55" s="63"/>
      <c r="AW55" s="63"/>
      <c r="AX55" s="63"/>
      <c r="AY55" s="63"/>
      <c r="AZ55" s="63"/>
      <c r="BA55" s="63"/>
      <c r="BB55" s="63"/>
      <c r="BC55" s="63"/>
      <c r="BD55" s="63"/>
      <c r="BE55" s="63"/>
      <c r="BF55" s="63"/>
      <c r="BG55" s="63"/>
      <c r="BH55" s="63"/>
      <c r="BI55" s="63"/>
      <c r="BJ55" s="63"/>
      <c r="BK55" s="63"/>
      <c r="BL55" s="63"/>
      <c r="BM55" s="63"/>
      <c r="BN55" s="63"/>
      <c r="BO55" s="63"/>
      <c r="BP55" s="63"/>
      <c r="BQ55" s="63"/>
      <c r="BR55" s="63"/>
      <c r="BS55" s="63"/>
      <c r="BT55" s="63"/>
      <c r="BU55" s="63"/>
      <c r="BV55" s="63"/>
      <c r="BW55" s="63"/>
      <c r="BX55" s="63"/>
      <c r="BY55" s="63"/>
      <c r="BZ55" s="63"/>
      <c r="CA55" s="63"/>
      <c r="CB55" s="63"/>
      <c r="CC55" s="63"/>
      <c r="CD55" s="63"/>
      <c r="CE55" s="63"/>
      <c r="CF55" s="63"/>
      <c r="CG55" s="63"/>
      <c r="CH55" s="63"/>
      <c r="CI55" s="63"/>
      <c r="CJ55" s="63"/>
      <c r="CK55" s="63"/>
      <c r="CL55" s="63"/>
      <c r="CM55" s="63"/>
      <c r="CN55" s="63"/>
      <c r="CO55" s="63"/>
      <c r="CP55" s="63"/>
      <c r="CQ55" s="63"/>
      <c r="CR55" s="63"/>
      <c r="CS55" s="63"/>
      <c r="CT55" s="63"/>
      <c r="CU55" s="63"/>
      <c r="CV55" s="63"/>
      <c r="CW55" s="63"/>
      <c r="CX55" s="63"/>
      <c r="CY55" s="63"/>
      <c r="CZ55" s="63"/>
      <c r="DA55" s="63"/>
      <c r="DB55" s="63"/>
      <c r="DC55" s="63"/>
      <c r="DD55" s="63"/>
      <c r="DE55" s="63"/>
      <c r="DF55" s="63"/>
      <c r="DG55" s="63"/>
      <c r="DH55" s="63"/>
      <c r="DI55" s="63"/>
      <c r="DJ55" s="63"/>
      <c r="DK55" s="63"/>
      <c r="DL55" s="63"/>
      <c r="DM55" s="63"/>
      <c r="DN55" s="63"/>
      <c r="DO55" s="63"/>
      <c r="DP55" s="63"/>
      <c r="DQ55" s="63"/>
      <c r="DR55" s="63"/>
      <c r="DS55" s="63"/>
      <c r="DT55" s="63"/>
      <c r="DU55" s="63"/>
      <c r="DV55" s="63"/>
      <c r="DW55" s="63"/>
      <c r="DX55" s="63"/>
      <c r="DY55" s="63"/>
      <c r="DZ55" s="63"/>
      <c r="EA55" s="63"/>
      <c r="EB55" s="63"/>
      <c r="EC55" s="63"/>
      <c r="ED55" s="63"/>
      <c r="EE55" s="63"/>
      <c r="EF55" s="63"/>
      <c r="EG55" s="63"/>
      <c r="EH55" s="63"/>
      <c r="EI55" s="63"/>
      <c r="EJ55" s="63"/>
      <c r="EK55" s="63"/>
      <c r="EL55" s="63"/>
      <c r="EM55" s="63"/>
      <c r="EN55" s="63"/>
      <c r="EO55" s="63"/>
      <c r="EP55" s="63"/>
      <c r="EQ55" s="63"/>
      <c r="ER55" s="63"/>
      <c r="ES55" s="63"/>
      <c r="ET55" s="63"/>
      <c r="EU55" s="63"/>
      <c r="EV55" s="63"/>
      <c r="EW55" s="63"/>
      <c r="EX55" s="63"/>
      <c r="EY55" s="63"/>
      <c r="EZ55" s="63"/>
      <c r="FA55" s="63"/>
      <c r="FB55" s="63"/>
    </row>
    <row r="56" spans="2:158" ht="15" customHeight="1" x14ac:dyDescent="0.2">
      <c r="B56" s="511" t="s">
        <v>1001</v>
      </c>
      <c r="C56" s="1545">
        <v>0.03</v>
      </c>
      <c r="D56" s="1545"/>
      <c r="E56" s="23" t="s">
        <v>1791</v>
      </c>
      <c r="F56" s="1545">
        <f>SUMIF($T$39:$AH$39,F55,$T$40:$AH$40)</f>
        <v>0</v>
      </c>
      <c r="G56" s="1545"/>
      <c r="H56" s="201" t="s">
        <v>1792</v>
      </c>
      <c r="I56" s="1545">
        <v>0.03</v>
      </c>
      <c r="J56" s="1545"/>
      <c r="K56" s="23" t="s">
        <v>1791</v>
      </c>
      <c r="L56" s="1545">
        <f>SUMIF($T$39:$AH$39,L55,$T$40:$AH$40)</f>
        <v>0</v>
      </c>
      <c r="M56" s="1545"/>
      <c r="N56" s="201" t="s">
        <v>1793</v>
      </c>
      <c r="O56" s="296" t="str">
        <f>IF(F55="","",IF(C56*F56-I56*L56&lt;=0,"",C56*F56-I56*L56))</f>
        <v/>
      </c>
      <c r="P56" s="1451"/>
      <c r="Q56" s="63"/>
      <c r="R56" s="63"/>
      <c r="S56" s="148"/>
      <c r="T56" s="40"/>
      <c r="U56" s="89"/>
      <c r="V56" s="148"/>
      <c r="W56" s="63"/>
      <c r="X56" s="63"/>
      <c r="Y56" s="63"/>
      <c r="Z56" s="63"/>
      <c r="AA56" s="63"/>
      <c r="AB56" s="63"/>
      <c r="AC56" s="63"/>
      <c r="AD56" s="63"/>
      <c r="AE56" s="63"/>
      <c r="AF56" s="63"/>
      <c r="AG56" s="63"/>
      <c r="AH56" s="63"/>
      <c r="AI56" s="63"/>
      <c r="AJ56" s="63"/>
      <c r="AK56" s="63"/>
      <c r="AL56" s="63"/>
      <c r="AM56" s="63"/>
      <c r="AN56" s="63"/>
      <c r="AO56" s="63"/>
      <c r="AP56" s="63"/>
      <c r="AQ56" s="63"/>
      <c r="AR56" s="63"/>
      <c r="AS56" s="63"/>
      <c r="AT56" s="63"/>
      <c r="AU56" s="63"/>
      <c r="AV56" s="63"/>
      <c r="AW56" s="63"/>
      <c r="AX56" s="63"/>
      <c r="AY56" s="63"/>
      <c r="AZ56" s="63"/>
      <c r="BA56" s="63"/>
      <c r="BB56" s="63"/>
      <c r="BC56" s="63"/>
      <c r="BD56" s="63"/>
      <c r="BE56" s="63"/>
      <c r="BF56" s="63"/>
      <c r="BG56" s="63"/>
      <c r="BH56" s="63"/>
      <c r="BI56" s="63"/>
      <c r="BJ56" s="63"/>
      <c r="BK56" s="63"/>
      <c r="BL56" s="63"/>
      <c r="BM56" s="63"/>
      <c r="BN56" s="63"/>
      <c r="BO56" s="63"/>
      <c r="BP56" s="63"/>
      <c r="BQ56" s="63"/>
      <c r="BR56" s="63"/>
      <c r="BS56" s="63"/>
      <c r="BT56" s="63"/>
      <c r="BU56" s="63"/>
      <c r="BV56" s="63"/>
      <c r="BW56" s="63"/>
      <c r="BX56" s="63"/>
      <c r="BY56" s="63"/>
      <c r="BZ56" s="63"/>
      <c r="CA56" s="63"/>
      <c r="CB56" s="63"/>
      <c r="CC56" s="63"/>
      <c r="CD56" s="63"/>
      <c r="CE56" s="63"/>
      <c r="CF56" s="63"/>
      <c r="CG56" s="63"/>
      <c r="CH56" s="63"/>
      <c r="CI56" s="63"/>
      <c r="CJ56" s="63"/>
      <c r="CK56" s="63"/>
      <c r="CL56" s="63"/>
      <c r="CM56" s="63"/>
      <c r="CN56" s="63"/>
      <c r="CO56" s="63"/>
      <c r="CP56" s="63"/>
      <c r="CQ56" s="63"/>
      <c r="CR56" s="63"/>
      <c r="CS56" s="63"/>
      <c r="CT56" s="63"/>
      <c r="CU56" s="63"/>
      <c r="CV56" s="63"/>
      <c r="CW56" s="63"/>
      <c r="CX56" s="63"/>
      <c r="CY56" s="63"/>
      <c r="CZ56" s="63"/>
      <c r="DA56" s="63"/>
      <c r="DB56" s="63"/>
      <c r="DC56" s="63"/>
      <c r="DD56" s="63"/>
      <c r="DE56" s="63"/>
      <c r="DF56" s="63"/>
      <c r="DG56" s="63"/>
      <c r="DH56" s="63"/>
      <c r="DI56" s="63"/>
      <c r="DJ56" s="63"/>
      <c r="DK56" s="63"/>
      <c r="DL56" s="63"/>
      <c r="DM56" s="63"/>
      <c r="DN56" s="63"/>
      <c r="DO56" s="63"/>
      <c r="DP56" s="63"/>
      <c r="DQ56" s="63"/>
      <c r="DR56" s="63"/>
      <c r="DS56" s="63"/>
      <c r="DT56" s="63"/>
      <c r="DU56" s="63"/>
      <c r="DV56" s="63"/>
      <c r="DW56" s="63"/>
      <c r="DX56" s="63"/>
      <c r="DY56" s="63"/>
      <c r="DZ56" s="63"/>
      <c r="EA56" s="63"/>
      <c r="EB56" s="63"/>
      <c r="EC56" s="63"/>
      <c r="ED56" s="63"/>
      <c r="EE56" s="63"/>
      <c r="EF56" s="63"/>
      <c r="EG56" s="63"/>
      <c r="EH56" s="63"/>
      <c r="EI56" s="63"/>
      <c r="EJ56" s="63"/>
      <c r="EK56" s="63"/>
      <c r="EL56" s="63"/>
      <c r="EM56" s="63"/>
      <c r="EN56" s="63"/>
      <c r="EO56" s="63"/>
      <c r="EP56" s="63"/>
      <c r="EQ56" s="63"/>
      <c r="ER56" s="63"/>
      <c r="ES56" s="63"/>
      <c r="ET56" s="63"/>
      <c r="EU56" s="63"/>
      <c r="EV56" s="63"/>
      <c r="EW56" s="63"/>
      <c r="EX56" s="63"/>
      <c r="EY56" s="63"/>
      <c r="EZ56" s="63"/>
      <c r="FA56" s="63"/>
      <c r="FB56" s="63"/>
    </row>
    <row r="57" spans="2:158" ht="15" customHeight="1" x14ac:dyDescent="0.2">
      <c r="B57" s="2268" t="s">
        <v>634</v>
      </c>
      <c r="C57" s="1452"/>
      <c r="D57" s="1452"/>
      <c r="E57" s="286"/>
      <c r="F57" s="2277"/>
      <c r="G57" s="2277"/>
      <c r="H57" s="510"/>
      <c r="I57" s="1452"/>
      <c r="J57" s="1452"/>
      <c r="K57" s="286"/>
      <c r="L57" s="2277"/>
      <c r="M57" s="2277"/>
      <c r="N57" s="452"/>
      <c r="O57" s="17"/>
      <c r="P57" s="1451"/>
      <c r="Q57" s="63"/>
      <c r="R57" s="148"/>
      <c r="S57" s="40"/>
      <c r="T57" s="89"/>
      <c r="U57" s="148"/>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c r="CA57" s="63"/>
      <c r="CB57" s="63"/>
      <c r="CC57" s="63"/>
      <c r="CD57" s="63"/>
      <c r="CE57" s="63"/>
      <c r="CF57" s="63"/>
      <c r="CG57" s="63"/>
      <c r="CH57" s="63"/>
      <c r="CI57" s="63"/>
      <c r="CJ57" s="63"/>
      <c r="CK57" s="63"/>
      <c r="CL57" s="63"/>
      <c r="CM57" s="63"/>
      <c r="CN57" s="63"/>
      <c r="CO57" s="63"/>
      <c r="CP57" s="63"/>
      <c r="CQ57" s="63"/>
      <c r="CR57" s="63"/>
      <c r="CS57" s="63"/>
      <c r="CT57" s="63"/>
      <c r="CU57" s="63"/>
      <c r="CV57" s="63"/>
      <c r="CW57" s="63"/>
      <c r="CX57" s="63"/>
      <c r="CY57" s="63"/>
      <c r="CZ57" s="63"/>
      <c r="DA57" s="63"/>
      <c r="DB57" s="63"/>
      <c r="DC57" s="63"/>
      <c r="DD57" s="63"/>
      <c r="DE57" s="63"/>
      <c r="DF57" s="63"/>
      <c r="DG57" s="63"/>
      <c r="DH57" s="63"/>
      <c r="DI57" s="63"/>
      <c r="DJ57" s="63"/>
      <c r="DK57" s="63"/>
      <c r="DL57" s="63"/>
      <c r="DM57" s="63"/>
      <c r="DN57" s="63"/>
      <c r="DO57" s="63"/>
      <c r="DP57" s="63"/>
      <c r="DQ57" s="63"/>
      <c r="DR57" s="63"/>
      <c r="DS57" s="63"/>
      <c r="DT57" s="63"/>
      <c r="DU57" s="63"/>
      <c r="DV57" s="63"/>
      <c r="DW57" s="63"/>
      <c r="DX57" s="63"/>
      <c r="DY57" s="63"/>
      <c r="DZ57" s="63"/>
      <c r="EA57" s="63"/>
      <c r="EB57" s="63"/>
      <c r="EC57" s="63"/>
      <c r="ED57" s="63"/>
      <c r="EE57" s="63"/>
      <c r="EF57" s="63"/>
      <c r="EG57" s="63"/>
      <c r="EH57" s="63"/>
      <c r="EI57" s="63"/>
      <c r="EJ57" s="63"/>
      <c r="EK57" s="63"/>
      <c r="EL57" s="63"/>
      <c r="EM57" s="63"/>
      <c r="EN57" s="63"/>
      <c r="EO57" s="63"/>
      <c r="EP57" s="63"/>
      <c r="EQ57" s="63"/>
      <c r="ER57" s="63"/>
      <c r="ES57" s="63"/>
      <c r="ET57" s="63"/>
      <c r="EU57" s="63"/>
      <c r="EV57" s="63"/>
      <c r="EW57" s="63"/>
      <c r="EX57" s="63"/>
      <c r="EY57" s="63"/>
      <c r="EZ57" s="63"/>
      <c r="FA57" s="63"/>
      <c r="FB57" s="63"/>
    </row>
    <row r="58" spans="2:158" ht="15" customHeight="1" x14ac:dyDescent="0.2">
      <c r="B58" s="2269"/>
      <c r="C58" s="1545">
        <v>0.03</v>
      </c>
      <c r="D58" s="1545"/>
      <c r="E58" s="23" t="s">
        <v>1791</v>
      </c>
      <c r="F58" s="1545">
        <f>SUMIF($T$39:$AH$39,F57,$T$40:$AH$40)</f>
        <v>0</v>
      </c>
      <c r="G58" s="1545"/>
      <c r="H58" s="201" t="s">
        <v>1792</v>
      </c>
      <c r="I58" s="1545">
        <v>0.03</v>
      </c>
      <c r="J58" s="1545"/>
      <c r="K58" s="23" t="s">
        <v>1791</v>
      </c>
      <c r="L58" s="1545">
        <f>SUMIF($T$39:$AH$39,L57,$T$40:$AH$40)</f>
        <v>0</v>
      </c>
      <c r="M58" s="1545"/>
      <c r="N58" s="201" t="s">
        <v>1793</v>
      </c>
      <c r="O58" s="296" t="str">
        <f>IF(F57="","",IF(C58*F58-I58*L58&lt;=0,"",C58*F58-I58*L58))</f>
        <v/>
      </c>
      <c r="P58" s="1451"/>
      <c r="Q58" s="63"/>
      <c r="R58" s="148"/>
      <c r="S58" s="40"/>
      <c r="T58" s="89"/>
      <c r="U58" s="148"/>
      <c r="V58" s="63"/>
      <c r="W58" s="63"/>
      <c r="X58" s="63"/>
      <c r="Y58" s="63"/>
      <c r="Z58" s="63"/>
      <c r="AA58" s="63"/>
      <c r="AB58" s="63"/>
      <c r="AC58" s="63"/>
      <c r="AD58" s="63"/>
      <c r="AE58" s="63"/>
      <c r="AF58" s="63"/>
      <c r="AG58" s="63"/>
      <c r="AH58" s="63"/>
      <c r="AI58" s="63"/>
      <c r="AJ58" s="63"/>
      <c r="AK58" s="63"/>
      <c r="AL58" s="63"/>
      <c r="AM58" s="63"/>
      <c r="AN58" s="63"/>
      <c r="AO58" s="63"/>
      <c r="AP58" s="63"/>
      <c r="AQ58" s="63"/>
      <c r="AR58" s="63"/>
      <c r="AS58" s="63"/>
      <c r="AT58" s="63"/>
      <c r="AU58" s="63"/>
      <c r="AV58" s="63"/>
      <c r="AW58" s="63"/>
      <c r="AX58" s="63"/>
      <c r="AY58" s="63"/>
      <c r="AZ58" s="63"/>
      <c r="BA58" s="63"/>
      <c r="BB58" s="63"/>
      <c r="BC58" s="63"/>
      <c r="BD58" s="63"/>
      <c r="BE58" s="63"/>
      <c r="BF58" s="63"/>
      <c r="BG58" s="63"/>
      <c r="BH58" s="63"/>
      <c r="BI58" s="63"/>
      <c r="BJ58" s="63"/>
      <c r="BK58" s="63"/>
      <c r="BL58" s="63"/>
      <c r="BM58" s="63"/>
      <c r="BN58" s="63"/>
      <c r="BO58" s="63"/>
      <c r="BP58" s="63"/>
      <c r="BQ58" s="63"/>
      <c r="BR58" s="63"/>
      <c r="BS58" s="63"/>
      <c r="BT58" s="63"/>
      <c r="BU58" s="63"/>
      <c r="BV58" s="63"/>
      <c r="BW58" s="63"/>
      <c r="BX58" s="63"/>
      <c r="BY58" s="63"/>
      <c r="BZ58" s="63"/>
      <c r="CA58" s="63"/>
      <c r="CB58" s="63"/>
      <c r="CC58" s="63"/>
      <c r="CD58" s="63"/>
      <c r="CE58" s="63"/>
      <c r="CF58" s="63"/>
      <c r="CG58" s="63"/>
      <c r="CH58" s="63"/>
      <c r="CI58" s="63"/>
      <c r="CJ58" s="63"/>
      <c r="CK58" s="63"/>
      <c r="CL58" s="63"/>
      <c r="CM58" s="63"/>
      <c r="CN58" s="63"/>
      <c r="CO58" s="63"/>
      <c r="CP58" s="63"/>
      <c r="CQ58" s="63"/>
      <c r="CR58" s="63"/>
      <c r="CS58" s="63"/>
      <c r="CT58" s="63"/>
      <c r="CU58" s="63"/>
      <c r="CV58" s="63"/>
      <c r="CW58" s="63"/>
      <c r="CX58" s="63"/>
      <c r="CY58" s="63"/>
      <c r="CZ58" s="63"/>
      <c r="DA58" s="63"/>
      <c r="DB58" s="63"/>
      <c r="DC58" s="63"/>
      <c r="DD58" s="63"/>
      <c r="DE58" s="63"/>
      <c r="DF58" s="63"/>
      <c r="DG58" s="63"/>
      <c r="DH58" s="63"/>
      <c r="DI58" s="63"/>
      <c r="DJ58" s="63"/>
      <c r="DK58" s="63"/>
      <c r="DL58" s="63"/>
      <c r="DM58" s="63"/>
      <c r="DN58" s="63"/>
      <c r="DO58" s="63"/>
      <c r="DP58" s="63"/>
      <c r="DQ58" s="63"/>
      <c r="DR58" s="63"/>
      <c r="DS58" s="63"/>
      <c r="DT58" s="63"/>
      <c r="DU58" s="63"/>
      <c r="DV58" s="63"/>
      <c r="DW58" s="63"/>
      <c r="DX58" s="63"/>
      <c r="DY58" s="63"/>
      <c r="DZ58" s="63"/>
      <c r="EA58" s="63"/>
      <c r="EB58" s="63"/>
      <c r="EC58" s="63"/>
      <c r="ED58" s="63"/>
      <c r="EE58" s="63"/>
      <c r="EF58" s="63"/>
      <c r="EG58" s="63"/>
      <c r="EH58" s="63"/>
      <c r="EI58" s="63"/>
      <c r="EJ58" s="63"/>
      <c r="EK58" s="63"/>
      <c r="EL58" s="63"/>
      <c r="EM58" s="63"/>
      <c r="EN58" s="63"/>
      <c r="EO58" s="63"/>
      <c r="EP58" s="63"/>
      <c r="EQ58" s="63"/>
      <c r="ER58" s="63"/>
      <c r="ES58" s="63"/>
      <c r="ET58" s="63"/>
      <c r="EU58" s="63"/>
      <c r="EV58" s="63"/>
      <c r="EW58" s="63"/>
      <c r="EX58" s="63"/>
      <c r="EY58" s="63"/>
      <c r="EZ58" s="63"/>
      <c r="FA58" s="63"/>
      <c r="FB58" s="63"/>
    </row>
    <row r="59" spans="2:158" ht="15" customHeight="1" x14ac:dyDescent="0.2">
      <c r="B59" s="2268" t="s">
        <v>635</v>
      </c>
      <c r="C59" s="1452"/>
      <c r="D59" s="1452"/>
      <c r="E59" s="286"/>
      <c r="F59" s="2277"/>
      <c r="G59" s="2277"/>
      <c r="H59" s="510"/>
      <c r="I59" s="1452"/>
      <c r="J59" s="1452"/>
      <c r="K59" s="286"/>
      <c r="L59" s="2277"/>
      <c r="M59" s="2277"/>
      <c r="N59" s="452"/>
      <c r="O59" s="17"/>
      <c r="P59" s="1451"/>
      <c r="Q59" s="63"/>
      <c r="R59" s="148"/>
      <c r="S59" s="40"/>
      <c r="T59" s="89"/>
      <c r="U59" s="148"/>
      <c r="V59" s="63"/>
      <c r="W59" s="63"/>
      <c r="X59" s="63"/>
      <c r="Y59" s="63"/>
      <c r="Z59" s="63"/>
      <c r="AA59" s="63"/>
      <c r="AB59" s="63"/>
      <c r="AC59" s="63"/>
      <c r="AD59" s="63"/>
      <c r="AE59" s="63"/>
      <c r="AF59" s="63"/>
      <c r="AG59" s="63"/>
      <c r="AH59" s="63"/>
      <c r="AI59" s="63"/>
      <c r="AJ59" s="63"/>
      <c r="AK59" s="63"/>
      <c r="AL59" s="63"/>
      <c r="AM59" s="63"/>
      <c r="AN59" s="63"/>
      <c r="AO59" s="63"/>
      <c r="AP59" s="63"/>
      <c r="AQ59" s="63"/>
      <c r="AR59" s="63"/>
      <c r="AS59" s="63"/>
      <c r="AT59" s="63"/>
      <c r="AU59" s="63"/>
      <c r="AV59" s="63"/>
      <c r="AW59" s="63"/>
      <c r="AX59" s="63"/>
      <c r="AY59" s="63"/>
      <c r="AZ59" s="63"/>
      <c r="BA59" s="63"/>
      <c r="BB59" s="63"/>
      <c r="BC59" s="63"/>
      <c r="BD59" s="63"/>
      <c r="BE59" s="63"/>
      <c r="BF59" s="63"/>
      <c r="BG59" s="63"/>
      <c r="BH59" s="63"/>
      <c r="BI59" s="63"/>
      <c r="BJ59" s="63"/>
      <c r="BK59" s="63"/>
      <c r="BL59" s="63"/>
      <c r="BM59" s="63"/>
      <c r="BN59" s="63"/>
      <c r="BO59" s="63"/>
      <c r="BP59" s="63"/>
      <c r="BQ59" s="63"/>
      <c r="BR59" s="63"/>
      <c r="BS59" s="63"/>
      <c r="BT59" s="63"/>
      <c r="BU59" s="63"/>
      <c r="BV59" s="63"/>
      <c r="BW59" s="63"/>
      <c r="BX59" s="63"/>
      <c r="BY59" s="63"/>
      <c r="BZ59" s="63"/>
      <c r="CA59" s="63"/>
      <c r="CB59" s="63"/>
      <c r="CC59" s="63"/>
      <c r="CD59" s="63"/>
      <c r="CE59" s="63"/>
      <c r="CF59" s="63"/>
      <c r="CG59" s="63"/>
      <c r="CH59" s="63"/>
      <c r="CI59" s="63"/>
      <c r="CJ59" s="63"/>
      <c r="CK59" s="63"/>
      <c r="CL59" s="63"/>
      <c r="CM59" s="63"/>
      <c r="CN59" s="63"/>
      <c r="CO59" s="63"/>
      <c r="CP59" s="63"/>
      <c r="CQ59" s="63"/>
      <c r="CR59" s="63"/>
      <c r="CS59" s="63"/>
      <c r="CT59" s="63"/>
      <c r="CU59" s="63"/>
      <c r="CV59" s="63"/>
      <c r="CW59" s="63"/>
      <c r="CX59" s="63"/>
      <c r="CY59" s="63"/>
      <c r="CZ59" s="63"/>
      <c r="DA59" s="63"/>
      <c r="DB59" s="63"/>
      <c r="DC59" s="63"/>
      <c r="DD59" s="63"/>
      <c r="DE59" s="63"/>
      <c r="DF59" s="63"/>
      <c r="DG59" s="63"/>
      <c r="DH59" s="63"/>
      <c r="DI59" s="63"/>
      <c r="DJ59" s="63"/>
      <c r="DK59" s="63"/>
      <c r="DL59" s="63"/>
      <c r="DM59" s="63"/>
      <c r="DN59" s="63"/>
      <c r="DO59" s="63"/>
      <c r="DP59" s="63"/>
      <c r="DQ59" s="63"/>
      <c r="DR59" s="63"/>
      <c r="DS59" s="63"/>
      <c r="DT59" s="63"/>
      <c r="DU59" s="63"/>
      <c r="DV59" s="63"/>
      <c r="DW59" s="63"/>
      <c r="DX59" s="63"/>
      <c r="DY59" s="63"/>
      <c r="DZ59" s="63"/>
      <c r="EA59" s="63"/>
      <c r="EB59" s="63"/>
      <c r="EC59" s="63"/>
      <c r="ED59" s="63"/>
      <c r="EE59" s="63"/>
      <c r="EF59" s="63"/>
      <c r="EG59" s="63"/>
      <c r="EH59" s="63"/>
      <c r="EI59" s="63"/>
      <c r="EJ59" s="63"/>
      <c r="EK59" s="63"/>
      <c r="EL59" s="63"/>
      <c r="EM59" s="63"/>
      <c r="EN59" s="63"/>
      <c r="EO59" s="63"/>
      <c r="EP59" s="63"/>
      <c r="EQ59" s="63"/>
      <c r="ER59" s="63"/>
      <c r="ES59" s="63"/>
      <c r="ET59" s="63"/>
      <c r="EU59" s="63"/>
      <c r="EV59" s="63"/>
      <c r="EW59" s="63"/>
      <c r="EX59" s="63"/>
      <c r="EY59" s="63"/>
      <c r="EZ59" s="63"/>
      <c r="FA59" s="63"/>
      <c r="FB59" s="63"/>
    </row>
    <row r="60" spans="2:158" ht="15" customHeight="1" x14ac:dyDescent="0.2">
      <c r="B60" s="2269"/>
      <c r="C60" s="1545">
        <v>0.03</v>
      </c>
      <c r="D60" s="1545"/>
      <c r="E60" s="23" t="s">
        <v>1791</v>
      </c>
      <c r="F60" s="1545">
        <f>SUMIF($T$39:$AH$39,F57,$T$40:$AH$40)</f>
        <v>0</v>
      </c>
      <c r="G60" s="1545"/>
      <c r="H60" s="201" t="s">
        <v>1792</v>
      </c>
      <c r="I60" s="1545">
        <v>0.03</v>
      </c>
      <c r="J60" s="1545"/>
      <c r="K60" s="23" t="s">
        <v>1791</v>
      </c>
      <c r="L60" s="1545">
        <f>SUMIF($T$39:$AH$39,L59,$T$40:$AH$40)</f>
        <v>0</v>
      </c>
      <c r="M60" s="1545"/>
      <c r="N60" s="201" t="s">
        <v>1793</v>
      </c>
      <c r="O60" s="296" t="str">
        <f>IF(F59="","",IF(C60*F60-I60*L60&lt;=0,"",C60*F60-I60*L60))</f>
        <v/>
      </c>
      <c r="P60" s="1451"/>
      <c r="Q60" s="63"/>
      <c r="R60" s="148"/>
      <c r="S60" s="40"/>
      <c r="T60" s="89"/>
      <c r="U60" s="148"/>
      <c r="V60" s="63"/>
      <c r="W60" s="63"/>
      <c r="X60" s="63"/>
      <c r="Y60" s="63"/>
      <c r="Z60" s="63"/>
      <c r="AA60" s="63"/>
      <c r="AB60" s="63"/>
      <c r="AC60" s="63"/>
      <c r="AD60" s="63"/>
      <c r="AE60" s="63"/>
      <c r="AF60" s="63"/>
      <c r="AG60" s="63"/>
      <c r="AH60" s="63"/>
      <c r="AI60" s="63"/>
      <c r="AJ60" s="63"/>
      <c r="AK60" s="63"/>
      <c r="AL60" s="63"/>
      <c r="AM60" s="63"/>
      <c r="AN60" s="63"/>
      <c r="AO60" s="63"/>
      <c r="AP60" s="63"/>
      <c r="AQ60" s="63"/>
      <c r="AR60" s="63"/>
      <c r="AS60" s="63"/>
      <c r="AT60" s="63"/>
      <c r="AU60" s="63"/>
      <c r="AV60" s="63"/>
      <c r="AW60" s="63"/>
      <c r="AX60" s="63"/>
      <c r="AY60" s="63"/>
      <c r="AZ60" s="63"/>
      <c r="BA60" s="63"/>
      <c r="BB60" s="63"/>
      <c r="BC60" s="63"/>
      <c r="BD60" s="63"/>
      <c r="BE60" s="63"/>
      <c r="BF60" s="63"/>
      <c r="BG60" s="63"/>
      <c r="BH60" s="63"/>
      <c r="BI60" s="63"/>
      <c r="BJ60" s="63"/>
      <c r="BK60" s="63"/>
      <c r="BL60" s="63"/>
      <c r="BM60" s="63"/>
      <c r="BN60" s="63"/>
      <c r="BO60" s="63"/>
      <c r="BP60" s="63"/>
      <c r="BQ60" s="63"/>
      <c r="BR60" s="63"/>
      <c r="BS60" s="63"/>
      <c r="BT60" s="63"/>
      <c r="BU60" s="63"/>
      <c r="BV60" s="63"/>
      <c r="BW60" s="63"/>
      <c r="BX60" s="63"/>
      <c r="BY60" s="63"/>
      <c r="BZ60" s="63"/>
      <c r="CA60" s="63"/>
      <c r="CB60" s="63"/>
      <c r="CC60" s="63"/>
      <c r="CD60" s="63"/>
      <c r="CE60" s="63"/>
      <c r="CF60" s="63"/>
      <c r="CG60" s="63"/>
      <c r="CH60" s="63"/>
      <c r="CI60" s="63"/>
      <c r="CJ60" s="63"/>
      <c r="CK60" s="63"/>
      <c r="CL60" s="63"/>
      <c r="CM60" s="63"/>
      <c r="CN60" s="63"/>
      <c r="CO60" s="63"/>
      <c r="CP60" s="63"/>
      <c r="CQ60" s="63"/>
      <c r="CR60" s="63"/>
      <c r="CS60" s="63"/>
      <c r="CT60" s="63"/>
      <c r="CU60" s="63"/>
      <c r="CV60" s="63"/>
      <c r="CW60" s="63"/>
      <c r="CX60" s="63"/>
      <c r="CY60" s="63"/>
      <c r="CZ60" s="63"/>
      <c r="DA60" s="63"/>
      <c r="DB60" s="63"/>
      <c r="DC60" s="63"/>
      <c r="DD60" s="63"/>
      <c r="DE60" s="63"/>
      <c r="DF60" s="63"/>
      <c r="DG60" s="63"/>
      <c r="DH60" s="63"/>
      <c r="DI60" s="63"/>
      <c r="DJ60" s="63"/>
      <c r="DK60" s="63"/>
      <c r="DL60" s="63"/>
      <c r="DM60" s="63"/>
      <c r="DN60" s="63"/>
      <c r="DO60" s="63"/>
      <c r="DP60" s="63"/>
      <c r="DQ60" s="63"/>
      <c r="DR60" s="63"/>
      <c r="DS60" s="63"/>
      <c r="DT60" s="63"/>
      <c r="DU60" s="63"/>
      <c r="DV60" s="63"/>
      <c r="DW60" s="63"/>
      <c r="DX60" s="63"/>
      <c r="DY60" s="63"/>
      <c r="DZ60" s="63"/>
      <c r="EA60" s="63"/>
      <c r="EB60" s="63"/>
      <c r="EC60" s="63"/>
      <c r="ED60" s="63"/>
      <c r="EE60" s="63"/>
      <c r="EF60" s="63"/>
      <c r="EG60" s="63"/>
      <c r="EH60" s="63"/>
      <c r="EI60" s="63"/>
      <c r="EJ60" s="63"/>
      <c r="EK60" s="63"/>
      <c r="EL60" s="63"/>
      <c r="EM60" s="63"/>
      <c r="EN60" s="63"/>
      <c r="EO60" s="63"/>
      <c r="EP60" s="63"/>
      <c r="EQ60" s="63"/>
      <c r="ER60" s="63"/>
      <c r="ES60" s="63"/>
      <c r="ET60" s="63"/>
      <c r="EU60" s="63"/>
      <c r="EV60" s="63"/>
      <c r="EW60" s="63"/>
      <c r="EX60" s="63"/>
      <c r="EY60" s="63"/>
      <c r="EZ60" s="63"/>
      <c r="FA60" s="63"/>
      <c r="FB60" s="63"/>
    </row>
    <row r="61" spans="2:158" ht="15" customHeight="1" x14ac:dyDescent="0.2">
      <c r="B61" s="2268" t="s">
        <v>636</v>
      </c>
      <c r="C61" s="1452"/>
      <c r="D61" s="1452"/>
      <c r="E61" s="286"/>
      <c r="F61" s="2277"/>
      <c r="G61" s="2277"/>
      <c r="H61" s="510"/>
      <c r="I61" s="1452"/>
      <c r="J61" s="1452"/>
      <c r="K61" s="286"/>
      <c r="L61" s="2277"/>
      <c r="M61" s="2277"/>
      <c r="N61" s="452"/>
      <c r="O61" s="17"/>
      <c r="P61" s="1451"/>
      <c r="Q61" s="63"/>
      <c r="R61" s="148"/>
      <c r="S61" s="40"/>
      <c r="T61" s="89"/>
      <c r="U61" s="148"/>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A61" s="63"/>
      <c r="CB61" s="63"/>
      <c r="CC61" s="63"/>
      <c r="CD61" s="63"/>
      <c r="CE61" s="63"/>
      <c r="CF61" s="63"/>
      <c r="CG61" s="63"/>
      <c r="CH61" s="63"/>
      <c r="CI61" s="63"/>
      <c r="CJ61" s="63"/>
      <c r="CK61" s="63"/>
      <c r="CL61" s="63"/>
      <c r="CM61" s="63"/>
      <c r="CN61" s="63"/>
      <c r="CO61" s="63"/>
      <c r="CP61" s="63"/>
      <c r="CQ61" s="63"/>
      <c r="CR61" s="63"/>
      <c r="CS61" s="63"/>
      <c r="CT61" s="63"/>
      <c r="CU61" s="63"/>
      <c r="CV61" s="63"/>
      <c r="CW61" s="63"/>
      <c r="CX61" s="63"/>
      <c r="CY61" s="63"/>
      <c r="CZ61" s="63"/>
      <c r="DA61" s="63"/>
      <c r="DB61" s="63"/>
      <c r="DC61" s="63"/>
      <c r="DD61" s="63"/>
      <c r="DE61" s="63"/>
      <c r="DF61" s="63"/>
      <c r="DG61" s="63"/>
      <c r="DH61" s="63"/>
      <c r="DI61" s="63"/>
      <c r="DJ61" s="63"/>
      <c r="DK61" s="63"/>
      <c r="DL61" s="63"/>
      <c r="DM61" s="63"/>
      <c r="DN61" s="63"/>
      <c r="DO61" s="63"/>
      <c r="DP61" s="63"/>
      <c r="DQ61" s="63"/>
      <c r="DR61" s="63"/>
      <c r="DS61" s="63"/>
      <c r="DT61" s="63"/>
      <c r="DU61" s="63"/>
      <c r="DV61" s="63"/>
      <c r="DW61" s="63"/>
      <c r="DX61" s="63"/>
      <c r="DY61" s="63"/>
      <c r="DZ61" s="63"/>
      <c r="EA61" s="63"/>
      <c r="EB61" s="63"/>
      <c r="EC61" s="63"/>
      <c r="ED61" s="63"/>
      <c r="EE61" s="63"/>
      <c r="EF61" s="63"/>
      <c r="EG61" s="63"/>
      <c r="EH61" s="63"/>
      <c r="EI61" s="63"/>
      <c r="EJ61" s="63"/>
      <c r="EK61" s="63"/>
      <c r="EL61" s="63"/>
      <c r="EM61" s="63"/>
      <c r="EN61" s="63"/>
      <c r="EO61" s="63"/>
      <c r="EP61" s="63"/>
      <c r="EQ61" s="63"/>
      <c r="ER61" s="63"/>
      <c r="ES61" s="63"/>
      <c r="ET61" s="63"/>
      <c r="EU61" s="63"/>
      <c r="EV61" s="63"/>
      <c r="EW61" s="63"/>
      <c r="EX61" s="63"/>
      <c r="EY61" s="63"/>
      <c r="EZ61" s="63"/>
      <c r="FA61" s="63"/>
      <c r="FB61" s="63"/>
    </row>
    <row r="62" spans="2:158" ht="15" customHeight="1" x14ac:dyDescent="0.2">
      <c r="B62" s="2269"/>
      <c r="C62" s="1545">
        <v>0.03</v>
      </c>
      <c r="D62" s="1545"/>
      <c r="E62" s="23" t="s">
        <v>1791</v>
      </c>
      <c r="F62" s="1545">
        <f>SUMIF($T$39:$AH$39,F61,$T$40:$AH$40)</f>
        <v>0</v>
      </c>
      <c r="G62" s="1545"/>
      <c r="H62" s="201" t="s">
        <v>1792</v>
      </c>
      <c r="I62" s="1545">
        <v>0.03</v>
      </c>
      <c r="J62" s="1545"/>
      <c r="K62" s="23" t="s">
        <v>1791</v>
      </c>
      <c r="L62" s="1545">
        <f>SUMIF($T$39:$AH$39,L61,$T$40:$AH$40)</f>
        <v>0</v>
      </c>
      <c r="M62" s="1545"/>
      <c r="N62" s="201" t="s">
        <v>1793</v>
      </c>
      <c r="O62" s="296" t="str">
        <f>IF(F61="","",IF(C62*F62-I62*L62&lt;=0,"",C62*F62-I62*L62))</f>
        <v/>
      </c>
      <c r="P62" s="1451"/>
      <c r="Q62" s="63"/>
      <c r="R62" s="148"/>
      <c r="S62" s="40"/>
      <c r="T62" s="89"/>
      <c r="U62" s="148"/>
      <c r="V62" s="63"/>
      <c r="W62" s="63"/>
      <c r="X62" s="63"/>
      <c r="Y62" s="63"/>
      <c r="Z62" s="63"/>
      <c r="AA62" s="63"/>
      <c r="AB62" s="63"/>
      <c r="AC62" s="63"/>
      <c r="AD62" s="63"/>
      <c r="AE62" s="63"/>
      <c r="AF62" s="63"/>
      <c r="AG62" s="63"/>
      <c r="AH62" s="63"/>
      <c r="AI62" s="63"/>
      <c r="AJ62" s="63"/>
      <c r="AK62" s="63"/>
      <c r="AL62" s="63"/>
      <c r="AM62" s="63"/>
      <c r="AN62" s="63"/>
      <c r="AO62" s="63"/>
      <c r="AP62" s="63"/>
      <c r="AQ62" s="63"/>
      <c r="AR62" s="63"/>
      <c r="AS62" s="63"/>
      <c r="AT62" s="63"/>
      <c r="AU62" s="63"/>
      <c r="AV62" s="63"/>
      <c r="AW62" s="63"/>
      <c r="AX62" s="63"/>
      <c r="AY62" s="63"/>
      <c r="AZ62" s="63"/>
      <c r="BA62" s="63"/>
      <c r="BB62" s="63"/>
      <c r="BC62" s="63"/>
      <c r="BD62" s="63"/>
      <c r="BE62" s="63"/>
      <c r="BF62" s="63"/>
      <c r="BG62" s="63"/>
      <c r="BH62" s="63"/>
      <c r="BI62" s="63"/>
      <c r="BJ62" s="63"/>
      <c r="BK62" s="63"/>
      <c r="BL62" s="63"/>
      <c r="BM62" s="63"/>
      <c r="BN62" s="63"/>
      <c r="BO62" s="63"/>
      <c r="BP62" s="63"/>
      <c r="BQ62" s="63"/>
      <c r="BR62" s="63"/>
      <c r="BS62" s="63"/>
      <c r="BT62" s="63"/>
      <c r="BU62" s="63"/>
      <c r="BV62" s="63"/>
      <c r="BW62" s="63"/>
      <c r="BX62" s="63"/>
      <c r="BY62" s="63"/>
      <c r="BZ62" s="63"/>
      <c r="CA62" s="63"/>
      <c r="CB62" s="63"/>
      <c r="CC62" s="63"/>
      <c r="CD62" s="63"/>
      <c r="CE62" s="63"/>
      <c r="CF62" s="63"/>
      <c r="CG62" s="63"/>
      <c r="CH62" s="63"/>
      <c r="CI62" s="63"/>
      <c r="CJ62" s="63"/>
      <c r="CK62" s="63"/>
      <c r="CL62" s="63"/>
      <c r="CM62" s="63"/>
      <c r="CN62" s="63"/>
      <c r="CO62" s="63"/>
      <c r="CP62" s="63"/>
      <c r="CQ62" s="63"/>
      <c r="CR62" s="63"/>
      <c r="CS62" s="63"/>
      <c r="CT62" s="63"/>
      <c r="CU62" s="63"/>
      <c r="CV62" s="63"/>
      <c r="CW62" s="63"/>
      <c r="CX62" s="63"/>
      <c r="CY62" s="63"/>
      <c r="CZ62" s="63"/>
      <c r="DA62" s="63"/>
      <c r="DB62" s="63"/>
      <c r="DC62" s="63"/>
      <c r="DD62" s="63"/>
      <c r="DE62" s="63"/>
      <c r="DF62" s="63"/>
      <c r="DG62" s="63"/>
      <c r="DH62" s="63"/>
      <c r="DI62" s="63"/>
      <c r="DJ62" s="63"/>
      <c r="DK62" s="63"/>
      <c r="DL62" s="63"/>
      <c r="DM62" s="63"/>
      <c r="DN62" s="63"/>
      <c r="DO62" s="63"/>
      <c r="DP62" s="63"/>
      <c r="DQ62" s="63"/>
      <c r="DR62" s="63"/>
      <c r="DS62" s="63"/>
      <c r="DT62" s="63"/>
      <c r="DU62" s="63"/>
      <c r="DV62" s="63"/>
      <c r="DW62" s="63"/>
      <c r="DX62" s="63"/>
      <c r="DY62" s="63"/>
      <c r="DZ62" s="63"/>
      <c r="EA62" s="63"/>
      <c r="EB62" s="63"/>
      <c r="EC62" s="63"/>
      <c r="ED62" s="63"/>
      <c r="EE62" s="63"/>
      <c r="EF62" s="63"/>
      <c r="EG62" s="63"/>
      <c r="EH62" s="63"/>
      <c r="EI62" s="63"/>
      <c r="EJ62" s="63"/>
      <c r="EK62" s="63"/>
      <c r="EL62" s="63"/>
      <c r="EM62" s="63"/>
      <c r="EN62" s="63"/>
      <c r="EO62" s="63"/>
      <c r="EP62" s="63"/>
      <c r="EQ62" s="63"/>
      <c r="ER62" s="63"/>
      <c r="ES62" s="63"/>
      <c r="ET62" s="63"/>
      <c r="EU62" s="63"/>
      <c r="EV62" s="63"/>
      <c r="EW62" s="63"/>
      <c r="EX62" s="63"/>
      <c r="EY62" s="63"/>
      <c r="EZ62" s="63"/>
      <c r="FA62" s="63"/>
      <c r="FB62" s="63"/>
    </row>
    <row r="63" spans="2:158" ht="30" customHeight="1" x14ac:dyDescent="0.2">
      <c r="B63" s="513" t="s">
        <v>1556</v>
      </c>
      <c r="C63" s="2293" t="str">
        <f>IF(AND(O56&lt;&gt;"",T44=1),"ERROR: Record strength for 'Overall' or specific muscles, not both.","")</f>
        <v/>
      </c>
      <c r="D63" s="2293"/>
      <c r="E63" s="2293"/>
      <c r="F63" s="2293"/>
      <c r="G63" s="2293"/>
      <c r="H63" s="2293"/>
      <c r="I63" s="2293"/>
      <c r="J63" s="2293"/>
      <c r="K63" s="2293"/>
      <c r="L63" s="2293"/>
      <c r="M63" s="2293"/>
      <c r="N63" s="201" t="s">
        <v>1793</v>
      </c>
      <c r="O63" s="296">
        <f>IF(C63&lt;&gt;"","ERROR",IF(AND(O56="",O58="",O60="",O62=""),0,AVERAGE(O56,O58,O60,O62)))</f>
        <v>0</v>
      </c>
      <c r="P63" s="1451"/>
      <c r="Q63" s="63"/>
      <c r="R63" s="148"/>
      <c r="S63" s="40"/>
      <c r="T63" s="89"/>
      <c r="U63" s="148"/>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c r="CA63" s="63"/>
      <c r="CB63" s="63"/>
      <c r="CC63" s="63"/>
      <c r="CD63" s="63"/>
      <c r="CE63" s="63"/>
      <c r="CF63" s="63"/>
      <c r="CG63" s="63"/>
      <c r="CH63" s="63"/>
      <c r="CI63" s="63"/>
      <c r="CJ63" s="63"/>
      <c r="CK63" s="63"/>
      <c r="CL63" s="63"/>
      <c r="CM63" s="63"/>
      <c r="CN63" s="63"/>
      <c r="CO63" s="63"/>
      <c r="CP63" s="63"/>
      <c r="CQ63" s="63"/>
      <c r="CR63" s="63"/>
      <c r="CS63" s="63"/>
      <c r="CT63" s="63"/>
      <c r="CU63" s="63"/>
      <c r="CV63" s="63"/>
      <c r="CW63" s="63"/>
      <c r="CX63" s="63"/>
      <c r="CY63" s="63"/>
      <c r="CZ63" s="63"/>
      <c r="DA63" s="63"/>
      <c r="DB63" s="63"/>
      <c r="DC63" s="63"/>
      <c r="DD63" s="63"/>
      <c r="DE63" s="63"/>
      <c r="DF63" s="63"/>
      <c r="DG63" s="63"/>
      <c r="DH63" s="63"/>
      <c r="DI63" s="63"/>
      <c r="DJ63" s="63"/>
      <c r="DK63" s="63"/>
      <c r="DL63" s="63"/>
      <c r="DM63" s="63"/>
      <c r="DN63" s="63"/>
      <c r="DO63" s="63"/>
      <c r="DP63" s="63"/>
      <c r="DQ63" s="63"/>
      <c r="DR63" s="63"/>
      <c r="DS63" s="63"/>
      <c r="DT63" s="63"/>
      <c r="DU63" s="63"/>
      <c r="DV63" s="63"/>
      <c r="DW63" s="63"/>
      <c r="DX63" s="63"/>
      <c r="DY63" s="63"/>
      <c r="DZ63" s="63"/>
      <c r="EA63" s="63"/>
      <c r="EB63" s="63"/>
      <c r="EC63" s="63"/>
      <c r="ED63" s="63"/>
      <c r="EE63" s="63"/>
      <c r="EF63" s="63"/>
      <c r="EG63" s="63"/>
      <c r="EH63" s="63"/>
      <c r="EI63" s="63"/>
      <c r="EJ63" s="63"/>
      <c r="EK63" s="63"/>
      <c r="EL63" s="63"/>
      <c r="EM63" s="63"/>
      <c r="EN63" s="63"/>
      <c r="EO63" s="63"/>
      <c r="EP63" s="63"/>
      <c r="EQ63" s="63"/>
      <c r="ER63" s="63"/>
      <c r="ES63" s="63"/>
      <c r="ET63" s="63"/>
      <c r="EU63" s="63"/>
      <c r="EV63" s="63"/>
      <c r="EW63" s="63"/>
      <c r="EX63" s="63"/>
      <c r="EY63" s="63"/>
      <c r="EZ63" s="63"/>
      <c r="FA63" s="63"/>
      <c r="FB63" s="63"/>
    </row>
    <row r="64" spans="2:158" ht="15" customHeight="1" x14ac:dyDescent="0.2">
      <c r="B64" s="514" t="s">
        <v>556</v>
      </c>
      <c r="C64" s="1452"/>
      <c r="D64" s="1452"/>
      <c r="E64" s="286"/>
      <c r="F64" s="2277"/>
      <c r="G64" s="2277"/>
      <c r="H64" s="510"/>
      <c r="I64" s="1452"/>
      <c r="J64" s="1452"/>
      <c r="K64" s="286"/>
      <c r="L64" s="2277"/>
      <c r="M64" s="2277"/>
      <c r="N64" s="510"/>
      <c r="O64" s="286"/>
      <c r="P64" s="1451"/>
      <c r="Q64" s="63"/>
      <c r="R64" s="148"/>
      <c r="S64" s="40"/>
      <c r="T64" s="89"/>
      <c r="U64" s="130"/>
      <c r="V64" s="63"/>
      <c r="W64" s="63"/>
      <c r="X64" s="63"/>
      <c r="Y64" s="63"/>
      <c r="Z64" s="63"/>
      <c r="AA64" s="63"/>
      <c r="AB64" s="63"/>
      <c r="AC64" s="63"/>
      <c r="AD64" s="63"/>
      <c r="AE64" s="63"/>
      <c r="AF64" s="63"/>
      <c r="AG64" s="63"/>
      <c r="AH64" s="63"/>
      <c r="AI64" s="63"/>
      <c r="AJ64" s="63"/>
      <c r="AK64" s="63"/>
      <c r="AL64" s="63"/>
      <c r="AM64" s="63"/>
      <c r="AN64" s="63"/>
      <c r="AO64" s="63"/>
      <c r="AP64" s="63"/>
      <c r="AQ64" s="63"/>
      <c r="AR64" s="63"/>
      <c r="AS64" s="63"/>
      <c r="AT64" s="63"/>
      <c r="AU64" s="63"/>
      <c r="AV64" s="63"/>
      <c r="AW64" s="63"/>
      <c r="AX64" s="63"/>
      <c r="AY64" s="63"/>
      <c r="AZ64" s="63"/>
      <c r="BA64" s="63"/>
      <c r="BB64" s="63"/>
      <c r="BC64" s="63"/>
      <c r="BD64" s="63"/>
      <c r="BE64" s="63"/>
      <c r="BF64" s="63"/>
      <c r="BG64" s="63"/>
      <c r="BH64" s="63"/>
      <c r="BI64" s="63"/>
      <c r="BJ64" s="63"/>
      <c r="BK64" s="63"/>
      <c r="BL64" s="63"/>
      <c r="BM64" s="63"/>
      <c r="BN64" s="63"/>
      <c r="BO64" s="63"/>
      <c r="BP64" s="63"/>
      <c r="BQ64" s="63"/>
      <c r="BR64" s="63"/>
      <c r="BS64" s="63"/>
      <c r="BT64" s="63"/>
      <c r="BU64" s="63"/>
      <c r="BV64" s="63"/>
      <c r="BW64" s="63"/>
      <c r="BX64" s="63"/>
      <c r="BY64" s="63"/>
      <c r="BZ64" s="63"/>
      <c r="CA64" s="63"/>
      <c r="CB64" s="63"/>
      <c r="CC64" s="63"/>
      <c r="CD64" s="63"/>
      <c r="CE64" s="63"/>
      <c r="CF64" s="63"/>
      <c r="CG64" s="63"/>
      <c r="CH64" s="63"/>
      <c r="CI64" s="63"/>
      <c r="CJ64" s="63"/>
      <c r="CK64" s="63"/>
      <c r="CL64" s="63"/>
      <c r="CM64" s="63"/>
      <c r="CN64" s="63"/>
      <c r="CO64" s="63"/>
      <c r="CP64" s="63"/>
      <c r="CQ64" s="63"/>
      <c r="CR64" s="63"/>
      <c r="CS64" s="63"/>
      <c r="CT64" s="63"/>
      <c r="CU64" s="63"/>
      <c r="CV64" s="63"/>
      <c r="CW64" s="63"/>
      <c r="CX64" s="63"/>
      <c r="CY64" s="63"/>
      <c r="CZ64" s="63"/>
      <c r="DA64" s="63"/>
      <c r="DB64" s="63"/>
      <c r="DC64" s="63"/>
      <c r="DD64" s="63"/>
      <c r="DE64" s="63"/>
      <c r="DF64" s="63"/>
      <c r="DG64" s="63"/>
      <c r="DH64" s="63"/>
      <c r="DI64" s="63"/>
      <c r="DJ64" s="63"/>
      <c r="DK64" s="63"/>
      <c r="DL64" s="63"/>
      <c r="DM64" s="63"/>
      <c r="DN64" s="63"/>
      <c r="DO64" s="63"/>
      <c r="DP64" s="63"/>
      <c r="DQ64" s="63"/>
      <c r="DR64" s="63"/>
      <c r="DS64" s="63"/>
      <c r="DT64" s="63"/>
      <c r="DU64" s="63"/>
      <c r="DV64" s="63"/>
      <c r="DW64" s="63"/>
      <c r="DX64" s="63"/>
      <c r="DY64" s="63"/>
      <c r="DZ64" s="63"/>
      <c r="EA64" s="63"/>
      <c r="EB64" s="63"/>
      <c r="EC64" s="63"/>
      <c r="ED64" s="63"/>
      <c r="EE64" s="63"/>
      <c r="EF64" s="63"/>
      <c r="EG64" s="63"/>
      <c r="EH64" s="63"/>
      <c r="EI64" s="63"/>
      <c r="EJ64" s="63"/>
      <c r="EK64" s="63"/>
      <c r="EL64" s="63"/>
      <c r="EM64" s="63"/>
      <c r="EN64" s="63"/>
      <c r="EO64" s="63"/>
      <c r="EP64" s="63"/>
      <c r="EQ64" s="63"/>
      <c r="ER64" s="63"/>
      <c r="ES64" s="63"/>
      <c r="ET64" s="63"/>
      <c r="EU64" s="63"/>
      <c r="EV64" s="63"/>
      <c r="EW64" s="63"/>
      <c r="EX64" s="63"/>
      <c r="EY64" s="63"/>
      <c r="EZ64" s="63"/>
      <c r="FA64" s="63"/>
      <c r="FB64" s="63"/>
    </row>
    <row r="65" spans="1:158" ht="15" customHeight="1" x14ac:dyDescent="0.2">
      <c r="B65" s="515" t="s">
        <v>637</v>
      </c>
      <c r="C65" s="1545">
        <v>0.09</v>
      </c>
      <c r="D65" s="1545"/>
      <c r="E65" s="23" t="s">
        <v>1791</v>
      </c>
      <c r="F65" s="1545">
        <f>SUMIF($T$39:$AH$39,F64,$T$40:$AH$40)</f>
        <v>0</v>
      </c>
      <c r="G65" s="1545"/>
      <c r="H65" s="201" t="s">
        <v>1792</v>
      </c>
      <c r="I65" s="1545">
        <v>0.09</v>
      </c>
      <c r="J65" s="1545"/>
      <c r="K65" s="23" t="s">
        <v>1791</v>
      </c>
      <c r="L65" s="1545">
        <f>SUMIF($T$39:$AH$39,L64,$T$40:$AH$40)</f>
        <v>0</v>
      </c>
      <c r="M65" s="1545"/>
      <c r="N65" s="201" t="s">
        <v>1793</v>
      </c>
      <c r="O65" s="296">
        <f>IF(C65*F65-I65*L65&lt;0,0,C65*F65-I65*L65)</f>
        <v>0</v>
      </c>
      <c r="P65" s="1451"/>
      <c r="Q65" s="63"/>
      <c r="R65" s="148"/>
      <c r="S65" s="40"/>
      <c r="T65" s="89"/>
      <c r="U65" s="130"/>
      <c r="V65" s="63"/>
      <c r="W65" s="63"/>
      <c r="X65" s="63"/>
      <c r="Y65" s="63"/>
      <c r="Z65" s="63"/>
      <c r="AA65" s="63"/>
      <c r="AB65" s="63"/>
      <c r="AC65" s="63"/>
      <c r="AD65" s="63"/>
      <c r="AE65" s="63"/>
      <c r="AF65" s="63"/>
      <c r="AG65" s="63"/>
      <c r="AH65" s="63"/>
      <c r="AI65" s="63"/>
      <c r="AJ65" s="63"/>
      <c r="AK65" s="63"/>
      <c r="AL65" s="63"/>
      <c r="AM65" s="63"/>
      <c r="AN65" s="63"/>
      <c r="AO65" s="63"/>
      <c r="AP65" s="63"/>
      <c r="AQ65" s="63"/>
      <c r="AR65" s="63"/>
      <c r="AS65" s="63"/>
      <c r="AT65" s="63"/>
      <c r="AU65" s="63"/>
      <c r="AV65" s="63"/>
      <c r="AW65" s="63"/>
      <c r="AX65" s="63"/>
      <c r="AY65" s="63"/>
      <c r="AZ65" s="63"/>
      <c r="BA65" s="63"/>
      <c r="BB65" s="63"/>
      <c r="BC65" s="63"/>
      <c r="BD65" s="63"/>
      <c r="BE65" s="63"/>
      <c r="BF65" s="63"/>
      <c r="BG65" s="63"/>
      <c r="BH65" s="63"/>
      <c r="BI65" s="63"/>
      <c r="BJ65" s="63"/>
      <c r="BK65" s="63"/>
      <c r="BL65" s="63"/>
      <c r="BM65" s="63"/>
      <c r="BN65" s="63"/>
      <c r="BO65" s="63"/>
      <c r="BP65" s="63"/>
      <c r="BQ65" s="63"/>
      <c r="BR65" s="63"/>
      <c r="BS65" s="63"/>
      <c r="BT65" s="63"/>
      <c r="BU65" s="63"/>
      <c r="BV65" s="63"/>
      <c r="BW65" s="63"/>
      <c r="BX65" s="63"/>
      <c r="BY65" s="63"/>
      <c r="BZ65" s="63"/>
      <c r="CA65" s="63"/>
      <c r="CB65" s="63"/>
      <c r="CC65" s="63"/>
      <c r="CD65" s="63"/>
      <c r="CE65" s="63"/>
      <c r="CF65" s="63"/>
      <c r="CG65" s="63"/>
      <c r="CH65" s="63"/>
      <c r="CI65" s="63"/>
      <c r="CJ65" s="63"/>
      <c r="CK65" s="63"/>
      <c r="CL65" s="63"/>
      <c r="CM65" s="63"/>
      <c r="CN65" s="63"/>
      <c r="CO65" s="63"/>
      <c r="CP65" s="63"/>
      <c r="CQ65" s="63"/>
      <c r="CR65" s="63"/>
      <c r="CS65" s="63"/>
      <c r="CT65" s="63"/>
      <c r="CU65" s="63"/>
      <c r="CV65" s="63"/>
      <c r="CW65" s="63"/>
      <c r="CX65" s="63"/>
      <c r="CY65" s="63"/>
      <c r="CZ65" s="63"/>
      <c r="DA65" s="63"/>
      <c r="DB65" s="63"/>
      <c r="DC65" s="63"/>
      <c r="DD65" s="63"/>
      <c r="DE65" s="63"/>
      <c r="DF65" s="63"/>
      <c r="DG65" s="63"/>
      <c r="DH65" s="63"/>
      <c r="DI65" s="63"/>
      <c r="DJ65" s="63"/>
      <c r="DK65" s="63"/>
      <c r="DL65" s="63"/>
      <c r="DM65" s="63"/>
      <c r="DN65" s="63"/>
      <c r="DO65" s="63"/>
      <c r="DP65" s="63"/>
      <c r="DQ65" s="63"/>
      <c r="DR65" s="63"/>
      <c r="DS65" s="63"/>
      <c r="DT65" s="63"/>
      <c r="DU65" s="63"/>
      <c r="DV65" s="63"/>
      <c r="DW65" s="63"/>
      <c r="DX65" s="63"/>
      <c r="DY65" s="63"/>
      <c r="DZ65" s="63"/>
      <c r="EA65" s="63"/>
      <c r="EB65" s="63"/>
      <c r="EC65" s="63"/>
      <c r="ED65" s="63"/>
      <c r="EE65" s="63"/>
      <c r="EF65" s="63"/>
      <c r="EG65" s="63"/>
      <c r="EH65" s="63"/>
      <c r="EI65" s="63"/>
      <c r="EJ65" s="63"/>
      <c r="EK65" s="63"/>
      <c r="EL65" s="63"/>
      <c r="EM65" s="63"/>
      <c r="EN65" s="63"/>
      <c r="EO65" s="63"/>
      <c r="EP65" s="63"/>
      <c r="EQ65" s="63"/>
      <c r="ER65" s="63"/>
      <c r="ES65" s="63"/>
      <c r="ET65" s="63"/>
      <c r="EU65" s="63"/>
      <c r="EV65" s="63"/>
      <c r="EW65" s="63"/>
      <c r="EX65" s="63"/>
      <c r="EY65" s="63"/>
      <c r="EZ65" s="63"/>
      <c r="FA65" s="63"/>
      <c r="FB65" s="63"/>
    </row>
    <row r="66" spans="1:158" ht="15" customHeight="1" x14ac:dyDescent="0.2">
      <c r="B66" s="512" t="s">
        <v>1379</v>
      </c>
      <c r="C66" s="1452"/>
      <c r="D66" s="1452"/>
      <c r="E66" s="286"/>
      <c r="F66" s="2277"/>
      <c r="G66" s="2277"/>
      <c r="H66" s="510"/>
      <c r="I66" s="1452"/>
      <c r="J66" s="1452"/>
      <c r="K66" s="286"/>
      <c r="L66" s="2277"/>
      <c r="M66" s="2277"/>
      <c r="N66" s="510"/>
      <c r="O66" s="98"/>
      <c r="P66" s="1451"/>
      <c r="Q66" s="63"/>
      <c r="R66" s="148"/>
      <c r="S66" s="40"/>
      <c r="T66" s="89"/>
      <c r="U66" s="148"/>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c r="CA66" s="63"/>
      <c r="CB66" s="63"/>
      <c r="CC66" s="63"/>
      <c r="CD66" s="63"/>
      <c r="CE66" s="63"/>
      <c r="CF66" s="63"/>
      <c r="CG66" s="63"/>
      <c r="CH66" s="63"/>
      <c r="CI66" s="63"/>
      <c r="CJ66" s="63"/>
      <c r="CK66" s="63"/>
      <c r="CL66" s="63"/>
      <c r="CM66" s="63"/>
      <c r="CN66" s="63"/>
      <c r="CO66" s="63"/>
      <c r="CP66" s="63"/>
      <c r="CQ66" s="63"/>
      <c r="CR66" s="63"/>
      <c r="CS66" s="63"/>
      <c r="CT66" s="63"/>
      <c r="CU66" s="63"/>
      <c r="CV66" s="63"/>
      <c r="CW66" s="63"/>
      <c r="CX66" s="63"/>
      <c r="CY66" s="63"/>
      <c r="CZ66" s="63"/>
      <c r="DA66" s="63"/>
      <c r="DB66" s="63"/>
      <c r="DC66" s="63"/>
      <c r="DD66" s="63"/>
      <c r="DE66" s="63"/>
      <c r="DF66" s="63"/>
      <c r="DG66" s="63"/>
      <c r="DH66" s="63"/>
      <c r="DI66" s="63"/>
      <c r="DJ66" s="63"/>
      <c r="DK66" s="63"/>
      <c r="DL66" s="63"/>
      <c r="DM66" s="63"/>
      <c r="DN66" s="63"/>
      <c r="DO66" s="63"/>
      <c r="DP66" s="63"/>
      <c r="DQ66" s="63"/>
      <c r="DR66" s="63"/>
      <c r="DS66" s="63"/>
      <c r="DT66" s="63"/>
      <c r="DU66" s="63"/>
      <c r="DV66" s="63"/>
      <c r="DW66" s="63"/>
      <c r="DX66" s="63"/>
      <c r="DY66" s="63"/>
      <c r="DZ66" s="63"/>
      <c r="EA66" s="63"/>
      <c r="EB66" s="63"/>
      <c r="EC66" s="63"/>
      <c r="ED66" s="63"/>
      <c r="EE66" s="63"/>
      <c r="EF66" s="63"/>
      <c r="EG66" s="63"/>
      <c r="EH66" s="63"/>
      <c r="EI66" s="63"/>
      <c r="EJ66" s="63"/>
      <c r="EK66" s="63"/>
      <c r="EL66" s="63"/>
      <c r="EM66" s="63"/>
      <c r="EN66" s="63"/>
      <c r="EO66" s="63"/>
      <c r="EP66" s="63"/>
      <c r="EQ66" s="63"/>
      <c r="ER66" s="63"/>
      <c r="ES66" s="63"/>
      <c r="ET66" s="63"/>
      <c r="EU66" s="63"/>
      <c r="EV66" s="63"/>
      <c r="EW66" s="63"/>
      <c r="EX66" s="63"/>
      <c r="EY66" s="63"/>
      <c r="EZ66" s="63"/>
      <c r="FA66" s="63"/>
      <c r="FB66" s="63"/>
    </row>
    <row r="67" spans="1:158" ht="15" customHeight="1" x14ac:dyDescent="0.2">
      <c r="B67" s="511" t="s">
        <v>1380</v>
      </c>
      <c r="C67" s="1545">
        <v>0.03</v>
      </c>
      <c r="D67" s="1545"/>
      <c r="E67" s="23" t="s">
        <v>1791</v>
      </c>
      <c r="F67" s="1545">
        <f>SUMIF($T$39:$AH$39,F66,$T$40:$AH$40)</f>
        <v>0</v>
      </c>
      <c r="G67" s="1545"/>
      <c r="H67" s="201" t="s">
        <v>1792</v>
      </c>
      <c r="I67" s="1545">
        <v>0.03</v>
      </c>
      <c r="J67" s="1545"/>
      <c r="K67" s="23" t="s">
        <v>1791</v>
      </c>
      <c r="L67" s="1545">
        <f>SUMIF($T$39:$AH$39,L66,$T$40:$AH$40)</f>
        <v>0</v>
      </c>
      <c r="M67" s="1545"/>
      <c r="N67" s="201" t="s">
        <v>1793</v>
      </c>
      <c r="O67" s="296" t="str">
        <f>IF(F66="","",IF(C67*F67-I67*L67&lt;=0,"",C67*F67-I67*L67))</f>
        <v/>
      </c>
      <c r="P67" s="1451"/>
      <c r="Q67" s="63"/>
      <c r="R67" s="148"/>
      <c r="S67" s="40"/>
      <c r="T67" s="89"/>
      <c r="U67" s="148"/>
      <c r="V67" s="63"/>
      <c r="W67" s="63"/>
      <c r="X67" s="63"/>
      <c r="Y67" s="63"/>
      <c r="Z67" s="63"/>
      <c r="AA67" s="63"/>
      <c r="AB67" s="63"/>
      <c r="AC67" s="63"/>
      <c r="AD67" s="63"/>
      <c r="AE67" s="63"/>
      <c r="AF67" s="63"/>
      <c r="AG67" s="63"/>
      <c r="AH67" s="63"/>
      <c r="AI67" s="63"/>
      <c r="AJ67" s="63"/>
      <c r="AK67" s="63"/>
      <c r="AL67" s="63"/>
      <c r="AM67" s="63"/>
      <c r="AN67" s="63"/>
      <c r="AO67" s="63"/>
      <c r="AP67" s="63"/>
      <c r="AQ67" s="63"/>
      <c r="AR67" s="63"/>
      <c r="AS67" s="63"/>
      <c r="AT67" s="63"/>
      <c r="AU67" s="63"/>
      <c r="AV67" s="63"/>
      <c r="AW67" s="63"/>
      <c r="AX67" s="63"/>
      <c r="AY67" s="63"/>
      <c r="AZ67" s="63"/>
      <c r="BA67" s="63"/>
      <c r="BB67" s="63"/>
      <c r="BC67" s="63"/>
      <c r="BD67" s="63"/>
      <c r="BE67" s="63"/>
      <c r="BF67" s="63"/>
      <c r="BG67" s="63"/>
      <c r="BH67" s="63"/>
      <c r="BI67" s="63"/>
      <c r="BJ67" s="63"/>
      <c r="BK67" s="63"/>
      <c r="BL67" s="63"/>
      <c r="BM67" s="63"/>
      <c r="BN67" s="63"/>
      <c r="BO67" s="63"/>
      <c r="BP67" s="63"/>
      <c r="BQ67" s="63"/>
      <c r="BR67" s="63"/>
      <c r="BS67" s="63"/>
      <c r="BT67" s="63"/>
      <c r="BU67" s="63"/>
      <c r="BV67" s="63"/>
      <c r="BW67" s="63"/>
      <c r="BX67" s="63"/>
      <c r="BY67" s="63"/>
      <c r="BZ67" s="63"/>
      <c r="CA67" s="63"/>
      <c r="CB67" s="63"/>
      <c r="CC67" s="63"/>
      <c r="CD67" s="63"/>
      <c r="CE67" s="63"/>
      <c r="CF67" s="63"/>
      <c r="CG67" s="63"/>
      <c r="CH67" s="63"/>
      <c r="CI67" s="63"/>
      <c r="CJ67" s="63"/>
      <c r="CK67" s="63"/>
      <c r="CL67" s="63"/>
      <c r="CM67" s="63"/>
      <c r="CN67" s="63"/>
      <c r="CO67" s="63"/>
      <c r="CP67" s="63"/>
      <c r="CQ67" s="63"/>
      <c r="CR67" s="63"/>
      <c r="CS67" s="63"/>
      <c r="CT67" s="63"/>
      <c r="CU67" s="63"/>
      <c r="CV67" s="63"/>
      <c r="CW67" s="63"/>
      <c r="CX67" s="63"/>
      <c r="CY67" s="63"/>
      <c r="CZ67" s="63"/>
      <c r="DA67" s="63"/>
      <c r="DB67" s="63"/>
      <c r="DC67" s="63"/>
      <c r="DD67" s="63"/>
      <c r="DE67" s="63"/>
      <c r="DF67" s="63"/>
      <c r="DG67" s="63"/>
      <c r="DH67" s="63"/>
      <c r="DI67" s="63"/>
      <c r="DJ67" s="63"/>
      <c r="DK67" s="63"/>
      <c r="DL67" s="63"/>
      <c r="DM67" s="63"/>
      <c r="DN67" s="63"/>
      <c r="DO67" s="63"/>
      <c r="DP67" s="63"/>
      <c r="DQ67" s="63"/>
      <c r="DR67" s="63"/>
      <c r="DS67" s="63"/>
      <c r="DT67" s="63"/>
      <c r="DU67" s="63"/>
      <c r="DV67" s="63"/>
      <c r="DW67" s="63"/>
      <c r="DX67" s="63"/>
      <c r="DY67" s="63"/>
      <c r="DZ67" s="63"/>
      <c r="EA67" s="63"/>
      <c r="EB67" s="63"/>
      <c r="EC67" s="63"/>
      <c r="ED67" s="63"/>
      <c r="EE67" s="63"/>
      <c r="EF67" s="63"/>
      <c r="EG67" s="63"/>
      <c r="EH67" s="63"/>
      <c r="EI67" s="63"/>
      <c r="EJ67" s="63"/>
      <c r="EK67" s="63"/>
      <c r="EL67" s="63"/>
      <c r="EM67" s="63"/>
      <c r="EN67" s="63"/>
      <c r="EO67" s="63"/>
      <c r="EP67" s="63"/>
      <c r="EQ67" s="63"/>
      <c r="ER67" s="63"/>
      <c r="ES67" s="63"/>
      <c r="ET67" s="63"/>
      <c r="EU67" s="63"/>
      <c r="EV67" s="63"/>
      <c r="EW67" s="63"/>
      <c r="EX67" s="63"/>
      <c r="EY67" s="63"/>
      <c r="EZ67" s="63"/>
      <c r="FA67" s="63"/>
      <c r="FB67" s="63"/>
    </row>
    <row r="68" spans="1:158" ht="15" customHeight="1" x14ac:dyDescent="0.2">
      <c r="B68" s="2268" t="s">
        <v>638</v>
      </c>
      <c r="C68" s="1452"/>
      <c r="D68" s="1452"/>
      <c r="E68" s="286"/>
      <c r="F68" s="2277"/>
      <c r="G68" s="2277"/>
      <c r="H68" s="510"/>
      <c r="I68" s="1452"/>
      <c r="J68" s="1452"/>
      <c r="K68" s="286"/>
      <c r="L68" s="2277"/>
      <c r="M68" s="2277"/>
      <c r="N68" s="452"/>
      <c r="O68" s="17"/>
      <c r="P68" s="1451"/>
      <c r="Q68" s="63"/>
      <c r="R68" s="148"/>
      <c r="S68" s="40"/>
      <c r="T68" s="89"/>
      <c r="U68" s="148"/>
      <c r="V68" s="63"/>
      <c r="W68" s="63"/>
      <c r="X68" s="63"/>
      <c r="Y68" s="63"/>
      <c r="Z68" s="63"/>
      <c r="AA68" s="63"/>
      <c r="AB68" s="63"/>
      <c r="AC68" s="63"/>
      <c r="AD68" s="63"/>
      <c r="AE68" s="63"/>
      <c r="AF68" s="63"/>
      <c r="AG68" s="63"/>
      <c r="AH68" s="63"/>
      <c r="AI68" s="63"/>
      <c r="AJ68" s="63"/>
      <c r="AK68" s="63"/>
      <c r="AL68" s="63"/>
      <c r="AM68" s="63"/>
      <c r="AN68" s="63"/>
      <c r="AO68" s="63"/>
      <c r="AP68" s="63"/>
      <c r="AQ68" s="63"/>
      <c r="AR68" s="63"/>
      <c r="AS68" s="63"/>
      <c r="AT68" s="63"/>
      <c r="AU68" s="63"/>
      <c r="AV68" s="63"/>
      <c r="AW68" s="63"/>
      <c r="AX68" s="63"/>
      <c r="AY68" s="63"/>
      <c r="AZ68" s="63"/>
      <c r="BA68" s="63"/>
      <c r="BB68" s="63"/>
      <c r="BC68" s="63"/>
      <c r="BD68" s="63"/>
      <c r="BE68" s="63"/>
      <c r="BF68" s="63"/>
      <c r="BG68" s="63"/>
      <c r="BH68" s="63"/>
      <c r="BI68" s="63"/>
      <c r="BJ68" s="63"/>
      <c r="BK68" s="63"/>
      <c r="BL68" s="63"/>
      <c r="BM68" s="63"/>
      <c r="BN68" s="63"/>
      <c r="BO68" s="63"/>
      <c r="BP68" s="63"/>
      <c r="BQ68" s="63"/>
      <c r="BR68" s="63"/>
      <c r="BS68" s="63"/>
      <c r="BT68" s="63"/>
      <c r="BU68" s="63"/>
      <c r="BV68" s="63"/>
      <c r="BW68" s="63"/>
      <c r="BX68" s="63"/>
      <c r="BY68" s="63"/>
      <c r="BZ68" s="63"/>
      <c r="CA68" s="63"/>
      <c r="CB68" s="63"/>
      <c r="CC68" s="63"/>
      <c r="CD68" s="63"/>
      <c r="CE68" s="63"/>
      <c r="CF68" s="63"/>
      <c r="CG68" s="63"/>
      <c r="CH68" s="63"/>
      <c r="CI68" s="63"/>
      <c r="CJ68" s="63"/>
      <c r="CK68" s="63"/>
      <c r="CL68" s="63"/>
      <c r="CM68" s="63"/>
      <c r="CN68" s="63"/>
      <c r="CO68" s="63"/>
      <c r="CP68" s="63"/>
      <c r="CQ68" s="63"/>
      <c r="CR68" s="63"/>
      <c r="CS68" s="63"/>
      <c r="CT68" s="63"/>
      <c r="CU68" s="63"/>
      <c r="CV68" s="63"/>
      <c r="CW68" s="63"/>
      <c r="CX68" s="63"/>
      <c r="CY68" s="63"/>
      <c r="CZ68" s="63"/>
      <c r="DA68" s="63"/>
      <c r="DB68" s="63"/>
      <c r="DC68" s="63"/>
      <c r="DD68" s="63"/>
      <c r="DE68" s="63"/>
      <c r="DF68" s="63"/>
      <c r="DG68" s="63"/>
      <c r="DH68" s="63"/>
      <c r="DI68" s="63"/>
      <c r="DJ68" s="63"/>
      <c r="DK68" s="63"/>
      <c r="DL68" s="63"/>
      <c r="DM68" s="63"/>
      <c r="DN68" s="63"/>
      <c r="DO68" s="63"/>
      <c r="DP68" s="63"/>
      <c r="DQ68" s="63"/>
      <c r="DR68" s="63"/>
      <c r="DS68" s="63"/>
      <c r="DT68" s="63"/>
      <c r="DU68" s="63"/>
      <c r="DV68" s="63"/>
      <c r="DW68" s="63"/>
      <c r="DX68" s="63"/>
      <c r="DY68" s="63"/>
      <c r="DZ68" s="63"/>
      <c r="EA68" s="63"/>
      <c r="EB68" s="63"/>
      <c r="EC68" s="63"/>
      <c r="ED68" s="63"/>
      <c r="EE68" s="63"/>
      <c r="EF68" s="63"/>
      <c r="EG68" s="63"/>
      <c r="EH68" s="63"/>
      <c r="EI68" s="63"/>
      <c r="EJ68" s="63"/>
      <c r="EK68" s="63"/>
      <c r="EL68" s="63"/>
      <c r="EM68" s="63"/>
      <c r="EN68" s="63"/>
      <c r="EO68" s="63"/>
      <c r="EP68" s="63"/>
      <c r="EQ68" s="63"/>
      <c r="ER68" s="63"/>
      <c r="ES68" s="63"/>
      <c r="ET68" s="63"/>
      <c r="EU68" s="63"/>
      <c r="EV68" s="63"/>
      <c r="EW68" s="63"/>
      <c r="EX68" s="63"/>
      <c r="EY68" s="63"/>
      <c r="EZ68" s="63"/>
      <c r="FA68" s="63"/>
      <c r="FB68" s="63"/>
    </row>
    <row r="69" spans="1:158" ht="15" customHeight="1" x14ac:dyDescent="0.2">
      <c r="B69" s="2269"/>
      <c r="C69" s="1545">
        <v>0.03</v>
      </c>
      <c r="D69" s="1545"/>
      <c r="E69" s="23" t="s">
        <v>1791</v>
      </c>
      <c r="F69" s="1545">
        <f>SUMIF($T$39:$AH$39,F68,$T$40:$AH$40)</f>
        <v>0</v>
      </c>
      <c r="G69" s="1545"/>
      <c r="H69" s="201" t="s">
        <v>1792</v>
      </c>
      <c r="I69" s="1545">
        <v>0.03</v>
      </c>
      <c r="J69" s="1545"/>
      <c r="K69" s="23" t="s">
        <v>1791</v>
      </c>
      <c r="L69" s="1545">
        <f>SUMIF($T$39:$AH$39,L68,$T$40:$AH$40)</f>
        <v>0</v>
      </c>
      <c r="M69" s="1545"/>
      <c r="N69" s="201" t="s">
        <v>1793</v>
      </c>
      <c r="O69" s="296" t="str">
        <f>IF(F68="","",IF(C69*F69-I69*L69&lt;=0,"",C69*F69-I69*L69))</f>
        <v/>
      </c>
      <c r="P69" s="1451"/>
      <c r="Q69" s="63"/>
      <c r="R69" s="148"/>
      <c r="S69" s="40"/>
      <c r="T69" s="89"/>
      <c r="U69" s="148"/>
      <c r="V69" s="63"/>
      <c r="W69" s="63"/>
      <c r="X69" s="63"/>
      <c r="Y69" s="63"/>
      <c r="Z69" s="63"/>
      <c r="AA69" s="63"/>
      <c r="AB69" s="63"/>
      <c r="AC69" s="63"/>
      <c r="AD69" s="63"/>
      <c r="AE69" s="63"/>
      <c r="AF69" s="63"/>
      <c r="AG69" s="63"/>
      <c r="AH69" s="63"/>
      <c r="AI69" s="63"/>
      <c r="AJ69" s="63"/>
      <c r="AK69" s="63"/>
      <c r="AL69" s="63"/>
      <c r="AM69" s="63"/>
      <c r="AN69" s="63"/>
      <c r="AO69" s="63"/>
      <c r="AP69" s="63"/>
      <c r="AQ69" s="63"/>
      <c r="AR69" s="63"/>
      <c r="AS69" s="63"/>
      <c r="AT69" s="63"/>
      <c r="AU69" s="63"/>
      <c r="AV69" s="63"/>
      <c r="AW69" s="63"/>
      <c r="AX69" s="63"/>
      <c r="AY69" s="63"/>
      <c r="AZ69" s="63"/>
      <c r="BA69" s="63"/>
      <c r="BB69" s="63"/>
      <c r="BC69" s="63"/>
      <c r="BD69" s="63"/>
      <c r="BE69" s="63"/>
      <c r="BF69" s="63"/>
      <c r="BG69" s="63"/>
      <c r="BH69" s="63"/>
      <c r="BI69" s="63"/>
      <c r="BJ69" s="63"/>
      <c r="BK69" s="63"/>
      <c r="BL69" s="63"/>
      <c r="BM69" s="63"/>
      <c r="BN69" s="63"/>
      <c r="BO69" s="63"/>
      <c r="BP69" s="63"/>
      <c r="BQ69" s="63"/>
      <c r="BR69" s="63"/>
      <c r="BS69" s="63"/>
      <c r="BT69" s="63"/>
      <c r="BU69" s="63"/>
      <c r="BV69" s="63"/>
      <c r="BW69" s="63"/>
      <c r="BX69" s="63"/>
      <c r="BY69" s="63"/>
      <c r="BZ69" s="63"/>
      <c r="CA69" s="63"/>
      <c r="CB69" s="63"/>
      <c r="CC69" s="63"/>
      <c r="CD69" s="63"/>
      <c r="CE69" s="63"/>
      <c r="CF69" s="63"/>
      <c r="CG69" s="63"/>
      <c r="CH69" s="63"/>
      <c r="CI69" s="63"/>
      <c r="CJ69" s="63"/>
      <c r="CK69" s="63"/>
      <c r="CL69" s="63"/>
      <c r="CM69" s="63"/>
      <c r="CN69" s="63"/>
      <c r="CO69" s="63"/>
      <c r="CP69" s="63"/>
      <c r="CQ69" s="63"/>
      <c r="CR69" s="63"/>
      <c r="CS69" s="63"/>
      <c r="CT69" s="63"/>
      <c r="CU69" s="63"/>
      <c r="CV69" s="63"/>
      <c r="CW69" s="63"/>
      <c r="CX69" s="63"/>
      <c r="CY69" s="63"/>
      <c r="CZ69" s="63"/>
      <c r="DA69" s="63"/>
      <c r="DB69" s="63"/>
      <c r="DC69" s="63"/>
      <c r="DD69" s="63"/>
      <c r="DE69" s="63"/>
      <c r="DF69" s="63"/>
      <c r="DG69" s="63"/>
      <c r="DH69" s="63"/>
      <c r="DI69" s="63"/>
      <c r="DJ69" s="63"/>
      <c r="DK69" s="63"/>
      <c r="DL69" s="63"/>
      <c r="DM69" s="63"/>
      <c r="DN69" s="63"/>
      <c r="DO69" s="63"/>
      <c r="DP69" s="63"/>
      <c r="DQ69" s="63"/>
      <c r="DR69" s="63"/>
      <c r="DS69" s="63"/>
      <c r="DT69" s="63"/>
      <c r="DU69" s="63"/>
      <c r="DV69" s="63"/>
      <c r="DW69" s="63"/>
      <c r="DX69" s="63"/>
      <c r="DY69" s="63"/>
      <c r="DZ69" s="63"/>
      <c r="EA69" s="63"/>
      <c r="EB69" s="63"/>
      <c r="EC69" s="63"/>
      <c r="ED69" s="63"/>
      <c r="EE69" s="63"/>
      <c r="EF69" s="63"/>
      <c r="EG69" s="63"/>
      <c r="EH69" s="63"/>
      <c r="EI69" s="63"/>
      <c r="EJ69" s="63"/>
      <c r="EK69" s="63"/>
      <c r="EL69" s="63"/>
      <c r="EM69" s="63"/>
      <c r="EN69" s="63"/>
      <c r="EO69" s="63"/>
      <c r="EP69" s="63"/>
      <c r="EQ69" s="63"/>
      <c r="ER69" s="63"/>
      <c r="ES69" s="63"/>
      <c r="ET69" s="63"/>
      <c r="EU69" s="63"/>
      <c r="EV69" s="63"/>
      <c r="EW69" s="63"/>
      <c r="EX69" s="63"/>
      <c r="EY69" s="63"/>
      <c r="EZ69" s="63"/>
      <c r="FA69" s="63"/>
      <c r="FB69" s="63"/>
    </row>
    <row r="70" spans="1:158" ht="15" customHeight="1" x14ac:dyDescent="0.2">
      <c r="B70" s="2268" t="s">
        <v>639</v>
      </c>
      <c r="C70" s="1452"/>
      <c r="D70" s="1452"/>
      <c r="E70" s="286"/>
      <c r="F70" s="2277"/>
      <c r="G70" s="2277"/>
      <c r="H70" s="510"/>
      <c r="I70" s="1452"/>
      <c r="J70" s="1452"/>
      <c r="K70" s="286"/>
      <c r="L70" s="2277"/>
      <c r="M70" s="2277"/>
      <c r="N70" s="452"/>
      <c r="O70" s="17"/>
      <c r="P70" s="1451"/>
      <c r="Q70" s="63"/>
      <c r="R70" s="148"/>
      <c r="S70" s="40"/>
      <c r="T70" s="89"/>
      <c r="U70" s="148"/>
      <c r="V70" s="63"/>
      <c r="W70" s="63"/>
      <c r="X70" s="63"/>
      <c r="Y70" s="63"/>
      <c r="Z70" s="63"/>
      <c r="AA70" s="63"/>
      <c r="AB70" s="63"/>
      <c r="AC70" s="63"/>
      <c r="AD70" s="63"/>
      <c r="AE70" s="63"/>
      <c r="AF70" s="63"/>
      <c r="AG70" s="63"/>
      <c r="AH70" s="63"/>
      <c r="AI70" s="63"/>
      <c r="AJ70" s="63"/>
      <c r="AK70" s="63"/>
      <c r="AL70" s="63"/>
      <c r="AM70" s="63"/>
      <c r="AN70" s="63"/>
      <c r="AO70" s="63"/>
      <c r="AP70" s="63"/>
      <c r="AQ70" s="63"/>
      <c r="AR70" s="63"/>
      <c r="AS70" s="63"/>
      <c r="AT70" s="63"/>
      <c r="AU70" s="63"/>
      <c r="AV70" s="63"/>
      <c r="AW70" s="63"/>
      <c r="AX70" s="63"/>
      <c r="AY70" s="63"/>
      <c r="AZ70" s="63"/>
      <c r="BA70" s="63"/>
      <c r="BB70" s="63"/>
      <c r="BC70" s="63"/>
      <c r="BD70" s="63"/>
      <c r="BE70" s="63"/>
      <c r="BF70" s="63"/>
      <c r="BG70" s="63"/>
      <c r="BH70" s="63"/>
      <c r="BI70" s="63"/>
      <c r="BJ70" s="63"/>
      <c r="BK70" s="63"/>
      <c r="BL70" s="63"/>
      <c r="BM70" s="63"/>
      <c r="BN70" s="63"/>
      <c r="BO70" s="63"/>
      <c r="BP70" s="63"/>
      <c r="BQ70" s="63"/>
      <c r="BR70" s="63"/>
      <c r="BS70" s="63"/>
      <c r="BT70" s="63"/>
      <c r="BU70" s="63"/>
      <c r="BV70" s="63"/>
      <c r="BW70" s="63"/>
      <c r="BX70" s="63"/>
      <c r="BY70" s="63"/>
      <c r="BZ70" s="63"/>
      <c r="CA70" s="63"/>
      <c r="CB70" s="63"/>
      <c r="CC70" s="63"/>
      <c r="CD70" s="63"/>
      <c r="CE70" s="63"/>
      <c r="CF70" s="63"/>
      <c r="CG70" s="63"/>
      <c r="CH70" s="63"/>
      <c r="CI70" s="63"/>
      <c r="CJ70" s="63"/>
      <c r="CK70" s="63"/>
      <c r="CL70" s="63"/>
      <c r="CM70" s="63"/>
      <c r="CN70" s="63"/>
      <c r="CO70" s="63"/>
      <c r="CP70" s="63"/>
      <c r="CQ70" s="63"/>
      <c r="CR70" s="63"/>
      <c r="CS70" s="63"/>
      <c r="CT70" s="63"/>
      <c r="CU70" s="63"/>
      <c r="CV70" s="63"/>
      <c r="CW70" s="63"/>
      <c r="CX70" s="63"/>
      <c r="CY70" s="63"/>
      <c r="CZ70" s="63"/>
      <c r="DA70" s="63"/>
      <c r="DB70" s="63"/>
      <c r="DC70" s="63"/>
      <c r="DD70" s="63"/>
      <c r="DE70" s="63"/>
      <c r="DF70" s="63"/>
      <c r="DG70" s="63"/>
      <c r="DH70" s="63"/>
      <c r="DI70" s="63"/>
      <c r="DJ70" s="63"/>
      <c r="DK70" s="63"/>
      <c r="DL70" s="63"/>
      <c r="DM70" s="63"/>
      <c r="DN70" s="63"/>
      <c r="DO70" s="63"/>
      <c r="DP70" s="63"/>
      <c r="DQ70" s="63"/>
      <c r="DR70" s="63"/>
      <c r="DS70" s="63"/>
      <c r="DT70" s="63"/>
      <c r="DU70" s="63"/>
      <c r="DV70" s="63"/>
      <c r="DW70" s="63"/>
      <c r="DX70" s="63"/>
      <c r="DY70" s="63"/>
      <c r="DZ70" s="63"/>
      <c r="EA70" s="63"/>
      <c r="EB70" s="63"/>
      <c r="EC70" s="63"/>
      <c r="ED70" s="63"/>
      <c r="EE70" s="63"/>
      <c r="EF70" s="63"/>
      <c r="EG70" s="63"/>
      <c r="EH70" s="63"/>
      <c r="EI70" s="63"/>
      <c r="EJ70" s="63"/>
      <c r="EK70" s="63"/>
      <c r="EL70" s="63"/>
      <c r="EM70" s="63"/>
      <c r="EN70" s="63"/>
      <c r="EO70" s="63"/>
      <c r="EP70" s="63"/>
      <c r="EQ70" s="63"/>
      <c r="ER70" s="63"/>
      <c r="ES70" s="63"/>
      <c r="ET70" s="63"/>
      <c r="EU70" s="63"/>
      <c r="EV70" s="63"/>
      <c r="EW70" s="63"/>
      <c r="EX70" s="63"/>
      <c r="EY70" s="63"/>
      <c r="EZ70" s="63"/>
      <c r="FA70" s="63"/>
      <c r="FB70" s="63"/>
    </row>
    <row r="71" spans="1:158" ht="15" customHeight="1" x14ac:dyDescent="0.2">
      <c r="B71" s="2269"/>
      <c r="C71" s="1545">
        <v>0.03</v>
      </c>
      <c r="D71" s="1545"/>
      <c r="E71" s="23" t="s">
        <v>1791</v>
      </c>
      <c r="F71" s="1545">
        <f>SUMIF($T$39:$AH$39,F70,$T$40:$AH$40)</f>
        <v>0</v>
      </c>
      <c r="G71" s="1545"/>
      <c r="H71" s="201" t="s">
        <v>1792</v>
      </c>
      <c r="I71" s="1545">
        <v>0.03</v>
      </c>
      <c r="J71" s="1545"/>
      <c r="K71" s="23" t="s">
        <v>1791</v>
      </c>
      <c r="L71" s="1545">
        <f>SUMIF($T$39:$AH$39,L70,$T$40:$AH$40)</f>
        <v>0</v>
      </c>
      <c r="M71" s="1545"/>
      <c r="N71" s="201" t="s">
        <v>1793</v>
      </c>
      <c r="O71" s="296" t="str">
        <f>IF(F70="","",IF(C71*F71-I71*L71&lt;=0,"",C71*F71-I71*L71))</f>
        <v/>
      </c>
      <c r="P71" s="1451"/>
      <c r="Q71" s="63"/>
      <c r="R71" s="148"/>
      <c r="S71" s="40"/>
      <c r="T71" s="89"/>
      <c r="U71" s="148"/>
      <c r="V71" s="63"/>
      <c r="W71" s="63"/>
      <c r="X71" s="63"/>
      <c r="Y71" s="63"/>
      <c r="Z71" s="63"/>
      <c r="AA71" s="63"/>
      <c r="AB71" s="63"/>
      <c r="AC71" s="63"/>
      <c r="AD71" s="63"/>
      <c r="AE71" s="63"/>
      <c r="AF71" s="63"/>
      <c r="AG71" s="63"/>
      <c r="AH71" s="63"/>
      <c r="AI71" s="63"/>
      <c r="AJ71" s="63"/>
      <c r="AK71" s="63"/>
      <c r="AL71" s="63"/>
      <c r="AM71" s="63"/>
      <c r="AN71" s="63"/>
      <c r="AO71" s="63"/>
      <c r="AP71" s="63"/>
      <c r="AQ71" s="63"/>
      <c r="AR71" s="63"/>
      <c r="AS71" s="63"/>
      <c r="AT71" s="63"/>
      <c r="AU71" s="63"/>
      <c r="AV71" s="63"/>
      <c r="AW71" s="63"/>
      <c r="AX71" s="63"/>
      <c r="AY71" s="63"/>
      <c r="AZ71" s="63"/>
      <c r="BA71" s="63"/>
      <c r="BB71" s="63"/>
      <c r="BC71" s="63"/>
      <c r="BD71" s="63"/>
      <c r="BE71" s="63"/>
      <c r="BF71" s="63"/>
      <c r="BG71" s="63"/>
      <c r="BH71" s="63"/>
      <c r="BI71" s="63"/>
      <c r="BJ71" s="63"/>
      <c r="BK71" s="63"/>
      <c r="BL71" s="63"/>
      <c r="BM71" s="63"/>
      <c r="BN71" s="63"/>
      <c r="BO71" s="63"/>
      <c r="BP71" s="63"/>
      <c r="BQ71" s="63"/>
      <c r="BR71" s="63"/>
      <c r="BS71" s="63"/>
      <c r="BT71" s="63"/>
      <c r="BU71" s="63"/>
      <c r="BV71" s="63"/>
      <c r="BW71" s="63"/>
      <c r="BX71" s="63"/>
      <c r="BY71" s="63"/>
      <c r="BZ71" s="63"/>
      <c r="CA71" s="63"/>
      <c r="CB71" s="63"/>
      <c r="CC71" s="63"/>
      <c r="CD71" s="63"/>
      <c r="CE71" s="63"/>
      <c r="CF71" s="63"/>
      <c r="CG71" s="63"/>
      <c r="CH71" s="63"/>
      <c r="CI71" s="63"/>
      <c r="CJ71" s="63"/>
      <c r="CK71" s="63"/>
      <c r="CL71" s="63"/>
      <c r="CM71" s="63"/>
      <c r="CN71" s="63"/>
      <c r="CO71" s="63"/>
      <c r="CP71" s="63"/>
      <c r="CQ71" s="63"/>
      <c r="CR71" s="63"/>
      <c r="CS71" s="63"/>
      <c r="CT71" s="63"/>
      <c r="CU71" s="63"/>
      <c r="CV71" s="63"/>
      <c r="CW71" s="63"/>
      <c r="CX71" s="63"/>
      <c r="CY71" s="63"/>
      <c r="CZ71" s="63"/>
      <c r="DA71" s="63"/>
      <c r="DB71" s="63"/>
      <c r="DC71" s="63"/>
      <c r="DD71" s="63"/>
      <c r="DE71" s="63"/>
      <c r="DF71" s="63"/>
      <c r="DG71" s="63"/>
      <c r="DH71" s="63"/>
      <c r="DI71" s="63"/>
      <c r="DJ71" s="63"/>
      <c r="DK71" s="63"/>
      <c r="DL71" s="63"/>
      <c r="DM71" s="63"/>
      <c r="DN71" s="63"/>
      <c r="DO71" s="63"/>
      <c r="DP71" s="63"/>
      <c r="DQ71" s="63"/>
      <c r="DR71" s="63"/>
      <c r="DS71" s="63"/>
      <c r="DT71" s="63"/>
      <c r="DU71" s="63"/>
      <c r="DV71" s="63"/>
      <c r="DW71" s="63"/>
      <c r="DX71" s="63"/>
      <c r="DY71" s="63"/>
      <c r="DZ71" s="63"/>
      <c r="EA71" s="63"/>
      <c r="EB71" s="63"/>
      <c r="EC71" s="63"/>
      <c r="ED71" s="63"/>
      <c r="EE71" s="63"/>
      <c r="EF71" s="63"/>
      <c r="EG71" s="63"/>
      <c r="EH71" s="63"/>
      <c r="EI71" s="63"/>
      <c r="EJ71" s="63"/>
      <c r="EK71" s="63"/>
      <c r="EL71" s="63"/>
      <c r="EM71" s="63"/>
      <c r="EN71" s="63"/>
      <c r="EO71" s="63"/>
      <c r="EP71" s="63"/>
      <c r="EQ71" s="63"/>
      <c r="ER71" s="63"/>
      <c r="ES71" s="63"/>
      <c r="ET71" s="63"/>
      <c r="EU71" s="63"/>
      <c r="EV71" s="63"/>
      <c r="EW71" s="63"/>
      <c r="EX71" s="63"/>
      <c r="EY71" s="63"/>
      <c r="EZ71" s="63"/>
      <c r="FA71" s="63"/>
      <c r="FB71" s="63"/>
    </row>
    <row r="72" spans="1:158" ht="30" customHeight="1" x14ac:dyDescent="0.2">
      <c r="B72" s="513" t="s">
        <v>1388</v>
      </c>
      <c r="C72" s="2297" t="str">
        <f>IF(AND(O67&lt;&gt;"",U44=1),"ERROR: Record strength for 'Overall' or specific muscles, not both.","")</f>
        <v/>
      </c>
      <c r="D72" s="2297"/>
      <c r="E72" s="2297"/>
      <c r="F72" s="2297"/>
      <c r="G72" s="2297"/>
      <c r="H72" s="2297"/>
      <c r="I72" s="2297"/>
      <c r="J72" s="2297"/>
      <c r="K72" s="2297"/>
      <c r="L72" s="2297"/>
      <c r="M72" s="2297"/>
      <c r="N72" s="342" t="s">
        <v>1793</v>
      </c>
      <c r="O72" s="343">
        <f>IF(C72&lt;&gt;"","ERROR",IF(AND(O67="",O69="",O71=""),0,AVERAGE(O67,O69,O71)))</f>
        <v>0</v>
      </c>
      <c r="P72" s="1452"/>
      <c r="Q72" s="63"/>
      <c r="R72" s="148"/>
      <c r="S72" s="40"/>
      <c r="T72" s="89"/>
      <c r="U72" s="148"/>
      <c r="V72" s="63"/>
      <c r="W72" s="63"/>
      <c r="X72" s="63"/>
      <c r="Y72" s="63"/>
      <c r="Z72" s="63"/>
      <c r="AA72" s="63"/>
      <c r="AB72" s="63"/>
      <c r="AC72" s="63"/>
      <c r="AD72" s="63"/>
      <c r="AE72" s="63"/>
      <c r="AF72" s="63"/>
      <c r="AG72" s="63"/>
      <c r="AH72" s="63"/>
      <c r="AI72" s="63"/>
      <c r="AJ72" s="63"/>
      <c r="AK72" s="63"/>
      <c r="AL72" s="63"/>
      <c r="AM72" s="63"/>
      <c r="AN72" s="63"/>
      <c r="AO72" s="63"/>
      <c r="AP72" s="63"/>
      <c r="AQ72" s="63"/>
      <c r="AR72" s="63"/>
      <c r="AS72" s="63"/>
      <c r="AT72" s="63"/>
      <c r="AU72" s="63"/>
      <c r="AV72" s="63"/>
      <c r="AW72" s="63"/>
      <c r="AX72" s="63"/>
      <c r="AY72" s="63"/>
      <c r="AZ72" s="63"/>
      <c r="BA72" s="63"/>
      <c r="BB72" s="63"/>
      <c r="BC72" s="63"/>
      <c r="BD72" s="63"/>
      <c r="BE72" s="63"/>
      <c r="BF72" s="63"/>
      <c r="BG72" s="63"/>
      <c r="BH72" s="63"/>
      <c r="BI72" s="63"/>
      <c r="BJ72" s="63"/>
      <c r="BK72" s="63"/>
      <c r="BL72" s="63"/>
      <c r="BM72" s="63"/>
      <c r="BN72" s="63"/>
      <c r="BO72" s="63"/>
      <c r="BP72" s="63"/>
      <c r="BQ72" s="63"/>
      <c r="BR72" s="63"/>
      <c r="BS72" s="63"/>
      <c r="BT72" s="63"/>
      <c r="BU72" s="63"/>
      <c r="BV72" s="63"/>
      <c r="BW72" s="63"/>
      <c r="BX72" s="63"/>
      <c r="BY72" s="63"/>
      <c r="BZ72" s="63"/>
      <c r="CA72" s="63"/>
      <c r="CB72" s="63"/>
      <c r="CC72" s="63"/>
      <c r="CD72" s="63"/>
      <c r="CE72" s="63"/>
      <c r="CF72" s="63"/>
      <c r="CG72" s="63"/>
      <c r="CH72" s="63"/>
      <c r="CI72" s="63"/>
      <c r="CJ72" s="63"/>
      <c r="CK72" s="63"/>
      <c r="CL72" s="63"/>
      <c r="CM72" s="63"/>
      <c r="CN72" s="63"/>
      <c r="CO72" s="63"/>
      <c r="CP72" s="63"/>
      <c r="CQ72" s="63"/>
      <c r="CR72" s="63"/>
      <c r="CS72" s="63"/>
      <c r="CT72" s="63"/>
      <c r="CU72" s="63"/>
      <c r="CV72" s="63"/>
      <c r="CW72" s="63"/>
      <c r="CX72" s="63"/>
      <c r="CY72" s="63"/>
      <c r="CZ72" s="63"/>
      <c r="DA72" s="63"/>
      <c r="DB72" s="63"/>
      <c r="DC72" s="63"/>
      <c r="DD72" s="63"/>
      <c r="DE72" s="63"/>
      <c r="DF72" s="63"/>
      <c r="DG72" s="63"/>
      <c r="DH72" s="63"/>
      <c r="DI72" s="63"/>
      <c r="DJ72" s="63"/>
      <c r="DK72" s="63"/>
      <c r="DL72" s="63"/>
      <c r="DM72" s="63"/>
      <c r="DN72" s="63"/>
      <c r="DO72" s="63"/>
      <c r="DP72" s="63"/>
      <c r="DQ72" s="63"/>
      <c r="DR72" s="63"/>
      <c r="DS72" s="63"/>
      <c r="DT72" s="63"/>
      <c r="DU72" s="63"/>
      <c r="DV72" s="63"/>
      <c r="DW72" s="63"/>
      <c r="DX72" s="63"/>
      <c r="DY72" s="63"/>
      <c r="DZ72" s="63"/>
      <c r="EA72" s="63"/>
      <c r="EB72" s="63"/>
      <c r="EC72" s="63"/>
      <c r="ED72" s="63"/>
      <c r="EE72" s="63"/>
      <c r="EF72" s="63"/>
      <c r="EG72" s="63"/>
      <c r="EH72" s="63"/>
      <c r="EI72" s="63"/>
      <c r="EJ72" s="63"/>
      <c r="EK72" s="63"/>
      <c r="EL72" s="63"/>
      <c r="EM72" s="63"/>
      <c r="EN72" s="63"/>
      <c r="EO72" s="63"/>
      <c r="EP72" s="63"/>
      <c r="EQ72" s="63"/>
      <c r="ER72" s="63"/>
      <c r="ES72" s="63"/>
      <c r="ET72" s="63"/>
      <c r="EU72" s="63"/>
      <c r="EV72" s="63"/>
      <c r="EW72" s="63"/>
      <c r="EX72" s="63"/>
      <c r="EY72" s="63"/>
      <c r="EZ72" s="63"/>
      <c r="FA72" s="63"/>
      <c r="FB72" s="63"/>
    </row>
    <row r="73" spans="1:158" ht="11.25" customHeight="1" x14ac:dyDescent="0.2">
      <c r="A73" s="3"/>
      <c r="B73" s="2300"/>
      <c r="C73" s="2301"/>
      <c r="D73" s="2301"/>
      <c r="E73" s="2301"/>
      <c r="F73" s="2301"/>
      <c r="G73" s="2301"/>
      <c r="H73" s="2301"/>
      <c r="I73" s="2301"/>
      <c r="J73" s="2301"/>
      <c r="K73" s="2301"/>
      <c r="L73" s="2301"/>
      <c r="M73" s="2301"/>
      <c r="N73" s="2301"/>
      <c r="O73" s="2301"/>
      <c r="P73" s="2302"/>
      <c r="Q73" s="7"/>
      <c r="R73" s="148"/>
      <c r="S73" s="40"/>
      <c r="T73" s="89"/>
      <c r="U73" s="148"/>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A73" s="63"/>
      <c r="CB73" s="63"/>
      <c r="CC73" s="63"/>
      <c r="CD73" s="63"/>
      <c r="CE73" s="63"/>
      <c r="CF73" s="63"/>
      <c r="CG73" s="63"/>
      <c r="CH73" s="63"/>
      <c r="CI73" s="63"/>
      <c r="CJ73" s="63"/>
      <c r="CK73" s="63"/>
      <c r="CL73" s="63"/>
      <c r="CM73" s="63"/>
      <c r="CN73" s="63"/>
      <c r="CO73" s="63"/>
      <c r="CP73" s="63"/>
      <c r="CQ73" s="63"/>
      <c r="CR73" s="63"/>
      <c r="CS73" s="63"/>
      <c r="CT73" s="63"/>
      <c r="CU73" s="63"/>
      <c r="CV73" s="63"/>
      <c r="CW73" s="63"/>
      <c r="CX73" s="63"/>
      <c r="CY73" s="63"/>
      <c r="CZ73" s="63"/>
      <c r="DA73" s="63"/>
      <c r="DB73" s="63"/>
      <c r="DC73" s="63"/>
      <c r="DD73" s="63"/>
      <c r="DE73" s="63"/>
      <c r="DF73" s="63"/>
      <c r="DG73" s="63"/>
      <c r="DH73" s="63"/>
      <c r="DI73" s="63"/>
      <c r="DJ73" s="63"/>
      <c r="DK73" s="63"/>
      <c r="DL73" s="63"/>
      <c r="DM73" s="63"/>
      <c r="DN73" s="63"/>
      <c r="DO73" s="63"/>
      <c r="DP73" s="63"/>
      <c r="DQ73" s="63"/>
      <c r="DR73" s="63"/>
      <c r="DS73" s="63"/>
      <c r="DT73" s="63"/>
      <c r="DU73" s="63"/>
      <c r="DV73" s="63"/>
      <c r="DW73" s="63"/>
      <c r="DX73" s="63"/>
      <c r="DY73" s="63"/>
      <c r="DZ73" s="63"/>
      <c r="EA73" s="63"/>
      <c r="EB73" s="63"/>
      <c r="EC73" s="63"/>
      <c r="ED73" s="63"/>
      <c r="EE73" s="63"/>
      <c r="EF73" s="63"/>
      <c r="EG73" s="63"/>
      <c r="EH73" s="63"/>
      <c r="EI73" s="63"/>
      <c r="EJ73" s="63"/>
      <c r="EK73" s="63"/>
      <c r="EL73" s="63"/>
      <c r="EM73" s="63"/>
      <c r="EN73" s="63"/>
      <c r="EO73" s="63"/>
      <c r="EP73" s="63"/>
      <c r="EQ73" s="63"/>
      <c r="ER73" s="63"/>
      <c r="ES73" s="63"/>
      <c r="ET73" s="63"/>
      <c r="EU73" s="63"/>
      <c r="EV73" s="63"/>
      <c r="EW73" s="63"/>
      <c r="EX73" s="63"/>
      <c r="EY73" s="63"/>
      <c r="EZ73" s="63"/>
      <c r="FA73" s="63"/>
      <c r="FB73" s="63"/>
    </row>
    <row r="74" spans="1:158" ht="11.25" customHeight="1" x14ac:dyDescent="0.2">
      <c r="A74" s="3"/>
      <c r="B74" s="2299"/>
      <c r="C74" s="2299"/>
      <c r="D74" s="2299"/>
      <c r="E74" s="2299"/>
      <c r="F74" s="2299"/>
      <c r="G74" s="2299"/>
      <c r="H74" s="2299"/>
      <c r="I74" s="2299"/>
      <c r="J74" s="2299"/>
      <c r="K74" s="2299"/>
      <c r="L74" s="2299"/>
      <c r="M74" s="2299"/>
      <c r="N74" s="2299"/>
      <c r="O74" s="2299"/>
      <c r="P74" s="2299"/>
      <c r="Q74" s="7"/>
      <c r="R74" s="148"/>
      <c r="S74" s="40"/>
      <c r="T74" s="89"/>
      <c r="U74" s="148"/>
      <c r="V74" s="63"/>
      <c r="W74" s="63"/>
      <c r="X74" s="63"/>
      <c r="Y74" s="63"/>
      <c r="Z74" s="63"/>
      <c r="AA74" s="63"/>
      <c r="AB74" s="63"/>
      <c r="AC74" s="63"/>
      <c r="AD74" s="63"/>
      <c r="AE74" s="63"/>
      <c r="AF74" s="63"/>
      <c r="AG74" s="63"/>
      <c r="AH74" s="63"/>
      <c r="AI74" s="63"/>
      <c r="AJ74" s="63"/>
      <c r="AK74" s="63"/>
      <c r="AL74" s="63"/>
      <c r="AM74" s="63"/>
      <c r="AN74" s="63"/>
      <c r="AO74" s="63"/>
      <c r="AP74" s="63"/>
      <c r="AQ74" s="63"/>
      <c r="AR74" s="63"/>
      <c r="AS74" s="63"/>
      <c r="AT74" s="63"/>
      <c r="AU74" s="63"/>
      <c r="AV74" s="63"/>
      <c r="AW74" s="63"/>
      <c r="AX74" s="63"/>
      <c r="AY74" s="63"/>
      <c r="AZ74" s="63"/>
      <c r="BA74" s="63"/>
      <c r="BB74" s="63"/>
      <c r="BC74" s="63"/>
      <c r="BD74" s="63"/>
      <c r="BE74" s="63"/>
      <c r="BF74" s="63"/>
      <c r="BG74" s="63"/>
      <c r="BH74" s="63"/>
      <c r="BI74" s="63"/>
      <c r="BJ74" s="63"/>
      <c r="BK74" s="63"/>
      <c r="BL74" s="63"/>
      <c r="BM74" s="63"/>
      <c r="BN74" s="63"/>
      <c r="BO74" s="63"/>
      <c r="BP74" s="63"/>
      <c r="BQ74" s="63"/>
      <c r="BR74" s="63"/>
      <c r="BS74" s="63"/>
      <c r="BT74" s="63"/>
      <c r="BU74" s="63"/>
      <c r="BV74" s="63"/>
      <c r="BW74" s="63"/>
      <c r="BX74" s="63"/>
      <c r="BY74" s="63"/>
      <c r="BZ74" s="63"/>
      <c r="CA74" s="63"/>
      <c r="CB74" s="63"/>
      <c r="CC74" s="63"/>
      <c r="CD74" s="63"/>
      <c r="CE74" s="63"/>
      <c r="CF74" s="63"/>
      <c r="CG74" s="63"/>
      <c r="CH74" s="63"/>
      <c r="CI74" s="63"/>
      <c r="CJ74" s="63"/>
      <c r="CK74" s="63"/>
      <c r="CL74" s="63"/>
      <c r="CM74" s="63"/>
      <c r="CN74" s="63"/>
      <c r="CO74" s="63"/>
      <c r="CP74" s="63"/>
      <c r="CQ74" s="63"/>
      <c r="CR74" s="63"/>
      <c r="CS74" s="63"/>
      <c r="CT74" s="63"/>
      <c r="CU74" s="63"/>
      <c r="CV74" s="63"/>
      <c r="CW74" s="63"/>
      <c r="CX74" s="63"/>
      <c r="CY74" s="63"/>
      <c r="CZ74" s="63"/>
      <c r="DA74" s="63"/>
      <c r="DB74" s="63"/>
      <c r="DC74" s="63"/>
      <c r="DD74" s="63"/>
      <c r="DE74" s="63"/>
      <c r="DF74" s="63"/>
      <c r="DG74" s="63"/>
      <c r="DH74" s="63"/>
      <c r="DI74" s="63"/>
      <c r="DJ74" s="63"/>
      <c r="DK74" s="63"/>
      <c r="DL74" s="63"/>
      <c r="DM74" s="63"/>
      <c r="DN74" s="63"/>
      <c r="DO74" s="63"/>
      <c r="DP74" s="63"/>
      <c r="DQ74" s="63"/>
      <c r="DR74" s="63"/>
      <c r="DS74" s="63"/>
      <c r="DT74" s="63"/>
      <c r="DU74" s="63"/>
      <c r="DV74" s="63"/>
      <c r="DW74" s="63"/>
      <c r="DX74" s="63"/>
      <c r="DY74" s="63"/>
      <c r="DZ74" s="63"/>
      <c r="EA74" s="63"/>
      <c r="EB74" s="63"/>
      <c r="EC74" s="63"/>
      <c r="ED74" s="63"/>
      <c r="EE74" s="63"/>
      <c r="EF74" s="63"/>
      <c r="EG74" s="63"/>
      <c r="EH74" s="63"/>
      <c r="EI74" s="63"/>
      <c r="EJ74" s="63"/>
      <c r="EK74" s="63"/>
      <c r="EL74" s="63"/>
      <c r="EM74" s="63"/>
      <c r="EN74" s="63"/>
      <c r="EO74" s="63"/>
      <c r="EP74" s="63"/>
      <c r="EQ74" s="63"/>
      <c r="ER74" s="63"/>
      <c r="ES74" s="63"/>
      <c r="ET74" s="63"/>
      <c r="EU74" s="63"/>
      <c r="EV74" s="63"/>
      <c r="EW74" s="63"/>
      <c r="EX74" s="63"/>
      <c r="EY74" s="63"/>
      <c r="EZ74" s="63"/>
      <c r="FA74" s="63"/>
      <c r="FB74" s="63"/>
    </row>
    <row r="75" spans="1:158" ht="15" customHeight="1" x14ac:dyDescent="0.2">
      <c r="B75" s="508" t="s">
        <v>1386</v>
      </c>
      <c r="C75" s="1452"/>
      <c r="D75" s="1452"/>
      <c r="E75" s="286"/>
      <c r="F75" s="2277"/>
      <c r="G75" s="2277"/>
      <c r="H75" s="510"/>
      <c r="I75" s="1452"/>
      <c r="J75" s="1452"/>
      <c r="K75" s="286"/>
      <c r="L75" s="2277"/>
      <c r="M75" s="2277"/>
      <c r="N75" s="510"/>
      <c r="O75" s="98"/>
      <c r="P75" s="1451"/>
      <c r="Q75" s="63"/>
      <c r="R75" s="148"/>
      <c r="S75" s="40"/>
      <c r="T75" s="89"/>
      <c r="U75" s="148"/>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c r="CA75" s="63"/>
      <c r="CB75" s="63"/>
      <c r="CC75" s="63"/>
      <c r="CD75" s="63"/>
      <c r="CE75" s="63"/>
      <c r="CF75" s="63"/>
      <c r="CG75" s="63"/>
      <c r="CH75" s="63"/>
      <c r="CI75" s="63"/>
      <c r="CJ75" s="63"/>
      <c r="CK75" s="63"/>
      <c r="CL75" s="63"/>
      <c r="CM75" s="63"/>
      <c r="CN75" s="63"/>
      <c r="CO75" s="63"/>
      <c r="CP75" s="63"/>
      <c r="CQ75" s="63"/>
      <c r="CR75" s="63"/>
      <c r="CS75" s="63"/>
      <c r="CT75" s="63"/>
      <c r="CU75" s="63"/>
      <c r="CV75" s="63"/>
      <c r="CW75" s="63"/>
      <c r="CX75" s="63"/>
      <c r="CY75" s="63"/>
      <c r="CZ75" s="63"/>
      <c r="DA75" s="63"/>
      <c r="DB75" s="63"/>
      <c r="DC75" s="63"/>
      <c r="DD75" s="63"/>
      <c r="DE75" s="63"/>
      <c r="DF75" s="63"/>
      <c r="DG75" s="63"/>
      <c r="DH75" s="63"/>
      <c r="DI75" s="63"/>
      <c r="DJ75" s="63"/>
      <c r="DK75" s="63"/>
      <c r="DL75" s="63"/>
      <c r="DM75" s="63"/>
      <c r="DN75" s="63"/>
      <c r="DO75" s="63"/>
      <c r="DP75" s="63"/>
      <c r="DQ75" s="63"/>
      <c r="DR75" s="63"/>
      <c r="DS75" s="63"/>
      <c r="DT75" s="63"/>
      <c r="DU75" s="63"/>
      <c r="DV75" s="63"/>
      <c r="DW75" s="63"/>
      <c r="DX75" s="63"/>
      <c r="DY75" s="63"/>
      <c r="DZ75" s="63"/>
      <c r="EA75" s="63"/>
      <c r="EB75" s="63"/>
      <c r="EC75" s="63"/>
      <c r="ED75" s="63"/>
      <c r="EE75" s="63"/>
      <c r="EF75" s="63"/>
      <c r="EG75" s="63"/>
      <c r="EH75" s="63"/>
      <c r="EI75" s="63"/>
      <c r="EJ75" s="63"/>
      <c r="EK75" s="63"/>
      <c r="EL75" s="63"/>
      <c r="EM75" s="63"/>
      <c r="EN75" s="63"/>
      <c r="EO75" s="63"/>
      <c r="EP75" s="63"/>
      <c r="EQ75" s="63"/>
      <c r="ER75" s="63"/>
      <c r="ES75" s="63"/>
      <c r="ET75" s="63"/>
      <c r="EU75" s="63"/>
      <c r="EV75" s="63"/>
      <c r="EW75" s="63"/>
      <c r="EX75" s="63"/>
      <c r="EY75" s="63"/>
      <c r="EZ75" s="63"/>
      <c r="FA75" s="63"/>
      <c r="FB75" s="63"/>
    </row>
    <row r="76" spans="1:158" ht="15" customHeight="1" x14ac:dyDescent="0.2">
      <c r="B76" s="511" t="s">
        <v>1001</v>
      </c>
      <c r="C76" s="1545">
        <v>0.09</v>
      </c>
      <c r="D76" s="1545"/>
      <c r="E76" s="23" t="s">
        <v>1791</v>
      </c>
      <c r="F76" s="1545">
        <f>SUMIF($T$39:$AH$39,F75,$T$40:$AH$40)</f>
        <v>0</v>
      </c>
      <c r="G76" s="1545"/>
      <c r="H76" s="201" t="s">
        <v>1792</v>
      </c>
      <c r="I76" s="1545">
        <v>0.09</v>
      </c>
      <c r="J76" s="1545"/>
      <c r="K76" s="23" t="s">
        <v>1791</v>
      </c>
      <c r="L76" s="1545">
        <f>SUMIF($T$39:$AH$39,L75,$T$40:$AH$40)</f>
        <v>0</v>
      </c>
      <c r="M76" s="1545"/>
      <c r="N76" s="201" t="s">
        <v>1793</v>
      </c>
      <c r="O76" s="296" t="str">
        <f>IF(F75="","",IF(C76*F76-I76*L76&lt;=0,"",C76*F76-I76*L76))</f>
        <v/>
      </c>
      <c r="P76" s="1451"/>
      <c r="Q76" s="63"/>
      <c r="R76" s="148"/>
      <c r="S76" s="40"/>
      <c r="T76" s="89"/>
      <c r="U76" s="148"/>
      <c r="V76" s="63"/>
      <c r="W76" s="63"/>
      <c r="X76" s="63"/>
      <c r="Y76" s="63"/>
      <c r="Z76" s="63"/>
      <c r="AA76" s="63"/>
      <c r="AB76" s="63"/>
      <c r="AC76" s="63"/>
      <c r="AD76" s="63"/>
      <c r="AE76" s="63"/>
      <c r="AF76" s="63"/>
      <c r="AG76" s="63"/>
      <c r="AH76" s="63"/>
      <c r="AI76" s="63"/>
      <c r="AJ76" s="63"/>
      <c r="AK76" s="63"/>
      <c r="AL76" s="63"/>
      <c r="AM76" s="63"/>
      <c r="AN76" s="63"/>
      <c r="AO76" s="63"/>
      <c r="AP76" s="63"/>
      <c r="AQ76" s="63"/>
      <c r="AR76" s="63"/>
      <c r="AS76" s="63"/>
      <c r="AT76" s="63"/>
      <c r="AU76" s="63"/>
      <c r="AV76" s="63"/>
      <c r="AW76" s="63"/>
      <c r="AX76" s="63"/>
      <c r="AY76" s="63"/>
      <c r="AZ76" s="63"/>
      <c r="BA76" s="63"/>
      <c r="BB76" s="63"/>
      <c r="BC76" s="63"/>
      <c r="BD76" s="63"/>
      <c r="BE76" s="63"/>
      <c r="BF76" s="63"/>
      <c r="BG76" s="63"/>
      <c r="BH76" s="63"/>
      <c r="BI76" s="63"/>
      <c r="BJ76" s="63"/>
      <c r="BK76" s="63"/>
      <c r="BL76" s="63"/>
      <c r="BM76" s="63"/>
      <c r="BN76" s="63"/>
      <c r="BO76" s="63"/>
      <c r="BP76" s="63"/>
      <c r="BQ76" s="63"/>
      <c r="BR76" s="63"/>
      <c r="BS76" s="63"/>
      <c r="BT76" s="63"/>
      <c r="BU76" s="63"/>
      <c r="BV76" s="63"/>
      <c r="BW76" s="63"/>
      <c r="BX76" s="63"/>
      <c r="BY76" s="63"/>
      <c r="BZ76" s="63"/>
      <c r="CA76" s="63"/>
      <c r="CB76" s="63"/>
      <c r="CC76" s="63"/>
      <c r="CD76" s="63"/>
      <c r="CE76" s="63"/>
      <c r="CF76" s="63"/>
      <c r="CG76" s="63"/>
      <c r="CH76" s="63"/>
      <c r="CI76" s="63"/>
      <c r="CJ76" s="63"/>
      <c r="CK76" s="63"/>
      <c r="CL76" s="63"/>
      <c r="CM76" s="63"/>
      <c r="CN76" s="63"/>
      <c r="CO76" s="63"/>
      <c r="CP76" s="63"/>
      <c r="CQ76" s="63"/>
      <c r="CR76" s="63"/>
      <c r="CS76" s="63"/>
      <c r="CT76" s="63"/>
      <c r="CU76" s="63"/>
      <c r="CV76" s="63"/>
      <c r="CW76" s="63"/>
      <c r="CX76" s="63"/>
      <c r="CY76" s="63"/>
      <c r="CZ76" s="63"/>
      <c r="DA76" s="63"/>
      <c r="DB76" s="63"/>
      <c r="DC76" s="63"/>
      <c r="DD76" s="63"/>
      <c r="DE76" s="63"/>
      <c r="DF76" s="63"/>
      <c r="DG76" s="63"/>
      <c r="DH76" s="63"/>
      <c r="DI76" s="63"/>
      <c r="DJ76" s="63"/>
      <c r="DK76" s="63"/>
      <c r="DL76" s="63"/>
      <c r="DM76" s="63"/>
      <c r="DN76" s="63"/>
      <c r="DO76" s="63"/>
      <c r="DP76" s="63"/>
      <c r="DQ76" s="63"/>
      <c r="DR76" s="63"/>
      <c r="DS76" s="63"/>
      <c r="DT76" s="63"/>
      <c r="DU76" s="63"/>
      <c r="DV76" s="63"/>
      <c r="DW76" s="63"/>
      <c r="DX76" s="63"/>
      <c r="DY76" s="63"/>
      <c r="DZ76" s="63"/>
      <c r="EA76" s="63"/>
      <c r="EB76" s="63"/>
      <c r="EC76" s="63"/>
      <c r="ED76" s="63"/>
      <c r="EE76" s="63"/>
      <c r="EF76" s="63"/>
      <c r="EG76" s="63"/>
      <c r="EH76" s="63"/>
      <c r="EI76" s="63"/>
      <c r="EJ76" s="63"/>
      <c r="EK76" s="63"/>
      <c r="EL76" s="63"/>
      <c r="EM76" s="63"/>
      <c r="EN76" s="63"/>
      <c r="EO76" s="63"/>
      <c r="EP76" s="63"/>
      <c r="EQ76" s="63"/>
      <c r="ER76" s="63"/>
      <c r="ES76" s="63"/>
      <c r="ET76" s="63"/>
      <c r="EU76" s="63"/>
      <c r="EV76" s="63"/>
      <c r="EW76" s="63"/>
      <c r="EX76" s="63"/>
      <c r="EY76" s="63"/>
      <c r="EZ76" s="63"/>
      <c r="FA76" s="63"/>
      <c r="FB76" s="63"/>
    </row>
    <row r="77" spans="1:158" ht="15" customHeight="1" x14ac:dyDescent="0.2">
      <c r="B77" s="2268" t="s">
        <v>224</v>
      </c>
      <c r="C77" s="1452"/>
      <c r="D77" s="1452"/>
      <c r="E77" s="286"/>
      <c r="F77" s="2277"/>
      <c r="G77" s="2277"/>
      <c r="H77" s="510"/>
      <c r="I77" s="1452"/>
      <c r="J77" s="1452"/>
      <c r="K77" s="286"/>
      <c r="L77" s="2277"/>
      <c r="M77" s="2277"/>
      <c r="N77" s="452"/>
      <c r="O77" s="17"/>
      <c r="P77" s="1451"/>
      <c r="Q77" s="63"/>
      <c r="R77" s="148"/>
      <c r="S77" s="40"/>
      <c r="T77" s="89"/>
      <c r="U77" s="148"/>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c r="CA77" s="63"/>
      <c r="CB77" s="63"/>
      <c r="CC77" s="63"/>
      <c r="CD77" s="63"/>
      <c r="CE77" s="63"/>
      <c r="CF77" s="63"/>
      <c r="CG77" s="63"/>
      <c r="CH77" s="63"/>
      <c r="CI77" s="63"/>
      <c r="CJ77" s="63"/>
      <c r="CK77" s="63"/>
      <c r="CL77" s="63"/>
      <c r="CM77" s="63"/>
      <c r="CN77" s="63"/>
      <c r="CO77" s="63"/>
      <c r="CP77" s="63"/>
      <c r="CQ77" s="63"/>
      <c r="CR77" s="63"/>
      <c r="CS77" s="63"/>
      <c r="CT77" s="63"/>
      <c r="CU77" s="63"/>
      <c r="CV77" s="63"/>
      <c r="CW77" s="63"/>
      <c r="CX77" s="63"/>
      <c r="CY77" s="63"/>
      <c r="CZ77" s="63"/>
      <c r="DA77" s="63"/>
      <c r="DB77" s="63"/>
      <c r="DC77" s="63"/>
      <c r="DD77" s="63"/>
      <c r="DE77" s="63"/>
      <c r="DF77" s="63"/>
      <c r="DG77" s="63"/>
      <c r="DH77" s="63"/>
      <c r="DI77" s="63"/>
      <c r="DJ77" s="63"/>
      <c r="DK77" s="63"/>
      <c r="DL77" s="63"/>
      <c r="DM77" s="63"/>
      <c r="DN77" s="63"/>
      <c r="DO77" s="63"/>
      <c r="DP77" s="63"/>
      <c r="DQ77" s="63"/>
      <c r="DR77" s="63"/>
      <c r="DS77" s="63"/>
      <c r="DT77" s="63"/>
      <c r="DU77" s="63"/>
      <c r="DV77" s="63"/>
      <c r="DW77" s="63"/>
      <c r="DX77" s="63"/>
      <c r="DY77" s="63"/>
      <c r="DZ77" s="63"/>
      <c r="EA77" s="63"/>
      <c r="EB77" s="63"/>
      <c r="EC77" s="63"/>
      <c r="ED77" s="63"/>
      <c r="EE77" s="63"/>
      <c r="EF77" s="63"/>
      <c r="EG77" s="63"/>
      <c r="EH77" s="63"/>
      <c r="EI77" s="63"/>
      <c r="EJ77" s="63"/>
      <c r="EK77" s="63"/>
      <c r="EL77" s="63"/>
      <c r="EM77" s="63"/>
      <c r="EN77" s="63"/>
      <c r="EO77" s="63"/>
      <c r="EP77" s="63"/>
      <c r="EQ77" s="63"/>
      <c r="ER77" s="63"/>
      <c r="ES77" s="63"/>
      <c r="ET77" s="63"/>
      <c r="EU77" s="63"/>
      <c r="EV77" s="63"/>
      <c r="EW77" s="63"/>
      <c r="EX77" s="63"/>
      <c r="EY77" s="63"/>
      <c r="EZ77" s="63"/>
      <c r="FA77" s="63"/>
      <c r="FB77" s="63"/>
    </row>
    <row r="78" spans="1:158" ht="15" customHeight="1" x14ac:dyDescent="0.2">
      <c r="B78" s="2269"/>
      <c r="C78" s="1545">
        <v>0.09</v>
      </c>
      <c r="D78" s="1545"/>
      <c r="E78" s="23" t="s">
        <v>1791</v>
      </c>
      <c r="F78" s="1545">
        <f>SUMIF($T$39:$AH$39,F77,$T$40:$AH$40)</f>
        <v>0</v>
      </c>
      <c r="G78" s="1545"/>
      <c r="H78" s="201" t="s">
        <v>1792</v>
      </c>
      <c r="I78" s="1545">
        <v>0.09</v>
      </c>
      <c r="J78" s="1545"/>
      <c r="K78" s="23" t="s">
        <v>1791</v>
      </c>
      <c r="L78" s="1545">
        <f>SUMIF($T$39:$AH$39,L77,$T$40:$AH$40)</f>
        <v>0</v>
      </c>
      <c r="M78" s="1545"/>
      <c r="N78" s="201" t="s">
        <v>1793</v>
      </c>
      <c r="O78" s="296" t="str">
        <f>IF(F77="","",IF(C78*F78-I78*L78&lt;=0,"",C78*F78-I78*L78))</f>
        <v/>
      </c>
      <c r="P78" s="1451"/>
      <c r="Q78" s="63"/>
      <c r="R78" s="148"/>
      <c r="S78" s="40"/>
      <c r="T78" s="89"/>
      <c r="U78" s="148"/>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3"/>
      <c r="ET78" s="63"/>
      <c r="EU78" s="63"/>
      <c r="EV78" s="63"/>
      <c r="EW78" s="63"/>
      <c r="EX78" s="63"/>
      <c r="EY78" s="63"/>
      <c r="EZ78" s="63"/>
      <c r="FA78" s="63"/>
      <c r="FB78" s="63"/>
    </row>
    <row r="79" spans="1:158" ht="15" customHeight="1" x14ac:dyDescent="0.2">
      <c r="B79" s="2268" t="s">
        <v>225</v>
      </c>
      <c r="C79" s="1452"/>
      <c r="D79" s="1452"/>
      <c r="E79" s="286"/>
      <c r="F79" s="2277"/>
      <c r="G79" s="2277"/>
      <c r="H79" s="510"/>
      <c r="I79" s="1452"/>
      <c r="J79" s="1452"/>
      <c r="K79" s="286"/>
      <c r="L79" s="2277"/>
      <c r="M79" s="2277"/>
      <c r="N79" s="452"/>
      <c r="O79" s="17"/>
      <c r="P79" s="1451"/>
      <c r="Q79" s="63"/>
      <c r="R79" s="148"/>
      <c r="S79" s="40"/>
      <c r="T79" s="89"/>
      <c r="U79" s="148"/>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3"/>
      <c r="ET79" s="63"/>
      <c r="EU79" s="63"/>
      <c r="EV79" s="63"/>
      <c r="EW79" s="63"/>
      <c r="EX79" s="63"/>
      <c r="EY79" s="63"/>
      <c r="EZ79" s="63"/>
      <c r="FA79" s="63"/>
      <c r="FB79" s="63"/>
    </row>
    <row r="80" spans="1:158" ht="15" customHeight="1" x14ac:dyDescent="0.2">
      <c r="B80" s="2269"/>
      <c r="C80" s="1545">
        <v>0.09</v>
      </c>
      <c r="D80" s="1545"/>
      <c r="E80" s="23" t="s">
        <v>1791</v>
      </c>
      <c r="F80" s="1545">
        <f>SUMIF($T$39:$AH$39,F79,$T$40:$AH$40)</f>
        <v>0</v>
      </c>
      <c r="G80" s="1545"/>
      <c r="H80" s="201" t="s">
        <v>1792</v>
      </c>
      <c r="I80" s="1545">
        <v>0.09</v>
      </c>
      <c r="J80" s="1545"/>
      <c r="K80" s="23" t="s">
        <v>1791</v>
      </c>
      <c r="L80" s="1545">
        <f>SUMIF($T$39:$AH$39,L79,$T$40:$AH$40)</f>
        <v>0</v>
      </c>
      <c r="M80" s="1545"/>
      <c r="N80" s="201" t="s">
        <v>1793</v>
      </c>
      <c r="O80" s="296" t="str">
        <f>IF(F79="","",IF(C80*F80-I80*L80&lt;=0,"",C80*F80-I80*L80))</f>
        <v/>
      </c>
      <c r="P80" s="1451"/>
      <c r="Q80" s="63"/>
      <c r="R80" s="148"/>
      <c r="S80" s="40"/>
      <c r="T80" s="89"/>
      <c r="U80" s="148"/>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3"/>
      <c r="ET80" s="63"/>
      <c r="EU80" s="63"/>
      <c r="EV80" s="63"/>
      <c r="EW80" s="63"/>
      <c r="EX80" s="63"/>
      <c r="EY80" s="63"/>
      <c r="EZ80" s="63"/>
      <c r="FA80" s="63"/>
      <c r="FB80" s="63"/>
    </row>
    <row r="81" spans="1:158" ht="36" customHeight="1" x14ac:dyDescent="0.2">
      <c r="B81" s="513" t="s">
        <v>1732</v>
      </c>
      <c r="C81" s="2293" t="str">
        <f>IF(AND(O76&lt;&gt;"",V44=1),"ERROR: Record strength for 'Overall' or specific muscles, not both.","")</f>
        <v/>
      </c>
      <c r="D81" s="2293"/>
      <c r="E81" s="2293"/>
      <c r="F81" s="2293"/>
      <c r="G81" s="2293"/>
      <c r="H81" s="2293"/>
      <c r="I81" s="2293"/>
      <c r="J81" s="2293"/>
      <c r="K81" s="2293"/>
      <c r="L81" s="2293"/>
      <c r="M81" s="2293"/>
      <c r="N81" s="201" t="s">
        <v>1793</v>
      </c>
      <c r="O81" s="296">
        <f>IF(C81&lt;&gt;"","ERROR",IF(AND(O76="",O78="",O80=""),0,AVERAGE(O76,O78,O80)))</f>
        <v>0</v>
      </c>
      <c r="P81" s="1451"/>
      <c r="Q81" s="63"/>
      <c r="R81" s="148"/>
      <c r="S81" s="40"/>
      <c r="T81" s="89"/>
      <c r="U81" s="148"/>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3"/>
      <c r="ET81" s="63"/>
      <c r="EU81" s="63"/>
      <c r="EV81" s="63"/>
      <c r="EW81" s="63"/>
      <c r="EX81" s="63"/>
      <c r="EY81" s="63"/>
      <c r="EZ81" s="63"/>
      <c r="FA81" s="63"/>
      <c r="FB81" s="63"/>
    </row>
    <row r="82" spans="1:158" ht="15" customHeight="1" x14ac:dyDescent="0.2">
      <c r="B82" s="512" t="s">
        <v>1387</v>
      </c>
      <c r="C82" s="1452"/>
      <c r="D82" s="1452"/>
      <c r="E82" s="286"/>
      <c r="F82" s="2277"/>
      <c r="G82" s="2277"/>
      <c r="H82" s="510"/>
      <c r="I82" s="1452"/>
      <c r="J82" s="1452"/>
      <c r="K82" s="286"/>
      <c r="L82" s="2277"/>
      <c r="M82" s="2277"/>
      <c r="N82" s="510"/>
      <c r="O82" s="286"/>
      <c r="P82" s="1451"/>
      <c r="Q82" s="63"/>
      <c r="R82" s="148"/>
      <c r="S82" s="40"/>
      <c r="T82" s="89"/>
      <c r="U82" s="130"/>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3"/>
      <c r="ET82" s="63"/>
      <c r="EU82" s="63"/>
      <c r="EV82" s="63"/>
      <c r="EW82" s="63"/>
      <c r="EX82" s="63"/>
      <c r="EY82" s="63"/>
      <c r="EZ82" s="63"/>
      <c r="FA82" s="63"/>
      <c r="FB82" s="63"/>
    </row>
    <row r="83" spans="1:158" ht="15" customHeight="1" x14ac:dyDescent="0.2">
      <c r="B83" s="511" t="s">
        <v>226</v>
      </c>
      <c r="C83" s="1545">
        <v>0.06</v>
      </c>
      <c r="D83" s="1545"/>
      <c r="E83" s="23" t="s">
        <v>1791</v>
      </c>
      <c r="F83" s="1545">
        <f>SUMIF($T$39:$AH$39,F82,$T$40:$AH$40)</f>
        <v>0</v>
      </c>
      <c r="G83" s="1545"/>
      <c r="H83" s="201" t="s">
        <v>1792</v>
      </c>
      <c r="I83" s="1545">
        <v>0.06</v>
      </c>
      <c r="J83" s="1545"/>
      <c r="K83" s="23" t="s">
        <v>1791</v>
      </c>
      <c r="L83" s="1545">
        <f>SUMIF($T$39:$AH$39,L82,$T$40:$AH$40)</f>
        <v>0</v>
      </c>
      <c r="M83" s="1545"/>
      <c r="N83" s="201" t="s">
        <v>1793</v>
      </c>
      <c r="O83" s="297">
        <f>IF(C83*F83-I83*L83&lt;0,0,C83*F83-I83*L83)</f>
        <v>0</v>
      </c>
      <c r="P83" s="1452"/>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3"/>
      <c r="ET83" s="63"/>
      <c r="EU83" s="63"/>
      <c r="EV83" s="63"/>
      <c r="EW83" s="63"/>
      <c r="EX83" s="63"/>
      <c r="EY83" s="63"/>
      <c r="EZ83" s="63"/>
      <c r="FA83" s="63"/>
      <c r="FB83" s="63"/>
    </row>
    <row r="84" spans="1:158" ht="18" customHeight="1" x14ac:dyDescent="0.2">
      <c r="B84" s="1568" t="s">
        <v>227</v>
      </c>
      <c r="C84" s="1568"/>
      <c r="D84" s="1568"/>
      <c r="E84" s="1568"/>
      <c r="F84" s="1568"/>
      <c r="G84" s="1568"/>
      <c r="H84" s="1568"/>
      <c r="I84" s="1568"/>
      <c r="J84" s="1568"/>
      <c r="K84" s="1568"/>
      <c r="L84" s="1568"/>
      <c r="M84" s="1568"/>
      <c r="N84" s="1568"/>
      <c r="O84" s="1568"/>
      <c r="P84" s="303">
        <f>V53</f>
        <v>0</v>
      </c>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3"/>
      <c r="ET84" s="63"/>
      <c r="EU84" s="63"/>
      <c r="EV84" s="63"/>
      <c r="EW84" s="63"/>
      <c r="EX84" s="63"/>
      <c r="EY84" s="63"/>
      <c r="EZ84" s="63"/>
      <c r="FA84" s="63"/>
      <c r="FB84" s="63"/>
    </row>
    <row r="85" spans="1:158" ht="13.5" customHeight="1" x14ac:dyDescent="0.2">
      <c r="B85" s="1854"/>
      <c r="C85" s="1854"/>
      <c r="D85" s="1854"/>
      <c r="E85" s="1854"/>
      <c r="F85" s="1854"/>
      <c r="G85" s="1854"/>
      <c r="H85" s="1854"/>
      <c r="I85" s="1854"/>
      <c r="J85" s="1854"/>
      <c r="K85" s="1854"/>
      <c r="L85" s="1854"/>
      <c r="M85" s="1854"/>
      <c r="N85" s="1854"/>
      <c r="O85" s="1854"/>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3"/>
      <c r="ET85" s="63"/>
      <c r="EU85" s="63"/>
      <c r="EV85" s="63"/>
      <c r="EW85" s="63"/>
      <c r="EX85" s="63"/>
      <c r="EY85" s="63"/>
      <c r="EZ85" s="63"/>
      <c r="FA85" s="63"/>
      <c r="FB85" s="63"/>
    </row>
    <row r="86" spans="1:158" ht="20.25" customHeight="1" x14ac:dyDescent="0.2">
      <c r="B86" s="1860" t="s">
        <v>596</v>
      </c>
      <c r="C86" s="1959"/>
      <c r="D86" s="1959"/>
      <c r="E86" s="1959"/>
      <c r="F86" s="1959"/>
      <c r="G86" s="1959"/>
      <c r="H86" s="1959"/>
      <c r="I86" s="1959"/>
      <c r="J86" s="1959"/>
      <c r="K86" s="1959"/>
      <c r="L86" s="1959"/>
      <c r="M86" s="1959"/>
      <c r="N86" s="1959"/>
      <c r="O86" s="1959"/>
      <c r="P86" s="185"/>
      <c r="Q86" s="63"/>
      <c r="R86" s="1379" t="s">
        <v>2280</v>
      </c>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3"/>
      <c r="ET86" s="63"/>
      <c r="EU86" s="63"/>
      <c r="EV86" s="63"/>
      <c r="EW86" s="63"/>
      <c r="EX86" s="63"/>
      <c r="EY86" s="63"/>
      <c r="EZ86" s="63"/>
      <c r="FA86" s="63"/>
      <c r="FB86" s="63"/>
    </row>
    <row r="87" spans="1:158" ht="41.25" customHeight="1" x14ac:dyDescent="0.2">
      <c r="B87" s="1379" t="s">
        <v>607</v>
      </c>
      <c r="C87" s="1379"/>
      <c r="D87" s="1379"/>
      <c r="E87" s="1379"/>
      <c r="F87" s="1379"/>
      <c r="G87" s="1379"/>
      <c r="H87" s="1379"/>
      <c r="I87" s="1379"/>
      <c r="J87" s="1379"/>
      <c r="K87" s="1379"/>
      <c r="L87" s="1379"/>
      <c r="M87" s="1379"/>
      <c r="N87" s="1379"/>
      <c r="O87" s="1379"/>
      <c r="P87" s="185"/>
      <c r="Q87" s="63"/>
      <c r="R87" s="1379"/>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3"/>
      <c r="ET87" s="63"/>
      <c r="EU87" s="63"/>
      <c r="EV87" s="63"/>
      <c r="EW87" s="63"/>
      <c r="EX87" s="63"/>
      <c r="EY87" s="63"/>
      <c r="EZ87" s="63"/>
      <c r="FA87" s="63"/>
      <c r="FB87" s="63"/>
    </row>
    <row r="88" spans="1:158" ht="20.25" customHeight="1" x14ac:dyDescent="0.2">
      <c r="A88" s="189"/>
      <c r="B88" s="1410" t="s">
        <v>948</v>
      </c>
      <c r="C88" s="1410"/>
      <c r="D88" s="1410"/>
      <c r="E88" s="1410"/>
      <c r="F88" s="1410"/>
      <c r="G88" s="1410"/>
      <c r="H88" s="1410"/>
      <c r="I88" s="1410"/>
      <c r="J88" s="1410"/>
      <c r="K88" s="2276"/>
      <c r="L88" s="2276"/>
      <c r="M88" s="2276"/>
      <c r="N88" s="2276"/>
      <c r="O88" s="2276"/>
      <c r="P88" s="26">
        <f>IF(R88=1,0.05,0)</f>
        <v>0</v>
      </c>
      <c r="Q88" s="63"/>
      <c r="R88" s="1005">
        <v>2</v>
      </c>
      <c r="S88" s="63">
        <v>1E-4</v>
      </c>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3"/>
      <c r="ET88" s="63"/>
      <c r="EU88" s="63"/>
      <c r="EV88" s="63"/>
      <c r="EW88" s="63"/>
      <c r="EX88" s="63"/>
      <c r="EY88" s="63"/>
      <c r="EZ88" s="63"/>
      <c r="FA88" s="63"/>
      <c r="FB88" s="63"/>
    </row>
    <row r="89" spans="1:158" ht="13.5" customHeight="1" x14ac:dyDescent="0.2">
      <c r="B89" s="1854"/>
      <c r="C89" s="1854"/>
      <c r="D89" s="1854"/>
      <c r="E89" s="1854"/>
      <c r="F89" s="1854"/>
      <c r="G89" s="1854"/>
      <c r="H89" s="1854"/>
      <c r="I89" s="1854"/>
      <c r="J89" s="1854"/>
      <c r="K89" s="1854"/>
      <c r="L89" s="1854"/>
      <c r="M89" s="1854"/>
      <c r="N89" s="1854"/>
      <c r="O89" s="1854"/>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3"/>
      <c r="ET89" s="63"/>
      <c r="EU89" s="63"/>
      <c r="EV89" s="63"/>
      <c r="EW89" s="63"/>
      <c r="EX89" s="63"/>
      <c r="EY89" s="63"/>
      <c r="EZ89" s="63"/>
      <c r="FA89" s="63"/>
      <c r="FB89" s="63"/>
    </row>
    <row r="90" spans="1:158" ht="27" customHeight="1" x14ac:dyDescent="0.2">
      <c r="B90" s="1632" t="s">
        <v>1773</v>
      </c>
      <c r="C90" s="1633"/>
      <c r="D90" s="1633"/>
      <c r="E90" s="1633"/>
      <c r="F90" s="1634"/>
      <c r="G90" s="1626" t="s">
        <v>1525</v>
      </c>
      <c r="H90" s="1764"/>
      <c r="I90" s="1764"/>
      <c r="J90" s="1764"/>
      <c r="K90" s="2270" t="str">
        <f>IF(AND(Y91=0,Y93=1),Z94,"")</f>
        <v/>
      </c>
      <c r="L90" s="2271"/>
      <c r="M90" s="2271"/>
      <c r="N90" s="2271"/>
      <c r="O90" s="2272"/>
      <c r="P90" s="2294">
        <f>W97</f>
        <v>0</v>
      </c>
      <c r="Q90" s="63"/>
      <c r="S90" s="1177" t="s">
        <v>511</v>
      </c>
      <c r="T90" s="1182" t="s">
        <v>1865</v>
      </c>
      <c r="U90" s="1182" t="s">
        <v>1305</v>
      </c>
      <c r="V90" s="1182" t="s">
        <v>1306</v>
      </c>
      <c r="W90" s="1182" t="s">
        <v>1307</v>
      </c>
      <c r="X90" s="63"/>
      <c r="Y90" s="1003">
        <f>IF(OR(Y91=0,Y92=0),0,1)</f>
        <v>1</v>
      </c>
      <c r="Z90" s="3" t="s">
        <v>1328</v>
      </c>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3"/>
      <c r="ET90" s="63"/>
      <c r="EU90" s="63"/>
      <c r="EV90" s="63"/>
      <c r="EW90" s="63"/>
      <c r="EX90" s="63"/>
      <c r="EY90" s="63"/>
      <c r="EZ90" s="63"/>
      <c r="FA90" s="63"/>
      <c r="FB90" s="63"/>
    </row>
    <row r="91" spans="1:158" s="8" customFormat="1" ht="21" customHeight="1" x14ac:dyDescent="0.2">
      <c r="B91" s="1410" t="s">
        <v>1959</v>
      </c>
      <c r="C91" s="1410"/>
      <c r="D91" s="1410"/>
      <c r="E91" s="1373">
        <f>P19</f>
        <v>0</v>
      </c>
      <c r="F91" s="1373"/>
      <c r="G91" s="1483"/>
      <c r="H91" s="1485"/>
      <c r="I91" s="2286">
        <f>IF(AND(S91&lt;0.01,S91&gt;0),0.01,ROUND(S91,2))</f>
        <v>0</v>
      </c>
      <c r="J91" s="2287"/>
      <c r="K91" s="2273"/>
      <c r="L91" s="2274"/>
      <c r="M91" s="2274"/>
      <c r="N91" s="2274"/>
      <c r="O91" s="2275"/>
      <c r="P91" s="2295"/>
      <c r="Q91" s="120"/>
      <c r="S91" s="257">
        <f>IF(Y91=0,0,IF(G91&gt;0,E91*G91,0))</f>
        <v>0</v>
      </c>
      <c r="T91" s="258">
        <f>IF(I91&gt;0,I91,E91)</f>
        <v>0</v>
      </c>
      <c r="U91" s="1001">
        <f>LARGE($T$91:$T$98,1)</f>
        <v>0</v>
      </c>
      <c r="V91" s="16">
        <f>U91+U92*(1-U91)</f>
        <v>0</v>
      </c>
      <c r="W91" s="61">
        <f t="shared" ref="W91:W97" si="3">ROUND(V91,2)</f>
        <v>0</v>
      </c>
      <c r="X91" s="120"/>
      <c r="Y91" s="1002">
        <f>IF(X9&gt;0,0,1)</f>
        <v>1</v>
      </c>
      <c r="Z91" s="3" t="s">
        <v>1327</v>
      </c>
      <c r="AA91" s="120"/>
      <c r="AB91" s="120"/>
      <c r="AC91" s="120"/>
      <c r="AD91" s="120"/>
      <c r="AE91" s="120"/>
      <c r="AF91" s="120"/>
      <c r="AG91" s="120"/>
      <c r="AH91" s="120"/>
      <c r="AI91" s="120"/>
      <c r="AJ91" s="120"/>
      <c r="AK91" s="120"/>
      <c r="AL91" s="120"/>
      <c r="AM91" s="120"/>
      <c r="AN91" s="120"/>
      <c r="AO91" s="120"/>
      <c r="AP91" s="120"/>
      <c r="AQ91" s="120"/>
      <c r="AR91" s="120"/>
      <c r="AS91" s="120"/>
      <c r="AT91" s="120"/>
      <c r="AU91" s="120"/>
      <c r="AV91" s="120"/>
      <c r="AW91" s="120"/>
      <c r="AX91" s="120"/>
      <c r="AY91" s="120"/>
      <c r="AZ91" s="120"/>
      <c r="BA91" s="120"/>
      <c r="BB91" s="120"/>
      <c r="BC91" s="120"/>
      <c r="BD91" s="120"/>
      <c r="BE91" s="120"/>
      <c r="BF91" s="120"/>
      <c r="BG91" s="120"/>
      <c r="BH91" s="120"/>
      <c r="BI91" s="120"/>
      <c r="BJ91" s="120"/>
      <c r="BK91" s="120"/>
      <c r="BL91" s="120"/>
      <c r="BM91" s="120"/>
      <c r="BN91" s="120"/>
      <c r="BO91" s="120"/>
      <c r="BP91" s="120"/>
      <c r="BQ91" s="120"/>
      <c r="BR91" s="120"/>
      <c r="BS91" s="120"/>
      <c r="BT91" s="120"/>
      <c r="BU91" s="120"/>
      <c r="BV91" s="120"/>
      <c r="BW91" s="120"/>
      <c r="BX91" s="120"/>
      <c r="BY91" s="120"/>
      <c r="BZ91" s="120"/>
      <c r="CA91" s="120"/>
      <c r="CB91" s="120"/>
      <c r="CC91" s="120"/>
      <c r="CD91" s="120"/>
      <c r="CE91" s="120"/>
      <c r="CF91" s="120"/>
      <c r="CG91" s="120"/>
      <c r="CH91" s="120"/>
      <c r="CI91" s="120"/>
      <c r="CJ91" s="120"/>
      <c r="CK91" s="120"/>
      <c r="CL91" s="120"/>
      <c r="CM91" s="120"/>
      <c r="CN91" s="120"/>
      <c r="CO91" s="120"/>
      <c r="CP91" s="120"/>
      <c r="CQ91" s="120"/>
      <c r="CR91" s="120"/>
      <c r="CS91" s="120"/>
      <c r="CT91" s="120"/>
      <c r="CU91" s="120"/>
      <c r="CV91" s="120"/>
      <c r="CW91" s="120"/>
      <c r="CX91" s="120"/>
      <c r="CY91" s="120"/>
      <c r="CZ91" s="120"/>
      <c r="DA91" s="120"/>
      <c r="DB91" s="120"/>
      <c r="DC91" s="120"/>
      <c r="DD91" s="120"/>
      <c r="DE91" s="120"/>
      <c r="DF91" s="120"/>
      <c r="DG91" s="120"/>
      <c r="DH91" s="120"/>
      <c r="DI91" s="120"/>
      <c r="DJ91" s="120"/>
      <c r="DK91" s="120"/>
      <c r="DL91" s="120"/>
      <c r="DM91" s="120"/>
      <c r="DN91" s="120"/>
      <c r="DO91" s="120"/>
      <c r="DP91" s="120"/>
      <c r="DQ91" s="120"/>
      <c r="DR91" s="120"/>
      <c r="DS91" s="120"/>
      <c r="DT91" s="120"/>
      <c r="DU91" s="120"/>
      <c r="DV91" s="120"/>
      <c r="DW91" s="120"/>
      <c r="DX91" s="120"/>
      <c r="DY91" s="120"/>
      <c r="DZ91" s="120"/>
      <c r="EA91" s="120"/>
      <c r="EB91" s="120"/>
      <c r="EC91" s="120"/>
      <c r="ED91" s="120"/>
      <c r="EE91" s="120"/>
      <c r="EF91" s="120"/>
      <c r="EG91" s="120"/>
      <c r="EH91" s="120"/>
      <c r="EI91" s="120"/>
      <c r="EJ91" s="120"/>
      <c r="EK91" s="120"/>
      <c r="EL91" s="120"/>
      <c r="EM91" s="120"/>
      <c r="EN91" s="120"/>
      <c r="EO91" s="120"/>
      <c r="EP91" s="120"/>
      <c r="EQ91" s="120"/>
      <c r="ER91" s="120"/>
      <c r="ES91" s="120"/>
      <c r="ET91" s="120"/>
      <c r="EU91" s="120"/>
      <c r="EV91" s="120"/>
      <c r="EW91" s="120"/>
      <c r="EX91" s="120"/>
      <c r="EY91" s="120"/>
      <c r="EZ91" s="120"/>
      <c r="FA91" s="120"/>
      <c r="FB91" s="120"/>
    </row>
    <row r="92" spans="1:158" s="8" customFormat="1" ht="21" customHeight="1" x14ac:dyDescent="0.2">
      <c r="B92" s="1410" t="s">
        <v>228</v>
      </c>
      <c r="C92" s="1410"/>
      <c r="D92" s="1410"/>
      <c r="E92" s="1373">
        <f>P22</f>
        <v>0</v>
      </c>
      <c r="F92" s="1373"/>
      <c r="G92" s="2030" t="s">
        <v>1942</v>
      </c>
      <c r="H92" s="2264"/>
      <c r="I92" s="2030"/>
      <c r="J92" s="2264"/>
      <c r="K92" s="2273"/>
      <c r="L92" s="2274"/>
      <c r="M92" s="2274"/>
      <c r="N92" s="2274"/>
      <c r="O92" s="2275"/>
      <c r="P92" s="2295"/>
      <c r="Q92" s="120"/>
      <c r="S92" s="258"/>
      <c r="T92" s="258">
        <f>E92</f>
        <v>0</v>
      </c>
      <c r="U92" s="1001">
        <f>LARGE($T$91:$T$98,2)</f>
        <v>0</v>
      </c>
      <c r="V92" s="16">
        <f t="shared" ref="V92:V97" si="4">W91+U93*(1-W91)</f>
        <v>0</v>
      </c>
      <c r="W92" s="61">
        <f t="shared" si="3"/>
        <v>0</v>
      </c>
      <c r="X92" s="120"/>
      <c r="Y92" s="1002">
        <f>IF(SUM(E92:E96)&gt;0,0,1)</f>
        <v>1</v>
      </c>
      <c r="Z92" s="3" t="s">
        <v>1329</v>
      </c>
      <c r="AA92" s="120"/>
      <c r="AB92" s="120"/>
      <c r="AC92" s="120"/>
      <c r="AD92" s="120"/>
      <c r="AE92" s="120"/>
      <c r="AF92" s="120"/>
      <c r="AG92" s="120"/>
      <c r="AH92" s="120"/>
      <c r="AI92" s="120"/>
      <c r="AJ92" s="120"/>
      <c r="AK92" s="120"/>
      <c r="AL92" s="120"/>
      <c r="AM92" s="120"/>
      <c r="AN92" s="120"/>
      <c r="AO92" s="120"/>
      <c r="AP92" s="120"/>
      <c r="AQ92" s="120"/>
      <c r="AR92" s="120"/>
      <c r="AS92" s="120"/>
      <c r="AT92" s="120"/>
      <c r="AU92" s="120"/>
      <c r="AV92" s="120"/>
      <c r="AW92" s="120"/>
      <c r="AX92" s="120"/>
      <c r="AY92" s="120"/>
      <c r="AZ92" s="120"/>
      <c r="BA92" s="120"/>
      <c r="BB92" s="120"/>
      <c r="BC92" s="120"/>
      <c r="BD92" s="120"/>
      <c r="BE92" s="120"/>
      <c r="BF92" s="120"/>
      <c r="BG92" s="120"/>
      <c r="BH92" s="120"/>
      <c r="BI92" s="120"/>
      <c r="BJ92" s="120"/>
      <c r="BK92" s="120"/>
      <c r="BL92" s="120"/>
      <c r="BM92" s="120"/>
      <c r="BN92" s="120"/>
      <c r="BO92" s="120"/>
      <c r="BP92" s="120"/>
      <c r="BQ92" s="120"/>
      <c r="BR92" s="120"/>
      <c r="BS92" s="120"/>
      <c r="BT92" s="120"/>
      <c r="BU92" s="120"/>
      <c r="BV92" s="120"/>
      <c r="BW92" s="120"/>
      <c r="BX92" s="120"/>
      <c r="BY92" s="120"/>
      <c r="BZ92" s="120"/>
      <c r="CA92" s="120"/>
      <c r="CB92" s="120"/>
      <c r="CC92" s="120"/>
      <c r="CD92" s="120"/>
      <c r="CE92" s="120"/>
      <c r="CF92" s="120"/>
      <c r="CG92" s="120"/>
      <c r="CH92" s="120"/>
      <c r="CI92" s="120"/>
      <c r="CJ92" s="120"/>
      <c r="CK92" s="120"/>
      <c r="CL92" s="120"/>
      <c r="CM92" s="120"/>
      <c r="CN92" s="120"/>
      <c r="CO92" s="120"/>
      <c r="CP92" s="120"/>
      <c r="CQ92" s="120"/>
      <c r="CR92" s="120"/>
      <c r="CS92" s="120"/>
      <c r="CT92" s="120"/>
      <c r="CU92" s="120"/>
      <c r="CV92" s="120"/>
      <c r="CW92" s="120"/>
      <c r="CX92" s="120"/>
      <c r="CY92" s="120"/>
      <c r="CZ92" s="120"/>
      <c r="DA92" s="120"/>
      <c r="DB92" s="120"/>
      <c r="DC92" s="120"/>
      <c r="DD92" s="120"/>
      <c r="DE92" s="120"/>
      <c r="DF92" s="120"/>
      <c r="DG92" s="120"/>
      <c r="DH92" s="120"/>
      <c r="DI92" s="120"/>
      <c r="DJ92" s="120"/>
      <c r="DK92" s="120"/>
      <c r="DL92" s="120"/>
      <c r="DM92" s="120"/>
      <c r="DN92" s="120"/>
      <c r="DO92" s="120"/>
      <c r="DP92" s="120"/>
      <c r="DQ92" s="120"/>
      <c r="DR92" s="120"/>
      <c r="DS92" s="120"/>
      <c r="DT92" s="120"/>
      <c r="DU92" s="120"/>
      <c r="DV92" s="120"/>
      <c r="DW92" s="120"/>
      <c r="DX92" s="120"/>
      <c r="DY92" s="120"/>
      <c r="DZ92" s="120"/>
      <c r="EA92" s="120"/>
      <c r="EB92" s="120"/>
      <c r="EC92" s="120"/>
      <c r="ED92" s="120"/>
      <c r="EE92" s="120"/>
      <c r="EF92" s="120"/>
      <c r="EG92" s="120"/>
      <c r="EH92" s="120"/>
      <c r="EI92" s="120"/>
      <c r="EJ92" s="120"/>
      <c r="EK92" s="120"/>
      <c r="EL92" s="120"/>
      <c r="EM92" s="120"/>
      <c r="EN92" s="120"/>
      <c r="EO92" s="120"/>
      <c r="EP92" s="120"/>
      <c r="EQ92" s="120"/>
      <c r="ER92" s="120"/>
      <c r="ES92" s="120"/>
      <c r="ET92" s="120"/>
      <c r="EU92" s="120"/>
      <c r="EV92" s="120"/>
      <c r="EW92" s="120"/>
      <c r="EX92" s="120"/>
      <c r="EY92" s="120"/>
      <c r="EZ92" s="120"/>
      <c r="FA92" s="120"/>
      <c r="FB92" s="120"/>
    </row>
    <row r="93" spans="1:158" s="8" customFormat="1" ht="21" customHeight="1" x14ac:dyDescent="0.2">
      <c r="B93" s="1410" t="s">
        <v>1635</v>
      </c>
      <c r="C93" s="1410"/>
      <c r="D93" s="1410"/>
      <c r="E93" s="1373">
        <f>P23</f>
        <v>0</v>
      </c>
      <c r="F93" s="1373"/>
      <c r="G93" s="2030" t="s">
        <v>1942</v>
      </c>
      <c r="H93" s="2264"/>
      <c r="I93" s="2030"/>
      <c r="J93" s="2264"/>
      <c r="K93" s="2290"/>
      <c r="L93" s="2291"/>
      <c r="M93" s="2291"/>
      <c r="N93" s="2291"/>
      <c r="O93" s="2292"/>
      <c r="P93" s="2295"/>
      <c r="Q93" s="120"/>
      <c r="S93" s="258"/>
      <c r="T93" s="258">
        <f>E93</f>
        <v>0</v>
      </c>
      <c r="U93" s="1001">
        <f>LARGE($T$91:$T$98,3)</f>
        <v>0</v>
      </c>
      <c r="V93" s="16">
        <f t="shared" si="4"/>
        <v>0</v>
      </c>
      <c r="W93" s="61">
        <f t="shared" si="3"/>
        <v>0</v>
      </c>
      <c r="X93" s="120"/>
      <c r="Y93" s="1002">
        <f>IF(OR(G99&gt;0,G91&gt;0),1,0)</f>
        <v>0</v>
      </c>
      <c r="Z93" s="8" t="s">
        <v>197</v>
      </c>
      <c r="AA93" s="120"/>
      <c r="AB93" s="120"/>
      <c r="AC93" s="120"/>
      <c r="AD93" s="120"/>
      <c r="AE93" s="120"/>
      <c r="AF93" s="120"/>
      <c r="AG93" s="120"/>
      <c r="AH93" s="120"/>
      <c r="AI93" s="120"/>
      <c r="AJ93" s="120"/>
      <c r="AK93" s="120"/>
      <c r="AL93" s="120"/>
      <c r="AM93" s="120"/>
      <c r="AN93" s="120"/>
      <c r="AO93" s="120"/>
      <c r="AP93" s="120"/>
      <c r="AQ93" s="120"/>
      <c r="AR93" s="120"/>
      <c r="AS93" s="120"/>
      <c r="AT93" s="120"/>
      <c r="AU93" s="120"/>
      <c r="AV93" s="120"/>
      <c r="AW93" s="120"/>
      <c r="AX93" s="120"/>
      <c r="AY93" s="120"/>
      <c r="AZ93" s="120"/>
      <c r="BA93" s="120"/>
      <c r="BB93" s="120"/>
      <c r="BC93" s="120"/>
      <c r="BD93" s="120"/>
      <c r="BE93" s="120"/>
      <c r="BF93" s="120"/>
      <c r="BG93" s="120"/>
      <c r="BH93" s="120"/>
      <c r="BI93" s="120"/>
      <c r="BJ93" s="120"/>
      <c r="BK93" s="120"/>
      <c r="BL93" s="120"/>
      <c r="BM93" s="120"/>
      <c r="BN93" s="120"/>
      <c r="BO93" s="120"/>
      <c r="BP93" s="120"/>
      <c r="BQ93" s="120"/>
      <c r="BR93" s="120"/>
      <c r="BS93" s="120"/>
      <c r="BT93" s="120"/>
      <c r="BU93" s="120"/>
      <c r="BV93" s="120"/>
      <c r="BW93" s="120"/>
      <c r="BX93" s="120"/>
      <c r="BY93" s="120"/>
      <c r="BZ93" s="120"/>
      <c r="CA93" s="120"/>
      <c r="CB93" s="120"/>
      <c r="CC93" s="120"/>
      <c r="CD93" s="120"/>
      <c r="CE93" s="120"/>
      <c r="CF93" s="120"/>
      <c r="CG93" s="120"/>
      <c r="CH93" s="120"/>
      <c r="CI93" s="120"/>
      <c r="CJ93" s="120"/>
      <c r="CK93" s="120"/>
      <c r="CL93" s="120"/>
      <c r="CM93" s="120"/>
      <c r="CN93" s="120"/>
      <c r="CO93" s="120"/>
      <c r="CP93" s="120"/>
      <c r="CQ93" s="120"/>
      <c r="CR93" s="120"/>
      <c r="CS93" s="120"/>
      <c r="CT93" s="120"/>
      <c r="CU93" s="120"/>
      <c r="CV93" s="120"/>
      <c r="CW93" s="120"/>
      <c r="CX93" s="120"/>
      <c r="CY93" s="120"/>
      <c r="CZ93" s="120"/>
      <c r="DA93" s="120"/>
      <c r="DB93" s="120"/>
      <c r="DC93" s="120"/>
      <c r="DD93" s="120"/>
      <c r="DE93" s="120"/>
      <c r="DF93" s="120"/>
      <c r="DG93" s="120"/>
      <c r="DH93" s="120"/>
      <c r="DI93" s="120"/>
      <c r="DJ93" s="120"/>
      <c r="DK93" s="120"/>
      <c r="DL93" s="120"/>
      <c r="DM93" s="120"/>
      <c r="DN93" s="120"/>
      <c r="DO93" s="120"/>
      <c r="DP93" s="120"/>
      <c r="DQ93" s="120"/>
      <c r="DR93" s="120"/>
      <c r="DS93" s="120"/>
      <c r="DT93" s="120"/>
      <c r="DU93" s="120"/>
      <c r="DV93" s="120"/>
      <c r="DW93" s="120"/>
      <c r="DX93" s="120"/>
      <c r="DY93" s="120"/>
      <c r="DZ93" s="120"/>
      <c r="EA93" s="120"/>
      <c r="EB93" s="120"/>
      <c r="EC93" s="120"/>
      <c r="ED93" s="120"/>
      <c r="EE93" s="120"/>
      <c r="EF93" s="120"/>
      <c r="EG93" s="120"/>
      <c r="EH93" s="120"/>
      <c r="EI93" s="120"/>
      <c r="EJ93" s="120"/>
      <c r="EK93" s="120"/>
      <c r="EL93" s="120"/>
      <c r="EM93" s="120"/>
      <c r="EN93" s="120"/>
      <c r="EO93" s="120"/>
      <c r="EP93" s="120"/>
      <c r="EQ93" s="120"/>
      <c r="ER93" s="120"/>
      <c r="ES93" s="120"/>
      <c r="ET93" s="120"/>
      <c r="EU93" s="120"/>
      <c r="EV93" s="120"/>
      <c r="EW93" s="120"/>
      <c r="EX93" s="120"/>
      <c r="EY93" s="120"/>
      <c r="EZ93" s="120"/>
      <c r="FA93" s="120"/>
      <c r="FB93" s="120"/>
    </row>
    <row r="94" spans="1:158" s="8" customFormat="1" ht="21" customHeight="1" x14ac:dyDescent="0.2">
      <c r="B94" s="1410" t="s">
        <v>1636</v>
      </c>
      <c r="C94" s="1410"/>
      <c r="D94" s="1410"/>
      <c r="E94" s="1373">
        <f>P24</f>
        <v>0</v>
      </c>
      <c r="F94" s="1373"/>
      <c r="G94" s="2030" t="s">
        <v>1942</v>
      </c>
      <c r="H94" s="2264"/>
      <c r="I94" s="2030"/>
      <c r="J94" s="2264"/>
      <c r="K94" s="2290"/>
      <c r="L94" s="2291"/>
      <c r="M94" s="2291"/>
      <c r="N94" s="2291"/>
      <c r="O94" s="2292"/>
      <c r="P94" s="2295"/>
      <c r="Q94" s="120"/>
      <c r="S94" s="258"/>
      <c r="T94" s="258">
        <f>E94</f>
        <v>0</v>
      </c>
      <c r="U94" s="1001">
        <f>LARGE($T$91:$T$98,4)</f>
        <v>0</v>
      </c>
      <c r="V94" s="16">
        <f t="shared" si="4"/>
        <v>0</v>
      </c>
      <c r="W94" s="61">
        <f t="shared" si="3"/>
        <v>0</v>
      </c>
      <c r="X94" s="133"/>
      <c r="Y94" s="7"/>
      <c r="Z94" s="18" t="s">
        <v>196</v>
      </c>
      <c r="AA94" s="120"/>
      <c r="AB94" s="120"/>
      <c r="AC94" s="120"/>
      <c r="AD94" s="120"/>
      <c r="AE94" s="120"/>
      <c r="AF94" s="120"/>
      <c r="AG94" s="120"/>
      <c r="AH94" s="120"/>
      <c r="AI94" s="120"/>
      <c r="AJ94" s="120"/>
      <c r="AK94" s="120"/>
      <c r="AL94" s="120"/>
      <c r="AM94" s="120"/>
      <c r="AN94" s="120"/>
      <c r="AO94" s="120"/>
      <c r="AP94" s="120"/>
      <c r="AQ94" s="120"/>
      <c r="AR94" s="120"/>
      <c r="AS94" s="120"/>
      <c r="AT94" s="120"/>
      <c r="AU94" s="120"/>
      <c r="AV94" s="120"/>
      <c r="AW94" s="120"/>
      <c r="AX94" s="120"/>
      <c r="AY94" s="120"/>
      <c r="AZ94" s="120"/>
      <c r="BA94" s="120"/>
      <c r="BB94" s="120"/>
      <c r="BC94" s="120"/>
      <c r="BD94" s="120"/>
      <c r="BE94" s="120"/>
      <c r="BF94" s="120"/>
      <c r="BG94" s="120"/>
      <c r="BH94" s="120"/>
      <c r="BI94" s="120"/>
      <c r="BJ94" s="120"/>
      <c r="BK94" s="120"/>
      <c r="BL94" s="120"/>
      <c r="BM94" s="120"/>
      <c r="BN94" s="120"/>
      <c r="BO94" s="120"/>
      <c r="BP94" s="120"/>
      <c r="BQ94" s="120"/>
      <c r="BR94" s="120"/>
      <c r="BS94" s="120"/>
      <c r="BT94" s="120"/>
      <c r="BU94" s="120"/>
      <c r="BV94" s="120"/>
      <c r="BW94" s="120"/>
      <c r="BX94" s="120"/>
      <c r="BY94" s="120"/>
      <c r="BZ94" s="120"/>
      <c r="CA94" s="120"/>
      <c r="CB94" s="120"/>
      <c r="CC94" s="120"/>
      <c r="CD94" s="120"/>
      <c r="CE94" s="120"/>
      <c r="CF94" s="120"/>
      <c r="CG94" s="120"/>
      <c r="CH94" s="120"/>
      <c r="CI94" s="120"/>
      <c r="CJ94" s="120"/>
      <c r="CK94" s="120"/>
      <c r="CL94" s="120"/>
      <c r="CM94" s="120"/>
      <c r="CN94" s="120"/>
      <c r="CO94" s="120"/>
      <c r="CP94" s="120"/>
      <c r="CQ94" s="120"/>
      <c r="CR94" s="120"/>
      <c r="CS94" s="120"/>
      <c r="CT94" s="120"/>
      <c r="CU94" s="120"/>
      <c r="CV94" s="120"/>
      <c r="CW94" s="120"/>
      <c r="CX94" s="120"/>
      <c r="CY94" s="120"/>
      <c r="CZ94" s="120"/>
      <c r="DA94" s="120"/>
      <c r="DB94" s="120"/>
      <c r="DC94" s="120"/>
      <c r="DD94" s="120"/>
      <c r="DE94" s="120"/>
      <c r="DF94" s="120"/>
      <c r="DG94" s="120"/>
      <c r="DH94" s="120"/>
      <c r="DI94" s="120"/>
      <c r="DJ94" s="120"/>
      <c r="DK94" s="120"/>
      <c r="DL94" s="120"/>
      <c r="DM94" s="120"/>
      <c r="DN94" s="120"/>
      <c r="DO94" s="120"/>
      <c r="DP94" s="120"/>
      <c r="DQ94" s="120"/>
      <c r="DR94" s="120"/>
      <c r="DS94" s="120"/>
      <c r="DT94" s="120"/>
      <c r="DU94" s="120"/>
      <c r="DV94" s="120"/>
      <c r="DW94" s="120"/>
      <c r="DX94" s="120"/>
      <c r="DY94" s="120"/>
      <c r="DZ94" s="120"/>
      <c r="EA94" s="120"/>
      <c r="EB94" s="120"/>
      <c r="EC94" s="120"/>
      <c r="ED94" s="120"/>
      <c r="EE94" s="120"/>
      <c r="EF94" s="120"/>
      <c r="EG94" s="120"/>
      <c r="EH94" s="120"/>
      <c r="EI94" s="120"/>
      <c r="EJ94" s="120"/>
      <c r="EK94" s="120"/>
      <c r="EL94" s="120"/>
      <c r="EM94" s="120"/>
      <c r="EN94" s="120"/>
      <c r="EO94" s="120"/>
      <c r="EP94" s="120"/>
      <c r="EQ94" s="120"/>
      <c r="ER94" s="120"/>
      <c r="ES94" s="120"/>
      <c r="ET94" s="120"/>
      <c r="EU94" s="120"/>
      <c r="EV94" s="120"/>
      <c r="EW94" s="120"/>
      <c r="EX94" s="120"/>
      <c r="EY94" s="120"/>
      <c r="EZ94" s="120"/>
      <c r="FA94" s="120"/>
      <c r="FB94" s="120"/>
    </row>
    <row r="95" spans="1:158" ht="21" customHeight="1" x14ac:dyDescent="0.2">
      <c r="B95" s="1410" t="s">
        <v>1637</v>
      </c>
      <c r="C95" s="1410"/>
      <c r="D95" s="1410"/>
      <c r="E95" s="1373">
        <f>P25</f>
        <v>0</v>
      </c>
      <c r="F95" s="1373"/>
      <c r="G95" s="2030" t="s">
        <v>1942</v>
      </c>
      <c r="H95" s="2264"/>
      <c r="I95" s="2030"/>
      <c r="J95" s="2264"/>
      <c r="K95" s="2290"/>
      <c r="L95" s="2291"/>
      <c r="M95" s="2291"/>
      <c r="N95" s="2291"/>
      <c r="O95" s="2292"/>
      <c r="P95" s="2295"/>
      <c r="Q95" s="63"/>
      <c r="S95" s="258"/>
      <c r="T95" s="258">
        <f>E95</f>
        <v>0</v>
      </c>
      <c r="U95" s="1001">
        <f>LARGE($T$91:$T$98,5)</f>
        <v>0</v>
      </c>
      <c r="V95" s="16">
        <f t="shared" si="4"/>
        <v>0</v>
      </c>
      <c r="W95" s="61">
        <f t="shared" si="3"/>
        <v>0</v>
      </c>
      <c r="X95" s="7"/>
      <c r="Y95" s="7"/>
      <c r="Z95" s="18"/>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3"/>
      <c r="ET95" s="63"/>
      <c r="EU95" s="63"/>
      <c r="EV95" s="63"/>
      <c r="EW95" s="63"/>
      <c r="EX95" s="63"/>
      <c r="EY95" s="63"/>
      <c r="EZ95" s="63"/>
      <c r="FA95" s="63"/>
      <c r="FB95" s="63"/>
    </row>
    <row r="96" spans="1:158" ht="21" customHeight="1" x14ac:dyDescent="0.2">
      <c r="B96" s="1379" t="s">
        <v>1638</v>
      </c>
      <c r="C96" s="1410"/>
      <c r="D96" s="1410"/>
      <c r="E96" s="1373">
        <f>P31</f>
        <v>0</v>
      </c>
      <c r="F96" s="1373"/>
      <c r="G96" s="2030" t="s">
        <v>1942</v>
      </c>
      <c r="H96" s="2264"/>
      <c r="I96" s="2030"/>
      <c r="J96" s="2264"/>
      <c r="K96" s="2306"/>
      <c r="L96" s="2307"/>
      <c r="M96" s="2307"/>
      <c r="N96" s="2307"/>
      <c r="O96" s="2308"/>
      <c r="P96" s="2295"/>
      <c r="Q96" s="63"/>
      <c r="S96" s="258"/>
      <c r="T96" s="258">
        <f>E96</f>
        <v>0</v>
      </c>
      <c r="U96" s="1001">
        <f>LARGE($T$91:$T$98,6)</f>
        <v>0</v>
      </c>
      <c r="V96" s="16">
        <f t="shared" si="4"/>
        <v>0</v>
      </c>
      <c r="W96" s="61">
        <f t="shared" si="3"/>
        <v>0</v>
      </c>
      <c r="X96" s="7"/>
      <c r="Y96" s="1184"/>
      <c r="Z96" s="1184"/>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3"/>
      <c r="ET96" s="63"/>
      <c r="EU96" s="63"/>
      <c r="EV96" s="63"/>
      <c r="EW96" s="63"/>
      <c r="EX96" s="63"/>
      <c r="EY96" s="63"/>
      <c r="EZ96" s="63"/>
      <c r="FA96" s="63"/>
      <c r="FB96" s="63"/>
    </row>
    <row r="97" spans="2:241" ht="21" customHeight="1" x14ac:dyDescent="0.2">
      <c r="B97" s="1410" t="s">
        <v>1639</v>
      </c>
      <c r="C97" s="1410"/>
      <c r="D97" s="1410"/>
      <c r="E97" s="1373">
        <f>P84</f>
        <v>0</v>
      </c>
      <c r="F97" s="1373"/>
      <c r="G97" s="1483"/>
      <c r="H97" s="1485"/>
      <c r="I97" s="2286">
        <f>IF(AND(S97&lt;0.01,S97&gt;0),0.01,ROUND(S97,2))</f>
        <v>0</v>
      </c>
      <c r="J97" s="2287"/>
      <c r="K97" s="2306"/>
      <c r="L97" s="2307"/>
      <c r="M97" s="2307"/>
      <c r="N97" s="2307"/>
      <c r="O97" s="2308"/>
      <c r="P97" s="2295"/>
      <c r="Q97" s="63"/>
      <c r="S97" s="257">
        <f>IF(G97&gt;0,E97*G97,0)</f>
        <v>0</v>
      </c>
      <c r="T97" s="258">
        <f>IF(I97&gt;0,I97,E97)</f>
        <v>0</v>
      </c>
      <c r="U97" s="1001">
        <f>LARGE($T$91:$T$98,7)</f>
        <v>0</v>
      </c>
      <c r="V97" s="16">
        <f t="shared" si="4"/>
        <v>0</v>
      </c>
      <c r="W97" s="61">
        <f t="shared" si="3"/>
        <v>0</v>
      </c>
      <c r="X97" s="7"/>
      <c r="Y97" s="7"/>
      <c r="Z97" s="18"/>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3"/>
      <c r="ET97" s="63"/>
      <c r="EU97" s="63"/>
      <c r="EV97" s="63"/>
      <c r="EW97" s="63"/>
      <c r="EX97" s="63"/>
      <c r="EY97" s="63"/>
      <c r="EZ97" s="63"/>
      <c r="FA97" s="63"/>
      <c r="FB97" s="63"/>
    </row>
    <row r="98" spans="2:241" ht="21" customHeight="1" x14ac:dyDescent="0.2">
      <c r="B98" s="1408" t="s">
        <v>596</v>
      </c>
      <c r="C98" s="1408"/>
      <c r="D98" s="1408"/>
      <c r="E98" s="1630">
        <f>P88</f>
        <v>0</v>
      </c>
      <c r="F98" s="1630"/>
      <c r="G98" s="2303"/>
      <c r="H98" s="2304"/>
      <c r="I98" s="2286">
        <f>IF(AND(S98&lt;0.01,S98&gt;0),0.01,ROUND(S98,2))</f>
        <v>0</v>
      </c>
      <c r="J98" s="2287"/>
      <c r="K98" s="2309"/>
      <c r="L98" s="2310"/>
      <c r="M98" s="2310"/>
      <c r="N98" s="2310"/>
      <c r="O98" s="2311"/>
      <c r="P98" s="2295"/>
      <c r="Q98" s="63"/>
      <c r="S98" s="257">
        <f>IF(G98&gt;0,E98*G98,0)</f>
        <v>0</v>
      </c>
      <c r="T98" s="258">
        <f>IF(I98&gt;0,I98,E98)</f>
        <v>0</v>
      </c>
      <c r="U98" s="1001">
        <f>LARGE($T$91:$T$98,8)</f>
        <v>0</v>
      </c>
      <c r="V98" s="131"/>
      <c r="W98" s="130"/>
      <c r="X98" s="7"/>
      <c r="Y98" s="7"/>
      <c r="Z98" s="7"/>
      <c r="AA98" s="63"/>
      <c r="AB98" s="63"/>
      <c r="AC98" s="63"/>
      <c r="AD98" s="63"/>
      <c r="AE98" s="63"/>
      <c r="AF98" s="63"/>
      <c r="AG98" s="63"/>
      <c r="AH98" s="63"/>
      <c r="AI98" s="63"/>
      <c r="AJ98" s="63"/>
      <c r="AK98" s="63"/>
      <c r="AL98" s="63"/>
      <c r="AM98" s="63"/>
      <c r="AN98" s="7"/>
      <c r="AO98" s="7"/>
      <c r="AP98" s="7"/>
      <c r="AQ98" s="7"/>
      <c r="AR98" s="7"/>
      <c r="AS98" s="7"/>
      <c r="AT98" s="7"/>
      <c r="AU98" s="7"/>
      <c r="AV98" s="7"/>
      <c r="AW98" s="7"/>
      <c r="AX98" s="7"/>
      <c r="AY98" s="7"/>
      <c r="AZ98" s="7"/>
      <c r="BA98" s="7"/>
      <c r="BB98" s="7"/>
      <c r="BC98" s="7"/>
      <c r="BD98" s="7"/>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3"/>
      <c r="ET98" s="63"/>
      <c r="EU98" s="63"/>
      <c r="EV98" s="63"/>
      <c r="EW98" s="63"/>
      <c r="EX98" s="63"/>
      <c r="EY98" s="63"/>
      <c r="EZ98" s="63"/>
      <c r="FA98" s="63"/>
      <c r="FB98" s="63"/>
    </row>
    <row r="99" spans="2:241" ht="21" customHeight="1" x14ac:dyDescent="0.2">
      <c r="B99" s="2264"/>
      <c r="C99" s="2265"/>
      <c r="D99" s="2265"/>
      <c r="E99" s="2265"/>
      <c r="F99" s="2265"/>
      <c r="G99" s="2265"/>
      <c r="H99" s="2265"/>
      <c r="I99" s="2265"/>
      <c r="J99" s="2266"/>
      <c r="K99" s="2262" t="s">
        <v>2253</v>
      </c>
      <c r="L99" s="2262"/>
      <c r="M99" s="2262"/>
      <c r="N99" s="2262"/>
      <c r="O99" s="2263"/>
      <c r="P99" s="2305"/>
      <c r="Q99" s="63"/>
      <c r="S99" s="63"/>
      <c r="V99" s="131"/>
      <c r="W99" s="130"/>
      <c r="X99" s="133"/>
      <c r="Y99" s="133"/>
      <c r="Z99" s="7"/>
      <c r="AA99" s="63"/>
      <c r="AB99" s="63"/>
      <c r="AC99" s="63"/>
      <c r="AD99" s="63"/>
      <c r="AE99" s="63"/>
      <c r="AF99" s="63"/>
      <c r="AG99" s="63"/>
      <c r="AH99" s="63"/>
      <c r="AI99" s="63"/>
      <c r="AJ99" s="63"/>
      <c r="AK99" s="63"/>
      <c r="AL99" s="63"/>
      <c r="AM99" s="63"/>
      <c r="AN99" s="7"/>
      <c r="AO99" s="7"/>
      <c r="AP99" s="7"/>
      <c r="AQ99" s="7"/>
      <c r="AR99" s="7"/>
      <c r="AS99" s="7"/>
      <c r="AT99" s="7"/>
      <c r="AU99" s="7"/>
      <c r="AV99" s="7"/>
      <c r="AW99" s="7"/>
      <c r="AX99" s="7"/>
      <c r="AY99" s="7"/>
      <c r="AZ99" s="7"/>
      <c r="BA99" s="7"/>
      <c r="BB99" s="7"/>
      <c r="BC99" s="7"/>
      <c r="BD99" s="7"/>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3"/>
      <c r="ET99" s="63"/>
      <c r="EU99" s="63"/>
      <c r="EV99" s="63"/>
      <c r="EW99" s="63"/>
      <c r="EX99" s="63"/>
      <c r="EY99" s="63"/>
      <c r="EZ99" s="63"/>
      <c r="FA99" s="63"/>
      <c r="FB99" s="63"/>
    </row>
    <row r="100" spans="2:241" ht="36.75" customHeight="1" x14ac:dyDescent="0.25">
      <c r="B100" s="1382" t="s">
        <v>947</v>
      </c>
      <c r="C100" s="1382"/>
      <c r="D100" s="1382"/>
      <c r="E100" s="1382"/>
      <c r="F100" s="1382"/>
      <c r="G100" s="1382"/>
      <c r="H100" s="1382"/>
      <c r="I100" s="1382"/>
      <c r="J100" s="1382"/>
      <c r="K100" s="1382"/>
      <c r="L100" s="1382"/>
      <c r="M100" s="1382"/>
      <c r="N100" s="1382"/>
      <c r="O100" s="1382"/>
      <c r="P100" s="1682"/>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3"/>
      <c r="ET100" s="63"/>
      <c r="EU100" s="63"/>
      <c r="EV100" s="63"/>
      <c r="EW100" s="63"/>
      <c r="EX100" s="63"/>
      <c r="EY100" s="63"/>
      <c r="EZ100" s="63"/>
      <c r="FA100" s="63"/>
      <c r="FB100" s="63"/>
    </row>
    <row r="101" spans="2:241" s="8" customFormat="1" ht="15.75" customHeight="1" x14ac:dyDescent="0.25">
      <c r="B101" s="302" t="s">
        <v>790</v>
      </c>
      <c r="C101" s="2028" t="str">
        <f>IF(U1&lt;&gt;"",U1,"")</f>
        <v>Go to PPD Worksheet</v>
      </c>
      <c r="D101" s="2028"/>
      <c r="E101" s="2028"/>
      <c r="F101" s="2028"/>
      <c r="G101" s="2028"/>
      <c r="H101" s="2028"/>
      <c r="I101" s="2267" t="str">
        <f>IF(T1&lt;&gt;"",T1,"")</f>
        <v/>
      </c>
      <c r="J101" s="2267"/>
      <c r="K101" s="2267"/>
      <c r="L101" s="2267"/>
      <c r="M101" s="2267"/>
      <c r="N101" s="2267"/>
      <c r="O101" s="10"/>
      <c r="P101" s="204"/>
      <c r="Q101" s="120"/>
      <c r="R101" s="132"/>
      <c r="S101" s="136"/>
      <c r="T101" s="134"/>
      <c r="U101" s="120"/>
      <c r="V101" s="120"/>
      <c r="W101" s="120"/>
      <c r="X101" s="120"/>
      <c r="Y101" s="120"/>
      <c r="Z101" s="120"/>
      <c r="AA101" s="120"/>
      <c r="AB101" s="120"/>
      <c r="AC101" s="120"/>
      <c r="AD101" s="120"/>
      <c r="AE101" s="120"/>
      <c r="AF101" s="120"/>
      <c r="AG101" s="120"/>
      <c r="AH101" s="120"/>
      <c r="AI101" s="120"/>
      <c r="AJ101" s="120"/>
      <c r="AK101" s="120"/>
      <c r="AL101" s="120"/>
      <c r="AM101" s="120"/>
      <c r="AN101" s="120"/>
      <c r="AO101" s="120"/>
      <c r="AP101" s="120"/>
      <c r="AQ101" s="120"/>
      <c r="AR101" s="120"/>
      <c r="AS101" s="120"/>
      <c r="AT101" s="120"/>
      <c r="AU101" s="120"/>
      <c r="AV101" s="120"/>
      <c r="AW101" s="120"/>
      <c r="AX101" s="120"/>
      <c r="AY101" s="120"/>
      <c r="AZ101" s="120"/>
      <c r="BA101" s="120"/>
      <c r="BB101" s="120"/>
      <c r="BC101" s="120"/>
      <c r="BD101" s="120"/>
      <c r="BE101" s="120"/>
      <c r="BF101" s="120"/>
      <c r="BG101" s="120"/>
      <c r="BH101" s="120"/>
      <c r="BI101" s="120"/>
      <c r="BJ101" s="120"/>
      <c r="BK101" s="120"/>
      <c r="BL101" s="120"/>
      <c r="BM101" s="120"/>
      <c r="BN101" s="120"/>
      <c r="BO101" s="120"/>
      <c r="BP101" s="120"/>
      <c r="BQ101" s="120"/>
      <c r="BR101" s="120"/>
      <c r="BS101" s="120"/>
      <c r="BT101" s="120"/>
      <c r="BU101" s="120"/>
      <c r="BV101" s="120"/>
      <c r="BW101" s="120"/>
      <c r="BX101" s="120"/>
      <c r="BY101" s="120"/>
      <c r="BZ101" s="120"/>
      <c r="CA101" s="120"/>
      <c r="CB101" s="120"/>
      <c r="CC101" s="120"/>
      <c r="CD101" s="120"/>
      <c r="CE101" s="120"/>
      <c r="CF101" s="120"/>
      <c r="CG101" s="120"/>
      <c r="CH101" s="120"/>
      <c r="CI101" s="120"/>
      <c r="CJ101" s="120"/>
      <c r="CK101" s="120"/>
      <c r="CL101" s="120"/>
      <c r="CM101" s="120"/>
      <c r="CN101" s="120"/>
      <c r="CO101" s="120"/>
      <c r="CP101" s="120"/>
      <c r="CQ101" s="120"/>
      <c r="CR101" s="120"/>
      <c r="CS101" s="120"/>
      <c r="CT101" s="120"/>
      <c r="CU101" s="120"/>
      <c r="CV101" s="120"/>
      <c r="CW101" s="120"/>
      <c r="CX101" s="120"/>
      <c r="CY101" s="120"/>
      <c r="CZ101" s="120"/>
      <c r="DA101" s="120"/>
      <c r="DB101" s="120"/>
      <c r="DC101" s="120"/>
      <c r="DD101" s="120"/>
      <c r="DE101" s="120"/>
      <c r="DF101" s="120"/>
      <c r="DG101" s="120"/>
      <c r="DH101" s="120"/>
      <c r="DI101" s="120"/>
      <c r="DJ101" s="120"/>
      <c r="DK101" s="120"/>
      <c r="DL101" s="120"/>
      <c r="DM101" s="120"/>
      <c r="DN101" s="120"/>
      <c r="DO101" s="120"/>
      <c r="DP101" s="120"/>
      <c r="DQ101" s="120"/>
      <c r="DR101" s="120"/>
      <c r="DS101" s="120"/>
      <c r="DT101" s="120"/>
      <c r="DU101" s="120"/>
      <c r="DV101" s="120"/>
      <c r="DW101" s="120"/>
      <c r="DX101" s="120"/>
      <c r="DY101" s="120"/>
      <c r="DZ101" s="120"/>
      <c r="EA101" s="120"/>
      <c r="EB101" s="120"/>
      <c r="EC101" s="120"/>
      <c r="ED101" s="120"/>
      <c r="EE101" s="120"/>
      <c r="EF101" s="120"/>
      <c r="EG101" s="120"/>
      <c r="EH101" s="120"/>
      <c r="EI101" s="120"/>
      <c r="EJ101" s="120"/>
      <c r="EK101" s="120"/>
      <c r="EL101" s="120"/>
      <c r="EM101" s="120"/>
      <c r="EN101" s="120"/>
      <c r="EO101" s="120"/>
      <c r="EP101" s="120"/>
      <c r="EQ101" s="120"/>
      <c r="ER101" s="120"/>
      <c r="ES101" s="120"/>
      <c r="ET101" s="120"/>
      <c r="EU101" s="120"/>
      <c r="EV101" s="120"/>
      <c r="EW101" s="120"/>
      <c r="EX101" s="120"/>
      <c r="EY101" s="120"/>
      <c r="EZ101" s="120"/>
      <c r="FA101" s="120"/>
      <c r="FB101" s="120"/>
    </row>
    <row r="102" spans="2:241" s="8" customFormat="1" ht="15.75" customHeight="1" x14ac:dyDescent="0.25">
      <c r="B102" s="203"/>
      <c r="C102" s="203"/>
      <c r="D102" s="203"/>
      <c r="E102" s="11"/>
      <c r="F102" s="11"/>
      <c r="G102" s="10"/>
      <c r="H102" s="516"/>
      <c r="I102" s="516"/>
      <c r="J102" s="516"/>
      <c r="K102" s="516"/>
      <c r="L102" s="516"/>
      <c r="M102" s="516"/>
      <c r="N102" s="516"/>
      <c r="O102" s="10"/>
      <c r="P102" s="94"/>
      <c r="Q102" s="120"/>
      <c r="R102" s="132"/>
      <c r="S102" s="136"/>
      <c r="T102" s="134"/>
      <c r="U102" s="120"/>
      <c r="V102" s="120"/>
      <c r="W102" s="120"/>
      <c r="X102" s="120"/>
      <c r="Y102" s="120"/>
      <c r="Z102" s="120"/>
      <c r="AA102" s="120"/>
      <c r="AB102" s="120"/>
      <c r="AC102" s="120"/>
      <c r="AD102" s="120"/>
      <c r="AE102" s="120"/>
      <c r="AF102" s="120"/>
      <c r="AG102" s="120"/>
      <c r="AH102" s="120"/>
      <c r="AI102" s="120"/>
      <c r="AJ102" s="120"/>
      <c r="AK102" s="120"/>
      <c r="AL102" s="120"/>
      <c r="AM102" s="120"/>
      <c r="AN102" s="120"/>
      <c r="AO102" s="120"/>
      <c r="AP102" s="120"/>
      <c r="AQ102" s="120"/>
      <c r="AR102" s="120"/>
      <c r="AS102" s="120"/>
      <c r="AT102" s="120"/>
      <c r="AU102" s="120"/>
      <c r="AV102" s="120"/>
      <c r="AW102" s="120"/>
      <c r="AX102" s="120"/>
      <c r="AY102" s="120"/>
      <c r="AZ102" s="120"/>
      <c r="BA102" s="120"/>
      <c r="BB102" s="120"/>
      <c r="BC102" s="120"/>
      <c r="BD102" s="120"/>
      <c r="BE102" s="120"/>
      <c r="BF102" s="120"/>
      <c r="BG102" s="120"/>
      <c r="BH102" s="120"/>
      <c r="BI102" s="120"/>
      <c r="BJ102" s="120"/>
      <c r="BK102" s="120"/>
      <c r="BL102" s="120"/>
      <c r="BM102" s="120"/>
      <c r="BN102" s="120"/>
      <c r="BO102" s="120"/>
      <c r="BP102" s="120"/>
      <c r="BQ102" s="120"/>
      <c r="BR102" s="120"/>
      <c r="BS102" s="120"/>
      <c r="BT102" s="120"/>
      <c r="BU102" s="120"/>
      <c r="BV102" s="120"/>
      <c r="BW102" s="120"/>
      <c r="BX102" s="120"/>
      <c r="BY102" s="120"/>
      <c r="BZ102" s="120"/>
      <c r="CA102" s="120"/>
      <c r="CB102" s="120"/>
      <c r="CC102" s="120"/>
      <c r="CD102" s="120"/>
      <c r="CE102" s="120"/>
      <c r="CF102" s="120"/>
      <c r="CG102" s="120"/>
      <c r="CH102" s="120"/>
      <c r="CI102" s="120"/>
      <c r="CJ102" s="120"/>
      <c r="CK102" s="120"/>
      <c r="CL102" s="120"/>
      <c r="CM102" s="120"/>
      <c r="CN102" s="120"/>
      <c r="CO102" s="120"/>
      <c r="CP102" s="120"/>
      <c r="CQ102" s="120"/>
      <c r="CR102" s="120"/>
      <c r="CS102" s="120"/>
      <c r="CT102" s="120"/>
      <c r="CU102" s="120"/>
      <c r="CV102" s="120"/>
      <c r="CW102" s="120"/>
      <c r="CX102" s="120"/>
      <c r="CY102" s="120"/>
      <c r="CZ102" s="120"/>
      <c r="DA102" s="120"/>
      <c r="DB102" s="120"/>
      <c r="DC102" s="120"/>
      <c r="DD102" s="120"/>
      <c r="DE102" s="120"/>
      <c r="DF102" s="120"/>
      <c r="DG102" s="120"/>
      <c r="DH102" s="120"/>
      <c r="DI102" s="120"/>
      <c r="DJ102" s="120"/>
      <c r="DK102" s="120"/>
      <c r="DL102" s="120"/>
      <c r="DM102" s="120"/>
      <c r="DN102" s="120"/>
      <c r="DO102" s="120"/>
      <c r="DP102" s="120"/>
      <c r="DQ102" s="120"/>
      <c r="DR102" s="120"/>
      <c r="DS102" s="120"/>
      <c r="DT102" s="120"/>
      <c r="DU102" s="120"/>
      <c r="DV102" s="120"/>
      <c r="DW102" s="120"/>
      <c r="DX102" s="120"/>
      <c r="DY102" s="120"/>
      <c r="DZ102" s="120"/>
      <c r="EA102" s="120"/>
      <c r="EB102" s="120"/>
      <c r="EC102" s="120"/>
      <c r="ED102" s="120"/>
      <c r="EE102" s="120"/>
      <c r="EF102" s="120"/>
      <c r="EG102" s="120"/>
      <c r="EH102" s="120"/>
      <c r="EI102" s="120"/>
      <c r="EJ102" s="120"/>
      <c r="EK102" s="120"/>
      <c r="EL102" s="120"/>
      <c r="EM102" s="120"/>
      <c r="EN102" s="120"/>
      <c r="EO102" s="120"/>
      <c r="EP102" s="120"/>
      <c r="EQ102" s="120"/>
      <c r="ER102" s="120"/>
      <c r="ES102" s="120"/>
      <c r="ET102" s="120"/>
      <c r="EU102" s="120"/>
      <c r="EV102" s="120"/>
      <c r="EW102" s="120"/>
      <c r="EX102" s="120"/>
      <c r="EY102" s="120"/>
      <c r="EZ102" s="120"/>
      <c r="FA102" s="120"/>
      <c r="FB102" s="120"/>
    </row>
    <row r="103" spans="2:241" s="8" customFormat="1" ht="15.75" customHeight="1" x14ac:dyDescent="0.25">
      <c r="B103" s="203"/>
      <c r="C103" s="203"/>
      <c r="D103" s="203"/>
      <c r="E103" s="11"/>
      <c r="F103" s="11"/>
      <c r="G103" s="10"/>
      <c r="H103" s="516"/>
      <c r="I103" s="516"/>
      <c r="J103" s="516"/>
      <c r="K103" s="516"/>
      <c r="L103" s="516"/>
      <c r="M103" s="516"/>
      <c r="N103" s="516"/>
      <c r="O103" s="10"/>
      <c r="P103" s="94"/>
      <c r="Q103" s="120"/>
      <c r="R103" s="132"/>
      <c r="S103" s="136"/>
      <c r="T103" s="134"/>
      <c r="U103" s="120"/>
      <c r="V103" s="120"/>
      <c r="W103" s="120"/>
      <c r="X103" s="120"/>
      <c r="Y103" s="120"/>
      <c r="Z103" s="120"/>
      <c r="AA103" s="120"/>
      <c r="AB103" s="120"/>
      <c r="AC103" s="120"/>
      <c r="AD103" s="120"/>
      <c r="AE103" s="120"/>
      <c r="AF103" s="120"/>
      <c r="AG103" s="120"/>
      <c r="AH103" s="120"/>
      <c r="AI103" s="120"/>
      <c r="AJ103" s="120"/>
      <c r="AK103" s="120"/>
      <c r="AL103" s="120"/>
      <c r="AM103" s="120"/>
      <c r="AN103" s="120"/>
      <c r="AO103" s="120"/>
      <c r="AP103" s="120"/>
      <c r="AQ103" s="120"/>
      <c r="AR103" s="120"/>
      <c r="AS103" s="120"/>
      <c r="AT103" s="120"/>
      <c r="AU103" s="120"/>
      <c r="AV103" s="120"/>
      <c r="AW103" s="120"/>
      <c r="AX103" s="120"/>
      <c r="AY103" s="120"/>
      <c r="AZ103" s="120"/>
      <c r="BA103" s="120"/>
      <c r="BB103" s="120"/>
      <c r="BC103" s="120"/>
      <c r="BD103" s="120"/>
      <c r="BE103" s="120"/>
      <c r="BF103" s="120"/>
      <c r="BG103" s="120"/>
      <c r="BH103" s="120"/>
      <c r="BI103" s="120"/>
      <c r="BJ103" s="120"/>
      <c r="BK103" s="120"/>
      <c r="BL103" s="120"/>
      <c r="BM103" s="120"/>
      <c r="BN103" s="120"/>
      <c r="BO103" s="120"/>
      <c r="BP103" s="120"/>
      <c r="BQ103" s="120"/>
      <c r="BR103" s="120"/>
      <c r="BS103" s="120"/>
      <c r="BT103" s="120"/>
      <c r="BU103" s="120"/>
      <c r="BV103" s="120"/>
      <c r="BW103" s="120"/>
      <c r="BX103" s="120"/>
      <c r="BY103" s="120"/>
      <c r="BZ103" s="120"/>
      <c r="CA103" s="120"/>
      <c r="CB103" s="120"/>
      <c r="CC103" s="120"/>
      <c r="CD103" s="120"/>
      <c r="CE103" s="120"/>
      <c r="CF103" s="120"/>
      <c r="CG103" s="120"/>
      <c r="CH103" s="120"/>
      <c r="CI103" s="120"/>
      <c r="CJ103" s="120"/>
      <c r="CK103" s="120"/>
      <c r="CL103" s="120"/>
      <c r="CM103" s="120"/>
      <c r="CN103" s="120"/>
      <c r="CO103" s="120"/>
      <c r="CP103" s="120"/>
      <c r="CQ103" s="120"/>
      <c r="CR103" s="120"/>
      <c r="CS103" s="120"/>
      <c r="CT103" s="120"/>
      <c r="CU103" s="120"/>
      <c r="CV103" s="120"/>
      <c r="CW103" s="120"/>
      <c r="CX103" s="120"/>
      <c r="CY103" s="120"/>
      <c r="CZ103" s="120"/>
      <c r="DA103" s="120"/>
      <c r="DB103" s="120"/>
      <c r="DC103" s="120"/>
      <c r="DD103" s="120"/>
      <c r="DE103" s="120"/>
      <c r="DF103" s="120"/>
      <c r="DG103" s="120"/>
      <c r="DH103" s="120"/>
      <c r="DI103" s="120"/>
      <c r="DJ103" s="120"/>
      <c r="DK103" s="120"/>
      <c r="DL103" s="120"/>
      <c r="DM103" s="120"/>
      <c r="DN103" s="120"/>
      <c r="DO103" s="120"/>
      <c r="DP103" s="120"/>
      <c r="DQ103" s="120"/>
      <c r="DR103" s="120"/>
      <c r="DS103" s="120"/>
      <c r="DT103" s="120"/>
      <c r="DU103" s="120"/>
      <c r="DV103" s="120"/>
      <c r="DW103" s="120"/>
      <c r="DX103" s="120"/>
      <c r="DY103" s="120"/>
      <c r="DZ103" s="120"/>
      <c r="EA103" s="120"/>
      <c r="EB103" s="120"/>
      <c r="EC103" s="120"/>
      <c r="ED103" s="120"/>
      <c r="EE103" s="120"/>
      <c r="EF103" s="120"/>
      <c r="EG103" s="120"/>
      <c r="EH103" s="120"/>
      <c r="EI103" s="120"/>
      <c r="EJ103" s="120"/>
      <c r="EK103" s="120"/>
      <c r="EL103" s="120"/>
      <c r="EM103" s="120"/>
      <c r="EN103" s="120"/>
      <c r="EO103" s="120"/>
      <c r="EP103" s="120"/>
      <c r="EQ103" s="120"/>
      <c r="ER103" s="120"/>
      <c r="ES103" s="120"/>
      <c r="ET103" s="120"/>
      <c r="EU103" s="120"/>
      <c r="EV103" s="120"/>
      <c r="EW103" s="120"/>
      <c r="EX103" s="120"/>
      <c r="EY103" s="120"/>
      <c r="EZ103" s="120"/>
      <c r="FA103" s="120"/>
      <c r="FB103" s="120"/>
    </row>
    <row r="104" spans="2:241" s="8" customFormat="1" ht="15.75" customHeight="1" x14ac:dyDescent="0.25">
      <c r="B104" s="203"/>
      <c r="C104" s="203"/>
      <c r="D104" s="203"/>
      <c r="E104" s="11"/>
      <c r="F104" s="11"/>
      <c r="G104" s="10"/>
      <c r="H104" s="516"/>
      <c r="I104" s="516"/>
      <c r="J104" s="516"/>
      <c r="K104" s="516"/>
      <c r="L104" s="516"/>
      <c r="M104" s="516"/>
      <c r="N104" s="516"/>
      <c r="O104" s="10"/>
      <c r="P104" s="94"/>
      <c r="Q104" s="120"/>
      <c r="R104" s="132"/>
      <c r="S104" s="136"/>
      <c r="T104" s="134"/>
      <c r="U104" s="120"/>
      <c r="V104" s="120"/>
      <c r="W104" s="120"/>
      <c r="X104" s="120"/>
      <c r="Y104" s="120"/>
      <c r="Z104" s="120"/>
      <c r="AA104" s="120"/>
      <c r="AB104" s="120"/>
      <c r="AC104" s="120"/>
      <c r="AD104" s="120"/>
      <c r="AE104" s="120"/>
      <c r="AF104" s="120"/>
      <c r="AG104" s="120"/>
      <c r="AH104" s="120"/>
      <c r="AI104" s="120"/>
      <c r="AJ104" s="120"/>
      <c r="AK104" s="120"/>
      <c r="AL104" s="120"/>
      <c r="AM104" s="120"/>
      <c r="AN104" s="120"/>
      <c r="AO104" s="120"/>
      <c r="AP104" s="120"/>
      <c r="AQ104" s="120"/>
      <c r="AR104" s="120"/>
      <c r="AS104" s="120"/>
      <c r="AT104" s="120"/>
      <c r="AU104" s="120"/>
      <c r="AV104" s="120"/>
      <c r="AW104" s="120"/>
      <c r="AX104" s="120"/>
      <c r="AY104" s="120"/>
      <c r="AZ104" s="120"/>
      <c r="BA104" s="120"/>
      <c r="BB104" s="120"/>
      <c r="BC104" s="120"/>
      <c r="BD104" s="120"/>
      <c r="BE104" s="120"/>
      <c r="BF104" s="120"/>
      <c r="BG104" s="120"/>
      <c r="BH104" s="120"/>
      <c r="BI104" s="120"/>
      <c r="BJ104" s="120"/>
      <c r="BK104" s="120"/>
      <c r="BL104" s="120"/>
      <c r="BM104" s="120"/>
      <c r="BN104" s="120"/>
      <c r="BO104" s="120"/>
      <c r="BP104" s="120"/>
      <c r="BQ104" s="120"/>
      <c r="BR104" s="120"/>
      <c r="BS104" s="120"/>
      <c r="BT104" s="120"/>
      <c r="BU104" s="120"/>
      <c r="BV104" s="120"/>
      <c r="BW104" s="120"/>
      <c r="BX104" s="120"/>
      <c r="BY104" s="120"/>
      <c r="BZ104" s="120"/>
      <c r="CA104" s="120"/>
      <c r="CB104" s="120"/>
      <c r="CC104" s="120"/>
      <c r="CD104" s="120"/>
      <c r="CE104" s="120"/>
      <c r="CF104" s="120"/>
      <c r="CG104" s="120"/>
      <c r="CH104" s="120"/>
      <c r="CI104" s="120"/>
      <c r="CJ104" s="120"/>
      <c r="CK104" s="120"/>
      <c r="CL104" s="120"/>
      <c r="CM104" s="120"/>
      <c r="CN104" s="120"/>
      <c r="CO104" s="120"/>
      <c r="CP104" s="120"/>
      <c r="CQ104" s="120"/>
      <c r="CR104" s="120"/>
      <c r="CS104" s="120"/>
      <c r="CT104" s="120"/>
      <c r="CU104" s="120"/>
      <c r="CV104" s="120"/>
      <c r="CW104" s="120"/>
      <c r="CX104" s="120"/>
      <c r="CY104" s="120"/>
      <c r="CZ104" s="120"/>
      <c r="DA104" s="120"/>
      <c r="DB104" s="120"/>
      <c r="DC104" s="120"/>
      <c r="DD104" s="120"/>
      <c r="DE104" s="120"/>
      <c r="DF104" s="120"/>
      <c r="DG104" s="120"/>
      <c r="DH104" s="120"/>
      <c r="DI104" s="120"/>
      <c r="DJ104" s="120"/>
      <c r="DK104" s="120"/>
      <c r="DL104" s="120"/>
      <c r="DM104" s="120"/>
      <c r="DN104" s="120"/>
      <c r="DO104" s="120"/>
      <c r="DP104" s="120"/>
      <c r="DQ104" s="120"/>
      <c r="DR104" s="120"/>
      <c r="DS104" s="120"/>
      <c r="DT104" s="120"/>
      <c r="DU104" s="120"/>
      <c r="DV104" s="120"/>
      <c r="DW104" s="120"/>
      <c r="DX104" s="120"/>
      <c r="DY104" s="120"/>
      <c r="DZ104" s="120"/>
      <c r="EA104" s="120"/>
      <c r="EB104" s="120"/>
      <c r="EC104" s="120"/>
      <c r="ED104" s="120"/>
      <c r="EE104" s="120"/>
      <c r="EF104" s="120"/>
      <c r="EG104" s="120"/>
      <c r="EH104" s="120"/>
      <c r="EI104" s="120"/>
      <c r="EJ104" s="120"/>
      <c r="EK104" s="120"/>
      <c r="EL104" s="120"/>
      <c r="EM104" s="120"/>
      <c r="EN104" s="120"/>
      <c r="EO104" s="120"/>
      <c r="EP104" s="120"/>
      <c r="EQ104" s="120"/>
      <c r="ER104" s="120"/>
      <c r="ES104" s="120"/>
      <c r="ET104" s="120"/>
      <c r="EU104" s="120"/>
      <c r="EV104" s="120"/>
      <c r="EW104" s="120"/>
      <c r="EX104" s="120"/>
      <c r="EY104" s="120"/>
      <c r="EZ104" s="120"/>
      <c r="FA104" s="120"/>
      <c r="FB104" s="120"/>
    </row>
    <row r="105" spans="2:241" s="8" customFormat="1" ht="15.75" customHeight="1" x14ac:dyDescent="0.25">
      <c r="B105" s="203"/>
      <c r="C105" s="203"/>
      <c r="D105" s="203"/>
      <c r="E105" s="11"/>
      <c r="F105" s="11"/>
      <c r="G105" s="10"/>
      <c r="H105" s="516"/>
      <c r="I105" s="516"/>
      <c r="J105" s="516"/>
      <c r="K105" s="516"/>
      <c r="L105" s="516"/>
      <c r="M105" s="516"/>
      <c r="N105" s="516"/>
      <c r="O105" s="10"/>
      <c r="P105" s="94"/>
      <c r="Q105" s="120"/>
      <c r="R105" s="132"/>
      <c r="S105" s="136"/>
      <c r="T105" s="134"/>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0"/>
      <c r="BR105" s="120"/>
      <c r="BS105" s="120"/>
      <c r="BT105" s="120"/>
      <c r="BU105" s="120"/>
      <c r="BV105" s="120"/>
      <c r="BW105" s="120"/>
      <c r="BX105" s="120"/>
      <c r="BY105" s="120"/>
      <c r="BZ105" s="120"/>
      <c r="CA105" s="120"/>
      <c r="CB105" s="120"/>
      <c r="CC105" s="120"/>
      <c r="CD105" s="120"/>
      <c r="CE105" s="120"/>
      <c r="CF105" s="120"/>
      <c r="CG105" s="120"/>
      <c r="CH105" s="120"/>
      <c r="CI105" s="120"/>
      <c r="CJ105" s="120"/>
      <c r="CK105" s="120"/>
      <c r="CL105" s="120"/>
      <c r="CM105" s="120"/>
      <c r="CN105" s="120"/>
      <c r="CO105" s="120"/>
      <c r="CP105" s="120"/>
      <c r="CQ105" s="120"/>
      <c r="CR105" s="120"/>
      <c r="CS105" s="120"/>
      <c r="CT105" s="120"/>
      <c r="CU105" s="120"/>
      <c r="CV105" s="120"/>
      <c r="CW105" s="120"/>
      <c r="CX105" s="120"/>
      <c r="CY105" s="120"/>
      <c r="CZ105" s="120"/>
      <c r="DA105" s="120"/>
      <c r="DB105" s="120"/>
      <c r="DC105" s="120"/>
      <c r="DD105" s="120"/>
      <c r="DE105" s="120"/>
      <c r="DF105" s="120"/>
      <c r="DG105" s="120"/>
      <c r="DH105" s="120"/>
      <c r="DI105" s="120"/>
      <c r="DJ105" s="120"/>
      <c r="DK105" s="120"/>
      <c r="DL105" s="120"/>
      <c r="DM105" s="120"/>
      <c r="DN105" s="120"/>
      <c r="DO105" s="120"/>
      <c r="DP105" s="120"/>
      <c r="DQ105" s="120"/>
      <c r="DR105" s="120"/>
      <c r="DS105" s="120"/>
      <c r="DT105" s="120"/>
      <c r="DU105" s="120"/>
      <c r="DV105" s="120"/>
      <c r="DW105" s="120"/>
      <c r="DX105" s="120"/>
      <c r="DY105" s="120"/>
      <c r="DZ105" s="120"/>
      <c r="EA105" s="120"/>
      <c r="EB105" s="120"/>
      <c r="EC105" s="120"/>
      <c r="ED105" s="120"/>
      <c r="EE105" s="120"/>
      <c r="EF105" s="120"/>
      <c r="EG105" s="120"/>
      <c r="EH105" s="120"/>
      <c r="EI105" s="120"/>
      <c r="EJ105" s="120"/>
      <c r="EK105" s="120"/>
      <c r="EL105" s="120"/>
      <c r="EM105" s="120"/>
      <c r="EN105" s="120"/>
      <c r="EO105" s="120"/>
      <c r="EP105" s="120"/>
      <c r="EQ105" s="120"/>
      <c r="ER105" s="120"/>
      <c r="ES105" s="120"/>
      <c r="ET105" s="120"/>
      <c r="EU105" s="120"/>
      <c r="EV105" s="120"/>
      <c r="EW105" s="120"/>
      <c r="EX105" s="120"/>
      <c r="EY105" s="120"/>
      <c r="EZ105" s="120"/>
      <c r="FA105" s="120"/>
      <c r="FB105" s="120"/>
    </row>
    <row r="106" spans="2:241" s="8" customFormat="1" ht="15.75" customHeight="1" x14ac:dyDescent="0.25">
      <c r="B106" s="2298" t="s">
        <v>2271</v>
      </c>
      <c r="C106" s="2298"/>
      <c r="D106" s="1202"/>
      <c r="E106" s="11"/>
      <c r="F106" s="10"/>
      <c r="G106" s="10"/>
      <c r="H106" s="205"/>
      <c r="I106" s="205"/>
      <c r="J106" s="205"/>
      <c r="K106" s="205"/>
      <c r="L106" s="205"/>
      <c r="M106" s="205"/>
      <c r="N106" s="205"/>
      <c r="O106" s="205"/>
      <c r="P106" s="94"/>
      <c r="Q106" s="120"/>
      <c r="R106" s="132"/>
      <c r="S106" s="136"/>
      <c r="T106" s="134"/>
      <c r="U106" s="120"/>
      <c r="V106" s="120"/>
      <c r="W106" s="120"/>
      <c r="X106" s="120"/>
      <c r="Y106" s="120"/>
      <c r="Z106" s="120"/>
      <c r="AA106" s="120"/>
      <c r="AB106" s="120"/>
      <c r="AC106" s="120"/>
      <c r="AD106" s="120"/>
      <c r="AE106" s="120"/>
      <c r="AF106" s="120"/>
      <c r="AG106" s="120"/>
      <c r="AH106" s="120"/>
      <c r="AI106" s="120"/>
      <c r="AJ106" s="120"/>
      <c r="AK106" s="120"/>
      <c r="AL106" s="120"/>
      <c r="AM106" s="120"/>
      <c r="AN106" s="120"/>
      <c r="AO106" s="120"/>
      <c r="AP106" s="120"/>
      <c r="AQ106" s="120"/>
      <c r="AR106" s="120"/>
      <c r="AS106" s="120"/>
      <c r="AT106" s="120"/>
      <c r="AU106" s="120"/>
      <c r="AV106" s="120"/>
      <c r="AW106" s="120"/>
      <c r="AX106" s="120"/>
      <c r="AY106" s="120"/>
      <c r="AZ106" s="120"/>
      <c r="BA106" s="120"/>
      <c r="BB106" s="120"/>
      <c r="BC106" s="120"/>
      <c r="BD106" s="120"/>
      <c r="BE106" s="120"/>
      <c r="BF106" s="120"/>
      <c r="BG106" s="120"/>
      <c r="BH106" s="120"/>
      <c r="BI106" s="120"/>
      <c r="BJ106" s="120"/>
      <c r="BK106" s="120"/>
      <c r="BL106" s="120"/>
      <c r="BM106" s="120"/>
      <c r="BN106" s="120"/>
      <c r="BO106" s="120"/>
      <c r="BP106" s="120"/>
      <c r="BQ106" s="120"/>
      <c r="BR106" s="120"/>
      <c r="BS106" s="120"/>
      <c r="BT106" s="120"/>
      <c r="BU106" s="120"/>
      <c r="BV106" s="120"/>
      <c r="BW106" s="120"/>
      <c r="BX106" s="120"/>
      <c r="BY106" s="120"/>
      <c r="BZ106" s="120"/>
      <c r="CA106" s="120"/>
      <c r="CB106" s="120"/>
      <c r="CC106" s="120"/>
      <c r="CD106" s="120"/>
      <c r="CE106" s="120"/>
      <c r="CF106" s="120"/>
      <c r="CG106" s="120"/>
      <c r="CH106" s="120"/>
      <c r="CI106" s="120"/>
      <c r="CJ106" s="120"/>
      <c r="CK106" s="120"/>
      <c r="CL106" s="120"/>
      <c r="CM106" s="120"/>
      <c r="CN106" s="120"/>
      <c r="CO106" s="120"/>
      <c r="CP106" s="120"/>
      <c r="CQ106" s="120"/>
      <c r="CR106" s="120"/>
      <c r="CS106" s="120"/>
      <c r="CT106" s="120"/>
      <c r="CU106" s="120"/>
      <c r="CV106" s="120"/>
      <c r="CW106" s="120"/>
      <c r="CX106" s="120"/>
      <c r="CY106" s="120"/>
      <c r="CZ106" s="120"/>
      <c r="DA106" s="120"/>
      <c r="DB106" s="120"/>
      <c r="DC106" s="120"/>
      <c r="DD106" s="120"/>
      <c r="DE106" s="120"/>
      <c r="DF106" s="120"/>
      <c r="DG106" s="120"/>
      <c r="DH106" s="120"/>
      <c r="DI106" s="120"/>
      <c r="DJ106" s="120"/>
      <c r="DK106" s="120"/>
      <c r="DL106" s="120"/>
      <c r="DM106" s="120"/>
      <c r="DN106" s="120"/>
      <c r="DO106" s="120"/>
      <c r="DP106" s="120"/>
      <c r="DQ106" s="120"/>
      <c r="DR106" s="120"/>
      <c r="DS106" s="120"/>
      <c r="DT106" s="120"/>
      <c r="DU106" s="120"/>
      <c r="DV106" s="120"/>
      <c r="DW106" s="120"/>
      <c r="DX106" s="120"/>
      <c r="DY106" s="120"/>
      <c r="DZ106" s="120"/>
      <c r="EA106" s="120"/>
      <c r="EB106" s="120"/>
      <c r="EC106" s="120"/>
      <c r="ED106" s="120"/>
      <c r="EE106" s="120"/>
      <c r="EF106" s="120"/>
      <c r="EG106" s="120"/>
      <c r="EH106" s="120"/>
      <c r="EI106" s="120"/>
      <c r="EJ106" s="120"/>
      <c r="EK106" s="120"/>
      <c r="EL106" s="120"/>
      <c r="EM106" s="120"/>
      <c r="EN106" s="120"/>
      <c r="EO106" s="120"/>
      <c r="EP106" s="120"/>
      <c r="EQ106" s="120"/>
      <c r="ER106" s="120"/>
      <c r="ES106" s="120"/>
      <c r="ET106" s="120"/>
      <c r="EU106" s="120"/>
      <c r="EV106" s="120"/>
      <c r="EW106" s="120"/>
      <c r="EX106" s="120"/>
      <c r="EY106" s="120"/>
      <c r="EZ106" s="120"/>
      <c r="FA106" s="120"/>
      <c r="FB106" s="120"/>
    </row>
    <row r="107" spans="2:241" s="8" customFormat="1" ht="18" customHeight="1" x14ac:dyDescent="0.25">
      <c r="B107" s="2298"/>
      <c r="C107" s="2298"/>
      <c r="D107" s="1202"/>
      <c r="E107" s="517"/>
      <c r="F107" s="517"/>
      <c r="G107" s="517"/>
      <c r="H107" s="517"/>
      <c r="I107" s="517"/>
      <c r="J107" s="517"/>
      <c r="K107" s="517"/>
      <c r="L107" s="517"/>
      <c r="M107" s="517"/>
      <c r="N107" s="517"/>
      <c r="O107" s="517"/>
      <c r="P107" s="517"/>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c r="AM107" s="120"/>
      <c r="AN107" s="120"/>
      <c r="AO107" s="120"/>
      <c r="AP107" s="120"/>
      <c r="AQ107" s="120"/>
      <c r="AR107" s="120"/>
      <c r="AS107" s="120"/>
      <c r="AT107" s="120"/>
      <c r="AU107" s="120"/>
      <c r="AV107" s="120"/>
      <c r="AW107" s="120"/>
      <c r="AX107" s="120"/>
      <c r="AY107" s="120"/>
      <c r="AZ107" s="120"/>
      <c r="BA107" s="120"/>
      <c r="BB107" s="120"/>
      <c r="BC107" s="120"/>
      <c r="BD107" s="120"/>
      <c r="BE107" s="120"/>
      <c r="BF107" s="120"/>
      <c r="BG107" s="120"/>
      <c r="BH107" s="120"/>
      <c r="BI107" s="120"/>
      <c r="BJ107" s="120"/>
      <c r="BK107" s="120"/>
      <c r="BL107" s="120"/>
      <c r="BM107" s="120"/>
      <c r="BN107" s="120"/>
      <c r="BO107" s="120"/>
      <c r="BP107" s="120"/>
      <c r="BQ107" s="120"/>
      <c r="BR107" s="120"/>
      <c r="BS107" s="120"/>
      <c r="BT107" s="120"/>
      <c r="BU107" s="120"/>
      <c r="BV107" s="120"/>
      <c r="BW107" s="120"/>
      <c r="BX107" s="120"/>
      <c r="BY107" s="120"/>
      <c r="BZ107" s="120"/>
      <c r="CA107" s="120"/>
      <c r="CB107" s="120"/>
      <c r="CC107" s="120"/>
      <c r="CD107" s="120"/>
      <c r="CE107" s="120"/>
      <c r="CF107" s="120"/>
      <c r="CG107" s="120"/>
      <c r="CH107" s="120"/>
      <c r="CI107" s="120"/>
      <c r="CJ107" s="120"/>
      <c r="CK107" s="120"/>
      <c r="CL107" s="120"/>
      <c r="CM107" s="120"/>
      <c r="CN107" s="120"/>
      <c r="CO107" s="120"/>
      <c r="CP107" s="120"/>
      <c r="CQ107" s="120"/>
      <c r="CR107" s="120"/>
      <c r="CS107" s="120"/>
      <c r="CT107" s="120"/>
      <c r="CU107" s="120"/>
      <c r="CV107" s="120"/>
      <c r="CW107" s="120"/>
      <c r="CX107" s="120"/>
      <c r="CY107" s="120"/>
      <c r="CZ107" s="120"/>
      <c r="DA107" s="120"/>
      <c r="DB107" s="120"/>
      <c r="DC107" s="120"/>
      <c r="DD107" s="120"/>
      <c r="DE107" s="120"/>
      <c r="DF107" s="120"/>
      <c r="DG107" s="120"/>
      <c r="DH107" s="120"/>
      <c r="DI107" s="120"/>
      <c r="DJ107" s="120"/>
      <c r="DK107" s="120"/>
      <c r="DL107" s="120"/>
      <c r="DM107" s="120"/>
      <c r="DN107" s="120"/>
      <c r="DO107" s="120"/>
      <c r="DP107" s="120"/>
      <c r="DQ107" s="120"/>
      <c r="DR107" s="120"/>
      <c r="DS107" s="120"/>
      <c r="DT107" s="120"/>
      <c r="DU107" s="120"/>
      <c r="DV107" s="120"/>
      <c r="DW107" s="120"/>
      <c r="DX107" s="120"/>
      <c r="DY107" s="120"/>
      <c r="DZ107" s="120"/>
      <c r="EA107" s="120"/>
      <c r="EB107" s="120"/>
      <c r="EC107" s="120"/>
      <c r="ED107" s="120"/>
      <c r="EE107" s="120"/>
      <c r="EF107" s="120"/>
      <c r="EG107" s="120"/>
      <c r="EH107" s="120"/>
      <c r="EI107" s="120"/>
      <c r="EJ107" s="120"/>
      <c r="EK107" s="120"/>
      <c r="EL107" s="120"/>
      <c r="EM107" s="120"/>
      <c r="EN107" s="120"/>
      <c r="EO107" s="120"/>
      <c r="EP107" s="120"/>
      <c r="EQ107" s="120"/>
      <c r="ER107" s="120"/>
      <c r="ES107" s="120"/>
      <c r="ET107" s="120"/>
      <c r="EU107" s="120"/>
      <c r="EV107" s="120"/>
      <c r="EW107" s="120"/>
      <c r="EX107" s="120"/>
      <c r="EY107" s="120"/>
      <c r="EZ107" s="120"/>
      <c r="FA107" s="120"/>
      <c r="FB107" s="120"/>
    </row>
    <row r="108" spans="2:241" ht="15.75" customHeight="1" x14ac:dyDescent="0.25">
      <c r="B108" s="2298"/>
      <c r="C108" s="2298"/>
      <c r="D108" s="1202"/>
      <c r="E108" s="2285"/>
      <c r="F108" s="1469"/>
      <c r="G108" s="10"/>
      <c r="H108" s="8"/>
      <c r="I108" s="8"/>
      <c r="J108" s="8"/>
      <c r="K108" s="8"/>
      <c r="L108" s="8"/>
      <c r="M108" s="8"/>
      <c r="N108" s="8"/>
      <c r="O108" s="8"/>
      <c r="P108" s="206"/>
      <c r="Q108" s="120"/>
      <c r="R108" s="132"/>
      <c r="S108" s="136"/>
      <c r="T108" s="134"/>
      <c r="U108" s="120"/>
      <c r="V108" s="120"/>
      <c r="W108" s="120"/>
      <c r="X108" s="120"/>
      <c r="Y108" s="120"/>
      <c r="Z108" s="120"/>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3"/>
      <c r="ET108" s="63"/>
      <c r="EU108" s="63"/>
      <c r="EV108" s="63"/>
      <c r="EW108" s="63"/>
      <c r="EX108" s="63"/>
      <c r="EY108" s="63"/>
      <c r="EZ108" s="63"/>
      <c r="FA108" s="63"/>
      <c r="FB108" s="63"/>
    </row>
    <row r="109" spans="2:241" ht="15.75" customHeight="1" x14ac:dyDescent="0.25">
      <c r="B109" s="1186">
        <v>0.01</v>
      </c>
      <c r="C109" s="1186">
        <v>0.99</v>
      </c>
      <c r="D109" s="207"/>
      <c r="E109" s="12"/>
      <c r="F109" s="1"/>
      <c r="G109" s="1"/>
      <c r="H109" s="208"/>
      <c r="I109" s="208"/>
      <c r="J109" s="208"/>
      <c r="K109" s="208"/>
      <c r="L109" s="208"/>
      <c r="M109" s="208"/>
      <c r="N109" s="208"/>
      <c r="O109" s="208"/>
      <c r="P109" s="94"/>
      <c r="Q109" s="63"/>
      <c r="R109" s="40"/>
      <c r="S109" s="89"/>
      <c r="T109" s="130"/>
      <c r="U109" s="7"/>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3"/>
      <c r="ET109" s="63"/>
      <c r="EU109" s="63"/>
      <c r="EV109" s="63"/>
      <c r="EW109" s="63"/>
      <c r="EX109" s="63"/>
      <c r="EY109" s="63"/>
      <c r="EZ109" s="63"/>
      <c r="FA109" s="63"/>
      <c r="FB109" s="63"/>
    </row>
    <row r="110" spans="2:241" s="219" customFormat="1" x14ac:dyDescent="0.2">
      <c r="C110" s="13"/>
      <c r="D110" s="461"/>
      <c r="F110" s="13"/>
      <c r="G110" s="461"/>
      <c r="I110" s="13"/>
      <c r="J110" s="461"/>
      <c r="L110" s="13"/>
      <c r="M110" s="461"/>
      <c r="O110" s="13"/>
      <c r="P110" s="461"/>
      <c r="Q110" s="34"/>
      <c r="R110" s="34"/>
      <c r="S110" s="137"/>
      <c r="T110" s="34"/>
      <c r="U110" s="34"/>
      <c r="V110" s="137"/>
      <c r="W110" s="34"/>
      <c r="X110" s="34"/>
      <c r="Y110" s="137"/>
      <c r="Z110" s="34"/>
      <c r="AA110" s="34"/>
      <c r="AB110" s="137"/>
      <c r="AC110" s="34"/>
      <c r="AD110" s="34"/>
      <c r="AE110" s="137"/>
      <c r="AF110" s="34"/>
      <c r="AG110" s="34"/>
      <c r="AH110" s="137"/>
      <c r="AI110" s="34"/>
      <c r="AJ110" s="34"/>
      <c r="AK110" s="137"/>
      <c r="AL110" s="34"/>
      <c r="AM110" s="34"/>
      <c r="AN110" s="137"/>
      <c r="AO110" s="34"/>
      <c r="AP110" s="34"/>
      <c r="AQ110" s="137"/>
      <c r="AR110" s="34"/>
      <c r="AS110" s="34"/>
      <c r="AT110" s="137"/>
      <c r="AU110" s="34"/>
      <c r="AV110" s="34"/>
      <c r="AW110" s="137"/>
      <c r="AX110" s="34"/>
      <c r="AY110" s="34"/>
      <c r="AZ110" s="137"/>
      <c r="BA110" s="34"/>
      <c r="BB110" s="34"/>
      <c r="BC110" s="137"/>
      <c r="BD110" s="34"/>
      <c r="BE110" s="34"/>
      <c r="BF110" s="137"/>
      <c r="BG110" s="34"/>
      <c r="BH110" s="34"/>
      <c r="BI110" s="137"/>
      <c r="BJ110" s="34"/>
      <c r="BK110" s="34"/>
      <c r="BL110" s="137"/>
      <c r="BM110" s="34"/>
      <c r="BN110" s="34"/>
      <c r="BO110" s="137"/>
      <c r="BP110" s="34"/>
      <c r="BQ110" s="34"/>
      <c r="BR110" s="137"/>
      <c r="BS110" s="34"/>
      <c r="BT110" s="34"/>
      <c r="BU110" s="137"/>
      <c r="BV110" s="34"/>
      <c r="BW110" s="34"/>
      <c r="BX110" s="137"/>
      <c r="BY110" s="34"/>
      <c r="BZ110" s="34"/>
      <c r="CA110" s="137"/>
      <c r="CB110" s="34"/>
      <c r="CC110" s="34"/>
      <c r="CD110" s="137"/>
      <c r="CE110" s="34"/>
      <c r="CF110" s="34"/>
      <c r="CG110" s="137"/>
      <c r="CH110" s="34"/>
      <c r="CI110" s="34"/>
      <c r="CJ110" s="137"/>
      <c r="CK110" s="34"/>
      <c r="CL110" s="34"/>
      <c r="CM110" s="137"/>
      <c r="CN110" s="34"/>
      <c r="CO110" s="34"/>
      <c r="CP110" s="137"/>
      <c r="CQ110" s="34"/>
      <c r="CR110" s="34"/>
      <c r="CS110" s="137"/>
      <c r="CT110" s="34"/>
      <c r="CU110" s="34"/>
      <c r="CV110" s="137"/>
      <c r="CW110" s="34"/>
      <c r="CX110" s="34"/>
      <c r="CY110" s="137"/>
      <c r="CZ110" s="34"/>
      <c r="DA110" s="34"/>
      <c r="DB110" s="137"/>
      <c r="DC110" s="34"/>
      <c r="DD110" s="34"/>
      <c r="DE110" s="137"/>
      <c r="DF110" s="34"/>
      <c r="DG110" s="34"/>
      <c r="DH110" s="137"/>
      <c r="DI110" s="34"/>
      <c r="DJ110" s="34"/>
      <c r="DK110" s="137"/>
      <c r="DL110" s="34"/>
      <c r="DM110" s="34"/>
      <c r="DN110" s="137"/>
      <c r="DO110" s="34"/>
      <c r="DP110" s="34"/>
      <c r="DQ110" s="137"/>
      <c r="DR110" s="34"/>
      <c r="DS110" s="34"/>
      <c r="DT110" s="137"/>
      <c r="DU110" s="34"/>
      <c r="DV110" s="34"/>
      <c r="DW110" s="137"/>
      <c r="DX110" s="34"/>
      <c r="DY110" s="34"/>
      <c r="DZ110" s="137"/>
      <c r="EA110" s="34"/>
      <c r="EB110" s="34"/>
      <c r="EC110" s="137"/>
      <c r="ED110" s="34"/>
      <c r="EE110" s="34"/>
      <c r="EF110" s="137"/>
      <c r="EG110" s="34"/>
      <c r="EH110" s="34"/>
      <c r="EI110" s="137"/>
      <c r="EJ110" s="34"/>
      <c r="EK110" s="34"/>
      <c r="EL110" s="137"/>
      <c r="EM110" s="34"/>
      <c r="EN110" s="34"/>
      <c r="EO110" s="137"/>
      <c r="EP110" s="34"/>
      <c r="EQ110" s="34"/>
      <c r="ER110" s="137"/>
      <c r="ES110" s="34"/>
      <c r="ET110" s="34"/>
      <c r="EU110" s="137"/>
      <c r="EV110" s="34"/>
      <c r="EW110" s="34"/>
      <c r="EX110" s="137"/>
      <c r="EY110" s="34"/>
      <c r="EZ110" s="34"/>
      <c r="FA110" s="137"/>
      <c r="FB110" s="34"/>
      <c r="FC110" s="13"/>
      <c r="FD110" s="461"/>
      <c r="FF110" s="13"/>
      <c r="FG110" s="461"/>
      <c r="FI110" s="13"/>
      <c r="FJ110" s="461"/>
      <c r="FL110" s="13"/>
      <c r="FM110" s="461"/>
      <c r="FO110" s="13"/>
      <c r="FP110" s="461"/>
      <c r="FR110" s="13"/>
      <c r="FS110" s="461"/>
      <c r="FU110" s="13"/>
      <c r="FV110" s="461"/>
      <c r="FX110" s="13"/>
      <c r="FY110" s="461"/>
      <c r="GA110" s="13"/>
      <c r="GB110" s="461"/>
      <c r="GD110" s="13"/>
      <c r="GE110" s="461"/>
      <c r="GG110" s="13"/>
      <c r="GH110" s="461"/>
      <c r="GJ110" s="13"/>
      <c r="GK110" s="461"/>
      <c r="GM110" s="13"/>
      <c r="GN110" s="461"/>
      <c r="GP110" s="13"/>
      <c r="GQ110" s="461"/>
      <c r="GS110" s="13"/>
      <c r="GT110" s="461"/>
      <c r="GV110" s="13"/>
      <c r="GW110" s="461"/>
      <c r="GY110" s="13"/>
      <c r="GZ110" s="461"/>
      <c r="HB110" s="13"/>
      <c r="HC110" s="461"/>
      <c r="HE110" s="13"/>
      <c r="HF110" s="461"/>
      <c r="HH110" s="13"/>
      <c r="HI110" s="461"/>
      <c r="HK110" s="13"/>
      <c r="HL110" s="461"/>
      <c r="HN110" s="13"/>
      <c r="HO110" s="461"/>
      <c r="HQ110" s="13"/>
      <c r="HR110" s="461"/>
      <c r="HT110" s="13"/>
      <c r="HU110" s="461"/>
      <c r="HW110" s="13"/>
      <c r="HX110" s="461"/>
      <c r="HZ110" s="13"/>
      <c r="IA110" s="461"/>
      <c r="IC110" s="13"/>
      <c r="ID110" s="461"/>
      <c r="IF110" s="13"/>
      <c r="IG110" s="461"/>
    </row>
    <row r="111" spans="2:241" s="219" customFormat="1" x14ac:dyDescent="0.2">
      <c r="F111" s="13"/>
      <c r="G111" s="461"/>
      <c r="I111" s="13"/>
      <c r="J111" s="461"/>
      <c r="L111" s="13"/>
      <c r="M111" s="461"/>
      <c r="O111" s="13"/>
      <c r="P111" s="461"/>
      <c r="Q111" s="34"/>
      <c r="R111" s="34"/>
      <c r="S111" s="137"/>
      <c r="T111" s="34"/>
      <c r="U111" s="34"/>
      <c r="V111" s="137"/>
      <c r="W111" s="34"/>
      <c r="X111" s="34"/>
      <c r="Y111" s="137"/>
      <c r="Z111" s="34"/>
      <c r="AA111" s="34"/>
      <c r="AB111" s="137"/>
      <c r="AC111" s="34"/>
      <c r="AD111" s="34"/>
      <c r="AE111" s="137"/>
      <c r="AF111" s="34"/>
      <c r="AG111" s="34"/>
      <c r="AH111" s="137"/>
      <c r="AI111" s="34"/>
      <c r="AJ111" s="34"/>
      <c r="AK111" s="137"/>
      <c r="AL111" s="34"/>
      <c r="AM111" s="34"/>
      <c r="AN111" s="137"/>
      <c r="AO111" s="34"/>
      <c r="AP111" s="34"/>
      <c r="AQ111" s="137"/>
      <c r="AR111" s="34"/>
      <c r="AS111" s="34"/>
      <c r="AT111" s="137"/>
      <c r="AU111" s="34"/>
      <c r="AV111" s="34"/>
      <c r="AW111" s="137"/>
      <c r="AX111" s="34"/>
      <c r="AY111" s="34"/>
      <c r="AZ111" s="137"/>
      <c r="BA111" s="34"/>
      <c r="BB111" s="34"/>
      <c r="BC111" s="137"/>
      <c r="BD111" s="34"/>
      <c r="BE111" s="34"/>
      <c r="BF111" s="137"/>
      <c r="BG111" s="34"/>
      <c r="BH111" s="34"/>
      <c r="BI111" s="137"/>
      <c r="BJ111" s="34"/>
      <c r="BK111" s="34"/>
      <c r="BL111" s="137"/>
      <c r="BM111" s="34"/>
      <c r="BN111" s="34"/>
      <c r="BO111" s="137"/>
      <c r="BP111" s="34"/>
      <c r="BQ111" s="34"/>
      <c r="BR111" s="137"/>
      <c r="BS111" s="34"/>
      <c r="BT111" s="34"/>
      <c r="BU111" s="137"/>
      <c r="BV111" s="34"/>
      <c r="BW111" s="34"/>
      <c r="BX111" s="137"/>
      <c r="BY111" s="34"/>
      <c r="BZ111" s="34"/>
      <c r="CA111" s="137"/>
      <c r="CB111" s="34"/>
      <c r="CC111" s="34"/>
      <c r="CD111" s="137"/>
      <c r="CE111" s="34"/>
      <c r="CF111" s="34"/>
      <c r="CG111" s="137"/>
      <c r="CH111" s="34"/>
      <c r="CI111" s="34"/>
      <c r="CJ111" s="137"/>
      <c r="CK111" s="34"/>
      <c r="CL111" s="34"/>
      <c r="CM111" s="137"/>
      <c r="CN111" s="34"/>
      <c r="CO111" s="34"/>
      <c r="CP111" s="137"/>
      <c r="CQ111" s="34"/>
      <c r="CR111" s="34"/>
      <c r="CS111" s="137"/>
      <c r="CT111" s="34"/>
      <c r="CU111" s="34"/>
      <c r="CV111" s="137"/>
      <c r="CW111" s="34"/>
      <c r="CX111" s="34"/>
      <c r="CY111" s="137"/>
      <c r="CZ111" s="34"/>
      <c r="DA111" s="34"/>
      <c r="DB111" s="137"/>
      <c r="DC111" s="34"/>
      <c r="DD111" s="34"/>
      <c r="DE111" s="137"/>
      <c r="DF111" s="34"/>
      <c r="DG111" s="34"/>
      <c r="DH111" s="137"/>
      <c r="DI111" s="34"/>
      <c r="DJ111" s="34"/>
      <c r="DK111" s="137"/>
      <c r="DL111" s="34"/>
      <c r="DM111" s="34"/>
      <c r="DN111" s="137"/>
      <c r="DO111" s="34"/>
      <c r="DP111" s="34"/>
      <c r="DQ111" s="137"/>
      <c r="DR111" s="34"/>
      <c r="DS111" s="34"/>
      <c r="DT111" s="137"/>
      <c r="DU111" s="34"/>
      <c r="DV111" s="34"/>
      <c r="DW111" s="137"/>
      <c r="DX111" s="34"/>
      <c r="DY111" s="34"/>
      <c r="DZ111" s="137"/>
      <c r="EA111" s="34"/>
      <c r="EB111" s="34"/>
      <c r="EC111" s="137"/>
      <c r="ED111" s="34"/>
      <c r="EE111" s="34"/>
      <c r="EF111" s="137"/>
      <c r="EG111" s="34"/>
      <c r="EH111" s="34"/>
      <c r="EI111" s="137"/>
      <c r="EJ111" s="34"/>
      <c r="EK111" s="34"/>
      <c r="EL111" s="137"/>
      <c r="EM111" s="34"/>
      <c r="EN111" s="34"/>
      <c r="EO111" s="137"/>
      <c r="EP111" s="34"/>
      <c r="EQ111" s="34"/>
      <c r="ER111" s="137"/>
      <c r="ES111" s="34"/>
      <c r="ET111" s="34"/>
      <c r="EU111" s="137"/>
      <c r="EV111" s="34"/>
      <c r="EW111" s="34"/>
      <c r="EX111" s="137"/>
      <c r="EY111" s="34"/>
      <c r="EZ111" s="34"/>
      <c r="FA111" s="137"/>
      <c r="FB111" s="34"/>
      <c r="FC111" s="13"/>
      <c r="FD111" s="461"/>
      <c r="FF111" s="13"/>
      <c r="FG111" s="461"/>
      <c r="FI111" s="13"/>
      <c r="FJ111" s="461"/>
      <c r="FL111" s="13"/>
      <c r="FM111" s="461"/>
      <c r="FO111" s="13"/>
      <c r="FP111" s="461"/>
      <c r="FR111" s="13"/>
      <c r="FS111" s="461"/>
      <c r="FU111" s="13"/>
      <c r="FV111" s="461"/>
      <c r="FX111" s="13"/>
      <c r="FY111" s="461"/>
      <c r="GA111" s="13"/>
      <c r="GB111" s="461"/>
      <c r="GD111" s="13"/>
      <c r="GE111" s="461"/>
      <c r="GG111" s="13"/>
      <c r="GH111" s="461"/>
      <c r="GJ111" s="13"/>
      <c r="GK111" s="461"/>
      <c r="GM111" s="13"/>
      <c r="GN111" s="461"/>
      <c r="GP111" s="13"/>
      <c r="GQ111" s="461"/>
      <c r="GS111" s="13"/>
      <c r="GT111" s="461"/>
      <c r="GV111" s="13"/>
      <c r="GW111" s="461"/>
      <c r="GY111" s="13"/>
      <c r="GZ111" s="461"/>
      <c r="HB111" s="13"/>
      <c r="HC111" s="461"/>
      <c r="HE111" s="13"/>
      <c r="HF111" s="461"/>
      <c r="HH111" s="13"/>
      <c r="HI111" s="461"/>
      <c r="HK111" s="13"/>
      <c r="HL111" s="461"/>
      <c r="HN111" s="13"/>
      <c r="HO111" s="461"/>
      <c r="HQ111" s="13"/>
      <c r="HR111" s="461"/>
      <c r="HT111" s="13"/>
      <c r="HU111" s="461"/>
      <c r="HW111" s="13"/>
      <c r="HX111" s="461"/>
      <c r="HZ111" s="13"/>
      <c r="IA111" s="461"/>
      <c r="IC111" s="13"/>
      <c r="ID111" s="461"/>
      <c r="IF111" s="13"/>
      <c r="IG111" s="461"/>
    </row>
    <row r="112" spans="2:241" x14ac:dyDescent="0.2">
      <c r="C112" s="35"/>
      <c r="D112" s="35"/>
      <c r="E112" s="14"/>
      <c r="F112" s="15"/>
      <c r="G112" s="15"/>
      <c r="H112" s="14"/>
      <c r="I112" s="14"/>
      <c r="J112" s="15"/>
      <c r="K112" s="14"/>
      <c r="L112" s="15"/>
      <c r="M112" s="14"/>
      <c r="N112" s="15"/>
      <c r="O112" s="14"/>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3"/>
      <c r="ET112" s="63"/>
      <c r="EU112" s="63"/>
      <c r="EV112" s="63"/>
      <c r="EW112" s="63"/>
      <c r="EX112" s="63"/>
      <c r="EY112" s="63"/>
      <c r="EZ112" s="63"/>
      <c r="FA112" s="63"/>
      <c r="FB112" s="63"/>
    </row>
    <row r="113" spans="2:158" x14ac:dyDescent="0.2">
      <c r="C113" s="35"/>
      <c r="D113" s="35"/>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3"/>
      <c r="ET113" s="63"/>
      <c r="EU113" s="63"/>
      <c r="EV113" s="63"/>
      <c r="EW113" s="63"/>
      <c r="EX113" s="63"/>
      <c r="EY113" s="63"/>
      <c r="EZ113" s="63"/>
      <c r="FA113" s="63"/>
      <c r="FB113" s="63"/>
    </row>
    <row r="114" spans="2:158" x14ac:dyDescent="0.2">
      <c r="C114" s="35"/>
      <c r="D114" s="35"/>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3"/>
      <c r="ET114" s="63"/>
      <c r="EU114" s="63"/>
      <c r="EV114" s="63"/>
      <c r="EW114" s="63"/>
      <c r="EX114" s="63"/>
      <c r="EY114" s="63"/>
      <c r="EZ114" s="63"/>
      <c r="FA114" s="63"/>
      <c r="FB114" s="63"/>
    </row>
    <row r="115" spans="2:158" x14ac:dyDescent="0.2">
      <c r="B115" s="1176" t="s">
        <v>2270</v>
      </c>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3"/>
      <c r="ET115" s="63"/>
      <c r="EU115" s="63"/>
      <c r="EV115" s="63"/>
      <c r="EW115" s="63"/>
      <c r="EX115" s="63"/>
      <c r="EY115" s="63"/>
      <c r="EZ115" s="63"/>
      <c r="FA115" s="63"/>
      <c r="FB115" s="63"/>
    </row>
    <row r="116" spans="2:158" x14ac:dyDescent="0.2">
      <c r="B116" s="1176" t="s">
        <v>1942</v>
      </c>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3"/>
      <c r="ET116" s="63"/>
      <c r="EU116" s="63"/>
      <c r="EV116" s="63"/>
      <c r="EW116" s="63"/>
      <c r="EX116" s="63"/>
      <c r="EY116" s="63"/>
      <c r="EZ116" s="63"/>
      <c r="FA116" s="63"/>
      <c r="FB116" s="63"/>
    </row>
    <row r="117" spans="2:158" x14ac:dyDescent="0.2">
      <c r="B117" s="1176">
        <v>0</v>
      </c>
      <c r="C117" s="35"/>
      <c r="D117" s="35"/>
      <c r="F117" s="35"/>
      <c r="H117" s="15"/>
      <c r="I117" s="14"/>
      <c r="J117" s="15"/>
      <c r="K117" s="14"/>
      <c r="L117" s="15"/>
      <c r="M117" s="14"/>
      <c r="N117" s="15"/>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3"/>
      <c r="ET117" s="63"/>
      <c r="EU117" s="63"/>
      <c r="EV117" s="63"/>
      <c r="EW117" s="63"/>
      <c r="EX117" s="63"/>
      <c r="EY117" s="63"/>
      <c r="EZ117" s="63"/>
      <c r="FA117" s="63"/>
      <c r="FB117" s="63"/>
    </row>
    <row r="118" spans="2:158" x14ac:dyDescent="0.2">
      <c r="B118" s="1176">
        <v>1</v>
      </c>
      <c r="C118" s="35"/>
      <c r="D118" s="35"/>
      <c r="F118" s="35"/>
      <c r="H118" s="15"/>
      <c r="I118" s="14"/>
      <c r="J118" s="15"/>
      <c r="K118" s="14"/>
      <c r="L118" s="15"/>
      <c r="M118" s="14"/>
      <c r="N118" s="15"/>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3"/>
      <c r="ET118" s="63"/>
      <c r="EU118" s="63"/>
      <c r="EV118" s="63"/>
      <c r="EW118" s="63"/>
      <c r="EX118" s="63"/>
      <c r="EY118" s="63"/>
      <c r="EZ118" s="63"/>
      <c r="FA118" s="63"/>
      <c r="FB118" s="63"/>
    </row>
    <row r="119" spans="2:158" x14ac:dyDescent="0.2">
      <c r="B119" s="1176">
        <v>2</v>
      </c>
      <c r="C119" s="35"/>
      <c r="D119" s="35"/>
      <c r="F119" s="35"/>
      <c r="H119" s="35"/>
      <c r="J119" s="15"/>
      <c r="K119" s="14"/>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3"/>
      <c r="ET119" s="63"/>
      <c r="EU119" s="63"/>
      <c r="EV119" s="63"/>
      <c r="EW119" s="63"/>
      <c r="EX119" s="63"/>
      <c r="EY119" s="63"/>
      <c r="EZ119" s="63"/>
      <c r="FA119" s="63"/>
      <c r="FB119" s="63"/>
    </row>
    <row r="120" spans="2:158" x14ac:dyDescent="0.2">
      <c r="B120" s="1176">
        <v>3</v>
      </c>
      <c r="C120" s="35"/>
      <c r="D120" s="35"/>
      <c r="F120" s="35"/>
      <c r="H120" s="35"/>
      <c r="J120" s="15"/>
      <c r="K120" s="14"/>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3"/>
      <c r="ET120" s="63"/>
      <c r="EU120" s="63"/>
      <c r="EV120" s="63"/>
      <c r="EW120" s="63"/>
      <c r="EX120" s="63"/>
      <c r="EY120" s="63"/>
      <c r="EZ120" s="63"/>
      <c r="FA120" s="63"/>
      <c r="FB120" s="63"/>
    </row>
    <row r="121" spans="2:158" x14ac:dyDescent="0.2">
      <c r="B121" s="1176">
        <v>4</v>
      </c>
      <c r="C121" s="35"/>
      <c r="D121" s="35"/>
      <c r="F121" s="35"/>
      <c r="H121" s="35"/>
      <c r="J121" s="15"/>
      <c r="K121" s="14"/>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3"/>
      <c r="ET121" s="63"/>
      <c r="EU121" s="63"/>
      <c r="EV121" s="63"/>
      <c r="EW121" s="63"/>
      <c r="EX121" s="63"/>
      <c r="EY121" s="63"/>
      <c r="EZ121" s="63"/>
      <c r="FA121" s="63"/>
      <c r="FB121" s="63"/>
    </row>
    <row r="122" spans="2:158" x14ac:dyDescent="0.2">
      <c r="B122" s="1176">
        <v>5</v>
      </c>
      <c r="C122" s="35"/>
      <c r="D122" s="35"/>
      <c r="F122" s="35"/>
      <c r="H122" s="35"/>
      <c r="J122" s="15"/>
      <c r="K122" s="14"/>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3"/>
      <c r="ET122" s="63"/>
      <c r="EU122" s="63"/>
      <c r="EV122" s="63"/>
      <c r="EW122" s="63"/>
      <c r="EX122" s="63"/>
      <c r="EY122" s="63"/>
      <c r="EZ122" s="63"/>
      <c r="FA122" s="63"/>
      <c r="FB122" s="63"/>
    </row>
    <row r="123" spans="2:158" x14ac:dyDescent="0.2">
      <c r="B123" s="1176">
        <v>6</v>
      </c>
      <c r="C123" s="35"/>
    </row>
    <row r="124" spans="2:158" x14ac:dyDescent="0.2">
      <c r="B124" s="1176">
        <v>7</v>
      </c>
      <c r="C124" s="35"/>
    </row>
    <row r="125" spans="2:158" x14ac:dyDescent="0.2">
      <c r="B125" s="1176">
        <v>8</v>
      </c>
    </row>
    <row r="126" spans="2:158" x14ac:dyDescent="0.2">
      <c r="B126" s="1176">
        <v>9</v>
      </c>
    </row>
    <row r="127" spans="2:158" x14ac:dyDescent="0.2">
      <c r="B127" s="1176">
        <v>10</v>
      </c>
    </row>
    <row r="128" spans="2:158" x14ac:dyDescent="0.2">
      <c r="B128" s="1176">
        <v>11</v>
      </c>
    </row>
    <row r="129" spans="2:2" x14ac:dyDescent="0.2">
      <c r="B129" s="1176">
        <v>12</v>
      </c>
    </row>
    <row r="130" spans="2:2" x14ac:dyDescent="0.2">
      <c r="B130" s="1176">
        <v>13</v>
      </c>
    </row>
    <row r="131" spans="2:2" x14ac:dyDescent="0.2">
      <c r="B131" s="1176">
        <v>14</v>
      </c>
    </row>
    <row r="132" spans="2:2" x14ac:dyDescent="0.2">
      <c r="B132" s="1176">
        <v>15</v>
      </c>
    </row>
    <row r="133" spans="2:2" x14ac:dyDescent="0.2">
      <c r="B133" s="1176">
        <v>16</v>
      </c>
    </row>
    <row r="134" spans="2:2" x14ac:dyDescent="0.2">
      <c r="B134" s="1176">
        <v>17</v>
      </c>
    </row>
    <row r="135" spans="2:2" x14ac:dyDescent="0.2">
      <c r="B135" s="1176">
        <v>18</v>
      </c>
    </row>
    <row r="136" spans="2:2" x14ac:dyDescent="0.2">
      <c r="B136" s="1176">
        <v>19</v>
      </c>
    </row>
    <row r="137" spans="2:2" x14ac:dyDescent="0.2">
      <c r="B137" s="1176">
        <v>20</v>
      </c>
    </row>
    <row r="138" spans="2:2" x14ac:dyDescent="0.2">
      <c r="B138" s="1176">
        <v>21</v>
      </c>
    </row>
    <row r="139" spans="2:2" x14ac:dyDescent="0.2">
      <c r="B139" s="1176">
        <v>22</v>
      </c>
    </row>
    <row r="140" spans="2:2" x14ac:dyDescent="0.2">
      <c r="B140" s="1176">
        <v>23</v>
      </c>
    </row>
    <row r="141" spans="2:2" x14ac:dyDescent="0.2">
      <c r="B141" s="1176">
        <v>24</v>
      </c>
    </row>
    <row r="142" spans="2:2" x14ac:dyDescent="0.2">
      <c r="B142" s="1176">
        <v>25</v>
      </c>
    </row>
    <row r="143" spans="2:2" x14ac:dyDescent="0.2">
      <c r="B143" s="1176">
        <v>26</v>
      </c>
    </row>
    <row r="144" spans="2:2" x14ac:dyDescent="0.2">
      <c r="B144" s="1176">
        <v>27</v>
      </c>
    </row>
    <row r="145" spans="2:2" x14ac:dyDescent="0.2">
      <c r="B145" s="1176">
        <v>28</v>
      </c>
    </row>
    <row r="146" spans="2:2" x14ac:dyDescent="0.2">
      <c r="B146" s="1176">
        <v>29</v>
      </c>
    </row>
    <row r="147" spans="2:2" x14ac:dyDescent="0.2">
      <c r="B147" s="1176">
        <v>30</v>
      </c>
    </row>
    <row r="148" spans="2:2" x14ac:dyDescent="0.2">
      <c r="B148" s="1176">
        <v>31</v>
      </c>
    </row>
    <row r="149" spans="2:2" x14ac:dyDescent="0.2">
      <c r="B149" s="1176">
        <v>32</v>
      </c>
    </row>
    <row r="150" spans="2:2" x14ac:dyDescent="0.2">
      <c r="B150" s="1176">
        <v>33</v>
      </c>
    </row>
    <row r="151" spans="2:2" x14ac:dyDescent="0.2">
      <c r="B151" s="1176">
        <v>34</v>
      </c>
    </row>
    <row r="152" spans="2:2" x14ac:dyDescent="0.2">
      <c r="B152" s="1176">
        <v>35</v>
      </c>
    </row>
    <row r="153" spans="2:2" x14ac:dyDescent="0.2">
      <c r="B153" s="1176">
        <v>36</v>
      </c>
    </row>
    <row r="154" spans="2:2" x14ac:dyDescent="0.2">
      <c r="B154" s="1176">
        <v>37</v>
      </c>
    </row>
    <row r="155" spans="2:2" x14ac:dyDescent="0.2">
      <c r="B155" s="1176">
        <v>38</v>
      </c>
    </row>
    <row r="156" spans="2:2" x14ac:dyDescent="0.2">
      <c r="B156" s="1176">
        <v>39</v>
      </c>
    </row>
    <row r="157" spans="2:2" x14ac:dyDescent="0.2">
      <c r="B157" s="1176">
        <v>40</v>
      </c>
    </row>
    <row r="158" spans="2:2" x14ac:dyDescent="0.2">
      <c r="B158" s="1176">
        <v>41</v>
      </c>
    </row>
    <row r="159" spans="2:2" x14ac:dyDescent="0.2">
      <c r="B159" s="1176">
        <v>42</v>
      </c>
    </row>
    <row r="160" spans="2:2" x14ac:dyDescent="0.2">
      <c r="B160" s="1176">
        <v>43</v>
      </c>
    </row>
    <row r="161" spans="2:2" x14ac:dyDescent="0.2">
      <c r="B161" s="1176">
        <v>44</v>
      </c>
    </row>
    <row r="162" spans="2:2" x14ac:dyDescent="0.2">
      <c r="B162" s="1176">
        <v>45</v>
      </c>
    </row>
    <row r="163" spans="2:2" x14ac:dyDescent="0.2">
      <c r="B163" s="1176">
        <v>46</v>
      </c>
    </row>
    <row r="164" spans="2:2" x14ac:dyDescent="0.2">
      <c r="B164" s="1176">
        <v>47</v>
      </c>
    </row>
    <row r="165" spans="2:2" x14ac:dyDescent="0.2">
      <c r="B165" s="1176">
        <v>48</v>
      </c>
    </row>
    <row r="166" spans="2:2" x14ac:dyDescent="0.2">
      <c r="B166" s="1176">
        <v>49</v>
      </c>
    </row>
    <row r="167" spans="2:2" x14ac:dyDescent="0.2">
      <c r="B167" s="1176">
        <v>50</v>
      </c>
    </row>
    <row r="168" spans="2:2" x14ac:dyDescent="0.2">
      <c r="B168" s="1176">
        <v>51</v>
      </c>
    </row>
    <row r="169" spans="2:2" x14ac:dyDescent="0.2">
      <c r="B169" s="1176">
        <v>52</v>
      </c>
    </row>
    <row r="170" spans="2:2" x14ac:dyDescent="0.2">
      <c r="B170" s="1176">
        <v>53</v>
      </c>
    </row>
    <row r="171" spans="2:2" x14ac:dyDescent="0.2">
      <c r="B171" s="1176">
        <v>54</v>
      </c>
    </row>
    <row r="172" spans="2:2" x14ac:dyDescent="0.2">
      <c r="B172" s="1176">
        <v>55</v>
      </c>
    </row>
    <row r="173" spans="2:2" x14ac:dyDescent="0.2">
      <c r="B173" s="1176">
        <v>56</v>
      </c>
    </row>
    <row r="174" spans="2:2" x14ac:dyDescent="0.2">
      <c r="B174" s="1176">
        <v>57</v>
      </c>
    </row>
    <row r="175" spans="2:2" x14ac:dyDescent="0.2">
      <c r="B175" s="1176">
        <v>58</v>
      </c>
    </row>
    <row r="176" spans="2:2" x14ac:dyDescent="0.2">
      <c r="B176" s="1176">
        <v>59</v>
      </c>
    </row>
    <row r="177" spans="2:2" x14ac:dyDescent="0.2">
      <c r="B177" s="1176">
        <v>60</v>
      </c>
    </row>
    <row r="178" spans="2:2" x14ac:dyDescent="0.2">
      <c r="B178" s="1176">
        <v>61</v>
      </c>
    </row>
    <row r="179" spans="2:2" x14ac:dyDescent="0.2">
      <c r="B179" s="1176">
        <v>62</v>
      </c>
    </row>
    <row r="180" spans="2:2" x14ac:dyDescent="0.2">
      <c r="B180" s="1176">
        <v>63</v>
      </c>
    </row>
    <row r="181" spans="2:2" x14ac:dyDescent="0.2">
      <c r="B181" s="1176">
        <v>64</v>
      </c>
    </row>
    <row r="182" spans="2:2" x14ac:dyDescent="0.2">
      <c r="B182" s="1176">
        <v>65</v>
      </c>
    </row>
    <row r="183" spans="2:2" x14ac:dyDescent="0.2">
      <c r="B183" s="1176">
        <v>66</v>
      </c>
    </row>
    <row r="184" spans="2:2" x14ac:dyDescent="0.2">
      <c r="B184" s="1176">
        <v>67</v>
      </c>
    </row>
    <row r="185" spans="2:2" x14ac:dyDescent="0.2">
      <c r="B185" s="1176">
        <v>68</v>
      </c>
    </row>
    <row r="186" spans="2:2" x14ac:dyDescent="0.2">
      <c r="B186" s="1176">
        <v>69</v>
      </c>
    </row>
    <row r="187" spans="2:2" x14ac:dyDescent="0.2">
      <c r="B187" s="1176">
        <v>70</v>
      </c>
    </row>
    <row r="188" spans="2:2" x14ac:dyDescent="0.2">
      <c r="B188" s="1176">
        <v>71</v>
      </c>
    </row>
    <row r="189" spans="2:2" x14ac:dyDescent="0.2">
      <c r="B189" s="1176">
        <v>72</v>
      </c>
    </row>
    <row r="190" spans="2:2" x14ac:dyDescent="0.2">
      <c r="B190" s="1176">
        <v>73</v>
      </c>
    </row>
    <row r="191" spans="2:2" x14ac:dyDescent="0.2">
      <c r="B191" s="1176">
        <v>74</v>
      </c>
    </row>
    <row r="192" spans="2:2" x14ac:dyDescent="0.2">
      <c r="B192" s="1176">
        <v>75</v>
      </c>
    </row>
    <row r="193" spans="2:2" x14ac:dyDescent="0.2">
      <c r="B193" s="1176">
        <v>76</v>
      </c>
    </row>
    <row r="194" spans="2:2" x14ac:dyDescent="0.2">
      <c r="B194" s="1176">
        <v>77</v>
      </c>
    </row>
    <row r="195" spans="2:2" x14ac:dyDescent="0.2">
      <c r="B195" s="1176">
        <v>78</v>
      </c>
    </row>
    <row r="196" spans="2:2" x14ac:dyDescent="0.2">
      <c r="B196" s="1176">
        <v>79</v>
      </c>
    </row>
    <row r="197" spans="2:2" x14ac:dyDescent="0.2">
      <c r="B197" s="1176">
        <v>80</v>
      </c>
    </row>
    <row r="198" spans="2:2" x14ac:dyDescent="0.2">
      <c r="B198" s="1176">
        <v>81</v>
      </c>
    </row>
    <row r="199" spans="2:2" x14ac:dyDescent="0.2">
      <c r="B199" s="1176">
        <v>82</v>
      </c>
    </row>
    <row r="200" spans="2:2" x14ac:dyDescent="0.2">
      <c r="B200" s="1176">
        <v>83</v>
      </c>
    </row>
    <row r="201" spans="2:2" x14ac:dyDescent="0.2">
      <c r="B201" s="1176">
        <v>84</v>
      </c>
    </row>
    <row r="202" spans="2:2" x14ac:dyDescent="0.2">
      <c r="B202" s="1176">
        <v>85</v>
      </c>
    </row>
    <row r="203" spans="2:2" x14ac:dyDescent="0.2">
      <c r="B203" s="1176">
        <v>86</v>
      </c>
    </row>
    <row r="204" spans="2:2" x14ac:dyDescent="0.2">
      <c r="B204" s="1176">
        <v>87</v>
      </c>
    </row>
    <row r="205" spans="2:2" x14ac:dyDescent="0.2">
      <c r="B205" s="1176">
        <v>88</v>
      </c>
    </row>
    <row r="206" spans="2:2" x14ac:dyDescent="0.2">
      <c r="B206" s="1176">
        <v>89</v>
      </c>
    </row>
    <row r="207" spans="2:2" x14ac:dyDescent="0.2">
      <c r="B207" s="1176">
        <v>90</v>
      </c>
    </row>
    <row r="208" spans="2:2" x14ac:dyDescent="0.2">
      <c r="B208" s="1176">
        <v>91</v>
      </c>
    </row>
    <row r="209" spans="2:2" x14ac:dyDescent="0.2">
      <c r="B209" s="1176">
        <v>92</v>
      </c>
    </row>
    <row r="210" spans="2:2" x14ac:dyDescent="0.2">
      <c r="B210" s="1176">
        <v>93</v>
      </c>
    </row>
    <row r="211" spans="2:2" x14ac:dyDescent="0.2">
      <c r="B211" s="1176">
        <v>94</v>
      </c>
    </row>
    <row r="212" spans="2:2" x14ac:dyDescent="0.2">
      <c r="B212" s="1176">
        <v>95</v>
      </c>
    </row>
    <row r="213" spans="2:2" x14ac:dyDescent="0.2">
      <c r="B213" s="1176">
        <v>96</v>
      </c>
    </row>
    <row r="214" spans="2:2" x14ac:dyDescent="0.2">
      <c r="B214" s="1176">
        <v>97</v>
      </c>
    </row>
    <row r="215" spans="2:2" x14ac:dyDescent="0.2">
      <c r="B215" s="1176">
        <v>98</v>
      </c>
    </row>
    <row r="216" spans="2:2" x14ac:dyDescent="0.2">
      <c r="B216" s="1176">
        <v>99</v>
      </c>
    </row>
    <row r="217" spans="2:2" x14ac:dyDescent="0.2">
      <c r="B217" s="1176">
        <v>100</v>
      </c>
    </row>
    <row r="218" spans="2:2" x14ac:dyDescent="0.2">
      <c r="B218" s="1176">
        <v>101</v>
      </c>
    </row>
    <row r="219" spans="2:2" x14ac:dyDescent="0.2">
      <c r="B219" s="1176">
        <v>102</v>
      </c>
    </row>
    <row r="220" spans="2:2" x14ac:dyDescent="0.2">
      <c r="B220" s="1176">
        <v>103</v>
      </c>
    </row>
    <row r="221" spans="2:2" x14ac:dyDescent="0.2">
      <c r="B221" s="1176">
        <v>104</v>
      </c>
    </row>
    <row r="222" spans="2:2" x14ac:dyDescent="0.2">
      <c r="B222" s="1176">
        <v>105</v>
      </c>
    </row>
    <row r="223" spans="2:2" x14ac:dyDescent="0.2">
      <c r="B223" s="1176">
        <v>106</v>
      </c>
    </row>
    <row r="224" spans="2:2" x14ac:dyDescent="0.2">
      <c r="B224" s="1176">
        <v>107</v>
      </c>
    </row>
    <row r="225" spans="2:2" x14ac:dyDescent="0.2">
      <c r="B225" s="1176">
        <v>108</v>
      </c>
    </row>
    <row r="226" spans="2:2" x14ac:dyDescent="0.2">
      <c r="B226" s="1176">
        <v>109</v>
      </c>
    </row>
    <row r="227" spans="2:2" x14ac:dyDescent="0.2">
      <c r="B227" s="1176">
        <v>110</v>
      </c>
    </row>
    <row r="228" spans="2:2" x14ac:dyDescent="0.2">
      <c r="B228" s="1176">
        <v>111</v>
      </c>
    </row>
    <row r="229" spans="2:2" x14ac:dyDescent="0.2">
      <c r="B229" s="1176">
        <v>112</v>
      </c>
    </row>
    <row r="230" spans="2:2" x14ac:dyDescent="0.2">
      <c r="B230" s="1176">
        <v>113</v>
      </c>
    </row>
    <row r="231" spans="2:2" x14ac:dyDescent="0.2">
      <c r="B231" s="1176">
        <v>114</v>
      </c>
    </row>
    <row r="232" spans="2:2" x14ac:dyDescent="0.2">
      <c r="B232" s="1176">
        <v>115</v>
      </c>
    </row>
    <row r="233" spans="2:2" x14ac:dyDescent="0.2">
      <c r="B233" s="1176">
        <v>116</v>
      </c>
    </row>
    <row r="234" spans="2:2" x14ac:dyDescent="0.2">
      <c r="B234" s="1176">
        <v>117</v>
      </c>
    </row>
    <row r="235" spans="2:2" x14ac:dyDescent="0.2">
      <c r="B235" s="1176">
        <v>118</v>
      </c>
    </row>
    <row r="236" spans="2:2" x14ac:dyDescent="0.2">
      <c r="B236" s="1176">
        <v>119</v>
      </c>
    </row>
    <row r="237" spans="2:2" x14ac:dyDescent="0.2">
      <c r="B237" s="1176">
        <v>120</v>
      </c>
    </row>
    <row r="238" spans="2:2" x14ac:dyDescent="0.2">
      <c r="B238" s="1176">
        <v>121</v>
      </c>
    </row>
    <row r="239" spans="2:2" x14ac:dyDescent="0.2">
      <c r="B239" s="1176">
        <v>122</v>
      </c>
    </row>
    <row r="240" spans="2:2" x14ac:dyDescent="0.2">
      <c r="B240" s="1176">
        <v>123</v>
      </c>
    </row>
    <row r="241" spans="2:2" x14ac:dyDescent="0.2">
      <c r="B241" s="1176">
        <v>124</v>
      </c>
    </row>
    <row r="242" spans="2:2" x14ac:dyDescent="0.2">
      <c r="B242" s="1176">
        <v>125</v>
      </c>
    </row>
    <row r="243" spans="2:2" x14ac:dyDescent="0.2">
      <c r="B243" s="1176">
        <v>126</v>
      </c>
    </row>
    <row r="244" spans="2:2" x14ac:dyDescent="0.2">
      <c r="B244" s="1176">
        <v>127</v>
      </c>
    </row>
    <row r="245" spans="2:2" x14ac:dyDescent="0.2">
      <c r="B245" s="1176">
        <v>128</v>
      </c>
    </row>
    <row r="246" spans="2:2" x14ac:dyDescent="0.2">
      <c r="B246" s="1176">
        <v>129</v>
      </c>
    </row>
    <row r="247" spans="2:2" x14ac:dyDescent="0.2">
      <c r="B247" s="1176">
        <v>130</v>
      </c>
    </row>
    <row r="248" spans="2:2" x14ac:dyDescent="0.2">
      <c r="B248" s="1176">
        <v>131</v>
      </c>
    </row>
    <row r="249" spans="2:2" x14ac:dyDescent="0.2">
      <c r="B249" s="1176">
        <v>132</v>
      </c>
    </row>
    <row r="250" spans="2:2" x14ac:dyDescent="0.2">
      <c r="B250" s="1176">
        <v>133</v>
      </c>
    </row>
    <row r="251" spans="2:2" x14ac:dyDescent="0.2">
      <c r="B251" s="1176">
        <v>134</v>
      </c>
    </row>
    <row r="252" spans="2:2" x14ac:dyDescent="0.2">
      <c r="B252" s="1176">
        <v>135</v>
      </c>
    </row>
    <row r="253" spans="2:2" x14ac:dyDescent="0.2">
      <c r="B253" s="1176">
        <v>136</v>
      </c>
    </row>
    <row r="254" spans="2:2" x14ac:dyDescent="0.2">
      <c r="B254" s="1176">
        <v>137</v>
      </c>
    </row>
    <row r="255" spans="2:2" x14ac:dyDescent="0.2">
      <c r="B255" s="1176">
        <v>138</v>
      </c>
    </row>
    <row r="256" spans="2:2" x14ac:dyDescent="0.2">
      <c r="B256" s="1176">
        <v>139</v>
      </c>
    </row>
    <row r="257" spans="2:2" x14ac:dyDescent="0.2">
      <c r="B257" s="1176">
        <v>140</v>
      </c>
    </row>
    <row r="258" spans="2:2" x14ac:dyDescent="0.2">
      <c r="B258" s="1176">
        <v>141</v>
      </c>
    </row>
    <row r="259" spans="2:2" x14ac:dyDescent="0.2">
      <c r="B259" s="1176">
        <v>142</v>
      </c>
    </row>
    <row r="260" spans="2:2" x14ac:dyDescent="0.2">
      <c r="B260" s="1176">
        <v>143</v>
      </c>
    </row>
    <row r="261" spans="2:2" x14ac:dyDescent="0.2">
      <c r="B261" s="1176">
        <v>144</v>
      </c>
    </row>
    <row r="262" spans="2:2" x14ac:dyDescent="0.2">
      <c r="B262" s="1176">
        <v>145</v>
      </c>
    </row>
    <row r="263" spans="2:2" x14ac:dyDescent="0.2">
      <c r="B263" s="1176">
        <v>146</v>
      </c>
    </row>
    <row r="264" spans="2:2" x14ac:dyDescent="0.2">
      <c r="B264" s="1176">
        <v>147</v>
      </c>
    </row>
    <row r="265" spans="2:2" x14ac:dyDescent="0.2">
      <c r="B265" s="1176">
        <v>148</v>
      </c>
    </row>
    <row r="266" spans="2:2" x14ac:dyDescent="0.2">
      <c r="B266" s="1176">
        <v>149</v>
      </c>
    </row>
    <row r="267" spans="2:2" x14ac:dyDescent="0.2">
      <c r="B267" s="1176">
        <v>150</v>
      </c>
    </row>
    <row r="268" spans="2:2" x14ac:dyDescent="0.2">
      <c r="B268" s="1176">
        <v>151</v>
      </c>
    </row>
    <row r="269" spans="2:2" x14ac:dyDescent="0.2">
      <c r="B269" s="1176">
        <v>152</v>
      </c>
    </row>
    <row r="270" spans="2:2" x14ac:dyDescent="0.2">
      <c r="B270" s="1176">
        <v>153</v>
      </c>
    </row>
    <row r="271" spans="2:2" x14ac:dyDescent="0.2">
      <c r="B271" s="1176">
        <v>154</v>
      </c>
    </row>
    <row r="272" spans="2:2" x14ac:dyDescent="0.2">
      <c r="B272" s="1176">
        <v>155</v>
      </c>
    </row>
    <row r="273" spans="2:2" x14ac:dyDescent="0.2">
      <c r="B273" s="1176">
        <v>156</v>
      </c>
    </row>
    <row r="274" spans="2:2" x14ac:dyDescent="0.2">
      <c r="B274" s="1176">
        <v>157</v>
      </c>
    </row>
    <row r="275" spans="2:2" x14ac:dyDescent="0.2">
      <c r="B275" s="1176">
        <v>158</v>
      </c>
    </row>
    <row r="276" spans="2:2" x14ac:dyDescent="0.2">
      <c r="B276" s="1176">
        <v>159</v>
      </c>
    </row>
    <row r="277" spans="2:2" x14ac:dyDescent="0.2">
      <c r="B277" s="1176">
        <v>160</v>
      </c>
    </row>
    <row r="278" spans="2:2" x14ac:dyDescent="0.2">
      <c r="B278" s="1176">
        <v>161</v>
      </c>
    </row>
    <row r="279" spans="2:2" x14ac:dyDescent="0.2">
      <c r="B279" s="1176">
        <v>162</v>
      </c>
    </row>
    <row r="280" spans="2:2" x14ac:dyDescent="0.2">
      <c r="B280" s="1176">
        <v>163</v>
      </c>
    </row>
    <row r="281" spans="2:2" x14ac:dyDescent="0.2">
      <c r="B281" s="1176">
        <v>164</v>
      </c>
    </row>
    <row r="282" spans="2:2" x14ac:dyDescent="0.2">
      <c r="B282" s="1176">
        <v>165</v>
      </c>
    </row>
    <row r="283" spans="2:2" x14ac:dyDescent="0.2">
      <c r="B283" s="1176">
        <v>166</v>
      </c>
    </row>
    <row r="284" spans="2:2" x14ac:dyDescent="0.2">
      <c r="B284" s="1176">
        <v>167</v>
      </c>
    </row>
    <row r="285" spans="2:2" x14ac:dyDescent="0.2">
      <c r="B285" s="1176">
        <v>168</v>
      </c>
    </row>
    <row r="286" spans="2:2" x14ac:dyDescent="0.2">
      <c r="B286" s="1176">
        <v>169</v>
      </c>
    </row>
    <row r="287" spans="2:2" x14ac:dyDescent="0.2">
      <c r="B287" s="1176">
        <v>170</v>
      </c>
    </row>
    <row r="288" spans="2:2" x14ac:dyDescent="0.2">
      <c r="B288" s="1176">
        <v>171</v>
      </c>
    </row>
    <row r="289" spans="2:2" x14ac:dyDescent="0.2">
      <c r="B289" s="1176">
        <v>172</v>
      </c>
    </row>
    <row r="290" spans="2:2" x14ac:dyDescent="0.2">
      <c r="B290" s="1176">
        <v>173</v>
      </c>
    </row>
    <row r="291" spans="2:2" x14ac:dyDescent="0.2">
      <c r="B291" s="1176">
        <v>174</v>
      </c>
    </row>
    <row r="292" spans="2:2" x14ac:dyDescent="0.2">
      <c r="B292" s="1176">
        <v>175</v>
      </c>
    </row>
    <row r="293" spans="2:2" x14ac:dyDescent="0.2">
      <c r="B293" s="1176">
        <v>176</v>
      </c>
    </row>
    <row r="294" spans="2:2" x14ac:dyDescent="0.2">
      <c r="B294" s="1176">
        <v>177</v>
      </c>
    </row>
    <row r="295" spans="2:2" x14ac:dyDescent="0.2">
      <c r="B295" s="1176">
        <v>178</v>
      </c>
    </row>
    <row r="296" spans="2:2" x14ac:dyDescent="0.2">
      <c r="B296" s="1176">
        <v>179</v>
      </c>
    </row>
    <row r="297" spans="2:2" x14ac:dyDescent="0.2">
      <c r="B297" s="1176">
        <v>180</v>
      </c>
    </row>
  </sheetData>
  <sheetProtection sheet="1" objects="1" scenarios="1"/>
  <mergeCells count="321">
    <mergeCell ref="B61:B62"/>
    <mergeCell ref="B46:B47"/>
    <mergeCell ref="B48:B49"/>
    <mergeCell ref="B50:B51"/>
    <mergeCell ref="B52:B53"/>
    <mergeCell ref="B57:B58"/>
    <mergeCell ref="B59:B60"/>
    <mergeCell ref="C51:D51"/>
    <mergeCell ref="C62:D62"/>
    <mergeCell ref="C59:D59"/>
    <mergeCell ref="C47:D47"/>
    <mergeCell ref="C57:D57"/>
    <mergeCell ref="C56:D56"/>
    <mergeCell ref="C54:M54"/>
    <mergeCell ref="C52:D52"/>
    <mergeCell ref="C58:D58"/>
    <mergeCell ref="C55:D55"/>
    <mergeCell ref="F58:G58"/>
    <mergeCell ref="I58:J58"/>
    <mergeCell ref="F59:G59"/>
    <mergeCell ref="F55:G55"/>
    <mergeCell ref="I55:J55"/>
    <mergeCell ref="I62:J62"/>
    <mergeCell ref="F61:G61"/>
    <mergeCell ref="L79:M79"/>
    <mergeCell ref="C78:D78"/>
    <mergeCell ref="I78:J78"/>
    <mergeCell ref="C79:D79"/>
    <mergeCell ref="F79:G79"/>
    <mergeCell ref="L82:M82"/>
    <mergeCell ref="C64:D64"/>
    <mergeCell ref="L60:M60"/>
    <mergeCell ref="F60:G60"/>
    <mergeCell ref="I60:J60"/>
    <mergeCell ref="L67:M67"/>
    <mergeCell ref="L69:M69"/>
    <mergeCell ref="F71:G71"/>
    <mergeCell ref="C65:D65"/>
    <mergeCell ref="C61:D61"/>
    <mergeCell ref="C60:D60"/>
    <mergeCell ref="I61:J61"/>
    <mergeCell ref="C77:D77"/>
    <mergeCell ref="C63:M63"/>
    <mergeCell ref="C70:D70"/>
    <mergeCell ref="C66:D66"/>
    <mergeCell ref="C67:D67"/>
    <mergeCell ref="F69:G69"/>
    <mergeCell ref="F66:G66"/>
    <mergeCell ref="C68:D68"/>
    <mergeCell ref="L77:M77"/>
    <mergeCell ref="F77:G77"/>
    <mergeCell ref="L65:M65"/>
    <mergeCell ref="F65:G65"/>
    <mergeCell ref="C75:D75"/>
    <mergeCell ref="C71:D71"/>
    <mergeCell ref="L66:M66"/>
    <mergeCell ref="I69:J69"/>
    <mergeCell ref="I77:J77"/>
    <mergeCell ref="C76:D76"/>
    <mergeCell ref="I71:J71"/>
    <mergeCell ref="L70:M70"/>
    <mergeCell ref="L68:M68"/>
    <mergeCell ref="I66:J66"/>
    <mergeCell ref="T6:U6"/>
    <mergeCell ref="P5:P18"/>
    <mergeCell ref="E7:F7"/>
    <mergeCell ref="C101:H101"/>
    <mergeCell ref="B100:P100"/>
    <mergeCell ref="P90:P99"/>
    <mergeCell ref="G92:H92"/>
    <mergeCell ref="I92:J92"/>
    <mergeCell ref="G93:H93"/>
    <mergeCell ref="I93:J93"/>
    <mergeCell ref="K93:O95"/>
    <mergeCell ref="G94:H94"/>
    <mergeCell ref="G90:J90"/>
    <mergeCell ref="I94:J94"/>
    <mergeCell ref="G95:H95"/>
    <mergeCell ref="I95:J95"/>
    <mergeCell ref="B99:J99"/>
    <mergeCell ref="K99:O99"/>
    <mergeCell ref="K96:O98"/>
    <mergeCell ref="I79:J79"/>
    <mergeCell ref="L78:M78"/>
    <mergeCell ref="B77:B78"/>
    <mergeCell ref="F82:G82"/>
    <mergeCell ref="F62:G62"/>
    <mergeCell ref="E14:F14"/>
    <mergeCell ref="B2:P2"/>
    <mergeCell ref="B3:P3"/>
    <mergeCell ref="B4:P4"/>
    <mergeCell ref="B5:O5"/>
    <mergeCell ref="K6:O6"/>
    <mergeCell ref="G8:O8"/>
    <mergeCell ref="C7:D7"/>
    <mergeCell ref="K9:O9"/>
    <mergeCell ref="I7:J7"/>
    <mergeCell ref="G7:H7"/>
    <mergeCell ref="G9:H9"/>
    <mergeCell ref="C14:D14"/>
    <mergeCell ref="G10:O10"/>
    <mergeCell ref="G11:H11"/>
    <mergeCell ref="G12:O12"/>
    <mergeCell ref="E11:F11"/>
    <mergeCell ref="C16:D16"/>
    <mergeCell ref="I15:J15"/>
    <mergeCell ref="B25:O25"/>
    <mergeCell ref="C18:D18"/>
    <mergeCell ref="B38:B39"/>
    <mergeCell ref="F38:G39"/>
    <mergeCell ref="C43:D43"/>
    <mergeCell ref="F42:G42"/>
    <mergeCell ref="C41:D41"/>
    <mergeCell ref="C38:E39"/>
    <mergeCell ref="F43:G43"/>
    <mergeCell ref="C42:D42"/>
    <mergeCell ref="F41:G41"/>
    <mergeCell ref="E15:F15"/>
    <mergeCell ref="N38:N39"/>
    <mergeCell ref="O38:O39"/>
    <mergeCell ref="B35:O35"/>
    <mergeCell ref="B36:O36"/>
    <mergeCell ref="H38:H39"/>
    <mergeCell ref="L38:M39"/>
    <mergeCell ref="I38:K39"/>
    <mergeCell ref="G18:O18"/>
    <mergeCell ref="C15:D15"/>
    <mergeCell ref="E17:F17"/>
    <mergeCell ref="K88:O88"/>
    <mergeCell ref="I91:J91"/>
    <mergeCell ref="E91:F91"/>
    <mergeCell ref="G91:H91"/>
    <mergeCell ref="B90:F90"/>
    <mergeCell ref="E95:F95"/>
    <mergeCell ref="G98:H98"/>
    <mergeCell ref="I98:J98"/>
    <mergeCell ref="B89:O89"/>
    <mergeCell ref="B92:D92"/>
    <mergeCell ref="E92:F92"/>
    <mergeCell ref="K90:O92"/>
    <mergeCell ref="B97:D97"/>
    <mergeCell ref="E97:F97"/>
    <mergeCell ref="B94:D94"/>
    <mergeCell ref="B96:D96"/>
    <mergeCell ref="B88:J88"/>
    <mergeCell ref="E108:F108"/>
    <mergeCell ref="C80:D80"/>
    <mergeCell ref="B98:D98"/>
    <mergeCell ref="E98:F98"/>
    <mergeCell ref="E94:F94"/>
    <mergeCell ref="B95:D95"/>
    <mergeCell ref="B91:D91"/>
    <mergeCell ref="C83:D83"/>
    <mergeCell ref="E96:F96"/>
    <mergeCell ref="B84:O84"/>
    <mergeCell ref="C82:D82"/>
    <mergeCell ref="B93:D93"/>
    <mergeCell ref="E93:F93"/>
    <mergeCell ref="B86:O86"/>
    <mergeCell ref="B87:O87"/>
    <mergeCell ref="G96:H96"/>
    <mergeCell ref="I96:J96"/>
    <mergeCell ref="I101:N101"/>
    <mergeCell ref="G97:H97"/>
    <mergeCell ref="I97:J97"/>
    <mergeCell ref="F80:G80"/>
    <mergeCell ref="B79:B80"/>
    <mergeCell ref="F83:G83"/>
    <mergeCell ref="B85:O85"/>
    <mergeCell ref="V6:W6"/>
    <mergeCell ref="B20:O20"/>
    <mergeCell ref="B37:O37"/>
    <mergeCell ref="B19:G19"/>
    <mergeCell ref="H19:O19"/>
    <mergeCell ref="C17:D17"/>
    <mergeCell ref="B31:O31"/>
    <mergeCell ref="B32:O32"/>
    <mergeCell ref="B34:O34"/>
    <mergeCell ref="C10:D10"/>
    <mergeCell ref="I13:J13"/>
    <mergeCell ref="I11:J11"/>
    <mergeCell ref="E12:F12"/>
    <mergeCell ref="B26:O26"/>
    <mergeCell ref="E18:F18"/>
    <mergeCell ref="C11:D11"/>
    <mergeCell ref="B22:O22"/>
    <mergeCell ref="E8:F8"/>
    <mergeCell ref="G15:H15"/>
    <mergeCell ref="G6:J6"/>
    <mergeCell ref="E16:F16"/>
    <mergeCell ref="E9:F9"/>
    <mergeCell ref="G14:O14"/>
    <mergeCell ref="I9:J9"/>
    <mergeCell ref="V42:V43"/>
    <mergeCell ref="U42:U43"/>
    <mergeCell ref="L53:M53"/>
    <mergeCell ref="F44:G44"/>
    <mergeCell ref="L44:M44"/>
    <mergeCell ref="L42:M42"/>
    <mergeCell ref="T42:T43"/>
    <mergeCell ref="I42:J42"/>
    <mergeCell ref="I44:J44"/>
    <mergeCell ref="L43:M43"/>
    <mergeCell ref="I43:J43"/>
    <mergeCell ref="S42:S43"/>
    <mergeCell ref="L50:M50"/>
    <mergeCell ref="F53:G53"/>
    <mergeCell ref="F52:G52"/>
    <mergeCell ref="I50:J50"/>
    <mergeCell ref="L52:M52"/>
    <mergeCell ref="I53:J53"/>
    <mergeCell ref="L51:M51"/>
    <mergeCell ref="I46:J46"/>
    <mergeCell ref="F49:G49"/>
    <mergeCell ref="F51:G51"/>
    <mergeCell ref="F50:G50"/>
    <mergeCell ref="L64:M64"/>
    <mergeCell ref="F68:G68"/>
    <mergeCell ref="F67:G67"/>
    <mergeCell ref="F70:G70"/>
    <mergeCell ref="I70:J70"/>
    <mergeCell ref="F64:G64"/>
    <mergeCell ref="I65:J65"/>
    <mergeCell ref="I68:J68"/>
    <mergeCell ref="I67:J67"/>
    <mergeCell ref="L58:M58"/>
    <mergeCell ref="F56:G56"/>
    <mergeCell ref="I57:J57"/>
    <mergeCell ref="L56:M56"/>
    <mergeCell ref="L55:M55"/>
    <mergeCell ref="L61:M61"/>
    <mergeCell ref="I59:J59"/>
    <mergeCell ref="F57:G57"/>
    <mergeCell ref="L57:M57"/>
    <mergeCell ref="L59:M59"/>
    <mergeCell ref="I56:J56"/>
    <mergeCell ref="B68:B69"/>
    <mergeCell ref="B70:B71"/>
    <mergeCell ref="C69:D69"/>
    <mergeCell ref="L62:M62"/>
    <mergeCell ref="I64:J64"/>
    <mergeCell ref="B74:P74"/>
    <mergeCell ref="P75:P83"/>
    <mergeCell ref="L80:M80"/>
    <mergeCell ref="C81:M81"/>
    <mergeCell ref="I80:J80"/>
    <mergeCell ref="F76:G76"/>
    <mergeCell ref="I76:J76"/>
    <mergeCell ref="L76:M76"/>
    <mergeCell ref="L71:M71"/>
    <mergeCell ref="L75:M75"/>
    <mergeCell ref="I75:J75"/>
    <mergeCell ref="F75:G75"/>
    <mergeCell ref="I83:J83"/>
    <mergeCell ref="L83:M83"/>
    <mergeCell ref="F78:G78"/>
    <mergeCell ref="I82:J82"/>
    <mergeCell ref="C72:M72"/>
    <mergeCell ref="B73:P73"/>
    <mergeCell ref="P36:P72"/>
    <mergeCell ref="C1:J1"/>
    <mergeCell ref="L1:P1"/>
    <mergeCell ref="K7:O7"/>
    <mergeCell ref="C8:D8"/>
    <mergeCell ref="C6:F6"/>
    <mergeCell ref="C9:D9"/>
    <mergeCell ref="C13:D13"/>
    <mergeCell ref="K11:O11"/>
    <mergeCell ref="G13:H13"/>
    <mergeCell ref="C12:D12"/>
    <mergeCell ref="E10:F10"/>
    <mergeCell ref="E13:F13"/>
    <mergeCell ref="K13:O13"/>
    <mergeCell ref="L40:M40"/>
    <mergeCell ref="L41:M41"/>
    <mergeCell ref="I41:J41"/>
    <mergeCell ref="F48:G48"/>
    <mergeCell ref="C49:D49"/>
    <mergeCell ref="C40:D40"/>
    <mergeCell ref="K15:O15"/>
    <mergeCell ref="G16:O16"/>
    <mergeCell ref="K17:O17"/>
    <mergeCell ref="I17:J17"/>
    <mergeCell ref="G17:H17"/>
    <mergeCell ref="I40:J40"/>
    <mergeCell ref="B21:O21"/>
    <mergeCell ref="B24:O24"/>
    <mergeCell ref="B27:O27"/>
    <mergeCell ref="F40:G40"/>
    <mergeCell ref="L45:M45"/>
    <mergeCell ref="B23:O23"/>
    <mergeCell ref="F46:G46"/>
    <mergeCell ref="L49:M49"/>
    <mergeCell ref="B33:O33"/>
    <mergeCell ref="L48:M48"/>
    <mergeCell ref="L46:M46"/>
    <mergeCell ref="L47:M47"/>
    <mergeCell ref="C45:D45"/>
    <mergeCell ref="S37:T38"/>
    <mergeCell ref="R86:R87"/>
    <mergeCell ref="B106:C108"/>
    <mergeCell ref="Y9:Z9"/>
    <mergeCell ref="Y7:Z7"/>
    <mergeCell ref="R22:R25"/>
    <mergeCell ref="R29:S30"/>
    <mergeCell ref="P31:P32"/>
    <mergeCell ref="P28:P30"/>
    <mergeCell ref="B28:O30"/>
    <mergeCell ref="C44:D44"/>
    <mergeCell ref="C48:D48"/>
    <mergeCell ref="C50:D50"/>
    <mergeCell ref="C53:D53"/>
    <mergeCell ref="C46:D46"/>
    <mergeCell ref="F45:G45"/>
    <mergeCell ref="I48:J48"/>
    <mergeCell ref="I52:J52"/>
    <mergeCell ref="I49:J49"/>
    <mergeCell ref="I47:J47"/>
    <mergeCell ref="I45:J45"/>
    <mergeCell ref="F47:G47"/>
    <mergeCell ref="I51:J51"/>
  </mergeCells>
  <phoneticPr fontId="0" type="noConversion"/>
  <conditionalFormatting sqref="G91:H91">
    <cfRule type="cellIs" dxfId="4" priority="1" stopIfTrue="1" operator="greaterThanOrEqual">
      <formula>$Y$91</formula>
    </cfRule>
    <cfRule type="cellIs" dxfId="3" priority="2" stopIfTrue="1" operator="greaterThan">
      <formula>$Y$96</formula>
    </cfRule>
  </conditionalFormatting>
  <conditionalFormatting sqref="G97:H98">
    <cfRule type="cellIs" dxfId="2" priority="4" stopIfTrue="1" operator="greaterThan">
      <formula>$Y$96</formula>
    </cfRule>
  </conditionalFormatting>
  <dataValidations xWindow="652" yWindow="655" count="22">
    <dataValidation type="decimal" operator="equal" allowBlank="1" showInputMessage="1" showErrorMessage="1" promptTitle="Shoulder surgery" prompt="Select type of surgery performed, if any." sqref="A22" xr:uid="{00000000-0002-0000-0B00-000004000000}">
      <formula1>T22</formula1>
    </dataValidation>
    <dataValidation type="decimal" operator="equal" allowBlank="1" showInputMessage="1" showErrorMessage="1" promptTitle="Shoulder" prompt="Check box or boxes that apply." sqref="A31" xr:uid="{00000000-0002-0000-0B00-000005000000}">
      <formula1>T31</formula1>
    </dataValidation>
    <dataValidation type="decimal" operator="equal" allowBlank="1" showInputMessage="1" showErrorMessage="1" promptTitle="Shoulder" prompt="Check &quot;Yes&quot; if the chronic condition criteria have been met." sqref="A88" xr:uid="{00000000-0002-0000-0B00-000006000000}">
      <formula1>S88</formula1>
    </dataValidation>
    <dataValidation allowBlank="1" showInputMessage="1" showErrorMessage="1" promptTitle="End of worksheet" prompt="Press TAB to return to top of sheet." sqref="P101" xr:uid="{00000000-0002-0000-0B00-000007000000}"/>
    <dataValidation type="decimal" allowBlank="1" showInputMessage="1" showErrorMessage="1" promptTitle="Apportionment (if any)" prompt="Enter percentage of impairment caused by the injury or illness. See OAR 436-035-0013." sqref="G91:H91 G97:H98" xr:uid="{00000000-0002-0000-0B00-000013000000}">
      <formula1>$B$109</formula1>
      <formula2>$C$109</formula2>
    </dataValidation>
    <dataValidation type="list" showInputMessage="1" showErrorMessage="1" promptTitle="Shoulder" prompt="Enter degrees of adduction ankylosis.  If joint was not affected by the injury, select &quot;NA&quot; or leave blank." sqref="C14:D14" xr:uid="{8BD14035-7A14-415D-A632-90634364793A}">
      <formula1>$B$116:$B$167</formula1>
    </dataValidation>
    <dataValidation type="list" showInputMessage="1" showErrorMessage="1" promptTitle="Shoulder" prompt="Enter degrees of abduction ankylosis. If joint was not affected by the injury, select &quot;NA&quot; or leave blank." sqref="C12:D12" xr:uid="{0B22442A-F376-4882-ABF8-249A7D3C1F51}">
      <formula1>$B$116:$B$297</formula1>
    </dataValidation>
    <dataValidation type="list" showInputMessage="1" showErrorMessage="1" promptTitle="Shoulder" prompt="Enter degrees of backward elevation (extension) ankylosis.  If joint was not affected by the injury, select &quot;NA&quot; or leave blank." sqref="C10:D10" xr:uid="{E852B9BC-1999-4A6E-9AFE-9378690F89E2}">
      <formula1>$B$116:$B$167</formula1>
    </dataValidation>
    <dataValidation type="list" showInputMessage="1" showErrorMessage="1" promptTitle="Shoulder ROM" prompt="Enter retained degrees of motion, backward elevation (extension). If joint was not affected by the injury, select &quot;NA&quot; or leave blank." sqref="C9:D9" xr:uid="{B00EF07B-3474-42CD-85DC-E1699FE3F876}">
      <formula1>$B$116:$B$167</formula1>
    </dataValidation>
    <dataValidation type="list" showInputMessage="1" showErrorMessage="1" promptTitle="Shoulder" prompt="Enter degrees of forward elevation (flexion) ankylosis. If joint was not affected by the injury, select &quot;NA&quot; or leave blank." sqref="C8:D8" xr:uid="{4972FADA-D974-4624-A02D-10A9390A90C9}">
      <formula1>$B$116:$B$297</formula1>
    </dataValidation>
    <dataValidation type="list" showInputMessage="1" showErrorMessage="1" promptTitle="Shoulder ROM" prompt="Enter retained degrees of motion, forward elevation (flexion). If joint was not affected by the injury, select &quot;NA&quot; or leave blank." sqref="C7:D7" xr:uid="{C381BE7D-E5A7-44FF-BA2F-3470348E3FBD}">
      <formula1>$B$116:$B$297</formula1>
    </dataValidation>
    <dataValidation type="list" showInputMessage="1" showErrorMessage="1" promptTitle="Shoulder" prompt="Enter degrees of external rotation ankylosis.  If joint was not affected by the injury, select &quot;NA&quot; or leave blank." sqref="C18:D18" xr:uid="{D2A1E7F4-58E6-4BDD-869E-C19BE24847C1}">
      <formula1>$B$116:$B$207</formula1>
    </dataValidation>
    <dataValidation type="list" showInputMessage="1" showErrorMessage="1" promptTitle="Shoulder" prompt="Enter degrees of internal rotation ankylosis.  If joint was not affected by the injury, select &quot;NA&quot; or leave blank." sqref="C16:D16" xr:uid="{93F9AA72-0906-4DCD-8135-5B14243E6F9A}">
      <formula1>$B$116:$B$207</formula1>
    </dataValidation>
    <dataValidation type="list" showInputMessage="1" showErrorMessage="1" promptTitle="Contralateral comparison" prompt="Enter retained degrees of motion or &quot;NA&quot; if contralateral joint has a history of injury or disease." sqref="G7:H7 G11:H11" xr:uid="{E53E41DA-DDEA-40F6-9AE6-6DDD0C59CF92}">
      <formula1>$B$116:$B$297</formula1>
    </dataValidation>
    <dataValidation type="list" showInputMessage="1" showErrorMessage="1" promptTitle="Contralateral comparison" prompt="Enter retained degrees of motion or &quot;NA&quot; if contralateral joint has a history of injury or disease." sqref="G9:H9 G13:H13" xr:uid="{BF277144-2942-48FA-953A-37ED86826186}">
      <formula1>$B$116:$B$167</formula1>
    </dataValidation>
    <dataValidation type="list" showInputMessage="1" showErrorMessage="1" promptTitle="Shoulder ROM" prompt="Enter retained degrees of motion,abduction. If joint was not affected by the injury, select &quot;NA&quot; or leave blank." sqref="C11:D11" xr:uid="{F6752D1C-1438-4BED-BD3E-0D17E2CBBC20}">
      <formula1>$B$116:$B$297</formula1>
    </dataValidation>
    <dataValidation type="list" showInputMessage="1" showErrorMessage="1" promptTitle="Shoulder ROM" prompt="Enter retained degrees of motion, adduction. If joint was not affected by the injury, select &quot;NA&quot; or leave blank." sqref="C13:D13" xr:uid="{84A32C26-125B-4515-984A-7FD81BBDAF34}">
      <formula1>$B$116:$B$167</formula1>
    </dataValidation>
    <dataValidation type="list" showInputMessage="1" showErrorMessage="1" promptTitle="Shoulder ROM" prompt="Enter retained degrees of motion, external rotation.  If joint was not affected by the injury, select &quot;NA&quot; or leave blank." sqref="C17:D17" xr:uid="{1213BCA2-D985-4356-912A-471EC4C71775}">
      <formula1>$B$116:$B$207</formula1>
    </dataValidation>
    <dataValidation type="list" showInputMessage="1" showErrorMessage="1" promptTitle="Shoulder ROM" prompt="Enter retained degrees of motion, internal rotation.  If joint was not affected by the injury, select &quot;NA&quot; or leave blank." sqref="C15:D15" xr:uid="{F6FD05DE-3B6B-449B-B9AF-108B58D80606}">
      <formula1>$B$116:$B$207</formula1>
    </dataValidation>
    <dataValidation type="list" showInputMessage="1" showErrorMessage="1" promptTitle="Contralateral comparison" prompt="Enter retained degrees of motion or &quot;NA&quot; if contralateral joint has a history of injury or disease." sqref="G15:H15 G17:H17" xr:uid="{B81613B0-828B-4900-B5BB-C4669215831B}">
      <formula1>$B$116:$B$207</formula1>
    </dataValidation>
    <dataValidation type="list" allowBlank="1" showInputMessage="1" showErrorMessage="1" promptTitle="Strength grade" prompt="Record strength using the 0 to 5  grading system as described in OAR 436-035-0011." sqref="F40:G40 F82:G82 F79:G79 F77:G77 F75:G75 F70:G70 F68:G68 F66:G66 F64:G64 F61:G61 F59:G59 F57:G57 F55:G55 F52:G52 F50:G50 F48:G48 F46:G46 F44:G44 F42:G42" xr:uid="{00000000-0002-0000-0B00-000008000000}">
      <formula1>$T$39:$AH$39</formula1>
    </dataValidation>
    <dataValidation type="list" allowBlank="1" showInputMessage="1" showErrorMessage="1" promptTitle="Strength grade" prompt="Record strength using the 0 to 5  grading system as described in OAR 436-035-0011, or enter &quot;NA&quot; if the part has a history of injury or disease." sqref="L40:M40 L82:M82 L79:M79 L77:M77 L75:M75 L70:M70 L68:M68 L66:M66 L64:M64 L61:M61 L59:M59 L57:M57 L55:M55 L52:M52 L50:M50 L48:M48 L46:M46 L44:M44 L42:M42" xr:uid="{00000000-0002-0000-0B00-000009000000}">
      <formula1>$S$39:$AH$39</formula1>
    </dataValidation>
  </dataValidations>
  <hyperlinks>
    <hyperlink ref="B36:O36" location="Rules!A3" display="Strength grade descriptions" xr:uid="{00000000-0004-0000-0B00-000000000000}"/>
    <hyperlink ref="B101" location="'Shoulder-Left'!A1" display="Return to top of sheet" xr:uid="{00000000-0004-0000-0B00-000001000000}"/>
    <hyperlink ref="I101:N101" location="'PPD DOI on or after 2005'!A1" display="'PPD DOI on or after 2005'!A1" xr:uid="{00000000-0004-0000-0B00-000002000000}"/>
    <hyperlink ref="C101:H101" location="'PPD DOI before 2005'!A1" display="'PPD DOI before 2005'!A1" xr:uid="{00000000-0004-0000-0B00-000003000000}"/>
  </hyperlinks>
  <pageMargins left="0.67" right="0.5" top="0.47" bottom="0.59" header="0.5" footer="0.5"/>
  <pageSetup orientation="portrait" horizontalDpi="300" verticalDpi="300" r:id="rId1"/>
  <headerFooter alignWithMargins="0">
    <oddFooter>&amp;LShoulder, Left&amp;CPage &amp;P</oddFooter>
  </headerFooter>
  <rowBreaks count="2" manualBreakCount="2">
    <brk id="33" max="16383" man="1"/>
    <brk id="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7903" r:id="rId4" name="Check Box 15">
              <controlPr defaultSize="0" autoFill="0" autoLine="0" autoPict="0">
                <anchor moveWithCells="1">
                  <from>
                    <xdr:col>1</xdr:col>
                    <xdr:colOff>19050</xdr:colOff>
                    <xdr:row>30</xdr:row>
                    <xdr:rowOff>9525</xdr:rowOff>
                  </from>
                  <to>
                    <xdr:col>4</xdr:col>
                    <xdr:colOff>152400</xdr:colOff>
                    <xdr:row>31</xdr:row>
                    <xdr:rowOff>0</xdr:rowOff>
                  </to>
                </anchor>
              </controlPr>
            </control>
          </mc:Choice>
        </mc:AlternateContent>
        <mc:AlternateContent xmlns:mc="http://schemas.openxmlformats.org/markup-compatibility/2006">
          <mc:Choice Requires="x14">
            <control shapeId="37904" r:id="rId5" name="Check Box 16">
              <controlPr defaultSize="0" autoFill="0" autoLine="0" autoPict="0">
                <anchor moveWithCells="1">
                  <from>
                    <xdr:col>1</xdr:col>
                    <xdr:colOff>19050</xdr:colOff>
                    <xdr:row>31</xdr:row>
                    <xdr:rowOff>0</xdr:rowOff>
                  </from>
                  <to>
                    <xdr:col>4</xdr:col>
                    <xdr:colOff>47625</xdr:colOff>
                    <xdr:row>31</xdr:row>
                    <xdr:rowOff>247650</xdr:rowOff>
                  </to>
                </anchor>
              </controlPr>
            </control>
          </mc:Choice>
        </mc:AlternateContent>
        <mc:AlternateContent xmlns:mc="http://schemas.openxmlformats.org/markup-compatibility/2006">
          <mc:Choice Requires="x14">
            <control shapeId="37905" r:id="rId6" name="Group Box 17">
              <controlPr defaultSize="0" autoFill="0" autoPict="0">
                <anchor moveWithCells="1">
                  <from>
                    <xdr:col>10</xdr:col>
                    <xdr:colOff>9525</xdr:colOff>
                    <xdr:row>87</xdr:row>
                    <xdr:rowOff>9525</xdr:rowOff>
                  </from>
                  <to>
                    <xdr:col>15</xdr:col>
                    <xdr:colOff>9525</xdr:colOff>
                    <xdr:row>88</xdr:row>
                    <xdr:rowOff>0</xdr:rowOff>
                  </to>
                </anchor>
              </controlPr>
            </control>
          </mc:Choice>
        </mc:AlternateContent>
        <mc:AlternateContent xmlns:mc="http://schemas.openxmlformats.org/markup-compatibility/2006">
          <mc:Choice Requires="x14">
            <control shapeId="37906" r:id="rId7" name="Option Button 18">
              <controlPr defaultSize="0" autoFill="0" autoLine="0" autoPict="0">
                <anchor moveWithCells="1">
                  <from>
                    <xdr:col>10</xdr:col>
                    <xdr:colOff>28575</xdr:colOff>
                    <xdr:row>87</xdr:row>
                    <xdr:rowOff>9525</xdr:rowOff>
                  </from>
                  <to>
                    <xdr:col>12</xdr:col>
                    <xdr:colOff>285750</xdr:colOff>
                    <xdr:row>87</xdr:row>
                    <xdr:rowOff>228600</xdr:rowOff>
                  </to>
                </anchor>
              </controlPr>
            </control>
          </mc:Choice>
        </mc:AlternateContent>
        <mc:AlternateContent xmlns:mc="http://schemas.openxmlformats.org/markup-compatibility/2006">
          <mc:Choice Requires="x14">
            <control shapeId="37907" r:id="rId8" name="Option Button 19">
              <controlPr defaultSize="0" autoFill="0" autoLine="0" autoPict="0">
                <anchor moveWithCells="1">
                  <from>
                    <xdr:col>13</xdr:col>
                    <xdr:colOff>114300</xdr:colOff>
                    <xdr:row>87</xdr:row>
                    <xdr:rowOff>9525</xdr:rowOff>
                  </from>
                  <to>
                    <xdr:col>14</xdr:col>
                    <xdr:colOff>638175</xdr:colOff>
                    <xdr:row>87</xdr:row>
                    <xdr:rowOff>228600</xdr:rowOff>
                  </to>
                </anchor>
              </controlPr>
            </control>
          </mc:Choice>
        </mc:AlternateContent>
        <mc:AlternateContent xmlns:mc="http://schemas.openxmlformats.org/markup-compatibility/2006">
          <mc:Choice Requires="x14">
            <control shapeId="37890" r:id="rId9" name="Group Box 2">
              <controlPr defaultSize="0" autoFill="0" autoPict="0">
                <anchor moveWithCells="1" sizeWithCells="1">
                  <from>
                    <xdr:col>1</xdr:col>
                    <xdr:colOff>0</xdr:colOff>
                    <xdr:row>21</xdr:row>
                    <xdr:rowOff>0</xdr:rowOff>
                  </from>
                  <to>
                    <xdr:col>15</xdr:col>
                    <xdr:colOff>0</xdr:colOff>
                    <xdr:row>22</xdr:row>
                    <xdr:rowOff>0</xdr:rowOff>
                  </to>
                </anchor>
              </controlPr>
            </control>
          </mc:Choice>
        </mc:AlternateContent>
        <mc:AlternateContent xmlns:mc="http://schemas.openxmlformats.org/markup-compatibility/2006">
          <mc:Choice Requires="x14">
            <control shapeId="37891" r:id="rId10" name="Option Button 3">
              <controlPr defaultSize="0" autoFill="0" autoLine="0" autoPict="0">
                <anchor moveWithCells="1" sizeWithCells="1">
                  <from>
                    <xdr:col>1</xdr:col>
                    <xdr:colOff>28575</xdr:colOff>
                    <xdr:row>21</xdr:row>
                    <xdr:rowOff>9525</xdr:rowOff>
                  </from>
                  <to>
                    <xdr:col>1</xdr:col>
                    <xdr:colOff>1381125</xdr:colOff>
                    <xdr:row>21</xdr:row>
                    <xdr:rowOff>228600</xdr:rowOff>
                  </to>
                </anchor>
              </controlPr>
            </control>
          </mc:Choice>
        </mc:AlternateContent>
        <mc:AlternateContent xmlns:mc="http://schemas.openxmlformats.org/markup-compatibility/2006">
          <mc:Choice Requires="x14">
            <control shapeId="37892" r:id="rId11" name="Option Button 4">
              <controlPr defaultSize="0" autoFill="0" autoLine="0" autoPict="0">
                <anchor moveWithCells="1" sizeWithCells="1">
                  <from>
                    <xdr:col>3</xdr:col>
                    <xdr:colOff>19050</xdr:colOff>
                    <xdr:row>21</xdr:row>
                    <xdr:rowOff>9525</xdr:rowOff>
                  </from>
                  <to>
                    <xdr:col>8</xdr:col>
                    <xdr:colOff>123825</xdr:colOff>
                    <xdr:row>21</xdr:row>
                    <xdr:rowOff>228600</xdr:rowOff>
                  </to>
                </anchor>
              </controlPr>
            </control>
          </mc:Choice>
        </mc:AlternateContent>
        <mc:AlternateContent xmlns:mc="http://schemas.openxmlformats.org/markup-compatibility/2006">
          <mc:Choice Requires="x14">
            <control shapeId="37893" r:id="rId12" name="Option Button 5">
              <controlPr defaultSize="0" autoFill="0" autoLine="0" autoPict="0">
                <anchor moveWithCells="1" sizeWithCells="1">
                  <from>
                    <xdr:col>9</xdr:col>
                    <xdr:colOff>28575</xdr:colOff>
                    <xdr:row>21</xdr:row>
                    <xdr:rowOff>9525</xdr:rowOff>
                  </from>
                  <to>
                    <xdr:col>12</xdr:col>
                    <xdr:colOff>123825</xdr:colOff>
                    <xdr:row>21</xdr:row>
                    <xdr:rowOff>228600</xdr:rowOff>
                  </to>
                </anchor>
              </controlPr>
            </control>
          </mc:Choice>
        </mc:AlternateContent>
        <mc:AlternateContent xmlns:mc="http://schemas.openxmlformats.org/markup-compatibility/2006">
          <mc:Choice Requires="x14">
            <control shapeId="37894" r:id="rId13" name="Group Box 6">
              <controlPr defaultSize="0" autoFill="0" autoPict="0">
                <anchor moveWithCells="1" sizeWithCells="1">
                  <from>
                    <xdr:col>1</xdr:col>
                    <xdr:colOff>0</xdr:colOff>
                    <xdr:row>22</xdr:row>
                    <xdr:rowOff>0</xdr:rowOff>
                  </from>
                  <to>
                    <xdr:col>15</xdr:col>
                    <xdr:colOff>0</xdr:colOff>
                    <xdr:row>23</xdr:row>
                    <xdr:rowOff>0</xdr:rowOff>
                  </to>
                </anchor>
              </controlPr>
            </control>
          </mc:Choice>
        </mc:AlternateContent>
        <mc:AlternateContent xmlns:mc="http://schemas.openxmlformats.org/markup-compatibility/2006">
          <mc:Choice Requires="x14">
            <control shapeId="37895" r:id="rId14" name="Option Button 7">
              <controlPr defaultSize="0" autoFill="0" autoLine="0" autoPict="0">
                <anchor moveWithCells="1" sizeWithCells="1">
                  <from>
                    <xdr:col>1</xdr:col>
                    <xdr:colOff>28575</xdr:colOff>
                    <xdr:row>22</xdr:row>
                    <xdr:rowOff>9525</xdr:rowOff>
                  </from>
                  <to>
                    <xdr:col>2</xdr:col>
                    <xdr:colOff>19050</xdr:colOff>
                    <xdr:row>22</xdr:row>
                    <xdr:rowOff>228600</xdr:rowOff>
                  </to>
                </anchor>
              </controlPr>
            </control>
          </mc:Choice>
        </mc:AlternateContent>
        <mc:AlternateContent xmlns:mc="http://schemas.openxmlformats.org/markup-compatibility/2006">
          <mc:Choice Requires="x14">
            <control shapeId="37896" r:id="rId15" name="Option Button 8">
              <controlPr defaultSize="0" autoFill="0" autoLine="0" autoPict="0">
                <anchor moveWithCells="1" sizeWithCells="1">
                  <from>
                    <xdr:col>9</xdr:col>
                    <xdr:colOff>28575</xdr:colOff>
                    <xdr:row>22</xdr:row>
                    <xdr:rowOff>9525</xdr:rowOff>
                  </from>
                  <to>
                    <xdr:col>14</xdr:col>
                    <xdr:colOff>228600</xdr:colOff>
                    <xdr:row>22</xdr:row>
                    <xdr:rowOff>228600</xdr:rowOff>
                  </to>
                </anchor>
              </controlPr>
            </control>
          </mc:Choice>
        </mc:AlternateContent>
        <mc:AlternateContent xmlns:mc="http://schemas.openxmlformats.org/markup-compatibility/2006">
          <mc:Choice Requires="x14">
            <control shapeId="37897" r:id="rId16" name="Group Box 9">
              <controlPr defaultSize="0" autoFill="0" autoPict="0">
                <anchor moveWithCells="1" sizeWithCells="1">
                  <from>
                    <xdr:col>1</xdr:col>
                    <xdr:colOff>0</xdr:colOff>
                    <xdr:row>23</xdr:row>
                    <xdr:rowOff>0</xdr:rowOff>
                  </from>
                  <to>
                    <xdr:col>15</xdr:col>
                    <xdr:colOff>0</xdr:colOff>
                    <xdr:row>24</xdr:row>
                    <xdr:rowOff>0</xdr:rowOff>
                  </to>
                </anchor>
              </controlPr>
            </control>
          </mc:Choice>
        </mc:AlternateContent>
        <mc:AlternateContent xmlns:mc="http://schemas.openxmlformats.org/markup-compatibility/2006">
          <mc:Choice Requires="x14">
            <control shapeId="37898" r:id="rId17" name="Option Button 10">
              <controlPr defaultSize="0" autoFill="0" autoLine="0" autoPict="0">
                <anchor moveWithCells="1" sizeWithCells="1">
                  <from>
                    <xdr:col>1</xdr:col>
                    <xdr:colOff>28575</xdr:colOff>
                    <xdr:row>23</xdr:row>
                    <xdr:rowOff>9525</xdr:rowOff>
                  </from>
                  <to>
                    <xdr:col>2</xdr:col>
                    <xdr:colOff>0</xdr:colOff>
                    <xdr:row>23</xdr:row>
                    <xdr:rowOff>228600</xdr:rowOff>
                  </to>
                </anchor>
              </controlPr>
            </control>
          </mc:Choice>
        </mc:AlternateContent>
        <mc:AlternateContent xmlns:mc="http://schemas.openxmlformats.org/markup-compatibility/2006">
          <mc:Choice Requires="x14">
            <control shapeId="37899" r:id="rId18" name="Option Button 11">
              <controlPr defaultSize="0" autoFill="0" autoLine="0" autoPict="0">
                <anchor moveWithCells="1" sizeWithCells="1">
                  <from>
                    <xdr:col>9</xdr:col>
                    <xdr:colOff>28575</xdr:colOff>
                    <xdr:row>23</xdr:row>
                    <xdr:rowOff>9525</xdr:rowOff>
                  </from>
                  <to>
                    <xdr:col>14</xdr:col>
                    <xdr:colOff>228600</xdr:colOff>
                    <xdr:row>23</xdr:row>
                    <xdr:rowOff>228600</xdr:rowOff>
                  </to>
                </anchor>
              </controlPr>
            </control>
          </mc:Choice>
        </mc:AlternateContent>
        <mc:AlternateContent xmlns:mc="http://schemas.openxmlformats.org/markup-compatibility/2006">
          <mc:Choice Requires="x14">
            <control shapeId="37900" r:id="rId19" name="Group Box 12">
              <controlPr defaultSize="0" autoFill="0" autoPict="0">
                <anchor moveWithCells="1" sizeWithCells="1">
                  <from>
                    <xdr:col>1</xdr:col>
                    <xdr:colOff>0</xdr:colOff>
                    <xdr:row>24</xdr:row>
                    <xdr:rowOff>0</xdr:rowOff>
                  </from>
                  <to>
                    <xdr:col>15</xdr:col>
                    <xdr:colOff>0</xdr:colOff>
                    <xdr:row>25</xdr:row>
                    <xdr:rowOff>0</xdr:rowOff>
                  </to>
                </anchor>
              </controlPr>
            </control>
          </mc:Choice>
        </mc:AlternateContent>
        <mc:AlternateContent xmlns:mc="http://schemas.openxmlformats.org/markup-compatibility/2006">
          <mc:Choice Requires="x14">
            <control shapeId="37901" r:id="rId20" name="Option Button 13">
              <controlPr defaultSize="0" autoFill="0" autoLine="0" autoPict="0">
                <anchor moveWithCells="1" sizeWithCells="1">
                  <from>
                    <xdr:col>1</xdr:col>
                    <xdr:colOff>28575</xdr:colOff>
                    <xdr:row>24</xdr:row>
                    <xdr:rowOff>9525</xdr:rowOff>
                  </from>
                  <to>
                    <xdr:col>3</xdr:col>
                    <xdr:colOff>142875</xdr:colOff>
                    <xdr:row>25</xdr:row>
                    <xdr:rowOff>0</xdr:rowOff>
                  </to>
                </anchor>
              </controlPr>
            </control>
          </mc:Choice>
        </mc:AlternateContent>
        <mc:AlternateContent xmlns:mc="http://schemas.openxmlformats.org/markup-compatibility/2006">
          <mc:Choice Requires="x14">
            <control shapeId="37902" r:id="rId21" name="Option Button 14">
              <controlPr defaultSize="0" autoFill="0" autoLine="0" autoPict="0">
                <anchor moveWithCells="1" sizeWithCells="1">
                  <from>
                    <xdr:col>9</xdr:col>
                    <xdr:colOff>28575</xdr:colOff>
                    <xdr:row>24</xdr:row>
                    <xdr:rowOff>9525</xdr:rowOff>
                  </from>
                  <to>
                    <xdr:col>12</xdr:col>
                    <xdr:colOff>123825</xdr:colOff>
                    <xdr:row>24</xdr:row>
                    <xdr:rowOff>228600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G149"/>
  <sheetViews>
    <sheetView showGridLines="0" zoomScale="120" zoomScaleNormal="120" workbookViewId="0"/>
  </sheetViews>
  <sheetFormatPr defaultColWidth="2.42578125" defaultRowHeight="12.75" x14ac:dyDescent="0.2"/>
  <cols>
    <col min="1" max="1" width="1.42578125" style="35" customWidth="1"/>
    <col min="2" max="2" width="22.85546875" style="35" customWidth="1"/>
    <col min="3" max="3" width="4.85546875" style="2" customWidth="1"/>
    <col min="4" max="4" width="4.140625" style="191" customWidth="1"/>
    <col min="5" max="5" width="2.85546875" style="35" customWidth="1"/>
    <col min="6" max="6" width="4.85546875" style="191" customWidth="1"/>
    <col min="7" max="7" width="4" style="35" customWidth="1"/>
    <col min="8" max="8" width="3.85546875" style="191" customWidth="1"/>
    <col min="9" max="9" width="4" style="35" customWidth="1"/>
    <col min="10" max="10" width="5.5703125" style="191" customWidth="1"/>
    <col min="11" max="11" width="2.85546875" style="35" customWidth="1"/>
    <col min="12" max="12" width="4" style="191" customWidth="1"/>
    <col min="13" max="13" width="4.42578125" style="35" customWidth="1"/>
    <col min="14" max="14" width="4" style="191" customWidth="1"/>
    <col min="15" max="15" width="9.5703125" style="35" customWidth="1"/>
    <col min="16" max="16" width="9.28515625" style="35" customWidth="1"/>
    <col min="17" max="17" width="0.85546875" style="35" customWidth="1"/>
    <col min="18" max="18" width="12.85546875" style="35" hidden="1" customWidth="1"/>
    <col min="19" max="19" width="12.7109375" style="35" hidden="1" customWidth="1"/>
    <col min="20" max="20" width="12" style="35" hidden="1" customWidth="1"/>
    <col min="21" max="21" width="10.5703125" style="35" hidden="1" customWidth="1"/>
    <col min="22" max="22" width="9.140625" style="35" hidden="1" customWidth="1"/>
    <col min="23" max="23" width="11.5703125" style="35" hidden="1" customWidth="1"/>
    <col min="24" max="24" width="12.5703125" style="35" hidden="1" customWidth="1"/>
    <col min="25" max="25" width="13.7109375" style="35" hidden="1" customWidth="1"/>
    <col min="26" max="26" width="12.7109375" style="35" hidden="1" customWidth="1"/>
    <col min="27" max="27" width="7.5703125" style="35" hidden="1" customWidth="1"/>
    <col min="28" max="28" width="10" style="35" hidden="1" customWidth="1"/>
    <col min="29" max="29" width="7" style="35" hidden="1" customWidth="1"/>
    <col min="30" max="30" width="5.85546875" style="35" hidden="1" customWidth="1"/>
    <col min="31" max="31" width="4" style="35" hidden="1" customWidth="1"/>
    <col min="32" max="32" width="5.140625" style="35" hidden="1" customWidth="1"/>
    <col min="33" max="130" width="2.42578125" style="35" hidden="1" customWidth="1"/>
    <col min="131" max="255" width="2.42578125" style="35" customWidth="1"/>
    <col min="256" max="16384" width="2.42578125" style="35"/>
  </cols>
  <sheetData>
    <row r="1" spans="2:170" ht="15" customHeight="1" x14ac:dyDescent="0.2">
      <c r="B1" s="14" t="s">
        <v>1733</v>
      </c>
      <c r="C1" s="1347" t="str">
        <f>IF('Start here'!A6="","",'Start here'!A6)</f>
        <v/>
      </c>
      <c r="D1" s="1351"/>
      <c r="E1" s="1351"/>
      <c r="F1" s="1351"/>
      <c r="G1" s="1351"/>
      <c r="H1" s="1351"/>
      <c r="I1" s="1351"/>
      <c r="J1" s="1352"/>
      <c r="K1" s="2"/>
      <c r="L1" s="1347" t="str">
        <f>IF('Start here'!A7="","",'Start here'!A7)</f>
        <v/>
      </c>
      <c r="M1" s="1351"/>
      <c r="N1" s="1351"/>
      <c r="O1" s="1351"/>
      <c r="P1" s="1352"/>
      <c r="S1" s="694">
        <v>38353</v>
      </c>
      <c r="T1" s="196">
        <f>'Start here'!A8</f>
        <v>0</v>
      </c>
      <c r="U1" s="1179" t="str">
        <f>IF(T1&gt;=S1,"Go to PPD Worksheet","")</f>
        <v/>
      </c>
      <c r="V1" s="1179" t="str">
        <f>IF(T1&lt;S1,"Go to PPD Worksheet","")</f>
        <v>Go to PPD Worksheet</v>
      </c>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170" x14ac:dyDescent="0.2">
      <c r="B2" s="2"/>
      <c r="D2" s="2"/>
      <c r="E2" s="2"/>
      <c r="F2" s="2"/>
      <c r="G2" s="2"/>
      <c r="H2" s="2"/>
      <c r="I2" s="2"/>
      <c r="J2" s="2"/>
      <c r="K2" s="2"/>
      <c r="L2" s="2"/>
      <c r="M2" s="2"/>
      <c r="N2" s="2"/>
      <c r="O2" s="2"/>
      <c r="P2" s="2"/>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row>
    <row r="3" spans="2:170" ht="24" customHeight="1" x14ac:dyDescent="0.3">
      <c r="B3" s="2324" t="s">
        <v>509</v>
      </c>
      <c r="C3" s="2325"/>
      <c r="D3" s="2325"/>
      <c r="E3" s="2325"/>
      <c r="F3" s="2325"/>
      <c r="G3" s="2325"/>
      <c r="H3" s="2325"/>
      <c r="I3" s="2325"/>
      <c r="J3" s="2325"/>
      <c r="K3" s="2325"/>
      <c r="L3" s="2325"/>
      <c r="M3" s="2325"/>
      <c r="N3" s="2325"/>
      <c r="O3" s="2325"/>
      <c r="P3" s="2325"/>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row>
    <row r="4" spans="2:170" ht="26.25" customHeight="1" x14ac:dyDescent="0.2">
      <c r="B4" s="2326" t="s">
        <v>2135</v>
      </c>
      <c r="C4" s="2327"/>
      <c r="D4" s="2327"/>
      <c r="E4" s="2327"/>
      <c r="F4" s="2327"/>
      <c r="G4" s="2327"/>
      <c r="H4" s="2327"/>
      <c r="I4" s="2327"/>
      <c r="J4" s="2327"/>
      <c r="K4" s="2327"/>
      <c r="L4" s="2327"/>
      <c r="M4" s="2327"/>
      <c r="N4" s="2327"/>
      <c r="O4" s="2327"/>
      <c r="P4" s="2328"/>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63"/>
      <c r="ET4" s="63"/>
      <c r="EU4" s="63"/>
      <c r="EV4" s="63"/>
      <c r="EW4" s="63"/>
      <c r="EX4" s="63"/>
      <c r="EY4" s="63"/>
      <c r="EZ4" s="63"/>
      <c r="FA4" s="63"/>
      <c r="FB4" s="63"/>
      <c r="FC4" s="63"/>
      <c r="FD4" s="63"/>
      <c r="FE4" s="63"/>
      <c r="FF4" s="63"/>
      <c r="FG4" s="63"/>
      <c r="FH4" s="63"/>
      <c r="FI4" s="63"/>
      <c r="FJ4" s="63"/>
      <c r="FK4" s="63"/>
      <c r="FL4" s="63"/>
      <c r="FM4" s="63"/>
      <c r="FN4" s="63"/>
    </row>
    <row r="5" spans="2:170" ht="27" customHeight="1" x14ac:dyDescent="0.2">
      <c r="B5" s="2314" t="s">
        <v>2137</v>
      </c>
      <c r="C5" s="2314"/>
      <c r="D5" s="2314"/>
      <c r="E5" s="2314"/>
      <c r="F5" s="2314"/>
      <c r="G5" s="2314"/>
      <c r="H5" s="2314"/>
      <c r="I5" s="2314"/>
      <c r="J5" s="2314"/>
      <c r="K5" s="2314"/>
      <c r="L5" s="2314"/>
      <c r="M5" s="2314"/>
      <c r="N5" s="2314"/>
      <c r="O5" s="2314"/>
      <c r="P5" s="2314"/>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row>
    <row r="6" spans="2:170" x14ac:dyDescent="0.2">
      <c r="B6" s="1395"/>
      <c r="C6" s="1395"/>
      <c r="D6" s="1395"/>
      <c r="E6" s="1395"/>
      <c r="F6" s="1395"/>
      <c r="G6" s="1395"/>
      <c r="H6" s="1395"/>
      <c r="I6" s="1395"/>
      <c r="J6" s="1395"/>
      <c r="K6" s="1395"/>
      <c r="L6" s="1395"/>
      <c r="M6" s="1395"/>
      <c r="N6" s="1395"/>
      <c r="O6" s="1395"/>
      <c r="P6" s="1395"/>
      <c r="R6" s="63"/>
      <c r="S6" s="7"/>
      <c r="T6" s="63"/>
      <c r="U6" s="63"/>
      <c r="V6" s="7"/>
      <c r="W6" s="7"/>
      <c r="X6" s="7"/>
      <c r="Y6" s="7"/>
      <c r="Z6" s="7"/>
      <c r="AA6" s="7"/>
      <c r="AB6" s="7"/>
      <c r="AC6" s="63"/>
      <c r="AD6" s="63"/>
      <c r="AE6" s="63"/>
      <c r="AF6" s="63"/>
      <c r="AG6" s="63"/>
      <c r="AH6" s="7"/>
      <c r="AI6" s="126"/>
      <c r="AJ6" s="7"/>
      <c r="AK6" s="7"/>
      <c r="AL6" s="7"/>
      <c r="AM6" s="7"/>
      <c r="AN6" s="7"/>
      <c r="AO6" s="7"/>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row>
    <row r="7" spans="2:170" ht="18" customHeight="1" x14ac:dyDescent="0.2">
      <c r="B7" s="1555" t="s">
        <v>1595</v>
      </c>
      <c r="C7" s="1555"/>
      <c r="D7" s="1555"/>
      <c r="E7" s="1555"/>
      <c r="F7" s="1555"/>
      <c r="G7" s="1555"/>
      <c r="H7" s="1555"/>
      <c r="I7" s="1555"/>
      <c r="J7" s="1555"/>
      <c r="K7" s="1555"/>
      <c r="L7" s="1555"/>
      <c r="M7" s="1555"/>
      <c r="N7" s="1555"/>
      <c r="O7" s="1555"/>
      <c r="P7" s="42"/>
      <c r="R7" s="63"/>
      <c r="S7" s="63"/>
      <c r="T7" s="127"/>
      <c r="U7" s="127"/>
      <c r="V7" s="63"/>
      <c r="W7" s="63"/>
      <c r="X7" s="63"/>
      <c r="Y7" s="63"/>
      <c r="Z7" s="63"/>
      <c r="AA7" s="63"/>
      <c r="AB7" s="63"/>
      <c r="AC7" s="63"/>
      <c r="AD7" s="63"/>
      <c r="AE7" s="63"/>
      <c r="AF7" s="63"/>
      <c r="AG7" s="63"/>
      <c r="AH7" s="7"/>
      <c r="AI7" s="63"/>
      <c r="AJ7" s="63"/>
      <c r="AK7" s="63"/>
      <c r="AL7" s="63"/>
      <c r="AM7" s="63"/>
      <c r="AN7" s="7"/>
      <c r="AO7" s="7"/>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row>
    <row r="8" spans="2:170" ht="18" customHeight="1" x14ac:dyDescent="0.25">
      <c r="B8" s="336"/>
      <c r="C8" s="1555" t="s">
        <v>1596</v>
      </c>
      <c r="D8" s="1555"/>
      <c r="E8" s="1555"/>
      <c r="F8" s="1555"/>
      <c r="G8" s="1555" t="s">
        <v>1597</v>
      </c>
      <c r="H8" s="1555"/>
      <c r="I8" s="1555"/>
      <c r="J8" s="1555"/>
      <c r="K8" s="2323"/>
      <c r="L8" s="2323"/>
      <c r="M8" s="2323"/>
      <c r="N8" s="2323"/>
      <c r="O8" s="2323"/>
      <c r="P8" s="1481">
        <f>IF(R17=1,"ERROR",S21)</f>
        <v>0</v>
      </c>
      <c r="R8" s="63"/>
      <c r="S8" s="17" t="s">
        <v>1598</v>
      </c>
      <c r="T8" s="1970" t="s">
        <v>211</v>
      </c>
      <c r="U8" s="1972"/>
      <c r="V8" s="1970" t="s">
        <v>194</v>
      </c>
      <c r="W8" s="1972"/>
      <c r="X8" s="7"/>
      <c r="Y8" s="7"/>
      <c r="Z8" s="7"/>
      <c r="AA8" s="7"/>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row>
    <row r="9" spans="2:170" ht="30" customHeight="1" x14ac:dyDescent="0.2">
      <c r="B9" s="335" t="s">
        <v>195</v>
      </c>
      <c r="C9" s="1308"/>
      <c r="D9" s="1308"/>
      <c r="E9" s="1558">
        <f>'H-Table'!R3</f>
        <v>0</v>
      </c>
      <c r="F9" s="1558"/>
      <c r="G9" s="1308"/>
      <c r="H9" s="1308"/>
      <c r="I9" s="1538">
        <f>IF(C9="",0,IF(OR(C9&lt;=0,G9&lt;=0),E9,IF(G9&lt;C9,0,'H-Table'!W3)))</f>
        <v>0</v>
      </c>
      <c r="J9" s="1538"/>
      <c r="K9" s="1938" t="str">
        <f>IF(OR(C9="NA",G9="NA"),"",IF(AND(C9&lt;&gt;"",G9=""),"Enter contralateral or NA.",IF(AND(C9="",G9&lt;&gt;""),"Need data","")))</f>
        <v/>
      </c>
      <c r="L9" s="1938"/>
      <c r="M9" s="1938"/>
      <c r="N9" s="1938"/>
      <c r="O9" s="1938"/>
      <c r="P9" s="1631"/>
      <c r="R9" s="63"/>
      <c r="S9" s="17">
        <v>100</v>
      </c>
      <c r="T9" s="17" t="str">
        <f t="shared" ref="T9:T20" si="0">IF(OR(C9="",C9="NA"),"",IF(C9&gt;S9,S9,IF(C9&lt;0,0,C9)))</f>
        <v/>
      </c>
      <c r="U9" s="17" t="str">
        <f>IF(OR(G9="",G9="NA"),"",IF(G9&gt;S9,S9,IF(G9&lt;0,0,G9)))</f>
        <v/>
      </c>
      <c r="V9" s="66" t="str">
        <f>IF(W9="","",ROUND(W9,0))</f>
        <v/>
      </c>
      <c r="W9" s="139" t="str">
        <f>IF(T9="","",IF(OR(U9="",U9=0,U9&lt;T9),T9,(T9*S9)/U9))</f>
        <v/>
      </c>
      <c r="X9" s="62">
        <f>IF(AND(Y20=1,Z20=1),"ERROR",SUM(I9,I11,I13,I15,I17,I19,X11))</f>
        <v>0</v>
      </c>
      <c r="Y9" s="1374" t="s">
        <v>2281</v>
      </c>
      <c r="Z9" s="1376"/>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row>
    <row r="10" spans="2:170" ht="30" customHeight="1" x14ac:dyDescent="0.2">
      <c r="B10" s="335" t="s">
        <v>1940</v>
      </c>
      <c r="C10" s="1308"/>
      <c r="D10" s="1308"/>
      <c r="E10" s="1558">
        <f>IF(AND($Y$20=1,$Z$20=1),"ERROR",'H-Table'!R4)</f>
        <v>0</v>
      </c>
      <c r="F10" s="1558"/>
      <c r="G10" s="1556" t="str">
        <f>IF(AND($Z$20=1,$Y$20=1),"Cannot rate ROM and ankylosis.","")</f>
        <v/>
      </c>
      <c r="H10" s="1556"/>
      <c r="I10" s="1556"/>
      <c r="J10" s="1556"/>
      <c r="K10" s="1556"/>
      <c r="L10" s="1556"/>
      <c r="M10" s="1556"/>
      <c r="N10" s="1556"/>
      <c r="O10" s="1556"/>
      <c r="P10" s="1631"/>
      <c r="R10" s="63"/>
      <c r="S10" s="17">
        <v>100</v>
      </c>
      <c r="T10" s="17" t="str">
        <f t="shared" si="0"/>
        <v/>
      </c>
      <c r="U10" s="63"/>
      <c r="V10" s="66"/>
      <c r="W10" s="140"/>
      <c r="X10" s="7"/>
      <c r="Y10" s="7"/>
      <c r="Z10" s="7"/>
      <c r="AA10" s="7"/>
      <c r="AB10" s="6"/>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row>
    <row r="11" spans="2:170" ht="30" customHeight="1" x14ac:dyDescent="0.2">
      <c r="B11" s="335" t="s">
        <v>1941</v>
      </c>
      <c r="C11" s="1308"/>
      <c r="D11" s="1308"/>
      <c r="E11" s="1558">
        <f>'H-Table'!R5</f>
        <v>0</v>
      </c>
      <c r="F11" s="1558"/>
      <c r="G11" s="1308"/>
      <c r="H11" s="1308"/>
      <c r="I11" s="1538">
        <f>IF(C11="",0,IF(OR(C11&lt;=0,G11&lt;=0),E11,IF(G11&lt;C11,0,'H-Table'!W5)))</f>
        <v>0</v>
      </c>
      <c r="J11" s="1538"/>
      <c r="K11" s="1938" t="str">
        <f>IF(OR(C11="NA",G11="NA"),"",IF(AND(C11&lt;&gt;"",G11=""),"Enter contralateral or NA.",IF(AND(C11="",G11&lt;&gt;""),"Need data","")))</f>
        <v/>
      </c>
      <c r="L11" s="1938"/>
      <c r="M11" s="1938"/>
      <c r="N11" s="1938"/>
      <c r="O11" s="1938"/>
      <c r="P11" s="1631"/>
      <c r="R11" s="63"/>
      <c r="S11" s="17">
        <v>30</v>
      </c>
      <c r="T11" s="17" t="str">
        <f t="shared" si="0"/>
        <v/>
      </c>
      <c r="U11" s="17" t="str">
        <f>IF(OR(G11="",G11="NA"),"",IF(G11&gt;S11,S11,IF(G11&lt;0,0,G11)))</f>
        <v/>
      </c>
      <c r="V11" s="66" t="str">
        <f>IF(W11="","",ROUND(W11,0))</f>
        <v/>
      </c>
      <c r="W11" s="139" t="str">
        <f>IF(T11="","",IF(OR(U11="",U11=0,U11&lt;T11),T11,(T11*S11)/U11))</f>
        <v/>
      </c>
      <c r="X11" s="141">
        <f>MAX(E10,E12,E14,E16,E18,E20)</f>
        <v>0</v>
      </c>
      <c r="Y11" s="1374" t="s">
        <v>2272</v>
      </c>
      <c r="Z11" s="1376"/>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row>
    <row r="12" spans="2:170" ht="30" customHeight="1" x14ac:dyDescent="0.2">
      <c r="B12" s="335" t="s">
        <v>690</v>
      </c>
      <c r="C12" s="1308"/>
      <c r="D12" s="1308"/>
      <c r="E12" s="1558">
        <f>IF(AND($Y$20=1,$Z$20=1),"ERROR",'H-Table'!R6)</f>
        <v>0</v>
      </c>
      <c r="F12" s="1558"/>
      <c r="G12" s="1556" t="str">
        <f>IF(AND($Z$20=1,$Y$20=1),"Cannot rate ROM and ankylosis.","")</f>
        <v/>
      </c>
      <c r="H12" s="1556"/>
      <c r="I12" s="1556"/>
      <c r="J12" s="1556"/>
      <c r="K12" s="1556"/>
      <c r="L12" s="1556"/>
      <c r="M12" s="1556"/>
      <c r="N12" s="1556"/>
      <c r="O12" s="1556"/>
      <c r="P12" s="1631"/>
      <c r="R12" s="63"/>
      <c r="S12" s="17">
        <v>30</v>
      </c>
      <c r="T12" s="17" t="str">
        <f t="shared" si="0"/>
        <v/>
      </c>
      <c r="U12" s="63"/>
      <c r="V12" s="66"/>
      <c r="W12" s="140"/>
      <c r="X12" s="7"/>
      <c r="Y12" s="7"/>
      <c r="Z12" s="7"/>
      <c r="AA12" s="7"/>
      <c r="AB12" s="6"/>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row>
    <row r="13" spans="2:170" ht="30" customHeight="1" x14ac:dyDescent="0.2">
      <c r="B13" s="185" t="s">
        <v>691</v>
      </c>
      <c r="C13" s="1308"/>
      <c r="D13" s="1308"/>
      <c r="E13" s="1558">
        <f>'H-Table'!R7</f>
        <v>0</v>
      </c>
      <c r="F13" s="1558"/>
      <c r="G13" s="1308"/>
      <c r="H13" s="1308"/>
      <c r="I13" s="1538">
        <f>IF(C13="",0,IF(OR(C13&lt;=0,G13&lt;=0),E13,IF(G13&lt;C13,0,'H-Table'!W7)))</f>
        <v>0</v>
      </c>
      <c r="J13" s="1538"/>
      <c r="K13" s="1938" t="str">
        <f>IF(OR(C13="NA",G13="NA"),"",IF(AND(C13&lt;&gt;"",G13=""),"Enter contralateral or NA.",IF(AND(C13="",G13&lt;&gt;""),"Need data","")))</f>
        <v/>
      </c>
      <c r="L13" s="1938"/>
      <c r="M13" s="1938"/>
      <c r="N13" s="1938"/>
      <c r="O13" s="1938"/>
      <c r="P13" s="1631"/>
      <c r="R13" s="63"/>
      <c r="S13" s="17">
        <v>40</v>
      </c>
      <c r="T13" s="17" t="str">
        <f t="shared" si="0"/>
        <v/>
      </c>
      <c r="U13" s="17" t="str">
        <f>IF(OR(G13="",G13="NA"),"",IF(G13&gt;S13,S13,IF(G13&lt;0,0,G13)))</f>
        <v/>
      </c>
      <c r="V13" s="66" t="str">
        <f>IF(W13="","",ROUND(W13,0))</f>
        <v/>
      </c>
      <c r="W13" s="140" t="str">
        <f>IF(T13="","",IF(OR(U13="",U13=0,U13&lt;T13),T13,(T13*S13)/U13))</f>
        <v/>
      </c>
      <c r="Y13" s="1026" t="s">
        <v>2273</v>
      </c>
      <c r="Z13" s="1026" t="s">
        <v>2274</v>
      </c>
      <c r="AA13" s="7"/>
      <c r="AB13" s="7"/>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row>
    <row r="14" spans="2:170" ht="30" customHeight="1" x14ac:dyDescent="0.2">
      <c r="B14" s="185" t="s">
        <v>694</v>
      </c>
      <c r="C14" s="1308"/>
      <c r="D14" s="1308"/>
      <c r="E14" s="1558">
        <f>IF(AND($Y$20=1,$Z$20=1),"ERROR",'H-Table'!R8)</f>
        <v>0</v>
      </c>
      <c r="F14" s="1558"/>
      <c r="G14" s="1556" t="str">
        <f>IF(AND($Z$20=1,$Y$20=1),"Cannot rate ROM and ankylosis.","")</f>
        <v/>
      </c>
      <c r="H14" s="1556"/>
      <c r="I14" s="1556"/>
      <c r="J14" s="1556"/>
      <c r="K14" s="1556"/>
      <c r="L14" s="1556"/>
      <c r="M14" s="1556"/>
      <c r="N14" s="1556"/>
      <c r="O14" s="1556"/>
      <c r="P14" s="1631"/>
      <c r="R14" s="63"/>
      <c r="S14" s="17">
        <v>40</v>
      </c>
      <c r="T14" s="17" t="str">
        <f t="shared" si="0"/>
        <v/>
      </c>
      <c r="U14" s="63"/>
      <c r="V14" s="17"/>
      <c r="W14" s="17"/>
      <c r="Y14" s="17">
        <f>IF(AND(C9&lt;&gt;"",C9&lt;&gt;"NA"),1,0)</f>
        <v>0</v>
      </c>
      <c r="Z14" s="17">
        <f>IF(AND(C10&lt;&gt;"",C10&lt;&gt;"NA"),1,0)</f>
        <v>0</v>
      </c>
      <c r="AA14" s="7"/>
      <c r="AB14" s="7"/>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row>
    <row r="15" spans="2:170" ht="30" customHeight="1" x14ac:dyDescent="0.2">
      <c r="B15" s="185" t="s">
        <v>695</v>
      </c>
      <c r="C15" s="1308"/>
      <c r="D15" s="1308"/>
      <c r="E15" s="1558">
        <f>'H-Table'!R9</f>
        <v>0</v>
      </c>
      <c r="F15" s="1558"/>
      <c r="G15" s="1308"/>
      <c r="H15" s="1308"/>
      <c r="I15" s="1538">
        <f>IF(C15="",0,IF(OR(C15&lt;=0,G15&lt;=0),E15,IF(G15&lt;C15,0,'H-Table'!W9)))</f>
        <v>0</v>
      </c>
      <c r="J15" s="1538"/>
      <c r="K15" s="1938" t="str">
        <f>IF(OR(C15="NA",G15="NA"),"",IF(AND(C15&lt;&gt;"",G15=""),"Enter contralateral or NA.",IF(AND(C15="",G15&lt;&gt;""),"Need data","")))</f>
        <v/>
      </c>
      <c r="L15" s="1938"/>
      <c r="M15" s="1938"/>
      <c r="N15" s="1938"/>
      <c r="O15" s="1938"/>
      <c r="P15" s="1631"/>
      <c r="R15" s="142" t="s">
        <v>696</v>
      </c>
      <c r="S15" s="17">
        <v>20</v>
      </c>
      <c r="T15" s="17" t="str">
        <f t="shared" si="0"/>
        <v/>
      </c>
      <c r="U15" s="17" t="str">
        <f>IF(OR(G15="",G15="NA"),"",IF(G15&gt;S15,S15,IF(G15&lt;0,0,G15)))</f>
        <v/>
      </c>
      <c r="V15" s="66" t="str">
        <f>IF(W15="","",ROUND(W15,0))</f>
        <v/>
      </c>
      <c r="W15" s="140" t="str">
        <f>IF(T15="","",IF(OR(U15="",U15=0,U15&lt;T15),T15,(T15*S15)/U15))</f>
        <v/>
      </c>
      <c r="Y15" s="17">
        <f>IF(AND(C11&lt;&gt;"",C11&lt;&gt;"NA"),1,0)</f>
        <v>0</v>
      </c>
      <c r="Z15" s="17">
        <f>IF(AND(C12&lt;&gt;"",C12&lt;&gt;"NA"),1,0)</f>
        <v>0</v>
      </c>
      <c r="AA15" s="7"/>
      <c r="AB15" s="7"/>
      <c r="AC15" s="63"/>
      <c r="AD15" s="63"/>
      <c r="AE15" s="63"/>
      <c r="AF15" s="63"/>
      <c r="AG15" s="63"/>
      <c r="AH15" s="127"/>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row>
    <row r="16" spans="2:170" ht="30" customHeight="1" x14ac:dyDescent="0.2">
      <c r="B16" s="185" t="s">
        <v>697</v>
      </c>
      <c r="C16" s="1308"/>
      <c r="D16" s="1308"/>
      <c r="E16" s="1558">
        <f>IF(AND($Y$20=1,$Z$20=1),"ERROR",'H-Table'!R10)</f>
        <v>0</v>
      </c>
      <c r="F16" s="1558"/>
      <c r="G16" s="1556" t="str">
        <f>IF(AND($Z$20=1,$Y$20=1),"Cannot rate ROM and ankylosis.","")</f>
        <v/>
      </c>
      <c r="H16" s="1556"/>
      <c r="I16" s="1556"/>
      <c r="J16" s="1556"/>
      <c r="K16" s="1556"/>
      <c r="L16" s="1556"/>
      <c r="M16" s="1556"/>
      <c r="N16" s="1556"/>
      <c r="O16" s="1556"/>
      <c r="P16" s="1631"/>
      <c r="R16" s="102" t="s">
        <v>698</v>
      </c>
      <c r="S16" s="17">
        <v>20</v>
      </c>
      <c r="T16" s="17" t="str">
        <f t="shared" si="0"/>
        <v/>
      </c>
      <c r="U16" s="63"/>
      <c r="V16" s="17"/>
      <c r="W16" s="17"/>
      <c r="Y16" s="17">
        <f>IF(AND(C13&lt;&gt;"",C13&lt;&gt;"NA"),1,0)</f>
        <v>0</v>
      </c>
      <c r="Z16" s="17">
        <f>IF(AND(C14&lt;&gt;"",C14&lt;&gt;"NA"),1,0)</f>
        <v>0</v>
      </c>
      <c r="AA16" s="7"/>
      <c r="AB16" s="63"/>
      <c r="AC16" s="63"/>
      <c r="AD16" s="63"/>
      <c r="AE16" s="63"/>
      <c r="AF16" s="63"/>
      <c r="AG16" s="63"/>
      <c r="AH16" s="127"/>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row>
    <row r="17" spans="1:170" ht="30" customHeight="1" x14ac:dyDescent="0.2">
      <c r="B17" s="185" t="s">
        <v>699</v>
      </c>
      <c r="C17" s="1308"/>
      <c r="D17" s="1308"/>
      <c r="E17" s="1558">
        <f>'H-Table'!R11</f>
        <v>0</v>
      </c>
      <c r="F17" s="1558"/>
      <c r="G17" s="1308"/>
      <c r="H17" s="1308"/>
      <c r="I17" s="1538">
        <f>IF(C17="",0,IF(OR(C17&lt;=0,G17&lt;=0),E17,IF(G17&lt;C17,0,'H-Table'!W11)))</f>
        <v>0</v>
      </c>
      <c r="J17" s="1538"/>
      <c r="K17" s="1938" t="str">
        <f>IF(OR(C17="NA",G17="NA"),"",IF(AND(C17&lt;&gt;"",G17=""),"Enter contralateral or NA.",IF(AND(C17="",G17&lt;&gt;""),"Need data","")))</f>
        <v/>
      </c>
      <c r="L17" s="1938"/>
      <c r="M17" s="1938"/>
      <c r="N17" s="1938"/>
      <c r="O17" s="1938"/>
      <c r="P17" s="1631"/>
      <c r="R17" s="135">
        <f>IF(R21="ERROR",1,0)</f>
        <v>0</v>
      </c>
      <c r="S17" s="17">
        <v>40</v>
      </c>
      <c r="T17" s="17" t="str">
        <f t="shared" si="0"/>
        <v/>
      </c>
      <c r="U17" s="17" t="str">
        <f>IF(OR(G17="",G17="NA"),"",IF(G17&gt;S17,S17,IF(G17&lt;0,0,G17)))</f>
        <v/>
      </c>
      <c r="V17" s="66" t="str">
        <f>IF(W17="","",ROUND(W17,0))</f>
        <v/>
      </c>
      <c r="W17" s="140" t="str">
        <f>IF(T17="","",IF(OR(U17="",U17=0,U17&lt;T17),T17,(T17*S17)/U17))</f>
        <v/>
      </c>
      <c r="Y17" s="1182">
        <f>IF(AND(C15&lt;&gt;"",C15&lt;&gt;"NA"),1,0)</f>
        <v>0</v>
      </c>
      <c r="Z17" s="17">
        <f>IF(AND(C16&lt;&gt;"",C16&lt;&gt;"NA"),1,0)</f>
        <v>0</v>
      </c>
      <c r="AA17" s="7"/>
      <c r="AB17" s="63"/>
      <c r="AC17" s="63"/>
      <c r="AD17" s="63"/>
      <c r="AE17" s="63"/>
      <c r="AF17" s="63"/>
      <c r="AG17" s="63"/>
      <c r="AH17" s="127"/>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row>
    <row r="18" spans="1:170" ht="30" customHeight="1" x14ac:dyDescent="0.2">
      <c r="B18" s="156" t="s">
        <v>591</v>
      </c>
      <c r="C18" s="1308"/>
      <c r="D18" s="1308"/>
      <c r="E18" s="1558">
        <f>IF(AND($Y$20=1,$Z$20=1),"ERROR",'H-Table'!R12)</f>
        <v>0</v>
      </c>
      <c r="F18" s="1558"/>
      <c r="G18" s="1556" t="str">
        <f>IF(AND($Z$20=1,$Y$20=1),"Cannot rate ROM and ankylosis.","")</f>
        <v/>
      </c>
      <c r="H18" s="1556"/>
      <c r="I18" s="1556"/>
      <c r="J18" s="1556"/>
      <c r="K18" s="1556"/>
      <c r="L18" s="1556"/>
      <c r="M18" s="1556"/>
      <c r="N18" s="1556"/>
      <c r="O18" s="1556"/>
      <c r="P18" s="1631"/>
      <c r="R18" s="7"/>
      <c r="S18" s="17">
        <v>40</v>
      </c>
      <c r="T18" s="17" t="str">
        <f t="shared" si="0"/>
        <v/>
      </c>
      <c r="U18" s="17"/>
      <c r="V18" s="17"/>
      <c r="W18" s="17"/>
      <c r="X18" s="7"/>
      <c r="Y18" s="17">
        <f>IF(AND(C17&lt;&gt;"",C17&lt;&gt;"NA"),1,0)</f>
        <v>0</v>
      </c>
      <c r="Z18" s="17">
        <f>IF(AND(C18&lt;&gt;"",C18&lt;&gt;"NA"),1,0)</f>
        <v>0</v>
      </c>
      <c r="AA18" s="7"/>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row>
    <row r="19" spans="1:170" ht="30" customHeight="1" x14ac:dyDescent="0.2">
      <c r="B19" s="335" t="s">
        <v>592</v>
      </c>
      <c r="C19" s="1308"/>
      <c r="D19" s="1308"/>
      <c r="E19" s="1558">
        <f>'H-Table'!R13</f>
        <v>0</v>
      </c>
      <c r="F19" s="1558"/>
      <c r="G19" s="1308"/>
      <c r="H19" s="1308"/>
      <c r="I19" s="1538">
        <f>IF(C19="",0,IF(OR(C19&lt;=0,G19&lt;=0),E19,IF(G19&lt;C19,0,'H-Table'!W13)))</f>
        <v>0</v>
      </c>
      <c r="J19" s="1538"/>
      <c r="K19" s="1938" t="str">
        <f>IF(OR(C19="NA",G19="NA"),"",IF(AND(C19&lt;&gt;"",G19=""),"Enter contralateral or NA.",IF(AND(C19="",G19&lt;&gt;""),"Need data","")))</f>
        <v/>
      </c>
      <c r="L19" s="1938"/>
      <c r="M19" s="1938"/>
      <c r="N19" s="1938"/>
      <c r="O19" s="1938"/>
      <c r="P19" s="1631"/>
      <c r="R19" s="63"/>
      <c r="S19" s="17">
        <v>50</v>
      </c>
      <c r="T19" s="17" t="str">
        <f t="shared" si="0"/>
        <v/>
      </c>
      <c r="U19" s="17" t="str">
        <f>IF(OR(G19="",G19="NA"),"",IF(G19&gt;S19,S19,IF(G19&lt;0,0,G19)))</f>
        <v/>
      </c>
      <c r="V19" s="66" t="str">
        <f>IF(W19="","",ROUND(W19,0))</f>
        <v/>
      </c>
      <c r="W19" s="140" t="str">
        <f>IF(T19="","",IF(OR(U19="",U19=0,U19&lt;T19),T19,(T19*S19)/U19))</f>
        <v/>
      </c>
      <c r="X19" s="7"/>
      <c r="Y19" s="17">
        <f>IF(AND(C19&lt;&gt;"",C19&lt;&gt;"NA"),1,0)</f>
        <v>0</v>
      </c>
      <c r="Z19" s="17">
        <f>IF(AND(C20&lt;&gt;"",C20&lt;&gt;"NA"),1,0)</f>
        <v>0</v>
      </c>
      <c r="AA19" s="7"/>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row>
    <row r="20" spans="1:170" ht="30" customHeight="1" x14ac:dyDescent="0.2">
      <c r="B20" s="335" t="s">
        <v>593</v>
      </c>
      <c r="C20" s="1308"/>
      <c r="D20" s="1308"/>
      <c r="E20" s="1558">
        <f>IF(AND($Y$20=1,$Z$20=1),"ERROR",'H-Table'!R14)</f>
        <v>0</v>
      </c>
      <c r="F20" s="1558"/>
      <c r="G20" s="1556" t="str">
        <f>IF(AND($Z$20=1,$Y$20=1),"Cannot rate ROM and ankylosis.","")</f>
        <v/>
      </c>
      <c r="H20" s="1556"/>
      <c r="I20" s="1556"/>
      <c r="J20" s="1556"/>
      <c r="K20" s="1556"/>
      <c r="L20" s="1556"/>
      <c r="M20" s="1556"/>
      <c r="N20" s="1556"/>
      <c r="O20" s="1556"/>
      <c r="P20" s="1631"/>
      <c r="R20" s="63"/>
      <c r="S20" s="106">
        <v>50</v>
      </c>
      <c r="T20" s="17" t="str">
        <f t="shared" si="0"/>
        <v/>
      </c>
      <c r="U20" s="63"/>
      <c r="V20" s="6"/>
      <c r="W20" s="7"/>
      <c r="X20" s="7"/>
      <c r="Y20" s="894">
        <f>IF(OR(Y14=1,Y15=1,Y16=1,Y17=1,Y18=1,Y19=1),1,0)</f>
        <v>0</v>
      </c>
      <c r="Z20" s="894">
        <f>IF(OR(Z14=1,Z15=1,Z16=1,Z17=1,Z18=1,Z19=1),1,0)</f>
        <v>0</v>
      </c>
      <c r="AA20" s="7"/>
      <c r="AB20" s="6"/>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row>
    <row r="21" spans="1:170" ht="26.25" customHeight="1" x14ac:dyDescent="0.2">
      <c r="B21" s="1740" t="s">
        <v>158</v>
      </c>
      <c r="C21" s="1741"/>
      <c r="D21" s="1741"/>
      <c r="E21" s="1741"/>
      <c r="F21" s="1741"/>
      <c r="G21" s="1741"/>
      <c r="H21" s="1741"/>
      <c r="I21" s="1741"/>
      <c r="J21" s="1741"/>
      <c r="K21" s="1741"/>
      <c r="L21" s="1741"/>
      <c r="M21" s="1741"/>
      <c r="N21" s="1741"/>
      <c r="O21" s="1742"/>
      <c r="P21" s="1623"/>
      <c r="R21" s="143">
        <f>IF(AND(X9&gt;0,X9&lt;0.01),0.01,X9)</f>
        <v>0</v>
      </c>
      <c r="S21" s="61">
        <f>IF(R21&lt;&gt;"ERROR",ROUND(R21,2),0)</f>
        <v>0</v>
      </c>
      <c r="T21" s="63"/>
      <c r="U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row>
    <row r="22" spans="1:170" ht="15" x14ac:dyDescent="0.25">
      <c r="B22" s="1876"/>
      <c r="C22" s="1876"/>
      <c r="D22" s="1876"/>
      <c r="E22" s="1876"/>
      <c r="F22" s="1876"/>
      <c r="G22" s="1876"/>
      <c r="H22" s="1876"/>
      <c r="I22" s="1876"/>
      <c r="J22" s="1876"/>
      <c r="K22" s="1876"/>
      <c r="L22" s="1876"/>
      <c r="M22" s="1876"/>
      <c r="N22" s="1876"/>
      <c r="O22" s="1876"/>
      <c r="P22" s="469"/>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row>
    <row r="23" spans="1:170" s="8" customFormat="1" ht="25.5" customHeight="1" x14ac:dyDescent="0.2">
      <c r="B23" s="1555" t="s">
        <v>159</v>
      </c>
      <c r="C23" s="1555"/>
      <c r="D23" s="1555"/>
      <c r="E23" s="1555"/>
      <c r="F23" s="1555"/>
      <c r="G23" s="1555"/>
      <c r="H23" s="1555"/>
      <c r="I23" s="1555"/>
      <c r="J23" s="1555"/>
      <c r="K23" s="1555"/>
      <c r="L23" s="1555"/>
      <c r="M23" s="1555"/>
      <c r="N23" s="1555"/>
      <c r="O23" s="1555"/>
      <c r="P23" s="42"/>
      <c r="R23" s="1203" t="s">
        <v>2305</v>
      </c>
      <c r="S23" s="132"/>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row>
    <row r="24" spans="1:170" s="8" customFormat="1" ht="20.25" customHeight="1" x14ac:dyDescent="0.2">
      <c r="A24" s="20">
        <v>1E-4</v>
      </c>
      <c r="B24" s="1890" t="s">
        <v>594</v>
      </c>
      <c r="C24" s="1890"/>
      <c r="D24" s="1890"/>
      <c r="E24" s="2278"/>
      <c r="F24" s="2278"/>
      <c r="G24" s="2278"/>
      <c r="H24" s="2278"/>
      <c r="I24" s="2278"/>
      <c r="J24" s="2278"/>
      <c r="K24" s="2322"/>
      <c r="L24" s="2322"/>
      <c r="M24" s="2322"/>
      <c r="N24" s="2322"/>
      <c r="O24" s="2322"/>
      <c r="P24" s="341">
        <f>IF(R24=1,0.13,0)</f>
        <v>0</v>
      </c>
      <c r="R24" s="1198">
        <v>2</v>
      </c>
      <c r="S24" s="63">
        <v>1E-4</v>
      </c>
      <c r="T24" s="132"/>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row>
    <row r="25" spans="1:170" s="8" customFormat="1" ht="19.5" customHeight="1" x14ac:dyDescent="0.2">
      <c r="B25" s="1890" t="s">
        <v>595</v>
      </c>
      <c r="C25" s="1890"/>
      <c r="D25" s="1890"/>
      <c r="E25" s="2278"/>
      <c r="F25" s="2278"/>
      <c r="G25" s="2278"/>
      <c r="H25" s="2278"/>
      <c r="I25" s="2278"/>
      <c r="J25" s="2278"/>
      <c r="K25" s="2322"/>
      <c r="L25" s="2322"/>
      <c r="M25" s="2322"/>
      <c r="N25" s="2322"/>
      <c r="O25" s="2322"/>
      <c r="P25" s="341">
        <f>IF(R25=1,0.05,0)</f>
        <v>0</v>
      </c>
      <c r="R25" s="1197">
        <v>2</v>
      </c>
      <c r="S25" s="132"/>
      <c r="T25" s="132"/>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row>
    <row r="26" spans="1:170" ht="13.5" customHeight="1" x14ac:dyDescent="0.2">
      <c r="B26" s="1854"/>
      <c r="C26" s="1854"/>
      <c r="D26" s="1854"/>
      <c r="E26" s="1854"/>
      <c r="F26" s="1854"/>
      <c r="G26" s="1854"/>
      <c r="H26" s="1854"/>
      <c r="I26" s="1854"/>
      <c r="J26" s="1854"/>
      <c r="K26" s="1854"/>
      <c r="L26" s="1854"/>
      <c r="M26" s="1854"/>
      <c r="N26" s="1854"/>
      <c r="O26" s="1854"/>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row>
    <row r="27" spans="1:170" ht="20.25" customHeight="1" x14ac:dyDescent="0.2">
      <c r="B27" s="1687" t="s">
        <v>596</v>
      </c>
      <c r="C27" s="1534"/>
      <c r="D27" s="1534"/>
      <c r="E27" s="1534"/>
      <c r="F27" s="1534"/>
      <c r="G27" s="1534"/>
      <c r="H27" s="1534"/>
      <c r="I27" s="1534"/>
      <c r="J27" s="1534"/>
      <c r="K27" s="1534"/>
      <c r="L27" s="1534"/>
      <c r="M27" s="1534"/>
      <c r="N27" s="1534"/>
      <c r="O27" s="1534"/>
      <c r="P27" s="185"/>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c r="EB27" s="63"/>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row>
    <row r="28" spans="1:170" ht="42.75" customHeight="1" x14ac:dyDescent="0.2">
      <c r="B28" s="1379" t="s">
        <v>616</v>
      </c>
      <c r="C28" s="1379"/>
      <c r="D28" s="1379"/>
      <c r="E28" s="1379"/>
      <c r="F28" s="1379"/>
      <c r="G28" s="1379"/>
      <c r="H28" s="1379"/>
      <c r="I28" s="1379"/>
      <c r="J28" s="1379"/>
      <c r="K28" s="1379"/>
      <c r="L28" s="1379"/>
      <c r="M28" s="1379"/>
      <c r="N28" s="1379"/>
      <c r="O28" s="1379"/>
      <c r="P28" s="1612">
        <f>IF(R29=1,0.05,0)</f>
        <v>0</v>
      </c>
      <c r="R28" s="1203" t="s">
        <v>2305</v>
      </c>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c r="DW28" s="63"/>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c r="FL28" s="63"/>
      <c r="FM28" s="63"/>
      <c r="FN28" s="63"/>
    </row>
    <row r="29" spans="1:170" ht="20.25" customHeight="1" x14ac:dyDescent="0.2">
      <c r="A29" s="189"/>
      <c r="B29" s="1410" t="s">
        <v>948</v>
      </c>
      <c r="C29" s="1410"/>
      <c r="D29" s="1410"/>
      <c r="E29" s="1410"/>
      <c r="F29" s="1410"/>
      <c r="G29" s="1410"/>
      <c r="H29" s="1410"/>
      <c r="I29" s="1410"/>
      <c r="J29" s="1410"/>
      <c r="K29" s="2276"/>
      <c r="L29" s="2276"/>
      <c r="M29" s="2276"/>
      <c r="N29" s="2276"/>
      <c r="O29" s="2276"/>
      <c r="P29" s="1733"/>
      <c r="R29" s="1005">
        <v>2</v>
      </c>
      <c r="S29" s="63">
        <v>1E-4</v>
      </c>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row>
    <row r="30" spans="1:170" ht="15" x14ac:dyDescent="0.25">
      <c r="B30" s="1877"/>
      <c r="C30" s="1877"/>
      <c r="D30" s="1877"/>
      <c r="E30" s="1877"/>
      <c r="F30" s="1877"/>
      <c r="G30" s="1877"/>
      <c r="H30" s="1877"/>
      <c r="I30" s="1877"/>
      <c r="J30" s="1877"/>
      <c r="K30" s="1877"/>
      <c r="L30" s="1877"/>
      <c r="M30" s="1877"/>
      <c r="N30" s="1877"/>
      <c r="O30" s="1877"/>
      <c r="P30" s="86"/>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row>
    <row r="31" spans="1:170" ht="13.5" customHeight="1" x14ac:dyDescent="0.2">
      <c r="B31" s="1854"/>
      <c r="C31" s="1854"/>
      <c r="D31" s="1854"/>
      <c r="E31" s="1854"/>
      <c r="F31" s="1854"/>
      <c r="G31" s="1854"/>
      <c r="H31" s="1854"/>
      <c r="I31" s="1854"/>
      <c r="J31" s="1854"/>
      <c r="K31" s="1854"/>
      <c r="L31" s="1854"/>
      <c r="M31" s="1854"/>
      <c r="N31" s="1854"/>
      <c r="O31" s="1854"/>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row>
    <row r="32" spans="1:170" ht="27" customHeight="1" x14ac:dyDescent="0.2">
      <c r="B32" s="1632" t="s">
        <v>1349</v>
      </c>
      <c r="C32" s="1633"/>
      <c r="D32" s="1633"/>
      <c r="E32" s="1634"/>
      <c r="F32" s="1626" t="s">
        <v>1525</v>
      </c>
      <c r="G32" s="1764"/>
      <c r="H32" s="1764"/>
      <c r="I32" s="1764"/>
      <c r="J32" s="2319" t="str">
        <f>IF(AND(X33=0,X35=1),Y36,"")</f>
        <v/>
      </c>
      <c r="K32" s="2320"/>
      <c r="L32" s="2320"/>
      <c r="M32" s="2320"/>
      <c r="N32" s="2320"/>
      <c r="O32" s="2321"/>
      <c r="P32" s="2315">
        <f>W35</f>
        <v>0</v>
      </c>
      <c r="S32" s="35" t="s">
        <v>511</v>
      </c>
      <c r="T32" s="1182" t="s">
        <v>1865</v>
      </c>
      <c r="U32" s="1182" t="s">
        <v>1305</v>
      </c>
      <c r="V32" s="1182" t="s">
        <v>1306</v>
      </c>
      <c r="W32" s="1182" t="s">
        <v>1307</v>
      </c>
      <c r="X32" s="1186">
        <f>IF(OR(X33=0,X34=0),0,1)</f>
        <v>1</v>
      </c>
      <c r="Y32" s="3" t="s">
        <v>1328</v>
      </c>
      <c r="Z32" s="7"/>
      <c r="AA32" s="7"/>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c r="EB32" s="63"/>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row>
    <row r="33" spans="2:241" ht="21" customHeight="1" x14ac:dyDescent="0.2">
      <c r="B33" s="1410" t="s">
        <v>1959</v>
      </c>
      <c r="C33" s="1410"/>
      <c r="D33" s="1373">
        <f>P8</f>
        <v>0</v>
      </c>
      <c r="E33" s="1373"/>
      <c r="F33" s="1483"/>
      <c r="G33" s="1485"/>
      <c r="H33" s="2286">
        <f>IF(AND(S33&lt;0.01,S33&gt;0),0.01,ROUND(S33,2))</f>
        <v>0</v>
      </c>
      <c r="I33" s="2287"/>
      <c r="J33" s="2290"/>
      <c r="K33" s="2291"/>
      <c r="L33" s="2291"/>
      <c r="M33" s="2291"/>
      <c r="N33" s="2291"/>
      <c r="O33" s="2292"/>
      <c r="P33" s="2316"/>
      <c r="S33" s="1008">
        <f>IF(X33=0,0,IF(F33&gt;0,D33*F33,0))</f>
        <v>0</v>
      </c>
      <c r="T33" s="452">
        <f>IF(H33&gt;0,H33,D33)</f>
        <v>0</v>
      </c>
      <c r="U33" s="1001">
        <f>LARGE($T$33:$T$36,1)</f>
        <v>0</v>
      </c>
      <c r="V33" s="16">
        <f>U33+U34*(1-U33)</f>
        <v>0</v>
      </c>
      <c r="W33" s="61">
        <f>ROUND(V33,2)</f>
        <v>0</v>
      </c>
      <c r="X33" s="1182">
        <f>IF(X11&gt;0,0,1)</f>
        <v>1</v>
      </c>
      <c r="Y33" s="3" t="s">
        <v>1327</v>
      </c>
      <c r="Z33" s="7"/>
      <c r="AA33" s="7"/>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c r="DW33" s="63"/>
      <c r="DX33" s="63"/>
      <c r="DY33" s="63"/>
      <c r="DZ33" s="63"/>
      <c r="EA33" s="63"/>
      <c r="EB33" s="63"/>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row>
    <row r="34" spans="2:241" ht="21" customHeight="1" x14ac:dyDescent="0.2">
      <c r="B34" s="1379" t="s">
        <v>1960</v>
      </c>
      <c r="C34" s="1379"/>
      <c r="D34" s="1373">
        <f>P24</f>
        <v>0</v>
      </c>
      <c r="E34" s="1373"/>
      <c r="F34" s="1657" t="s">
        <v>1942</v>
      </c>
      <c r="G34" s="1657"/>
      <c r="H34" s="2312"/>
      <c r="I34" s="2313"/>
      <c r="J34" s="2273"/>
      <c r="K34" s="2274"/>
      <c r="L34" s="2274"/>
      <c r="M34" s="2274"/>
      <c r="N34" s="2274"/>
      <c r="O34" s="2275"/>
      <c r="P34" s="2316"/>
      <c r="S34" s="1186"/>
      <c r="T34" s="479">
        <f>D34</f>
        <v>0</v>
      </c>
      <c r="U34" s="1001">
        <f>LARGE($T$33:$T$36,2)</f>
        <v>0</v>
      </c>
      <c r="V34" s="16">
        <f>W33+U35*(1-W33)</f>
        <v>0</v>
      </c>
      <c r="W34" s="61">
        <f>ROUND(V34,2)</f>
        <v>0</v>
      </c>
      <c r="X34" s="1182">
        <f>IF(SUM(D34:D35)&gt;0,0,1)</f>
        <v>1</v>
      </c>
      <c r="Y34" s="3" t="s">
        <v>1329</v>
      </c>
      <c r="Z34" s="7"/>
      <c r="AA34" s="7"/>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row>
    <row r="35" spans="2:241" ht="21" customHeight="1" x14ac:dyDescent="0.2">
      <c r="B35" s="1410" t="s">
        <v>1961</v>
      </c>
      <c r="C35" s="1410"/>
      <c r="D35" s="1373">
        <f>P25</f>
        <v>0</v>
      </c>
      <c r="E35" s="1373"/>
      <c r="F35" s="1657" t="s">
        <v>1942</v>
      </c>
      <c r="G35" s="1657"/>
      <c r="H35" s="2312"/>
      <c r="I35" s="2313"/>
      <c r="J35" s="2273"/>
      <c r="K35" s="2274"/>
      <c r="L35" s="2274"/>
      <c r="M35" s="2274"/>
      <c r="N35" s="2274"/>
      <c r="O35" s="2275"/>
      <c r="P35" s="2316"/>
      <c r="S35" s="1186"/>
      <c r="T35" s="479">
        <f>D35</f>
        <v>0</v>
      </c>
      <c r="U35" s="1001">
        <f>LARGE($T$33:$T$36,3)</f>
        <v>0</v>
      </c>
      <c r="V35" s="16">
        <f>W34+U36*(1-W34)</f>
        <v>0</v>
      </c>
      <c r="W35" s="61">
        <f>ROUND(V35,2)</f>
        <v>0</v>
      </c>
      <c r="X35" s="1182">
        <f>IF(OR(F37&gt;0,F33&gt;0),1,0)</f>
        <v>0</v>
      </c>
      <c r="Y35" s="8" t="s">
        <v>1257</v>
      </c>
      <c r="Z35" s="7"/>
      <c r="AA35" s="7"/>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row>
    <row r="36" spans="2:241" ht="21" customHeight="1" x14ac:dyDescent="0.2">
      <c r="B36" s="1408" t="s">
        <v>596</v>
      </c>
      <c r="C36" s="1408"/>
      <c r="D36" s="1630">
        <f>P28</f>
        <v>0</v>
      </c>
      <c r="E36" s="1630"/>
      <c r="F36" s="2303"/>
      <c r="G36" s="2304"/>
      <c r="H36" s="2286">
        <f>IF(AND(S36&lt;0.01,S36&gt;0),0.01,ROUND(S36,2))</f>
        <v>0</v>
      </c>
      <c r="I36" s="2287"/>
      <c r="J36" s="1009"/>
      <c r="K36" s="1010"/>
      <c r="L36" s="1010"/>
      <c r="M36" s="1010"/>
      <c r="N36" s="1010"/>
      <c r="O36" s="1011"/>
      <c r="P36" s="2316"/>
      <c r="S36" s="257">
        <f>IF(F36&gt;0,D36*F36,0)</f>
        <v>0</v>
      </c>
      <c r="T36" s="452">
        <f>IF(H36&gt;0,H36,D36)</f>
        <v>0</v>
      </c>
      <c r="U36" s="1001">
        <f>LARGE($T$33:$T$36,4)</f>
        <v>0</v>
      </c>
      <c r="V36" s="131"/>
      <c r="W36" s="130"/>
      <c r="X36" s="7"/>
      <c r="Y36" s="18" t="s">
        <v>2249</v>
      </c>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row>
    <row r="37" spans="2:241" ht="21" customHeight="1" x14ac:dyDescent="0.2">
      <c r="B37" s="1012"/>
      <c r="C37" s="1013"/>
      <c r="D37" s="1013"/>
      <c r="E37" s="1013"/>
      <c r="F37" s="1013"/>
      <c r="G37" s="1013"/>
      <c r="H37" s="1013"/>
      <c r="I37" s="1013"/>
      <c r="J37" s="2317" t="s">
        <v>2252</v>
      </c>
      <c r="K37" s="2317"/>
      <c r="L37" s="2317"/>
      <c r="M37" s="2317"/>
      <c r="N37" s="2317"/>
      <c r="O37" s="2318"/>
      <c r="P37" s="2305"/>
      <c r="S37" s="63"/>
      <c r="T37" s="191"/>
      <c r="U37" s="41"/>
      <c r="V37" s="131"/>
      <c r="W37" s="130"/>
      <c r="X37" s="7"/>
      <c r="Y37" s="18"/>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c r="FC37" s="63"/>
      <c r="FD37" s="63"/>
      <c r="FE37" s="63"/>
      <c r="FF37" s="63"/>
      <c r="FG37" s="63"/>
      <c r="FH37" s="63"/>
      <c r="FI37" s="63"/>
      <c r="FJ37" s="63"/>
      <c r="FK37" s="63"/>
      <c r="FL37" s="63"/>
      <c r="FM37" s="63"/>
      <c r="FN37" s="63"/>
    </row>
    <row r="38" spans="2:241" ht="36.75" customHeight="1" x14ac:dyDescent="0.25">
      <c r="B38" s="1382" t="s">
        <v>947</v>
      </c>
      <c r="C38" s="1382"/>
      <c r="D38" s="1382"/>
      <c r="E38" s="1382"/>
      <c r="F38" s="1382"/>
      <c r="G38" s="1382"/>
      <c r="H38" s="1382"/>
      <c r="I38" s="1382"/>
      <c r="J38" s="1382"/>
      <c r="K38" s="1382"/>
      <c r="L38" s="1382"/>
      <c r="M38" s="1382"/>
      <c r="N38" s="1382"/>
      <c r="O38" s="1382"/>
      <c r="P38" s="1682"/>
      <c r="R38" s="63"/>
      <c r="S38" s="63"/>
      <c r="T38" s="63"/>
      <c r="U38" s="63"/>
      <c r="V38" s="63"/>
      <c r="W38" s="63"/>
      <c r="X38" s="7"/>
      <c r="Y38" s="18"/>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row>
    <row r="39" spans="2:241" ht="15.75" customHeight="1" x14ac:dyDescent="0.25">
      <c r="B39" s="302" t="s">
        <v>790</v>
      </c>
      <c r="C39" s="2028" t="str">
        <f>IF(V1&lt;&gt;"",V1,"")</f>
        <v>Go to PPD Worksheet</v>
      </c>
      <c r="D39" s="2028"/>
      <c r="E39" s="2028"/>
      <c r="F39" s="2028"/>
      <c r="G39" s="2028"/>
      <c r="H39" s="2028"/>
      <c r="I39" s="2267" t="str">
        <f>IF(U1&lt;&gt;"",U1,"")</f>
        <v/>
      </c>
      <c r="J39" s="2267"/>
      <c r="K39" s="2267"/>
      <c r="L39" s="2267"/>
      <c r="M39" s="2267"/>
      <c r="N39" s="2267"/>
      <c r="O39" s="8"/>
      <c r="P39" s="204"/>
      <c r="Q39" s="8"/>
      <c r="R39" s="132"/>
      <c r="S39" s="136"/>
      <c r="T39" s="134"/>
      <c r="U39" s="120"/>
      <c r="V39" s="120"/>
      <c r="W39" s="120"/>
      <c r="X39" s="120"/>
      <c r="Y39" s="120"/>
      <c r="Z39" s="120"/>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63"/>
      <c r="CB39" s="63"/>
      <c r="CC39" s="63"/>
      <c r="CD39" s="63"/>
      <c r="CE39" s="63"/>
      <c r="CF39" s="63"/>
      <c r="CG39" s="63"/>
      <c r="CH39" s="63"/>
      <c r="CI39" s="63"/>
      <c r="CJ39" s="63"/>
      <c r="CK39" s="63"/>
      <c r="CL39" s="63"/>
      <c r="CM39" s="63"/>
      <c r="CN39" s="63"/>
      <c r="CO39" s="63"/>
      <c r="CP39" s="63"/>
      <c r="CQ39" s="63"/>
      <c r="CR39" s="63"/>
      <c r="CS39" s="63"/>
      <c r="CT39" s="63"/>
      <c r="CU39" s="63"/>
      <c r="CV39" s="63"/>
      <c r="CW39" s="63"/>
      <c r="CX39" s="63"/>
      <c r="CY39" s="63"/>
      <c r="CZ39" s="63"/>
      <c r="DA39" s="63"/>
      <c r="DB39" s="63"/>
      <c r="DC39" s="63"/>
      <c r="DD39" s="63"/>
      <c r="DE39" s="63"/>
      <c r="DF39" s="63"/>
      <c r="DG39" s="63"/>
      <c r="DH39" s="63"/>
      <c r="DI39" s="63"/>
      <c r="DJ39" s="63"/>
      <c r="DK39" s="63"/>
      <c r="DL39" s="63"/>
      <c r="DM39" s="63"/>
      <c r="DN39" s="63"/>
      <c r="DO39" s="63"/>
      <c r="DP39" s="63"/>
      <c r="DQ39" s="63"/>
      <c r="DR39" s="63"/>
      <c r="DS39" s="63"/>
      <c r="DT39" s="63"/>
      <c r="DU39" s="63"/>
      <c r="DV39" s="63"/>
      <c r="DW39" s="63"/>
      <c r="DX39" s="63"/>
      <c r="DY39" s="63"/>
      <c r="DZ39" s="63"/>
      <c r="EA39" s="63"/>
      <c r="EB39" s="63"/>
      <c r="EC39" s="63"/>
      <c r="ED39" s="63"/>
      <c r="EE39" s="63"/>
      <c r="EF39" s="63"/>
      <c r="EG39" s="63"/>
      <c r="EH39" s="63"/>
      <c r="EI39" s="63"/>
      <c r="EJ39" s="63"/>
      <c r="EK39" s="63"/>
      <c r="EL39" s="63"/>
      <c r="EM39" s="63"/>
      <c r="EN39" s="63"/>
      <c r="EO39" s="63"/>
      <c r="EP39" s="63"/>
      <c r="EQ39" s="63"/>
      <c r="ER39" s="63"/>
      <c r="ES39" s="63"/>
      <c r="ET39" s="63"/>
      <c r="EU39" s="63"/>
      <c r="EV39" s="63"/>
      <c r="EW39" s="63"/>
      <c r="EX39" s="63"/>
      <c r="EY39" s="63"/>
      <c r="EZ39" s="63"/>
      <c r="FA39" s="63"/>
      <c r="FB39" s="63"/>
      <c r="FC39" s="63"/>
      <c r="FD39" s="63"/>
      <c r="FE39" s="63"/>
      <c r="FF39" s="63"/>
      <c r="FG39" s="63"/>
      <c r="FH39" s="63"/>
      <c r="FI39" s="63"/>
      <c r="FJ39" s="63"/>
      <c r="FK39" s="63"/>
      <c r="FL39" s="63"/>
      <c r="FM39" s="63"/>
      <c r="FN39" s="63"/>
    </row>
    <row r="40" spans="2:241" ht="15.75" customHeight="1" x14ac:dyDescent="0.25">
      <c r="B40" s="207"/>
      <c r="C40" s="207"/>
      <c r="D40" s="207"/>
      <c r="E40" s="12"/>
      <c r="F40" s="1"/>
      <c r="G40" s="1"/>
      <c r="H40" s="208"/>
      <c r="I40" s="208"/>
      <c r="J40" s="208"/>
      <c r="K40" s="208"/>
      <c r="L40" s="208"/>
      <c r="M40" s="208"/>
      <c r="N40" s="208"/>
      <c r="O40" s="208"/>
      <c r="P40" s="94"/>
      <c r="R40" s="40"/>
      <c r="S40" s="89"/>
      <c r="T40" s="130"/>
      <c r="U40" s="7"/>
      <c r="V40" s="63"/>
      <c r="W40" s="63"/>
      <c r="X40" s="63"/>
      <c r="Y40" s="63"/>
      <c r="Z40" s="63"/>
      <c r="AA40" s="63"/>
      <c r="AB40" s="63"/>
      <c r="AC40" s="63"/>
      <c r="AD40" s="63"/>
      <c r="AE40" s="63"/>
      <c r="AF40" s="63"/>
      <c r="AG40" s="63"/>
      <c r="AH40" s="63"/>
      <c r="AI40" s="63"/>
      <c r="AJ40" s="63"/>
      <c r="AK40" s="63"/>
      <c r="AL40" s="63"/>
      <c r="AM40" s="63"/>
      <c r="AN40" s="63"/>
      <c r="AO40" s="63"/>
      <c r="AP40" s="63"/>
      <c r="AQ40" s="63"/>
      <c r="AR40" s="63"/>
      <c r="AS40" s="63"/>
      <c r="AT40" s="63"/>
      <c r="AU40" s="63"/>
      <c r="AV40" s="63"/>
      <c r="AW40" s="63"/>
      <c r="AX40" s="63"/>
      <c r="AY40" s="63"/>
      <c r="AZ40" s="63"/>
      <c r="BA40" s="63"/>
      <c r="BB40" s="63"/>
      <c r="BC40" s="63"/>
      <c r="BD40" s="63"/>
      <c r="BE40" s="63"/>
      <c r="BF40" s="63"/>
      <c r="BG40" s="63"/>
      <c r="BH40" s="63"/>
      <c r="BI40" s="63"/>
      <c r="BJ40" s="63"/>
      <c r="BK40" s="63"/>
      <c r="BL40" s="63"/>
      <c r="BM40" s="63"/>
      <c r="BN40" s="63"/>
      <c r="BO40" s="63"/>
      <c r="BP40" s="63"/>
      <c r="BQ40" s="63"/>
      <c r="BR40" s="63"/>
      <c r="BS40" s="63"/>
      <c r="BT40" s="63"/>
      <c r="BU40" s="63"/>
      <c r="BV40" s="63"/>
      <c r="BW40" s="63"/>
      <c r="BX40" s="63"/>
      <c r="BY40" s="63"/>
      <c r="BZ40" s="63"/>
      <c r="CA40" s="63"/>
      <c r="CB40" s="63"/>
      <c r="CC40" s="63"/>
      <c r="CD40" s="63"/>
      <c r="CE40" s="63"/>
      <c r="CF40" s="63"/>
      <c r="CG40" s="63"/>
      <c r="CH40" s="63"/>
      <c r="CI40" s="63"/>
      <c r="CJ40" s="63"/>
      <c r="CK40" s="63"/>
      <c r="CL40" s="63"/>
      <c r="CM40" s="63"/>
      <c r="CN40" s="63"/>
      <c r="CO40" s="63"/>
      <c r="CP40" s="63"/>
      <c r="CQ40" s="63"/>
      <c r="CR40" s="63"/>
      <c r="CS40" s="63"/>
      <c r="CT40" s="63"/>
      <c r="CU40" s="63"/>
      <c r="CV40" s="63"/>
      <c r="CW40" s="63"/>
      <c r="CX40" s="63"/>
      <c r="CY40" s="63"/>
      <c r="CZ40" s="63"/>
      <c r="DA40" s="63"/>
      <c r="DB40" s="63"/>
      <c r="DC40" s="63"/>
      <c r="DD40" s="63"/>
      <c r="DE40" s="63"/>
      <c r="DF40" s="63"/>
      <c r="DG40" s="63"/>
      <c r="DH40" s="63"/>
      <c r="DI40" s="63"/>
      <c r="DJ40" s="63"/>
      <c r="DK40" s="63"/>
      <c r="DL40" s="63"/>
      <c r="DM40" s="63"/>
      <c r="DN40" s="63"/>
      <c r="DO40" s="63"/>
      <c r="DP40" s="63"/>
      <c r="DQ40" s="63"/>
      <c r="DR40" s="63"/>
      <c r="DS40" s="63"/>
      <c r="DT40" s="63"/>
      <c r="DU40" s="63"/>
      <c r="DV40" s="63"/>
      <c r="DW40" s="63"/>
      <c r="DX40" s="63"/>
      <c r="DY40" s="63"/>
      <c r="DZ40" s="63"/>
      <c r="EA40" s="63"/>
      <c r="EB40" s="63"/>
      <c r="EC40" s="63"/>
      <c r="ED40" s="63"/>
      <c r="EE40" s="63"/>
      <c r="EF40" s="63"/>
      <c r="EG40" s="63"/>
      <c r="EH40" s="63"/>
      <c r="EI40" s="63"/>
      <c r="EJ40" s="63"/>
      <c r="EK40" s="63"/>
      <c r="EL40" s="63"/>
      <c r="EM40" s="63"/>
      <c r="EN40" s="63"/>
      <c r="EO40" s="63"/>
      <c r="EP40" s="63"/>
      <c r="EQ40" s="63"/>
      <c r="ER40" s="63"/>
      <c r="ES40" s="63"/>
      <c r="ET40" s="63"/>
      <c r="EU40" s="63"/>
      <c r="EV40" s="63"/>
      <c r="EW40" s="63"/>
      <c r="EX40" s="63"/>
      <c r="EY40" s="63"/>
      <c r="EZ40" s="63"/>
      <c r="FA40" s="63"/>
      <c r="FB40" s="63"/>
      <c r="FC40" s="63"/>
      <c r="FD40" s="63"/>
      <c r="FE40" s="63"/>
      <c r="FF40" s="63"/>
      <c r="FG40" s="63"/>
      <c r="FH40" s="63"/>
      <c r="FI40" s="63"/>
      <c r="FJ40" s="63"/>
      <c r="FK40" s="63"/>
      <c r="FL40" s="63"/>
      <c r="FM40" s="63"/>
      <c r="FN40" s="63"/>
    </row>
    <row r="41" spans="2:241" s="219" customFormat="1" hidden="1" x14ac:dyDescent="0.2">
      <c r="C41" s="13"/>
      <c r="D41" s="461"/>
      <c r="F41" s="13"/>
      <c r="G41" s="461"/>
      <c r="I41" s="13"/>
      <c r="J41" s="461"/>
      <c r="L41" s="13"/>
      <c r="M41" s="461"/>
      <c r="O41" s="13"/>
      <c r="P41" s="461"/>
      <c r="R41" s="34"/>
      <c r="S41" s="137"/>
      <c r="T41" s="34"/>
      <c r="U41" s="34"/>
      <c r="V41" s="137"/>
      <c r="W41" s="34"/>
      <c r="X41" s="34"/>
      <c r="Y41" s="137"/>
      <c r="Z41" s="34"/>
      <c r="AA41" s="34"/>
      <c r="AB41" s="137"/>
      <c r="AC41" s="34"/>
      <c r="AD41" s="34"/>
      <c r="AE41" s="137"/>
      <c r="AF41" s="34"/>
      <c r="AG41" s="34"/>
      <c r="AH41" s="137"/>
      <c r="AI41" s="34"/>
      <c r="AJ41" s="34"/>
      <c r="AK41" s="137"/>
      <c r="AL41" s="34"/>
      <c r="AM41" s="34"/>
      <c r="AN41" s="137"/>
      <c r="AO41" s="34"/>
      <c r="AP41" s="34"/>
      <c r="AQ41" s="137"/>
      <c r="AR41" s="34"/>
      <c r="AS41" s="34"/>
      <c r="AT41" s="137"/>
      <c r="AU41" s="34"/>
      <c r="AV41" s="34"/>
      <c r="AW41" s="137"/>
      <c r="AX41" s="34"/>
      <c r="AY41" s="34"/>
      <c r="AZ41" s="137"/>
      <c r="BA41" s="34"/>
      <c r="BB41" s="34"/>
      <c r="BC41" s="137"/>
      <c r="BD41" s="34"/>
      <c r="BE41" s="34"/>
      <c r="BF41" s="137"/>
      <c r="BG41" s="34"/>
      <c r="BH41" s="34"/>
      <c r="BI41" s="137"/>
      <c r="BJ41" s="34"/>
      <c r="BK41" s="34"/>
      <c r="BL41" s="137"/>
      <c r="BM41" s="34"/>
      <c r="BN41" s="34"/>
      <c r="BO41" s="137"/>
      <c r="BP41" s="34"/>
      <c r="BQ41" s="34"/>
      <c r="BR41" s="137"/>
      <c r="BS41" s="34"/>
      <c r="BT41" s="34"/>
      <c r="BU41" s="137"/>
      <c r="BV41" s="34"/>
      <c r="BW41" s="34"/>
      <c r="BX41" s="137"/>
      <c r="BY41" s="34"/>
      <c r="BZ41" s="34"/>
      <c r="CA41" s="137"/>
      <c r="CB41" s="34"/>
      <c r="CC41" s="34"/>
      <c r="CD41" s="137"/>
      <c r="CE41" s="34"/>
      <c r="CF41" s="34"/>
      <c r="CG41" s="137"/>
      <c r="CH41" s="34"/>
      <c r="CI41" s="34"/>
      <c r="CJ41" s="137"/>
      <c r="CK41" s="34"/>
      <c r="CL41" s="34"/>
      <c r="CM41" s="137"/>
      <c r="CN41" s="34"/>
      <c r="CO41" s="34"/>
      <c r="CP41" s="137"/>
      <c r="CQ41" s="34"/>
      <c r="CR41" s="34"/>
      <c r="CS41" s="137"/>
      <c r="CT41" s="34"/>
      <c r="CU41" s="34"/>
      <c r="CV41" s="137"/>
      <c r="CW41" s="34"/>
      <c r="CX41" s="34"/>
      <c r="CY41" s="137"/>
      <c r="CZ41" s="34"/>
      <c r="DA41" s="34"/>
      <c r="DB41" s="137"/>
      <c r="DC41" s="34"/>
      <c r="DD41" s="34"/>
      <c r="DE41" s="137"/>
      <c r="DF41" s="34"/>
      <c r="DG41" s="34"/>
      <c r="DH41" s="137"/>
      <c r="DI41" s="34"/>
      <c r="DJ41" s="34"/>
      <c r="DK41" s="137"/>
      <c r="DL41" s="34"/>
      <c r="DM41" s="34"/>
      <c r="DN41" s="137"/>
      <c r="DO41" s="34"/>
      <c r="DP41" s="34"/>
      <c r="DQ41" s="137"/>
      <c r="DR41" s="34"/>
      <c r="DS41" s="34"/>
      <c r="DT41" s="137"/>
      <c r="DU41" s="34"/>
      <c r="DV41" s="34"/>
      <c r="DW41" s="137"/>
      <c r="DX41" s="34"/>
      <c r="DY41" s="34"/>
      <c r="DZ41" s="137"/>
      <c r="EA41" s="34"/>
      <c r="EB41" s="34"/>
      <c r="EC41" s="137"/>
      <c r="ED41" s="34"/>
      <c r="EE41" s="34"/>
      <c r="EF41" s="137"/>
      <c r="EG41" s="34"/>
      <c r="EH41" s="34"/>
      <c r="EI41" s="137"/>
      <c r="EJ41" s="34"/>
      <c r="EK41" s="34"/>
      <c r="EL41" s="137"/>
      <c r="EM41" s="34"/>
      <c r="EN41" s="34"/>
      <c r="EO41" s="137"/>
      <c r="EP41" s="34"/>
      <c r="EQ41" s="34"/>
      <c r="ER41" s="137"/>
      <c r="ES41" s="34"/>
      <c r="ET41" s="34"/>
      <c r="EU41" s="137"/>
      <c r="EV41" s="34"/>
      <c r="EW41" s="34"/>
      <c r="EX41" s="137"/>
      <c r="EY41" s="34"/>
      <c r="EZ41" s="34"/>
      <c r="FA41" s="137"/>
      <c r="FB41" s="34"/>
      <c r="FC41" s="34"/>
      <c r="FD41" s="137"/>
      <c r="FE41" s="34"/>
      <c r="FF41" s="34"/>
      <c r="FG41" s="137"/>
      <c r="FH41" s="34"/>
      <c r="FI41" s="34"/>
      <c r="FJ41" s="137"/>
      <c r="FK41" s="34"/>
      <c r="FL41" s="34"/>
      <c r="FM41" s="137"/>
      <c r="FN41" s="34"/>
      <c r="FO41" s="13"/>
      <c r="FP41" s="461"/>
      <c r="FR41" s="13"/>
      <c r="FS41" s="461"/>
      <c r="FU41" s="13"/>
      <c r="FV41" s="461"/>
      <c r="FX41" s="13"/>
      <c r="FY41" s="461"/>
      <c r="GA41" s="13"/>
      <c r="GB41" s="461"/>
      <c r="GD41" s="13"/>
      <c r="GE41" s="461"/>
      <c r="GG41" s="13"/>
      <c r="GH41" s="461"/>
      <c r="GJ41" s="13"/>
      <c r="GK41" s="461"/>
      <c r="GM41" s="13"/>
      <c r="GN41" s="461"/>
      <c r="GP41" s="13"/>
      <c r="GQ41" s="461"/>
      <c r="GS41" s="13"/>
      <c r="GT41" s="461"/>
      <c r="GV41" s="13"/>
      <c r="GW41" s="461"/>
      <c r="GY41" s="13"/>
      <c r="GZ41" s="461"/>
      <c r="HB41" s="13"/>
      <c r="HC41" s="461"/>
      <c r="HE41" s="13"/>
      <c r="HF41" s="461"/>
      <c r="HH41" s="13"/>
      <c r="HI41" s="461"/>
      <c r="HK41" s="13"/>
      <c r="HL41" s="461"/>
      <c r="HN41" s="13"/>
      <c r="HO41" s="461"/>
      <c r="HQ41" s="13"/>
      <c r="HR41" s="461"/>
      <c r="HT41" s="13"/>
      <c r="HU41" s="461"/>
      <c r="HW41" s="13"/>
      <c r="HX41" s="461"/>
      <c r="HZ41" s="13"/>
      <c r="IA41" s="461"/>
      <c r="IC41" s="13"/>
      <c r="ID41" s="461"/>
      <c r="IF41" s="13"/>
      <c r="IG41" s="461"/>
    </row>
    <row r="42" spans="2:241" s="219" customFormat="1" ht="12.75" hidden="1" customHeight="1" x14ac:dyDescent="0.2">
      <c r="B42" s="1536" t="s">
        <v>2271</v>
      </c>
      <c r="C42" s="1536"/>
      <c r="F42" s="13"/>
      <c r="G42" s="461"/>
      <c r="I42" s="13"/>
      <c r="J42" s="461"/>
      <c r="L42" s="13"/>
      <c r="M42" s="461"/>
      <c r="O42" s="13"/>
      <c r="P42" s="461"/>
      <c r="R42" s="34"/>
      <c r="S42" s="137"/>
      <c r="T42" s="34"/>
      <c r="U42" s="34"/>
      <c r="V42" s="137"/>
      <c r="W42" s="34"/>
      <c r="X42" s="34"/>
      <c r="Y42" s="137"/>
      <c r="Z42" s="34"/>
      <c r="AA42" s="34"/>
      <c r="AB42" s="137"/>
      <c r="AC42" s="34"/>
      <c r="AD42" s="34"/>
      <c r="AE42" s="137"/>
      <c r="AF42" s="34"/>
      <c r="AG42" s="34"/>
      <c r="AH42" s="137"/>
      <c r="AI42" s="34"/>
      <c r="AJ42" s="34"/>
      <c r="AK42" s="137"/>
      <c r="AL42" s="34"/>
      <c r="AM42" s="34"/>
      <c r="AN42" s="137"/>
      <c r="AO42" s="34"/>
      <c r="AP42" s="34"/>
      <c r="AQ42" s="137"/>
      <c r="AR42" s="34"/>
      <c r="AS42" s="34"/>
      <c r="AT42" s="137"/>
      <c r="AU42" s="34"/>
      <c r="AV42" s="34"/>
      <c r="AW42" s="137"/>
      <c r="AX42" s="34"/>
      <c r="AY42" s="34"/>
      <c r="AZ42" s="137"/>
      <c r="BA42" s="34"/>
      <c r="BB42" s="34"/>
      <c r="BC42" s="137"/>
      <c r="BD42" s="34"/>
      <c r="BE42" s="34"/>
      <c r="BF42" s="137"/>
      <c r="BG42" s="34"/>
      <c r="BH42" s="34"/>
      <c r="BI42" s="137"/>
      <c r="BJ42" s="34"/>
      <c r="BK42" s="34"/>
      <c r="BL42" s="137"/>
      <c r="BM42" s="34"/>
      <c r="BN42" s="34"/>
      <c r="BO42" s="137"/>
      <c r="BP42" s="34"/>
      <c r="BQ42" s="34"/>
      <c r="BR42" s="137"/>
      <c r="BS42" s="34"/>
      <c r="BT42" s="34"/>
      <c r="BU42" s="137"/>
      <c r="BV42" s="34"/>
      <c r="BW42" s="34"/>
      <c r="BX42" s="137"/>
      <c r="BY42" s="34"/>
      <c r="BZ42" s="34"/>
      <c r="CA42" s="137"/>
      <c r="CB42" s="34"/>
      <c r="CC42" s="34"/>
      <c r="CD42" s="137"/>
      <c r="CE42" s="34"/>
      <c r="CF42" s="34"/>
      <c r="CG42" s="137"/>
      <c r="CH42" s="34"/>
      <c r="CI42" s="34"/>
      <c r="CJ42" s="137"/>
      <c r="CK42" s="34"/>
      <c r="CL42" s="34"/>
      <c r="CM42" s="137"/>
      <c r="CN42" s="34"/>
      <c r="CO42" s="34"/>
      <c r="CP42" s="137"/>
      <c r="CQ42" s="34"/>
      <c r="CR42" s="34"/>
      <c r="CS42" s="137"/>
      <c r="CT42" s="34"/>
      <c r="CU42" s="34"/>
      <c r="CV42" s="137"/>
      <c r="CW42" s="34"/>
      <c r="CX42" s="34"/>
      <c r="CY42" s="137"/>
      <c r="CZ42" s="34"/>
      <c r="DA42" s="34"/>
      <c r="DB42" s="137"/>
      <c r="DC42" s="34"/>
      <c r="DD42" s="34"/>
      <c r="DE42" s="137"/>
      <c r="DF42" s="34"/>
      <c r="DG42" s="34"/>
      <c r="DH42" s="137"/>
      <c r="DI42" s="34"/>
      <c r="DJ42" s="34"/>
      <c r="DK42" s="137"/>
      <c r="DL42" s="34"/>
      <c r="DM42" s="34"/>
      <c r="DN42" s="137"/>
      <c r="DO42" s="34"/>
      <c r="DP42" s="34"/>
      <c r="DQ42" s="137"/>
      <c r="DR42" s="34"/>
      <c r="DS42" s="34"/>
      <c r="DT42" s="137"/>
      <c r="DU42" s="34"/>
      <c r="DV42" s="34"/>
      <c r="DW42" s="137"/>
      <c r="DX42" s="34"/>
      <c r="DY42" s="34"/>
      <c r="DZ42" s="137"/>
      <c r="EA42" s="34"/>
      <c r="EB42" s="34"/>
      <c r="EC42" s="137"/>
      <c r="ED42" s="34"/>
      <c r="EE42" s="34"/>
      <c r="EF42" s="137"/>
      <c r="EG42" s="34"/>
      <c r="EH42" s="34"/>
      <c r="EI42" s="137"/>
      <c r="EJ42" s="34"/>
      <c r="EK42" s="34"/>
      <c r="EL42" s="137"/>
      <c r="EM42" s="34"/>
      <c r="EN42" s="34"/>
      <c r="EO42" s="137"/>
      <c r="EP42" s="34"/>
      <c r="EQ42" s="34"/>
      <c r="ER42" s="137"/>
      <c r="ES42" s="34"/>
      <c r="ET42" s="34"/>
      <c r="EU42" s="137"/>
      <c r="EV42" s="34"/>
      <c r="EW42" s="34"/>
      <c r="EX42" s="137"/>
      <c r="EY42" s="34"/>
      <c r="EZ42" s="34"/>
      <c r="FA42" s="137"/>
      <c r="FB42" s="34"/>
      <c r="FC42" s="34"/>
      <c r="FD42" s="137"/>
      <c r="FE42" s="34"/>
      <c r="FF42" s="34"/>
      <c r="FG42" s="137"/>
      <c r="FH42" s="34"/>
      <c r="FI42" s="34"/>
      <c r="FJ42" s="137"/>
      <c r="FK42" s="34"/>
      <c r="FL42" s="34"/>
      <c r="FM42" s="137"/>
      <c r="FN42" s="34"/>
      <c r="FO42" s="13"/>
      <c r="FP42" s="461"/>
      <c r="FR42" s="13"/>
      <c r="FS42" s="461"/>
      <c r="FU42" s="13"/>
      <c r="FV42" s="461"/>
      <c r="FX42" s="13"/>
      <c r="FY42" s="461"/>
      <c r="GA42" s="13"/>
      <c r="GB42" s="461"/>
      <c r="GD42" s="13"/>
      <c r="GE42" s="461"/>
      <c r="GG42" s="13"/>
      <c r="GH42" s="461"/>
      <c r="GJ42" s="13"/>
      <c r="GK42" s="461"/>
      <c r="GM42" s="13"/>
      <c r="GN42" s="461"/>
      <c r="GP42" s="13"/>
      <c r="GQ42" s="461"/>
      <c r="GS42" s="13"/>
      <c r="GT42" s="461"/>
      <c r="GV42" s="13"/>
      <c r="GW42" s="461"/>
      <c r="GY42" s="13"/>
      <c r="GZ42" s="461"/>
      <c r="HB42" s="13"/>
      <c r="HC42" s="461"/>
      <c r="HE42" s="13"/>
      <c r="HF42" s="461"/>
      <c r="HH42" s="13"/>
      <c r="HI42" s="461"/>
      <c r="HK42" s="13"/>
      <c r="HL42" s="461"/>
      <c r="HN42" s="13"/>
      <c r="HO42" s="461"/>
      <c r="HQ42" s="13"/>
      <c r="HR42" s="461"/>
      <c r="HT42" s="13"/>
      <c r="HU42" s="461"/>
      <c r="HW42" s="13"/>
      <c r="HX42" s="461"/>
      <c r="HZ42" s="13"/>
      <c r="IA42" s="461"/>
      <c r="IC42" s="13"/>
      <c r="ID42" s="461"/>
      <c r="IF42" s="13"/>
      <c r="IG42" s="461"/>
    </row>
    <row r="43" spans="2:241" hidden="1" x14ac:dyDescent="0.2">
      <c r="B43" s="1536"/>
      <c r="C43" s="1536"/>
      <c r="D43" s="35"/>
      <c r="E43" s="14"/>
      <c r="F43" s="15"/>
      <c r="G43" s="15"/>
      <c r="H43" s="14"/>
      <c r="I43" s="14"/>
      <c r="J43" s="15"/>
      <c r="K43" s="14"/>
      <c r="L43" s="15"/>
      <c r="M43" s="14"/>
      <c r="N43" s="15"/>
      <c r="O43" s="14"/>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A43" s="63"/>
      <c r="CB43" s="63"/>
      <c r="CC43" s="63"/>
      <c r="CD43" s="63"/>
      <c r="CE43" s="63"/>
      <c r="CF43" s="63"/>
      <c r="CG43" s="63"/>
      <c r="CH43" s="63"/>
      <c r="CI43" s="63"/>
      <c r="CJ43" s="63"/>
      <c r="CK43" s="63"/>
      <c r="CL43" s="63"/>
      <c r="CM43" s="63"/>
      <c r="CN43" s="63"/>
      <c r="CO43" s="63"/>
      <c r="CP43" s="63"/>
      <c r="CQ43" s="63"/>
      <c r="CR43" s="63"/>
      <c r="CS43" s="63"/>
      <c r="CT43" s="63"/>
      <c r="CU43" s="63"/>
      <c r="CV43" s="63"/>
      <c r="CW43" s="63"/>
      <c r="CX43" s="63"/>
      <c r="CY43" s="63"/>
      <c r="CZ43" s="63"/>
      <c r="DA43" s="63"/>
      <c r="DB43" s="63"/>
      <c r="DC43" s="63"/>
      <c r="DD43" s="63"/>
      <c r="DE43" s="63"/>
      <c r="DF43" s="63"/>
      <c r="DG43" s="63"/>
      <c r="DH43" s="63"/>
      <c r="DI43" s="63"/>
      <c r="DJ43" s="63"/>
      <c r="DK43" s="63"/>
      <c r="DL43" s="63"/>
      <c r="DM43" s="63"/>
      <c r="DN43" s="63"/>
      <c r="DO43" s="63"/>
      <c r="DP43" s="63"/>
      <c r="DQ43" s="63"/>
      <c r="DR43" s="63"/>
      <c r="DS43" s="63"/>
      <c r="DT43" s="63"/>
      <c r="DU43" s="63"/>
      <c r="DV43" s="63"/>
      <c r="DW43" s="63"/>
      <c r="DX43" s="63"/>
      <c r="DY43" s="63"/>
      <c r="DZ43" s="63"/>
      <c r="EA43" s="63"/>
      <c r="EB43" s="63"/>
      <c r="EC43" s="63"/>
      <c r="ED43" s="63"/>
      <c r="EE43" s="63"/>
      <c r="EF43" s="63"/>
      <c r="EG43" s="63"/>
      <c r="EH43" s="63"/>
      <c r="EI43" s="63"/>
      <c r="EJ43" s="63"/>
      <c r="EK43" s="63"/>
      <c r="EL43" s="63"/>
      <c r="EM43" s="63"/>
      <c r="EN43" s="63"/>
      <c r="EO43" s="63"/>
      <c r="EP43" s="63"/>
      <c r="EQ43" s="63"/>
      <c r="ER43" s="63"/>
      <c r="ES43" s="63"/>
      <c r="ET43" s="63"/>
      <c r="EU43" s="63"/>
      <c r="EV43" s="63"/>
      <c r="EW43" s="63"/>
      <c r="EX43" s="63"/>
      <c r="EY43" s="63"/>
      <c r="EZ43" s="63"/>
      <c r="FA43" s="63"/>
      <c r="FB43" s="63"/>
      <c r="FC43" s="63"/>
      <c r="FD43" s="63"/>
      <c r="FE43" s="63"/>
      <c r="FF43" s="63"/>
      <c r="FG43" s="63"/>
      <c r="FH43" s="63"/>
      <c r="FI43" s="63"/>
      <c r="FJ43" s="63"/>
      <c r="FK43" s="63"/>
      <c r="FL43" s="63"/>
      <c r="FM43" s="63"/>
      <c r="FN43" s="63"/>
    </row>
    <row r="44" spans="2:241" hidden="1" x14ac:dyDescent="0.2">
      <c r="B44" s="1536"/>
      <c r="C44" s="1536"/>
      <c r="D44" s="35"/>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c r="AQ44" s="63"/>
      <c r="AR44" s="63"/>
      <c r="AS44" s="63"/>
      <c r="AT44" s="63"/>
      <c r="AU44" s="63"/>
      <c r="AV44" s="63"/>
      <c r="AW44" s="63"/>
      <c r="AX44" s="63"/>
      <c r="AY44" s="63"/>
      <c r="AZ44" s="63"/>
      <c r="BA44" s="63"/>
      <c r="BB44" s="63"/>
      <c r="BC44" s="63"/>
      <c r="BD44" s="63"/>
      <c r="BE44" s="63"/>
      <c r="BF44" s="63"/>
      <c r="BG44" s="63"/>
      <c r="BH44" s="63"/>
      <c r="BI44" s="63"/>
      <c r="BJ44" s="63"/>
      <c r="BK44" s="63"/>
      <c r="BL44" s="63"/>
      <c r="BM44" s="63"/>
      <c r="BN44" s="63"/>
      <c r="BO44" s="63"/>
      <c r="BP44" s="63"/>
      <c r="BQ44" s="63"/>
      <c r="BR44" s="63"/>
      <c r="BS44" s="63"/>
      <c r="BT44" s="63"/>
      <c r="BU44" s="63"/>
      <c r="BV44" s="63"/>
      <c r="BW44" s="63"/>
      <c r="BX44" s="63"/>
      <c r="BY44" s="63"/>
      <c r="BZ44" s="63"/>
      <c r="CA44" s="63"/>
      <c r="CB44" s="63"/>
      <c r="CC44" s="63"/>
      <c r="CD44" s="63"/>
      <c r="CE44" s="63"/>
      <c r="CF44" s="63"/>
      <c r="CG44" s="63"/>
      <c r="CH44" s="63"/>
      <c r="CI44" s="63"/>
      <c r="CJ44" s="63"/>
      <c r="CK44" s="63"/>
      <c r="CL44" s="63"/>
      <c r="CM44" s="63"/>
      <c r="CN44" s="63"/>
      <c r="CO44" s="63"/>
      <c r="CP44" s="63"/>
      <c r="CQ44" s="63"/>
      <c r="CR44" s="63"/>
      <c r="CS44" s="63"/>
      <c r="CT44" s="63"/>
      <c r="CU44" s="63"/>
      <c r="CV44" s="63"/>
      <c r="CW44" s="63"/>
      <c r="CX44" s="63"/>
      <c r="CY44" s="63"/>
      <c r="CZ44" s="63"/>
      <c r="DA44" s="63"/>
      <c r="DB44" s="63"/>
      <c r="DC44" s="63"/>
      <c r="DD44" s="63"/>
      <c r="DE44" s="63"/>
      <c r="DF44" s="63"/>
      <c r="DG44" s="63"/>
      <c r="DH44" s="63"/>
      <c r="DI44" s="63"/>
      <c r="DJ44" s="63"/>
      <c r="DK44" s="63"/>
      <c r="DL44" s="63"/>
      <c r="DM44" s="63"/>
      <c r="DN44" s="63"/>
      <c r="DO44" s="63"/>
      <c r="DP44" s="63"/>
      <c r="DQ44" s="63"/>
      <c r="DR44" s="63"/>
      <c r="DS44" s="63"/>
      <c r="DT44" s="63"/>
      <c r="DU44" s="63"/>
      <c r="DV44" s="63"/>
      <c r="DW44" s="63"/>
      <c r="DX44" s="63"/>
      <c r="DY44" s="63"/>
      <c r="DZ44" s="63"/>
      <c r="EA44" s="63"/>
      <c r="EB44" s="63"/>
      <c r="EC44" s="63"/>
      <c r="ED44" s="63"/>
      <c r="EE44" s="63"/>
      <c r="EF44" s="63"/>
      <c r="EG44" s="63"/>
      <c r="EH44" s="63"/>
      <c r="EI44" s="63"/>
      <c r="EJ44" s="63"/>
      <c r="EK44" s="63"/>
      <c r="EL44" s="63"/>
      <c r="EM44" s="63"/>
      <c r="EN44" s="63"/>
      <c r="EO44" s="63"/>
      <c r="EP44" s="63"/>
      <c r="EQ44" s="63"/>
      <c r="ER44" s="63"/>
      <c r="ES44" s="63"/>
      <c r="ET44" s="63"/>
      <c r="EU44" s="63"/>
      <c r="EV44" s="63"/>
      <c r="EW44" s="63"/>
      <c r="EX44" s="63"/>
      <c r="EY44" s="63"/>
      <c r="EZ44" s="63"/>
      <c r="FA44" s="63"/>
      <c r="FB44" s="63"/>
      <c r="FC44" s="63"/>
      <c r="FD44" s="63"/>
      <c r="FE44" s="63"/>
      <c r="FF44" s="63"/>
      <c r="FG44" s="63"/>
      <c r="FH44" s="63"/>
      <c r="FI44" s="63"/>
      <c r="FJ44" s="63"/>
      <c r="FK44" s="63"/>
      <c r="FL44" s="63"/>
      <c r="FM44" s="63"/>
      <c r="FN44" s="63"/>
    </row>
    <row r="45" spans="2:241" hidden="1" x14ac:dyDescent="0.2">
      <c r="B45" s="1186">
        <v>0.01</v>
      </c>
      <c r="C45" s="1186">
        <v>0.99</v>
      </c>
      <c r="D45" s="35"/>
      <c r="R45" s="63"/>
      <c r="S45" s="63"/>
      <c r="T45" s="63"/>
      <c r="U45" s="63"/>
      <c r="V45" s="63"/>
      <c r="W45" s="63"/>
      <c r="X45" s="63"/>
      <c r="Y45" s="63"/>
      <c r="Z45" s="63"/>
      <c r="AA45" s="63"/>
      <c r="AB45" s="63"/>
      <c r="AC45" s="63"/>
      <c r="AD45" s="63"/>
      <c r="AE45" s="63"/>
      <c r="AF45" s="63"/>
      <c r="AG45" s="63"/>
      <c r="AH45" s="63"/>
      <c r="AI45" s="63"/>
      <c r="AJ45" s="63"/>
      <c r="AK45" s="63"/>
      <c r="AL45" s="63"/>
      <c r="AM45" s="63"/>
      <c r="AN45" s="63"/>
      <c r="AO45" s="63"/>
      <c r="AP45" s="63"/>
      <c r="AQ45" s="63"/>
      <c r="AR45" s="63"/>
      <c r="AS45" s="63"/>
      <c r="AT45" s="63"/>
      <c r="AU45" s="63"/>
      <c r="AV45" s="63"/>
      <c r="AW45" s="63"/>
      <c r="AX45" s="63"/>
      <c r="AY45" s="63"/>
      <c r="AZ45" s="63"/>
      <c r="BA45" s="63"/>
      <c r="BB45" s="63"/>
      <c r="BC45" s="63"/>
      <c r="BD45" s="63"/>
      <c r="BE45" s="63"/>
      <c r="BF45" s="63"/>
      <c r="BG45" s="63"/>
      <c r="BH45" s="63"/>
      <c r="BI45" s="63"/>
      <c r="BJ45" s="63"/>
      <c r="BK45" s="63"/>
      <c r="BL45" s="63"/>
      <c r="BM45" s="63"/>
      <c r="BN45" s="63"/>
      <c r="BO45" s="63"/>
      <c r="BP45" s="63"/>
      <c r="BQ45" s="63"/>
      <c r="BR45" s="63"/>
      <c r="BS45" s="63"/>
      <c r="BT45" s="63"/>
      <c r="BU45" s="63"/>
      <c r="BV45" s="63"/>
      <c r="BW45" s="63"/>
      <c r="BX45" s="63"/>
      <c r="BY45" s="63"/>
      <c r="BZ45" s="63"/>
      <c r="CA45" s="63"/>
      <c r="CB45" s="63"/>
      <c r="CC45" s="63"/>
      <c r="CD45" s="63"/>
      <c r="CE45" s="63"/>
      <c r="CF45" s="63"/>
      <c r="CG45" s="63"/>
      <c r="CH45" s="63"/>
      <c r="CI45" s="63"/>
      <c r="CJ45" s="63"/>
      <c r="CK45" s="63"/>
      <c r="CL45" s="63"/>
      <c r="CM45" s="63"/>
      <c r="CN45" s="63"/>
      <c r="CO45" s="63"/>
      <c r="CP45" s="63"/>
      <c r="CQ45" s="63"/>
      <c r="CR45" s="63"/>
      <c r="CS45" s="63"/>
      <c r="CT45" s="63"/>
      <c r="CU45" s="63"/>
      <c r="CV45" s="63"/>
      <c r="CW45" s="63"/>
      <c r="CX45" s="63"/>
      <c r="CY45" s="63"/>
      <c r="CZ45" s="63"/>
      <c r="DA45" s="63"/>
      <c r="DB45" s="63"/>
      <c r="DC45" s="63"/>
      <c r="DD45" s="63"/>
      <c r="DE45" s="63"/>
      <c r="DF45" s="63"/>
      <c r="DG45" s="63"/>
      <c r="DH45" s="63"/>
      <c r="DI45" s="63"/>
      <c r="DJ45" s="63"/>
      <c r="DK45" s="63"/>
      <c r="DL45" s="63"/>
      <c r="DM45" s="63"/>
      <c r="DN45" s="63"/>
      <c r="DO45" s="63"/>
      <c r="DP45" s="63"/>
      <c r="DQ45" s="63"/>
      <c r="DR45" s="63"/>
      <c r="DS45" s="63"/>
      <c r="DT45" s="63"/>
      <c r="DU45" s="63"/>
      <c r="DV45" s="63"/>
      <c r="DW45" s="63"/>
      <c r="DX45" s="63"/>
      <c r="DY45" s="63"/>
      <c r="DZ45" s="63"/>
      <c r="EA45" s="63"/>
      <c r="EB45" s="63"/>
      <c r="EC45" s="63"/>
      <c r="ED45" s="63"/>
      <c r="EE45" s="63"/>
      <c r="EF45" s="63"/>
      <c r="EG45" s="63"/>
      <c r="EH45" s="63"/>
      <c r="EI45" s="63"/>
      <c r="EJ45" s="63"/>
      <c r="EK45" s="63"/>
      <c r="EL45" s="63"/>
      <c r="EM45" s="63"/>
      <c r="EN45" s="63"/>
      <c r="EO45" s="63"/>
      <c r="EP45" s="63"/>
      <c r="EQ45" s="63"/>
      <c r="ER45" s="63"/>
      <c r="ES45" s="63"/>
      <c r="ET45" s="63"/>
      <c r="EU45" s="63"/>
      <c r="EV45" s="63"/>
      <c r="EW45" s="63"/>
      <c r="EX45" s="63"/>
      <c r="EY45" s="63"/>
      <c r="EZ45" s="63"/>
      <c r="FA45" s="63"/>
      <c r="FB45" s="63"/>
      <c r="FC45" s="63"/>
      <c r="FD45" s="63"/>
      <c r="FE45" s="63"/>
      <c r="FF45" s="63"/>
      <c r="FG45" s="63"/>
      <c r="FH45" s="63"/>
      <c r="FI45" s="63"/>
      <c r="FJ45" s="63"/>
      <c r="FK45" s="63"/>
      <c r="FL45" s="63"/>
      <c r="FM45" s="63"/>
      <c r="FN45" s="63"/>
    </row>
    <row r="46" spans="2:241" hidden="1" x14ac:dyDescent="0.2">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row>
    <row r="47" spans="2:241" hidden="1" x14ac:dyDescent="0.2">
      <c r="B47" s="1186" t="s">
        <v>1942</v>
      </c>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row>
    <row r="48" spans="2:241" hidden="1" x14ac:dyDescent="0.2">
      <c r="B48" s="1186">
        <v>0</v>
      </c>
      <c r="C48" s="35"/>
      <c r="D48" s="35"/>
      <c r="F48" s="35"/>
      <c r="H48" s="15"/>
      <c r="I48" s="14"/>
      <c r="J48" s="15"/>
      <c r="K48" s="14"/>
      <c r="L48" s="15"/>
      <c r="M48" s="14"/>
      <c r="N48" s="15"/>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row>
    <row r="49" spans="2:69" hidden="1" x14ac:dyDescent="0.2">
      <c r="B49" s="1186">
        <v>1</v>
      </c>
      <c r="C49" s="35"/>
      <c r="D49" s="35"/>
      <c r="F49" s="35"/>
      <c r="H49" s="15"/>
      <c r="I49" s="14"/>
      <c r="J49" s="15"/>
      <c r="K49" s="14"/>
      <c r="L49" s="15"/>
      <c r="M49" s="14"/>
      <c r="N49" s="15"/>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row>
    <row r="50" spans="2:69" hidden="1" x14ac:dyDescent="0.2">
      <c r="B50" s="1186">
        <v>2</v>
      </c>
      <c r="C50" s="35"/>
      <c r="D50" s="35"/>
      <c r="F50" s="35"/>
      <c r="H50" s="35"/>
      <c r="J50" s="15"/>
      <c r="K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row>
    <row r="51" spans="2:69" hidden="1" x14ac:dyDescent="0.2">
      <c r="B51" s="1186">
        <v>3</v>
      </c>
      <c r="C51" s="35"/>
      <c r="D51" s="35"/>
      <c r="F51" s="35"/>
      <c r="H51" s="35"/>
      <c r="J51" s="15"/>
      <c r="K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row>
    <row r="52" spans="2:69" hidden="1" x14ac:dyDescent="0.2">
      <c r="B52" s="1186">
        <v>4</v>
      </c>
      <c r="C52" s="35"/>
      <c r="D52" s="35"/>
      <c r="F52" s="35"/>
      <c r="H52" s="35"/>
      <c r="J52" s="15"/>
      <c r="K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row>
    <row r="53" spans="2:69" hidden="1" x14ac:dyDescent="0.2">
      <c r="B53" s="1186">
        <v>5</v>
      </c>
      <c r="C53" s="35"/>
      <c r="D53" s="35"/>
      <c r="F53" s="35"/>
      <c r="H53" s="35"/>
      <c r="J53" s="15"/>
      <c r="K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row>
    <row r="54" spans="2:69" hidden="1" x14ac:dyDescent="0.2">
      <c r="B54" s="1186">
        <v>6</v>
      </c>
      <c r="C54" s="35"/>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row>
    <row r="55" spans="2:69" hidden="1" x14ac:dyDescent="0.2">
      <c r="B55" s="1186">
        <v>7</v>
      </c>
      <c r="C55" s="35"/>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row>
    <row r="56" spans="2:69" hidden="1" x14ac:dyDescent="0.2">
      <c r="B56" s="1186">
        <v>8</v>
      </c>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row>
    <row r="57" spans="2:69" hidden="1" x14ac:dyDescent="0.2">
      <c r="B57" s="1186">
        <v>9</v>
      </c>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row>
    <row r="58" spans="2:69" hidden="1" x14ac:dyDescent="0.2">
      <c r="B58" s="1186">
        <v>10</v>
      </c>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row>
    <row r="59" spans="2:69" hidden="1" x14ac:dyDescent="0.2">
      <c r="B59" s="1186">
        <v>11</v>
      </c>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row>
    <row r="60" spans="2:69" hidden="1" x14ac:dyDescent="0.2">
      <c r="B60" s="1186">
        <v>12</v>
      </c>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row>
    <row r="61" spans="2:69" hidden="1" x14ac:dyDescent="0.2">
      <c r="B61" s="1186">
        <v>13</v>
      </c>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row>
    <row r="62" spans="2:69" hidden="1" x14ac:dyDescent="0.2">
      <c r="B62" s="1186">
        <v>14</v>
      </c>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row>
    <row r="63" spans="2:69" hidden="1" x14ac:dyDescent="0.2">
      <c r="B63" s="1186">
        <v>15</v>
      </c>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row>
    <row r="64" spans="2:69" hidden="1" x14ac:dyDescent="0.2">
      <c r="B64" s="1186">
        <v>16</v>
      </c>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row>
    <row r="65" spans="2:69" hidden="1" x14ac:dyDescent="0.2">
      <c r="B65" s="1186">
        <v>17</v>
      </c>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row>
    <row r="66" spans="2:69" hidden="1" x14ac:dyDescent="0.2">
      <c r="B66" s="1186">
        <v>18</v>
      </c>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row>
    <row r="67" spans="2:69" hidden="1" x14ac:dyDescent="0.2">
      <c r="B67" s="1186">
        <v>19</v>
      </c>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row>
    <row r="68" spans="2:69" hidden="1" x14ac:dyDescent="0.2">
      <c r="B68" s="1186">
        <v>20</v>
      </c>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row>
    <row r="69" spans="2:69" hidden="1" x14ac:dyDescent="0.2">
      <c r="B69" s="1186">
        <v>21</v>
      </c>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row>
    <row r="70" spans="2:69" hidden="1" x14ac:dyDescent="0.2">
      <c r="B70" s="1186">
        <v>22</v>
      </c>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row>
    <row r="71" spans="2:69" hidden="1" x14ac:dyDescent="0.2">
      <c r="B71" s="1186">
        <v>23</v>
      </c>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row>
    <row r="72" spans="2:69" hidden="1" x14ac:dyDescent="0.2">
      <c r="B72" s="1186">
        <v>24</v>
      </c>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row>
    <row r="73" spans="2:69" hidden="1" x14ac:dyDescent="0.2">
      <c r="B73" s="1186">
        <v>25</v>
      </c>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row>
    <row r="74" spans="2:69" hidden="1" x14ac:dyDescent="0.2">
      <c r="B74" s="1186">
        <v>26</v>
      </c>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row>
    <row r="75" spans="2:69" hidden="1" x14ac:dyDescent="0.2">
      <c r="B75" s="1186">
        <v>27</v>
      </c>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row>
    <row r="76" spans="2:69" hidden="1" x14ac:dyDescent="0.2">
      <c r="B76" s="1186">
        <v>28</v>
      </c>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row>
    <row r="77" spans="2:69" hidden="1" x14ac:dyDescent="0.2">
      <c r="B77" s="1186">
        <v>29</v>
      </c>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row>
    <row r="78" spans="2:69" hidden="1" x14ac:dyDescent="0.2">
      <c r="B78" s="1186">
        <v>30</v>
      </c>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row>
    <row r="79" spans="2:69" hidden="1" x14ac:dyDescent="0.2">
      <c r="B79" s="1186">
        <v>31</v>
      </c>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row>
    <row r="80" spans="2:69" hidden="1" x14ac:dyDescent="0.2">
      <c r="B80" s="1186">
        <v>32</v>
      </c>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row>
    <row r="81" spans="2:69" hidden="1" x14ac:dyDescent="0.2">
      <c r="B81" s="1186">
        <v>33</v>
      </c>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row>
    <row r="82" spans="2:69" hidden="1" x14ac:dyDescent="0.2">
      <c r="B82" s="1186">
        <v>34</v>
      </c>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row>
    <row r="83" spans="2:69" hidden="1" x14ac:dyDescent="0.2">
      <c r="B83" s="1186">
        <v>35</v>
      </c>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row>
    <row r="84" spans="2:69" hidden="1" x14ac:dyDescent="0.2">
      <c r="B84" s="1186">
        <v>36</v>
      </c>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row>
    <row r="85" spans="2:69" hidden="1" x14ac:dyDescent="0.2">
      <c r="B85" s="1186">
        <v>37</v>
      </c>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row>
    <row r="86" spans="2:69" hidden="1" x14ac:dyDescent="0.2">
      <c r="B86" s="1186">
        <v>38</v>
      </c>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row>
    <row r="87" spans="2:69" hidden="1" x14ac:dyDescent="0.2">
      <c r="B87" s="1186">
        <v>39</v>
      </c>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row>
    <row r="88" spans="2:69" hidden="1" x14ac:dyDescent="0.2">
      <c r="B88" s="1186">
        <v>40</v>
      </c>
      <c r="R88" s="14">
        <v>2</v>
      </c>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row>
    <row r="89" spans="2:69" hidden="1" x14ac:dyDescent="0.2">
      <c r="B89" s="1186">
        <v>41</v>
      </c>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row>
    <row r="90" spans="2:69" hidden="1" x14ac:dyDescent="0.2">
      <c r="B90" s="1186">
        <v>42</v>
      </c>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row>
    <row r="91" spans="2:69" hidden="1" x14ac:dyDescent="0.2">
      <c r="B91" s="1186">
        <v>43</v>
      </c>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row>
    <row r="92" spans="2:69" hidden="1" x14ac:dyDescent="0.2">
      <c r="B92" s="1186">
        <v>44</v>
      </c>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row>
    <row r="93" spans="2:69" hidden="1" x14ac:dyDescent="0.2">
      <c r="B93" s="1186">
        <v>45</v>
      </c>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row>
    <row r="94" spans="2:69" hidden="1" x14ac:dyDescent="0.2">
      <c r="B94" s="1186">
        <v>46</v>
      </c>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row>
    <row r="95" spans="2:69" hidden="1" x14ac:dyDescent="0.2">
      <c r="B95" s="1186">
        <v>47</v>
      </c>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row>
    <row r="96" spans="2:69" hidden="1" x14ac:dyDescent="0.2">
      <c r="B96" s="1186">
        <v>48</v>
      </c>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row>
    <row r="97" spans="2:69" hidden="1" x14ac:dyDescent="0.2">
      <c r="B97" s="1186">
        <v>49</v>
      </c>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row>
    <row r="98" spans="2:69" hidden="1" x14ac:dyDescent="0.2">
      <c r="B98" s="1186">
        <v>50</v>
      </c>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row>
    <row r="99" spans="2:69" hidden="1" x14ac:dyDescent="0.2">
      <c r="B99" s="1186">
        <v>51</v>
      </c>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row>
    <row r="100" spans="2:69" hidden="1" x14ac:dyDescent="0.2">
      <c r="B100" s="1186">
        <v>52</v>
      </c>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row>
    <row r="101" spans="2:69" hidden="1" x14ac:dyDescent="0.2">
      <c r="B101" s="1186">
        <v>53</v>
      </c>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row>
    <row r="102" spans="2:69" hidden="1" x14ac:dyDescent="0.2">
      <c r="B102" s="1186">
        <v>54</v>
      </c>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row>
    <row r="103" spans="2:69" hidden="1" x14ac:dyDescent="0.2">
      <c r="B103" s="1186">
        <v>55</v>
      </c>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row>
    <row r="104" spans="2:69" hidden="1" x14ac:dyDescent="0.2">
      <c r="B104" s="1186">
        <v>56</v>
      </c>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row>
    <row r="105" spans="2:69" hidden="1" x14ac:dyDescent="0.2">
      <c r="B105" s="1186">
        <v>57</v>
      </c>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row>
    <row r="106" spans="2:69" hidden="1" x14ac:dyDescent="0.2">
      <c r="B106" s="1186">
        <v>58</v>
      </c>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row>
    <row r="107" spans="2:69" hidden="1" x14ac:dyDescent="0.2">
      <c r="B107" s="1186">
        <v>59</v>
      </c>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row>
    <row r="108" spans="2:69" hidden="1" x14ac:dyDescent="0.2">
      <c r="B108" s="1186">
        <v>60</v>
      </c>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row>
    <row r="109" spans="2:69" hidden="1" x14ac:dyDescent="0.2">
      <c r="B109" s="1186">
        <v>61</v>
      </c>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row>
    <row r="110" spans="2:69" hidden="1" x14ac:dyDescent="0.2">
      <c r="B110" s="1186">
        <v>62</v>
      </c>
    </row>
    <row r="111" spans="2:69" hidden="1" x14ac:dyDescent="0.2">
      <c r="B111" s="1186">
        <v>63</v>
      </c>
    </row>
    <row r="112" spans="2:69" hidden="1" x14ac:dyDescent="0.2">
      <c r="B112" s="1186">
        <v>64</v>
      </c>
    </row>
    <row r="113" spans="2:2" hidden="1" x14ac:dyDescent="0.2">
      <c r="B113" s="1186">
        <v>65</v>
      </c>
    </row>
    <row r="114" spans="2:2" hidden="1" x14ac:dyDescent="0.2">
      <c r="B114" s="1186">
        <v>66</v>
      </c>
    </row>
    <row r="115" spans="2:2" hidden="1" x14ac:dyDescent="0.2">
      <c r="B115" s="1186">
        <v>67</v>
      </c>
    </row>
    <row r="116" spans="2:2" hidden="1" x14ac:dyDescent="0.2">
      <c r="B116" s="1186">
        <v>68</v>
      </c>
    </row>
    <row r="117" spans="2:2" hidden="1" x14ac:dyDescent="0.2">
      <c r="B117" s="1186">
        <v>69</v>
      </c>
    </row>
    <row r="118" spans="2:2" hidden="1" x14ac:dyDescent="0.2">
      <c r="B118" s="1186">
        <v>70</v>
      </c>
    </row>
    <row r="119" spans="2:2" hidden="1" x14ac:dyDescent="0.2">
      <c r="B119" s="1186">
        <v>71</v>
      </c>
    </row>
    <row r="120" spans="2:2" hidden="1" x14ac:dyDescent="0.2">
      <c r="B120" s="1186">
        <v>72</v>
      </c>
    </row>
    <row r="121" spans="2:2" hidden="1" x14ac:dyDescent="0.2">
      <c r="B121" s="1186">
        <v>73</v>
      </c>
    </row>
    <row r="122" spans="2:2" hidden="1" x14ac:dyDescent="0.2">
      <c r="B122" s="1186">
        <v>74</v>
      </c>
    </row>
    <row r="123" spans="2:2" hidden="1" x14ac:dyDescent="0.2">
      <c r="B123" s="1186">
        <v>75</v>
      </c>
    </row>
    <row r="124" spans="2:2" hidden="1" x14ac:dyDescent="0.2">
      <c r="B124" s="1186">
        <v>76</v>
      </c>
    </row>
    <row r="125" spans="2:2" hidden="1" x14ac:dyDescent="0.2">
      <c r="B125" s="1186">
        <v>77</v>
      </c>
    </row>
    <row r="126" spans="2:2" hidden="1" x14ac:dyDescent="0.2">
      <c r="B126" s="1186">
        <v>78</v>
      </c>
    </row>
    <row r="127" spans="2:2" hidden="1" x14ac:dyDescent="0.2">
      <c r="B127" s="1186">
        <v>79</v>
      </c>
    </row>
    <row r="128" spans="2:2" hidden="1" x14ac:dyDescent="0.2">
      <c r="B128" s="1186">
        <v>80</v>
      </c>
    </row>
    <row r="129" spans="2:2" hidden="1" x14ac:dyDescent="0.2">
      <c r="B129" s="1186">
        <v>81</v>
      </c>
    </row>
    <row r="130" spans="2:2" hidden="1" x14ac:dyDescent="0.2">
      <c r="B130" s="1186">
        <v>82</v>
      </c>
    </row>
    <row r="131" spans="2:2" hidden="1" x14ac:dyDescent="0.2">
      <c r="B131" s="1186">
        <v>83</v>
      </c>
    </row>
    <row r="132" spans="2:2" hidden="1" x14ac:dyDescent="0.2">
      <c r="B132" s="1186">
        <v>84</v>
      </c>
    </row>
    <row r="133" spans="2:2" hidden="1" x14ac:dyDescent="0.2">
      <c r="B133" s="1186">
        <v>85</v>
      </c>
    </row>
    <row r="134" spans="2:2" hidden="1" x14ac:dyDescent="0.2">
      <c r="B134" s="1186">
        <v>86</v>
      </c>
    </row>
    <row r="135" spans="2:2" hidden="1" x14ac:dyDescent="0.2">
      <c r="B135" s="1186">
        <v>87</v>
      </c>
    </row>
    <row r="136" spans="2:2" hidden="1" x14ac:dyDescent="0.2">
      <c r="B136" s="1186">
        <v>88</v>
      </c>
    </row>
    <row r="137" spans="2:2" hidden="1" x14ac:dyDescent="0.2">
      <c r="B137" s="1186">
        <v>89</v>
      </c>
    </row>
    <row r="138" spans="2:2" hidden="1" x14ac:dyDescent="0.2">
      <c r="B138" s="1186">
        <v>90</v>
      </c>
    </row>
    <row r="139" spans="2:2" hidden="1" x14ac:dyDescent="0.2">
      <c r="B139" s="1186">
        <v>91</v>
      </c>
    </row>
    <row r="140" spans="2:2" hidden="1" x14ac:dyDescent="0.2">
      <c r="B140" s="1186">
        <v>92</v>
      </c>
    </row>
    <row r="141" spans="2:2" hidden="1" x14ac:dyDescent="0.2">
      <c r="B141" s="1186">
        <v>93</v>
      </c>
    </row>
    <row r="142" spans="2:2" hidden="1" x14ac:dyDescent="0.2">
      <c r="B142" s="1186">
        <v>94</v>
      </c>
    </row>
    <row r="143" spans="2:2" hidden="1" x14ac:dyDescent="0.2">
      <c r="B143" s="1186">
        <v>95</v>
      </c>
    </row>
    <row r="144" spans="2:2" hidden="1" x14ac:dyDescent="0.2">
      <c r="B144" s="1186">
        <v>96</v>
      </c>
    </row>
    <row r="145" spans="2:2" hidden="1" x14ac:dyDescent="0.2">
      <c r="B145" s="1186">
        <v>97</v>
      </c>
    </row>
    <row r="146" spans="2:2" hidden="1" x14ac:dyDescent="0.2">
      <c r="B146" s="1186">
        <v>98</v>
      </c>
    </row>
    <row r="147" spans="2:2" hidden="1" x14ac:dyDescent="0.2">
      <c r="B147" s="1186">
        <v>99</v>
      </c>
    </row>
    <row r="148" spans="2:2" hidden="1" x14ac:dyDescent="0.2">
      <c r="B148" s="1186">
        <v>100</v>
      </c>
    </row>
    <row r="149" spans="2:2" hidden="1" x14ac:dyDescent="0.2"/>
  </sheetData>
  <sheetProtection sheet="1" objects="1" scenarios="1"/>
  <mergeCells count="106">
    <mergeCell ref="B3:P3"/>
    <mergeCell ref="C14:D14"/>
    <mergeCell ref="B6:P6"/>
    <mergeCell ref="B7:O7"/>
    <mergeCell ref="C9:D9"/>
    <mergeCell ref="E10:F10"/>
    <mergeCell ref="E11:F11"/>
    <mergeCell ref="B4:P4"/>
    <mergeCell ref="G8:J8"/>
    <mergeCell ref="K9:O9"/>
    <mergeCell ref="P8:P21"/>
    <mergeCell ref="C8:F8"/>
    <mergeCell ref="G10:O10"/>
    <mergeCell ref="G12:O12"/>
    <mergeCell ref="G13:H13"/>
    <mergeCell ref="E20:F20"/>
    <mergeCell ref="I19:J19"/>
    <mergeCell ref="V8:W8"/>
    <mergeCell ref="C10:D10"/>
    <mergeCell ref="T8:U8"/>
    <mergeCell ref="I9:J9"/>
    <mergeCell ref="K8:O8"/>
    <mergeCell ref="K13:O13"/>
    <mergeCell ref="E9:F9"/>
    <mergeCell ref="E13:F13"/>
    <mergeCell ref="G17:H17"/>
    <mergeCell ref="E12:F12"/>
    <mergeCell ref="I17:J17"/>
    <mergeCell ref="K17:O17"/>
    <mergeCell ref="E16:F16"/>
    <mergeCell ref="C16:D16"/>
    <mergeCell ref="E14:F14"/>
    <mergeCell ref="E15:F15"/>
    <mergeCell ref="C11:D11"/>
    <mergeCell ref="G11:H11"/>
    <mergeCell ref="K11:O11"/>
    <mergeCell ref="K15:O15"/>
    <mergeCell ref="B22:O22"/>
    <mergeCell ref="C19:D19"/>
    <mergeCell ref="C17:D17"/>
    <mergeCell ref="C18:D18"/>
    <mergeCell ref="G19:H19"/>
    <mergeCell ref="C20:D20"/>
    <mergeCell ref="G18:O18"/>
    <mergeCell ref="B21:O21"/>
    <mergeCell ref="C12:D12"/>
    <mergeCell ref="C15:D15"/>
    <mergeCell ref="G15:H15"/>
    <mergeCell ref="K19:O19"/>
    <mergeCell ref="E19:F19"/>
    <mergeCell ref="E18:F18"/>
    <mergeCell ref="B25:D25"/>
    <mergeCell ref="B33:C33"/>
    <mergeCell ref="P28:P29"/>
    <mergeCell ref="D34:E34"/>
    <mergeCell ref="K24:O24"/>
    <mergeCell ref="K25:O25"/>
    <mergeCell ref="B26:O26"/>
    <mergeCell ref="B24:D24"/>
    <mergeCell ref="B29:J29"/>
    <mergeCell ref="B31:O31"/>
    <mergeCell ref="B30:O30"/>
    <mergeCell ref="C39:H39"/>
    <mergeCell ref="I39:N39"/>
    <mergeCell ref="B36:C36"/>
    <mergeCell ref="B38:P38"/>
    <mergeCell ref="F36:G36"/>
    <mergeCell ref="P32:P37"/>
    <mergeCell ref="F35:G35"/>
    <mergeCell ref="F33:G33"/>
    <mergeCell ref="D33:E33"/>
    <mergeCell ref="D35:E35"/>
    <mergeCell ref="B32:E32"/>
    <mergeCell ref="F32:I32"/>
    <mergeCell ref="D36:E36"/>
    <mergeCell ref="H33:I33"/>
    <mergeCell ref="J34:O35"/>
    <mergeCell ref="J37:O37"/>
    <mergeCell ref="B34:C34"/>
    <mergeCell ref="F34:G34"/>
    <mergeCell ref="H34:I34"/>
    <mergeCell ref="J32:O33"/>
    <mergeCell ref="B42:C44"/>
    <mergeCell ref="Y9:Z9"/>
    <mergeCell ref="Y11:Z11"/>
    <mergeCell ref="C1:J1"/>
    <mergeCell ref="L1:P1"/>
    <mergeCell ref="H35:I35"/>
    <mergeCell ref="H36:I36"/>
    <mergeCell ref="B35:C35"/>
    <mergeCell ref="E25:J25"/>
    <mergeCell ref="E24:J24"/>
    <mergeCell ref="B23:O23"/>
    <mergeCell ref="B27:O27"/>
    <mergeCell ref="B28:O28"/>
    <mergeCell ref="K29:O29"/>
    <mergeCell ref="B5:P5"/>
    <mergeCell ref="I11:J11"/>
    <mergeCell ref="C13:D13"/>
    <mergeCell ref="E17:F17"/>
    <mergeCell ref="I13:J13"/>
    <mergeCell ref="I15:J15"/>
    <mergeCell ref="G9:H9"/>
    <mergeCell ref="G14:O14"/>
    <mergeCell ref="G16:O16"/>
    <mergeCell ref="G20:O20"/>
  </mergeCells>
  <phoneticPr fontId="0" type="noConversion"/>
  <conditionalFormatting sqref="F33:G33">
    <cfRule type="cellIs" dxfId="1" priority="1" operator="greaterThanOrEqual">
      <formula>$X$33</formula>
    </cfRule>
  </conditionalFormatting>
  <dataValidations xWindow="548" yWindow="368" count="21">
    <dataValidation type="list" showInputMessage="1" showErrorMessage="1" promptTitle="Hip ROM" prompt="Enter retained degrees of motion, internal rotation.  If joint was not affected by the injury, select &quot;NA&quot; or leave blank." sqref="C17:D17" xr:uid="{00000000-0002-0000-0C00-000000000000}">
      <formula1>$B$47:$B$88</formula1>
    </dataValidation>
    <dataValidation type="list" showInputMessage="1" showErrorMessage="1" promptTitle="Hip ROM" prompt="Enter retained degrees of motion, forward flexion. If joint was not affected by the injury, select &quot;NA&quot; or leave blank." sqref="C9:D9" xr:uid="{00000000-0002-0000-0C00-000001000000}">
      <formula1>$B$47:$B$148</formula1>
    </dataValidation>
    <dataValidation type="list" showInputMessage="1" showErrorMessage="1" promptTitle="Hip" prompt="Enter degrees of forward flexion ankylosis. If joint was not affected by the injury, select &quot;NA&quot; or leave blank." sqref="C10:D10" xr:uid="{00000000-0002-0000-0C00-000002000000}">
      <formula1>$B$47:$B$148</formula1>
    </dataValidation>
    <dataValidation type="list" showInputMessage="1" showErrorMessage="1" promptTitle="Hip ROM" prompt="Enter retained degrees of motion, backward extension. If joint was not affected by the injury, select &quot;NA&quot; or leave blank." sqref="C11:D11" xr:uid="{00000000-0002-0000-0C00-000003000000}">
      <formula1>$B$47:$B$78</formula1>
    </dataValidation>
    <dataValidation type="list" showInputMessage="1" showErrorMessage="1" promptTitle="Hip" prompt="Enter degrees of backward extension ankylosis.  If joint was not affected by the injury, select &quot;NA&quot; or leave blank." sqref="C12:D12" xr:uid="{00000000-0002-0000-0C00-000004000000}">
      <formula1>$B$47:$B$78</formula1>
    </dataValidation>
    <dataValidation type="list" showInputMessage="1" showErrorMessage="1" promptTitle="Hip ROM" prompt="Enter retained degrees of motion,abduction. If joint was not affected by the injury, select &quot;NA&quot; or leave blank." sqref="C13:D13" xr:uid="{00000000-0002-0000-0C00-000005000000}">
      <formula1>$B$47:$B$88</formula1>
    </dataValidation>
    <dataValidation type="list" showInputMessage="1" showErrorMessage="1" promptTitle="Hip" prompt="Enter degrees of abduction ankylosis. If joint was not affected by the injury, select &quot;NA&quot; or leave blank." sqref="C14:D14" xr:uid="{00000000-0002-0000-0C00-000006000000}">
      <formula1>$B$47:$B$88</formula1>
    </dataValidation>
    <dataValidation type="list" showInputMessage="1" showErrorMessage="1" promptTitle="Hip ROM" prompt="Enter retained degrees of motion, adduction. If joint was not affected by the injury, select &quot;NA&quot; or leave blank." sqref="C15:D15" xr:uid="{00000000-0002-0000-0C00-000007000000}">
      <formula1>$B$47:$B$68</formula1>
    </dataValidation>
    <dataValidation type="list" showInputMessage="1" showErrorMessage="1" promptTitle="HIp" prompt="Enter degrees of adduction ankylosis.  If joint was not affected by the injury, select &quot;NA&quot; or leave blank." sqref="C16:D16" xr:uid="{00000000-0002-0000-0C00-000008000000}">
      <formula1>$B$47:$B$68</formula1>
    </dataValidation>
    <dataValidation type="list" showInputMessage="1" showErrorMessage="1" promptTitle="Hip" prompt="Enter degrees of internal rotation ankylosis.  If joint was not affected by the injury, select &quot;NA&quot; or leave blank." sqref="C18:D18" xr:uid="{00000000-0002-0000-0C00-000009000000}">
      <formula1>$B$47:$B$88</formula1>
    </dataValidation>
    <dataValidation type="list" showInputMessage="1" showErrorMessage="1" promptTitle="Hip ROM" prompt="Enter retained degrees of motion, external rotation.  If joint was not affected by the injury, select &quot;NA&quot; or leave blank." sqref="C19:D19" xr:uid="{00000000-0002-0000-0C00-00000A000000}">
      <formula1>$B$47:$B$98</formula1>
    </dataValidation>
    <dataValidation type="list" showInputMessage="1" showErrorMessage="1" promptTitle="Hip" prompt="Enter degrees of external rotation ankylosis.  If joint was not affected by the injury, select &quot;NA&quot; or leave blank." sqref="C20:D20" xr:uid="{00000000-0002-0000-0C00-00000B000000}">
      <formula1>$B$47:$B$98</formula1>
    </dataValidation>
    <dataValidation type="decimal" operator="equal" allowBlank="1" showInputMessage="1" showErrorMessage="1" promptTitle="Hip" prompt="Check &quot;Yes&quot; if the chronic condition criteria have been met." sqref="A29" xr:uid="{00000000-0002-0000-0C00-00000C000000}">
      <formula1>S29</formula1>
    </dataValidation>
    <dataValidation type="decimal" operator="equal" allowBlank="1" showInputMessage="1" showErrorMessage="1" promptTitle="Hip surgery" prompt="Show type of surgery, if any." sqref="A24" xr:uid="{00000000-0002-0000-0C00-00000D000000}">
      <formula1>S24</formula1>
    </dataValidation>
    <dataValidation allowBlank="1" showInputMessage="1" showErrorMessage="1" promptTitle="End of worksheet" prompt="Press TAB to return to top of sheet." sqref="P39" xr:uid="{00000000-0002-0000-0C00-00000E000000}"/>
    <dataValidation type="list" showInputMessage="1" showErrorMessage="1" promptTitle="Contralateral comparison" prompt="Enter retained degrees of motion or &quot;NA&quot; if contralateral joint has a history of injury or disease." sqref="G19:H19" xr:uid="{00000000-0002-0000-0C00-00000F000000}">
      <formula1>$B$47:$B$98</formula1>
    </dataValidation>
    <dataValidation type="decimal" allowBlank="1" showInputMessage="1" showErrorMessage="1" promptTitle="Apportionment (if any)" prompt="Enter percentage of impairment caused by the injury or illness. See OAR 436-035-0013." sqref="F33:G33 F36:G36" xr:uid="{00000000-0002-0000-0C00-000010000000}">
      <formula1>$B$45</formula1>
      <formula2>$C$45</formula2>
    </dataValidation>
    <dataValidation type="list" showInputMessage="1" showErrorMessage="1" promptTitle="Contralateral comparison" prompt="Enter retained degrees of motion or &quot;NA&quot; if contralateral joint has a history of injury or disease." sqref="G9:H9" xr:uid="{370A777D-E085-4C96-9D5C-A499A150EC82}">
      <formula1>$B$47:$B$148</formula1>
    </dataValidation>
    <dataValidation type="list" showInputMessage="1" showErrorMessage="1" promptTitle="Contralateral comparison" prompt="Enter retained degrees of motion or &quot;NA&quot; if contralateral joint has a history of injury or disease." sqref="G11:H11" xr:uid="{BE588458-241C-4060-A66C-E4594E681731}">
      <formula1>$B$47:$B$78</formula1>
    </dataValidation>
    <dataValidation type="list" showInputMessage="1" showErrorMessage="1" promptTitle="Contralateral comparison" prompt="Enter retained degrees of motion or &quot;NA&quot; if contralateral joint has a history of injury or disease." sqref="G13:H13 G17:H17" xr:uid="{00D54D17-ABC1-45A4-B529-0844F3D50D3D}">
      <formula1>$B$47:$B$88</formula1>
    </dataValidation>
    <dataValidation type="list" showInputMessage="1" showErrorMessage="1" promptTitle="Contralateral comparison" prompt="Enter retained degrees of motion or &quot;NA&quot; if contralateral joint has a history of injury or disease." sqref="G15:H15" xr:uid="{77A3604F-1DAB-4D9D-9D6E-83C5548EA875}">
      <formula1>$B$47:$B$68</formula1>
    </dataValidation>
  </dataValidations>
  <hyperlinks>
    <hyperlink ref="B39" location="'Hip-Right'!A1" display="Return to top of sheet" xr:uid="{00000000-0004-0000-0C00-000000000000}"/>
    <hyperlink ref="I39:N39" location="'PPD DOI on or after 2005'!A1" display="'PPD DOI on or after 2005'!A1" xr:uid="{00000000-0004-0000-0C00-000001000000}"/>
    <hyperlink ref="C39:H39" location="'PPD DOI before 2005'!A1" display="'PPD DOI before 2005'!A1" xr:uid="{00000000-0004-0000-0C00-000002000000}"/>
    <hyperlink ref="B4:P4" location="'Lower Extremity-Right'!A1" display="When reduced ranges of motion of the hip do not involve the pelvis and/or acetabulum, determine impairment according to OAR 436-035-0220." xr:uid="{00000000-0004-0000-0C00-000003000000}"/>
  </hyperlinks>
  <pageMargins left="0.67" right="0.63" top="0.47" bottom="0.56000000000000005" header="0.5" footer="0.5"/>
  <pageSetup orientation="portrait" horizontalDpi="300" verticalDpi="300" r:id="rId1"/>
  <headerFooter alignWithMargins="0">
    <oddFooter>&amp;LHip, Right&amp;CPage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8921" r:id="rId4" name="Group Box 9">
              <controlPr defaultSize="0" autoFill="0" autoPict="0">
                <anchor moveWithCells="1" sizeWithCells="1">
                  <from>
                    <xdr:col>3</xdr:col>
                    <xdr:colOff>276225</xdr:colOff>
                    <xdr:row>23</xdr:row>
                    <xdr:rowOff>0</xdr:rowOff>
                  </from>
                  <to>
                    <xdr:col>9</xdr:col>
                    <xdr:colOff>361950</xdr:colOff>
                    <xdr:row>24</xdr:row>
                    <xdr:rowOff>9525</xdr:rowOff>
                  </to>
                </anchor>
              </controlPr>
            </control>
          </mc:Choice>
        </mc:AlternateContent>
        <mc:AlternateContent xmlns:mc="http://schemas.openxmlformats.org/markup-compatibility/2006">
          <mc:Choice Requires="x14">
            <control shapeId="38923" r:id="rId5" name="Option Button 11">
              <controlPr defaultSize="0" autoFill="0" autoLine="0" autoPict="0">
                <anchor moveWithCells="1" sizeWithCells="1">
                  <from>
                    <xdr:col>4</xdr:col>
                    <xdr:colOff>123825</xdr:colOff>
                    <xdr:row>23</xdr:row>
                    <xdr:rowOff>19050</xdr:rowOff>
                  </from>
                  <to>
                    <xdr:col>6</xdr:col>
                    <xdr:colOff>238125</xdr:colOff>
                    <xdr:row>23</xdr:row>
                    <xdr:rowOff>247650</xdr:rowOff>
                  </to>
                </anchor>
              </controlPr>
            </control>
          </mc:Choice>
        </mc:AlternateContent>
        <mc:AlternateContent xmlns:mc="http://schemas.openxmlformats.org/markup-compatibility/2006">
          <mc:Choice Requires="x14">
            <control shapeId="38924" r:id="rId6" name="Option Button 12">
              <controlPr defaultSize="0" autoFill="0" autoLine="0" autoPict="0">
                <anchor moveWithCells="1" sizeWithCells="1">
                  <from>
                    <xdr:col>7</xdr:col>
                    <xdr:colOff>171450</xdr:colOff>
                    <xdr:row>23</xdr:row>
                    <xdr:rowOff>9525</xdr:rowOff>
                  </from>
                  <to>
                    <xdr:col>9</xdr:col>
                    <xdr:colOff>285750</xdr:colOff>
                    <xdr:row>23</xdr:row>
                    <xdr:rowOff>238125</xdr:rowOff>
                  </to>
                </anchor>
              </controlPr>
            </control>
          </mc:Choice>
        </mc:AlternateContent>
        <mc:AlternateContent xmlns:mc="http://schemas.openxmlformats.org/markup-compatibility/2006">
          <mc:Choice Requires="x14">
            <control shapeId="38922" r:id="rId7" name="Group Box 10">
              <controlPr defaultSize="0" autoFill="0" autoPict="0">
                <anchor moveWithCells="1" sizeWithCells="1">
                  <from>
                    <xdr:col>3</xdr:col>
                    <xdr:colOff>276225</xdr:colOff>
                    <xdr:row>24</xdr:row>
                    <xdr:rowOff>9525</xdr:rowOff>
                  </from>
                  <to>
                    <xdr:col>9</xdr:col>
                    <xdr:colOff>361950</xdr:colOff>
                    <xdr:row>25</xdr:row>
                    <xdr:rowOff>9525</xdr:rowOff>
                  </to>
                </anchor>
              </controlPr>
            </control>
          </mc:Choice>
        </mc:AlternateContent>
        <mc:AlternateContent xmlns:mc="http://schemas.openxmlformats.org/markup-compatibility/2006">
          <mc:Choice Requires="x14">
            <control shapeId="38925" r:id="rId8" name="Option Button 13">
              <controlPr defaultSize="0" autoFill="0" autoLine="0" autoPict="0">
                <anchor moveWithCells="1" sizeWithCells="1">
                  <from>
                    <xdr:col>4</xdr:col>
                    <xdr:colOff>123825</xdr:colOff>
                    <xdr:row>24</xdr:row>
                    <xdr:rowOff>28575</xdr:rowOff>
                  </from>
                  <to>
                    <xdr:col>6</xdr:col>
                    <xdr:colOff>152400</xdr:colOff>
                    <xdr:row>25</xdr:row>
                    <xdr:rowOff>0</xdr:rowOff>
                  </to>
                </anchor>
              </controlPr>
            </control>
          </mc:Choice>
        </mc:AlternateContent>
        <mc:AlternateContent xmlns:mc="http://schemas.openxmlformats.org/markup-compatibility/2006">
          <mc:Choice Requires="x14">
            <control shapeId="38926" r:id="rId9" name="Option Button 14">
              <controlPr defaultSize="0" autoFill="0" autoLine="0" autoPict="0">
                <anchor moveWithCells="1" sizeWithCells="1">
                  <from>
                    <xdr:col>7</xdr:col>
                    <xdr:colOff>171450</xdr:colOff>
                    <xdr:row>24</xdr:row>
                    <xdr:rowOff>19050</xdr:rowOff>
                  </from>
                  <to>
                    <xdr:col>9</xdr:col>
                    <xdr:colOff>200025</xdr:colOff>
                    <xdr:row>24</xdr:row>
                    <xdr:rowOff>238125</xdr:rowOff>
                  </to>
                </anchor>
              </controlPr>
            </control>
          </mc:Choice>
        </mc:AlternateContent>
        <mc:AlternateContent xmlns:mc="http://schemas.openxmlformats.org/markup-compatibility/2006">
          <mc:Choice Requires="x14">
            <control shapeId="38916" r:id="rId10" name="Group Box 4">
              <controlPr defaultSize="0" autoFill="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38917" r:id="rId11" name="Option Button 5">
              <controlPr defaultSize="0" autoFill="0" autoLine="0" autoPict="0">
                <anchor moveWithCells="1" sizeWithCells="1">
                  <from>
                    <xdr:col>10</xdr:col>
                    <xdr:colOff>76200</xdr:colOff>
                    <xdr:row>28</xdr:row>
                    <xdr:rowOff>9525</xdr:rowOff>
                  </from>
                  <to>
                    <xdr:col>13</xdr:col>
                    <xdr:colOff>38100</xdr:colOff>
                    <xdr:row>28</xdr:row>
                    <xdr:rowOff>219075</xdr:rowOff>
                  </to>
                </anchor>
              </controlPr>
            </control>
          </mc:Choice>
        </mc:AlternateContent>
        <mc:AlternateContent xmlns:mc="http://schemas.openxmlformats.org/markup-compatibility/2006">
          <mc:Choice Requires="x14">
            <control shapeId="38918" r:id="rId12" name="Option Button 6">
              <controlPr defaultSize="0" autoFill="0" autoLine="0" autoPict="0">
                <anchor moveWithCells="1" sizeWithCells="1">
                  <from>
                    <xdr:col>13</xdr:col>
                    <xdr:colOff>114300</xdr:colOff>
                    <xdr:row>28</xdr:row>
                    <xdr:rowOff>9525</xdr:rowOff>
                  </from>
                  <to>
                    <xdr:col>14</xdr:col>
                    <xdr:colOff>609600</xdr:colOff>
                    <xdr:row>28</xdr:row>
                    <xdr:rowOff>219075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G408"/>
  <sheetViews>
    <sheetView showGridLines="0" zoomScale="120" zoomScaleNormal="120" workbookViewId="0"/>
  </sheetViews>
  <sheetFormatPr defaultColWidth="2.42578125" defaultRowHeight="12.75" x14ac:dyDescent="0.2"/>
  <cols>
    <col min="1" max="1" width="1.42578125" style="35" customWidth="1"/>
    <col min="2" max="2" width="23.28515625" style="35" customWidth="1"/>
    <col min="3" max="3" width="3.7109375" style="2" customWidth="1"/>
    <col min="4" max="4" width="4.140625" style="191" customWidth="1"/>
    <col min="5" max="5" width="2.85546875" style="35" customWidth="1"/>
    <col min="6" max="6" width="4.85546875" style="191" customWidth="1"/>
    <col min="7" max="7" width="4" style="35" customWidth="1"/>
    <col min="8" max="8" width="3.85546875" style="191" customWidth="1"/>
    <col min="9" max="9" width="4" style="35" customWidth="1"/>
    <col min="10" max="10" width="5.5703125" style="191" customWidth="1"/>
    <col min="11" max="11" width="2.85546875" style="35" customWidth="1"/>
    <col min="12" max="12" width="4" style="191" customWidth="1"/>
    <col min="13" max="13" width="4.42578125" style="35" customWidth="1"/>
    <col min="14" max="14" width="4" style="191" customWidth="1"/>
    <col min="15" max="15" width="9.5703125" style="35" customWidth="1"/>
    <col min="16" max="16" width="9.28515625" style="35" customWidth="1"/>
    <col min="17" max="17" width="0.85546875" style="35" customWidth="1"/>
    <col min="18" max="18" width="13.5703125" style="35" hidden="1" customWidth="1"/>
    <col min="19" max="19" width="11.85546875" style="35" hidden="1" customWidth="1"/>
    <col min="20" max="20" width="13.85546875" style="35" hidden="1" customWidth="1"/>
    <col min="21" max="21" width="13.140625" style="35" hidden="1" customWidth="1"/>
    <col min="22" max="22" width="11.42578125" style="35" hidden="1" customWidth="1"/>
    <col min="23" max="23" width="10.5703125" style="35" hidden="1" customWidth="1"/>
    <col min="24" max="24" width="13" style="35" hidden="1" customWidth="1"/>
    <col min="25" max="25" width="14" style="35" hidden="1" customWidth="1"/>
    <col min="26" max="26" width="12.7109375" style="35" hidden="1" customWidth="1"/>
    <col min="27" max="27" width="7.5703125" style="35" hidden="1" customWidth="1"/>
    <col min="28" max="28" width="10" style="35" hidden="1" customWidth="1"/>
    <col min="29" max="29" width="7" style="35" hidden="1" customWidth="1"/>
    <col min="30" max="30" width="5.85546875" style="35" hidden="1" customWidth="1"/>
    <col min="31" max="31" width="4" style="35" hidden="1" customWidth="1"/>
    <col min="32" max="32" width="5.140625" style="35" hidden="1" customWidth="1"/>
    <col min="33" max="130" width="2.42578125" style="35" hidden="1" customWidth="1"/>
    <col min="131" max="255" width="2.42578125" style="35" customWidth="1"/>
    <col min="256" max="16384" width="2.42578125" style="35"/>
  </cols>
  <sheetData>
    <row r="1" spans="2:238" ht="15" customHeight="1" x14ac:dyDescent="0.2">
      <c r="B1" s="14" t="s">
        <v>1733</v>
      </c>
      <c r="C1" s="1347" t="str">
        <f>IF('Start here'!A6="","",'Start here'!A6)</f>
        <v/>
      </c>
      <c r="D1" s="1351"/>
      <c r="E1" s="1351"/>
      <c r="F1" s="1351"/>
      <c r="G1" s="1351"/>
      <c r="H1" s="1351"/>
      <c r="I1" s="1351"/>
      <c r="J1" s="1352"/>
      <c r="K1" s="2"/>
      <c r="L1" s="1347" t="str">
        <f>IF('Start here'!A7="","",'Start here'!A7)</f>
        <v/>
      </c>
      <c r="M1" s="1351"/>
      <c r="N1" s="1351"/>
      <c r="O1" s="1351"/>
      <c r="P1" s="1352"/>
      <c r="S1" s="694">
        <v>38353</v>
      </c>
      <c r="T1" s="196">
        <f>'Start here'!A8</f>
        <v>0</v>
      </c>
      <c r="U1" s="1179" t="str">
        <f>IF(T1&gt;=S1,"Go to PPD Worksheet","")</f>
        <v/>
      </c>
      <c r="V1" s="1179" t="str">
        <f>IF(T1&lt;S1,"Go to PPD Worksheet","")</f>
        <v>Go to PPD Worksheet</v>
      </c>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238" x14ac:dyDescent="0.2">
      <c r="B2" s="1772"/>
      <c r="C2" s="1772"/>
      <c r="D2" s="1772"/>
      <c r="E2" s="1772"/>
      <c r="F2" s="1772"/>
      <c r="G2" s="1772"/>
      <c r="H2" s="1772"/>
      <c r="I2" s="1772"/>
      <c r="J2" s="1772"/>
      <c r="K2" s="1772"/>
      <c r="L2" s="1772"/>
      <c r="M2" s="1772"/>
      <c r="N2" s="1772"/>
      <c r="O2" s="1772"/>
      <c r="P2" s="1772"/>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c r="GD2" s="63"/>
      <c r="GE2" s="63"/>
      <c r="GF2" s="63"/>
      <c r="GG2" s="63"/>
      <c r="GH2" s="63"/>
      <c r="GI2" s="63"/>
      <c r="GJ2" s="63"/>
      <c r="GK2" s="63"/>
      <c r="GL2" s="63"/>
    </row>
    <row r="3" spans="2:238" ht="24" customHeight="1" x14ac:dyDescent="0.3">
      <c r="B3" s="2324" t="s">
        <v>160</v>
      </c>
      <c r="C3" s="2325"/>
      <c r="D3" s="2325"/>
      <c r="E3" s="2325"/>
      <c r="F3" s="2325"/>
      <c r="G3" s="2325"/>
      <c r="H3" s="2325"/>
      <c r="I3" s="2325"/>
      <c r="J3" s="2325"/>
      <c r="K3" s="2325"/>
      <c r="L3" s="2325"/>
      <c r="M3" s="2325"/>
      <c r="N3" s="2325"/>
      <c r="O3" s="2325"/>
      <c r="P3" s="2325"/>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63"/>
      <c r="CB3" s="63"/>
      <c r="CC3" s="63"/>
      <c r="CD3" s="63"/>
      <c r="CE3" s="63"/>
      <c r="CF3" s="63"/>
      <c r="CG3" s="63"/>
      <c r="CH3" s="63"/>
      <c r="CI3" s="63"/>
      <c r="CJ3" s="63"/>
      <c r="CK3" s="63"/>
      <c r="CL3" s="63"/>
      <c r="CM3" s="63"/>
      <c r="CN3" s="63"/>
      <c r="CO3" s="63"/>
      <c r="CP3" s="63"/>
      <c r="CQ3" s="63"/>
      <c r="CR3" s="63"/>
      <c r="CS3" s="63"/>
      <c r="CT3" s="63"/>
      <c r="CU3" s="63"/>
      <c r="CV3" s="63"/>
      <c r="CW3" s="63"/>
      <c r="CX3" s="63"/>
      <c r="CY3" s="63"/>
      <c r="CZ3" s="63"/>
      <c r="DA3" s="63"/>
      <c r="DB3" s="63"/>
      <c r="DC3" s="63"/>
      <c r="DD3" s="63"/>
      <c r="DE3" s="63"/>
      <c r="DF3" s="63"/>
      <c r="DG3" s="63"/>
      <c r="DH3" s="63"/>
      <c r="DI3" s="63"/>
      <c r="DJ3" s="63"/>
      <c r="DK3" s="63"/>
      <c r="DL3" s="63"/>
      <c r="DM3" s="63"/>
      <c r="DN3" s="63"/>
      <c r="DO3" s="63"/>
      <c r="DP3" s="63"/>
      <c r="DQ3" s="63"/>
      <c r="DR3" s="63"/>
      <c r="DS3" s="63"/>
      <c r="DT3" s="63"/>
      <c r="DU3" s="63"/>
      <c r="DV3" s="63"/>
      <c r="DW3" s="63"/>
      <c r="DX3" s="63"/>
      <c r="DY3" s="63"/>
      <c r="DZ3" s="63"/>
      <c r="EA3" s="63"/>
      <c r="EB3" s="63"/>
      <c r="EC3" s="63"/>
      <c r="ED3" s="63"/>
      <c r="EE3" s="63"/>
      <c r="EF3" s="63"/>
      <c r="EG3" s="63"/>
      <c r="EH3" s="63"/>
      <c r="EI3" s="63"/>
      <c r="EJ3" s="63"/>
      <c r="EK3" s="63"/>
      <c r="EL3" s="63"/>
      <c r="EM3" s="63"/>
      <c r="EN3" s="63"/>
      <c r="EO3" s="63"/>
      <c r="EP3" s="63"/>
      <c r="EQ3" s="63"/>
      <c r="ER3" s="63"/>
      <c r="ES3" s="63"/>
      <c r="ET3" s="63"/>
      <c r="EU3" s="63"/>
      <c r="EV3" s="63"/>
      <c r="EW3" s="63"/>
      <c r="EX3" s="63"/>
      <c r="EY3" s="63"/>
      <c r="EZ3" s="63"/>
      <c r="FA3" s="63"/>
      <c r="FB3" s="63"/>
      <c r="FC3" s="63"/>
      <c r="FD3" s="63"/>
      <c r="FE3" s="63"/>
      <c r="FF3" s="63"/>
      <c r="FG3" s="63"/>
      <c r="FH3" s="63"/>
      <c r="FI3" s="63"/>
      <c r="FJ3" s="63"/>
      <c r="FK3" s="63"/>
      <c r="FL3" s="63"/>
      <c r="FM3" s="63"/>
      <c r="FN3" s="63"/>
      <c r="FO3" s="63"/>
      <c r="FP3" s="63"/>
      <c r="FQ3" s="63"/>
      <c r="FR3" s="63"/>
      <c r="FS3" s="63"/>
      <c r="FT3" s="63"/>
      <c r="FU3" s="63"/>
      <c r="FV3" s="63"/>
      <c r="FW3" s="63"/>
      <c r="FX3" s="63"/>
      <c r="FY3" s="63"/>
      <c r="FZ3" s="63"/>
      <c r="GA3" s="63"/>
      <c r="GB3" s="63"/>
      <c r="GC3" s="63"/>
      <c r="GD3" s="63"/>
      <c r="GE3" s="63"/>
      <c r="GF3" s="63"/>
      <c r="GG3" s="63"/>
      <c r="GH3" s="63"/>
      <c r="GI3" s="63"/>
      <c r="GJ3" s="63"/>
      <c r="GK3" s="63"/>
      <c r="GL3" s="63"/>
    </row>
    <row r="4" spans="2:238" ht="25.5" customHeight="1" x14ac:dyDescent="0.2">
      <c r="B4" s="2326" t="s">
        <v>2135</v>
      </c>
      <c r="C4" s="2327"/>
      <c r="D4" s="2327"/>
      <c r="E4" s="2327"/>
      <c r="F4" s="2327"/>
      <c r="G4" s="2327"/>
      <c r="H4" s="2327"/>
      <c r="I4" s="2327"/>
      <c r="J4" s="2327"/>
      <c r="K4" s="2327"/>
      <c r="L4" s="2327"/>
      <c r="M4" s="2327"/>
      <c r="N4" s="2327"/>
      <c r="O4" s="2327"/>
      <c r="P4" s="2328"/>
      <c r="R4" s="63"/>
      <c r="S4" s="63"/>
      <c r="T4" s="63"/>
      <c r="U4" s="63"/>
      <c r="V4" s="63"/>
      <c r="W4" s="63"/>
      <c r="X4" s="63"/>
      <c r="Y4" s="63"/>
      <c r="Z4" s="63"/>
      <c r="AA4" s="63"/>
      <c r="AB4" s="63"/>
      <c r="AC4" s="63"/>
      <c r="AD4" s="63"/>
      <c r="AE4" s="63"/>
      <c r="AF4" s="63"/>
      <c r="AG4" s="63"/>
      <c r="AH4" s="63"/>
      <c r="AI4" s="63"/>
      <c r="AJ4" s="63"/>
      <c r="AK4" s="63"/>
      <c r="AL4" s="63"/>
      <c r="AM4" s="63"/>
      <c r="AN4" s="63"/>
      <c r="AO4" s="63"/>
      <c r="AP4" s="63"/>
      <c r="AQ4" s="63"/>
      <c r="AR4" s="63"/>
      <c r="AS4" s="63"/>
      <c r="AT4" s="63"/>
      <c r="AU4" s="63"/>
      <c r="AV4" s="63"/>
      <c r="AW4" s="63"/>
      <c r="AX4" s="63"/>
      <c r="AY4" s="63"/>
      <c r="AZ4" s="63"/>
      <c r="BA4" s="63"/>
      <c r="BB4" s="63"/>
      <c r="BC4" s="63"/>
      <c r="BD4" s="63"/>
      <c r="BE4" s="63"/>
      <c r="BF4" s="63"/>
      <c r="BG4" s="63"/>
      <c r="BH4" s="63"/>
      <c r="BI4" s="63"/>
      <c r="BJ4" s="63"/>
      <c r="BK4" s="63"/>
      <c r="BL4" s="63"/>
      <c r="BM4" s="63"/>
      <c r="BN4" s="63"/>
      <c r="BO4" s="63"/>
      <c r="BP4" s="63"/>
      <c r="BQ4" s="63"/>
      <c r="BR4" s="63"/>
      <c r="BS4" s="63"/>
      <c r="BT4" s="63"/>
      <c r="BU4" s="63"/>
      <c r="BV4" s="63"/>
      <c r="BW4" s="63"/>
      <c r="BX4" s="63"/>
      <c r="BY4" s="63"/>
      <c r="BZ4" s="63"/>
      <c r="CA4" s="63"/>
      <c r="CB4" s="63"/>
      <c r="CC4" s="63"/>
      <c r="CD4" s="63"/>
      <c r="CE4" s="63"/>
      <c r="CF4" s="63"/>
      <c r="CG4" s="63"/>
      <c r="CH4" s="63"/>
      <c r="CI4" s="63"/>
      <c r="CJ4" s="63"/>
      <c r="CK4" s="63"/>
      <c r="CL4" s="63"/>
      <c r="CM4" s="63"/>
      <c r="CN4" s="63"/>
      <c r="CO4" s="63"/>
      <c r="CP4" s="63"/>
      <c r="CQ4" s="63"/>
      <c r="CR4" s="63"/>
      <c r="CS4" s="63"/>
      <c r="CT4" s="63"/>
      <c r="CU4" s="63"/>
      <c r="CV4" s="63"/>
      <c r="CW4" s="63"/>
      <c r="CX4" s="63"/>
      <c r="CY4" s="63"/>
      <c r="CZ4" s="63"/>
      <c r="DA4" s="63"/>
      <c r="DB4" s="63"/>
      <c r="DC4" s="63"/>
      <c r="DD4" s="63"/>
      <c r="DE4" s="63"/>
      <c r="DF4" s="63"/>
      <c r="DG4" s="63"/>
      <c r="DH4" s="63"/>
      <c r="DI4" s="63"/>
      <c r="DJ4" s="63"/>
      <c r="DK4" s="63"/>
      <c r="DL4" s="63"/>
      <c r="DM4" s="63"/>
      <c r="DN4" s="63"/>
      <c r="DO4" s="63"/>
      <c r="DP4" s="63"/>
      <c r="DQ4" s="63"/>
      <c r="DR4" s="63"/>
      <c r="DS4" s="63"/>
      <c r="DT4" s="63"/>
      <c r="DU4" s="63"/>
      <c r="DV4" s="63"/>
      <c r="DW4" s="63"/>
      <c r="DX4" s="63"/>
      <c r="DY4" s="63"/>
      <c r="DZ4" s="63"/>
      <c r="EA4" s="63"/>
      <c r="EB4" s="63"/>
      <c r="EC4" s="63"/>
      <c r="ED4" s="63"/>
      <c r="EE4" s="63"/>
      <c r="EF4" s="63"/>
      <c r="EG4" s="63"/>
      <c r="EH4" s="63"/>
      <c r="EI4" s="63"/>
      <c r="EJ4" s="63"/>
      <c r="EK4" s="63"/>
      <c r="EL4" s="63"/>
      <c r="EM4" s="63"/>
      <c r="EN4" s="63"/>
      <c r="EO4" s="63"/>
      <c r="EP4" s="63"/>
      <c r="EQ4" s="63"/>
      <c r="ER4" s="63"/>
      <c r="ES4" s="63"/>
      <c r="ET4" s="63"/>
      <c r="EU4" s="63"/>
      <c r="EV4" s="63"/>
      <c r="EW4" s="63"/>
      <c r="EX4" s="63"/>
      <c r="EY4" s="63"/>
      <c r="EZ4" s="63"/>
      <c r="FA4" s="63"/>
      <c r="FB4" s="63"/>
      <c r="FC4" s="63"/>
      <c r="FD4" s="63"/>
      <c r="FE4" s="63"/>
      <c r="FF4" s="63"/>
      <c r="FG4" s="63"/>
      <c r="FH4" s="63"/>
      <c r="FI4" s="63"/>
      <c r="FJ4" s="63"/>
      <c r="FK4" s="63"/>
      <c r="FL4" s="63"/>
      <c r="FM4" s="63"/>
      <c r="FN4" s="63"/>
      <c r="FO4" s="63"/>
      <c r="FP4" s="63"/>
      <c r="FQ4" s="63"/>
      <c r="FR4" s="63"/>
      <c r="FS4" s="63"/>
      <c r="FT4" s="63"/>
      <c r="FU4" s="63"/>
      <c r="FV4" s="63"/>
      <c r="FW4" s="63"/>
      <c r="FX4" s="63"/>
      <c r="FY4" s="63"/>
      <c r="FZ4" s="63"/>
      <c r="GA4" s="63"/>
      <c r="GB4" s="63"/>
      <c r="GC4" s="63"/>
      <c r="GD4" s="63"/>
      <c r="GE4" s="63"/>
      <c r="GF4" s="63"/>
      <c r="GG4" s="63"/>
      <c r="GH4" s="63"/>
      <c r="GI4" s="63"/>
      <c r="GJ4" s="63"/>
      <c r="GK4" s="63"/>
      <c r="GL4" s="63"/>
    </row>
    <row r="5" spans="2:238" ht="25.5" customHeight="1" x14ac:dyDescent="0.2">
      <c r="B5" s="1712" t="s">
        <v>2136</v>
      </c>
      <c r="C5" s="1908"/>
      <c r="D5" s="1908"/>
      <c r="E5" s="1908"/>
      <c r="F5" s="1908"/>
      <c r="G5" s="1908"/>
      <c r="H5" s="1908"/>
      <c r="I5" s="1908"/>
      <c r="J5" s="1908"/>
      <c r="K5" s="1908"/>
      <c r="L5" s="1908"/>
      <c r="M5" s="1908"/>
      <c r="N5" s="1908"/>
      <c r="O5" s="1908"/>
      <c r="P5" s="171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c r="FO5" s="63"/>
      <c r="FP5" s="63"/>
      <c r="FQ5" s="63"/>
      <c r="FR5" s="63"/>
      <c r="FS5" s="63"/>
      <c r="FT5" s="63"/>
      <c r="FU5" s="63"/>
      <c r="FV5" s="63"/>
      <c r="FW5" s="63"/>
      <c r="FX5" s="63"/>
      <c r="FY5" s="63"/>
      <c r="FZ5" s="63"/>
      <c r="GA5" s="63"/>
      <c r="GB5" s="63"/>
      <c r="GC5" s="63"/>
      <c r="GD5" s="63"/>
      <c r="GE5" s="63"/>
      <c r="GF5" s="63"/>
      <c r="GG5" s="63"/>
      <c r="GH5" s="63"/>
      <c r="GI5" s="63"/>
      <c r="GJ5" s="63"/>
      <c r="GK5" s="63"/>
      <c r="GL5" s="63"/>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c r="HU5" s="14"/>
      <c r="HV5" s="14"/>
      <c r="HW5" s="14"/>
      <c r="HX5" s="14"/>
      <c r="HY5" s="14"/>
      <c r="HZ5" s="14"/>
      <c r="IA5" s="14"/>
      <c r="IB5" s="14"/>
      <c r="IC5" s="14"/>
      <c r="ID5" s="14"/>
    </row>
    <row r="6" spans="2:238" x14ac:dyDescent="0.2">
      <c r="B6" s="1395"/>
      <c r="C6" s="1395"/>
      <c r="D6" s="1395"/>
      <c r="E6" s="1395"/>
      <c r="F6" s="1395"/>
      <c r="G6" s="1395"/>
      <c r="H6" s="1395"/>
      <c r="I6" s="1395"/>
      <c r="J6" s="1395"/>
      <c r="K6" s="1395"/>
      <c r="L6" s="1395"/>
      <c r="M6" s="1395"/>
      <c r="N6" s="1395"/>
      <c r="O6" s="1395"/>
      <c r="P6" s="1395"/>
      <c r="R6" s="63"/>
      <c r="S6" s="7"/>
      <c r="T6" s="63"/>
      <c r="U6" s="63"/>
      <c r="V6" s="7"/>
      <c r="W6" s="7"/>
      <c r="X6" s="7"/>
      <c r="Y6" s="7"/>
      <c r="Z6" s="7"/>
      <c r="AA6" s="7"/>
      <c r="AB6" s="7"/>
      <c r="AC6" s="63"/>
      <c r="AD6" s="63"/>
      <c r="AE6" s="63"/>
      <c r="AF6" s="63"/>
      <c r="AG6" s="63"/>
      <c r="AH6" s="7"/>
      <c r="AI6" s="126"/>
      <c r="AJ6" s="7"/>
      <c r="AK6" s="7"/>
      <c r="AL6" s="7"/>
      <c r="AM6" s="7"/>
      <c r="AN6" s="7"/>
      <c r="AO6" s="7"/>
      <c r="AP6" s="63"/>
      <c r="AQ6" s="63"/>
      <c r="AR6" s="63"/>
      <c r="AS6" s="63"/>
      <c r="AT6" s="63"/>
      <c r="AU6" s="63"/>
      <c r="AV6" s="63"/>
      <c r="AW6" s="63"/>
      <c r="AX6" s="63"/>
      <c r="AY6" s="63"/>
      <c r="AZ6" s="63"/>
      <c r="BA6" s="63"/>
      <c r="BB6" s="63"/>
      <c r="BC6" s="63"/>
      <c r="BD6" s="63"/>
      <c r="BE6" s="63"/>
      <c r="BF6" s="63"/>
      <c r="BG6" s="63"/>
      <c r="BH6" s="63"/>
      <c r="BI6" s="63"/>
      <c r="BJ6" s="63"/>
      <c r="BK6" s="63"/>
      <c r="BL6" s="63"/>
      <c r="BM6" s="63"/>
      <c r="BN6" s="63"/>
      <c r="BO6" s="63"/>
      <c r="BP6" s="63"/>
      <c r="BQ6" s="63"/>
      <c r="BR6" s="63"/>
      <c r="BS6" s="63"/>
      <c r="BT6" s="63"/>
      <c r="BU6" s="63"/>
      <c r="BV6" s="63"/>
      <c r="BW6" s="63"/>
      <c r="BX6" s="63"/>
      <c r="BY6" s="63"/>
      <c r="BZ6" s="63"/>
      <c r="CA6" s="63"/>
      <c r="CB6" s="63"/>
      <c r="CC6" s="63"/>
      <c r="CD6" s="63"/>
      <c r="CE6" s="63"/>
      <c r="CF6" s="63"/>
      <c r="CG6" s="63"/>
      <c r="CH6" s="63"/>
      <c r="CI6" s="63"/>
      <c r="CJ6" s="63"/>
      <c r="CK6" s="63"/>
      <c r="CL6" s="63"/>
      <c r="CM6" s="63"/>
      <c r="CN6" s="63"/>
      <c r="CO6" s="63"/>
      <c r="CP6" s="63"/>
      <c r="CQ6" s="63"/>
      <c r="CR6" s="63"/>
      <c r="CS6" s="63"/>
      <c r="CT6" s="63"/>
      <c r="CU6" s="63"/>
      <c r="CV6" s="63"/>
      <c r="CW6" s="63"/>
      <c r="CX6" s="63"/>
      <c r="CY6" s="63"/>
      <c r="CZ6" s="63"/>
      <c r="DA6" s="63"/>
      <c r="DB6" s="63"/>
      <c r="DC6" s="63"/>
      <c r="DD6" s="63"/>
      <c r="DE6" s="63"/>
      <c r="DF6" s="63"/>
      <c r="DG6" s="63"/>
      <c r="DH6" s="63"/>
      <c r="DI6" s="63"/>
      <c r="DJ6" s="63"/>
      <c r="DK6" s="63"/>
      <c r="DL6" s="63"/>
      <c r="DM6" s="63"/>
      <c r="DN6" s="63"/>
      <c r="DO6" s="63"/>
      <c r="DP6" s="63"/>
      <c r="DQ6" s="63"/>
      <c r="DR6" s="63"/>
      <c r="DS6" s="63"/>
      <c r="DT6" s="63"/>
      <c r="DU6" s="63"/>
      <c r="DV6" s="63"/>
      <c r="DW6" s="63"/>
      <c r="DX6" s="63"/>
      <c r="DY6" s="63"/>
      <c r="DZ6" s="63"/>
      <c r="EA6" s="63"/>
      <c r="EB6" s="63"/>
      <c r="EC6" s="63"/>
      <c r="ED6" s="63"/>
      <c r="EE6" s="63"/>
      <c r="EF6" s="63"/>
      <c r="EG6" s="63"/>
      <c r="EH6" s="63"/>
      <c r="EI6" s="63"/>
      <c r="EJ6" s="63"/>
      <c r="EK6" s="63"/>
      <c r="EL6" s="63"/>
      <c r="EM6" s="63"/>
      <c r="EN6" s="63"/>
      <c r="EO6" s="63"/>
      <c r="EP6" s="63"/>
      <c r="EQ6" s="63"/>
      <c r="ER6" s="63"/>
      <c r="ES6" s="63"/>
      <c r="ET6" s="63"/>
      <c r="EU6" s="63"/>
      <c r="EV6" s="63"/>
      <c r="EW6" s="63"/>
      <c r="EX6" s="63"/>
      <c r="EY6" s="63"/>
      <c r="EZ6" s="63"/>
      <c r="FA6" s="63"/>
      <c r="FB6" s="63"/>
      <c r="FC6" s="63"/>
      <c r="FD6" s="63"/>
      <c r="FE6" s="63"/>
      <c r="FF6" s="63"/>
      <c r="FG6" s="63"/>
      <c r="FH6" s="63"/>
      <c r="FI6" s="63"/>
      <c r="FJ6" s="63"/>
      <c r="FK6" s="63"/>
      <c r="FL6" s="63"/>
      <c r="FM6" s="63"/>
      <c r="FN6" s="63"/>
      <c r="FO6" s="63"/>
      <c r="FP6" s="63"/>
      <c r="FQ6" s="63"/>
      <c r="FR6" s="63"/>
      <c r="FS6" s="63"/>
      <c r="FT6" s="63"/>
      <c r="FU6" s="63"/>
      <c r="FV6" s="63"/>
      <c r="FW6" s="63"/>
      <c r="FX6" s="63"/>
      <c r="FY6" s="63"/>
      <c r="FZ6" s="63"/>
      <c r="GA6" s="63"/>
      <c r="GB6" s="63"/>
      <c r="GC6" s="63"/>
      <c r="GD6" s="63"/>
      <c r="GE6" s="63"/>
      <c r="GF6" s="63"/>
      <c r="GG6" s="63"/>
      <c r="GH6" s="63"/>
      <c r="GI6" s="63"/>
      <c r="GJ6" s="63"/>
      <c r="GK6" s="63"/>
      <c r="GL6" s="63"/>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row>
    <row r="7" spans="2:238" ht="18" customHeight="1" x14ac:dyDescent="0.2">
      <c r="B7" s="1555" t="s">
        <v>1595</v>
      </c>
      <c r="C7" s="1555"/>
      <c r="D7" s="1555"/>
      <c r="E7" s="1555"/>
      <c r="F7" s="1555"/>
      <c r="G7" s="1555"/>
      <c r="H7" s="1555"/>
      <c r="I7" s="1555"/>
      <c r="J7" s="1555"/>
      <c r="K7" s="1555"/>
      <c r="L7" s="1555"/>
      <c r="M7" s="1555"/>
      <c r="N7" s="1555"/>
      <c r="O7" s="1555"/>
      <c r="P7" s="42"/>
      <c r="R7" s="63"/>
      <c r="S7" s="63"/>
      <c r="T7" s="127"/>
      <c r="U7" s="127"/>
      <c r="V7" s="63"/>
      <c r="W7" s="63"/>
      <c r="X7" s="63"/>
      <c r="Y7" s="63"/>
      <c r="Z7" s="63"/>
      <c r="AA7" s="63"/>
      <c r="AB7" s="63"/>
      <c r="AC7" s="63"/>
      <c r="AD7" s="63"/>
      <c r="AE7" s="63"/>
      <c r="AF7" s="63"/>
      <c r="AG7" s="63"/>
      <c r="AH7" s="7"/>
      <c r="AI7" s="63"/>
      <c r="AJ7" s="63"/>
      <c r="AK7" s="63"/>
      <c r="AL7" s="63"/>
      <c r="AM7" s="63"/>
      <c r="AN7" s="7"/>
      <c r="AO7" s="7"/>
      <c r="AP7" s="63"/>
      <c r="AQ7" s="63"/>
      <c r="AR7" s="63"/>
      <c r="AS7" s="63"/>
      <c r="AT7" s="63"/>
      <c r="AU7" s="63"/>
      <c r="AV7" s="63"/>
      <c r="AW7" s="63"/>
      <c r="AX7" s="63"/>
      <c r="AY7" s="63"/>
      <c r="AZ7" s="63"/>
      <c r="BA7" s="63"/>
      <c r="BB7" s="63"/>
      <c r="BC7" s="63"/>
      <c r="BD7" s="63"/>
      <c r="BE7" s="63"/>
      <c r="BF7" s="63"/>
      <c r="BG7" s="63"/>
      <c r="BH7" s="63"/>
      <c r="BI7" s="63"/>
      <c r="BJ7" s="63"/>
      <c r="BK7" s="63"/>
      <c r="BL7" s="63"/>
      <c r="BM7" s="63"/>
      <c r="BN7" s="63"/>
      <c r="BO7" s="63"/>
      <c r="BP7" s="63"/>
      <c r="BQ7" s="63"/>
      <c r="BR7" s="63"/>
      <c r="BS7" s="63"/>
      <c r="BT7" s="63"/>
      <c r="BU7" s="63"/>
      <c r="BV7" s="63"/>
      <c r="BW7" s="63"/>
      <c r="BX7" s="63"/>
      <c r="BY7" s="63"/>
      <c r="BZ7" s="63"/>
      <c r="CA7" s="63"/>
      <c r="CB7" s="63"/>
      <c r="CC7" s="63"/>
      <c r="CD7" s="63"/>
      <c r="CE7" s="63"/>
      <c r="CF7" s="63"/>
      <c r="CG7" s="63"/>
      <c r="CH7" s="63"/>
      <c r="CI7" s="63"/>
      <c r="CJ7" s="63"/>
      <c r="CK7" s="63"/>
      <c r="CL7" s="63"/>
      <c r="CM7" s="63"/>
      <c r="CN7" s="63"/>
      <c r="CO7" s="63"/>
      <c r="CP7" s="63"/>
      <c r="CQ7" s="63"/>
      <c r="CR7" s="63"/>
      <c r="CS7" s="63"/>
      <c r="CT7" s="63"/>
      <c r="CU7" s="63"/>
      <c r="CV7" s="63"/>
      <c r="CW7" s="63"/>
      <c r="CX7" s="63"/>
      <c r="CY7" s="63"/>
      <c r="CZ7" s="63"/>
      <c r="DA7" s="63"/>
      <c r="DB7" s="63"/>
      <c r="DC7" s="63"/>
      <c r="DD7" s="63"/>
      <c r="DE7" s="63"/>
      <c r="DF7" s="63"/>
      <c r="DG7" s="63"/>
      <c r="DH7" s="63"/>
      <c r="DI7" s="63"/>
      <c r="DJ7" s="63"/>
      <c r="DK7" s="63"/>
      <c r="DL7" s="63"/>
      <c r="DM7" s="63"/>
      <c r="DN7" s="63"/>
      <c r="DO7" s="63"/>
      <c r="DP7" s="63"/>
      <c r="DQ7" s="63"/>
      <c r="DR7" s="63"/>
      <c r="DS7" s="63"/>
      <c r="DT7" s="63"/>
      <c r="DU7" s="63"/>
      <c r="DV7" s="63"/>
      <c r="DW7" s="63"/>
      <c r="DX7" s="63"/>
      <c r="DY7" s="63"/>
      <c r="DZ7" s="63"/>
      <c r="EA7" s="63"/>
      <c r="EB7" s="63"/>
      <c r="EC7" s="63"/>
      <c r="ED7" s="63"/>
      <c r="EE7" s="63"/>
      <c r="EF7" s="63"/>
      <c r="EG7" s="63"/>
      <c r="EH7" s="63"/>
      <c r="EI7" s="63"/>
      <c r="EJ7" s="63"/>
      <c r="EK7" s="63"/>
      <c r="EL7" s="63"/>
      <c r="EM7" s="63"/>
      <c r="EN7" s="63"/>
      <c r="EO7" s="63"/>
      <c r="EP7" s="63"/>
      <c r="EQ7" s="63"/>
      <c r="ER7" s="63"/>
      <c r="ES7" s="63"/>
      <c r="ET7" s="63"/>
      <c r="EU7" s="63"/>
      <c r="EV7" s="63"/>
      <c r="EW7" s="63"/>
      <c r="EX7" s="63"/>
      <c r="EY7" s="63"/>
      <c r="EZ7" s="63"/>
      <c r="FA7" s="63"/>
      <c r="FB7" s="63"/>
      <c r="FC7" s="63"/>
      <c r="FD7" s="63"/>
      <c r="FE7" s="63"/>
      <c r="FF7" s="63"/>
      <c r="FG7" s="63"/>
      <c r="FH7" s="63"/>
      <c r="FI7" s="63"/>
      <c r="FJ7" s="63"/>
      <c r="FK7" s="63"/>
      <c r="FL7" s="63"/>
      <c r="FM7" s="63"/>
      <c r="FN7" s="63"/>
      <c r="FO7" s="63"/>
      <c r="FP7" s="63"/>
      <c r="FQ7" s="63"/>
      <c r="FR7" s="63"/>
      <c r="FS7" s="63"/>
      <c r="FT7" s="63"/>
      <c r="FU7" s="63"/>
      <c r="FV7" s="63"/>
      <c r="FW7" s="63"/>
      <c r="FX7" s="63"/>
      <c r="FY7" s="63"/>
      <c r="FZ7" s="63"/>
      <c r="GA7" s="63"/>
      <c r="GB7" s="63"/>
      <c r="GC7" s="63"/>
      <c r="GD7" s="63"/>
      <c r="GE7" s="63"/>
      <c r="GF7" s="63"/>
      <c r="GG7" s="63"/>
      <c r="GH7" s="63"/>
      <c r="GI7" s="63"/>
      <c r="GJ7" s="63"/>
      <c r="GK7" s="63"/>
      <c r="GL7" s="63"/>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row>
    <row r="8" spans="2:238" ht="18" customHeight="1" x14ac:dyDescent="0.25">
      <c r="B8" s="336"/>
      <c r="C8" s="1555" t="s">
        <v>1596</v>
      </c>
      <c r="D8" s="1555"/>
      <c r="E8" s="1555"/>
      <c r="F8" s="1555"/>
      <c r="G8" s="1555" t="s">
        <v>1597</v>
      </c>
      <c r="H8" s="1555"/>
      <c r="I8" s="1555"/>
      <c r="J8" s="1555"/>
      <c r="K8" s="2323"/>
      <c r="L8" s="2323"/>
      <c r="M8" s="2323"/>
      <c r="N8" s="2323"/>
      <c r="O8" s="2323"/>
      <c r="P8" s="2337"/>
      <c r="R8" s="63"/>
      <c r="S8" s="17" t="s">
        <v>1598</v>
      </c>
      <c r="T8" s="1970" t="s">
        <v>211</v>
      </c>
      <c r="U8" s="1972"/>
      <c r="V8" s="1970" t="s">
        <v>194</v>
      </c>
      <c r="W8" s="1972"/>
      <c r="X8" s="7"/>
      <c r="Y8" s="7"/>
      <c r="Z8" s="7"/>
      <c r="AA8" s="7"/>
      <c r="AB8" s="63"/>
      <c r="AC8" s="63"/>
      <c r="AD8" s="63"/>
      <c r="AE8" s="63"/>
      <c r="AF8" s="63"/>
      <c r="AG8" s="63"/>
      <c r="AH8" s="63"/>
      <c r="AI8" s="63"/>
      <c r="AJ8" s="63"/>
      <c r="AK8" s="63"/>
      <c r="AL8" s="63"/>
      <c r="AM8" s="63"/>
      <c r="AN8" s="63"/>
      <c r="AO8" s="63"/>
      <c r="AP8" s="63"/>
      <c r="AQ8" s="63"/>
      <c r="AR8" s="63"/>
      <c r="AS8" s="63"/>
      <c r="AT8" s="63"/>
      <c r="AU8" s="63"/>
      <c r="AV8" s="63"/>
      <c r="AW8" s="63"/>
      <c r="AX8" s="63"/>
      <c r="AY8" s="63"/>
      <c r="AZ8" s="63"/>
      <c r="BA8" s="63"/>
      <c r="BB8" s="63"/>
      <c r="BC8" s="63"/>
      <c r="BD8" s="63"/>
      <c r="BE8" s="63"/>
      <c r="BF8" s="63"/>
      <c r="BG8" s="63"/>
      <c r="BH8" s="63"/>
      <c r="BI8" s="63"/>
      <c r="BJ8" s="63"/>
      <c r="BK8" s="63"/>
      <c r="BL8" s="63"/>
      <c r="BM8" s="63"/>
      <c r="BN8" s="63"/>
      <c r="BO8" s="63"/>
      <c r="BP8" s="63"/>
      <c r="BQ8" s="63"/>
      <c r="BR8" s="63"/>
      <c r="BS8" s="63"/>
      <c r="BT8" s="63"/>
      <c r="BU8" s="63"/>
      <c r="BV8" s="63"/>
      <c r="BW8" s="63"/>
      <c r="BX8" s="63"/>
      <c r="BY8" s="63"/>
      <c r="BZ8" s="63"/>
      <c r="CA8" s="63"/>
      <c r="CB8" s="63"/>
      <c r="CC8" s="63"/>
      <c r="CD8" s="63"/>
      <c r="CE8" s="63"/>
      <c r="CF8" s="63"/>
      <c r="CG8" s="63"/>
      <c r="CH8" s="63"/>
      <c r="CI8" s="63"/>
      <c r="CJ8" s="63"/>
      <c r="CK8" s="63"/>
      <c r="CL8" s="63"/>
      <c r="CM8" s="63"/>
      <c r="CN8" s="63"/>
      <c r="CO8" s="63"/>
      <c r="CP8" s="63"/>
      <c r="CQ8" s="63"/>
      <c r="CR8" s="63"/>
      <c r="CS8" s="63"/>
      <c r="CT8" s="63"/>
      <c r="CU8" s="63"/>
      <c r="CV8" s="63"/>
      <c r="CW8" s="63"/>
      <c r="CX8" s="63"/>
      <c r="CY8" s="63"/>
      <c r="CZ8" s="63"/>
      <c r="DA8" s="63"/>
      <c r="DB8" s="63"/>
      <c r="DC8" s="63"/>
      <c r="DD8" s="63"/>
      <c r="DE8" s="63"/>
      <c r="DF8" s="63"/>
      <c r="DG8" s="63"/>
      <c r="DH8" s="63"/>
      <c r="DI8" s="63"/>
      <c r="DJ8" s="63"/>
      <c r="DK8" s="63"/>
      <c r="DL8" s="63"/>
      <c r="DM8" s="63"/>
      <c r="DN8" s="63"/>
      <c r="DO8" s="63"/>
      <c r="DP8" s="63"/>
      <c r="DQ8" s="63"/>
      <c r="DR8" s="63"/>
      <c r="DS8" s="63"/>
      <c r="DT8" s="63"/>
      <c r="DU8" s="63"/>
      <c r="DV8" s="63"/>
      <c r="DW8" s="63"/>
      <c r="DX8" s="63"/>
      <c r="DY8" s="63"/>
      <c r="DZ8" s="63"/>
      <c r="EA8" s="63"/>
      <c r="EB8" s="63"/>
      <c r="EC8" s="63"/>
      <c r="ED8" s="63"/>
      <c r="EE8" s="63"/>
      <c r="EF8" s="63"/>
      <c r="EG8" s="63"/>
      <c r="EH8" s="63"/>
      <c r="EI8" s="63"/>
      <c r="EJ8" s="63"/>
      <c r="EK8" s="63"/>
      <c r="EL8" s="63"/>
      <c r="EM8" s="63"/>
      <c r="EN8" s="63"/>
      <c r="EO8" s="63"/>
      <c r="EP8" s="63"/>
      <c r="EQ8" s="63"/>
      <c r="ER8" s="63"/>
      <c r="ES8" s="63"/>
      <c r="ET8" s="63"/>
      <c r="EU8" s="63"/>
      <c r="EV8" s="63"/>
      <c r="EW8" s="63"/>
      <c r="EX8" s="63"/>
      <c r="EY8" s="63"/>
      <c r="EZ8" s="63"/>
      <c r="FA8" s="63"/>
      <c r="FB8" s="63"/>
      <c r="FC8" s="63"/>
      <c r="FD8" s="63"/>
      <c r="FE8" s="63"/>
      <c r="FF8" s="63"/>
      <c r="FG8" s="63"/>
      <c r="FH8" s="63"/>
      <c r="FI8" s="63"/>
      <c r="FJ8" s="63"/>
      <c r="FK8" s="63"/>
      <c r="FL8" s="63"/>
      <c r="FM8" s="63"/>
      <c r="FN8" s="63"/>
      <c r="FO8" s="63"/>
      <c r="FP8" s="63"/>
      <c r="FQ8" s="63"/>
      <c r="FR8" s="63"/>
      <c r="FS8" s="63"/>
      <c r="FT8" s="63"/>
      <c r="FU8" s="63"/>
      <c r="FV8" s="63"/>
      <c r="FW8" s="63"/>
      <c r="FX8" s="63"/>
      <c r="FY8" s="63"/>
      <c r="FZ8" s="63"/>
      <c r="GA8" s="63"/>
      <c r="GB8" s="63"/>
      <c r="GC8" s="63"/>
      <c r="GD8" s="63"/>
      <c r="GE8" s="63"/>
      <c r="GF8" s="63"/>
      <c r="GG8" s="63"/>
      <c r="GH8" s="63"/>
      <c r="GI8" s="63"/>
      <c r="GJ8" s="63"/>
      <c r="GK8" s="63"/>
      <c r="GL8" s="63"/>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c r="HU8" s="14"/>
      <c r="HV8" s="14"/>
      <c r="HW8" s="14"/>
      <c r="HX8" s="14"/>
      <c r="HY8" s="14"/>
      <c r="HZ8" s="14"/>
      <c r="IA8" s="14"/>
      <c r="IB8" s="14"/>
      <c r="IC8" s="14"/>
      <c r="ID8" s="14"/>
    </row>
    <row r="9" spans="2:238" ht="30" customHeight="1" x14ac:dyDescent="0.2">
      <c r="B9" s="335" t="s">
        <v>195</v>
      </c>
      <c r="C9" s="1308"/>
      <c r="D9" s="1308"/>
      <c r="E9" s="1558">
        <f>'H-Table'!AB3</f>
        <v>0</v>
      </c>
      <c r="F9" s="1558"/>
      <c r="G9" s="1308"/>
      <c r="H9" s="1308"/>
      <c r="I9" s="1538">
        <f>IF(C9="",0,IF(OR(C9&lt;=0,G9&lt;=0),E9,IF(G9&lt;C9,0,'H-Table'!AG3)))</f>
        <v>0</v>
      </c>
      <c r="J9" s="1538"/>
      <c r="K9" s="1938" t="str">
        <f>IF(OR(C9="NA",G9="NA"),"",IF(AND(C9&lt;&gt;"",G9=""),"Enter contralateral or NA.",IF(AND(C9="",G9&lt;&gt;""),"Need data","")))</f>
        <v/>
      </c>
      <c r="L9" s="1938"/>
      <c r="M9" s="1938"/>
      <c r="N9" s="1938"/>
      <c r="O9" s="1938"/>
      <c r="P9" s="2337"/>
      <c r="R9" s="63"/>
      <c r="S9" s="17">
        <v>100</v>
      </c>
      <c r="T9" s="17" t="str">
        <f t="shared" ref="T9:T20" si="0">IF(OR(C9="",C9="NA"),"",IF(C9&gt;S9,S9,IF(C9&lt;0,0,C9)))</f>
        <v/>
      </c>
      <c r="U9" s="17" t="str">
        <f>IF(OR(G9="",G9="NA"),"",IF(G9&gt;S9,S9,IF(G9&lt;0,0,G9)))</f>
        <v/>
      </c>
      <c r="V9" s="66" t="str">
        <f>IF(W9="","",ROUND(W9,0))</f>
        <v/>
      </c>
      <c r="W9" s="139" t="str">
        <f>IF(T9="","",IF(OR(U9="",U9=0,U9&lt;T9),T9,(T9*S9)/U9))</f>
        <v/>
      </c>
      <c r="X9" s="62">
        <f>IF(AND(Y20=1,Z20=1),"ERROR",SUM(I9,I11,I13,I15,I17,I19,X11))</f>
        <v>0</v>
      </c>
      <c r="Y9" s="1374" t="s">
        <v>2281</v>
      </c>
      <c r="Z9" s="1376"/>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c r="HU9" s="14"/>
      <c r="HV9" s="14"/>
      <c r="HW9" s="14"/>
      <c r="HX9" s="14"/>
      <c r="HY9" s="14"/>
      <c r="HZ9" s="14"/>
      <c r="IA9" s="14"/>
      <c r="IB9" s="14"/>
      <c r="IC9" s="14"/>
      <c r="ID9" s="14"/>
    </row>
    <row r="10" spans="2:238" ht="30" customHeight="1" x14ac:dyDescent="0.2">
      <c r="B10" s="335" t="s">
        <v>1940</v>
      </c>
      <c r="C10" s="1308"/>
      <c r="D10" s="1308"/>
      <c r="E10" s="1558">
        <f>IF(AND($Y$20=1,$Z$20=1),"ERROR",'H-Table'!AB4)</f>
        <v>0</v>
      </c>
      <c r="F10" s="1558"/>
      <c r="G10" s="1556" t="str">
        <f>IF(AND($Z$20=1,$Y$20=1),"Cannot rate ROM and ankylosis.","")</f>
        <v/>
      </c>
      <c r="H10" s="1556"/>
      <c r="I10" s="1556"/>
      <c r="J10" s="1556"/>
      <c r="K10" s="1556"/>
      <c r="L10" s="1556"/>
      <c r="M10" s="1556"/>
      <c r="N10" s="1556"/>
      <c r="O10" s="1556"/>
      <c r="P10" s="2337"/>
      <c r="R10" s="63"/>
      <c r="S10" s="17">
        <v>100</v>
      </c>
      <c r="T10" s="17" t="str">
        <f t="shared" si="0"/>
        <v/>
      </c>
      <c r="U10" s="63"/>
      <c r="V10" s="66"/>
      <c r="W10" s="140"/>
      <c r="X10" s="7"/>
      <c r="Y10" s="7"/>
      <c r="Z10" s="7"/>
      <c r="AA10" s="7"/>
      <c r="AB10" s="6"/>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c r="HU10" s="14"/>
      <c r="HV10" s="14"/>
      <c r="HW10" s="14"/>
      <c r="HX10" s="14"/>
      <c r="HY10" s="14"/>
      <c r="HZ10" s="14"/>
      <c r="IA10" s="14"/>
      <c r="IB10" s="14"/>
      <c r="IC10" s="14"/>
      <c r="ID10" s="14"/>
    </row>
    <row r="11" spans="2:238" ht="30" customHeight="1" x14ac:dyDescent="0.2">
      <c r="B11" s="335" t="s">
        <v>1941</v>
      </c>
      <c r="C11" s="1308"/>
      <c r="D11" s="1308"/>
      <c r="E11" s="1558">
        <f>'H-Table'!AB5</f>
        <v>0</v>
      </c>
      <c r="F11" s="1558"/>
      <c r="G11" s="1308"/>
      <c r="H11" s="1308"/>
      <c r="I11" s="1538">
        <f>IF(C11="",0,IF(OR(C11&lt;=0,G11&lt;=0),E11,IF(G11&lt;C11,0,'H-Table'!AG5)))</f>
        <v>0</v>
      </c>
      <c r="J11" s="1538"/>
      <c r="K11" s="1938" t="str">
        <f>IF(OR(C11="NA",G11="NA"),"",IF(AND(C11&lt;&gt;"",G11=""),"Enter contralateral or NA.",IF(AND(C11="",G11&lt;&gt;""),"Need data","")))</f>
        <v/>
      </c>
      <c r="L11" s="1938"/>
      <c r="M11" s="1938"/>
      <c r="N11" s="1938"/>
      <c r="O11" s="1938"/>
      <c r="P11" s="2337"/>
      <c r="R11" s="63"/>
      <c r="S11" s="17">
        <v>30</v>
      </c>
      <c r="T11" s="17" t="str">
        <f t="shared" si="0"/>
        <v/>
      </c>
      <c r="U11" s="17" t="str">
        <f>IF(OR(G11="",G11="NA"),"",IF(G11&gt;S11,S11,IF(G11&lt;0,0,G11)))</f>
        <v/>
      </c>
      <c r="V11" s="66" t="str">
        <f>IF(W11="","",ROUND(W11,0))</f>
        <v/>
      </c>
      <c r="W11" s="139" t="str">
        <f>IF(T11="","",IF(OR(U11="",U11=0,U11&lt;T11),T11,(T11*S11)/U11))</f>
        <v/>
      </c>
      <c r="X11" s="141">
        <f>MAX(E10,E12,E14,E16,E18,E20)</f>
        <v>0</v>
      </c>
      <c r="Y11" s="1362" t="s">
        <v>2272</v>
      </c>
      <c r="Z11" s="1364"/>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c r="HU11" s="14"/>
      <c r="HV11" s="14"/>
      <c r="HW11" s="14"/>
      <c r="HX11" s="14"/>
      <c r="HY11" s="14"/>
      <c r="HZ11" s="14"/>
      <c r="IA11" s="14"/>
      <c r="IB11" s="14"/>
      <c r="IC11" s="14"/>
      <c r="ID11" s="14"/>
    </row>
    <row r="12" spans="2:238" ht="30" customHeight="1" x14ac:dyDescent="0.2">
      <c r="B12" s="335" t="s">
        <v>690</v>
      </c>
      <c r="C12" s="1308"/>
      <c r="D12" s="1308"/>
      <c r="E12" s="1558">
        <f>IF(AND($Y$20=1,$Z$20=1),"ERROR",'H-Table'!AB6)</f>
        <v>0</v>
      </c>
      <c r="F12" s="1558"/>
      <c r="G12" s="1556" t="str">
        <f>IF(AND($Z$20=1,$Y$20=1),"Cannot rate ROM and ankylosis.","")</f>
        <v/>
      </c>
      <c r="H12" s="1556"/>
      <c r="I12" s="1556"/>
      <c r="J12" s="1556"/>
      <c r="K12" s="1556"/>
      <c r="L12" s="1556"/>
      <c r="M12" s="1556"/>
      <c r="N12" s="1556"/>
      <c r="O12" s="1556"/>
      <c r="P12" s="2337"/>
      <c r="R12" s="63"/>
      <c r="S12" s="17">
        <v>30</v>
      </c>
      <c r="T12" s="17" t="str">
        <f t="shared" si="0"/>
        <v/>
      </c>
      <c r="U12" s="63"/>
      <c r="V12" s="66"/>
      <c r="W12" s="140"/>
      <c r="X12" s="7"/>
      <c r="Y12" s="7"/>
      <c r="Z12" s="7"/>
      <c r="AA12" s="7"/>
      <c r="AB12" s="6"/>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c r="HU12" s="14"/>
      <c r="HV12" s="14"/>
      <c r="HW12" s="14"/>
      <c r="HX12" s="14"/>
      <c r="HY12" s="14"/>
      <c r="HZ12" s="14"/>
      <c r="IA12" s="14"/>
      <c r="IB12" s="14"/>
      <c r="IC12" s="14"/>
      <c r="ID12" s="14"/>
    </row>
    <row r="13" spans="2:238" ht="30" customHeight="1" x14ac:dyDescent="0.2">
      <c r="B13" s="185" t="s">
        <v>691</v>
      </c>
      <c r="C13" s="1308"/>
      <c r="D13" s="1308"/>
      <c r="E13" s="1558">
        <f>'H-Table'!AB7</f>
        <v>0</v>
      </c>
      <c r="F13" s="1558"/>
      <c r="G13" s="1308"/>
      <c r="H13" s="1308"/>
      <c r="I13" s="1538">
        <f>IF(C13="",0,IF(OR(C13&lt;=0,G13&lt;=0),E13,IF(G13&lt;C13,0,'H-Table'!AG7)))</f>
        <v>0</v>
      </c>
      <c r="J13" s="1538"/>
      <c r="K13" s="1938" t="str">
        <f>IF(OR(C13="NA",G13="NA"),"",IF(AND(C13&lt;&gt;"",G13=""),"Enter contralateral or NA.",IF(AND(C13="",G13&lt;&gt;""),"Need data","")))</f>
        <v/>
      </c>
      <c r="L13" s="1938"/>
      <c r="M13" s="1938"/>
      <c r="N13" s="1938"/>
      <c r="O13" s="1938"/>
      <c r="P13" s="2337"/>
      <c r="R13" s="63"/>
      <c r="S13" s="17">
        <v>40</v>
      </c>
      <c r="T13" s="17" t="str">
        <f t="shared" si="0"/>
        <v/>
      </c>
      <c r="U13" s="17" t="str">
        <f>IF(OR(G13="",G13="NA"),"",IF(G13&gt;S13,S13,IF(G13&lt;0,0,G13)))</f>
        <v/>
      </c>
      <c r="V13" s="66" t="str">
        <f>IF(W13="","",ROUND(W13,0))</f>
        <v/>
      </c>
      <c r="W13" s="140" t="str">
        <f>IF(T13="","",IF(OR(U13="",U13=0,U13&lt;T13),T13,(T13*S13)/U13))</f>
        <v/>
      </c>
      <c r="Y13" s="1026" t="s">
        <v>2273</v>
      </c>
      <c r="Z13" s="1026" t="s">
        <v>2274</v>
      </c>
      <c r="AA13" s="7"/>
      <c r="AB13" s="7"/>
      <c r="AC13" s="63"/>
      <c r="AD13" s="63"/>
      <c r="AE13" s="63"/>
      <c r="AF13" s="63"/>
      <c r="AG13" s="63"/>
      <c r="AH13" s="63"/>
      <c r="AI13" s="63"/>
      <c r="AJ13" s="63"/>
      <c r="AK13" s="63"/>
      <c r="AL13" s="63"/>
      <c r="AM13" s="63"/>
      <c r="AN13" s="63"/>
      <c r="AO13" s="63"/>
      <c r="AP13" s="63"/>
      <c r="AQ13" s="63"/>
      <c r="AR13" s="63"/>
      <c r="AS13" s="63"/>
      <c r="AT13" s="63"/>
      <c r="AU13" s="63"/>
      <c r="AV13" s="63"/>
      <c r="AW13" s="63"/>
      <c r="AX13" s="63"/>
      <c r="AY13" s="63"/>
      <c r="AZ13" s="63"/>
      <c r="BA13" s="63"/>
      <c r="BB13" s="63"/>
      <c r="BC13" s="63"/>
      <c r="BD13" s="63"/>
      <c r="BE13" s="63"/>
      <c r="BF13" s="63"/>
      <c r="BG13" s="63"/>
      <c r="BH13" s="63"/>
      <c r="BI13" s="63"/>
      <c r="BJ13" s="63"/>
      <c r="BK13" s="63"/>
      <c r="BL13" s="63"/>
      <c r="BM13" s="63"/>
      <c r="BN13" s="63"/>
      <c r="BO13" s="63"/>
      <c r="BP13" s="63"/>
      <c r="BQ13" s="63"/>
      <c r="BR13" s="63"/>
      <c r="BS13" s="63"/>
      <c r="BT13" s="63"/>
      <c r="BU13" s="63"/>
      <c r="BV13" s="63"/>
      <c r="BW13" s="63"/>
      <c r="BX13" s="63"/>
      <c r="BY13" s="63"/>
      <c r="BZ13" s="63"/>
      <c r="CA13" s="63"/>
      <c r="CB13" s="63"/>
      <c r="CC13" s="63"/>
      <c r="CD13" s="63"/>
      <c r="CE13" s="63"/>
      <c r="CF13" s="63"/>
      <c r="CG13" s="63"/>
      <c r="CH13" s="63"/>
      <c r="CI13" s="63"/>
      <c r="CJ13" s="63"/>
      <c r="CK13" s="63"/>
      <c r="CL13" s="63"/>
      <c r="CM13" s="63"/>
      <c r="CN13" s="63"/>
      <c r="CO13" s="63"/>
      <c r="CP13" s="63"/>
      <c r="CQ13" s="63"/>
      <c r="CR13" s="63"/>
      <c r="CS13" s="63"/>
      <c r="CT13" s="63"/>
      <c r="CU13" s="63"/>
      <c r="CV13" s="63"/>
      <c r="CW13" s="63"/>
      <c r="CX13" s="63"/>
      <c r="CY13" s="63"/>
      <c r="CZ13" s="63"/>
      <c r="DA13" s="63"/>
      <c r="DB13" s="63"/>
      <c r="DC13" s="63"/>
      <c r="DD13" s="63"/>
      <c r="DE13" s="63"/>
      <c r="DF13" s="63"/>
      <c r="DG13" s="63"/>
      <c r="DH13" s="63"/>
      <c r="DI13" s="63"/>
      <c r="DJ13" s="63"/>
      <c r="DK13" s="63"/>
      <c r="DL13" s="63"/>
      <c r="DM13" s="63"/>
      <c r="DN13" s="63"/>
      <c r="DO13" s="63"/>
      <c r="DP13" s="63"/>
      <c r="DQ13" s="63"/>
      <c r="DR13" s="63"/>
      <c r="DS13" s="63"/>
      <c r="DT13" s="63"/>
      <c r="DU13" s="63"/>
      <c r="DV13" s="63"/>
      <c r="DW13" s="63"/>
      <c r="DX13" s="63"/>
      <c r="DY13" s="63"/>
      <c r="DZ13" s="63"/>
      <c r="EA13" s="63"/>
      <c r="EB13" s="63"/>
      <c r="EC13" s="63"/>
      <c r="ED13" s="63"/>
      <c r="EE13" s="63"/>
      <c r="EF13" s="63"/>
      <c r="EG13" s="63"/>
      <c r="EH13" s="63"/>
      <c r="EI13" s="63"/>
      <c r="EJ13" s="63"/>
      <c r="EK13" s="63"/>
      <c r="EL13" s="63"/>
      <c r="EM13" s="63"/>
      <c r="EN13" s="63"/>
      <c r="EO13" s="63"/>
      <c r="EP13" s="63"/>
      <c r="EQ13" s="63"/>
      <c r="ER13" s="63"/>
      <c r="ES13" s="63"/>
      <c r="ET13" s="63"/>
      <c r="EU13" s="63"/>
      <c r="EV13" s="63"/>
      <c r="EW13" s="63"/>
      <c r="EX13" s="63"/>
      <c r="EY13" s="63"/>
      <c r="EZ13" s="63"/>
      <c r="FA13" s="63"/>
      <c r="FB13" s="63"/>
      <c r="FC13" s="63"/>
      <c r="FD13" s="63"/>
      <c r="FE13" s="63"/>
      <c r="FF13" s="63"/>
      <c r="FG13" s="63"/>
      <c r="FH13" s="63"/>
      <c r="FI13" s="63"/>
      <c r="FJ13" s="63"/>
      <c r="FK13" s="63"/>
      <c r="FL13" s="63"/>
      <c r="FM13" s="63"/>
      <c r="FN13" s="63"/>
      <c r="FO13" s="63"/>
      <c r="FP13" s="63"/>
      <c r="FQ13" s="63"/>
      <c r="FR13" s="63"/>
      <c r="FS13" s="63"/>
      <c r="FT13" s="63"/>
      <c r="FU13" s="63"/>
      <c r="FV13" s="63"/>
      <c r="FW13" s="63"/>
      <c r="FX13" s="63"/>
      <c r="FY13" s="63"/>
      <c r="FZ13" s="63"/>
      <c r="GA13" s="63"/>
      <c r="GB13" s="63"/>
      <c r="GC13" s="63"/>
      <c r="GD13" s="63"/>
      <c r="GE13" s="63"/>
      <c r="GF13" s="63"/>
      <c r="GG13" s="63"/>
      <c r="GH13" s="63"/>
      <c r="GI13" s="63"/>
      <c r="GJ13" s="63"/>
      <c r="GK13" s="63"/>
      <c r="GL13" s="63"/>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c r="HU13" s="14"/>
      <c r="HV13" s="14"/>
      <c r="HW13" s="14"/>
      <c r="HX13" s="14"/>
      <c r="HY13" s="14"/>
      <c r="HZ13" s="14"/>
      <c r="IA13" s="14"/>
      <c r="IB13" s="14"/>
      <c r="IC13" s="14"/>
      <c r="ID13" s="14"/>
    </row>
    <row r="14" spans="2:238" ht="30" customHeight="1" x14ac:dyDescent="0.2">
      <c r="B14" s="185" t="s">
        <v>694</v>
      </c>
      <c r="C14" s="1308"/>
      <c r="D14" s="1308"/>
      <c r="E14" s="1558">
        <f>IF(AND($Y$20=1,$Z$20=1),"ERROR",'H-Table'!AB8)</f>
        <v>0</v>
      </c>
      <c r="F14" s="1558"/>
      <c r="G14" s="1556" t="str">
        <f>IF(AND($Z$20=1,$Y$20=1),"Cannot rate ROM and ankylosis.","")</f>
        <v/>
      </c>
      <c r="H14" s="1556"/>
      <c r="I14" s="1556"/>
      <c r="J14" s="1556"/>
      <c r="K14" s="1556"/>
      <c r="L14" s="1556"/>
      <c r="M14" s="1556"/>
      <c r="N14" s="1556"/>
      <c r="O14" s="1556"/>
      <c r="P14" s="2337"/>
      <c r="R14" s="63"/>
      <c r="S14" s="17">
        <v>40</v>
      </c>
      <c r="T14" s="17" t="str">
        <f t="shared" si="0"/>
        <v/>
      </c>
      <c r="U14" s="63"/>
      <c r="V14" s="17"/>
      <c r="W14" s="17"/>
      <c r="Y14" s="17">
        <f>IF(AND(C9&lt;&gt;"",C9&lt;&gt;"NA"),1,0)</f>
        <v>0</v>
      </c>
      <c r="Z14" s="17">
        <f>IF(AND(C10&lt;&gt;"",C10&lt;&gt;"NA"),1,0)</f>
        <v>0</v>
      </c>
      <c r="AA14" s="7"/>
      <c r="AB14" s="7"/>
      <c r="AC14" s="63"/>
      <c r="AD14" s="63"/>
      <c r="AE14" s="63"/>
      <c r="AF14" s="63"/>
      <c r="AG14" s="63"/>
      <c r="AH14" s="63"/>
      <c r="AI14" s="63"/>
      <c r="AJ14" s="63"/>
      <c r="AK14" s="63"/>
      <c r="AL14" s="63"/>
      <c r="AM14" s="63"/>
      <c r="AN14" s="63"/>
      <c r="AO14" s="63"/>
      <c r="AP14" s="63"/>
      <c r="AQ14" s="63"/>
      <c r="AR14" s="63"/>
      <c r="AS14" s="63"/>
      <c r="AT14" s="63"/>
      <c r="AU14" s="63"/>
      <c r="AV14" s="63"/>
      <c r="AW14" s="63"/>
      <c r="AX14" s="63"/>
      <c r="AY14" s="63"/>
      <c r="AZ14" s="63"/>
      <c r="BA14" s="63"/>
      <c r="BB14" s="63"/>
      <c r="BC14" s="63"/>
      <c r="BD14" s="63"/>
      <c r="BE14" s="63"/>
      <c r="BF14" s="63"/>
      <c r="BG14" s="63"/>
      <c r="BH14" s="63"/>
      <c r="BI14" s="63"/>
      <c r="BJ14" s="63"/>
      <c r="BK14" s="63"/>
      <c r="BL14" s="63"/>
      <c r="BM14" s="63"/>
      <c r="BN14" s="63"/>
      <c r="BO14" s="63"/>
      <c r="BP14" s="63"/>
      <c r="BQ14" s="63"/>
      <c r="BR14" s="63"/>
      <c r="BS14" s="63"/>
      <c r="BT14" s="63"/>
      <c r="BU14" s="63"/>
      <c r="BV14" s="63"/>
      <c r="BW14" s="63"/>
      <c r="BX14" s="63"/>
      <c r="BY14" s="63"/>
      <c r="BZ14" s="63"/>
      <c r="CA14" s="63"/>
      <c r="CB14" s="63"/>
      <c r="CC14" s="63"/>
      <c r="CD14" s="63"/>
      <c r="CE14" s="63"/>
      <c r="CF14" s="63"/>
      <c r="CG14" s="63"/>
      <c r="CH14" s="63"/>
      <c r="CI14" s="63"/>
      <c r="CJ14" s="63"/>
      <c r="CK14" s="63"/>
      <c r="CL14" s="63"/>
      <c r="CM14" s="63"/>
      <c r="CN14" s="63"/>
      <c r="CO14" s="63"/>
      <c r="CP14" s="63"/>
      <c r="CQ14" s="63"/>
      <c r="CR14" s="63"/>
      <c r="CS14" s="63"/>
      <c r="CT14" s="63"/>
      <c r="CU14" s="63"/>
      <c r="CV14" s="63"/>
      <c r="CW14" s="63"/>
      <c r="CX14" s="63"/>
      <c r="CY14" s="63"/>
      <c r="CZ14" s="63"/>
      <c r="DA14" s="63"/>
      <c r="DB14" s="63"/>
      <c r="DC14" s="63"/>
      <c r="DD14" s="63"/>
      <c r="DE14" s="63"/>
      <c r="DF14" s="63"/>
      <c r="DG14" s="63"/>
      <c r="DH14" s="63"/>
      <c r="DI14" s="63"/>
      <c r="DJ14" s="63"/>
      <c r="DK14" s="63"/>
      <c r="DL14" s="63"/>
      <c r="DM14" s="63"/>
      <c r="DN14" s="63"/>
      <c r="DO14" s="63"/>
      <c r="DP14" s="63"/>
      <c r="DQ14" s="63"/>
      <c r="DR14" s="63"/>
      <c r="DS14" s="63"/>
      <c r="DT14" s="63"/>
      <c r="DU14" s="63"/>
      <c r="DV14" s="63"/>
      <c r="DW14" s="63"/>
      <c r="DX14" s="63"/>
      <c r="DY14" s="63"/>
      <c r="DZ14" s="63"/>
      <c r="EA14" s="63"/>
      <c r="EB14" s="63"/>
      <c r="EC14" s="63"/>
      <c r="ED14" s="63"/>
      <c r="EE14" s="63"/>
      <c r="EF14" s="63"/>
      <c r="EG14" s="63"/>
      <c r="EH14" s="63"/>
      <c r="EI14" s="63"/>
      <c r="EJ14" s="63"/>
      <c r="EK14" s="63"/>
      <c r="EL14" s="63"/>
      <c r="EM14" s="63"/>
      <c r="EN14" s="63"/>
      <c r="EO14" s="63"/>
      <c r="EP14" s="63"/>
      <c r="EQ14" s="63"/>
      <c r="ER14" s="63"/>
      <c r="ES14" s="63"/>
      <c r="ET14" s="63"/>
      <c r="EU14" s="63"/>
      <c r="EV14" s="63"/>
      <c r="EW14" s="63"/>
      <c r="EX14" s="63"/>
      <c r="EY14" s="63"/>
      <c r="EZ14" s="63"/>
      <c r="FA14" s="63"/>
      <c r="FB14" s="63"/>
      <c r="FC14" s="63"/>
      <c r="FD14" s="63"/>
      <c r="FE14" s="63"/>
      <c r="FF14" s="63"/>
      <c r="FG14" s="63"/>
      <c r="FH14" s="63"/>
      <c r="FI14" s="63"/>
      <c r="FJ14" s="63"/>
      <c r="FK14" s="63"/>
      <c r="FL14" s="63"/>
      <c r="FM14" s="63"/>
      <c r="FN14" s="63"/>
      <c r="FO14" s="63"/>
      <c r="FP14" s="63"/>
      <c r="FQ14" s="63"/>
      <c r="FR14" s="63"/>
      <c r="FS14" s="63"/>
      <c r="FT14" s="63"/>
      <c r="FU14" s="63"/>
      <c r="FV14" s="63"/>
      <c r="FW14" s="63"/>
      <c r="FX14" s="63"/>
      <c r="FY14" s="63"/>
      <c r="FZ14" s="63"/>
      <c r="GA14" s="63"/>
      <c r="GB14" s="63"/>
      <c r="GC14" s="63"/>
      <c r="GD14" s="63"/>
      <c r="GE14" s="63"/>
      <c r="GF14" s="63"/>
      <c r="GG14" s="63"/>
      <c r="GH14" s="63"/>
      <c r="GI14" s="63"/>
      <c r="GJ14" s="63"/>
      <c r="GK14" s="63"/>
      <c r="GL14" s="63"/>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c r="HU14" s="14"/>
      <c r="HV14" s="14"/>
      <c r="HW14" s="14"/>
      <c r="HX14" s="14"/>
      <c r="HY14" s="14"/>
      <c r="HZ14" s="14"/>
      <c r="IA14" s="14"/>
      <c r="IB14" s="14"/>
      <c r="IC14" s="14"/>
      <c r="ID14" s="14"/>
    </row>
    <row r="15" spans="2:238" ht="30" customHeight="1" x14ac:dyDescent="0.2">
      <c r="B15" s="185" t="s">
        <v>695</v>
      </c>
      <c r="C15" s="1308"/>
      <c r="D15" s="1308"/>
      <c r="E15" s="1558">
        <f>'H-Table'!AB9</f>
        <v>0</v>
      </c>
      <c r="F15" s="1558"/>
      <c r="G15" s="1308"/>
      <c r="H15" s="1308"/>
      <c r="I15" s="1538">
        <f>IF(C15="",0,IF(OR(C15&lt;=0,G15&lt;=0),E15,IF(G15&lt;C15,0,'H-Table'!AG9)))</f>
        <v>0</v>
      </c>
      <c r="J15" s="1538"/>
      <c r="K15" s="1938" t="str">
        <f>IF(OR(C15="NA",G15="NA"),"",IF(AND(C15&lt;&gt;"",G15=""),"Enter contralateral or NA.",IF(AND(C15="",G15&lt;&gt;""),"Need data","")))</f>
        <v/>
      </c>
      <c r="L15" s="1938"/>
      <c r="M15" s="1938"/>
      <c r="N15" s="1938"/>
      <c r="O15" s="1938"/>
      <c r="P15" s="2337"/>
      <c r="R15" s="142" t="s">
        <v>696</v>
      </c>
      <c r="S15" s="17">
        <v>20</v>
      </c>
      <c r="T15" s="17" t="str">
        <f t="shared" si="0"/>
        <v/>
      </c>
      <c r="U15" s="17" t="str">
        <f>IF(OR(G15="",G15="NA"),"",IF(G15&gt;S15,S15,IF(G15&lt;0,0,G15)))</f>
        <v/>
      </c>
      <c r="V15" s="66" t="str">
        <f>IF(W15="","",ROUND(W15,0))</f>
        <v/>
      </c>
      <c r="W15" s="140" t="str">
        <f>IF(T15="","",IF(OR(U15="",U15=0,U15&lt;T15),T15,(T15*S15)/U15))</f>
        <v/>
      </c>
      <c r="Y15" s="17">
        <f>IF(AND(C11&lt;&gt;"",C11&lt;&gt;"NA"),1,0)</f>
        <v>0</v>
      </c>
      <c r="Z15" s="17">
        <f>IF(AND(C12&lt;&gt;"",C12&lt;&gt;"NA"),1,0)</f>
        <v>0</v>
      </c>
      <c r="AA15" s="7"/>
      <c r="AB15" s="7"/>
      <c r="AC15" s="63"/>
      <c r="AD15" s="63"/>
      <c r="AE15" s="63"/>
      <c r="AF15" s="63"/>
      <c r="AG15" s="63"/>
      <c r="AH15" s="127"/>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A15" s="63"/>
      <c r="CB15" s="63"/>
      <c r="CC15" s="63"/>
      <c r="CD15" s="63"/>
      <c r="CE15" s="63"/>
      <c r="CF15" s="63"/>
      <c r="CG15" s="63"/>
      <c r="CH15" s="63"/>
      <c r="CI15" s="63"/>
      <c r="CJ15" s="63"/>
      <c r="CK15" s="63"/>
      <c r="CL15" s="63"/>
      <c r="CM15" s="63"/>
      <c r="CN15" s="63"/>
      <c r="CO15" s="63"/>
      <c r="CP15" s="63"/>
      <c r="CQ15" s="63"/>
      <c r="CR15" s="63"/>
      <c r="CS15" s="63"/>
      <c r="CT15" s="63"/>
      <c r="CU15" s="63"/>
      <c r="CV15" s="63"/>
      <c r="CW15" s="63"/>
      <c r="CX15" s="63"/>
      <c r="CY15" s="63"/>
      <c r="CZ15" s="63"/>
      <c r="DA15" s="63"/>
      <c r="DB15" s="63"/>
      <c r="DC15" s="63"/>
      <c r="DD15" s="63"/>
      <c r="DE15" s="63"/>
      <c r="DF15" s="63"/>
      <c r="DG15" s="63"/>
      <c r="DH15" s="63"/>
      <c r="DI15" s="63"/>
      <c r="DJ15" s="63"/>
      <c r="DK15" s="63"/>
      <c r="DL15" s="63"/>
      <c r="DM15" s="63"/>
      <c r="DN15" s="63"/>
      <c r="DO15" s="63"/>
      <c r="DP15" s="63"/>
      <c r="DQ15" s="63"/>
      <c r="DR15" s="63"/>
      <c r="DS15" s="63"/>
      <c r="DT15" s="63"/>
      <c r="DU15" s="63"/>
      <c r="DV15" s="63"/>
      <c r="DW15" s="63"/>
      <c r="DX15" s="63"/>
      <c r="DY15" s="63"/>
      <c r="DZ15" s="63"/>
      <c r="EA15" s="63"/>
      <c r="EB15" s="63"/>
      <c r="EC15" s="63"/>
      <c r="ED15" s="63"/>
      <c r="EE15" s="63"/>
      <c r="EF15" s="63"/>
      <c r="EG15" s="63"/>
      <c r="EH15" s="63"/>
      <c r="EI15" s="63"/>
      <c r="EJ15" s="63"/>
      <c r="EK15" s="63"/>
      <c r="EL15" s="63"/>
      <c r="EM15" s="63"/>
      <c r="EN15" s="63"/>
      <c r="EO15" s="63"/>
      <c r="EP15" s="63"/>
      <c r="EQ15" s="63"/>
      <c r="ER15" s="63"/>
      <c r="ES15" s="63"/>
      <c r="ET15" s="63"/>
      <c r="EU15" s="63"/>
      <c r="EV15" s="63"/>
      <c r="EW15" s="63"/>
      <c r="EX15" s="63"/>
      <c r="EY15" s="63"/>
      <c r="EZ15" s="63"/>
      <c r="FA15" s="63"/>
      <c r="FB15" s="63"/>
      <c r="FC15" s="63"/>
      <c r="FD15" s="63"/>
      <c r="FE15" s="63"/>
      <c r="FF15" s="63"/>
      <c r="FG15" s="63"/>
      <c r="FH15" s="63"/>
      <c r="FI15" s="63"/>
      <c r="FJ15" s="63"/>
      <c r="FK15" s="63"/>
      <c r="FL15" s="63"/>
      <c r="FM15" s="63"/>
      <c r="FN15" s="63"/>
      <c r="FO15" s="63"/>
      <c r="FP15" s="63"/>
      <c r="FQ15" s="63"/>
      <c r="FR15" s="63"/>
      <c r="FS15" s="63"/>
      <c r="FT15" s="63"/>
      <c r="FU15" s="63"/>
      <c r="FV15" s="63"/>
      <c r="FW15" s="63"/>
      <c r="FX15" s="63"/>
      <c r="FY15" s="63"/>
      <c r="FZ15" s="63"/>
      <c r="GA15" s="63"/>
      <c r="GB15" s="63"/>
      <c r="GC15" s="63"/>
      <c r="GD15" s="63"/>
      <c r="GE15" s="63"/>
      <c r="GF15" s="63"/>
      <c r="GG15" s="63"/>
      <c r="GH15" s="63"/>
      <c r="GI15" s="63"/>
      <c r="GJ15" s="63"/>
      <c r="GK15" s="63"/>
      <c r="GL15" s="63"/>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c r="HU15" s="14"/>
      <c r="HV15" s="14"/>
      <c r="HW15" s="14"/>
      <c r="HX15" s="14"/>
      <c r="HY15" s="14"/>
      <c r="HZ15" s="14"/>
      <c r="IA15" s="14"/>
      <c r="IB15" s="14"/>
      <c r="IC15" s="14"/>
      <c r="ID15" s="14"/>
    </row>
    <row r="16" spans="2:238" ht="30" customHeight="1" x14ac:dyDescent="0.2">
      <c r="B16" s="185" t="s">
        <v>697</v>
      </c>
      <c r="C16" s="1308"/>
      <c r="D16" s="1308"/>
      <c r="E16" s="1558">
        <f>IF(AND($Y$20=1,$Z$20=1),"ERROR",'H-Table'!AB10)</f>
        <v>0</v>
      </c>
      <c r="F16" s="1558"/>
      <c r="G16" s="1556" t="str">
        <f>IF(AND($Z$20=1,$Y$20=1),"Cannot rate ROM and ankylosis.","")</f>
        <v/>
      </c>
      <c r="H16" s="1556"/>
      <c r="I16" s="1556"/>
      <c r="J16" s="1556"/>
      <c r="K16" s="1556"/>
      <c r="L16" s="1556"/>
      <c r="M16" s="1556"/>
      <c r="N16" s="1556"/>
      <c r="O16" s="1556"/>
      <c r="P16" s="2337"/>
      <c r="R16" s="102" t="s">
        <v>698</v>
      </c>
      <c r="S16" s="17">
        <v>20</v>
      </c>
      <c r="T16" s="17" t="str">
        <f t="shared" si="0"/>
        <v/>
      </c>
      <c r="U16" s="63"/>
      <c r="V16" s="17"/>
      <c r="W16" s="17"/>
      <c r="Y16" s="17">
        <f>IF(AND(C13&lt;&gt;"",C13&lt;&gt;"NA"),1,0)</f>
        <v>0</v>
      </c>
      <c r="Z16" s="17">
        <f>IF(AND(C14&lt;&gt;"",C14&lt;&gt;"NA"),1,0)</f>
        <v>0</v>
      </c>
      <c r="AA16" s="7"/>
      <c r="AB16" s="63"/>
      <c r="AC16" s="63"/>
      <c r="AD16" s="63"/>
      <c r="AE16" s="63"/>
      <c r="AF16" s="63"/>
      <c r="AG16" s="63"/>
      <c r="AH16" s="127"/>
      <c r="AI16" s="63"/>
      <c r="AJ16" s="63"/>
      <c r="AK16" s="63"/>
      <c r="AL16" s="63"/>
      <c r="AM16" s="63"/>
      <c r="AN16" s="63"/>
      <c r="AO16" s="63"/>
      <c r="AP16" s="63"/>
      <c r="AQ16" s="63"/>
      <c r="AR16" s="63"/>
      <c r="AS16" s="63"/>
      <c r="AT16" s="63"/>
      <c r="AU16" s="63"/>
      <c r="AV16" s="63"/>
      <c r="AW16" s="63"/>
      <c r="AX16" s="63"/>
      <c r="AY16" s="63"/>
      <c r="AZ16" s="63"/>
      <c r="BA16" s="63"/>
      <c r="BB16" s="63"/>
      <c r="BC16" s="63"/>
      <c r="BD16" s="63"/>
      <c r="BE16" s="63"/>
      <c r="BF16" s="63"/>
      <c r="BG16" s="63"/>
      <c r="BH16" s="63"/>
      <c r="BI16" s="63"/>
      <c r="BJ16" s="63"/>
      <c r="BK16" s="63"/>
      <c r="BL16" s="63"/>
      <c r="BM16" s="63"/>
      <c r="BN16" s="63"/>
      <c r="BO16" s="63"/>
      <c r="BP16" s="63"/>
      <c r="BQ16" s="63"/>
      <c r="BR16" s="63"/>
      <c r="BS16" s="63"/>
      <c r="BT16" s="63"/>
      <c r="BU16" s="63"/>
      <c r="BV16" s="63"/>
      <c r="BW16" s="63"/>
      <c r="BX16" s="63"/>
      <c r="BY16" s="63"/>
      <c r="BZ16" s="63"/>
      <c r="CA16" s="63"/>
      <c r="CB16" s="63"/>
      <c r="CC16" s="63"/>
      <c r="CD16" s="63"/>
      <c r="CE16" s="63"/>
      <c r="CF16" s="63"/>
      <c r="CG16" s="63"/>
      <c r="CH16" s="63"/>
      <c r="CI16" s="63"/>
      <c r="CJ16" s="63"/>
      <c r="CK16" s="63"/>
      <c r="CL16" s="63"/>
      <c r="CM16" s="63"/>
      <c r="CN16" s="63"/>
      <c r="CO16" s="63"/>
      <c r="CP16" s="63"/>
      <c r="CQ16" s="63"/>
      <c r="CR16" s="63"/>
      <c r="CS16" s="63"/>
      <c r="CT16" s="63"/>
      <c r="CU16" s="63"/>
      <c r="CV16" s="63"/>
      <c r="CW16" s="63"/>
      <c r="CX16" s="63"/>
      <c r="CY16" s="63"/>
      <c r="CZ16" s="63"/>
      <c r="DA16" s="63"/>
      <c r="DB16" s="63"/>
      <c r="DC16" s="63"/>
      <c r="DD16" s="63"/>
      <c r="DE16" s="63"/>
      <c r="DF16" s="63"/>
      <c r="DG16" s="63"/>
      <c r="DH16" s="63"/>
      <c r="DI16" s="63"/>
      <c r="DJ16" s="63"/>
      <c r="DK16" s="63"/>
      <c r="DL16" s="63"/>
      <c r="DM16" s="63"/>
      <c r="DN16" s="63"/>
      <c r="DO16" s="63"/>
      <c r="DP16" s="63"/>
      <c r="DQ16" s="63"/>
      <c r="DR16" s="63"/>
      <c r="DS16" s="63"/>
      <c r="DT16" s="63"/>
      <c r="DU16" s="63"/>
      <c r="DV16" s="63"/>
      <c r="DW16" s="63"/>
      <c r="DX16" s="63"/>
      <c r="DY16" s="63"/>
      <c r="DZ16" s="63"/>
      <c r="EA16" s="63"/>
      <c r="EB16" s="63"/>
      <c r="EC16" s="63"/>
      <c r="ED16" s="63"/>
      <c r="EE16" s="63"/>
      <c r="EF16" s="63"/>
      <c r="EG16" s="63"/>
      <c r="EH16" s="63"/>
      <c r="EI16" s="63"/>
      <c r="EJ16" s="63"/>
      <c r="EK16" s="63"/>
      <c r="EL16" s="63"/>
      <c r="EM16" s="63"/>
      <c r="EN16" s="63"/>
      <c r="EO16" s="63"/>
      <c r="EP16" s="63"/>
      <c r="EQ16" s="63"/>
      <c r="ER16" s="63"/>
      <c r="ES16" s="63"/>
      <c r="ET16" s="63"/>
      <c r="EU16" s="63"/>
      <c r="EV16" s="63"/>
      <c r="EW16" s="63"/>
      <c r="EX16" s="63"/>
      <c r="EY16" s="63"/>
      <c r="EZ16" s="63"/>
      <c r="FA16" s="63"/>
      <c r="FB16" s="63"/>
      <c r="FC16" s="63"/>
      <c r="FD16" s="63"/>
      <c r="FE16" s="63"/>
      <c r="FF16" s="63"/>
      <c r="FG16" s="63"/>
      <c r="FH16" s="63"/>
      <c r="FI16" s="63"/>
      <c r="FJ16" s="63"/>
      <c r="FK16" s="63"/>
      <c r="FL16" s="63"/>
      <c r="FM16" s="63"/>
      <c r="FN16" s="63"/>
      <c r="FO16" s="63"/>
      <c r="FP16" s="63"/>
      <c r="FQ16" s="63"/>
      <c r="FR16" s="63"/>
      <c r="FS16" s="63"/>
      <c r="FT16" s="63"/>
      <c r="FU16" s="63"/>
      <c r="FV16" s="63"/>
      <c r="FW16" s="63"/>
      <c r="FX16" s="63"/>
      <c r="FY16" s="63"/>
      <c r="FZ16" s="63"/>
      <c r="GA16" s="63"/>
      <c r="GB16" s="63"/>
      <c r="GC16" s="63"/>
      <c r="GD16" s="63"/>
      <c r="GE16" s="63"/>
      <c r="GF16" s="63"/>
      <c r="GG16" s="63"/>
      <c r="GH16" s="63"/>
      <c r="GI16" s="63"/>
      <c r="GJ16" s="63"/>
      <c r="GK16" s="63"/>
      <c r="GL16" s="63"/>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c r="HU16" s="14"/>
      <c r="HV16" s="14"/>
      <c r="HW16" s="14"/>
      <c r="HX16" s="14"/>
      <c r="HY16" s="14"/>
      <c r="HZ16" s="14"/>
      <c r="IA16" s="14"/>
      <c r="IB16" s="14"/>
      <c r="IC16" s="14"/>
      <c r="ID16" s="14"/>
    </row>
    <row r="17" spans="1:238" ht="30" customHeight="1" x14ac:dyDescent="0.2">
      <c r="B17" s="185" t="s">
        <v>699</v>
      </c>
      <c r="C17" s="1308"/>
      <c r="D17" s="1308"/>
      <c r="E17" s="1558">
        <f>'H-Table'!AB11</f>
        <v>0</v>
      </c>
      <c r="F17" s="1558"/>
      <c r="G17" s="1308"/>
      <c r="H17" s="1308"/>
      <c r="I17" s="1538">
        <f>IF(C17="",0,IF(OR(C17&lt;=0,G17&lt;=0),E17,IF(G17&lt;C17,0,'H-Table'!AG11)))</f>
        <v>0</v>
      </c>
      <c r="J17" s="1538"/>
      <c r="K17" s="1938" t="str">
        <f>IF(OR(C17="NA",G17="NA"),"",IF(AND(C17&lt;&gt;"",G17=""),"Enter contralateral or NA.",IF(AND(C17="",G17&lt;&gt;""),"Need data","")))</f>
        <v/>
      </c>
      <c r="L17" s="1938"/>
      <c r="M17" s="1938"/>
      <c r="N17" s="1938"/>
      <c r="O17" s="1938"/>
      <c r="P17" s="2337"/>
      <c r="R17" s="135">
        <f>IF(R21="ERROR",1,0)</f>
        <v>0</v>
      </c>
      <c r="S17" s="17">
        <v>40</v>
      </c>
      <c r="T17" s="17" t="str">
        <f t="shared" si="0"/>
        <v/>
      </c>
      <c r="U17" s="17" t="str">
        <f>IF(OR(G17="",G17="NA"),"",IF(G17&gt;S17,S17,IF(G17&lt;0,0,G17)))</f>
        <v/>
      </c>
      <c r="V17" s="66" t="str">
        <f>IF(W17="","",ROUND(W17,0))</f>
        <v/>
      </c>
      <c r="W17" s="140" t="str">
        <f>IF(T17="","",IF(OR(U17="",U17=0,U17&lt;T17),T17,(T17*S17)/U17))</f>
        <v/>
      </c>
      <c r="Y17" s="1182">
        <f>IF(AND(C15&lt;&gt;"",C15&lt;&gt;"NA"),1,0)</f>
        <v>0</v>
      </c>
      <c r="Z17" s="17">
        <f>IF(AND(C16&lt;&gt;"",C16&lt;&gt;"NA"),1,0)</f>
        <v>0</v>
      </c>
      <c r="AA17" s="7"/>
      <c r="AB17" s="63"/>
      <c r="AC17" s="63"/>
      <c r="AD17" s="63"/>
      <c r="AE17" s="63"/>
      <c r="AF17" s="63"/>
      <c r="AG17" s="63"/>
      <c r="AH17" s="127"/>
      <c r="AI17" s="63"/>
      <c r="AJ17" s="63"/>
      <c r="AK17" s="63"/>
      <c r="AL17" s="63"/>
      <c r="AM17" s="63"/>
      <c r="AN17" s="63"/>
      <c r="AO17" s="63"/>
      <c r="AP17" s="63"/>
      <c r="AQ17" s="63"/>
      <c r="AR17" s="63"/>
      <c r="AS17" s="63"/>
      <c r="AT17" s="63"/>
      <c r="AU17" s="63"/>
      <c r="AV17" s="63"/>
      <c r="AW17" s="63"/>
      <c r="AX17" s="63"/>
      <c r="AY17" s="63"/>
      <c r="AZ17" s="63"/>
      <c r="BA17" s="63"/>
      <c r="BB17" s="63"/>
      <c r="BC17" s="63"/>
      <c r="BD17" s="63"/>
      <c r="BE17" s="63"/>
      <c r="BF17" s="63"/>
      <c r="BG17" s="63"/>
      <c r="BH17" s="63"/>
      <c r="BI17" s="63"/>
      <c r="BJ17" s="63"/>
      <c r="BK17" s="63"/>
      <c r="BL17" s="63"/>
      <c r="BM17" s="63"/>
      <c r="BN17" s="63"/>
      <c r="BO17" s="63"/>
      <c r="BP17" s="63"/>
      <c r="BQ17" s="63"/>
      <c r="BR17" s="63"/>
      <c r="BS17" s="63"/>
      <c r="BT17" s="63"/>
      <c r="BU17" s="63"/>
      <c r="BV17" s="63"/>
      <c r="BW17" s="63"/>
      <c r="BX17" s="63"/>
      <c r="BY17" s="63"/>
      <c r="BZ17" s="63"/>
      <c r="CA17" s="63"/>
      <c r="CB17" s="63"/>
      <c r="CC17" s="63"/>
      <c r="CD17" s="63"/>
      <c r="CE17" s="63"/>
      <c r="CF17" s="63"/>
      <c r="CG17" s="63"/>
      <c r="CH17" s="63"/>
      <c r="CI17" s="63"/>
      <c r="CJ17" s="63"/>
      <c r="CK17" s="63"/>
      <c r="CL17" s="63"/>
      <c r="CM17" s="63"/>
      <c r="CN17" s="63"/>
      <c r="CO17" s="63"/>
      <c r="CP17" s="63"/>
      <c r="CQ17" s="63"/>
      <c r="CR17" s="63"/>
      <c r="CS17" s="63"/>
      <c r="CT17" s="63"/>
      <c r="CU17" s="63"/>
      <c r="CV17" s="63"/>
      <c r="CW17" s="63"/>
      <c r="CX17" s="63"/>
      <c r="CY17" s="63"/>
      <c r="CZ17" s="63"/>
      <c r="DA17" s="63"/>
      <c r="DB17" s="63"/>
      <c r="DC17" s="63"/>
      <c r="DD17" s="63"/>
      <c r="DE17" s="63"/>
      <c r="DF17" s="63"/>
      <c r="DG17" s="63"/>
      <c r="DH17" s="63"/>
      <c r="DI17" s="63"/>
      <c r="DJ17" s="63"/>
      <c r="DK17" s="63"/>
      <c r="DL17" s="63"/>
      <c r="DM17" s="63"/>
      <c r="DN17" s="63"/>
      <c r="DO17" s="63"/>
      <c r="DP17" s="63"/>
      <c r="DQ17" s="63"/>
      <c r="DR17" s="63"/>
      <c r="DS17" s="63"/>
      <c r="DT17" s="63"/>
      <c r="DU17" s="63"/>
      <c r="DV17" s="63"/>
      <c r="DW17" s="63"/>
      <c r="DX17" s="63"/>
      <c r="DY17" s="63"/>
      <c r="DZ17" s="63"/>
      <c r="EA17" s="63"/>
      <c r="EB17" s="63"/>
      <c r="EC17" s="63"/>
      <c r="ED17" s="63"/>
      <c r="EE17" s="63"/>
      <c r="EF17" s="63"/>
      <c r="EG17" s="63"/>
      <c r="EH17" s="63"/>
      <c r="EI17" s="63"/>
      <c r="EJ17" s="63"/>
      <c r="EK17" s="63"/>
      <c r="EL17" s="63"/>
      <c r="EM17" s="63"/>
      <c r="EN17" s="63"/>
      <c r="EO17" s="63"/>
      <c r="EP17" s="63"/>
      <c r="EQ17" s="63"/>
      <c r="ER17" s="63"/>
      <c r="ES17" s="63"/>
      <c r="ET17" s="63"/>
      <c r="EU17" s="63"/>
      <c r="EV17" s="63"/>
      <c r="EW17" s="63"/>
      <c r="EX17" s="63"/>
      <c r="EY17" s="63"/>
      <c r="EZ17" s="63"/>
      <c r="FA17" s="63"/>
      <c r="FB17" s="63"/>
      <c r="FC17" s="63"/>
      <c r="FD17" s="63"/>
      <c r="FE17" s="63"/>
      <c r="FF17" s="63"/>
      <c r="FG17" s="63"/>
      <c r="FH17" s="63"/>
      <c r="FI17" s="63"/>
      <c r="FJ17" s="63"/>
      <c r="FK17" s="63"/>
      <c r="FL17" s="63"/>
      <c r="FM17" s="63"/>
      <c r="FN17" s="63"/>
      <c r="FO17" s="63"/>
      <c r="FP17" s="63"/>
      <c r="FQ17" s="63"/>
      <c r="FR17" s="63"/>
      <c r="FS17" s="63"/>
      <c r="FT17" s="63"/>
      <c r="FU17" s="63"/>
      <c r="FV17" s="63"/>
      <c r="FW17" s="63"/>
      <c r="FX17" s="63"/>
      <c r="FY17" s="63"/>
      <c r="FZ17" s="63"/>
      <c r="GA17" s="63"/>
      <c r="GB17" s="63"/>
      <c r="GC17" s="63"/>
      <c r="GD17" s="63"/>
      <c r="GE17" s="63"/>
      <c r="GF17" s="63"/>
      <c r="GG17" s="63"/>
      <c r="GH17" s="63"/>
      <c r="GI17" s="63"/>
      <c r="GJ17" s="63"/>
      <c r="GK17" s="63"/>
      <c r="GL17" s="63"/>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c r="HU17" s="14"/>
      <c r="HV17" s="14"/>
      <c r="HW17" s="14"/>
      <c r="HX17" s="14"/>
      <c r="HY17" s="14"/>
      <c r="HZ17" s="14"/>
      <c r="IA17" s="14"/>
      <c r="IB17" s="14"/>
      <c r="IC17" s="14"/>
      <c r="ID17" s="14"/>
    </row>
    <row r="18" spans="1:238" ht="30" customHeight="1" x14ac:dyDescent="0.2">
      <c r="B18" s="156" t="s">
        <v>591</v>
      </c>
      <c r="C18" s="1308"/>
      <c r="D18" s="1308"/>
      <c r="E18" s="1558">
        <f>IF(AND($Y$20=1,$Z$20=1),"ERROR",'H-Table'!AB12)</f>
        <v>0</v>
      </c>
      <c r="F18" s="1558"/>
      <c r="G18" s="1556" t="str">
        <f>IF(AND($Z$20=1,$Y$20=1),"Cannot rate ROM and ankylosis.","")</f>
        <v/>
      </c>
      <c r="H18" s="1556"/>
      <c r="I18" s="1556"/>
      <c r="J18" s="1556"/>
      <c r="K18" s="1556"/>
      <c r="L18" s="1556"/>
      <c r="M18" s="1556"/>
      <c r="N18" s="1556"/>
      <c r="O18" s="1556"/>
      <c r="P18" s="2337"/>
      <c r="R18" s="7"/>
      <c r="S18" s="17">
        <v>40</v>
      </c>
      <c r="T18" s="17" t="str">
        <f t="shared" si="0"/>
        <v/>
      </c>
      <c r="U18" s="17"/>
      <c r="V18" s="17"/>
      <c r="W18" s="17"/>
      <c r="X18" s="7"/>
      <c r="Y18" s="17">
        <f>IF(AND(C17&lt;&gt;"",C17&lt;&gt;"NA"),1,0)</f>
        <v>0</v>
      </c>
      <c r="Z18" s="17">
        <f>IF(AND(C18&lt;&gt;"",C18&lt;&gt;"NA"),1,0)</f>
        <v>0</v>
      </c>
      <c r="AA18" s="7"/>
      <c r="AB18" s="63"/>
      <c r="AC18" s="63"/>
      <c r="AD18" s="63"/>
      <c r="AE18" s="63"/>
      <c r="AF18" s="63"/>
      <c r="AG18" s="63"/>
      <c r="AH18" s="63"/>
      <c r="AI18" s="63"/>
      <c r="AJ18" s="63"/>
      <c r="AK18" s="63"/>
      <c r="AL18" s="63"/>
      <c r="AM18" s="63"/>
      <c r="AN18" s="63"/>
      <c r="AO18" s="63"/>
      <c r="AP18" s="63"/>
      <c r="AQ18" s="63"/>
      <c r="AR18" s="63"/>
      <c r="AS18" s="63"/>
      <c r="AT18" s="63"/>
      <c r="AU18" s="63"/>
      <c r="AV18" s="63"/>
      <c r="AW18" s="63"/>
      <c r="AX18" s="63"/>
      <c r="AY18" s="63"/>
      <c r="AZ18" s="63"/>
      <c r="BA18" s="63"/>
      <c r="BB18" s="63"/>
      <c r="BC18" s="63"/>
      <c r="BD18" s="63"/>
      <c r="BE18" s="63"/>
      <c r="BF18" s="63"/>
      <c r="BG18" s="63"/>
      <c r="BH18" s="63"/>
      <c r="BI18" s="63"/>
      <c r="BJ18" s="63"/>
      <c r="BK18" s="63"/>
      <c r="BL18" s="63"/>
      <c r="BM18" s="63"/>
      <c r="BN18" s="63"/>
      <c r="BO18" s="63"/>
      <c r="BP18" s="63"/>
      <c r="BQ18" s="63"/>
      <c r="BR18" s="63"/>
      <c r="BS18" s="63"/>
      <c r="BT18" s="63"/>
      <c r="BU18" s="63"/>
      <c r="BV18" s="63"/>
      <c r="BW18" s="63"/>
      <c r="BX18" s="63"/>
      <c r="BY18" s="63"/>
      <c r="BZ18" s="63"/>
      <c r="CA18" s="63"/>
      <c r="CB18" s="63"/>
      <c r="CC18" s="63"/>
      <c r="CD18" s="63"/>
      <c r="CE18" s="63"/>
      <c r="CF18" s="63"/>
      <c r="CG18" s="63"/>
      <c r="CH18" s="63"/>
      <c r="CI18" s="63"/>
      <c r="CJ18" s="63"/>
      <c r="CK18" s="63"/>
      <c r="CL18" s="63"/>
      <c r="CM18" s="63"/>
      <c r="CN18" s="63"/>
      <c r="CO18" s="63"/>
      <c r="CP18" s="63"/>
      <c r="CQ18" s="63"/>
      <c r="CR18" s="63"/>
      <c r="CS18" s="63"/>
      <c r="CT18" s="63"/>
      <c r="CU18" s="63"/>
      <c r="CV18" s="63"/>
      <c r="CW18" s="63"/>
      <c r="CX18" s="63"/>
      <c r="CY18" s="63"/>
      <c r="CZ18" s="63"/>
      <c r="DA18" s="63"/>
      <c r="DB18" s="63"/>
      <c r="DC18" s="63"/>
      <c r="DD18" s="63"/>
      <c r="DE18" s="63"/>
      <c r="DF18" s="63"/>
      <c r="DG18" s="63"/>
      <c r="DH18" s="63"/>
      <c r="DI18" s="63"/>
      <c r="DJ18" s="63"/>
      <c r="DK18" s="63"/>
      <c r="DL18" s="63"/>
      <c r="DM18" s="63"/>
      <c r="DN18" s="63"/>
      <c r="DO18" s="63"/>
      <c r="DP18" s="63"/>
      <c r="DQ18" s="63"/>
      <c r="DR18" s="63"/>
      <c r="DS18" s="63"/>
      <c r="DT18" s="63"/>
      <c r="DU18" s="63"/>
      <c r="DV18" s="63"/>
      <c r="DW18" s="63"/>
      <c r="DX18" s="63"/>
      <c r="DY18" s="63"/>
      <c r="DZ18" s="63"/>
      <c r="EA18" s="63"/>
      <c r="EB18" s="63"/>
      <c r="EC18" s="63"/>
      <c r="ED18" s="63"/>
      <c r="EE18" s="63"/>
      <c r="EF18" s="63"/>
      <c r="EG18" s="63"/>
      <c r="EH18" s="63"/>
      <c r="EI18" s="63"/>
      <c r="EJ18" s="63"/>
      <c r="EK18" s="63"/>
      <c r="EL18" s="63"/>
      <c r="EM18" s="63"/>
      <c r="EN18" s="63"/>
      <c r="EO18" s="63"/>
      <c r="EP18" s="63"/>
      <c r="EQ18" s="63"/>
      <c r="ER18" s="63"/>
      <c r="ES18" s="63"/>
      <c r="ET18" s="63"/>
      <c r="EU18" s="63"/>
      <c r="EV18" s="63"/>
      <c r="EW18" s="63"/>
      <c r="EX18" s="63"/>
      <c r="EY18" s="63"/>
      <c r="EZ18" s="63"/>
      <c r="FA18" s="63"/>
      <c r="FB18" s="63"/>
      <c r="FC18" s="63"/>
      <c r="FD18" s="63"/>
      <c r="FE18" s="63"/>
      <c r="FF18" s="63"/>
      <c r="FG18" s="63"/>
      <c r="FH18" s="63"/>
      <c r="FI18" s="63"/>
      <c r="FJ18" s="63"/>
      <c r="FK18" s="63"/>
      <c r="FL18" s="63"/>
      <c r="FM18" s="63"/>
      <c r="FN18" s="63"/>
      <c r="FO18" s="63"/>
      <c r="FP18" s="63"/>
      <c r="FQ18" s="63"/>
      <c r="FR18" s="63"/>
      <c r="FS18" s="63"/>
      <c r="FT18" s="63"/>
      <c r="FU18" s="63"/>
      <c r="FV18" s="63"/>
      <c r="FW18" s="63"/>
      <c r="FX18" s="63"/>
      <c r="FY18" s="63"/>
      <c r="FZ18" s="63"/>
      <c r="GA18" s="63"/>
      <c r="GB18" s="63"/>
      <c r="GC18" s="63"/>
      <c r="GD18" s="63"/>
      <c r="GE18" s="63"/>
      <c r="GF18" s="63"/>
      <c r="GG18" s="63"/>
      <c r="GH18" s="63"/>
      <c r="GI18" s="63"/>
      <c r="GJ18" s="63"/>
      <c r="GK18" s="63"/>
      <c r="GL18" s="63"/>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c r="HU18" s="14"/>
      <c r="HV18" s="14"/>
      <c r="HW18" s="14"/>
      <c r="HX18" s="14"/>
      <c r="HY18" s="14"/>
      <c r="HZ18" s="14"/>
      <c r="IA18" s="14"/>
      <c r="IB18" s="14"/>
      <c r="IC18" s="14"/>
      <c r="ID18" s="14"/>
    </row>
    <row r="19" spans="1:238" ht="30" customHeight="1" x14ac:dyDescent="0.2">
      <c r="B19" s="335" t="s">
        <v>592</v>
      </c>
      <c r="C19" s="1308"/>
      <c r="D19" s="1308"/>
      <c r="E19" s="1558">
        <f>'H-Table'!AB13</f>
        <v>0</v>
      </c>
      <c r="F19" s="1558"/>
      <c r="G19" s="1308"/>
      <c r="H19" s="1308"/>
      <c r="I19" s="1538">
        <f>IF(C19="",0,IF(OR(C19&lt;=0,G19&lt;=0),E19,IF(G19&lt;C19,0,'H-Table'!AG13)))</f>
        <v>0</v>
      </c>
      <c r="J19" s="1538"/>
      <c r="K19" s="1938" t="str">
        <f>IF(OR(C19="NA",G19="NA"),"",IF(AND(C19&lt;&gt;"",G19=""),"Enter contralateral or NA.",IF(AND(C19="",G19&lt;&gt;""),"Need data","")))</f>
        <v/>
      </c>
      <c r="L19" s="1938"/>
      <c r="M19" s="1938"/>
      <c r="N19" s="1938"/>
      <c r="O19" s="1938"/>
      <c r="P19" s="2337"/>
      <c r="R19" s="63"/>
      <c r="S19" s="17">
        <v>50</v>
      </c>
      <c r="T19" s="17" t="str">
        <f t="shared" si="0"/>
        <v/>
      </c>
      <c r="U19" s="17" t="str">
        <f>IF(OR(G19="",G19="NA"),"",IF(G19&gt;S19,S19,IF(G19&lt;0,0,G19)))</f>
        <v/>
      </c>
      <c r="V19" s="66" t="str">
        <f>IF(W19="","",ROUND(W19,0))</f>
        <v/>
      </c>
      <c r="W19" s="140" t="str">
        <f>IF(T19="","",IF(OR(U19="",U19=0,U19&lt;T19),T19,(T19*S19)/U19))</f>
        <v/>
      </c>
      <c r="X19" s="7"/>
      <c r="Y19" s="17">
        <f>IF(AND(C19&lt;&gt;"",C19&lt;&gt;"NA"),1,0)</f>
        <v>0</v>
      </c>
      <c r="Z19" s="17">
        <f>IF(AND(C20&lt;&gt;"",C20&lt;&gt;"NA"),1,0)</f>
        <v>0</v>
      </c>
      <c r="AA19" s="7"/>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c r="CA19" s="63"/>
      <c r="CB19" s="63"/>
      <c r="CC19" s="63"/>
      <c r="CD19" s="63"/>
      <c r="CE19" s="63"/>
      <c r="CF19" s="63"/>
      <c r="CG19" s="63"/>
      <c r="CH19" s="63"/>
      <c r="CI19" s="63"/>
      <c r="CJ19" s="63"/>
      <c r="CK19" s="63"/>
      <c r="CL19" s="63"/>
      <c r="CM19" s="63"/>
      <c r="CN19" s="63"/>
      <c r="CO19" s="63"/>
      <c r="CP19" s="63"/>
      <c r="CQ19" s="63"/>
      <c r="CR19" s="63"/>
      <c r="CS19" s="63"/>
      <c r="CT19" s="63"/>
      <c r="CU19" s="63"/>
      <c r="CV19" s="63"/>
      <c r="CW19" s="63"/>
      <c r="CX19" s="63"/>
      <c r="CY19" s="63"/>
      <c r="CZ19" s="63"/>
      <c r="DA19" s="63"/>
      <c r="DB19" s="63"/>
      <c r="DC19" s="63"/>
      <c r="DD19" s="63"/>
      <c r="DE19" s="63"/>
      <c r="DF19" s="63"/>
      <c r="DG19" s="63"/>
      <c r="DH19" s="63"/>
      <c r="DI19" s="63"/>
      <c r="DJ19" s="63"/>
      <c r="DK19" s="63"/>
      <c r="DL19" s="63"/>
      <c r="DM19" s="63"/>
      <c r="DN19" s="63"/>
      <c r="DO19" s="63"/>
      <c r="DP19" s="63"/>
      <c r="DQ19" s="63"/>
      <c r="DR19" s="63"/>
      <c r="DS19" s="63"/>
      <c r="DT19" s="63"/>
      <c r="DU19" s="63"/>
      <c r="DV19" s="63"/>
      <c r="DW19" s="63"/>
      <c r="DX19" s="63"/>
      <c r="DY19" s="63"/>
      <c r="DZ19" s="63"/>
      <c r="EA19" s="63"/>
      <c r="EB19" s="63"/>
      <c r="EC19" s="63"/>
      <c r="ED19" s="63"/>
      <c r="EE19" s="63"/>
      <c r="EF19" s="63"/>
      <c r="EG19" s="63"/>
      <c r="EH19" s="63"/>
      <c r="EI19" s="63"/>
      <c r="EJ19" s="63"/>
      <c r="EK19" s="63"/>
      <c r="EL19" s="63"/>
      <c r="EM19" s="63"/>
      <c r="EN19" s="63"/>
      <c r="EO19" s="63"/>
      <c r="EP19" s="63"/>
      <c r="EQ19" s="63"/>
      <c r="ER19" s="63"/>
      <c r="ES19" s="63"/>
      <c r="ET19" s="63"/>
      <c r="EU19" s="63"/>
      <c r="EV19" s="63"/>
      <c r="EW19" s="63"/>
      <c r="EX19" s="63"/>
      <c r="EY19" s="63"/>
      <c r="EZ19" s="63"/>
      <c r="FA19" s="63"/>
      <c r="FB19" s="63"/>
      <c r="FC19" s="63"/>
      <c r="FD19" s="63"/>
      <c r="FE19" s="63"/>
      <c r="FF19" s="63"/>
      <c r="FG19" s="63"/>
      <c r="FH19" s="63"/>
      <c r="FI19" s="63"/>
      <c r="FJ19" s="63"/>
      <c r="FK19" s="63"/>
      <c r="FL19" s="63"/>
      <c r="FM19" s="63"/>
      <c r="FN19" s="63"/>
      <c r="FO19" s="63"/>
      <c r="FP19" s="63"/>
      <c r="FQ19" s="63"/>
      <c r="FR19" s="63"/>
      <c r="FS19" s="63"/>
      <c r="FT19" s="63"/>
      <c r="FU19" s="63"/>
      <c r="FV19" s="63"/>
      <c r="FW19" s="63"/>
      <c r="FX19" s="63"/>
      <c r="FY19" s="63"/>
      <c r="FZ19" s="63"/>
      <c r="GA19" s="63"/>
      <c r="GB19" s="63"/>
      <c r="GC19" s="63"/>
      <c r="GD19" s="63"/>
      <c r="GE19" s="63"/>
      <c r="GF19" s="63"/>
      <c r="GG19" s="63"/>
      <c r="GH19" s="63"/>
      <c r="GI19" s="63"/>
      <c r="GJ19" s="63"/>
      <c r="GK19" s="63"/>
      <c r="GL19" s="63"/>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c r="HU19" s="14"/>
      <c r="HV19" s="14"/>
      <c r="HW19" s="14"/>
      <c r="HX19" s="14"/>
      <c r="HY19" s="14"/>
      <c r="HZ19" s="14"/>
      <c r="IA19" s="14"/>
      <c r="IB19" s="14"/>
      <c r="IC19" s="14"/>
      <c r="ID19" s="14"/>
    </row>
    <row r="20" spans="1:238" ht="30" customHeight="1" x14ac:dyDescent="0.2">
      <c r="B20" s="335" t="s">
        <v>593</v>
      </c>
      <c r="C20" s="1308"/>
      <c r="D20" s="1308"/>
      <c r="E20" s="1558">
        <f>IF(AND($Y$20=1,$Z$20=1),"ERROR",'H-Table'!AB14)</f>
        <v>0</v>
      </c>
      <c r="F20" s="1558"/>
      <c r="G20" s="1556" t="str">
        <f>IF(AND($Z$20=1,$Y$20=1),"Cannot rate ROM and ankylosis.","")</f>
        <v/>
      </c>
      <c r="H20" s="1556"/>
      <c r="I20" s="1556"/>
      <c r="J20" s="1556"/>
      <c r="K20" s="1556"/>
      <c r="L20" s="1556"/>
      <c r="M20" s="1556"/>
      <c r="N20" s="1556"/>
      <c r="O20" s="1556"/>
      <c r="P20" s="2337"/>
      <c r="R20" s="63"/>
      <c r="S20" s="106">
        <v>50</v>
      </c>
      <c r="T20" s="17" t="str">
        <f t="shared" si="0"/>
        <v/>
      </c>
      <c r="U20" s="63"/>
      <c r="V20" s="6"/>
      <c r="W20" s="7"/>
      <c r="X20" s="7"/>
      <c r="Y20" s="17">
        <f>IF(OR(Y14=1,Y15=1,Y16=1,Y17=1,Y18=1,Y19=1),1,0)</f>
        <v>0</v>
      </c>
      <c r="Z20" s="17">
        <f>IF(OR(Z14=1,Z15=1,Z16=1,Z17=1,Z18=1,Z19=1),1,0)</f>
        <v>0</v>
      </c>
      <c r="AA20" s="7"/>
      <c r="AB20" s="6"/>
      <c r="AC20" s="63"/>
      <c r="AD20" s="63"/>
      <c r="AE20" s="63"/>
      <c r="AF20" s="63"/>
      <c r="AG20" s="63"/>
      <c r="AH20" s="63"/>
      <c r="AI20" s="63"/>
      <c r="AJ20" s="63"/>
      <c r="AK20" s="63"/>
      <c r="AL20" s="63"/>
      <c r="AM20" s="63"/>
      <c r="AN20" s="63"/>
      <c r="AO20" s="63"/>
      <c r="AP20" s="63"/>
      <c r="AQ20" s="63"/>
      <c r="AR20" s="63"/>
      <c r="AS20" s="63"/>
      <c r="AT20" s="63"/>
      <c r="AU20" s="63"/>
      <c r="AV20" s="63"/>
      <c r="AW20" s="63"/>
      <c r="AX20" s="63"/>
      <c r="AY20" s="63"/>
      <c r="AZ20" s="63"/>
      <c r="BA20" s="63"/>
      <c r="BB20" s="63"/>
      <c r="BC20" s="63"/>
      <c r="BD20" s="63"/>
      <c r="BE20" s="63"/>
      <c r="BF20" s="63"/>
      <c r="BG20" s="63"/>
      <c r="BH20" s="63"/>
      <c r="BI20" s="63"/>
      <c r="BJ20" s="63"/>
      <c r="BK20" s="63"/>
      <c r="BL20" s="63"/>
      <c r="BM20" s="63"/>
      <c r="BN20" s="63"/>
      <c r="BO20" s="63"/>
      <c r="BP20" s="63"/>
      <c r="BQ20" s="63"/>
      <c r="BR20" s="63"/>
      <c r="BS20" s="63"/>
      <c r="BT20" s="63"/>
      <c r="BU20" s="63"/>
      <c r="BV20" s="63"/>
      <c r="BW20" s="63"/>
      <c r="BX20" s="63"/>
      <c r="BY20" s="63"/>
      <c r="BZ20" s="63"/>
      <c r="CA20" s="63"/>
      <c r="CB20" s="63"/>
      <c r="CC20" s="63"/>
      <c r="CD20" s="63"/>
      <c r="CE20" s="63"/>
      <c r="CF20" s="63"/>
      <c r="CG20" s="63"/>
      <c r="CH20" s="63"/>
      <c r="CI20" s="63"/>
      <c r="CJ20" s="63"/>
      <c r="CK20" s="63"/>
      <c r="CL20" s="63"/>
      <c r="CM20" s="63"/>
      <c r="CN20" s="63"/>
      <c r="CO20" s="63"/>
      <c r="CP20" s="63"/>
      <c r="CQ20" s="63"/>
      <c r="CR20" s="63"/>
      <c r="CS20" s="63"/>
      <c r="CT20" s="63"/>
      <c r="CU20" s="63"/>
      <c r="CV20" s="63"/>
      <c r="CW20" s="63"/>
      <c r="CX20" s="63"/>
      <c r="CY20" s="63"/>
      <c r="CZ20" s="63"/>
      <c r="DA20" s="63"/>
      <c r="DB20" s="63"/>
      <c r="DC20" s="63"/>
      <c r="DD20" s="63"/>
      <c r="DE20" s="63"/>
      <c r="DF20" s="63"/>
      <c r="DG20" s="63"/>
      <c r="DH20" s="63"/>
      <c r="DI20" s="63"/>
      <c r="DJ20" s="63"/>
      <c r="DK20" s="63"/>
      <c r="DL20" s="63"/>
      <c r="DM20" s="63"/>
      <c r="DN20" s="63"/>
      <c r="DO20" s="63"/>
      <c r="DP20" s="63"/>
      <c r="DQ20" s="63"/>
      <c r="DR20" s="63"/>
      <c r="DS20" s="63"/>
      <c r="DT20" s="63"/>
      <c r="DU20" s="63"/>
      <c r="DV20" s="63"/>
      <c r="DW20" s="63"/>
      <c r="DX20" s="63"/>
      <c r="DY20" s="63"/>
      <c r="DZ20" s="63"/>
      <c r="EA20" s="63"/>
      <c r="EB20" s="63"/>
      <c r="EC20" s="63"/>
      <c r="ED20" s="63"/>
      <c r="EE20" s="63"/>
      <c r="EF20" s="63"/>
      <c r="EG20" s="63"/>
      <c r="EH20" s="63"/>
      <c r="EI20" s="63"/>
      <c r="EJ20" s="63"/>
      <c r="EK20" s="63"/>
      <c r="EL20" s="63"/>
      <c r="EM20" s="63"/>
      <c r="EN20" s="63"/>
      <c r="EO20" s="63"/>
      <c r="EP20" s="63"/>
      <c r="EQ20" s="63"/>
      <c r="ER20" s="63"/>
      <c r="ES20" s="63"/>
      <c r="ET20" s="63"/>
      <c r="EU20" s="63"/>
      <c r="EV20" s="63"/>
      <c r="EW20" s="63"/>
      <c r="EX20" s="63"/>
      <c r="EY20" s="63"/>
      <c r="EZ20" s="63"/>
      <c r="FA20" s="63"/>
      <c r="FB20" s="63"/>
      <c r="FC20" s="63"/>
      <c r="FD20" s="63"/>
      <c r="FE20" s="63"/>
      <c r="FF20" s="63"/>
      <c r="FG20" s="63"/>
      <c r="FH20" s="63"/>
      <c r="FI20" s="63"/>
      <c r="FJ20" s="63"/>
      <c r="FK20" s="63"/>
      <c r="FL20" s="63"/>
      <c r="FM20" s="63"/>
      <c r="FN20" s="63"/>
      <c r="FO20" s="63"/>
      <c r="FP20" s="63"/>
      <c r="FQ20" s="63"/>
      <c r="FR20" s="63"/>
      <c r="FS20" s="63"/>
      <c r="FT20" s="63"/>
      <c r="FU20" s="63"/>
      <c r="FV20" s="63"/>
      <c r="FW20" s="63"/>
      <c r="FX20" s="63"/>
      <c r="FY20" s="63"/>
      <c r="FZ20" s="63"/>
      <c r="GA20" s="63"/>
      <c r="GB20" s="63"/>
      <c r="GC20" s="63"/>
      <c r="GD20" s="63"/>
      <c r="GE20" s="63"/>
      <c r="GF20" s="63"/>
      <c r="GG20" s="63"/>
      <c r="GH20" s="63"/>
      <c r="GI20" s="63"/>
      <c r="GJ20" s="63"/>
      <c r="GK20" s="63"/>
      <c r="GL20" s="63"/>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c r="HU20" s="14"/>
      <c r="HV20" s="14"/>
      <c r="HW20" s="14"/>
      <c r="HX20" s="14"/>
      <c r="HY20" s="14"/>
      <c r="HZ20" s="14"/>
      <c r="IA20" s="14"/>
      <c r="IB20" s="14"/>
      <c r="IC20" s="14"/>
      <c r="ID20" s="14"/>
    </row>
    <row r="21" spans="1:238" ht="26.25" customHeight="1" x14ac:dyDescent="0.2">
      <c r="B21" s="1740" t="s">
        <v>161</v>
      </c>
      <c r="C21" s="1858"/>
      <c r="D21" s="1858"/>
      <c r="E21" s="1858"/>
      <c r="F21" s="1858"/>
      <c r="G21" s="1858"/>
      <c r="H21" s="1858"/>
      <c r="I21" s="1858"/>
      <c r="J21" s="1858"/>
      <c r="K21" s="1858"/>
      <c r="L21" s="1858"/>
      <c r="M21" s="1858"/>
      <c r="N21" s="1858"/>
      <c r="O21" s="1859"/>
      <c r="P21" s="303">
        <f>IF(R17=1,"ERROR",S21)</f>
        <v>0</v>
      </c>
      <c r="R21" s="143">
        <f>IF(AND(X9&gt;0,X9&lt;0.01),0.01,X9)</f>
        <v>0</v>
      </c>
      <c r="S21" s="61">
        <f>IF(R21&lt;&gt;"ERROR",ROUND(R21,2),0)</f>
        <v>0</v>
      </c>
      <c r="T21" s="63"/>
      <c r="U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63"/>
      <c r="CB21" s="63"/>
      <c r="CC21" s="63"/>
      <c r="CD21" s="63"/>
      <c r="CE21" s="63"/>
      <c r="CF21" s="63"/>
      <c r="CG21" s="63"/>
      <c r="CH21" s="63"/>
      <c r="CI21" s="63"/>
      <c r="CJ21" s="63"/>
      <c r="CK21" s="63"/>
      <c r="CL21" s="63"/>
      <c r="CM21" s="63"/>
      <c r="CN21" s="63"/>
      <c r="CO21" s="63"/>
      <c r="CP21" s="63"/>
      <c r="CQ21" s="63"/>
      <c r="CR21" s="63"/>
      <c r="CS21" s="63"/>
      <c r="CT21" s="63"/>
      <c r="CU21" s="63"/>
      <c r="CV21" s="63"/>
      <c r="CW21" s="63"/>
      <c r="CX21" s="63"/>
      <c r="CY21" s="63"/>
      <c r="CZ21" s="63"/>
      <c r="DA21" s="63"/>
      <c r="DB21" s="63"/>
      <c r="DC21" s="63"/>
      <c r="DD21" s="63"/>
      <c r="DE21" s="63"/>
      <c r="DF21" s="63"/>
      <c r="DG21" s="63"/>
      <c r="DH21" s="63"/>
      <c r="DI21" s="63"/>
      <c r="DJ21" s="63"/>
      <c r="DK21" s="63"/>
      <c r="DL21" s="63"/>
      <c r="DM21" s="63"/>
      <c r="DN21" s="63"/>
      <c r="DO21" s="63"/>
      <c r="DP21" s="63"/>
      <c r="DQ21" s="63"/>
      <c r="DR21" s="63"/>
      <c r="DS21" s="63"/>
      <c r="DT21" s="63"/>
      <c r="DU21" s="63"/>
      <c r="DV21" s="63"/>
      <c r="DW21" s="63"/>
      <c r="DX21" s="63"/>
      <c r="DY21" s="63"/>
      <c r="DZ21" s="63"/>
      <c r="EA21" s="63"/>
      <c r="EB21" s="63"/>
      <c r="EC21" s="63"/>
      <c r="ED21" s="63"/>
      <c r="EE21" s="63"/>
      <c r="EF21" s="63"/>
      <c r="EG21" s="63"/>
      <c r="EH21" s="63"/>
      <c r="EI21" s="63"/>
      <c r="EJ21" s="63"/>
      <c r="EK21" s="63"/>
      <c r="EL21" s="63"/>
      <c r="EM21" s="63"/>
      <c r="EN21" s="63"/>
      <c r="EO21" s="63"/>
      <c r="EP21" s="63"/>
      <c r="EQ21" s="63"/>
      <c r="ER21" s="63"/>
      <c r="ES21" s="63"/>
      <c r="ET21" s="63"/>
      <c r="EU21" s="63"/>
      <c r="EV21" s="63"/>
      <c r="EW21" s="63"/>
      <c r="EX21" s="63"/>
      <c r="EY21" s="63"/>
      <c r="EZ21" s="63"/>
      <c r="FA21" s="63"/>
      <c r="FB21" s="63"/>
      <c r="FC21" s="63"/>
      <c r="FD21" s="63"/>
      <c r="FE21" s="63"/>
      <c r="FF21" s="63"/>
      <c r="FG21" s="63"/>
      <c r="FH21" s="63"/>
      <c r="FI21" s="63"/>
      <c r="FJ21" s="63"/>
      <c r="FK21" s="63"/>
      <c r="FL21" s="63"/>
      <c r="FM21" s="63"/>
      <c r="FN21" s="63"/>
      <c r="FO21" s="63"/>
      <c r="FP21" s="63"/>
      <c r="FQ21" s="63"/>
      <c r="FR21" s="63"/>
      <c r="FS21" s="63"/>
      <c r="FT21" s="63"/>
      <c r="FU21" s="63"/>
      <c r="FV21" s="63"/>
      <c r="FW21" s="63"/>
      <c r="FX21" s="63"/>
      <c r="FY21" s="63"/>
      <c r="FZ21" s="63"/>
      <c r="GA21" s="63"/>
      <c r="GB21" s="63"/>
      <c r="GC21" s="63"/>
      <c r="GD21" s="63"/>
      <c r="GE21" s="63"/>
      <c r="GF21" s="63"/>
      <c r="GG21" s="63"/>
      <c r="GH21" s="63"/>
      <c r="GI21" s="63"/>
      <c r="GJ21" s="63"/>
      <c r="GK21" s="63"/>
      <c r="GL21" s="63"/>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c r="HU21" s="14"/>
      <c r="HV21" s="14"/>
      <c r="HW21" s="14"/>
      <c r="HX21" s="14"/>
      <c r="HY21" s="14"/>
      <c r="HZ21" s="14"/>
      <c r="IA21" s="14"/>
      <c r="IB21" s="14"/>
      <c r="IC21" s="14"/>
      <c r="ID21" s="14"/>
    </row>
    <row r="22" spans="1:238" ht="15" x14ac:dyDescent="0.25">
      <c r="B22" s="1876"/>
      <c r="C22" s="1876"/>
      <c r="D22" s="1876"/>
      <c r="E22" s="1876"/>
      <c r="F22" s="1876"/>
      <c r="G22" s="1876"/>
      <c r="H22" s="1876"/>
      <c r="I22" s="1876"/>
      <c r="J22" s="1876"/>
      <c r="K22" s="1876"/>
      <c r="L22" s="1876"/>
      <c r="M22" s="1876"/>
      <c r="N22" s="1876"/>
      <c r="O22" s="1876"/>
      <c r="P22" s="469"/>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A22" s="63"/>
      <c r="CB22" s="63"/>
      <c r="CC22" s="63"/>
      <c r="CD22" s="63"/>
      <c r="CE22" s="63"/>
      <c r="CF22" s="63"/>
      <c r="CG22" s="63"/>
      <c r="CH22" s="63"/>
      <c r="CI22" s="63"/>
      <c r="CJ22" s="63"/>
      <c r="CK22" s="63"/>
      <c r="CL22" s="63"/>
      <c r="CM22" s="63"/>
      <c r="CN22" s="63"/>
      <c r="CO22" s="63"/>
      <c r="CP22" s="63"/>
      <c r="CQ22" s="63"/>
      <c r="CR22" s="63"/>
      <c r="CS22" s="63"/>
      <c r="CT22" s="63"/>
      <c r="CU22" s="63"/>
      <c r="CV22" s="63"/>
      <c r="CW22" s="63"/>
      <c r="CX22" s="63"/>
      <c r="CY22" s="63"/>
      <c r="CZ22" s="63"/>
      <c r="DA22" s="63"/>
      <c r="DB22" s="63"/>
      <c r="DC22" s="63"/>
      <c r="DD22" s="63"/>
      <c r="DE22" s="63"/>
      <c r="DF22" s="63"/>
      <c r="DG22" s="63"/>
      <c r="DH22" s="63"/>
      <c r="DI22" s="63"/>
      <c r="DJ22" s="63"/>
      <c r="DK22" s="63"/>
      <c r="DL22" s="63"/>
      <c r="DM22" s="63"/>
      <c r="DN22" s="63"/>
      <c r="DO22" s="63"/>
      <c r="DP22" s="63"/>
      <c r="DQ22" s="63"/>
      <c r="DR22" s="63"/>
      <c r="DS22" s="63"/>
      <c r="DT22" s="63"/>
      <c r="DU22" s="63"/>
      <c r="DV22" s="63"/>
      <c r="DW22" s="63"/>
      <c r="DX22" s="63"/>
      <c r="DY22" s="63"/>
      <c r="DZ22" s="63"/>
      <c r="EA22" s="63"/>
      <c r="EB22" s="63"/>
      <c r="EC22" s="63"/>
      <c r="ED22" s="63"/>
      <c r="EE22" s="63"/>
      <c r="EF22" s="63"/>
      <c r="EG22" s="63"/>
      <c r="EH22" s="63"/>
      <c r="EI22" s="63"/>
      <c r="EJ22" s="63"/>
      <c r="EK22" s="63"/>
      <c r="EL22" s="63"/>
      <c r="EM22" s="63"/>
      <c r="EN22" s="63"/>
      <c r="EO22" s="63"/>
      <c r="EP22" s="63"/>
      <c r="EQ22" s="63"/>
      <c r="ER22" s="63"/>
      <c r="ES22" s="63"/>
      <c r="ET22" s="63"/>
      <c r="EU22" s="63"/>
      <c r="EV22" s="63"/>
      <c r="EW22" s="63"/>
      <c r="EX22" s="63"/>
      <c r="EY22" s="63"/>
      <c r="EZ22" s="63"/>
      <c r="FA22" s="63"/>
      <c r="FB22" s="63"/>
      <c r="FC22" s="63"/>
      <c r="FD22" s="63"/>
      <c r="FE22" s="63"/>
      <c r="FF22" s="63"/>
      <c r="FG22" s="63"/>
      <c r="FH22" s="63"/>
      <c r="FI22" s="63"/>
      <c r="FJ22" s="63"/>
      <c r="FK22" s="63"/>
      <c r="FL22" s="63"/>
      <c r="FM22" s="63"/>
      <c r="FN22" s="63"/>
      <c r="FO22" s="63"/>
      <c r="FP22" s="63"/>
      <c r="FQ22" s="63"/>
      <c r="FR22" s="63"/>
      <c r="FS22" s="63"/>
      <c r="FT22" s="63"/>
      <c r="FU22" s="63"/>
      <c r="FV22" s="63"/>
      <c r="FW22" s="63"/>
      <c r="FX22" s="63"/>
      <c r="FY22" s="63"/>
      <c r="FZ22" s="63"/>
      <c r="GA22" s="63"/>
      <c r="GB22" s="63"/>
      <c r="GC22" s="63"/>
      <c r="GD22" s="63"/>
      <c r="GE22" s="63"/>
      <c r="GF22" s="63"/>
      <c r="GG22" s="63"/>
      <c r="GH22" s="63"/>
      <c r="GI22" s="63"/>
      <c r="GJ22" s="63"/>
      <c r="GK22" s="63"/>
      <c r="GL22" s="63"/>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c r="HU22" s="14"/>
      <c r="HV22" s="14"/>
      <c r="HW22" s="14"/>
      <c r="HX22" s="14"/>
      <c r="HY22" s="14"/>
      <c r="HZ22" s="14"/>
      <c r="IA22" s="14"/>
      <c r="IB22" s="14"/>
      <c r="IC22" s="14"/>
      <c r="ID22" s="14"/>
    </row>
    <row r="23" spans="1:238" s="8" customFormat="1" ht="24" customHeight="1" x14ac:dyDescent="0.2">
      <c r="B23" s="1555" t="s">
        <v>162</v>
      </c>
      <c r="C23" s="1555"/>
      <c r="D23" s="1555"/>
      <c r="E23" s="1555"/>
      <c r="F23" s="1555"/>
      <c r="G23" s="1555"/>
      <c r="H23" s="1555"/>
      <c r="I23" s="1555"/>
      <c r="J23" s="1555"/>
      <c r="K23" s="1555"/>
      <c r="L23" s="1555"/>
      <c r="M23" s="1555"/>
      <c r="N23" s="1555"/>
      <c r="O23" s="1555"/>
      <c r="P23" s="42"/>
      <c r="R23" s="1203" t="s">
        <v>2305</v>
      </c>
      <c r="S23" s="132"/>
      <c r="T23" s="120"/>
      <c r="U23" s="120"/>
      <c r="V23" s="120"/>
      <c r="W23" s="120"/>
      <c r="X23" s="120"/>
      <c r="Y23" s="120"/>
      <c r="Z23" s="120"/>
      <c r="AA23" s="120"/>
      <c r="AB23" s="120"/>
      <c r="AC23" s="120"/>
      <c r="AD23" s="120"/>
      <c r="AE23" s="120"/>
      <c r="AF23" s="120"/>
      <c r="AG23" s="120"/>
      <c r="AH23" s="120"/>
      <c r="AI23" s="120"/>
      <c r="AJ23" s="120"/>
      <c r="AK23" s="120"/>
      <c r="AL23" s="120"/>
      <c r="AM23" s="120"/>
      <c r="AN23" s="120"/>
      <c r="AO23" s="120"/>
      <c r="AP23" s="120"/>
      <c r="AQ23" s="120"/>
      <c r="AR23" s="120"/>
      <c r="AS23" s="120"/>
      <c r="AT23" s="120"/>
      <c r="AU23" s="120"/>
      <c r="AV23" s="120"/>
      <c r="AW23" s="120"/>
      <c r="AX23" s="120"/>
      <c r="AY23" s="120"/>
      <c r="AZ23" s="120"/>
      <c r="BA23" s="120"/>
      <c r="BB23" s="120"/>
      <c r="BC23" s="120"/>
      <c r="BD23" s="120"/>
      <c r="BE23" s="120"/>
      <c r="BF23" s="120"/>
      <c r="BG23" s="120"/>
      <c r="BH23" s="120"/>
      <c r="BI23" s="120"/>
      <c r="BJ23" s="120"/>
      <c r="BK23" s="120"/>
      <c r="BL23" s="120"/>
      <c r="BM23" s="120"/>
      <c r="BN23" s="120"/>
      <c r="BO23" s="120"/>
      <c r="BP23" s="120"/>
      <c r="BQ23" s="120"/>
      <c r="BR23" s="120"/>
      <c r="BS23" s="120"/>
      <c r="BT23" s="120"/>
      <c r="BU23" s="120"/>
      <c r="BV23" s="120"/>
      <c r="BW23" s="120"/>
      <c r="BX23" s="120"/>
      <c r="BY23" s="120"/>
      <c r="BZ23" s="120"/>
      <c r="CA23" s="120"/>
      <c r="CB23" s="120"/>
      <c r="CC23" s="120"/>
      <c r="CD23" s="120"/>
      <c r="CE23" s="120"/>
      <c r="CF23" s="120"/>
      <c r="CG23" s="120"/>
      <c r="CH23" s="120"/>
      <c r="CI23" s="120"/>
      <c r="CJ23" s="120"/>
      <c r="CK23" s="120"/>
      <c r="CL23" s="120"/>
      <c r="CM23" s="120"/>
      <c r="CN23" s="120"/>
      <c r="CO23" s="120"/>
      <c r="CP23" s="120"/>
      <c r="CQ23" s="120"/>
      <c r="CR23" s="120"/>
      <c r="CS23" s="120"/>
      <c r="CT23" s="120"/>
      <c r="CU23" s="120"/>
      <c r="CV23" s="120"/>
      <c r="CW23" s="120"/>
      <c r="CX23" s="120"/>
      <c r="CY23" s="120"/>
      <c r="CZ23" s="120"/>
      <c r="DA23" s="120"/>
      <c r="DB23" s="120"/>
      <c r="DC23" s="120"/>
      <c r="DD23" s="120"/>
      <c r="DE23" s="120"/>
      <c r="DF23" s="120"/>
      <c r="DG23" s="120"/>
      <c r="DH23" s="120"/>
      <c r="DI23" s="120"/>
      <c r="DJ23" s="120"/>
      <c r="DK23" s="120"/>
      <c r="DL23" s="120"/>
      <c r="DM23" s="120"/>
      <c r="DN23" s="120"/>
      <c r="DO23" s="120"/>
      <c r="DP23" s="120"/>
      <c r="DQ23" s="120"/>
      <c r="DR23" s="120"/>
      <c r="DS23" s="120"/>
      <c r="DT23" s="120"/>
      <c r="DU23" s="120"/>
      <c r="DV23" s="120"/>
      <c r="DW23" s="120"/>
      <c r="DX23" s="120"/>
      <c r="DY23" s="120"/>
      <c r="DZ23" s="120"/>
      <c r="EA23" s="120"/>
      <c r="EB23" s="120"/>
      <c r="EC23" s="120"/>
      <c r="ED23" s="120"/>
      <c r="EE23" s="120"/>
      <c r="EF23" s="120"/>
      <c r="EG23" s="120"/>
      <c r="EH23" s="120"/>
      <c r="EI23" s="120"/>
      <c r="EJ23" s="120"/>
      <c r="EK23" s="120"/>
      <c r="EL23" s="120"/>
      <c r="EM23" s="120"/>
      <c r="EN23" s="120"/>
      <c r="EO23" s="120"/>
      <c r="EP23" s="120"/>
      <c r="EQ23" s="120"/>
      <c r="ER23" s="120"/>
      <c r="ES23" s="120"/>
      <c r="ET23" s="120"/>
      <c r="EU23" s="120"/>
      <c r="EV23" s="120"/>
      <c r="EW23" s="120"/>
      <c r="EX23" s="120"/>
      <c r="EY23" s="120"/>
      <c r="EZ23" s="120"/>
      <c r="FA23" s="120"/>
      <c r="FB23" s="120"/>
      <c r="FC23" s="120"/>
      <c r="FD23" s="120"/>
      <c r="FE23" s="120"/>
      <c r="FF23" s="120"/>
      <c r="FG23" s="120"/>
      <c r="FH23" s="120"/>
      <c r="FI23" s="120"/>
      <c r="FJ23" s="120"/>
      <c r="FK23" s="120"/>
      <c r="FL23" s="120"/>
      <c r="FM23" s="120"/>
      <c r="FN23" s="120"/>
      <c r="FO23" s="120"/>
      <c r="FP23" s="120"/>
      <c r="FQ23" s="120"/>
      <c r="FR23" s="120"/>
      <c r="FS23" s="120"/>
      <c r="FT23" s="120"/>
      <c r="FU23" s="120"/>
      <c r="FV23" s="120"/>
      <c r="FW23" s="120"/>
      <c r="FX23" s="120"/>
      <c r="FY23" s="120"/>
      <c r="FZ23" s="120"/>
      <c r="GA23" s="120"/>
      <c r="GB23" s="120"/>
      <c r="GC23" s="120"/>
      <c r="GD23" s="120"/>
      <c r="GE23" s="120"/>
      <c r="GF23" s="120"/>
      <c r="GG23" s="120"/>
      <c r="GH23" s="120"/>
      <c r="GI23" s="120"/>
      <c r="GJ23" s="120"/>
      <c r="GK23" s="120"/>
      <c r="GL23" s="120"/>
      <c r="GM23" s="60"/>
      <c r="GN23" s="60"/>
      <c r="GO23" s="60"/>
      <c r="GP23" s="60"/>
      <c r="GQ23" s="60"/>
      <c r="GR23" s="60"/>
      <c r="GS23" s="60"/>
      <c r="GT23" s="60"/>
      <c r="GU23" s="60"/>
      <c r="GV23" s="60"/>
      <c r="GW23" s="60"/>
      <c r="GX23" s="60"/>
      <c r="GY23" s="60"/>
      <c r="GZ23" s="60"/>
      <c r="HA23" s="60"/>
      <c r="HB23" s="60"/>
      <c r="HC23" s="60"/>
      <c r="HD23" s="60"/>
      <c r="HE23" s="60"/>
      <c r="HF23" s="60"/>
      <c r="HG23" s="60"/>
      <c r="HH23" s="60"/>
      <c r="HI23" s="60"/>
      <c r="HJ23" s="60"/>
      <c r="HK23" s="60"/>
      <c r="HL23" s="60"/>
      <c r="HM23" s="60"/>
      <c r="HN23" s="60"/>
      <c r="HO23" s="60"/>
      <c r="HP23" s="60"/>
      <c r="HQ23" s="60"/>
      <c r="HR23" s="60"/>
      <c r="HS23" s="60"/>
      <c r="HT23" s="60"/>
      <c r="HU23" s="60"/>
      <c r="HV23" s="60"/>
      <c r="HW23" s="60"/>
      <c r="HX23" s="60"/>
      <c r="HY23" s="60"/>
      <c r="HZ23" s="60"/>
      <c r="IA23" s="60"/>
      <c r="IB23" s="60"/>
      <c r="IC23" s="60"/>
      <c r="ID23" s="60"/>
    </row>
    <row r="24" spans="1:238" s="8" customFormat="1" ht="20.25" customHeight="1" x14ac:dyDescent="0.2">
      <c r="A24" s="20">
        <v>1E-4</v>
      </c>
      <c r="B24" s="1890" t="s">
        <v>594</v>
      </c>
      <c r="C24" s="1890"/>
      <c r="D24" s="1890"/>
      <c r="E24" s="2278"/>
      <c r="F24" s="2278"/>
      <c r="G24" s="2278"/>
      <c r="H24" s="2278"/>
      <c r="I24" s="2278"/>
      <c r="J24" s="2278"/>
      <c r="K24" s="2322"/>
      <c r="L24" s="2322"/>
      <c r="M24" s="2322"/>
      <c r="N24" s="2322"/>
      <c r="O24" s="2322"/>
      <c r="P24" s="341">
        <f>IF(R24=1,0.13,0)</f>
        <v>0</v>
      </c>
      <c r="R24" s="1198">
        <v>2</v>
      </c>
      <c r="S24" s="63">
        <v>1E-4</v>
      </c>
      <c r="T24" s="132"/>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60"/>
      <c r="GN24" s="60"/>
      <c r="GO24" s="60"/>
      <c r="GP24" s="60"/>
      <c r="GQ24" s="60"/>
      <c r="GR24" s="60"/>
      <c r="GS24" s="60"/>
      <c r="GT24" s="60"/>
      <c r="GU24" s="60"/>
      <c r="GV24" s="60"/>
      <c r="GW24" s="60"/>
      <c r="GX24" s="60"/>
      <c r="GY24" s="60"/>
      <c r="GZ24" s="60"/>
      <c r="HA24" s="60"/>
      <c r="HB24" s="60"/>
      <c r="HC24" s="60"/>
      <c r="HD24" s="60"/>
      <c r="HE24" s="60"/>
      <c r="HF24" s="60"/>
      <c r="HG24" s="60"/>
      <c r="HH24" s="60"/>
      <c r="HI24" s="60"/>
      <c r="HJ24" s="60"/>
      <c r="HK24" s="60"/>
      <c r="HL24" s="60"/>
      <c r="HM24" s="60"/>
      <c r="HN24" s="60"/>
      <c r="HO24" s="60"/>
      <c r="HP24" s="60"/>
      <c r="HQ24" s="60"/>
      <c r="HR24" s="60"/>
      <c r="HS24" s="60"/>
      <c r="HT24" s="60"/>
      <c r="HU24" s="60"/>
      <c r="HV24" s="60"/>
      <c r="HW24" s="60"/>
      <c r="HX24" s="60"/>
      <c r="HY24" s="60"/>
      <c r="HZ24" s="60"/>
      <c r="IA24" s="60"/>
      <c r="IB24" s="60"/>
      <c r="IC24" s="60"/>
      <c r="ID24" s="60"/>
    </row>
    <row r="25" spans="1:238" s="8" customFormat="1" ht="19.5" customHeight="1" x14ac:dyDescent="0.2">
      <c r="B25" s="1890" t="s">
        <v>595</v>
      </c>
      <c r="C25" s="1890"/>
      <c r="D25" s="1890"/>
      <c r="E25" s="2278"/>
      <c r="F25" s="2278"/>
      <c r="G25" s="2278"/>
      <c r="H25" s="2278"/>
      <c r="I25" s="2278"/>
      <c r="J25" s="2278"/>
      <c r="K25" s="2322"/>
      <c r="L25" s="2322"/>
      <c r="M25" s="2322"/>
      <c r="N25" s="2322"/>
      <c r="O25" s="2322"/>
      <c r="P25" s="341">
        <f>IF(R25=1,0.05,0)</f>
        <v>0</v>
      </c>
      <c r="R25" s="1197">
        <v>2</v>
      </c>
      <c r="S25" s="132"/>
      <c r="T25" s="132"/>
      <c r="U25" s="120"/>
      <c r="V25" s="120"/>
      <c r="W25" s="120"/>
      <c r="X25" s="120"/>
      <c r="Y25" s="120"/>
      <c r="Z25" s="120"/>
      <c r="AA25" s="120"/>
      <c r="AB25" s="120"/>
      <c r="AC25" s="120"/>
      <c r="AD25" s="120"/>
      <c r="AE25" s="120"/>
      <c r="AF25" s="120"/>
      <c r="AG25" s="120"/>
      <c r="AH25" s="120"/>
      <c r="AI25" s="120"/>
      <c r="AJ25" s="120"/>
      <c r="AK25" s="120"/>
      <c r="AL25" s="120"/>
      <c r="AM25" s="120"/>
      <c r="AN25" s="120"/>
      <c r="AO25" s="120"/>
      <c r="AP25" s="120"/>
      <c r="AQ25" s="120"/>
      <c r="AR25" s="120"/>
      <c r="AS25" s="120"/>
      <c r="AT25" s="120"/>
      <c r="AU25" s="120"/>
      <c r="AV25" s="120"/>
      <c r="AW25" s="120"/>
      <c r="AX25" s="120"/>
      <c r="AY25" s="120"/>
      <c r="AZ25" s="120"/>
      <c r="BA25" s="120"/>
      <c r="BB25" s="120"/>
      <c r="BC25" s="120"/>
      <c r="BD25" s="120"/>
      <c r="BE25" s="120"/>
      <c r="BF25" s="120"/>
      <c r="BG25" s="120"/>
      <c r="BH25" s="120"/>
      <c r="BI25" s="120"/>
      <c r="BJ25" s="120"/>
      <c r="BK25" s="120"/>
      <c r="BL25" s="120"/>
      <c r="BM25" s="120"/>
      <c r="BN25" s="120"/>
      <c r="BO25" s="120"/>
      <c r="BP25" s="120"/>
      <c r="BQ25" s="120"/>
      <c r="BR25" s="120"/>
      <c r="BS25" s="120"/>
      <c r="BT25" s="120"/>
      <c r="BU25" s="120"/>
      <c r="BV25" s="120"/>
      <c r="BW25" s="120"/>
      <c r="BX25" s="120"/>
      <c r="BY25" s="120"/>
      <c r="BZ25" s="120"/>
      <c r="CA25" s="120"/>
      <c r="CB25" s="120"/>
      <c r="CC25" s="120"/>
      <c r="CD25" s="120"/>
      <c r="CE25" s="120"/>
      <c r="CF25" s="120"/>
      <c r="CG25" s="120"/>
      <c r="CH25" s="120"/>
      <c r="CI25" s="120"/>
      <c r="CJ25" s="120"/>
      <c r="CK25" s="120"/>
      <c r="CL25" s="120"/>
      <c r="CM25" s="120"/>
      <c r="CN25" s="120"/>
      <c r="CO25" s="120"/>
      <c r="CP25" s="120"/>
      <c r="CQ25" s="120"/>
      <c r="CR25" s="120"/>
      <c r="CS25" s="120"/>
      <c r="CT25" s="120"/>
      <c r="CU25" s="120"/>
      <c r="CV25" s="120"/>
      <c r="CW25" s="120"/>
      <c r="CX25" s="120"/>
      <c r="CY25" s="120"/>
      <c r="CZ25" s="120"/>
      <c r="DA25" s="120"/>
      <c r="DB25" s="120"/>
      <c r="DC25" s="120"/>
      <c r="DD25" s="120"/>
      <c r="DE25" s="120"/>
      <c r="DF25" s="120"/>
      <c r="DG25" s="120"/>
      <c r="DH25" s="120"/>
      <c r="DI25" s="120"/>
      <c r="DJ25" s="120"/>
      <c r="DK25" s="120"/>
      <c r="DL25" s="120"/>
      <c r="DM25" s="120"/>
      <c r="DN25" s="120"/>
      <c r="DO25" s="120"/>
      <c r="DP25" s="120"/>
      <c r="DQ25" s="120"/>
      <c r="DR25" s="120"/>
      <c r="DS25" s="120"/>
      <c r="DT25" s="120"/>
      <c r="DU25" s="120"/>
      <c r="DV25" s="120"/>
      <c r="DW25" s="120"/>
      <c r="DX25" s="120"/>
      <c r="DY25" s="120"/>
      <c r="DZ25" s="120"/>
      <c r="EA25" s="120"/>
      <c r="EB25" s="120"/>
      <c r="EC25" s="120"/>
      <c r="ED25" s="120"/>
      <c r="EE25" s="120"/>
      <c r="EF25" s="120"/>
      <c r="EG25" s="120"/>
      <c r="EH25" s="120"/>
      <c r="EI25" s="120"/>
      <c r="EJ25" s="120"/>
      <c r="EK25" s="120"/>
      <c r="EL25" s="120"/>
      <c r="EM25" s="120"/>
      <c r="EN25" s="120"/>
      <c r="EO25" s="120"/>
      <c r="EP25" s="120"/>
      <c r="EQ25" s="120"/>
      <c r="ER25" s="120"/>
      <c r="ES25" s="120"/>
      <c r="ET25" s="120"/>
      <c r="EU25" s="120"/>
      <c r="EV25" s="120"/>
      <c r="EW25" s="120"/>
      <c r="EX25" s="120"/>
      <c r="EY25" s="120"/>
      <c r="EZ25" s="120"/>
      <c r="FA25" s="120"/>
      <c r="FB25" s="120"/>
      <c r="FC25" s="120"/>
      <c r="FD25" s="120"/>
      <c r="FE25" s="120"/>
      <c r="FF25" s="120"/>
      <c r="FG25" s="120"/>
      <c r="FH25" s="120"/>
      <c r="FI25" s="120"/>
      <c r="FJ25" s="120"/>
      <c r="FK25" s="120"/>
      <c r="FL25" s="120"/>
      <c r="FM25" s="120"/>
      <c r="FN25" s="120"/>
      <c r="FO25" s="120"/>
      <c r="FP25" s="120"/>
      <c r="FQ25" s="120"/>
      <c r="FR25" s="120"/>
      <c r="FS25" s="120"/>
      <c r="FT25" s="120"/>
      <c r="FU25" s="120"/>
      <c r="FV25" s="120"/>
      <c r="FW25" s="120"/>
      <c r="FX25" s="120"/>
      <c r="FY25" s="120"/>
      <c r="FZ25" s="120"/>
      <c r="GA25" s="120"/>
      <c r="GB25" s="120"/>
      <c r="GC25" s="120"/>
      <c r="GD25" s="120"/>
      <c r="GE25" s="120"/>
      <c r="GF25" s="120"/>
      <c r="GG25" s="120"/>
      <c r="GH25" s="120"/>
      <c r="GI25" s="120"/>
      <c r="GJ25" s="120"/>
      <c r="GK25" s="120"/>
      <c r="GL25" s="120"/>
      <c r="GM25" s="60"/>
      <c r="GN25" s="60"/>
      <c r="GO25" s="60"/>
      <c r="GP25" s="60"/>
      <c r="GQ25" s="60"/>
      <c r="GR25" s="60"/>
      <c r="GS25" s="60"/>
      <c r="GT25" s="60"/>
      <c r="GU25" s="60"/>
      <c r="GV25" s="60"/>
      <c r="GW25" s="60"/>
      <c r="GX25" s="60"/>
      <c r="GY25" s="60"/>
      <c r="GZ25" s="60"/>
      <c r="HA25" s="60"/>
      <c r="HB25" s="60"/>
      <c r="HC25" s="60"/>
      <c r="HD25" s="60"/>
      <c r="HE25" s="60"/>
      <c r="HF25" s="60"/>
      <c r="HG25" s="60"/>
      <c r="HH25" s="60"/>
      <c r="HI25" s="60"/>
      <c r="HJ25" s="60"/>
      <c r="HK25" s="60"/>
      <c r="HL25" s="60"/>
      <c r="HM25" s="60"/>
      <c r="HN25" s="60"/>
      <c r="HO25" s="60"/>
      <c r="HP25" s="60"/>
      <c r="HQ25" s="60"/>
      <c r="HR25" s="60"/>
      <c r="HS25" s="60"/>
      <c r="HT25" s="60"/>
      <c r="HU25" s="60"/>
      <c r="HV25" s="60"/>
      <c r="HW25" s="60"/>
      <c r="HX25" s="60"/>
      <c r="HY25" s="60"/>
      <c r="HZ25" s="60"/>
      <c r="IA25" s="60"/>
      <c r="IB25" s="60"/>
      <c r="IC25" s="60"/>
      <c r="ID25" s="60"/>
    </row>
    <row r="26" spans="1:238" ht="13.5" customHeight="1" x14ac:dyDescent="0.2">
      <c r="B26" s="1854"/>
      <c r="C26" s="1854"/>
      <c r="D26" s="1854"/>
      <c r="E26" s="1854"/>
      <c r="F26" s="1854"/>
      <c r="G26" s="1854"/>
      <c r="H26" s="1854"/>
      <c r="I26" s="1854"/>
      <c r="J26" s="1854"/>
      <c r="K26" s="1854"/>
      <c r="L26" s="1854"/>
      <c r="M26" s="1854"/>
      <c r="N26" s="1854"/>
      <c r="O26" s="1854"/>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63"/>
      <c r="BR26" s="63"/>
      <c r="BS26" s="63"/>
      <c r="BT26" s="63"/>
      <c r="BU26" s="63"/>
      <c r="BV26" s="63"/>
      <c r="BW26" s="63"/>
      <c r="BX26" s="63"/>
      <c r="BY26" s="63"/>
      <c r="BZ26" s="63"/>
      <c r="CA26" s="63"/>
      <c r="CB26" s="63"/>
      <c r="CC26" s="63"/>
      <c r="CD26" s="63"/>
      <c r="CE26" s="63"/>
      <c r="CF26" s="63"/>
      <c r="CG26" s="63"/>
      <c r="CH26" s="63"/>
      <c r="CI26" s="63"/>
      <c r="CJ26" s="63"/>
      <c r="CK26" s="63"/>
      <c r="CL26" s="63"/>
      <c r="CM26" s="63"/>
      <c r="CN26" s="63"/>
      <c r="CO26" s="63"/>
      <c r="CP26" s="63"/>
      <c r="CQ26" s="63"/>
      <c r="CR26" s="63"/>
      <c r="CS26" s="63"/>
      <c r="CT26" s="63"/>
      <c r="CU26" s="63"/>
      <c r="CV26" s="63"/>
      <c r="CW26" s="63"/>
      <c r="CX26" s="63"/>
      <c r="CY26" s="63"/>
      <c r="CZ26" s="63"/>
      <c r="DA26" s="63"/>
      <c r="DB26" s="63"/>
      <c r="DC26" s="63"/>
      <c r="DD26" s="63"/>
      <c r="DE26" s="63"/>
      <c r="DF26" s="63"/>
      <c r="DG26" s="63"/>
      <c r="DH26" s="63"/>
      <c r="DI26" s="63"/>
      <c r="DJ26" s="63"/>
      <c r="DK26" s="63"/>
      <c r="DL26" s="63"/>
      <c r="DM26" s="63"/>
      <c r="DN26" s="63"/>
      <c r="DO26" s="63"/>
      <c r="DP26" s="63"/>
      <c r="DQ26" s="63"/>
      <c r="DR26" s="63"/>
      <c r="DS26" s="63"/>
      <c r="DT26" s="63"/>
      <c r="DU26" s="63"/>
      <c r="DV26" s="63"/>
      <c r="DW26" s="63"/>
      <c r="DX26" s="63"/>
      <c r="DY26" s="63"/>
      <c r="DZ26" s="63"/>
      <c r="EA26" s="63"/>
      <c r="EB26" s="63"/>
      <c r="EC26" s="63"/>
      <c r="ED26" s="63"/>
      <c r="EE26" s="63"/>
      <c r="EF26" s="63"/>
      <c r="EG26" s="63"/>
      <c r="EH26" s="63"/>
      <c r="EI26" s="63"/>
      <c r="EJ26" s="63"/>
      <c r="EK26" s="63"/>
      <c r="EL26" s="63"/>
      <c r="EM26" s="63"/>
      <c r="EN26" s="63"/>
      <c r="EO26" s="63"/>
      <c r="EP26" s="63"/>
      <c r="EQ26" s="63"/>
      <c r="ER26" s="63"/>
      <c r="ES26" s="63"/>
      <c r="ET26" s="63"/>
      <c r="EU26" s="63"/>
      <c r="EV26" s="63"/>
      <c r="EW26" s="63"/>
      <c r="EX26" s="63"/>
      <c r="EY26" s="63"/>
      <c r="EZ26" s="63"/>
      <c r="FA26" s="63"/>
      <c r="FB26" s="63"/>
      <c r="FC26" s="63"/>
      <c r="FD26" s="63"/>
      <c r="FE26" s="63"/>
      <c r="FF26" s="63"/>
      <c r="FG26" s="63"/>
      <c r="FH26" s="63"/>
      <c r="FI26" s="63"/>
      <c r="FJ26" s="63"/>
      <c r="FK26" s="63"/>
      <c r="FL26" s="63"/>
      <c r="FM26" s="63"/>
      <c r="FN26" s="63"/>
      <c r="FO26" s="63"/>
      <c r="FP26" s="63"/>
      <c r="FQ26" s="63"/>
      <c r="FR26" s="63"/>
      <c r="FS26" s="63"/>
      <c r="FT26" s="63"/>
      <c r="FU26" s="63"/>
      <c r="FV26" s="63"/>
      <c r="FW26" s="63"/>
      <c r="FX26" s="63"/>
      <c r="FY26" s="63"/>
      <c r="FZ26" s="63"/>
      <c r="GA26" s="63"/>
      <c r="GB26" s="63"/>
      <c r="GC26" s="63"/>
      <c r="GD26" s="63"/>
      <c r="GE26" s="63"/>
      <c r="GF26" s="63"/>
      <c r="GG26" s="63"/>
      <c r="GH26" s="63"/>
      <c r="GI26" s="63"/>
      <c r="GJ26" s="63"/>
      <c r="GK26" s="63"/>
      <c r="GL26" s="63"/>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c r="HU26" s="14"/>
      <c r="HV26" s="14"/>
      <c r="HW26" s="14"/>
      <c r="HX26" s="14"/>
      <c r="HY26" s="14"/>
      <c r="HZ26" s="14"/>
      <c r="IA26" s="14"/>
      <c r="IB26" s="14"/>
      <c r="IC26" s="14"/>
      <c r="ID26" s="14"/>
    </row>
    <row r="27" spans="1:238" ht="20.25" customHeight="1" x14ac:dyDescent="0.2">
      <c r="B27" s="1687" t="s">
        <v>596</v>
      </c>
      <c r="C27" s="1534"/>
      <c r="D27" s="1534"/>
      <c r="E27" s="1534"/>
      <c r="F27" s="1534"/>
      <c r="G27" s="1534"/>
      <c r="H27" s="1534"/>
      <c r="I27" s="1534"/>
      <c r="J27" s="1534"/>
      <c r="K27" s="1534"/>
      <c r="L27" s="1534"/>
      <c r="M27" s="1534"/>
      <c r="N27" s="1534"/>
      <c r="O27" s="1534"/>
      <c r="P27" s="185"/>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A27" s="63"/>
      <c r="CB27" s="63"/>
      <c r="CC27" s="63"/>
      <c r="CD27" s="63"/>
      <c r="CE27" s="63"/>
      <c r="CF27" s="63"/>
      <c r="CG27" s="63"/>
      <c r="CH27" s="63"/>
      <c r="CI27" s="63"/>
      <c r="CJ27" s="63"/>
      <c r="CK27" s="63"/>
      <c r="CL27" s="63"/>
      <c r="CM27" s="63"/>
      <c r="CN27" s="63"/>
      <c r="CO27" s="63"/>
      <c r="CP27" s="63"/>
      <c r="CQ27" s="63"/>
      <c r="CR27" s="63"/>
      <c r="CS27" s="63"/>
      <c r="CT27" s="63"/>
      <c r="CU27" s="63"/>
      <c r="CV27" s="63"/>
      <c r="CW27" s="63"/>
      <c r="CX27" s="63"/>
      <c r="CY27" s="63"/>
      <c r="CZ27" s="63"/>
      <c r="DA27" s="63"/>
      <c r="DB27" s="63"/>
      <c r="DC27" s="63"/>
      <c r="DD27" s="63"/>
      <c r="DE27" s="63"/>
      <c r="DF27" s="63"/>
      <c r="DG27" s="63"/>
      <c r="DH27" s="63"/>
      <c r="DI27" s="63"/>
      <c r="DJ27" s="63"/>
      <c r="DK27" s="63"/>
      <c r="DL27" s="63"/>
      <c r="DM27" s="63"/>
      <c r="DN27" s="63"/>
      <c r="DO27" s="63"/>
      <c r="DP27" s="63"/>
      <c r="DQ27" s="63"/>
      <c r="DR27" s="63"/>
      <c r="DS27" s="63"/>
      <c r="DT27" s="63"/>
      <c r="DU27" s="63"/>
      <c r="DV27" s="63"/>
      <c r="DW27" s="63"/>
      <c r="DX27" s="63"/>
      <c r="DY27" s="63"/>
      <c r="DZ27" s="63"/>
      <c r="EA27" s="63"/>
      <c r="EB27" s="63"/>
      <c r="EC27" s="63"/>
      <c r="ED27" s="63"/>
      <c r="EE27" s="63"/>
      <c r="EF27" s="63"/>
      <c r="EG27" s="63"/>
      <c r="EH27" s="63"/>
      <c r="EI27" s="63"/>
      <c r="EJ27" s="63"/>
      <c r="EK27" s="63"/>
      <c r="EL27" s="63"/>
      <c r="EM27" s="63"/>
      <c r="EN27" s="63"/>
      <c r="EO27" s="63"/>
      <c r="EP27" s="63"/>
      <c r="EQ27" s="63"/>
      <c r="ER27" s="63"/>
      <c r="ES27" s="63"/>
      <c r="ET27" s="63"/>
      <c r="EU27" s="63"/>
      <c r="EV27" s="63"/>
      <c r="EW27" s="63"/>
      <c r="EX27" s="63"/>
      <c r="EY27" s="63"/>
      <c r="EZ27" s="63"/>
      <c r="FA27" s="63"/>
      <c r="FB27" s="63"/>
      <c r="FC27" s="63"/>
      <c r="FD27" s="63"/>
      <c r="FE27" s="63"/>
      <c r="FF27" s="63"/>
      <c r="FG27" s="63"/>
      <c r="FH27" s="63"/>
      <c r="FI27" s="63"/>
      <c r="FJ27" s="63"/>
      <c r="FK27" s="63"/>
      <c r="FL27" s="63"/>
      <c r="FM27" s="63"/>
      <c r="FN27" s="63"/>
      <c r="FO27" s="63"/>
      <c r="FP27" s="63"/>
      <c r="FQ27" s="63"/>
      <c r="FR27" s="63"/>
      <c r="FS27" s="63"/>
      <c r="FT27" s="63"/>
      <c r="FU27" s="63"/>
      <c r="FV27" s="63"/>
      <c r="FW27" s="63"/>
      <c r="FX27" s="63"/>
      <c r="FY27" s="63"/>
      <c r="FZ27" s="63"/>
      <c r="GA27" s="63"/>
      <c r="GB27" s="63"/>
      <c r="GC27" s="63"/>
      <c r="GD27" s="63"/>
      <c r="GE27" s="63"/>
      <c r="GF27" s="63"/>
      <c r="GG27" s="63"/>
      <c r="GH27" s="63"/>
      <c r="GI27" s="63"/>
      <c r="GJ27" s="63"/>
      <c r="GK27" s="63"/>
      <c r="GL27" s="63"/>
      <c r="GM27" s="14"/>
      <c r="GN27" s="14"/>
      <c r="GO27" s="14"/>
      <c r="GP27" s="14"/>
      <c r="GQ27" s="14"/>
      <c r="GR27" s="14"/>
      <c r="GS27" s="14"/>
      <c r="GT27" s="14"/>
      <c r="GU27" s="14"/>
      <c r="GV27" s="14"/>
      <c r="GW27" s="14"/>
      <c r="GX27" s="14"/>
      <c r="GY27" s="14"/>
      <c r="GZ27" s="14"/>
      <c r="HA27" s="14"/>
      <c r="HB27" s="14"/>
      <c r="HC27" s="14"/>
      <c r="HD27" s="14"/>
      <c r="HE27" s="14"/>
      <c r="HF27" s="14"/>
      <c r="HG27" s="14"/>
      <c r="HH27" s="14"/>
      <c r="HI27" s="14"/>
      <c r="HJ27" s="14"/>
      <c r="HK27" s="14"/>
      <c r="HL27" s="14"/>
      <c r="HM27" s="14"/>
      <c r="HN27" s="14"/>
      <c r="HO27" s="14"/>
      <c r="HP27" s="14"/>
      <c r="HQ27" s="14"/>
      <c r="HR27" s="14"/>
      <c r="HS27" s="14"/>
      <c r="HT27" s="14"/>
      <c r="HU27" s="14"/>
      <c r="HV27" s="14"/>
      <c r="HW27" s="14"/>
      <c r="HX27" s="14"/>
      <c r="HY27" s="14"/>
      <c r="HZ27" s="14"/>
      <c r="IA27" s="14"/>
      <c r="IB27" s="14"/>
      <c r="IC27" s="14"/>
      <c r="ID27" s="14"/>
    </row>
    <row r="28" spans="1:238" ht="42" customHeight="1" x14ac:dyDescent="0.2">
      <c r="B28" s="1379" t="s">
        <v>616</v>
      </c>
      <c r="C28" s="1379"/>
      <c r="D28" s="1379"/>
      <c r="E28" s="1379"/>
      <c r="F28" s="1379"/>
      <c r="G28" s="1379"/>
      <c r="H28" s="1379"/>
      <c r="I28" s="1379"/>
      <c r="J28" s="1379"/>
      <c r="K28" s="1379"/>
      <c r="L28" s="1379"/>
      <c r="M28" s="1379"/>
      <c r="N28" s="1379"/>
      <c r="O28" s="1379"/>
      <c r="P28" s="1612">
        <f>IF(R29=1,0.05,0)</f>
        <v>0</v>
      </c>
      <c r="R28" s="1203" t="s">
        <v>2305</v>
      </c>
      <c r="S28" s="63"/>
      <c r="T28" s="63"/>
      <c r="U28" s="63"/>
      <c r="V28" s="63"/>
      <c r="W28" s="63"/>
      <c r="X28" s="63"/>
      <c r="Y28" s="63"/>
      <c r="Z28" s="63"/>
      <c r="AA28" s="63"/>
      <c r="AB28" s="63"/>
      <c r="AC28" s="63"/>
      <c r="AD28" s="63"/>
      <c r="AE28" s="63"/>
      <c r="AF28" s="63"/>
      <c r="AG28" s="63"/>
      <c r="AH28" s="63"/>
      <c r="AI28" s="63"/>
      <c r="AJ28" s="63"/>
      <c r="AK28" s="63"/>
      <c r="AL28" s="63"/>
      <c r="AM28" s="63"/>
      <c r="AN28" s="63"/>
      <c r="AO28" s="63"/>
      <c r="AP28" s="63"/>
      <c r="AQ28" s="63"/>
      <c r="AR28" s="63"/>
      <c r="AS28" s="63"/>
      <c r="AT28" s="63"/>
      <c r="AU28" s="63"/>
      <c r="AV28" s="63"/>
      <c r="AW28" s="63"/>
      <c r="AX28" s="63"/>
      <c r="AY28" s="63"/>
      <c r="AZ28" s="63"/>
      <c r="BA28" s="63"/>
      <c r="BB28" s="63"/>
      <c r="BC28" s="63"/>
      <c r="BD28" s="63"/>
      <c r="BE28" s="63"/>
      <c r="BF28" s="63"/>
      <c r="BG28" s="63"/>
      <c r="BH28" s="63"/>
      <c r="BI28" s="63"/>
      <c r="BJ28" s="63"/>
      <c r="BK28" s="63"/>
      <c r="BL28" s="63"/>
      <c r="BM28" s="63"/>
      <c r="BN28" s="63"/>
      <c r="BO28" s="63"/>
      <c r="BP28" s="63"/>
      <c r="BQ28" s="63"/>
      <c r="BR28" s="63"/>
      <c r="BS28" s="63"/>
      <c r="BT28" s="63"/>
      <c r="BU28" s="63"/>
      <c r="BV28" s="63"/>
      <c r="BW28" s="63"/>
      <c r="BX28" s="63"/>
      <c r="BY28" s="63"/>
      <c r="BZ28" s="63"/>
      <c r="CA28" s="63"/>
      <c r="CB28" s="63"/>
      <c r="CC28" s="63"/>
      <c r="CD28" s="63"/>
      <c r="CE28" s="63"/>
      <c r="CF28" s="63"/>
      <c r="CG28" s="63"/>
      <c r="CH28" s="63"/>
      <c r="CI28" s="63"/>
      <c r="CJ28" s="63"/>
      <c r="CK28" s="63"/>
      <c r="CL28" s="63"/>
      <c r="CM28" s="63"/>
      <c r="CN28" s="63"/>
      <c r="CO28" s="63"/>
      <c r="CP28" s="63"/>
      <c r="CQ28" s="63"/>
      <c r="CR28" s="63"/>
      <c r="CS28" s="63"/>
      <c r="CT28" s="63"/>
      <c r="CU28" s="63"/>
      <c r="CV28" s="63"/>
      <c r="CW28" s="63"/>
      <c r="CX28" s="63"/>
      <c r="CY28" s="63"/>
      <c r="CZ28" s="63"/>
      <c r="DA28" s="63"/>
      <c r="DB28" s="63"/>
      <c r="DC28" s="63"/>
      <c r="DD28" s="63"/>
      <c r="DE28" s="63"/>
      <c r="DF28" s="63"/>
      <c r="DG28" s="63"/>
      <c r="DH28" s="63"/>
      <c r="DI28" s="63"/>
      <c r="DJ28" s="63"/>
      <c r="DK28" s="63"/>
      <c r="DL28" s="63"/>
      <c r="DM28" s="63"/>
      <c r="DN28" s="63"/>
      <c r="DO28" s="63"/>
      <c r="DP28" s="63"/>
      <c r="DQ28" s="63"/>
      <c r="DR28" s="63"/>
      <c r="DS28" s="63"/>
      <c r="DT28" s="63"/>
      <c r="DU28" s="63"/>
      <c r="DV28" s="63"/>
      <c r="DW28" s="63"/>
      <c r="DX28" s="63"/>
      <c r="DY28" s="63"/>
      <c r="DZ28" s="63"/>
      <c r="EA28" s="63"/>
      <c r="EB28" s="63"/>
      <c r="EC28" s="63"/>
      <c r="ED28" s="63"/>
      <c r="EE28" s="63"/>
      <c r="EF28" s="63"/>
      <c r="EG28" s="63"/>
      <c r="EH28" s="63"/>
      <c r="EI28" s="63"/>
      <c r="EJ28" s="63"/>
      <c r="EK28" s="63"/>
      <c r="EL28" s="63"/>
      <c r="EM28" s="63"/>
      <c r="EN28" s="63"/>
      <c r="EO28" s="63"/>
      <c r="EP28" s="63"/>
      <c r="EQ28" s="63"/>
      <c r="ER28" s="63"/>
      <c r="ES28" s="63"/>
      <c r="ET28" s="63"/>
      <c r="EU28" s="63"/>
      <c r="EV28" s="63"/>
      <c r="EW28" s="63"/>
      <c r="EX28" s="63"/>
      <c r="EY28" s="63"/>
      <c r="EZ28" s="63"/>
      <c r="FA28" s="63"/>
      <c r="FB28" s="63"/>
      <c r="FC28" s="63"/>
      <c r="FD28" s="63"/>
      <c r="FE28" s="63"/>
      <c r="FF28" s="63"/>
      <c r="FG28" s="63"/>
      <c r="FH28" s="63"/>
      <c r="FI28" s="63"/>
      <c r="FJ28" s="63"/>
      <c r="FK28" s="63"/>
      <c r="FL28" s="63"/>
      <c r="FM28" s="63"/>
      <c r="FN28" s="63"/>
      <c r="FO28" s="63"/>
      <c r="FP28" s="63"/>
      <c r="FQ28" s="63"/>
      <c r="FR28" s="63"/>
      <c r="FS28" s="63"/>
      <c r="FT28" s="63"/>
      <c r="FU28" s="63"/>
      <c r="FV28" s="63"/>
      <c r="FW28" s="63"/>
      <c r="FX28" s="63"/>
      <c r="FY28" s="63"/>
      <c r="FZ28" s="63"/>
      <c r="GA28" s="63"/>
      <c r="GB28" s="63"/>
      <c r="GC28" s="63"/>
      <c r="GD28" s="63"/>
      <c r="GE28" s="63"/>
      <c r="GF28" s="63"/>
      <c r="GG28" s="63"/>
      <c r="GH28" s="63"/>
      <c r="GI28" s="63"/>
      <c r="GJ28" s="63"/>
      <c r="GK28" s="63"/>
      <c r="GL28" s="63"/>
      <c r="GM28" s="14"/>
      <c r="GN28" s="14"/>
      <c r="GO28" s="14"/>
      <c r="GP28" s="14"/>
      <c r="GQ28" s="14"/>
      <c r="GR28" s="14"/>
      <c r="GS28" s="14"/>
      <c r="GT28" s="14"/>
      <c r="GU28" s="14"/>
      <c r="GV28" s="14"/>
      <c r="GW28" s="14"/>
      <c r="GX28" s="14"/>
      <c r="GY28" s="14"/>
      <c r="GZ28" s="14"/>
      <c r="HA28" s="14"/>
      <c r="HB28" s="14"/>
      <c r="HC28" s="14"/>
      <c r="HD28" s="14"/>
      <c r="HE28" s="14"/>
      <c r="HF28" s="14"/>
      <c r="HG28" s="14"/>
      <c r="HH28" s="14"/>
      <c r="HI28" s="14"/>
      <c r="HJ28" s="14"/>
      <c r="HK28" s="14"/>
      <c r="HL28" s="14"/>
      <c r="HM28" s="14"/>
      <c r="HN28" s="14"/>
      <c r="HO28" s="14"/>
      <c r="HP28" s="14"/>
      <c r="HQ28" s="14"/>
      <c r="HR28" s="14"/>
      <c r="HS28" s="14"/>
      <c r="HT28" s="14"/>
      <c r="HU28" s="14"/>
      <c r="HV28" s="14"/>
      <c r="HW28" s="14"/>
      <c r="HX28" s="14"/>
      <c r="HY28" s="14"/>
      <c r="HZ28" s="14"/>
      <c r="IA28" s="14"/>
      <c r="IB28" s="14"/>
      <c r="IC28" s="14"/>
      <c r="ID28" s="14"/>
    </row>
    <row r="29" spans="1:238" ht="20.25" customHeight="1" x14ac:dyDescent="0.2">
      <c r="A29" s="189"/>
      <c r="B29" s="1410" t="s">
        <v>948</v>
      </c>
      <c r="C29" s="1410"/>
      <c r="D29" s="1410"/>
      <c r="E29" s="1410"/>
      <c r="F29" s="1410"/>
      <c r="G29" s="1410"/>
      <c r="H29" s="1410"/>
      <c r="I29" s="1410"/>
      <c r="J29" s="1410"/>
      <c r="K29" s="2276"/>
      <c r="L29" s="2276"/>
      <c r="M29" s="2276"/>
      <c r="N29" s="2276"/>
      <c r="O29" s="2276"/>
      <c r="P29" s="1733"/>
      <c r="R29" s="1005">
        <v>2</v>
      </c>
      <c r="S29" s="63">
        <v>1E-4</v>
      </c>
      <c r="T29" s="63"/>
      <c r="U29" s="63"/>
      <c r="V29" s="63"/>
      <c r="W29" s="63"/>
      <c r="X29" s="63"/>
      <c r="Y29" s="63"/>
      <c r="Z29" s="63"/>
      <c r="AA29" s="63"/>
      <c r="AB29" s="63"/>
      <c r="AC29" s="63"/>
      <c r="AD29" s="63"/>
      <c r="AE29" s="63"/>
      <c r="AF29" s="63"/>
      <c r="AG29" s="63"/>
      <c r="AH29" s="63"/>
      <c r="AI29" s="63"/>
      <c r="AJ29" s="63"/>
      <c r="AK29" s="63"/>
      <c r="AL29" s="63"/>
      <c r="AM29" s="63"/>
      <c r="AN29" s="63"/>
      <c r="AO29" s="63"/>
      <c r="AP29" s="63"/>
      <c r="AQ29" s="63"/>
      <c r="AR29" s="63"/>
      <c r="AS29" s="63"/>
      <c r="AT29" s="63"/>
      <c r="AU29" s="63"/>
      <c r="AV29" s="63"/>
      <c r="AW29" s="63"/>
      <c r="AX29" s="63"/>
      <c r="AY29" s="63"/>
      <c r="AZ29" s="63"/>
      <c r="BA29" s="63"/>
      <c r="BB29" s="63"/>
      <c r="BC29" s="63"/>
      <c r="BD29" s="63"/>
      <c r="BE29" s="63"/>
      <c r="BF29" s="63"/>
      <c r="BG29" s="63"/>
      <c r="BH29" s="63"/>
      <c r="BI29" s="63"/>
      <c r="BJ29" s="63"/>
      <c r="BK29" s="63"/>
      <c r="BL29" s="63"/>
      <c r="BM29" s="63"/>
      <c r="BN29" s="63"/>
      <c r="BO29" s="63"/>
      <c r="BP29" s="63"/>
      <c r="BQ29" s="63"/>
      <c r="BR29" s="63"/>
      <c r="BS29" s="63"/>
      <c r="BT29" s="63"/>
      <c r="BU29" s="63"/>
      <c r="BV29" s="63"/>
      <c r="BW29" s="63"/>
      <c r="BX29" s="63"/>
      <c r="BY29" s="63"/>
      <c r="BZ29" s="63"/>
      <c r="CA29" s="63"/>
      <c r="CB29" s="63"/>
      <c r="CC29" s="63"/>
      <c r="CD29" s="63"/>
      <c r="CE29" s="63"/>
      <c r="CF29" s="63"/>
      <c r="CG29" s="63"/>
      <c r="CH29" s="63"/>
      <c r="CI29" s="63"/>
      <c r="CJ29" s="63"/>
      <c r="CK29" s="63"/>
      <c r="CL29" s="63"/>
      <c r="CM29" s="63"/>
      <c r="CN29" s="63"/>
      <c r="CO29" s="63"/>
      <c r="CP29" s="63"/>
      <c r="CQ29" s="63"/>
      <c r="CR29" s="63"/>
      <c r="CS29" s="63"/>
      <c r="CT29" s="63"/>
      <c r="CU29" s="63"/>
      <c r="CV29" s="63"/>
      <c r="CW29" s="63"/>
      <c r="CX29" s="63"/>
      <c r="CY29" s="63"/>
      <c r="CZ29" s="63"/>
      <c r="DA29" s="63"/>
      <c r="DB29" s="63"/>
      <c r="DC29" s="63"/>
      <c r="DD29" s="63"/>
      <c r="DE29" s="63"/>
      <c r="DF29" s="63"/>
      <c r="DG29" s="63"/>
      <c r="DH29" s="63"/>
      <c r="DI29" s="63"/>
      <c r="DJ29" s="63"/>
      <c r="DK29" s="63"/>
      <c r="DL29" s="63"/>
      <c r="DM29" s="63"/>
      <c r="DN29" s="63"/>
      <c r="DO29" s="63"/>
      <c r="DP29" s="63"/>
      <c r="DQ29" s="63"/>
      <c r="DR29" s="63"/>
      <c r="DS29" s="63"/>
      <c r="DT29" s="63"/>
      <c r="DU29" s="63"/>
      <c r="DV29" s="63"/>
      <c r="DW29" s="63"/>
      <c r="DX29" s="63"/>
      <c r="DY29" s="63"/>
      <c r="DZ29" s="63"/>
      <c r="EA29" s="63"/>
      <c r="EB29" s="63"/>
      <c r="EC29" s="63"/>
      <c r="ED29" s="63"/>
      <c r="EE29" s="63"/>
      <c r="EF29" s="63"/>
      <c r="EG29" s="63"/>
      <c r="EH29" s="63"/>
      <c r="EI29" s="63"/>
      <c r="EJ29" s="63"/>
      <c r="EK29" s="63"/>
      <c r="EL29" s="63"/>
      <c r="EM29" s="63"/>
      <c r="EN29" s="63"/>
      <c r="EO29" s="63"/>
      <c r="EP29" s="63"/>
      <c r="EQ29" s="63"/>
      <c r="ER29" s="63"/>
      <c r="ES29" s="63"/>
      <c r="ET29" s="63"/>
      <c r="EU29" s="63"/>
      <c r="EV29" s="63"/>
      <c r="EW29" s="63"/>
      <c r="EX29" s="63"/>
      <c r="EY29" s="63"/>
      <c r="EZ29" s="63"/>
      <c r="FA29" s="63"/>
      <c r="FB29" s="63"/>
      <c r="FC29" s="63"/>
      <c r="FD29" s="63"/>
      <c r="FE29" s="63"/>
      <c r="FF29" s="63"/>
      <c r="FG29" s="63"/>
      <c r="FH29" s="63"/>
      <c r="FI29" s="63"/>
      <c r="FJ29" s="63"/>
      <c r="FK29" s="63"/>
      <c r="FL29" s="63"/>
      <c r="FM29" s="63"/>
      <c r="FN29" s="63"/>
      <c r="FO29" s="63"/>
      <c r="FP29" s="63"/>
      <c r="FQ29" s="63"/>
      <c r="FR29" s="63"/>
      <c r="FS29" s="63"/>
      <c r="FT29" s="63"/>
      <c r="FU29" s="63"/>
      <c r="FV29" s="63"/>
      <c r="FW29" s="63"/>
      <c r="FX29" s="63"/>
      <c r="FY29" s="63"/>
      <c r="FZ29" s="63"/>
      <c r="GA29" s="63"/>
      <c r="GB29" s="63"/>
      <c r="GC29" s="63"/>
      <c r="GD29" s="63"/>
      <c r="GE29" s="63"/>
      <c r="GF29" s="63"/>
      <c r="GG29" s="63"/>
      <c r="GH29" s="63"/>
      <c r="GI29" s="63"/>
      <c r="GJ29" s="63"/>
      <c r="GK29" s="63"/>
      <c r="GL29" s="63"/>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c r="HU29" s="14"/>
      <c r="HV29" s="14"/>
      <c r="HW29" s="14"/>
      <c r="HX29" s="14"/>
      <c r="HY29" s="14"/>
      <c r="HZ29" s="14"/>
      <c r="IA29" s="14"/>
      <c r="IB29" s="14"/>
      <c r="IC29" s="14"/>
      <c r="ID29" s="14"/>
    </row>
    <row r="30" spans="1:238" ht="15" x14ac:dyDescent="0.25">
      <c r="B30" s="1877"/>
      <c r="C30" s="1877"/>
      <c r="D30" s="1877"/>
      <c r="E30" s="1877"/>
      <c r="F30" s="1877"/>
      <c r="G30" s="1877"/>
      <c r="H30" s="1877"/>
      <c r="I30" s="1877"/>
      <c r="J30" s="1877"/>
      <c r="K30" s="1877"/>
      <c r="L30" s="1877"/>
      <c r="M30" s="1877"/>
      <c r="N30" s="1877"/>
      <c r="O30" s="1877"/>
      <c r="P30" s="86"/>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c r="HU30" s="14"/>
      <c r="HV30" s="14"/>
      <c r="HW30" s="14"/>
      <c r="HX30" s="14"/>
      <c r="HY30" s="14"/>
      <c r="HZ30" s="14"/>
      <c r="IA30" s="14"/>
      <c r="IB30" s="14"/>
      <c r="IC30" s="14"/>
      <c r="ID30" s="14"/>
    </row>
    <row r="31" spans="1:238" ht="13.5" customHeight="1" x14ac:dyDescent="0.2">
      <c r="B31" s="1854"/>
      <c r="C31" s="1854"/>
      <c r="D31" s="1854"/>
      <c r="E31" s="1854"/>
      <c r="F31" s="1854"/>
      <c r="G31" s="1854"/>
      <c r="H31" s="1854"/>
      <c r="I31" s="1854"/>
      <c r="J31" s="1854"/>
      <c r="K31" s="1854"/>
      <c r="L31" s="1854"/>
      <c r="M31" s="1854"/>
      <c r="N31" s="1854"/>
      <c r="O31" s="1854"/>
      <c r="R31" s="63"/>
      <c r="S31" s="63"/>
      <c r="T31" s="63"/>
      <c r="U31" s="63"/>
      <c r="V31" s="63"/>
      <c r="W31" s="63"/>
      <c r="X31" s="63"/>
      <c r="Y31" s="63"/>
      <c r="Z31" s="63"/>
      <c r="AA31" s="63"/>
      <c r="AB31" s="63"/>
      <c r="AC31" s="63"/>
      <c r="AD31" s="63"/>
      <c r="AE31" s="63"/>
      <c r="AF31" s="63"/>
      <c r="AG31" s="63"/>
      <c r="AH31" s="63"/>
      <c r="AI31" s="63"/>
      <c r="AJ31" s="63"/>
      <c r="AK31" s="63"/>
      <c r="AL31" s="63"/>
      <c r="AM31" s="63"/>
      <c r="AN31" s="63"/>
      <c r="AO31" s="63"/>
      <c r="AP31" s="63"/>
      <c r="AQ31" s="63"/>
      <c r="AR31" s="63"/>
      <c r="AS31" s="63"/>
      <c r="AT31" s="63"/>
      <c r="AU31" s="63"/>
      <c r="AV31" s="63"/>
      <c r="AW31" s="63"/>
      <c r="AX31" s="63"/>
      <c r="AY31" s="63"/>
      <c r="AZ31" s="63"/>
      <c r="BA31" s="63"/>
      <c r="BB31" s="63"/>
      <c r="BC31" s="63"/>
      <c r="BD31" s="63"/>
      <c r="BE31" s="63"/>
      <c r="BF31" s="63"/>
      <c r="BG31" s="63"/>
      <c r="BH31" s="63"/>
      <c r="BI31" s="63"/>
      <c r="BJ31" s="63"/>
      <c r="BK31" s="63"/>
      <c r="BL31" s="63"/>
      <c r="BM31" s="63"/>
      <c r="BN31" s="63"/>
      <c r="BO31" s="63"/>
      <c r="BP31" s="63"/>
      <c r="BQ31" s="63"/>
      <c r="BR31" s="63"/>
      <c r="BS31" s="63"/>
      <c r="BT31" s="63"/>
      <c r="BU31" s="63"/>
      <c r="BV31" s="63"/>
      <c r="BW31" s="63"/>
      <c r="BX31" s="63"/>
      <c r="BY31" s="63"/>
      <c r="BZ31" s="63"/>
      <c r="CA31" s="63"/>
      <c r="CB31" s="63"/>
      <c r="CC31" s="63"/>
      <c r="CD31" s="63"/>
      <c r="CE31" s="63"/>
      <c r="CF31" s="63"/>
      <c r="CG31" s="63"/>
      <c r="CH31" s="63"/>
      <c r="CI31" s="63"/>
      <c r="CJ31" s="63"/>
      <c r="CK31" s="63"/>
      <c r="CL31" s="63"/>
      <c r="CM31" s="63"/>
      <c r="CN31" s="63"/>
      <c r="CO31" s="63"/>
      <c r="CP31" s="63"/>
      <c r="CQ31" s="63"/>
      <c r="CR31" s="63"/>
      <c r="CS31" s="63"/>
      <c r="CT31" s="63"/>
      <c r="CU31" s="63"/>
      <c r="CV31" s="63"/>
      <c r="CW31" s="63"/>
      <c r="CX31" s="63"/>
      <c r="CY31" s="63"/>
      <c r="CZ31" s="63"/>
      <c r="DA31" s="63"/>
      <c r="DB31" s="63"/>
      <c r="DC31" s="63"/>
      <c r="DD31" s="63"/>
      <c r="DE31" s="63"/>
      <c r="DF31" s="63"/>
      <c r="DG31" s="63"/>
      <c r="DH31" s="63"/>
      <c r="DI31" s="63"/>
      <c r="DJ31" s="63"/>
      <c r="DK31" s="63"/>
      <c r="DL31" s="63"/>
      <c r="DM31" s="63"/>
      <c r="DN31" s="63"/>
      <c r="DO31" s="63"/>
      <c r="DP31" s="63"/>
      <c r="DQ31" s="63"/>
      <c r="DR31" s="63"/>
      <c r="DS31" s="63"/>
      <c r="DT31" s="63"/>
      <c r="DU31" s="63"/>
      <c r="DV31" s="63"/>
      <c r="DW31" s="63"/>
      <c r="DX31" s="63"/>
      <c r="DY31" s="63"/>
      <c r="DZ31" s="63"/>
      <c r="EA31" s="63"/>
      <c r="EB31" s="63"/>
      <c r="EC31" s="63"/>
      <c r="ED31" s="63"/>
      <c r="EE31" s="63"/>
      <c r="EF31" s="63"/>
      <c r="EG31" s="63"/>
      <c r="EH31" s="63"/>
      <c r="EI31" s="63"/>
      <c r="EJ31" s="63"/>
      <c r="EK31" s="63"/>
      <c r="EL31" s="63"/>
      <c r="EM31" s="63"/>
      <c r="EN31" s="63"/>
      <c r="EO31" s="63"/>
      <c r="EP31" s="63"/>
      <c r="EQ31" s="63"/>
      <c r="ER31" s="63"/>
      <c r="ES31" s="63"/>
      <c r="ET31" s="63"/>
      <c r="EU31" s="63"/>
      <c r="EV31" s="63"/>
      <c r="EW31" s="63"/>
      <c r="EX31" s="63"/>
      <c r="EY31" s="63"/>
      <c r="EZ31" s="63"/>
      <c r="FA31" s="63"/>
      <c r="FB31" s="63"/>
      <c r="FC31" s="63"/>
      <c r="FD31" s="63"/>
      <c r="FE31" s="63"/>
      <c r="FF31" s="63"/>
      <c r="FG31" s="63"/>
      <c r="FH31" s="63"/>
      <c r="FI31" s="63"/>
      <c r="FJ31" s="63"/>
      <c r="FK31" s="63"/>
      <c r="FL31" s="63"/>
      <c r="FM31" s="63"/>
      <c r="FN31" s="63"/>
      <c r="FO31" s="63"/>
      <c r="FP31" s="63"/>
      <c r="FQ31" s="63"/>
      <c r="FR31" s="63"/>
      <c r="FS31" s="63"/>
      <c r="FT31" s="63"/>
      <c r="FU31" s="63"/>
      <c r="FV31" s="63"/>
      <c r="FW31" s="63"/>
      <c r="FX31" s="63"/>
      <c r="FY31" s="63"/>
      <c r="FZ31" s="63"/>
      <c r="GA31" s="63"/>
      <c r="GB31" s="63"/>
      <c r="GC31" s="63"/>
      <c r="GD31" s="63"/>
      <c r="GE31" s="63"/>
      <c r="GF31" s="63"/>
      <c r="GG31" s="63"/>
      <c r="GH31" s="63"/>
      <c r="GI31" s="63"/>
      <c r="GJ31" s="63"/>
      <c r="GK31" s="63"/>
      <c r="GL31" s="63"/>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c r="HU31" s="14"/>
      <c r="HV31" s="14"/>
      <c r="HW31" s="14"/>
      <c r="HX31" s="14"/>
      <c r="HY31" s="14"/>
      <c r="HZ31" s="14"/>
      <c r="IA31" s="14"/>
      <c r="IB31" s="14"/>
      <c r="IC31" s="14"/>
      <c r="ID31" s="14"/>
    </row>
    <row r="32" spans="1:238" ht="27" customHeight="1" x14ac:dyDescent="0.2">
      <c r="B32" s="1632" t="s">
        <v>1350</v>
      </c>
      <c r="C32" s="1633"/>
      <c r="D32" s="1633"/>
      <c r="E32" s="1634"/>
      <c r="F32" s="1626" t="s">
        <v>1525</v>
      </c>
      <c r="G32" s="1764"/>
      <c r="H32" s="1764"/>
      <c r="I32" s="1764"/>
      <c r="J32" s="2319" t="str">
        <f>IF(AND(X33=0,X35=1),Y36,"")</f>
        <v/>
      </c>
      <c r="K32" s="2320"/>
      <c r="L32" s="2320"/>
      <c r="M32" s="2320"/>
      <c r="N32" s="2320"/>
      <c r="O32" s="2321"/>
      <c r="P32" s="2315">
        <f>W35</f>
        <v>0</v>
      </c>
      <c r="S32" s="35" t="s">
        <v>511</v>
      </c>
      <c r="T32" s="1182" t="s">
        <v>1865</v>
      </c>
      <c r="U32" s="1182" t="s">
        <v>1305</v>
      </c>
      <c r="V32" s="1182" t="s">
        <v>1306</v>
      </c>
      <c r="W32" s="1182" t="s">
        <v>1307</v>
      </c>
      <c r="X32" s="1186">
        <f>IF(OR(X33=0,X34=0),0,1)</f>
        <v>1</v>
      </c>
      <c r="Y32" s="3" t="s">
        <v>1328</v>
      </c>
      <c r="Z32" s="7"/>
      <c r="AA32" s="7"/>
      <c r="AB32" s="63"/>
      <c r="AC32" s="63"/>
      <c r="AD32" s="63"/>
      <c r="AE32" s="63"/>
      <c r="AF32" s="63"/>
      <c r="AG32" s="63"/>
      <c r="AH32" s="63"/>
      <c r="AI32" s="63"/>
      <c r="AJ32" s="63"/>
      <c r="AK32" s="63"/>
      <c r="AL32" s="63"/>
      <c r="AM32" s="63"/>
      <c r="AN32" s="63"/>
      <c r="AO32" s="63"/>
      <c r="AP32" s="63"/>
      <c r="AQ32" s="63"/>
      <c r="AR32" s="63"/>
      <c r="AS32" s="63"/>
      <c r="AT32" s="63"/>
      <c r="AU32" s="63"/>
      <c r="AV32" s="63"/>
      <c r="AW32" s="63"/>
      <c r="AX32" s="63"/>
      <c r="AY32" s="63"/>
      <c r="AZ32" s="63"/>
      <c r="BA32" s="63"/>
      <c r="BB32" s="63"/>
      <c r="BC32" s="63"/>
      <c r="BD32" s="63"/>
      <c r="BE32" s="63"/>
      <c r="BF32" s="63"/>
      <c r="BG32" s="63"/>
      <c r="BH32" s="63"/>
      <c r="BI32" s="63"/>
      <c r="BJ32" s="63"/>
      <c r="BK32" s="63"/>
      <c r="BL32" s="63"/>
      <c r="BM32" s="63"/>
      <c r="BN32" s="63"/>
      <c r="BO32" s="63"/>
      <c r="BP32" s="63"/>
      <c r="BQ32" s="63"/>
      <c r="BR32" s="63"/>
      <c r="BS32" s="63"/>
      <c r="BT32" s="63"/>
      <c r="BU32" s="63"/>
      <c r="BV32" s="63"/>
      <c r="BW32" s="63"/>
      <c r="BX32" s="63"/>
      <c r="BY32" s="63"/>
      <c r="BZ32" s="63"/>
      <c r="CA32" s="63"/>
      <c r="CB32" s="63"/>
      <c r="CC32" s="63"/>
      <c r="CD32" s="63"/>
      <c r="CE32" s="63"/>
      <c r="CF32" s="63"/>
      <c r="CG32" s="63"/>
      <c r="CH32" s="63"/>
      <c r="CI32" s="63"/>
      <c r="CJ32" s="63"/>
      <c r="CK32" s="63"/>
      <c r="CL32" s="63"/>
      <c r="CM32" s="63"/>
      <c r="CN32" s="63"/>
      <c r="CO32" s="63"/>
      <c r="CP32" s="63"/>
      <c r="CQ32" s="63"/>
      <c r="CR32" s="63"/>
      <c r="CS32" s="63"/>
      <c r="CT32" s="63"/>
      <c r="CU32" s="63"/>
      <c r="CV32" s="63"/>
      <c r="CW32" s="63"/>
      <c r="CX32" s="63"/>
      <c r="CY32" s="63"/>
      <c r="CZ32" s="63"/>
      <c r="DA32" s="63"/>
      <c r="DB32" s="63"/>
      <c r="DC32" s="63"/>
      <c r="DD32" s="63"/>
      <c r="DE32" s="63"/>
      <c r="DF32" s="63"/>
      <c r="DG32" s="63"/>
      <c r="DH32" s="63"/>
      <c r="DI32" s="63"/>
      <c r="DJ32" s="63"/>
      <c r="DK32" s="63"/>
      <c r="DL32" s="63"/>
      <c r="DM32" s="63"/>
      <c r="DN32" s="63"/>
      <c r="DO32" s="63"/>
      <c r="DP32" s="63"/>
      <c r="DQ32" s="63"/>
      <c r="DR32" s="63"/>
      <c r="DS32" s="63"/>
      <c r="DT32" s="63"/>
      <c r="DU32" s="63"/>
      <c r="DV32" s="63"/>
      <c r="DW32" s="63"/>
      <c r="DX32" s="63"/>
      <c r="DY32" s="63"/>
      <c r="DZ32" s="63"/>
      <c r="EA32" s="63"/>
      <c r="EB32" s="63"/>
      <c r="EC32" s="63"/>
      <c r="ED32" s="63"/>
      <c r="EE32" s="63"/>
      <c r="EF32" s="63"/>
      <c r="EG32" s="63"/>
      <c r="EH32" s="63"/>
      <c r="EI32" s="63"/>
      <c r="EJ32" s="63"/>
      <c r="EK32" s="63"/>
      <c r="EL32" s="63"/>
      <c r="EM32" s="63"/>
      <c r="EN32" s="63"/>
      <c r="EO32" s="63"/>
      <c r="EP32" s="63"/>
      <c r="EQ32" s="63"/>
      <c r="ER32" s="63"/>
      <c r="ES32" s="63"/>
      <c r="ET32" s="63"/>
      <c r="EU32" s="63"/>
      <c r="EV32" s="63"/>
      <c r="EW32" s="63"/>
      <c r="EX32" s="63"/>
      <c r="EY32" s="63"/>
      <c r="EZ32" s="63"/>
      <c r="FA32" s="63"/>
      <c r="FB32" s="63"/>
      <c r="FC32" s="63"/>
      <c r="FD32" s="63"/>
      <c r="FE32" s="63"/>
      <c r="FF32" s="63"/>
      <c r="FG32" s="63"/>
      <c r="FH32" s="63"/>
      <c r="FI32" s="63"/>
      <c r="FJ32" s="63"/>
      <c r="FK32" s="63"/>
      <c r="FL32" s="63"/>
      <c r="FM32" s="63"/>
      <c r="FN32" s="63"/>
      <c r="FO32" s="63"/>
      <c r="FP32" s="63"/>
      <c r="FQ32" s="63"/>
      <c r="FR32" s="63"/>
      <c r="FS32" s="63"/>
      <c r="FT32" s="63"/>
      <c r="FU32" s="63"/>
      <c r="FV32" s="63"/>
      <c r="FW32" s="63"/>
      <c r="FX32" s="63"/>
      <c r="FY32" s="63"/>
      <c r="FZ32" s="63"/>
      <c r="GA32" s="63"/>
      <c r="GB32" s="63"/>
      <c r="GC32" s="63"/>
      <c r="GD32" s="63"/>
      <c r="GE32" s="63"/>
      <c r="GF32" s="63"/>
      <c r="GG32" s="63"/>
      <c r="GH32" s="63"/>
      <c r="GI32" s="63"/>
      <c r="GJ32" s="63"/>
      <c r="GK32" s="63"/>
      <c r="GL32" s="63"/>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c r="HU32" s="14"/>
      <c r="HV32" s="14"/>
      <c r="HW32" s="14"/>
      <c r="HX32" s="14"/>
      <c r="HY32" s="14"/>
      <c r="HZ32" s="14"/>
      <c r="IA32" s="14"/>
      <c r="IB32" s="14"/>
      <c r="IC32" s="14"/>
      <c r="ID32" s="14"/>
    </row>
    <row r="33" spans="2:241" ht="21" customHeight="1" x14ac:dyDescent="0.2">
      <c r="B33" s="2333" t="s">
        <v>1959</v>
      </c>
      <c r="C33" s="2334"/>
      <c r="D33" s="1373">
        <f>P21</f>
        <v>0</v>
      </c>
      <c r="E33" s="1373"/>
      <c r="F33" s="1483"/>
      <c r="G33" s="1485"/>
      <c r="H33" s="2286">
        <f>IF(AND(S33&lt;0.01,S33&gt;0),0.01,ROUND(S33,2))</f>
        <v>0</v>
      </c>
      <c r="I33" s="2287"/>
      <c r="J33" s="2290"/>
      <c r="K33" s="2291"/>
      <c r="L33" s="2291"/>
      <c r="M33" s="2291"/>
      <c r="N33" s="2291"/>
      <c r="O33" s="2292"/>
      <c r="P33" s="2316"/>
      <c r="S33" s="1008">
        <f>IF(X33=0,0,IF(F33&gt;0,D33*F33,0))</f>
        <v>0</v>
      </c>
      <c r="T33" s="452">
        <f>IF(H33&gt;0,H33,D33)</f>
        <v>0</v>
      </c>
      <c r="U33" s="1001">
        <f>LARGE($T$33:$T$36,1)</f>
        <v>0</v>
      </c>
      <c r="V33" s="16">
        <f>U33+U34*(1-U33)</f>
        <v>0</v>
      </c>
      <c r="W33" s="61">
        <f>ROUND(V33,2)</f>
        <v>0</v>
      </c>
      <c r="X33" s="1182">
        <f>IF(X11&gt;0,0,1)</f>
        <v>1</v>
      </c>
      <c r="Y33" s="3" t="s">
        <v>1327</v>
      </c>
      <c r="Z33" s="7"/>
      <c r="AA33" s="7"/>
      <c r="AB33" s="63"/>
      <c r="AC33" s="63"/>
      <c r="AD33" s="63"/>
      <c r="AE33" s="63"/>
      <c r="AF33" s="63"/>
      <c r="AG33" s="63"/>
      <c r="AH33" s="63"/>
      <c r="AI33" s="63"/>
      <c r="AJ33" s="63"/>
      <c r="AK33" s="63"/>
      <c r="AL33" s="63"/>
      <c r="AM33" s="63"/>
      <c r="AN33" s="63"/>
      <c r="AO33" s="63"/>
      <c r="AP33" s="63"/>
      <c r="AQ33" s="63"/>
      <c r="AR33" s="63"/>
      <c r="AS33" s="63"/>
      <c r="AT33" s="63"/>
      <c r="AU33" s="63"/>
      <c r="AV33" s="63"/>
      <c r="AW33" s="63"/>
      <c r="AX33" s="63"/>
      <c r="AY33" s="63"/>
      <c r="AZ33" s="63"/>
      <c r="BA33" s="63"/>
      <c r="BB33" s="63"/>
      <c r="BC33" s="63"/>
      <c r="BD33" s="63"/>
      <c r="BE33" s="63"/>
      <c r="BF33" s="63"/>
      <c r="BG33" s="63"/>
      <c r="BH33" s="63"/>
      <c r="BI33" s="63"/>
      <c r="BJ33" s="63"/>
      <c r="BK33" s="63"/>
      <c r="BL33" s="63"/>
      <c r="BM33" s="63"/>
      <c r="BN33" s="63"/>
      <c r="BO33" s="63"/>
      <c r="BP33" s="63"/>
      <c r="BQ33" s="63"/>
      <c r="BR33" s="63"/>
      <c r="BS33" s="63"/>
      <c r="BT33" s="63"/>
      <c r="BU33" s="63"/>
      <c r="BV33" s="63"/>
      <c r="BW33" s="63"/>
      <c r="BX33" s="63"/>
      <c r="BY33" s="63"/>
      <c r="BZ33" s="63"/>
      <c r="CA33" s="63"/>
      <c r="CB33" s="63"/>
      <c r="CC33" s="63"/>
      <c r="CD33" s="63"/>
      <c r="CE33" s="63"/>
      <c r="CF33" s="63"/>
      <c r="CG33" s="63"/>
      <c r="CH33" s="63"/>
      <c r="CI33" s="63"/>
      <c r="CJ33" s="63"/>
      <c r="CK33" s="63"/>
      <c r="CL33" s="63"/>
      <c r="CM33" s="63"/>
      <c r="CN33" s="63"/>
      <c r="CO33" s="63"/>
      <c r="CP33" s="63"/>
      <c r="CQ33" s="63"/>
      <c r="CR33" s="63"/>
      <c r="CS33" s="63"/>
      <c r="CT33" s="63"/>
      <c r="CU33" s="63"/>
      <c r="CV33" s="63"/>
      <c r="CW33" s="63"/>
      <c r="CX33" s="63"/>
      <c r="CY33" s="63"/>
      <c r="CZ33" s="63"/>
      <c r="DA33" s="63"/>
      <c r="DB33" s="63"/>
      <c r="DC33" s="63"/>
      <c r="DD33" s="63"/>
      <c r="DE33" s="63"/>
      <c r="DF33" s="63"/>
      <c r="DG33" s="63"/>
      <c r="DH33" s="63"/>
      <c r="DI33" s="63"/>
      <c r="DJ33" s="63"/>
      <c r="DK33" s="63"/>
      <c r="DL33" s="63"/>
      <c r="DM33" s="63"/>
      <c r="DN33" s="63"/>
      <c r="DO33" s="63"/>
      <c r="DP33" s="63"/>
      <c r="DQ33" s="63"/>
      <c r="DR33" s="63"/>
      <c r="DS33" s="63"/>
      <c r="DT33" s="63"/>
      <c r="DU33" s="63"/>
      <c r="DV33" s="63"/>
      <c r="DW33" s="63"/>
      <c r="DX33" s="63"/>
      <c r="DY33" s="63"/>
      <c r="DZ33" s="63"/>
      <c r="EA33" s="63"/>
      <c r="EB33" s="63"/>
      <c r="EC33" s="63"/>
      <c r="ED33" s="63"/>
      <c r="EE33" s="63"/>
      <c r="EF33" s="63"/>
      <c r="EG33" s="63"/>
      <c r="EH33" s="63"/>
      <c r="EI33" s="63"/>
      <c r="EJ33" s="63"/>
      <c r="EK33" s="63"/>
      <c r="EL33" s="63"/>
      <c r="EM33" s="63"/>
      <c r="EN33" s="63"/>
      <c r="EO33" s="63"/>
      <c r="EP33" s="63"/>
      <c r="EQ33" s="63"/>
      <c r="ER33" s="63"/>
      <c r="ES33" s="63"/>
      <c r="ET33" s="63"/>
      <c r="EU33" s="63"/>
      <c r="EV33" s="63"/>
      <c r="EW33" s="63"/>
      <c r="EX33" s="63"/>
      <c r="EY33" s="63"/>
      <c r="EZ33" s="63"/>
      <c r="FA33" s="63"/>
      <c r="FB33" s="63"/>
      <c r="FC33" s="63"/>
      <c r="FD33" s="63"/>
      <c r="FE33" s="63"/>
      <c r="FF33" s="63"/>
      <c r="FG33" s="63"/>
      <c r="FH33" s="63"/>
      <c r="FI33" s="63"/>
      <c r="FJ33" s="63"/>
      <c r="FK33" s="63"/>
      <c r="FL33" s="63"/>
      <c r="FM33" s="63"/>
      <c r="FN33" s="63"/>
      <c r="FO33" s="63"/>
      <c r="FP33" s="63"/>
      <c r="FQ33" s="63"/>
      <c r="FR33" s="63"/>
      <c r="FS33" s="63"/>
      <c r="FT33" s="63"/>
      <c r="FU33" s="63"/>
      <c r="FV33" s="63"/>
      <c r="FW33" s="63"/>
      <c r="FX33" s="63"/>
      <c r="FY33" s="63"/>
      <c r="FZ33" s="63"/>
      <c r="GA33" s="63"/>
      <c r="GB33" s="63"/>
      <c r="GC33" s="63"/>
      <c r="GD33" s="63"/>
      <c r="GE33" s="63"/>
      <c r="GF33" s="63"/>
      <c r="GG33" s="63"/>
      <c r="GH33" s="63"/>
      <c r="GI33" s="63"/>
      <c r="GJ33" s="63"/>
      <c r="GK33" s="63"/>
      <c r="GL33" s="63"/>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c r="HU33" s="14"/>
      <c r="HV33" s="14"/>
      <c r="HW33" s="14"/>
      <c r="HX33" s="14"/>
      <c r="HY33" s="14"/>
      <c r="HZ33" s="14"/>
      <c r="IA33" s="14"/>
      <c r="IB33" s="14"/>
      <c r="IC33" s="14"/>
      <c r="ID33" s="14"/>
    </row>
    <row r="34" spans="2:241" ht="21" customHeight="1" x14ac:dyDescent="0.2">
      <c r="B34" s="2335" t="s">
        <v>1960</v>
      </c>
      <c r="C34" s="2336"/>
      <c r="D34" s="1373">
        <f>P24</f>
        <v>0</v>
      </c>
      <c r="E34" s="1373"/>
      <c r="F34" s="1657" t="s">
        <v>1942</v>
      </c>
      <c r="G34" s="1657"/>
      <c r="H34" s="2312"/>
      <c r="I34" s="2313"/>
      <c r="J34" s="2273"/>
      <c r="K34" s="2274"/>
      <c r="L34" s="2274"/>
      <c r="M34" s="2274"/>
      <c r="N34" s="2274"/>
      <c r="O34" s="2275"/>
      <c r="P34" s="2316"/>
      <c r="S34" s="1186"/>
      <c r="T34" s="479">
        <f>D34</f>
        <v>0</v>
      </c>
      <c r="U34" s="1001">
        <f>LARGE($T$33:$T$36,2)</f>
        <v>0</v>
      </c>
      <c r="V34" s="16">
        <f>W33+U35*(1-W33)</f>
        <v>0</v>
      </c>
      <c r="W34" s="61">
        <f>ROUND(V34,2)</f>
        <v>0</v>
      </c>
      <c r="X34" s="1182">
        <f>IF(SUM(D34:D35)&gt;0,0,1)</f>
        <v>1</v>
      </c>
      <c r="Y34" s="3" t="s">
        <v>1329</v>
      </c>
      <c r="Z34" s="7"/>
      <c r="AA34" s="7"/>
      <c r="AB34" s="63"/>
      <c r="AC34" s="63"/>
      <c r="AD34" s="63"/>
      <c r="AE34" s="63"/>
      <c r="AF34" s="63"/>
      <c r="AG34" s="63"/>
      <c r="AH34" s="63"/>
      <c r="AI34" s="63"/>
      <c r="AJ34" s="63"/>
      <c r="AK34" s="63"/>
      <c r="AL34" s="63"/>
      <c r="AM34" s="63"/>
      <c r="AN34" s="63"/>
      <c r="AO34" s="63"/>
      <c r="AP34" s="63"/>
      <c r="AQ34" s="63"/>
      <c r="AR34" s="63"/>
      <c r="AS34" s="63"/>
      <c r="AT34" s="63"/>
      <c r="AU34" s="63"/>
      <c r="AV34" s="63"/>
      <c r="AW34" s="63"/>
      <c r="AX34" s="63"/>
      <c r="AY34" s="63"/>
      <c r="AZ34" s="63"/>
      <c r="BA34" s="63"/>
      <c r="BB34" s="63"/>
      <c r="BC34" s="63"/>
      <c r="BD34" s="63"/>
      <c r="BE34" s="63"/>
      <c r="BF34" s="63"/>
      <c r="BG34" s="63"/>
      <c r="BH34" s="63"/>
      <c r="BI34" s="63"/>
      <c r="BJ34" s="63"/>
      <c r="BK34" s="63"/>
      <c r="BL34" s="63"/>
      <c r="BM34" s="63"/>
      <c r="BN34" s="63"/>
      <c r="BO34" s="63"/>
      <c r="BP34" s="63"/>
      <c r="BQ34" s="63"/>
      <c r="BR34" s="63"/>
      <c r="BS34" s="63"/>
      <c r="BT34" s="63"/>
      <c r="BU34" s="63"/>
      <c r="BV34" s="63"/>
      <c r="BW34" s="63"/>
      <c r="BX34" s="63"/>
      <c r="BY34" s="63"/>
      <c r="BZ34" s="63"/>
      <c r="CA34" s="63"/>
      <c r="CB34" s="63"/>
      <c r="CC34" s="63"/>
      <c r="CD34" s="63"/>
      <c r="CE34" s="63"/>
      <c r="CF34" s="63"/>
      <c r="CG34" s="63"/>
      <c r="CH34" s="63"/>
      <c r="CI34" s="63"/>
      <c r="CJ34" s="63"/>
      <c r="CK34" s="63"/>
      <c r="CL34" s="63"/>
      <c r="CM34" s="63"/>
      <c r="CN34" s="63"/>
      <c r="CO34" s="63"/>
      <c r="CP34" s="63"/>
      <c r="CQ34" s="63"/>
      <c r="CR34" s="63"/>
      <c r="CS34" s="63"/>
      <c r="CT34" s="63"/>
      <c r="CU34" s="63"/>
      <c r="CV34" s="63"/>
      <c r="CW34" s="63"/>
      <c r="CX34" s="63"/>
      <c r="CY34" s="63"/>
      <c r="CZ34" s="63"/>
      <c r="DA34" s="63"/>
      <c r="DB34" s="63"/>
      <c r="DC34" s="63"/>
      <c r="DD34" s="63"/>
      <c r="DE34" s="63"/>
      <c r="DF34" s="63"/>
      <c r="DG34" s="63"/>
      <c r="DH34" s="63"/>
      <c r="DI34" s="63"/>
      <c r="DJ34" s="63"/>
      <c r="DK34" s="63"/>
      <c r="DL34" s="63"/>
      <c r="DM34" s="63"/>
      <c r="DN34" s="63"/>
      <c r="DO34" s="63"/>
      <c r="DP34" s="63"/>
      <c r="DQ34" s="63"/>
      <c r="DR34" s="63"/>
      <c r="DS34" s="63"/>
      <c r="DT34" s="63"/>
      <c r="DU34" s="63"/>
      <c r="DV34" s="63"/>
      <c r="DW34" s="63"/>
      <c r="DX34" s="63"/>
      <c r="DY34" s="63"/>
      <c r="DZ34" s="63"/>
      <c r="EA34" s="63"/>
      <c r="EB34" s="63"/>
      <c r="EC34" s="63"/>
      <c r="ED34" s="63"/>
      <c r="EE34" s="63"/>
      <c r="EF34" s="63"/>
      <c r="EG34" s="63"/>
      <c r="EH34" s="63"/>
      <c r="EI34" s="63"/>
      <c r="EJ34" s="63"/>
      <c r="EK34" s="63"/>
      <c r="EL34" s="63"/>
      <c r="EM34" s="63"/>
      <c r="EN34" s="63"/>
      <c r="EO34" s="63"/>
      <c r="EP34" s="63"/>
      <c r="EQ34" s="63"/>
      <c r="ER34" s="63"/>
      <c r="ES34" s="63"/>
      <c r="ET34" s="63"/>
      <c r="EU34" s="63"/>
      <c r="EV34" s="63"/>
      <c r="EW34" s="63"/>
      <c r="EX34" s="63"/>
      <c r="EY34" s="63"/>
      <c r="EZ34" s="63"/>
      <c r="FA34" s="63"/>
      <c r="FB34" s="63"/>
      <c r="FC34" s="63"/>
      <c r="FD34" s="63"/>
      <c r="FE34" s="63"/>
      <c r="FF34" s="63"/>
      <c r="FG34" s="63"/>
      <c r="FH34" s="63"/>
      <c r="FI34" s="63"/>
      <c r="FJ34" s="63"/>
      <c r="FK34" s="63"/>
      <c r="FL34" s="63"/>
      <c r="FM34" s="63"/>
      <c r="FN34" s="63"/>
      <c r="FO34" s="63"/>
      <c r="FP34" s="63"/>
      <c r="FQ34" s="63"/>
      <c r="FR34" s="63"/>
      <c r="FS34" s="63"/>
      <c r="FT34" s="63"/>
      <c r="FU34" s="63"/>
      <c r="FV34" s="63"/>
      <c r="FW34" s="63"/>
      <c r="FX34" s="63"/>
      <c r="FY34" s="63"/>
      <c r="FZ34" s="63"/>
      <c r="GA34" s="63"/>
      <c r="GB34" s="63"/>
      <c r="GC34" s="63"/>
      <c r="GD34" s="63"/>
      <c r="GE34" s="63"/>
      <c r="GF34" s="63"/>
      <c r="GG34" s="63"/>
      <c r="GH34" s="63"/>
      <c r="GI34" s="63"/>
      <c r="GJ34" s="63"/>
      <c r="GK34" s="63"/>
      <c r="GL34" s="63"/>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c r="HU34" s="14"/>
      <c r="HV34" s="14"/>
      <c r="HW34" s="14"/>
      <c r="HX34" s="14"/>
      <c r="HY34" s="14"/>
      <c r="HZ34" s="14"/>
      <c r="IA34" s="14"/>
      <c r="IB34" s="14"/>
      <c r="IC34" s="14"/>
      <c r="ID34" s="14"/>
    </row>
    <row r="35" spans="2:241" ht="21" customHeight="1" x14ac:dyDescent="0.2">
      <c r="B35" s="2333" t="s">
        <v>1961</v>
      </c>
      <c r="C35" s="2334"/>
      <c r="D35" s="1373">
        <f>P25</f>
        <v>0</v>
      </c>
      <c r="E35" s="1373"/>
      <c r="F35" s="1657" t="s">
        <v>1942</v>
      </c>
      <c r="G35" s="1657"/>
      <c r="H35" s="2312"/>
      <c r="I35" s="2313"/>
      <c r="J35" s="2273"/>
      <c r="K35" s="2274"/>
      <c r="L35" s="2274"/>
      <c r="M35" s="2274"/>
      <c r="N35" s="2274"/>
      <c r="O35" s="2275"/>
      <c r="P35" s="2316"/>
      <c r="S35" s="1186"/>
      <c r="T35" s="479">
        <f>D35</f>
        <v>0</v>
      </c>
      <c r="U35" s="1001">
        <f>LARGE($T$33:$T$36,3)</f>
        <v>0</v>
      </c>
      <c r="V35" s="16">
        <f>W34+U36*(1-W34)</f>
        <v>0</v>
      </c>
      <c r="W35" s="61">
        <f>ROUND(V35,2)</f>
        <v>0</v>
      </c>
      <c r="X35" s="1182">
        <f>IF(F33&gt;0,1,0)</f>
        <v>0</v>
      </c>
      <c r="Y35" s="8" t="s">
        <v>1257</v>
      </c>
      <c r="Z35" s="7"/>
      <c r="AA35" s="7"/>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c r="CA35" s="63"/>
      <c r="CB35" s="63"/>
      <c r="CC35" s="63"/>
      <c r="CD35" s="63"/>
      <c r="CE35" s="63"/>
      <c r="CF35" s="63"/>
      <c r="CG35" s="63"/>
      <c r="CH35" s="63"/>
      <c r="CI35" s="63"/>
      <c r="CJ35" s="63"/>
      <c r="CK35" s="63"/>
      <c r="CL35" s="63"/>
      <c r="CM35" s="63"/>
      <c r="CN35" s="63"/>
      <c r="CO35" s="63"/>
      <c r="CP35" s="63"/>
      <c r="CQ35" s="63"/>
      <c r="CR35" s="63"/>
      <c r="CS35" s="63"/>
      <c r="CT35" s="63"/>
      <c r="CU35" s="63"/>
      <c r="CV35" s="63"/>
      <c r="CW35" s="63"/>
      <c r="CX35" s="63"/>
      <c r="CY35" s="63"/>
      <c r="CZ35" s="63"/>
      <c r="DA35" s="63"/>
      <c r="DB35" s="63"/>
      <c r="DC35" s="63"/>
      <c r="DD35" s="63"/>
      <c r="DE35" s="63"/>
      <c r="DF35" s="63"/>
      <c r="DG35" s="63"/>
      <c r="DH35" s="63"/>
      <c r="DI35" s="63"/>
      <c r="DJ35" s="63"/>
      <c r="DK35" s="63"/>
      <c r="DL35" s="63"/>
      <c r="DM35" s="63"/>
      <c r="DN35" s="63"/>
      <c r="DO35" s="63"/>
      <c r="DP35" s="63"/>
      <c r="DQ35" s="63"/>
      <c r="DR35" s="63"/>
      <c r="DS35" s="63"/>
      <c r="DT35" s="63"/>
      <c r="DU35" s="63"/>
      <c r="DV35" s="63"/>
      <c r="DW35" s="63"/>
      <c r="DX35" s="63"/>
      <c r="DY35" s="63"/>
      <c r="DZ35" s="63"/>
      <c r="EA35" s="63"/>
      <c r="EB35" s="63"/>
      <c r="EC35" s="63"/>
      <c r="ED35" s="63"/>
      <c r="EE35" s="63"/>
      <c r="EF35" s="63"/>
      <c r="EG35" s="63"/>
      <c r="EH35" s="63"/>
      <c r="EI35" s="63"/>
      <c r="EJ35" s="63"/>
      <c r="EK35" s="63"/>
      <c r="EL35" s="63"/>
      <c r="EM35" s="63"/>
      <c r="EN35" s="63"/>
      <c r="EO35" s="63"/>
      <c r="EP35" s="63"/>
      <c r="EQ35" s="63"/>
      <c r="ER35" s="63"/>
      <c r="ES35" s="63"/>
      <c r="ET35" s="63"/>
      <c r="EU35" s="63"/>
      <c r="EV35" s="63"/>
      <c r="EW35" s="63"/>
      <c r="EX35" s="63"/>
      <c r="EY35" s="63"/>
      <c r="EZ35" s="63"/>
      <c r="FA35" s="63"/>
      <c r="FB35" s="63"/>
      <c r="FC35" s="63"/>
      <c r="FD35" s="63"/>
      <c r="FE35" s="63"/>
      <c r="FF35" s="63"/>
      <c r="FG35" s="63"/>
      <c r="FH35" s="63"/>
      <c r="FI35" s="63"/>
      <c r="FJ35" s="63"/>
      <c r="FK35" s="63"/>
      <c r="FL35" s="63"/>
      <c r="FM35" s="63"/>
      <c r="FN35" s="63"/>
      <c r="FO35" s="63"/>
      <c r="FP35" s="63"/>
      <c r="FQ35" s="63"/>
      <c r="FR35" s="63"/>
      <c r="FS35" s="63"/>
      <c r="FT35" s="63"/>
      <c r="FU35" s="63"/>
      <c r="FV35" s="63"/>
      <c r="FW35" s="63"/>
      <c r="FX35" s="63"/>
      <c r="FY35" s="63"/>
      <c r="FZ35" s="63"/>
      <c r="GA35" s="63"/>
      <c r="GB35" s="63"/>
      <c r="GC35" s="63"/>
      <c r="GD35" s="63"/>
      <c r="GE35" s="63"/>
      <c r="GF35" s="63"/>
      <c r="GG35" s="63"/>
      <c r="GH35" s="63"/>
      <c r="GI35" s="63"/>
      <c r="GJ35" s="63"/>
      <c r="GK35" s="63"/>
      <c r="GL35" s="63"/>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c r="HU35" s="14"/>
      <c r="HV35" s="14"/>
      <c r="HW35" s="14"/>
      <c r="HX35" s="14"/>
      <c r="HY35" s="14"/>
      <c r="HZ35" s="14"/>
      <c r="IA35" s="14"/>
      <c r="IB35" s="14"/>
      <c r="IC35" s="14"/>
      <c r="ID35" s="14"/>
    </row>
    <row r="36" spans="2:241" ht="21" customHeight="1" x14ac:dyDescent="0.2">
      <c r="B36" s="2333" t="s">
        <v>596</v>
      </c>
      <c r="C36" s="2334"/>
      <c r="D36" s="1373">
        <f>P28</f>
        <v>0</v>
      </c>
      <c r="E36" s="1373"/>
      <c r="F36" s="1483"/>
      <c r="G36" s="1485"/>
      <c r="H36" s="2286">
        <f>IF(AND(S36&lt;0.01,S36&gt;0),0.01,ROUND(S36,2))</f>
        <v>0</v>
      </c>
      <c r="I36" s="2287"/>
      <c r="J36" s="1009"/>
      <c r="K36" s="1010"/>
      <c r="L36" s="1010"/>
      <c r="M36" s="1010"/>
      <c r="N36" s="1010"/>
      <c r="O36" s="1011"/>
      <c r="P36" s="2316"/>
      <c r="S36" s="257">
        <f>IF(F36&gt;0,D36*F36,0)</f>
        <v>0</v>
      </c>
      <c r="T36" s="452">
        <f>IF(H36&gt;0,H36,D36)</f>
        <v>0</v>
      </c>
      <c r="U36" s="1001">
        <f>LARGE($T$33:$T$36,4)</f>
        <v>0</v>
      </c>
      <c r="V36" s="131"/>
      <c r="W36" s="130"/>
      <c r="X36" s="7"/>
      <c r="Y36" s="18" t="s">
        <v>640</v>
      </c>
      <c r="Z36" s="63"/>
      <c r="AA36" s="63"/>
      <c r="AB36" s="63"/>
      <c r="AC36" s="63"/>
      <c r="AD36" s="63"/>
      <c r="AE36" s="63"/>
      <c r="AF36" s="63"/>
      <c r="AG36" s="63"/>
      <c r="AH36" s="63"/>
      <c r="AI36" s="63"/>
      <c r="AJ36" s="63"/>
      <c r="AK36" s="63"/>
      <c r="AL36" s="63"/>
      <c r="AM36" s="63"/>
      <c r="AN36" s="63"/>
      <c r="AO36" s="63"/>
      <c r="AP36" s="63"/>
      <c r="AQ36" s="63"/>
      <c r="AR36" s="63"/>
      <c r="AS36" s="63"/>
      <c r="AT36" s="63"/>
      <c r="AU36" s="63"/>
      <c r="AV36" s="63"/>
      <c r="AW36" s="63"/>
      <c r="AX36" s="63"/>
      <c r="AY36" s="63"/>
      <c r="AZ36" s="63"/>
      <c r="BA36" s="63"/>
      <c r="BB36" s="63"/>
      <c r="BC36" s="63"/>
      <c r="BD36" s="63"/>
      <c r="BE36" s="63"/>
      <c r="BF36" s="63"/>
      <c r="BG36" s="63"/>
      <c r="BH36" s="63"/>
      <c r="BI36" s="63"/>
      <c r="BJ36" s="63"/>
      <c r="BK36" s="63"/>
      <c r="BL36" s="63"/>
      <c r="BM36" s="63"/>
      <c r="BN36" s="63"/>
      <c r="BO36" s="63"/>
      <c r="BP36" s="63"/>
      <c r="BQ36" s="63"/>
      <c r="BR36" s="63"/>
      <c r="BS36" s="63"/>
      <c r="BT36" s="63"/>
      <c r="BU36" s="63"/>
      <c r="BV36" s="63"/>
      <c r="BW36" s="63"/>
      <c r="BX36" s="63"/>
      <c r="BY36" s="63"/>
      <c r="BZ36" s="63"/>
      <c r="CA36" s="63"/>
      <c r="CB36" s="63"/>
      <c r="CC36" s="63"/>
      <c r="CD36" s="63"/>
      <c r="CE36" s="63"/>
      <c r="CF36" s="63"/>
      <c r="CG36" s="63"/>
      <c r="CH36" s="63"/>
      <c r="CI36" s="63"/>
      <c r="CJ36" s="63"/>
      <c r="CK36" s="63"/>
      <c r="CL36" s="63"/>
      <c r="CM36" s="63"/>
      <c r="CN36" s="63"/>
      <c r="CO36" s="63"/>
      <c r="CP36" s="63"/>
      <c r="CQ36" s="63"/>
      <c r="CR36" s="63"/>
      <c r="CS36" s="63"/>
      <c r="CT36" s="63"/>
      <c r="CU36" s="63"/>
      <c r="CV36" s="63"/>
      <c r="CW36" s="63"/>
      <c r="CX36" s="63"/>
      <c r="CY36" s="63"/>
      <c r="CZ36" s="63"/>
      <c r="DA36" s="63"/>
      <c r="DB36" s="63"/>
      <c r="DC36" s="63"/>
      <c r="DD36" s="63"/>
      <c r="DE36" s="63"/>
      <c r="DF36" s="63"/>
      <c r="DG36" s="63"/>
      <c r="DH36" s="63"/>
      <c r="DI36" s="63"/>
      <c r="DJ36" s="63"/>
      <c r="DK36" s="63"/>
      <c r="DL36" s="63"/>
      <c r="DM36" s="63"/>
      <c r="DN36" s="63"/>
      <c r="DO36" s="63"/>
      <c r="DP36" s="63"/>
      <c r="DQ36" s="63"/>
      <c r="DR36" s="63"/>
      <c r="DS36" s="63"/>
      <c r="DT36" s="63"/>
      <c r="DU36" s="63"/>
      <c r="DV36" s="63"/>
      <c r="DW36" s="63"/>
      <c r="DX36" s="63"/>
      <c r="DY36" s="63"/>
      <c r="DZ36" s="63"/>
      <c r="EA36" s="63"/>
      <c r="EB36" s="63"/>
      <c r="EC36" s="63"/>
      <c r="ED36" s="63"/>
      <c r="EE36" s="63"/>
      <c r="EF36" s="63"/>
      <c r="EG36" s="63"/>
      <c r="EH36" s="63"/>
      <c r="EI36" s="63"/>
      <c r="EJ36" s="63"/>
      <c r="EK36" s="63"/>
      <c r="EL36" s="63"/>
      <c r="EM36" s="63"/>
      <c r="EN36" s="63"/>
      <c r="EO36" s="63"/>
      <c r="EP36" s="63"/>
      <c r="EQ36" s="63"/>
      <c r="ER36" s="63"/>
      <c r="ES36" s="63"/>
      <c r="ET36" s="63"/>
      <c r="EU36" s="63"/>
      <c r="EV36" s="63"/>
      <c r="EW36" s="63"/>
      <c r="EX36" s="63"/>
      <c r="EY36" s="63"/>
      <c r="EZ36" s="63"/>
      <c r="FA36" s="63"/>
      <c r="FB36" s="63"/>
      <c r="FC36" s="63"/>
      <c r="FD36" s="63"/>
      <c r="FE36" s="63"/>
      <c r="FF36" s="63"/>
      <c r="FG36" s="63"/>
      <c r="FH36" s="63"/>
      <c r="FI36" s="63"/>
      <c r="FJ36" s="63"/>
      <c r="FK36" s="63"/>
      <c r="FL36" s="63"/>
      <c r="FM36" s="63"/>
      <c r="FN36" s="63"/>
      <c r="FO36" s="63"/>
      <c r="FP36" s="63"/>
      <c r="FQ36" s="63"/>
      <c r="FR36" s="63"/>
      <c r="FS36" s="63"/>
      <c r="FT36" s="63"/>
      <c r="FU36" s="63"/>
      <c r="FV36" s="63"/>
      <c r="FW36" s="63"/>
      <c r="FX36" s="63"/>
      <c r="FY36" s="63"/>
      <c r="FZ36" s="63"/>
      <c r="GA36" s="63"/>
      <c r="GB36" s="63"/>
      <c r="GC36" s="63"/>
      <c r="GD36" s="63"/>
      <c r="GE36" s="63"/>
      <c r="GF36" s="63"/>
      <c r="GG36" s="63"/>
      <c r="GH36" s="63"/>
      <c r="GI36" s="63"/>
      <c r="GJ36" s="63"/>
      <c r="GK36" s="63"/>
      <c r="GL36" s="63"/>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c r="HU36" s="14"/>
      <c r="HV36" s="14"/>
      <c r="HW36" s="14"/>
      <c r="HX36" s="14"/>
      <c r="HY36" s="14"/>
      <c r="HZ36" s="14"/>
      <c r="IA36" s="14"/>
      <c r="IB36" s="14"/>
      <c r="IC36" s="14"/>
      <c r="ID36" s="14"/>
    </row>
    <row r="37" spans="2:241" ht="21" customHeight="1" x14ac:dyDescent="0.2">
      <c r="B37" s="2313"/>
      <c r="C37" s="2313"/>
      <c r="D37" s="2313"/>
      <c r="E37" s="2313"/>
      <c r="F37" s="2313"/>
      <c r="G37" s="2313"/>
      <c r="H37" s="2313"/>
      <c r="I37" s="2332"/>
      <c r="J37" s="2329" t="s">
        <v>2251</v>
      </c>
      <c r="K37" s="2330"/>
      <c r="L37" s="2330"/>
      <c r="M37" s="2330"/>
      <c r="N37" s="2330"/>
      <c r="O37" s="2331"/>
      <c r="P37" s="2305"/>
      <c r="S37" s="63"/>
      <c r="T37" s="191"/>
      <c r="U37" s="41"/>
      <c r="V37" s="131"/>
      <c r="W37" s="130"/>
      <c r="X37" s="7"/>
      <c r="Y37" s="18"/>
      <c r="Z37" s="63"/>
      <c r="AA37" s="63"/>
      <c r="AB37" s="63"/>
      <c r="AC37" s="63"/>
      <c r="AD37" s="63"/>
      <c r="AE37" s="63"/>
      <c r="AF37" s="63"/>
      <c r="AG37" s="63"/>
      <c r="AH37" s="63"/>
      <c r="AI37" s="63"/>
      <c r="AJ37" s="63"/>
      <c r="AK37" s="63"/>
      <c r="AL37" s="63"/>
      <c r="AM37" s="63"/>
      <c r="AN37" s="63"/>
      <c r="AO37" s="63"/>
      <c r="AP37" s="63"/>
      <c r="AQ37" s="63"/>
      <c r="AR37" s="63"/>
      <c r="AS37" s="63"/>
      <c r="AT37" s="63"/>
      <c r="AU37" s="63"/>
      <c r="AV37" s="63"/>
      <c r="AW37" s="63"/>
      <c r="AX37" s="63"/>
      <c r="AY37" s="63"/>
      <c r="AZ37" s="63"/>
      <c r="BA37" s="63"/>
      <c r="BB37" s="63"/>
      <c r="BC37" s="63"/>
      <c r="BD37" s="63"/>
      <c r="BE37" s="63"/>
      <c r="BF37" s="63"/>
      <c r="BG37" s="63"/>
      <c r="BH37" s="63"/>
      <c r="BI37" s="63"/>
      <c r="BJ37" s="63"/>
      <c r="BK37" s="63"/>
      <c r="BL37" s="63"/>
      <c r="BM37" s="63"/>
      <c r="BN37" s="63"/>
      <c r="BO37" s="63"/>
      <c r="BP37" s="63"/>
      <c r="BQ37" s="63"/>
      <c r="BR37" s="63"/>
      <c r="BS37" s="63"/>
      <c r="BT37" s="63"/>
      <c r="BU37" s="63"/>
      <c r="BV37" s="63"/>
      <c r="BW37" s="63"/>
      <c r="BX37" s="63"/>
      <c r="BY37" s="63"/>
      <c r="BZ37" s="63"/>
      <c r="CA37" s="63"/>
      <c r="CB37" s="63"/>
      <c r="CC37" s="63"/>
      <c r="CD37" s="63"/>
      <c r="CE37" s="63"/>
      <c r="CF37" s="63"/>
      <c r="CG37" s="63"/>
      <c r="CH37" s="63"/>
      <c r="CI37" s="63"/>
      <c r="CJ37" s="63"/>
      <c r="CK37" s="63"/>
      <c r="CL37" s="63"/>
      <c r="CM37" s="63"/>
      <c r="CN37" s="63"/>
      <c r="CO37" s="63"/>
      <c r="CP37" s="63"/>
      <c r="CQ37" s="63"/>
      <c r="CR37" s="63"/>
      <c r="CS37" s="63"/>
      <c r="CT37" s="63"/>
      <c r="CU37" s="63"/>
      <c r="CV37" s="63"/>
      <c r="CW37" s="63"/>
      <c r="CX37" s="63"/>
      <c r="CY37" s="63"/>
      <c r="CZ37" s="63"/>
      <c r="DA37" s="63"/>
      <c r="DB37" s="63"/>
      <c r="DC37" s="63"/>
      <c r="DD37" s="63"/>
      <c r="DE37" s="63"/>
      <c r="DF37" s="63"/>
      <c r="DG37" s="63"/>
      <c r="DH37" s="63"/>
      <c r="DI37" s="63"/>
      <c r="DJ37" s="63"/>
      <c r="DK37" s="63"/>
      <c r="DL37" s="63"/>
      <c r="DM37" s="63"/>
      <c r="DN37" s="63"/>
      <c r="DO37" s="63"/>
      <c r="DP37" s="63"/>
      <c r="DQ37" s="63"/>
      <c r="DR37" s="63"/>
      <c r="DS37" s="63"/>
      <c r="DT37" s="63"/>
      <c r="DU37" s="63"/>
      <c r="DV37" s="63"/>
      <c r="DW37" s="63"/>
      <c r="DX37" s="63"/>
      <c r="DY37" s="63"/>
      <c r="DZ37" s="63"/>
      <c r="EA37" s="63"/>
      <c r="EB37" s="63"/>
      <c r="EC37" s="63"/>
      <c r="ED37" s="63"/>
      <c r="EE37" s="63"/>
      <c r="EF37" s="63"/>
      <c r="EG37" s="63"/>
      <c r="EH37" s="63"/>
      <c r="EI37" s="63"/>
      <c r="EJ37" s="63"/>
      <c r="EK37" s="63"/>
      <c r="EL37" s="63"/>
      <c r="EM37" s="63"/>
      <c r="EN37" s="63"/>
      <c r="EO37" s="63"/>
      <c r="EP37" s="63"/>
      <c r="EQ37" s="63"/>
      <c r="ER37" s="63"/>
      <c r="ES37" s="63"/>
      <c r="ET37" s="63"/>
      <c r="EU37" s="63"/>
      <c r="EV37" s="63"/>
      <c r="EW37" s="63"/>
      <c r="EX37" s="63"/>
      <c r="EY37" s="63"/>
      <c r="EZ37" s="63"/>
      <c r="FA37" s="63"/>
      <c r="FB37" s="63"/>
      <c r="FC37" s="63"/>
      <c r="FD37" s="63"/>
      <c r="FE37" s="63"/>
      <c r="FF37" s="63"/>
      <c r="FG37" s="63"/>
      <c r="FH37" s="63"/>
      <c r="FI37" s="63"/>
      <c r="FJ37" s="63"/>
      <c r="FK37" s="63"/>
      <c r="FL37" s="63"/>
      <c r="FM37" s="63"/>
      <c r="FN37" s="63"/>
      <c r="FO37" s="63"/>
      <c r="FP37" s="63"/>
      <c r="FQ37" s="63"/>
      <c r="FR37" s="63"/>
      <c r="FS37" s="63"/>
      <c r="FT37" s="63"/>
      <c r="FU37" s="63"/>
      <c r="FV37" s="63"/>
      <c r="FW37" s="63"/>
      <c r="FX37" s="63"/>
      <c r="FY37" s="63"/>
      <c r="FZ37" s="63"/>
      <c r="GA37" s="63"/>
      <c r="GB37" s="63"/>
      <c r="GC37" s="63"/>
      <c r="GD37" s="63"/>
      <c r="GE37" s="63"/>
      <c r="GF37" s="63"/>
      <c r="GG37" s="63"/>
      <c r="GH37" s="63"/>
      <c r="GI37" s="63"/>
      <c r="GJ37" s="63"/>
      <c r="GK37" s="63"/>
      <c r="GL37" s="63"/>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c r="HU37" s="14"/>
      <c r="HV37" s="14"/>
      <c r="HW37" s="14"/>
      <c r="HX37" s="14"/>
      <c r="HY37" s="14"/>
      <c r="HZ37" s="14"/>
      <c r="IA37" s="14"/>
      <c r="IB37" s="14"/>
      <c r="IC37" s="14"/>
      <c r="ID37" s="14"/>
    </row>
    <row r="38" spans="2:241" ht="36.75" customHeight="1" x14ac:dyDescent="0.25">
      <c r="B38" s="1682" t="s">
        <v>947</v>
      </c>
      <c r="C38" s="1682"/>
      <c r="D38" s="1682"/>
      <c r="E38" s="1682"/>
      <c r="F38" s="1682"/>
      <c r="G38" s="1682"/>
      <c r="H38" s="1682"/>
      <c r="I38" s="1682"/>
      <c r="J38" s="1682"/>
      <c r="K38" s="1682"/>
      <c r="L38" s="1682"/>
      <c r="M38" s="1682"/>
      <c r="N38" s="1682"/>
      <c r="O38" s="1682"/>
      <c r="P38" s="1682"/>
      <c r="R38" s="63"/>
      <c r="S38" s="63"/>
      <c r="T38" s="63"/>
      <c r="U38" s="63"/>
      <c r="V38" s="63"/>
      <c r="W38" s="63"/>
      <c r="X38" s="7"/>
      <c r="Y38" s="18"/>
      <c r="Z38" s="63"/>
      <c r="AA38" s="63"/>
      <c r="AB38" s="63"/>
      <c r="AC38" s="63"/>
      <c r="AD38" s="63"/>
      <c r="AE38" s="63"/>
      <c r="AF38" s="63"/>
      <c r="AG38" s="63"/>
      <c r="AH38" s="63"/>
      <c r="AI38" s="63"/>
      <c r="AJ38" s="63"/>
      <c r="AK38" s="63"/>
      <c r="AL38" s="63"/>
      <c r="AM38" s="63"/>
      <c r="AN38" s="63"/>
      <c r="AO38" s="63"/>
      <c r="AP38" s="63"/>
      <c r="AQ38" s="63"/>
      <c r="AR38" s="63"/>
      <c r="AS38" s="63"/>
      <c r="AT38" s="63"/>
      <c r="AU38" s="63"/>
      <c r="AV38" s="63"/>
      <c r="AW38" s="63"/>
      <c r="AX38" s="63"/>
      <c r="AY38" s="63"/>
      <c r="AZ38" s="63"/>
      <c r="BA38" s="63"/>
      <c r="BB38" s="63"/>
      <c r="BC38" s="63"/>
      <c r="BD38" s="63"/>
      <c r="BE38" s="63"/>
      <c r="BF38" s="63"/>
      <c r="BG38" s="63"/>
      <c r="BH38" s="63"/>
      <c r="BI38" s="63"/>
      <c r="BJ38" s="63"/>
      <c r="BK38" s="63"/>
      <c r="BL38" s="63"/>
      <c r="BM38" s="63"/>
      <c r="BN38" s="63"/>
      <c r="BO38" s="63"/>
      <c r="BP38" s="63"/>
      <c r="BQ38" s="63"/>
      <c r="BR38" s="63"/>
      <c r="BS38" s="63"/>
      <c r="BT38" s="63"/>
      <c r="BU38" s="63"/>
      <c r="BV38" s="63"/>
      <c r="BW38" s="63"/>
      <c r="BX38" s="63"/>
      <c r="BY38" s="63"/>
      <c r="BZ38" s="63"/>
      <c r="CA38" s="63"/>
      <c r="CB38" s="63"/>
      <c r="CC38" s="63"/>
      <c r="CD38" s="63"/>
      <c r="CE38" s="63"/>
      <c r="CF38" s="63"/>
      <c r="CG38" s="63"/>
      <c r="CH38" s="63"/>
      <c r="CI38" s="63"/>
      <c r="CJ38" s="63"/>
      <c r="CK38" s="63"/>
      <c r="CL38" s="63"/>
      <c r="CM38" s="63"/>
      <c r="CN38" s="63"/>
      <c r="CO38" s="63"/>
      <c r="CP38" s="63"/>
      <c r="CQ38" s="63"/>
      <c r="CR38" s="63"/>
      <c r="CS38" s="63"/>
      <c r="CT38" s="63"/>
      <c r="CU38" s="63"/>
      <c r="CV38" s="63"/>
      <c r="CW38" s="63"/>
      <c r="CX38" s="63"/>
      <c r="CY38" s="63"/>
      <c r="CZ38" s="63"/>
      <c r="DA38" s="63"/>
      <c r="DB38" s="63"/>
      <c r="DC38" s="63"/>
      <c r="DD38" s="63"/>
      <c r="DE38" s="63"/>
      <c r="DF38" s="63"/>
      <c r="DG38" s="63"/>
      <c r="DH38" s="63"/>
      <c r="DI38" s="63"/>
      <c r="DJ38" s="63"/>
      <c r="DK38" s="63"/>
      <c r="DL38" s="63"/>
      <c r="DM38" s="63"/>
      <c r="DN38" s="63"/>
      <c r="DO38" s="63"/>
      <c r="DP38" s="63"/>
      <c r="DQ38" s="63"/>
      <c r="DR38" s="63"/>
      <c r="DS38" s="63"/>
      <c r="DT38" s="63"/>
      <c r="DU38" s="63"/>
      <c r="DV38" s="63"/>
      <c r="DW38" s="63"/>
      <c r="DX38" s="63"/>
      <c r="DY38" s="63"/>
      <c r="DZ38" s="63"/>
      <c r="EA38" s="63"/>
      <c r="EB38" s="63"/>
      <c r="EC38" s="63"/>
      <c r="ED38" s="63"/>
      <c r="EE38" s="63"/>
      <c r="EF38" s="63"/>
      <c r="EG38" s="63"/>
      <c r="EH38" s="63"/>
      <c r="EI38" s="63"/>
      <c r="EJ38" s="63"/>
      <c r="EK38" s="63"/>
      <c r="EL38" s="63"/>
      <c r="EM38" s="63"/>
      <c r="EN38" s="63"/>
      <c r="EO38" s="63"/>
      <c r="EP38" s="63"/>
      <c r="EQ38" s="63"/>
      <c r="ER38" s="63"/>
      <c r="ES38" s="63"/>
      <c r="ET38" s="63"/>
      <c r="EU38" s="63"/>
      <c r="EV38" s="63"/>
      <c r="EW38" s="63"/>
      <c r="EX38" s="63"/>
      <c r="EY38" s="63"/>
      <c r="EZ38" s="63"/>
      <c r="FA38" s="63"/>
      <c r="FB38" s="63"/>
      <c r="FC38" s="63"/>
      <c r="FD38" s="63"/>
      <c r="FE38" s="63"/>
      <c r="FF38" s="63"/>
      <c r="FG38" s="63"/>
      <c r="FH38" s="63"/>
      <c r="FI38" s="63"/>
      <c r="FJ38" s="63"/>
      <c r="FK38" s="63"/>
      <c r="FL38" s="63"/>
      <c r="FM38" s="63"/>
      <c r="FN38" s="63"/>
      <c r="FO38" s="63"/>
      <c r="FP38" s="63"/>
      <c r="FQ38" s="63"/>
      <c r="FR38" s="63"/>
      <c r="FS38" s="63"/>
      <c r="FT38" s="63"/>
      <c r="FU38" s="63"/>
      <c r="FV38" s="63"/>
      <c r="FW38" s="63"/>
      <c r="FX38" s="63"/>
      <c r="FY38" s="63"/>
      <c r="FZ38" s="63"/>
      <c r="GA38" s="63"/>
      <c r="GB38" s="63"/>
      <c r="GC38" s="63"/>
      <c r="GD38" s="63"/>
      <c r="GE38" s="63"/>
      <c r="GF38" s="63"/>
      <c r="GG38" s="63"/>
      <c r="GH38" s="63"/>
      <c r="GI38" s="63"/>
      <c r="GJ38" s="63"/>
      <c r="GK38" s="63"/>
      <c r="GL38" s="63"/>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c r="HU38" s="14"/>
      <c r="HV38" s="14"/>
      <c r="HW38" s="14"/>
      <c r="HX38" s="14"/>
      <c r="HY38" s="14"/>
      <c r="HZ38" s="14"/>
      <c r="IA38" s="14"/>
      <c r="IB38" s="14"/>
      <c r="IC38" s="14"/>
      <c r="ID38" s="14"/>
    </row>
    <row r="39" spans="2:241" ht="15.75" customHeight="1" x14ac:dyDescent="0.25">
      <c r="B39" s="302" t="s">
        <v>790</v>
      </c>
      <c r="C39" s="2028" t="str">
        <f>IF(V1&lt;&gt;"",V1,"")</f>
        <v>Go to PPD Worksheet</v>
      </c>
      <c r="D39" s="2028"/>
      <c r="E39" s="2028"/>
      <c r="F39" s="2028"/>
      <c r="G39" s="2028"/>
      <c r="H39" s="2028"/>
      <c r="I39" s="2267" t="str">
        <f>IF(U1&lt;&gt;"",U1,"")</f>
        <v/>
      </c>
      <c r="J39" s="2267"/>
      <c r="K39" s="2267"/>
      <c r="L39" s="2267"/>
      <c r="M39" s="2267"/>
      <c r="N39" s="2267"/>
      <c r="O39" s="8"/>
      <c r="P39" s="204"/>
      <c r="Q39" s="8"/>
      <c r="R39" s="22"/>
      <c r="S39" s="519"/>
      <c r="T39" s="9"/>
      <c r="U39" s="8"/>
      <c r="V39" s="8"/>
      <c r="W39" s="8"/>
      <c r="X39" s="8"/>
      <c r="Y39" s="8"/>
      <c r="Z39" s="8"/>
    </row>
    <row r="40" spans="2:241" ht="15.75" customHeight="1" x14ac:dyDescent="0.25">
      <c r="B40" s="207"/>
      <c r="C40" s="207"/>
      <c r="D40" s="207"/>
      <c r="E40" s="12"/>
      <c r="F40" s="1"/>
      <c r="G40" s="1"/>
      <c r="H40" s="208"/>
      <c r="I40" s="208"/>
      <c r="J40" s="208"/>
      <c r="K40" s="208"/>
      <c r="L40" s="208"/>
      <c r="M40" s="208"/>
      <c r="N40" s="208"/>
      <c r="O40" s="208"/>
      <c r="P40" s="94"/>
      <c r="R40" s="191"/>
      <c r="S40" s="291"/>
      <c r="T40" s="499"/>
      <c r="U40" s="3"/>
    </row>
    <row r="41" spans="2:241" s="219" customFormat="1" ht="12.75" hidden="1" customHeight="1" x14ac:dyDescent="0.2">
      <c r="C41" s="13"/>
      <c r="D41" s="461"/>
      <c r="F41" s="13"/>
      <c r="G41" s="461"/>
      <c r="I41" s="13"/>
      <c r="J41" s="461"/>
      <c r="L41" s="13"/>
      <c r="M41" s="461"/>
      <c r="O41" s="13"/>
      <c r="P41" s="461"/>
      <c r="R41" s="13"/>
      <c r="S41" s="461"/>
      <c r="U41" s="13"/>
      <c r="V41" s="461"/>
      <c r="X41" s="13"/>
      <c r="Y41" s="461"/>
      <c r="AA41" s="13"/>
      <c r="AB41" s="461"/>
      <c r="AD41" s="13"/>
      <c r="AE41" s="461"/>
      <c r="AG41" s="13"/>
      <c r="AH41" s="461"/>
      <c r="AJ41" s="13"/>
      <c r="AK41" s="461"/>
      <c r="AM41" s="13"/>
      <c r="AN41" s="461"/>
      <c r="AP41" s="13"/>
      <c r="AQ41" s="461"/>
      <c r="AS41" s="13"/>
      <c r="AT41" s="461"/>
      <c r="AV41" s="13"/>
      <c r="AW41" s="461"/>
      <c r="AY41" s="13"/>
      <c r="AZ41" s="461"/>
      <c r="BB41" s="13"/>
      <c r="BC41" s="461"/>
      <c r="BE41" s="13"/>
      <c r="BF41" s="461"/>
      <c r="BH41" s="13"/>
      <c r="BI41" s="461"/>
      <c r="BK41" s="13"/>
      <c r="BL41" s="461"/>
      <c r="BN41" s="13"/>
      <c r="BO41" s="461"/>
      <c r="BQ41" s="13"/>
      <c r="BR41" s="461"/>
      <c r="BT41" s="13"/>
      <c r="BU41" s="461"/>
      <c r="BW41" s="13"/>
      <c r="BX41" s="461"/>
      <c r="BZ41" s="13"/>
      <c r="CA41" s="461"/>
      <c r="CC41" s="13"/>
      <c r="CD41" s="461"/>
      <c r="CF41" s="13"/>
      <c r="CG41" s="461"/>
      <c r="CI41" s="13"/>
      <c r="CJ41" s="461"/>
      <c r="CL41" s="13"/>
      <c r="CM41" s="461"/>
      <c r="CO41" s="13"/>
      <c r="CP41" s="461"/>
      <c r="CR41" s="13"/>
      <c r="CS41" s="461"/>
      <c r="CU41" s="13"/>
      <c r="CV41" s="461"/>
      <c r="CX41" s="13"/>
      <c r="CY41" s="461"/>
      <c r="DA41" s="13"/>
      <c r="DB41" s="461"/>
      <c r="DD41" s="13"/>
      <c r="DE41" s="461"/>
      <c r="DG41" s="13"/>
      <c r="DH41" s="461"/>
      <c r="DJ41" s="13"/>
      <c r="DK41" s="461"/>
      <c r="DM41" s="13"/>
      <c r="DN41" s="461"/>
      <c r="DP41" s="13"/>
      <c r="DQ41" s="461"/>
      <c r="DS41" s="13"/>
      <c r="DT41" s="461"/>
      <c r="DV41" s="13"/>
      <c r="DW41" s="461"/>
      <c r="DY41" s="13"/>
      <c r="DZ41" s="461"/>
      <c r="EB41" s="13"/>
      <c r="EC41" s="461"/>
      <c r="EE41" s="13"/>
      <c r="EF41" s="461"/>
      <c r="EH41" s="13"/>
      <c r="EI41" s="461"/>
      <c r="EK41" s="13"/>
      <c r="EL41" s="461"/>
      <c r="EN41" s="13"/>
      <c r="EO41" s="461"/>
      <c r="EQ41" s="13"/>
      <c r="ER41" s="461"/>
      <c r="ET41" s="13"/>
      <c r="EU41" s="461"/>
      <c r="EW41" s="13"/>
      <c r="EX41" s="461"/>
      <c r="EZ41" s="13"/>
      <c r="FA41" s="461"/>
      <c r="FC41" s="13"/>
      <c r="FD41" s="461"/>
      <c r="FF41" s="13"/>
      <c r="FG41" s="461"/>
      <c r="FI41" s="13"/>
      <c r="FJ41" s="461"/>
      <c r="FL41" s="13"/>
      <c r="FM41" s="461"/>
      <c r="FO41" s="13"/>
      <c r="FP41" s="461"/>
      <c r="FR41" s="13"/>
      <c r="FS41" s="461"/>
      <c r="FU41" s="13"/>
      <c r="FV41" s="461"/>
      <c r="FX41" s="13"/>
      <c r="FY41" s="461"/>
      <c r="GA41" s="13"/>
      <c r="GB41" s="461"/>
      <c r="GD41" s="13"/>
      <c r="GE41" s="461"/>
      <c r="GG41" s="13"/>
      <c r="GH41" s="461"/>
      <c r="GJ41" s="13"/>
      <c r="GK41" s="461"/>
      <c r="GM41" s="13"/>
      <c r="GN41" s="461"/>
      <c r="GP41" s="13"/>
      <c r="GQ41" s="461"/>
      <c r="GS41" s="13"/>
      <c r="GT41" s="461"/>
      <c r="GV41" s="13"/>
      <c r="GW41" s="461"/>
      <c r="GY41" s="13"/>
      <c r="GZ41" s="461"/>
      <c r="HB41" s="13"/>
      <c r="HC41" s="461"/>
      <c r="HE41" s="13"/>
      <c r="HF41" s="461"/>
      <c r="HH41" s="13"/>
      <c r="HI41" s="461"/>
      <c r="HK41" s="13"/>
      <c r="HL41" s="461"/>
      <c r="HN41" s="13"/>
      <c r="HO41" s="461"/>
      <c r="HQ41" s="13"/>
      <c r="HR41" s="461"/>
      <c r="HT41" s="13"/>
      <c r="HU41" s="461"/>
      <c r="HW41" s="13"/>
      <c r="HX41" s="461"/>
      <c r="HZ41" s="13"/>
      <c r="IA41" s="461"/>
      <c r="IC41" s="13"/>
      <c r="ID41" s="461"/>
      <c r="IF41" s="13"/>
      <c r="IG41" s="461"/>
    </row>
    <row r="42" spans="2:241" s="219" customFormat="1" hidden="1" x14ac:dyDescent="0.2">
      <c r="B42" s="1536" t="s">
        <v>2271</v>
      </c>
      <c r="C42" s="1536"/>
      <c r="F42" s="13"/>
      <c r="G42" s="461"/>
      <c r="I42" s="13"/>
      <c r="J42" s="461"/>
      <c r="L42" s="13"/>
      <c r="M42" s="461"/>
      <c r="O42" s="13"/>
      <c r="P42" s="461"/>
      <c r="R42" s="13"/>
      <c r="S42" s="461"/>
      <c r="U42" s="13"/>
      <c r="V42" s="461"/>
      <c r="X42" s="13"/>
      <c r="Y42" s="461"/>
      <c r="AA42" s="13"/>
      <c r="AB42" s="461"/>
      <c r="AD42" s="13"/>
      <c r="AE42" s="461"/>
      <c r="AG42" s="13"/>
      <c r="AH42" s="461"/>
      <c r="AJ42" s="13"/>
      <c r="AK42" s="461"/>
      <c r="AM42" s="13"/>
      <c r="AN42" s="461"/>
      <c r="AP42" s="13"/>
      <c r="AQ42" s="461"/>
      <c r="AS42" s="13"/>
      <c r="AT42" s="461"/>
      <c r="AV42" s="13"/>
      <c r="AW42" s="461"/>
      <c r="AY42" s="13"/>
      <c r="AZ42" s="461"/>
      <c r="BB42" s="13"/>
      <c r="BC42" s="461"/>
      <c r="BE42" s="13"/>
      <c r="BF42" s="461"/>
      <c r="BH42" s="13"/>
      <c r="BI42" s="461"/>
      <c r="BK42" s="13"/>
      <c r="BL42" s="461"/>
      <c r="BN42" s="13"/>
      <c r="BO42" s="461"/>
      <c r="BQ42" s="13"/>
      <c r="BR42" s="461"/>
      <c r="BT42" s="13"/>
      <c r="BU42" s="461"/>
      <c r="BW42" s="13"/>
      <c r="BX42" s="461"/>
      <c r="BZ42" s="13"/>
      <c r="CA42" s="461"/>
      <c r="CC42" s="13"/>
      <c r="CD42" s="461"/>
      <c r="CF42" s="13"/>
      <c r="CG42" s="461"/>
      <c r="CI42" s="13"/>
      <c r="CJ42" s="461"/>
      <c r="CL42" s="13"/>
      <c r="CM42" s="461"/>
      <c r="CO42" s="13"/>
      <c r="CP42" s="461"/>
      <c r="CR42" s="13"/>
      <c r="CS42" s="461"/>
      <c r="CU42" s="13"/>
      <c r="CV42" s="461"/>
      <c r="CX42" s="13"/>
      <c r="CY42" s="461"/>
      <c r="DA42" s="13"/>
      <c r="DB42" s="461"/>
      <c r="DD42" s="13"/>
      <c r="DE42" s="461"/>
      <c r="DG42" s="13"/>
      <c r="DH42" s="461"/>
      <c r="DJ42" s="13"/>
      <c r="DK42" s="461"/>
      <c r="DM42" s="13"/>
      <c r="DN42" s="461"/>
      <c r="DP42" s="13"/>
      <c r="DQ42" s="461"/>
      <c r="DS42" s="13"/>
      <c r="DT42" s="461"/>
      <c r="DV42" s="13"/>
      <c r="DW42" s="461"/>
      <c r="DY42" s="13"/>
      <c r="DZ42" s="461"/>
      <c r="EB42" s="13"/>
      <c r="EC42" s="461"/>
      <c r="EE42" s="13"/>
      <c r="EF42" s="461"/>
      <c r="EH42" s="13"/>
      <c r="EI42" s="461"/>
      <c r="EK42" s="13"/>
      <c r="EL42" s="461"/>
      <c r="EN42" s="13"/>
      <c r="EO42" s="461"/>
      <c r="EQ42" s="13"/>
      <c r="ER42" s="461"/>
      <c r="ET42" s="13"/>
      <c r="EU42" s="461"/>
      <c r="EW42" s="13"/>
      <c r="EX42" s="461"/>
      <c r="EZ42" s="13"/>
      <c r="FA42" s="461"/>
      <c r="FC42" s="13"/>
      <c r="FD42" s="461"/>
      <c r="FF42" s="13"/>
      <c r="FG42" s="461"/>
      <c r="FI42" s="13"/>
      <c r="FJ42" s="461"/>
      <c r="FL42" s="13"/>
      <c r="FM42" s="461"/>
      <c r="FO42" s="13"/>
      <c r="FP42" s="461"/>
      <c r="FR42" s="13"/>
      <c r="FS42" s="461"/>
      <c r="FU42" s="13"/>
      <c r="FV42" s="461"/>
      <c r="FX42" s="13"/>
      <c r="FY42" s="461"/>
      <c r="GA42" s="13"/>
      <c r="GB42" s="461"/>
      <c r="GD42" s="13"/>
      <c r="GE42" s="461"/>
      <c r="GG42" s="13"/>
      <c r="GH42" s="461"/>
      <c r="GJ42" s="13"/>
      <c r="GK42" s="461"/>
      <c r="GM42" s="13"/>
      <c r="GN42" s="461"/>
      <c r="GP42" s="13"/>
      <c r="GQ42" s="461"/>
      <c r="GS42" s="13"/>
      <c r="GT42" s="461"/>
      <c r="GV42" s="13"/>
      <c r="GW42" s="461"/>
      <c r="GY42" s="13"/>
      <c r="GZ42" s="461"/>
      <c r="HB42" s="13"/>
      <c r="HC42" s="461"/>
      <c r="HE42" s="13"/>
      <c r="HF42" s="461"/>
      <c r="HH42" s="13"/>
      <c r="HI42" s="461"/>
      <c r="HK42" s="13"/>
      <c r="HL42" s="461"/>
      <c r="HN42" s="13"/>
      <c r="HO42" s="461"/>
      <c r="HQ42" s="13"/>
      <c r="HR42" s="461"/>
      <c r="HT42" s="13"/>
      <c r="HU42" s="461"/>
      <c r="HW42" s="13"/>
      <c r="HX42" s="461"/>
      <c r="HZ42" s="13"/>
      <c r="IA42" s="461"/>
      <c r="IC42" s="13"/>
      <c r="ID42" s="461"/>
      <c r="IF42" s="13"/>
      <c r="IG42" s="461"/>
    </row>
    <row r="43" spans="2:241" hidden="1" x14ac:dyDescent="0.2">
      <c r="B43" s="1536"/>
      <c r="C43" s="1536"/>
      <c r="D43" s="35"/>
      <c r="E43" s="14"/>
      <c r="F43" s="15"/>
      <c r="G43" s="15"/>
      <c r="H43" s="14"/>
      <c r="I43" s="14"/>
      <c r="J43" s="15"/>
      <c r="K43" s="14"/>
      <c r="L43" s="15"/>
      <c r="M43" s="14"/>
      <c r="N43" s="15"/>
      <c r="O43" s="14"/>
    </row>
    <row r="44" spans="2:241" hidden="1" x14ac:dyDescent="0.2">
      <c r="B44" s="1536"/>
      <c r="C44" s="1536"/>
      <c r="D44" s="35"/>
    </row>
    <row r="45" spans="2:241" hidden="1" x14ac:dyDescent="0.2">
      <c r="B45" s="1186">
        <v>0.01</v>
      </c>
      <c r="C45" s="1186">
        <v>0.99</v>
      </c>
      <c r="D45" s="35"/>
    </row>
    <row r="46" spans="2:241" hidden="1" x14ac:dyDescent="0.2"/>
    <row r="47" spans="2:241" hidden="1" x14ac:dyDescent="0.2">
      <c r="B47" s="1186" t="s">
        <v>1942</v>
      </c>
    </row>
    <row r="48" spans="2:241" hidden="1" x14ac:dyDescent="0.2">
      <c r="B48" s="1186">
        <v>0</v>
      </c>
      <c r="C48" s="35"/>
      <c r="D48" s="35"/>
      <c r="F48" s="35"/>
      <c r="H48" s="15"/>
      <c r="I48" s="14"/>
      <c r="J48" s="15"/>
      <c r="K48" s="14"/>
      <c r="L48" s="15"/>
      <c r="M48" s="14"/>
      <c r="N48" s="15"/>
    </row>
    <row r="49" spans="2:14" hidden="1" x14ac:dyDescent="0.2">
      <c r="B49" s="1186">
        <v>1</v>
      </c>
      <c r="C49" s="35"/>
      <c r="D49" s="35"/>
      <c r="F49" s="35"/>
      <c r="H49" s="15"/>
      <c r="I49" s="14"/>
      <c r="J49" s="15"/>
      <c r="K49" s="14"/>
      <c r="L49" s="15"/>
      <c r="M49" s="14"/>
      <c r="N49" s="15"/>
    </row>
    <row r="50" spans="2:14" hidden="1" x14ac:dyDescent="0.2">
      <c r="B50" s="1186">
        <v>2</v>
      </c>
      <c r="C50" s="35"/>
      <c r="D50" s="35"/>
      <c r="F50" s="35"/>
      <c r="H50" s="35"/>
      <c r="J50" s="15"/>
      <c r="K50" s="14"/>
    </row>
    <row r="51" spans="2:14" hidden="1" x14ac:dyDescent="0.2">
      <c r="B51" s="1186">
        <v>3</v>
      </c>
      <c r="C51" s="35"/>
      <c r="D51" s="35"/>
      <c r="F51" s="35"/>
      <c r="H51" s="35"/>
      <c r="J51" s="15"/>
      <c r="K51" s="14"/>
    </row>
    <row r="52" spans="2:14" hidden="1" x14ac:dyDescent="0.2">
      <c r="B52" s="1186">
        <v>4</v>
      </c>
      <c r="C52" s="35"/>
      <c r="D52" s="35"/>
      <c r="F52" s="35"/>
      <c r="H52" s="35"/>
      <c r="J52" s="15"/>
      <c r="K52" s="14"/>
    </row>
    <row r="53" spans="2:14" hidden="1" x14ac:dyDescent="0.2">
      <c r="B53" s="1186">
        <v>5</v>
      </c>
      <c r="C53" s="35"/>
      <c r="D53" s="35"/>
      <c r="F53" s="35"/>
      <c r="H53" s="35"/>
      <c r="J53" s="15"/>
      <c r="K53" s="14"/>
    </row>
    <row r="54" spans="2:14" hidden="1" x14ac:dyDescent="0.2">
      <c r="B54" s="1186">
        <v>6</v>
      </c>
      <c r="C54" s="35"/>
    </row>
    <row r="55" spans="2:14" hidden="1" x14ac:dyDescent="0.2">
      <c r="B55" s="1186">
        <v>7</v>
      </c>
      <c r="C55" s="35"/>
    </row>
    <row r="56" spans="2:14" hidden="1" x14ac:dyDescent="0.2">
      <c r="B56" s="1186">
        <v>8</v>
      </c>
    </row>
    <row r="57" spans="2:14" hidden="1" x14ac:dyDescent="0.2">
      <c r="B57" s="1186">
        <v>9</v>
      </c>
    </row>
    <row r="58" spans="2:14" hidden="1" x14ac:dyDescent="0.2">
      <c r="B58" s="1186">
        <v>10</v>
      </c>
    </row>
    <row r="59" spans="2:14" hidden="1" x14ac:dyDescent="0.2">
      <c r="B59" s="1186">
        <v>11</v>
      </c>
    </row>
    <row r="60" spans="2:14" hidden="1" x14ac:dyDescent="0.2">
      <c r="B60" s="1186">
        <v>12</v>
      </c>
    </row>
    <row r="61" spans="2:14" hidden="1" x14ac:dyDescent="0.2">
      <c r="B61" s="1186">
        <v>13</v>
      </c>
    </row>
    <row r="62" spans="2:14" hidden="1" x14ac:dyDescent="0.2">
      <c r="B62" s="1186">
        <v>14</v>
      </c>
    </row>
    <row r="63" spans="2:14" hidden="1" x14ac:dyDescent="0.2">
      <c r="B63" s="1186">
        <v>15</v>
      </c>
    </row>
    <row r="64" spans="2:14" hidden="1" x14ac:dyDescent="0.2">
      <c r="B64" s="1186">
        <v>16</v>
      </c>
    </row>
    <row r="65" spans="2:2" hidden="1" x14ac:dyDescent="0.2">
      <c r="B65" s="1186">
        <v>17</v>
      </c>
    </row>
    <row r="66" spans="2:2" hidden="1" x14ac:dyDescent="0.2">
      <c r="B66" s="1186">
        <v>18</v>
      </c>
    </row>
    <row r="67" spans="2:2" hidden="1" x14ac:dyDescent="0.2">
      <c r="B67" s="1186">
        <v>19</v>
      </c>
    </row>
    <row r="68" spans="2:2" hidden="1" x14ac:dyDescent="0.2">
      <c r="B68" s="1186">
        <v>20</v>
      </c>
    </row>
    <row r="69" spans="2:2" hidden="1" x14ac:dyDescent="0.2">
      <c r="B69" s="1186">
        <v>21</v>
      </c>
    </row>
    <row r="70" spans="2:2" hidden="1" x14ac:dyDescent="0.2">
      <c r="B70" s="1186">
        <v>22</v>
      </c>
    </row>
    <row r="71" spans="2:2" hidden="1" x14ac:dyDescent="0.2">
      <c r="B71" s="1186">
        <v>23</v>
      </c>
    </row>
    <row r="72" spans="2:2" hidden="1" x14ac:dyDescent="0.2">
      <c r="B72" s="1186">
        <v>24</v>
      </c>
    </row>
    <row r="73" spans="2:2" hidden="1" x14ac:dyDescent="0.2">
      <c r="B73" s="1186">
        <v>25</v>
      </c>
    </row>
    <row r="74" spans="2:2" hidden="1" x14ac:dyDescent="0.2">
      <c r="B74" s="1186">
        <v>26</v>
      </c>
    </row>
    <row r="75" spans="2:2" hidden="1" x14ac:dyDescent="0.2">
      <c r="B75" s="1186">
        <v>27</v>
      </c>
    </row>
    <row r="76" spans="2:2" hidden="1" x14ac:dyDescent="0.2">
      <c r="B76" s="1186">
        <v>28</v>
      </c>
    </row>
    <row r="77" spans="2:2" hidden="1" x14ac:dyDescent="0.2">
      <c r="B77" s="1186">
        <v>29</v>
      </c>
    </row>
    <row r="78" spans="2:2" hidden="1" x14ac:dyDescent="0.2">
      <c r="B78" s="1186">
        <v>30</v>
      </c>
    </row>
    <row r="79" spans="2:2" hidden="1" x14ac:dyDescent="0.2">
      <c r="B79" s="1186">
        <v>31</v>
      </c>
    </row>
    <row r="80" spans="2:2" hidden="1" x14ac:dyDescent="0.2">
      <c r="B80" s="1186">
        <v>32</v>
      </c>
    </row>
    <row r="81" spans="2:2" hidden="1" x14ac:dyDescent="0.2">
      <c r="B81" s="1186">
        <v>33</v>
      </c>
    </row>
    <row r="82" spans="2:2" hidden="1" x14ac:dyDescent="0.2">
      <c r="B82" s="1186">
        <v>34</v>
      </c>
    </row>
    <row r="83" spans="2:2" hidden="1" x14ac:dyDescent="0.2">
      <c r="B83" s="1186">
        <v>35</v>
      </c>
    </row>
    <row r="84" spans="2:2" hidden="1" x14ac:dyDescent="0.2">
      <c r="B84" s="1186">
        <v>36</v>
      </c>
    </row>
    <row r="85" spans="2:2" hidden="1" x14ac:dyDescent="0.2">
      <c r="B85" s="1186">
        <v>37</v>
      </c>
    </row>
    <row r="86" spans="2:2" hidden="1" x14ac:dyDescent="0.2">
      <c r="B86" s="1186">
        <v>38</v>
      </c>
    </row>
    <row r="87" spans="2:2" hidden="1" x14ac:dyDescent="0.2">
      <c r="B87" s="1186">
        <v>39</v>
      </c>
    </row>
    <row r="88" spans="2:2" hidden="1" x14ac:dyDescent="0.2">
      <c r="B88" s="1186">
        <v>40</v>
      </c>
    </row>
    <row r="89" spans="2:2" hidden="1" x14ac:dyDescent="0.2">
      <c r="B89" s="1186">
        <v>41</v>
      </c>
    </row>
    <row r="90" spans="2:2" hidden="1" x14ac:dyDescent="0.2">
      <c r="B90" s="1186">
        <v>42</v>
      </c>
    </row>
    <row r="91" spans="2:2" hidden="1" x14ac:dyDescent="0.2">
      <c r="B91" s="1186">
        <v>43</v>
      </c>
    </row>
    <row r="92" spans="2:2" hidden="1" x14ac:dyDescent="0.2">
      <c r="B92" s="1186">
        <v>44</v>
      </c>
    </row>
    <row r="93" spans="2:2" hidden="1" x14ac:dyDescent="0.2">
      <c r="B93" s="1186">
        <v>45</v>
      </c>
    </row>
    <row r="94" spans="2:2" hidden="1" x14ac:dyDescent="0.2">
      <c r="B94" s="1186">
        <v>46</v>
      </c>
    </row>
    <row r="95" spans="2:2" hidden="1" x14ac:dyDescent="0.2">
      <c r="B95" s="1186">
        <v>47</v>
      </c>
    </row>
    <row r="96" spans="2:2" hidden="1" x14ac:dyDescent="0.2">
      <c r="B96" s="1186">
        <v>48</v>
      </c>
    </row>
    <row r="97" spans="2:2" hidden="1" x14ac:dyDescent="0.2">
      <c r="B97" s="1186">
        <v>49</v>
      </c>
    </row>
    <row r="98" spans="2:2" hidden="1" x14ac:dyDescent="0.2">
      <c r="B98" s="1186">
        <v>50</v>
      </c>
    </row>
    <row r="99" spans="2:2" hidden="1" x14ac:dyDescent="0.2">
      <c r="B99" s="1186">
        <v>51</v>
      </c>
    </row>
    <row r="100" spans="2:2" hidden="1" x14ac:dyDescent="0.2">
      <c r="B100" s="1186">
        <v>52</v>
      </c>
    </row>
    <row r="101" spans="2:2" hidden="1" x14ac:dyDescent="0.2">
      <c r="B101" s="1186">
        <v>53</v>
      </c>
    </row>
    <row r="102" spans="2:2" hidden="1" x14ac:dyDescent="0.2">
      <c r="B102" s="1186">
        <v>54</v>
      </c>
    </row>
    <row r="103" spans="2:2" hidden="1" x14ac:dyDescent="0.2">
      <c r="B103" s="1186">
        <v>55</v>
      </c>
    </row>
    <row r="104" spans="2:2" hidden="1" x14ac:dyDescent="0.2">
      <c r="B104" s="1186">
        <v>56</v>
      </c>
    </row>
    <row r="105" spans="2:2" hidden="1" x14ac:dyDescent="0.2">
      <c r="B105" s="1186">
        <v>57</v>
      </c>
    </row>
    <row r="106" spans="2:2" hidden="1" x14ac:dyDescent="0.2">
      <c r="B106" s="1186">
        <v>58</v>
      </c>
    </row>
    <row r="107" spans="2:2" hidden="1" x14ac:dyDescent="0.2">
      <c r="B107" s="1186">
        <v>59</v>
      </c>
    </row>
    <row r="108" spans="2:2" hidden="1" x14ac:dyDescent="0.2">
      <c r="B108" s="1186">
        <v>60</v>
      </c>
    </row>
    <row r="109" spans="2:2" hidden="1" x14ac:dyDescent="0.2">
      <c r="B109" s="1186">
        <v>61</v>
      </c>
    </row>
    <row r="110" spans="2:2" hidden="1" x14ac:dyDescent="0.2">
      <c r="B110" s="1186">
        <v>62</v>
      </c>
    </row>
    <row r="111" spans="2:2" hidden="1" x14ac:dyDescent="0.2">
      <c r="B111" s="1186">
        <v>63</v>
      </c>
    </row>
    <row r="112" spans="2:2" hidden="1" x14ac:dyDescent="0.2">
      <c r="B112" s="1186">
        <v>64</v>
      </c>
    </row>
    <row r="113" spans="2:2" hidden="1" x14ac:dyDescent="0.2">
      <c r="B113" s="1186">
        <v>65</v>
      </c>
    </row>
    <row r="114" spans="2:2" hidden="1" x14ac:dyDescent="0.2">
      <c r="B114" s="1186">
        <v>66</v>
      </c>
    </row>
    <row r="115" spans="2:2" hidden="1" x14ac:dyDescent="0.2">
      <c r="B115" s="1186">
        <v>67</v>
      </c>
    </row>
    <row r="116" spans="2:2" hidden="1" x14ac:dyDescent="0.2">
      <c r="B116" s="1186">
        <v>68</v>
      </c>
    </row>
    <row r="117" spans="2:2" hidden="1" x14ac:dyDescent="0.2">
      <c r="B117" s="1186">
        <v>69</v>
      </c>
    </row>
    <row r="118" spans="2:2" hidden="1" x14ac:dyDescent="0.2">
      <c r="B118" s="1186">
        <v>70</v>
      </c>
    </row>
    <row r="119" spans="2:2" hidden="1" x14ac:dyDescent="0.2">
      <c r="B119" s="1186">
        <v>71</v>
      </c>
    </row>
    <row r="120" spans="2:2" hidden="1" x14ac:dyDescent="0.2">
      <c r="B120" s="1186">
        <v>72</v>
      </c>
    </row>
    <row r="121" spans="2:2" hidden="1" x14ac:dyDescent="0.2">
      <c r="B121" s="1186">
        <v>73</v>
      </c>
    </row>
    <row r="122" spans="2:2" hidden="1" x14ac:dyDescent="0.2">
      <c r="B122" s="1186">
        <v>74</v>
      </c>
    </row>
    <row r="123" spans="2:2" hidden="1" x14ac:dyDescent="0.2">
      <c r="B123" s="1186">
        <v>75</v>
      </c>
    </row>
    <row r="124" spans="2:2" hidden="1" x14ac:dyDescent="0.2">
      <c r="B124" s="1186">
        <v>76</v>
      </c>
    </row>
    <row r="125" spans="2:2" hidden="1" x14ac:dyDescent="0.2">
      <c r="B125" s="1186">
        <v>77</v>
      </c>
    </row>
    <row r="126" spans="2:2" hidden="1" x14ac:dyDescent="0.2">
      <c r="B126" s="1186">
        <v>78</v>
      </c>
    </row>
    <row r="127" spans="2:2" hidden="1" x14ac:dyDescent="0.2">
      <c r="B127" s="1186">
        <v>79</v>
      </c>
    </row>
    <row r="128" spans="2:2" hidden="1" x14ac:dyDescent="0.2">
      <c r="B128" s="1186">
        <v>80</v>
      </c>
    </row>
    <row r="129" spans="2:2" hidden="1" x14ac:dyDescent="0.2">
      <c r="B129" s="1186">
        <v>81</v>
      </c>
    </row>
    <row r="130" spans="2:2" hidden="1" x14ac:dyDescent="0.2">
      <c r="B130" s="1186">
        <v>82</v>
      </c>
    </row>
    <row r="131" spans="2:2" hidden="1" x14ac:dyDescent="0.2">
      <c r="B131" s="1186">
        <v>83</v>
      </c>
    </row>
    <row r="132" spans="2:2" hidden="1" x14ac:dyDescent="0.2">
      <c r="B132" s="1186">
        <v>84</v>
      </c>
    </row>
    <row r="133" spans="2:2" hidden="1" x14ac:dyDescent="0.2">
      <c r="B133" s="1186">
        <v>85</v>
      </c>
    </row>
    <row r="134" spans="2:2" hidden="1" x14ac:dyDescent="0.2">
      <c r="B134" s="1186">
        <v>86</v>
      </c>
    </row>
    <row r="135" spans="2:2" hidden="1" x14ac:dyDescent="0.2">
      <c r="B135" s="1186">
        <v>87</v>
      </c>
    </row>
    <row r="136" spans="2:2" hidden="1" x14ac:dyDescent="0.2">
      <c r="B136" s="1186">
        <v>88</v>
      </c>
    </row>
    <row r="137" spans="2:2" hidden="1" x14ac:dyDescent="0.2">
      <c r="B137" s="1186">
        <v>89</v>
      </c>
    </row>
    <row r="138" spans="2:2" hidden="1" x14ac:dyDescent="0.2">
      <c r="B138" s="1186">
        <v>90</v>
      </c>
    </row>
    <row r="139" spans="2:2" hidden="1" x14ac:dyDescent="0.2">
      <c r="B139" s="1186">
        <v>91</v>
      </c>
    </row>
    <row r="140" spans="2:2" hidden="1" x14ac:dyDescent="0.2">
      <c r="B140" s="1186">
        <v>92</v>
      </c>
    </row>
    <row r="141" spans="2:2" hidden="1" x14ac:dyDescent="0.2">
      <c r="B141" s="1186">
        <v>93</v>
      </c>
    </row>
    <row r="142" spans="2:2" hidden="1" x14ac:dyDescent="0.2">
      <c r="B142" s="1186">
        <v>94</v>
      </c>
    </row>
    <row r="143" spans="2:2" hidden="1" x14ac:dyDescent="0.2">
      <c r="B143" s="1186">
        <v>95</v>
      </c>
    </row>
    <row r="144" spans="2:2" hidden="1" x14ac:dyDescent="0.2">
      <c r="B144" s="1186">
        <v>96</v>
      </c>
    </row>
    <row r="145" spans="2:2" hidden="1" x14ac:dyDescent="0.2">
      <c r="B145" s="1186">
        <v>97</v>
      </c>
    </row>
    <row r="146" spans="2:2" hidden="1" x14ac:dyDescent="0.2">
      <c r="B146" s="1186">
        <v>98</v>
      </c>
    </row>
    <row r="147" spans="2:2" hidden="1" x14ac:dyDescent="0.2">
      <c r="B147" s="1186">
        <v>99</v>
      </c>
    </row>
    <row r="148" spans="2:2" hidden="1" x14ac:dyDescent="0.2">
      <c r="B148" s="1186">
        <v>100</v>
      </c>
    </row>
    <row r="149" spans="2:2" hidden="1" x14ac:dyDescent="0.2">
      <c r="B149" s="1178"/>
    </row>
    <row r="150" spans="2:2" x14ac:dyDescent="0.2">
      <c r="B150" s="1178"/>
    </row>
    <row r="151" spans="2:2" x14ac:dyDescent="0.2">
      <c r="B151" s="1178"/>
    </row>
    <row r="152" spans="2:2" x14ac:dyDescent="0.2">
      <c r="B152" s="1178"/>
    </row>
    <row r="153" spans="2:2" x14ac:dyDescent="0.2">
      <c r="B153" s="1178"/>
    </row>
    <row r="154" spans="2:2" x14ac:dyDescent="0.2">
      <c r="B154" s="1178"/>
    </row>
    <row r="155" spans="2:2" x14ac:dyDescent="0.2">
      <c r="B155" s="1178"/>
    </row>
    <row r="156" spans="2:2" x14ac:dyDescent="0.2">
      <c r="B156" s="1178"/>
    </row>
    <row r="157" spans="2:2" x14ac:dyDescent="0.2">
      <c r="B157" s="1178"/>
    </row>
    <row r="158" spans="2:2" x14ac:dyDescent="0.2">
      <c r="B158" s="1178"/>
    </row>
    <row r="159" spans="2:2" x14ac:dyDescent="0.2">
      <c r="B159" s="1178"/>
    </row>
    <row r="160" spans="2:2" x14ac:dyDescent="0.2">
      <c r="B160" s="1178"/>
    </row>
    <row r="161" spans="2:2" x14ac:dyDescent="0.2">
      <c r="B161" s="1178"/>
    </row>
    <row r="162" spans="2:2" x14ac:dyDescent="0.2">
      <c r="B162" s="1178"/>
    </row>
    <row r="163" spans="2:2" x14ac:dyDescent="0.2">
      <c r="B163" s="1178"/>
    </row>
    <row r="164" spans="2:2" x14ac:dyDescent="0.2">
      <c r="B164" s="1178"/>
    </row>
    <row r="165" spans="2:2" x14ac:dyDescent="0.2">
      <c r="B165" s="1178"/>
    </row>
    <row r="166" spans="2:2" x14ac:dyDescent="0.2">
      <c r="B166" s="1178"/>
    </row>
    <row r="167" spans="2:2" x14ac:dyDescent="0.2">
      <c r="B167" s="1178"/>
    </row>
    <row r="168" spans="2:2" x14ac:dyDescent="0.2">
      <c r="B168" s="1178"/>
    </row>
    <row r="169" spans="2:2" x14ac:dyDescent="0.2">
      <c r="B169" s="1178"/>
    </row>
    <row r="170" spans="2:2" x14ac:dyDescent="0.2">
      <c r="B170" s="1178"/>
    </row>
    <row r="171" spans="2:2" x14ac:dyDescent="0.2">
      <c r="B171" s="1178"/>
    </row>
    <row r="172" spans="2:2" x14ac:dyDescent="0.2">
      <c r="B172" s="1178"/>
    </row>
    <row r="173" spans="2:2" x14ac:dyDescent="0.2">
      <c r="B173" s="1178"/>
    </row>
    <row r="174" spans="2:2" x14ac:dyDescent="0.2">
      <c r="B174" s="1178"/>
    </row>
    <row r="175" spans="2:2" x14ac:dyDescent="0.2">
      <c r="B175" s="1178"/>
    </row>
    <row r="176" spans="2:2" x14ac:dyDescent="0.2">
      <c r="B176" s="1178"/>
    </row>
    <row r="177" spans="2:2" x14ac:dyDescent="0.2">
      <c r="B177" s="1178"/>
    </row>
    <row r="178" spans="2:2" x14ac:dyDescent="0.2">
      <c r="B178" s="1178"/>
    </row>
    <row r="179" spans="2:2" x14ac:dyDescent="0.2">
      <c r="B179" s="1178"/>
    </row>
    <row r="180" spans="2:2" x14ac:dyDescent="0.2">
      <c r="B180" s="1178"/>
    </row>
    <row r="181" spans="2:2" x14ac:dyDescent="0.2">
      <c r="B181" s="1178"/>
    </row>
    <row r="182" spans="2:2" x14ac:dyDescent="0.2">
      <c r="B182" s="1178"/>
    </row>
    <row r="183" spans="2:2" x14ac:dyDescent="0.2">
      <c r="B183" s="1178"/>
    </row>
    <row r="184" spans="2:2" x14ac:dyDescent="0.2">
      <c r="B184" s="1178"/>
    </row>
    <row r="185" spans="2:2" x14ac:dyDescent="0.2">
      <c r="B185" s="1178"/>
    </row>
    <row r="186" spans="2:2" x14ac:dyDescent="0.2">
      <c r="B186" s="1178"/>
    </row>
    <row r="187" spans="2:2" x14ac:dyDescent="0.2">
      <c r="B187" s="1178"/>
    </row>
    <row r="188" spans="2:2" x14ac:dyDescent="0.2">
      <c r="B188" s="1178"/>
    </row>
    <row r="189" spans="2:2" x14ac:dyDescent="0.2">
      <c r="B189" s="1178"/>
    </row>
    <row r="190" spans="2:2" x14ac:dyDescent="0.2">
      <c r="B190" s="1178"/>
    </row>
    <row r="191" spans="2:2" x14ac:dyDescent="0.2">
      <c r="B191" s="1178"/>
    </row>
    <row r="192" spans="2:2" x14ac:dyDescent="0.2">
      <c r="B192" s="1178"/>
    </row>
    <row r="193" spans="2:2" x14ac:dyDescent="0.2">
      <c r="B193" s="1178"/>
    </row>
    <row r="194" spans="2:2" x14ac:dyDescent="0.2">
      <c r="B194" s="1178"/>
    </row>
    <row r="195" spans="2:2" x14ac:dyDescent="0.2">
      <c r="B195" s="1178"/>
    </row>
    <row r="196" spans="2:2" x14ac:dyDescent="0.2">
      <c r="B196" s="1178"/>
    </row>
    <row r="197" spans="2:2" x14ac:dyDescent="0.2">
      <c r="B197" s="1178"/>
    </row>
    <row r="198" spans="2:2" x14ac:dyDescent="0.2">
      <c r="B198" s="1178"/>
    </row>
    <row r="199" spans="2:2" x14ac:dyDescent="0.2">
      <c r="B199" s="1178"/>
    </row>
    <row r="200" spans="2:2" x14ac:dyDescent="0.2">
      <c r="B200" s="1178"/>
    </row>
    <row r="201" spans="2:2" x14ac:dyDescent="0.2">
      <c r="B201" s="1178"/>
    </row>
    <row r="202" spans="2:2" x14ac:dyDescent="0.2">
      <c r="B202" s="1178"/>
    </row>
    <row r="203" spans="2:2" x14ac:dyDescent="0.2">
      <c r="B203" s="1178"/>
    </row>
    <row r="204" spans="2:2" x14ac:dyDescent="0.2">
      <c r="B204" s="1178"/>
    </row>
    <row r="205" spans="2:2" x14ac:dyDescent="0.2">
      <c r="B205" s="1178"/>
    </row>
    <row r="206" spans="2:2" x14ac:dyDescent="0.2">
      <c r="B206" s="1178"/>
    </row>
    <row r="207" spans="2:2" x14ac:dyDescent="0.2">
      <c r="B207" s="1178"/>
    </row>
    <row r="208" spans="2:2" x14ac:dyDescent="0.2">
      <c r="B208" s="1178"/>
    </row>
    <row r="209" spans="2:2" x14ac:dyDescent="0.2">
      <c r="B209" s="1178"/>
    </row>
    <row r="210" spans="2:2" x14ac:dyDescent="0.2">
      <c r="B210" s="1178"/>
    </row>
    <row r="211" spans="2:2" x14ac:dyDescent="0.2">
      <c r="B211" s="1178"/>
    </row>
    <row r="212" spans="2:2" x14ac:dyDescent="0.2">
      <c r="B212" s="1178"/>
    </row>
    <row r="213" spans="2:2" x14ac:dyDescent="0.2">
      <c r="B213" s="1178"/>
    </row>
    <row r="214" spans="2:2" x14ac:dyDescent="0.2">
      <c r="B214" s="1178"/>
    </row>
    <row r="215" spans="2:2" x14ac:dyDescent="0.2">
      <c r="B215" s="1178"/>
    </row>
    <row r="216" spans="2:2" x14ac:dyDescent="0.2">
      <c r="B216" s="1178"/>
    </row>
    <row r="217" spans="2:2" x14ac:dyDescent="0.2">
      <c r="B217" s="1178"/>
    </row>
    <row r="218" spans="2:2" x14ac:dyDescent="0.2">
      <c r="B218" s="1178"/>
    </row>
    <row r="219" spans="2:2" x14ac:dyDescent="0.2">
      <c r="B219" s="1178"/>
    </row>
    <row r="220" spans="2:2" x14ac:dyDescent="0.2">
      <c r="B220" s="1178"/>
    </row>
    <row r="221" spans="2:2" x14ac:dyDescent="0.2">
      <c r="B221" s="1178"/>
    </row>
    <row r="222" spans="2:2" x14ac:dyDescent="0.2">
      <c r="B222" s="1178"/>
    </row>
    <row r="223" spans="2:2" x14ac:dyDescent="0.2">
      <c r="B223" s="1178"/>
    </row>
    <row r="224" spans="2:2" x14ac:dyDescent="0.2">
      <c r="B224" s="1178"/>
    </row>
    <row r="225" spans="2:2" x14ac:dyDescent="0.2">
      <c r="B225" s="1178"/>
    </row>
    <row r="226" spans="2:2" x14ac:dyDescent="0.2">
      <c r="B226" s="1178"/>
    </row>
    <row r="227" spans="2:2" x14ac:dyDescent="0.2">
      <c r="B227" s="1178"/>
    </row>
    <row r="228" spans="2:2" x14ac:dyDescent="0.2">
      <c r="B228" s="1178"/>
    </row>
    <row r="229" spans="2:2" x14ac:dyDescent="0.2">
      <c r="B229" s="1178"/>
    </row>
    <row r="230" spans="2:2" x14ac:dyDescent="0.2">
      <c r="B230" s="1178"/>
    </row>
    <row r="231" spans="2:2" x14ac:dyDescent="0.2">
      <c r="B231" s="1178"/>
    </row>
    <row r="232" spans="2:2" x14ac:dyDescent="0.2">
      <c r="B232" s="1178"/>
    </row>
    <row r="233" spans="2:2" x14ac:dyDescent="0.2">
      <c r="B233" s="1178"/>
    </row>
    <row r="234" spans="2:2" x14ac:dyDescent="0.2">
      <c r="B234" s="1178"/>
    </row>
    <row r="235" spans="2:2" x14ac:dyDescent="0.2">
      <c r="B235" s="1178"/>
    </row>
    <row r="236" spans="2:2" x14ac:dyDescent="0.2">
      <c r="B236" s="1178"/>
    </row>
    <row r="237" spans="2:2" x14ac:dyDescent="0.2">
      <c r="B237" s="1178"/>
    </row>
    <row r="238" spans="2:2" x14ac:dyDescent="0.2">
      <c r="B238" s="1178"/>
    </row>
    <row r="239" spans="2:2" x14ac:dyDescent="0.2">
      <c r="B239" s="1178"/>
    </row>
    <row r="240" spans="2:2" x14ac:dyDescent="0.2">
      <c r="B240" s="1178"/>
    </row>
    <row r="241" spans="2:2" x14ac:dyDescent="0.2">
      <c r="B241" s="1178"/>
    </row>
    <row r="242" spans="2:2" x14ac:dyDescent="0.2">
      <c r="B242" s="1178"/>
    </row>
    <row r="243" spans="2:2" x14ac:dyDescent="0.2">
      <c r="B243" s="1178"/>
    </row>
    <row r="244" spans="2:2" x14ac:dyDescent="0.2">
      <c r="B244" s="1178"/>
    </row>
    <row r="245" spans="2:2" x14ac:dyDescent="0.2">
      <c r="B245" s="1178"/>
    </row>
    <row r="246" spans="2:2" x14ac:dyDescent="0.2">
      <c r="B246" s="1178"/>
    </row>
    <row r="247" spans="2:2" x14ac:dyDescent="0.2">
      <c r="B247" s="1178"/>
    </row>
    <row r="248" spans="2:2" x14ac:dyDescent="0.2">
      <c r="B248" s="1178"/>
    </row>
    <row r="249" spans="2:2" x14ac:dyDescent="0.2">
      <c r="B249" s="1178"/>
    </row>
    <row r="250" spans="2:2" x14ac:dyDescent="0.2">
      <c r="B250" s="1178"/>
    </row>
    <row r="251" spans="2:2" x14ac:dyDescent="0.2">
      <c r="B251" s="1178"/>
    </row>
    <row r="252" spans="2:2" x14ac:dyDescent="0.2">
      <c r="B252" s="1178"/>
    </row>
    <row r="253" spans="2:2" x14ac:dyDescent="0.2">
      <c r="B253" s="1178"/>
    </row>
    <row r="254" spans="2:2" x14ac:dyDescent="0.2">
      <c r="B254" s="1178"/>
    </row>
    <row r="255" spans="2:2" x14ac:dyDescent="0.2">
      <c r="B255" s="1178"/>
    </row>
    <row r="256" spans="2:2" x14ac:dyDescent="0.2">
      <c r="B256" s="1178"/>
    </row>
    <row r="257" spans="2:2" x14ac:dyDescent="0.2">
      <c r="B257" s="1178"/>
    </row>
    <row r="258" spans="2:2" x14ac:dyDescent="0.2">
      <c r="B258" s="1178"/>
    </row>
    <row r="259" spans="2:2" x14ac:dyDescent="0.2">
      <c r="B259" s="1178"/>
    </row>
    <row r="260" spans="2:2" x14ac:dyDescent="0.2">
      <c r="B260" s="1178"/>
    </row>
    <row r="261" spans="2:2" x14ac:dyDescent="0.2">
      <c r="B261" s="1178"/>
    </row>
    <row r="262" spans="2:2" x14ac:dyDescent="0.2">
      <c r="B262" s="1178"/>
    </row>
    <row r="263" spans="2:2" x14ac:dyDescent="0.2">
      <c r="B263" s="1178"/>
    </row>
    <row r="264" spans="2:2" x14ac:dyDescent="0.2">
      <c r="B264" s="1178"/>
    </row>
    <row r="265" spans="2:2" x14ac:dyDescent="0.2">
      <c r="B265" s="1178"/>
    </row>
    <row r="266" spans="2:2" x14ac:dyDescent="0.2">
      <c r="B266" s="1178"/>
    </row>
    <row r="267" spans="2:2" x14ac:dyDescent="0.2">
      <c r="B267" s="1178"/>
    </row>
    <row r="268" spans="2:2" x14ac:dyDescent="0.2">
      <c r="B268" s="1178"/>
    </row>
    <row r="269" spans="2:2" x14ac:dyDescent="0.2">
      <c r="B269" s="1178"/>
    </row>
    <row r="270" spans="2:2" x14ac:dyDescent="0.2">
      <c r="B270" s="1178"/>
    </row>
    <row r="271" spans="2:2" x14ac:dyDescent="0.2">
      <c r="B271" s="1178"/>
    </row>
    <row r="272" spans="2:2" x14ac:dyDescent="0.2">
      <c r="B272" s="1178"/>
    </row>
    <row r="273" spans="2:2" x14ac:dyDescent="0.2">
      <c r="B273" s="1178"/>
    </row>
    <row r="274" spans="2:2" x14ac:dyDescent="0.2">
      <c r="B274" s="1178"/>
    </row>
    <row r="275" spans="2:2" x14ac:dyDescent="0.2">
      <c r="B275" s="1178"/>
    </row>
    <row r="276" spans="2:2" x14ac:dyDescent="0.2">
      <c r="B276" s="1178"/>
    </row>
    <row r="277" spans="2:2" x14ac:dyDescent="0.2">
      <c r="B277" s="1178"/>
    </row>
    <row r="278" spans="2:2" x14ac:dyDescent="0.2">
      <c r="B278" s="1178"/>
    </row>
    <row r="279" spans="2:2" x14ac:dyDescent="0.2">
      <c r="B279" s="1178"/>
    </row>
    <row r="280" spans="2:2" x14ac:dyDescent="0.2">
      <c r="B280" s="1178"/>
    </row>
    <row r="281" spans="2:2" x14ac:dyDescent="0.2">
      <c r="B281" s="1178"/>
    </row>
    <row r="282" spans="2:2" x14ac:dyDescent="0.2">
      <c r="B282" s="1178"/>
    </row>
    <row r="283" spans="2:2" x14ac:dyDescent="0.2">
      <c r="B283" s="1178"/>
    </row>
    <row r="284" spans="2:2" x14ac:dyDescent="0.2">
      <c r="B284" s="1178"/>
    </row>
    <row r="285" spans="2:2" x14ac:dyDescent="0.2">
      <c r="B285" s="1178"/>
    </row>
    <row r="286" spans="2:2" x14ac:dyDescent="0.2">
      <c r="B286" s="1178"/>
    </row>
    <row r="287" spans="2:2" x14ac:dyDescent="0.2">
      <c r="B287" s="1178"/>
    </row>
    <row r="288" spans="2:2" x14ac:dyDescent="0.2">
      <c r="B288" s="1178"/>
    </row>
    <row r="289" spans="2:2" x14ac:dyDescent="0.2">
      <c r="B289" s="1178"/>
    </row>
    <row r="290" spans="2:2" x14ac:dyDescent="0.2">
      <c r="B290" s="1178"/>
    </row>
    <row r="291" spans="2:2" x14ac:dyDescent="0.2">
      <c r="B291" s="1178"/>
    </row>
    <row r="292" spans="2:2" x14ac:dyDescent="0.2">
      <c r="B292" s="1178"/>
    </row>
    <row r="293" spans="2:2" x14ac:dyDescent="0.2">
      <c r="B293" s="1178"/>
    </row>
    <row r="294" spans="2:2" x14ac:dyDescent="0.2">
      <c r="B294" s="1178"/>
    </row>
    <row r="295" spans="2:2" x14ac:dyDescent="0.2">
      <c r="B295" s="1178"/>
    </row>
    <row r="296" spans="2:2" x14ac:dyDescent="0.2">
      <c r="B296" s="1178"/>
    </row>
    <row r="297" spans="2:2" x14ac:dyDescent="0.2">
      <c r="B297" s="1178"/>
    </row>
    <row r="298" spans="2:2" x14ac:dyDescent="0.2">
      <c r="B298" s="1178"/>
    </row>
    <row r="299" spans="2:2" x14ac:dyDescent="0.2">
      <c r="B299" s="1178"/>
    </row>
    <row r="300" spans="2:2" x14ac:dyDescent="0.2">
      <c r="B300" s="1178"/>
    </row>
    <row r="301" spans="2:2" x14ac:dyDescent="0.2">
      <c r="B301" s="1178"/>
    </row>
    <row r="302" spans="2:2" x14ac:dyDescent="0.2">
      <c r="B302" s="1178"/>
    </row>
    <row r="303" spans="2:2" x14ac:dyDescent="0.2">
      <c r="B303" s="1178"/>
    </row>
    <row r="304" spans="2:2" x14ac:dyDescent="0.2">
      <c r="B304" s="1178"/>
    </row>
    <row r="305" spans="2:2" x14ac:dyDescent="0.2">
      <c r="B305" s="1178"/>
    </row>
    <row r="306" spans="2:2" x14ac:dyDescent="0.2">
      <c r="B306" s="1178"/>
    </row>
    <row r="307" spans="2:2" x14ac:dyDescent="0.2">
      <c r="B307" s="1178"/>
    </row>
    <row r="308" spans="2:2" x14ac:dyDescent="0.2">
      <c r="B308" s="1178"/>
    </row>
    <row r="309" spans="2:2" x14ac:dyDescent="0.2">
      <c r="B309" s="1178"/>
    </row>
    <row r="310" spans="2:2" x14ac:dyDescent="0.2">
      <c r="B310" s="1178"/>
    </row>
    <row r="311" spans="2:2" x14ac:dyDescent="0.2">
      <c r="B311" s="1178"/>
    </row>
    <row r="312" spans="2:2" x14ac:dyDescent="0.2">
      <c r="B312" s="1178"/>
    </row>
    <row r="313" spans="2:2" x14ac:dyDescent="0.2">
      <c r="B313" s="1178"/>
    </row>
    <row r="314" spans="2:2" x14ac:dyDescent="0.2">
      <c r="B314" s="1178"/>
    </row>
    <row r="315" spans="2:2" x14ac:dyDescent="0.2">
      <c r="B315" s="1178"/>
    </row>
    <row r="316" spans="2:2" x14ac:dyDescent="0.2">
      <c r="B316" s="1178"/>
    </row>
    <row r="317" spans="2:2" x14ac:dyDescent="0.2">
      <c r="B317" s="1178"/>
    </row>
    <row r="318" spans="2:2" x14ac:dyDescent="0.2">
      <c r="B318" s="1178"/>
    </row>
    <row r="319" spans="2:2" x14ac:dyDescent="0.2">
      <c r="B319" s="1178"/>
    </row>
    <row r="320" spans="2:2" x14ac:dyDescent="0.2">
      <c r="B320" s="1178"/>
    </row>
    <row r="321" spans="2:2" x14ac:dyDescent="0.2">
      <c r="B321" s="1178"/>
    </row>
    <row r="322" spans="2:2" x14ac:dyDescent="0.2">
      <c r="B322" s="1178"/>
    </row>
    <row r="323" spans="2:2" x14ac:dyDescent="0.2">
      <c r="B323" s="1178"/>
    </row>
    <row r="324" spans="2:2" x14ac:dyDescent="0.2">
      <c r="B324" s="1178"/>
    </row>
    <row r="325" spans="2:2" x14ac:dyDescent="0.2">
      <c r="B325" s="1178"/>
    </row>
    <row r="326" spans="2:2" x14ac:dyDescent="0.2">
      <c r="B326" s="1178"/>
    </row>
    <row r="327" spans="2:2" x14ac:dyDescent="0.2">
      <c r="B327" s="1178"/>
    </row>
    <row r="328" spans="2:2" x14ac:dyDescent="0.2">
      <c r="B328" s="1178"/>
    </row>
    <row r="329" spans="2:2" x14ac:dyDescent="0.2">
      <c r="B329" s="1178"/>
    </row>
    <row r="330" spans="2:2" x14ac:dyDescent="0.2">
      <c r="B330" s="1178"/>
    </row>
    <row r="331" spans="2:2" x14ac:dyDescent="0.2">
      <c r="B331" s="1178"/>
    </row>
    <row r="332" spans="2:2" x14ac:dyDescent="0.2">
      <c r="B332" s="1178"/>
    </row>
    <row r="333" spans="2:2" x14ac:dyDescent="0.2">
      <c r="B333" s="1178"/>
    </row>
    <row r="334" spans="2:2" x14ac:dyDescent="0.2">
      <c r="B334" s="1178"/>
    </row>
    <row r="335" spans="2:2" x14ac:dyDescent="0.2">
      <c r="B335" s="1178"/>
    </row>
    <row r="336" spans="2:2" x14ac:dyDescent="0.2">
      <c r="B336" s="1178"/>
    </row>
    <row r="337" spans="2:2" x14ac:dyDescent="0.2">
      <c r="B337" s="1178"/>
    </row>
    <row r="338" spans="2:2" x14ac:dyDescent="0.2">
      <c r="B338" s="1178"/>
    </row>
    <row r="339" spans="2:2" x14ac:dyDescent="0.2">
      <c r="B339" s="1178"/>
    </row>
    <row r="340" spans="2:2" x14ac:dyDescent="0.2">
      <c r="B340" s="1178"/>
    </row>
    <row r="341" spans="2:2" x14ac:dyDescent="0.2">
      <c r="B341" s="1178"/>
    </row>
    <row r="342" spans="2:2" x14ac:dyDescent="0.2">
      <c r="B342" s="1178"/>
    </row>
    <row r="343" spans="2:2" x14ac:dyDescent="0.2">
      <c r="B343" s="1178"/>
    </row>
    <row r="344" spans="2:2" x14ac:dyDescent="0.2">
      <c r="B344" s="1178"/>
    </row>
    <row r="345" spans="2:2" x14ac:dyDescent="0.2">
      <c r="B345" s="1178"/>
    </row>
    <row r="346" spans="2:2" x14ac:dyDescent="0.2">
      <c r="B346" s="1178"/>
    </row>
    <row r="347" spans="2:2" x14ac:dyDescent="0.2">
      <c r="B347" s="1178"/>
    </row>
    <row r="348" spans="2:2" x14ac:dyDescent="0.2">
      <c r="B348" s="1178"/>
    </row>
    <row r="349" spans="2:2" x14ac:dyDescent="0.2">
      <c r="B349" s="1178"/>
    </row>
    <row r="350" spans="2:2" x14ac:dyDescent="0.2">
      <c r="B350" s="1178"/>
    </row>
    <row r="351" spans="2:2" x14ac:dyDescent="0.2">
      <c r="B351" s="1178"/>
    </row>
    <row r="352" spans="2:2" x14ac:dyDescent="0.2">
      <c r="B352" s="1178"/>
    </row>
    <row r="353" spans="2:2" x14ac:dyDescent="0.2">
      <c r="B353" s="1178"/>
    </row>
    <row r="354" spans="2:2" x14ac:dyDescent="0.2">
      <c r="B354" s="1178"/>
    </row>
    <row r="355" spans="2:2" x14ac:dyDescent="0.2">
      <c r="B355" s="1178"/>
    </row>
    <row r="356" spans="2:2" x14ac:dyDescent="0.2">
      <c r="B356" s="1178"/>
    </row>
    <row r="357" spans="2:2" x14ac:dyDescent="0.2">
      <c r="B357" s="1178"/>
    </row>
    <row r="358" spans="2:2" x14ac:dyDescent="0.2">
      <c r="B358" s="1178"/>
    </row>
    <row r="359" spans="2:2" x14ac:dyDescent="0.2">
      <c r="B359" s="1178"/>
    </row>
    <row r="360" spans="2:2" x14ac:dyDescent="0.2">
      <c r="B360" s="1178"/>
    </row>
    <row r="361" spans="2:2" x14ac:dyDescent="0.2">
      <c r="B361" s="1178"/>
    </row>
    <row r="362" spans="2:2" x14ac:dyDescent="0.2">
      <c r="B362" s="1178"/>
    </row>
    <row r="363" spans="2:2" x14ac:dyDescent="0.2">
      <c r="B363" s="1178"/>
    </row>
    <row r="364" spans="2:2" x14ac:dyDescent="0.2">
      <c r="B364" s="1178"/>
    </row>
    <row r="365" spans="2:2" x14ac:dyDescent="0.2">
      <c r="B365" s="1178"/>
    </row>
    <row r="366" spans="2:2" x14ac:dyDescent="0.2">
      <c r="B366" s="1178"/>
    </row>
    <row r="367" spans="2:2" x14ac:dyDescent="0.2">
      <c r="B367" s="1178"/>
    </row>
    <row r="368" spans="2:2" x14ac:dyDescent="0.2">
      <c r="B368" s="1178"/>
    </row>
    <row r="369" spans="2:2" x14ac:dyDescent="0.2">
      <c r="B369" s="1178"/>
    </row>
    <row r="370" spans="2:2" x14ac:dyDescent="0.2">
      <c r="B370" s="1178"/>
    </row>
    <row r="371" spans="2:2" x14ac:dyDescent="0.2">
      <c r="B371" s="1178"/>
    </row>
    <row r="372" spans="2:2" x14ac:dyDescent="0.2">
      <c r="B372" s="1178"/>
    </row>
    <row r="373" spans="2:2" x14ac:dyDescent="0.2">
      <c r="B373" s="1178"/>
    </row>
    <row r="374" spans="2:2" x14ac:dyDescent="0.2">
      <c r="B374" s="1178"/>
    </row>
    <row r="375" spans="2:2" x14ac:dyDescent="0.2">
      <c r="B375" s="1178"/>
    </row>
    <row r="376" spans="2:2" x14ac:dyDescent="0.2">
      <c r="B376" s="1178"/>
    </row>
    <row r="377" spans="2:2" x14ac:dyDescent="0.2">
      <c r="B377" s="1178"/>
    </row>
    <row r="378" spans="2:2" x14ac:dyDescent="0.2">
      <c r="B378" s="1178"/>
    </row>
    <row r="379" spans="2:2" x14ac:dyDescent="0.2">
      <c r="B379" s="1178"/>
    </row>
    <row r="380" spans="2:2" x14ac:dyDescent="0.2">
      <c r="B380" s="1178"/>
    </row>
    <row r="381" spans="2:2" x14ac:dyDescent="0.2">
      <c r="B381" s="1178"/>
    </row>
    <row r="382" spans="2:2" x14ac:dyDescent="0.2">
      <c r="B382" s="1178"/>
    </row>
    <row r="383" spans="2:2" x14ac:dyDescent="0.2">
      <c r="B383" s="1178"/>
    </row>
    <row r="384" spans="2:2" x14ac:dyDescent="0.2">
      <c r="B384" s="1178"/>
    </row>
    <row r="385" spans="2:2" x14ac:dyDescent="0.2">
      <c r="B385" s="1178"/>
    </row>
    <row r="386" spans="2:2" x14ac:dyDescent="0.2">
      <c r="B386" s="1178"/>
    </row>
    <row r="387" spans="2:2" x14ac:dyDescent="0.2">
      <c r="B387" s="1178"/>
    </row>
    <row r="388" spans="2:2" x14ac:dyDescent="0.2">
      <c r="B388" s="1178"/>
    </row>
    <row r="389" spans="2:2" x14ac:dyDescent="0.2">
      <c r="B389" s="1178"/>
    </row>
    <row r="390" spans="2:2" x14ac:dyDescent="0.2">
      <c r="B390" s="1178"/>
    </row>
    <row r="391" spans="2:2" x14ac:dyDescent="0.2">
      <c r="B391" s="1178"/>
    </row>
    <row r="392" spans="2:2" x14ac:dyDescent="0.2">
      <c r="B392" s="1178"/>
    </row>
    <row r="393" spans="2:2" x14ac:dyDescent="0.2">
      <c r="B393" s="1178"/>
    </row>
    <row r="394" spans="2:2" x14ac:dyDescent="0.2">
      <c r="B394" s="1178"/>
    </row>
    <row r="395" spans="2:2" x14ac:dyDescent="0.2">
      <c r="B395" s="1178"/>
    </row>
    <row r="396" spans="2:2" x14ac:dyDescent="0.2">
      <c r="B396" s="1178"/>
    </row>
    <row r="397" spans="2:2" x14ac:dyDescent="0.2">
      <c r="B397" s="1178"/>
    </row>
    <row r="398" spans="2:2" x14ac:dyDescent="0.2">
      <c r="B398" s="1178"/>
    </row>
    <row r="399" spans="2:2" x14ac:dyDescent="0.2">
      <c r="B399" s="1178"/>
    </row>
    <row r="400" spans="2:2" x14ac:dyDescent="0.2">
      <c r="B400" s="1178"/>
    </row>
    <row r="401" spans="2:2" x14ac:dyDescent="0.2">
      <c r="B401" s="1178"/>
    </row>
    <row r="402" spans="2:2" x14ac:dyDescent="0.2">
      <c r="B402" s="1178"/>
    </row>
    <row r="403" spans="2:2" x14ac:dyDescent="0.2">
      <c r="B403" s="1178"/>
    </row>
    <row r="404" spans="2:2" x14ac:dyDescent="0.2">
      <c r="B404" s="1178"/>
    </row>
    <row r="405" spans="2:2" x14ac:dyDescent="0.2">
      <c r="B405" s="1178"/>
    </row>
    <row r="406" spans="2:2" x14ac:dyDescent="0.2">
      <c r="B406" s="1178"/>
    </row>
    <row r="407" spans="2:2" x14ac:dyDescent="0.2">
      <c r="B407" s="1178"/>
    </row>
    <row r="408" spans="2:2" x14ac:dyDescent="0.2">
      <c r="B408" s="1178"/>
    </row>
  </sheetData>
  <sheetProtection sheet="1" objects="1" scenarios="1"/>
  <mergeCells count="108">
    <mergeCell ref="P28:P29"/>
    <mergeCell ref="Y9:Z9"/>
    <mergeCell ref="Y11:Z11"/>
    <mergeCell ref="B38:P38"/>
    <mergeCell ref="V8:W8"/>
    <mergeCell ref="B22:O22"/>
    <mergeCell ref="C19:D19"/>
    <mergeCell ref="C17:D17"/>
    <mergeCell ref="C18:D18"/>
    <mergeCell ref="C10:D10"/>
    <mergeCell ref="K13:O13"/>
    <mergeCell ref="C13:D13"/>
    <mergeCell ref="I13:J13"/>
    <mergeCell ref="E13:F13"/>
    <mergeCell ref="I11:J11"/>
    <mergeCell ref="K11:O11"/>
    <mergeCell ref="E11:F11"/>
    <mergeCell ref="C9:D9"/>
    <mergeCell ref="E9:F9"/>
    <mergeCell ref="C8:F8"/>
    <mergeCell ref="G8:J8"/>
    <mergeCell ref="C11:D11"/>
    <mergeCell ref="G12:O12"/>
    <mergeCell ref="T8:U8"/>
    <mergeCell ref="K17:O17"/>
    <mergeCell ref="G14:O14"/>
    <mergeCell ref="I15:J15"/>
    <mergeCell ref="G11:H11"/>
    <mergeCell ref="G17:H17"/>
    <mergeCell ref="C12:D12"/>
    <mergeCell ref="C15:D15"/>
    <mergeCell ref="C16:D16"/>
    <mergeCell ref="E14:F14"/>
    <mergeCell ref="C14:D14"/>
    <mergeCell ref="K15:O15"/>
    <mergeCell ref="E17:F17"/>
    <mergeCell ref="E25:J25"/>
    <mergeCell ref="B28:O28"/>
    <mergeCell ref="B27:O27"/>
    <mergeCell ref="C20:D20"/>
    <mergeCell ref="B2:P2"/>
    <mergeCell ref="B3:P3"/>
    <mergeCell ref="B5:P5"/>
    <mergeCell ref="K8:O8"/>
    <mergeCell ref="B4:P4"/>
    <mergeCell ref="B6:P6"/>
    <mergeCell ref="B7:O7"/>
    <mergeCell ref="E15:F15"/>
    <mergeCell ref="E16:F16"/>
    <mergeCell ref="K9:O9"/>
    <mergeCell ref="G10:O10"/>
    <mergeCell ref="E12:F12"/>
    <mergeCell ref="G9:H9"/>
    <mergeCell ref="E10:F10"/>
    <mergeCell ref="G16:O16"/>
    <mergeCell ref="I9:J9"/>
    <mergeCell ref="P8:P20"/>
    <mergeCell ref="G13:H13"/>
    <mergeCell ref="G15:H15"/>
    <mergeCell ref="I17:J17"/>
    <mergeCell ref="E19:F19"/>
    <mergeCell ref="H36:I36"/>
    <mergeCell ref="F33:G33"/>
    <mergeCell ref="F36:G36"/>
    <mergeCell ref="H33:I33"/>
    <mergeCell ref="H34:I34"/>
    <mergeCell ref="G18:O18"/>
    <mergeCell ref="G19:H19"/>
    <mergeCell ref="K19:O19"/>
    <mergeCell ref="B31:O31"/>
    <mergeCell ref="B30:O30"/>
    <mergeCell ref="B29:J29"/>
    <mergeCell ref="K29:O29"/>
    <mergeCell ref="I19:J19"/>
    <mergeCell ref="B23:O23"/>
    <mergeCell ref="B25:D25"/>
    <mergeCell ref="E20:F20"/>
    <mergeCell ref="B26:O26"/>
    <mergeCell ref="B24:D24"/>
    <mergeCell ref="K25:O25"/>
    <mergeCell ref="G20:O20"/>
    <mergeCell ref="B21:O21"/>
    <mergeCell ref="E24:J24"/>
    <mergeCell ref="K24:O24"/>
    <mergeCell ref="B42:C44"/>
    <mergeCell ref="J37:O37"/>
    <mergeCell ref="B37:I37"/>
    <mergeCell ref="C39:H39"/>
    <mergeCell ref="I39:N39"/>
    <mergeCell ref="C1:J1"/>
    <mergeCell ref="L1:P1"/>
    <mergeCell ref="F34:G34"/>
    <mergeCell ref="F35:G35"/>
    <mergeCell ref="F32:I32"/>
    <mergeCell ref="B32:E32"/>
    <mergeCell ref="H35:I35"/>
    <mergeCell ref="D33:E33"/>
    <mergeCell ref="B33:C33"/>
    <mergeCell ref="B34:C34"/>
    <mergeCell ref="B35:C35"/>
    <mergeCell ref="B36:C36"/>
    <mergeCell ref="D35:E35"/>
    <mergeCell ref="D36:E36"/>
    <mergeCell ref="D34:E34"/>
    <mergeCell ref="P32:P37"/>
    <mergeCell ref="J32:O33"/>
    <mergeCell ref="J34:O35"/>
    <mergeCell ref="E18:F18"/>
  </mergeCells>
  <phoneticPr fontId="0" type="noConversion"/>
  <conditionalFormatting sqref="F33:G33">
    <cfRule type="cellIs" dxfId="0" priority="1" operator="greaterThanOrEqual">
      <formula>$X$33</formula>
    </cfRule>
  </conditionalFormatting>
  <dataValidations xWindow="470" yWindow="622" count="21">
    <dataValidation type="decimal" operator="equal" allowBlank="1" showInputMessage="1" showErrorMessage="1" promptTitle="Hip" prompt="Check &quot;Yes&quot; if the chronic condition criteria have been met." sqref="A29" xr:uid="{00000000-0002-0000-0D00-00000C000000}">
      <formula1>S29</formula1>
    </dataValidation>
    <dataValidation type="decimal" operator="equal" allowBlank="1" showInputMessage="1" showErrorMessage="1" promptTitle="Hip surgery" prompt="Show type of surgery, if any." sqref="A24" xr:uid="{00000000-0002-0000-0D00-00000D000000}">
      <formula1>S24</formula1>
    </dataValidation>
    <dataValidation allowBlank="1" showInputMessage="1" showErrorMessage="1" promptTitle="End of worksheet" prompt="Press TAB to return to top of sheet." sqref="P39" xr:uid="{00000000-0002-0000-0D00-00000E000000}"/>
    <dataValidation type="decimal" allowBlank="1" showInputMessage="1" showErrorMessage="1" promptTitle="Apportionment (if any)" prompt="Enter percentage of impairment caused by the injury or illness. See OAR 436-035-0013." sqref="F33:G33 F36:G36" xr:uid="{00000000-0002-0000-0D00-000010000000}">
      <formula1>$B$45</formula1>
      <formula2>$C$45</formula2>
    </dataValidation>
    <dataValidation type="list" showInputMessage="1" showErrorMessage="1" promptTitle="Hip" prompt="Enter degrees of external rotation ankylosis.  If joint was not affected by the injury, select &quot;NA&quot; or leave blank." sqref="C20:D20" xr:uid="{CEDF664D-44CD-44E9-B6F8-89E482F24C73}">
      <formula1>$B$47:$B$98</formula1>
    </dataValidation>
    <dataValidation type="list" showInputMessage="1" showErrorMessage="1" promptTitle="Hip ROM" prompt="Enter retained degrees of motion, external rotation.  If joint was not affected by the injury, select &quot;NA&quot; or leave blank." sqref="C19:D19" xr:uid="{69AB8A2A-3B1F-4F18-831A-5E78397A88D8}">
      <formula1>$B$47:$B$98</formula1>
    </dataValidation>
    <dataValidation type="list" showInputMessage="1" showErrorMessage="1" promptTitle="Hip" prompt="Enter degrees of internal rotation ankylosis.  If joint was not affected by the injury, select &quot;NA&quot; or leave blank." sqref="C18:D18" xr:uid="{136293D7-824C-4398-A003-3C5699E95F0F}">
      <formula1>$B$47:$B$88</formula1>
    </dataValidation>
    <dataValidation type="list" showInputMessage="1" showErrorMessage="1" promptTitle="HIp" prompt="Enter degrees of adduction ankylosis.  If joint was not affected by the injury, select &quot;NA&quot; or leave blank." sqref="C16:D16" xr:uid="{7A53B234-6324-4E71-B555-C1655ECF28CD}">
      <formula1>$B$47:$B$68</formula1>
    </dataValidation>
    <dataValidation type="list" showInputMessage="1" showErrorMessage="1" promptTitle="Hip ROM" prompt="Enter retained degrees of motion, adduction. If joint was not affected by the injury, select &quot;NA&quot; or leave blank." sqref="C15:D15" xr:uid="{ED89C8C8-EC84-43E7-88EA-FD54566054CD}">
      <formula1>$B$47:$B$68</formula1>
    </dataValidation>
    <dataValidation type="list" showInputMessage="1" showErrorMessage="1" promptTitle="Hip" prompt="Enter degrees of abduction ankylosis. If joint was not affected by the injury, select &quot;NA&quot; or leave blank." sqref="C14:D14" xr:uid="{D84C72EC-85DC-465D-984F-E2D6A47907DE}">
      <formula1>$B$47:$B$88</formula1>
    </dataValidation>
    <dataValidation type="list" showInputMessage="1" showErrorMessage="1" promptTitle="Hip ROM" prompt="Enter retained degrees of motion,abduction. If joint was not affected by the injury, select &quot;NA&quot; or leave blank." sqref="C13:D13" xr:uid="{40613987-8EAD-46F3-8111-E44B1BE576AC}">
      <formula1>$B$47:$B$88</formula1>
    </dataValidation>
    <dataValidation type="list" showInputMessage="1" showErrorMessage="1" promptTitle="Hip" prompt="Enter degrees of backward extension ankylosis.  If joint was not affected by the injury, select &quot;NA&quot; or leave blank." sqref="C12:D12" xr:uid="{1A87C939-2668-4D82-B9C1-DC7C583E35DA}">
      <formula1>$B$47:$B$78</formula1>
    </dataValidation>
    <dataValidation type="list" showInputMessage="1" showErrorMessage="1" promptTitle="Hip ROM" prompt="Enter retained degrees of motion, backward extension. If joint was not affected by the injury, select &quot;NA&quot; or leave blank." sqref="C11:D11" xr:uid="{3696F6C4-C10B-44CC-A130-41941A4B1DBB}">
      <formula1>$B$47:$B$78</formula1>
    </dataValidation>
    <dataValidation type="list" showInputMessage="1" showErrorMessage="1" promptTitle="Hip" prompt="Enter degrees of forward flexion ankylosis. If joint was not affected by the injury, select &quot;NA&quot; or leave blank." sqref="C10:D10" xr:uid="{FE68D323-D3A8-4ACC-8939-482B913AEB40}">
      <formula1>$B$47:$B$148</formula1>
    </dataValidation>
    <dataValidation type="list" showInputMessage="1" showErrorMessage="1" promptTitle="Hip ROM" prompt="Enter retained degrees of motion, forward flexion. If joint was not affected by the injury, select &quot;NA&quot; or leave blank." sqref="C9:D9" xr:uid="{8A139BA9-AABD-4488-AAD2-ECFA5B072950}">
      <formula1>$B$47:$B$148</formula1>
    </dataValidation>
    <dataValidation type="list" showInputMessage="1" showErrorMessage="1" promptTitle="Hip ROM" prompt="Enter retained degrees of motion, internal rotation.  If joint was not affected by the injury, select &quot;NA&quot; or leave blank." sqref="C17:D17" xr:uid="{DA709E00-99A6-4C59-A78A-3CF5BC2B9E1C}">
      <formula1>$B$47:$B$88</formula1>
    </dataValidation>
    <dataValidation type="list" showInputMessage="1" showErrorMessage="1" promptTitle="Contralateral comparison" prompt="Enter retained degrees of motion or &quot;NA&quot; if contralateral joint has a history of injury or disease." sqref="G9:H9" xr:uid="{1B8AE052-65C2-4EEB-9E22-A3B3EF8C56E0}">
      <formula1>$B$47:$B$148</formula1>
    </dataValidation>
    <dataValidation type="list" showInputMessage="1" showErrorMessage="1" promptTitle="Contralateral comparison" prompt="Enter retained degrees of motion or &quot;NA&quot; if contralateral joint has a history of injury or disease." sqref="G11:H11" xr:uid="{F3933049-F21B-4EEF-BA9F-90CBE21FD232}">
      <formula1>$B$47:$B$78</formula1>
    </dataValidation>
    <dataValidation type="list" showInputMessage="1" showErrorMessage="1" promptTitle="Contralateral comparison" prompt="Enter retained degrees of motion or &quot;NA&quot; if contralateral joint has a history of injury or disease." sqref="G13:H13 G17:H17" xr:uid="{98AEE789-1477-4312-A6BC-BCC1EF60C746}">
      <formula1>$B$47:$B$88</formula1>
    </dataValidation>
    <dataValidation type="list" showInputMessage="1" showErrorMessage="1" promptTitle="Contralateral comparison" prompt="Enter retained degrees of motion or &quot;NA&quot; if contralateral joint has a history of injury or disease." sqref="G15:H15" xr:uid="{760D415D-D17D-49FA-8C0B-41E4DC496CC0}">
      <formula1>$B$47:$B$68</formula1>
    </dataValidation>
    <dataValidation type="list" showInputMessage="1" showErrorMessage="1" promptTitle="Contralateral comparison" prompt="Enter retained degrees of motion or &quot;NA&quot; if contralateral joint has a history of injury or disease." sqref="G19:H19" xr:uid="{D552585D-E48B-42BC-9AF5-3D1D2EEB1C7E}">
      <formula1>$B$47:$B$98</formula1>
    </dataValidation>
  </dataValidations>
  <hyperlinks>
    <hyperlink ref="B39" location="'Hip-Left'!A1" display="Return to top of sheet" xr:uid="{00000000-0004-0000-0D00-000000000000}"/>
    <hyperlink ref="I39:N39" location="'PPD DOI on or after 2005'!A1" display="'PPD DOI on or after 2005'!A1" xr:uid="{00000000-0004-0000-0D00-000001000000}"/>
    <hyperlink ref="C39:H39" location="'PPD DOI before 2005'!A1" display="'PPD DOI before 2005'!A1" xr:uid="{00000000-0004-0000-0D00-000002000000}"/>
    <hyperlink ref="B4:P4" location="'Lower Extremity-Left'!A1" display="When reduced ranges of motion of the hip do not involve the pelvis and/or acetabulum, determine impairment according to OAR 436-035-0220." xr:uid="{00000000-0004-0000-0D00-000003000000}"/>
  </hyperlinks>
  <pageMargins left="0.67" right="0.63" top="0.47" bottom="0.56000000000000005" header="0.5" footer="0.5"/>
  <pageSetup orientation="portrait" horizontalDpi="300" verticalDpi="300" r:id="rId1"/>
  <headerFooter alignWithMargins="0">
    <oddFooter>&amp;LHip, Left&amp;CPage &amp;P</oddFooter>
  </headerFooter>
  <rowBreaks count="1" manualBreakCount="1">
    <brk id="30"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1991" r:id="rId4" name="Group Box 7">
              <controlPr defaultSize="0" autoFill="0" autoPict="0">
                <anchor moveWithCells="1" sizeWithCells="1">
                  <from>
                    <xdr:col>3</xdr:col>
                    <xdr:colOff>276225</xdr:colOff>
                    <xdr:row>23</xdr:row>
                    <xdr:rowOff>0</xdr:rowOff>
                  </from>
                  <to>
                    <xdr:col>9</xdr:col>
                    <xdr:colOff>361950</xdr:colOff>
                    <xdr:row>24</xdr:row>
                    <xdr:rowOff>0</xdr:rowOff>
                  </to>
                </anchor>
              </controlPr>
            </control>
          </mc:Choice>
        </mc:AlternateContent>
        <mc:AlternateContent xmlns:mc="http://schemas.openxmlformats.org/markup-compatibility/2006">
          <mc:Choice Requires="x14">
            <control shapeId="41992" r:id="rId5" name="Option Button 8">
              <controlPr defaultSize="0" autoFill="0" autoLine="0" autoPict="0">
                <anchor moveWithCells="1" sizeWithCells="1">
                  <from>
                    <xdr:col>4</xdr:col>
                    <xdr:colOff>123825</xdr:colOff>
                    <xdr:row>23</xdr:row>
                    <xdr:rowOff>19050</xdr:rowOff>
                  </from>
                  <to>
                    <xdr:col>6</xdr:col>
                    <xdr:colOff>238125</xdr:colOff>
                    <xdr:row>23</xdr:row>
                    <xdr:rowOff>238125</xdr:rowOff>
                  </to>
                </anchor>
              </controlPr>
            </control>
          </mc:Choice>
        </mc:AlternateContent>
        <mc:AlternateContent xmlns:mc="http://schemas.openxmlformats.org/markup-compatibility/2006">
          <mc:Choice Requires="x14">
            <control shapeId="41993" r:id="rId6" name="Option Button 9">
              <controlPr defaultSize="0" autoFill="0" autoLine="0" autoPict="0">
                <anchor moveWithCells="1" sizeWithCells="1">
                  <from>
                    <xdr:col>7</xdr:col>
                    <xdr:colOff>171450</xdr:colOff>
                    <xdr:row>23</xdr:row>
                    <xdr:rowOff>9525</xdr:rowOff>
                  </from>
                  <to>
                    <xdr:col>9</xdr:col>
                    <xdr:colOff>285750</xdr:colOff>
                    <xdr:row>23</xdr:row>
                    <xdr:rowOff>228600</xdr:rowOff>
                  </to>
                </anchor>
              </controlPr>
            </control>
          </mc:Choice>
        </mc:AlternateContent>
        <mc:AlternateContent xmlns:mc="http://schemas.openxmlformats.org/markup-compatibility/2006">
          <mc:Choice Requires="x14">
            <control shapeId="41995" r:id="rId7" name="Group Box 11">
              <controlPr defaultSize="0" autoFill="0" autoPict="0">
                <anchor moveWithCells="1" sizeWithCells="1">
                  <from>
                    <xdr:col>3</xdr:col>
                    <xdr:colOff>276225</xdr:colOff>
                    <xdr:row>24</xdr:row>
                    <xdr:rowOff>0</xdr:rowOff>
                  </from>
                  <to>
                    <xdr:col>9</xdr:col>
                    <xdr:colOff>361950</xdr:colOff>
                    <xdr:row>25</xdr:row>
                    <xdr:rowOff>0</xdr:rowOff>
                  </to>
                </anchor>
              </controlPr>
            </control>
          </mc:Choice>
        </mc:AlternateContent>
        <mc:AlternateContent xmlns:mc="http://schemas.openxmlformats.org/markup-compatibility/2006">
          <mc:Choice Requires="x14">
            <control shapeId="41996" r:id="rId8" name="Option Button 12">
              <controlPr defaultSize="0" autoFill="0" autoLine="0" autoPict="0">
                <anchor moveWithCells="1" sizeWithCells="1">
                  <from>
                    <xdr:col>4</xdr:col>
                    <xdr:colOff>123825</xdr:colOff>
                    <xdr:row>24</xdr:row>
                    <xdr:rowOff>19050</xdr:rowOff>
                  </from>
                  <to>
                    <xdr:col>6</xdr:col>
                    <xdr:colOff>152400</xdr:colOff>
                    <xdr:row>24</xdr:row>
                    <xdr:rowOff>238125</xdr:rowOff>
                  </to>
                </anchor>
              </controlPr>
            </control>
          </mc:Choice>
        </mc:AlternateContent>
        <mc:AlternateContent xmlns:mc="http://schemas.openxmlformats.org/markup-compatibility/2006">
          <mc:Choice Requires="x14">
            <control shapeId="41997" r:id="rId9" name="Option Button 13">
              <controlPr defaultSize="0" autoFill="0" autoLine="0" autoPict="0">
                <anchor moveWithCells="1" sizeWithCells="1">
                  <from>
                    <xdr:col>7</xdr:col>
                    <xdr:colOff>171450</xdr:colOff>
                    <xdr:row>24</xdr:row>
                    <xdr:rowOff>9525</xdr:rowOff>
                  </from>
                  <to>
                    <xdr:col>9</xdr:col>
                    <xdr:colOff>200025</xdr:colOff>
                    <xdr:row>24</xdr:row>
                    <xdr:rowOff>228600</xdr:rowOff>
                  </to>
                </anchor>
              </controlPr>
            </control>
          </mc:Choice>
        </mc:AlternateContent>
        <mc:AlternateContent xmlns:mc="http://schemas.openxmlformats.org/markup-compatibility/2006">
          <mc:Choice Requires="x14">
            <control shapeId="41987" r:id="rId10" name="Group Box 3">
              <controlPr defaultSize="0" autoFill="0" autoPict="0">
                <anchor moveWithCells="1" sizeWithCells="1">
                  <from>
                    <xdr:col>10</xdr:col>
                    <xdr:colOff>0</xdr:colOff>
                    <xdr:row>28</xdr:row>
                    <xdr:rowOff>0</xdr:rowOff>
                  </from>
                  <to>
                    <xdr:col>15</xdr:col>
                    <xdr:colOff>0</xdr:colOff>
                    <xdr:row>29</xdr:row>
                    <xdr:rowOff>0</xdr:rowOff>
                  </to>
                </anchor>
              </controlPr>
            </control>
          </mc:Choice>
        </mc:AlternateContent>
        <mc:AlternateContent xmlns:mc="http://schemas.openxmlformats.org/markup-compatibility/2006">
          <mc:Choice Requires="x14">
            <control shapeId="41988" r:id="rId11" name="Option Button 4">
              <controlPr defaultSize="0" autoFill="0" autoLine="0" autoPict="0">
                <anchor moveWithCells="1" sizeWithCells="1">
                  <from>
                    <xdr:col>10</xdr:col>
                    <xdr:colOff>76200</xdr:colOff>
                    <xdr:row>28</xdr:row>
                    <xdr:rowOff>9525</xdr:rowOff>
                  </from>
                  <to>
                    <xdr:col>13</xdr:col>
                    <xdr:colOff>38100</xdr:colOff>
                    <xdr:row>28</xdr:row>
                    <xdr:rowOff>219075</xdr:rowOff>
                  </to>
                </anchor>
              </controlPr>
            </control>
          </mc:Choice>
        </mc:AlternateContent>
        <mc:AlternateContent xmlns:mc="http://schemas.openxmlformats.org/markup-compatibility/2006">
          <mc:Choice Requires="x14">
            <control shapeId="41989" r:id="rId12" name="Option Button 5">
              <controlPr defaultSize="0" autoFill="0" autoLine="0" autoPict="0">
                <anchor moveWithCells="1" sizeWithCells="1">
                  <from>
                    <xdr:col>13</xdr:col>
                    <xdr:colOff>114300</xdr:colOff>
                    <xdr:row>28</xdr:row>
                    <xdr:rowOff>9525</xdr:rowOff>
                  </from>
                  <to>
                    <xdr:col>14</xdr:col>
                    <xdr:colOff>609600</xdr:colOff>
                    <xdr:row>28</xdr:row>
                    <xdr:rowOff>219075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U578"/>
  <sheetViews>
    <sheetView showGridLines="0" zoomScale="120" zoomScaleNormal="120" workbookViewId="0"/>
  </sheetViews>
  <sheetFormatPr defaultColWidth="2.28515625" defaultRowHeight="12.75" x14ac:dyDescent="0.2"/>
  <cols>
    <col min="1" max="1" width="1.28515625" style="35" customWidth="1"/>
    <col min="2" max="2" width="5.7109375" style="35" customWidth="1"/>
    <col min="3" max="3" width="5.7109375" style="2" customWidth="1"/>
    <col min="4" max="4" width="5.7109375" style="191" customWidth="1"/>
    <col min="5" max="5" width="5.7109375" style="35" customWidth="1"/>
    <col min="6" max="6" width="5.7109375" style="191" customWidth="1"/>
    <col min="7" max="7" width="5.7109375" style="35" customWidth="1"/>
    <col min="8" max="8" width="5.7109375" style="191" customWidth="1"/>
    <col min="9" max="9" width="5.7109375" style="35" customWidth="1"/>
    <col min="10" max="10" width="5.7109375" style="191" customWidth="1"/>
    <col min="11" max="11" width="5.7109375" style="35" customWidth="1"/>
    <col min="12" max="12" width="5.7109375" style="191" customWidth="1"/>
    <col min="13" max="13" width="5.7109375" style="35" customWidth="1"/>
    <col min="14" max="14" width="5.7109375" style="191" customWidth="1"/>
    <col min="15" max="15" width="5.7109375" style="35" customWidth="1"/>
    <col min="16" max="16" width="11.28515625" style="35" customWidth="1"/>
    <col min="17" max="17" width="1" style="35" customWidth="1"/>
    <col min="18" max="18" width="11.42578125" style="35" hidden="1" customWidth="1"/>
    <col min="19" max="19" width="11.85546875" style="35" hidden="1" customWidth="1"/>
    <col min="20" max="20" width="10.7109375" style="35" hidden="1" customWidth="1"/>
    <col min="21" max="21" width="11.140625" style="35" hidden="1" customWidth="1"/>
    <col min="22" max="22" width="7.5703125" style="35" hidden="1" customWidth="1"/>
    <col min="23" max="23" width="6.5703125" style="35" hidden="1" customWidth="1"/>
    <col min="24" max="24" width="8.5703125" style="35" hidden="1" customWidth="1"/>
    <col min="25" max="25" width="8.85546875" style="35" hidden="1" customWidth="1"/>
    <col min="26" max="26" width="7.140625" style="35" hidden="1" customWidth="1"/>
    <col min="27" max="27" width="7.5703125" style="35" hidden="1" customWidth="1"/>
    <col min="28" max="28" width="8.42578125" style="35" hidden="1" customWidth="1"/>
    <col min="29" max="29" width="7" style="35" hidden="1" customWidth="1"/>
    <col min="30" max="30" width="7.5703125" style="35" hidden="1" customWidth="1"/>
    <col min="31" max="31" width="9.28515625" style="35" hidden="1" customWidth="1"/>
    <col min="32" max="32" width="8.5703125" style="35" hidden="1" customWidth="1"/>
    <col min="33" max="34" width="7.5703125" style="35" hidden="1" customWidth="1"/>
    <col min="35" max="35" width="8.140625" style="35" hidden="1" customWidth="1"/>
    <col min="36" max="83" width="7.28515625" style="35" hidden="1" customWidth="1"/>
    <col min="84" max="130" width="2.28515625" style="35" hidden="1" customWidth="1"/>
    <col min="131" max="255" width="2.28515625" style="35" customWidth="1"/>
    <col min="256" max="16384" width="2.28515625" style="35"/>
  </cols>
  <sheetData>
    <row r="1" spans="2:170" ht="15" customHeight="1" x14ac:dyDescent="0.2">
      <c r="B1" s="14" t="s">
        <v>1733</v>
      </c>
      <c r="C1" s="35"/>
      <c r="D1" s="35"/>
      <c r="F1" s="1347" t="str">
        <f>IF('Start here'!A6="","",'Start here'!A6)</f>
        <v/>
      </c>
      <c r="G1" s="1351"/>
      <c r="H1" s="1351"/>
      <c r="I1" s="1351"/>
      <c r="J1" s="1352"/>
      <c r="K1" s="2"/>
      <c r="L1" s="1347" t="str">
        <f>IF('Start here'!A7="","",'Start here'!A7)</f>
        <v/>
      </c>
      <c r="M1" s="1351"/>
      <c r="N1" s="1351"/>
      <c r="O1" s="1351"/>
      <c r="P1" s="1352"/>
      <c r="R1" s="694">
        <v>38353</v>
      </c>
      <c r="S1" s="196">
        <f>'Start here'!A8</f>
        <v>0</v>
      </c>
      <c r="T1" s="1179" t="str">
        <f>IF(S1&gt;=R1,"Go to PPD Worksheet","")</f>
        <v/>
      </c>
      <c r="U1" s="1179"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170" ht="11.25" customHeight="1" x14ac:dyDescent="0.2">
      <c r="B2" s="1772"/>
      <c r="C2" s="1772"/>
      <c r="D2" s="1772"/>
      <c r="E2" s="1772"/>
      <c r="F2" s="1772"/>
      <c r="G2" s="1772"/>
      <c r="H2" s="1772"/>
      <c r="I2" s="1772"/>
      <c r="J2" s="1772"/>
      <c r="K2" s="1772"/>
      <c r="L2" s="1772"/>
      <c r="M2" s="1772"/>
      <c r="N2" s="1772"/>
      <c r="O2" s="1772"/>
      <c r="P2" s="1772"/>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row>
    <row r="3" spans="2:170" ht="24" customHeight="1" x14ac:dyDescent="0.3">
      <c r="B3" s="2375" t="s">
        <v>1154</v>
      </c>
      <c r="C3" s="2376"/>
      <c r="D3" s="2376"/>
      <c r="E3" s="2376"/>
      <c r="F3" s="2376"/>
      <c r="G3" s="2376"/>
      <c r="H3" s="2376"/>
      <c r="I3" s="2376"/>
      <c r="J3" s="2376"/>
      <c r="K3" s="2376"/>
      <c r="L3" s="2376"/>
      <c r="M3" s="2376"/>
      <c r="N3" s="2376"/>
      <c r="O3" s="2376"/>
      <c r="P3" s="2376"/>
      <c r="R3" s="63"/>
      <c r="S3" s="63"/>
      <c r="T3" s="63"/>
      <c r="U3" s="63"/>
      <c r="V3" s="63"/>
      <c r="W3" s="63"/>
      <c r="X3" s="63"/>
      <c r="Y3" s="63"/>
      <c r="Z3" s="63"/>
      <c r="AA3" s="63"/>
      <c r="AB3" s="63"/>
      <c r="AC3" s="63"/>
      <c r="AD3" s="63"/>
      <c r="AE3" s="63"/>
      <c r="AF3" s="63"/>
      <c r="AG3" s="63"/>
      <c r="AH3" s="63"/>
      <c r="AI3" s="63"/>
      <c r="AJ3" s="63"/>
      <c r="AK3" s="63"/>
      <c r="AL3" s="63"/>
      <c r="AM3" s="63"/>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row>
    <row r="4" spans="2:170" ht="30" customHeight="1" x14ac:dyDescent="0.2">
      <c r="B4" s="1679" t="s">
        <v>537</v>
      </c>
      <c r="C4" s="1680"/>
      <c r="D4" s="1680"/>
      <c r="E4" s="1680"/>
      <c r="F4" s="1769"/>
      <c r="G4" s="2374" t="s">
        <v>199</v>
      </c>
      <c r="H4" s="2372"/>
      <c r="I4" s="2372"/>
      <c r="J4" s="2372"/>
      <c r="K4" s="2372" t="s">
        <v>1347</v>
      </c>
      <c r="L4" s="2372"/>
      <c r="M4" s="2372"/>
      <c r="N4" s="2372"/>
      <c r="O4" s="2372" t="s">
        <v>1348</v>
      </c>
      <c r="P4" s="2373"/>
      <c r="R4" s="63"/>
      <c r="S4" s="1555" t="s">
        <v>1598</v>
      </c>
      <c r="T4" s="1536" t="s">
        <v>211</v>
      </c>
      <c r="U4" s="1555" t="s">
        <v>1156</v>
      </c>
      <c r="V4" s="63"/>
      <c r="W4" s="63"/>
      <c r="X4" s="63"/>
      <c r="Y4" s="63"/>
      <c r="Z4" s="63"/>
      <c r="AA4" s="63"/>
      <c r="AB4" s="63"/>
      <c r="AC4" s="63"/>
      <c r="AD4" s="63"/>
      <c r="AE4" s="63"/>
      <c r="AF4" s="63"/>
      <c r="AG4" s="63"/>
      <c r="AH4" s="63"/>
      <c r="AI4" s="63"/>
      <c r="AJ4" s="63"/>
      <c r="AK4" s="63"/>
      <c r="AL4" s="63"/>
      <c r="AM4" s="63"/>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row>
    <row r="5" spans="2:170" ht="18" customHeight="1" x14ac:dyDescent="0.2">
      <c r="B5" s="1516" t="s">
        <v>1155</v>
      </c>
      <c r="C5" s="1517"/>
      <c r="D5" s="1517"/>
      <c r="E5" s="1517"/>
      <c r="F5" s="1517"/>
      <c r="G5" s="1517"/>
      <c r="H5" s="1517"/>
      <c r="I5" s="1517"/>
      <c r="J5" s="1517"/>
      <c r="K5" s="1517"/>
      <c r="L5" s="1517"/>
      <c r="M5" s="1517"/>
      <c r="N5" s="1517"/>
      <c r="O5" s="1518"/>
      <c r="P5" s="1481">
        <f>U8</f>
        <v>0</v>
      </c>
      <c r="R5" s="63"/>
      <c r="S5" s="1555"/>
      <c r="T5" s="1536"/>
      <c r="U5" s="1555"/>
      <c r="V5" s="1821"/>
      <c r="W5" s="1821"/>
      <c r="X5" s="7"/>
      <c r="Y5" s="7"/>
      <c r="Z5" s="7"/>
      <c r="AA5" s="7"/>
      <c r="AB5" s="63"/>
      <c r="AC5" s="63"/>
      <c r="AD5" s="63"/>
      <c r="AE5" s="63"/>
      <c r="AF5" s="63"/>
      <c r="AG5" s="63"/>
      <c r="AH5" s="63"/>
      <c r="AI5" s="63"/>
      <c r="AJ5" s="63"/>
      <c r="AK5" s="63"/>
      <c r="AL5" s="63"/>
      <c r="AM5" s="63"/>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row>
    <row r="6" spans="2:170" ht="18" customHeight="1" x14ac:dyDescent="0.2">
      <c r="B6" s="1379" t="s">
        <v>1157</v>
      </c>
      <c r="C6" s="1379"/>
      <c r="D6" s="1379"/>
      <c r="E6" s="1379"/>
      <c r="F6" s="1379"/>
      <c r="G6" s="1379"/>
      <c r="H6" s="1379"/>
      <c r="I6" s="1379"/>
      <c r="J6" s="1308"/>
      <c r="K6" s="1308"/>
      <c r="L6" s="185"/>
      <c r="M6" s="1365">
        <f>'Sp-Table'!N3</f>
        <v>0</v>
      </c>
      <c r="N6" s="1365"/>
      <c r="O6" s="51"/>
      <c r="P6" s="1631"/>
      <c r="R6" s="63"/>
      <c r="S6" s="17">
        <v>60</v>
      </c>
      <c r="T6" s="124" t="str">
        <f t="shared" ref="T6:T11" si="0">IF(OR(J6="",J6="NA"),"",IF(J6&gt;S6,S6,IF(J6&lt;0,0,J6)))</f>
        <v/>
      </c>
      <c r="U6" s="16">
        <f>SUM(M6:M11)</f>
        <v>0</v>
      </c>
      <c r="V6" s="6"/>
      <c r="W6" s="125"/>
      <c r="X6" s="126"/>
      <c r="Y6" s="127"/>
      <c r="Z6" s="127"/>
      <c r="AA6" s="127"/>
      <c r="AB6" s="127"/>
      <c r="AC6" s="63"/>
      <c r="AD6" s="63"/>
      <c r="AE6" s="63"/>
      <c r="AF6" s="63"/>
      <c r="AG6" s="63"/>
      <c r="AH6" s="63"/>
      <c r="AI6" s="63"/>
      <c r="AJ6" s="63"/>
      <c r="AK6" s="63"/>
      <c r="AL6" s="63"/>
      <c r="AM6" s="63"/>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row>
    <row r="7" spans="2:170" ht="18" customHeight="1" x14ac:dyDescent="0.2">
      <c r="B7" s="1379" t="s">
        <v>1158</v>
      </c>
      <c r="C7" s="1379"/>
      <c r="D7" s="1379"/>
      <c r="E7" s="1379"/>
      <c r="F7" s="1379"/>
      <c r="G7" s="1379"/>
      <c r="H7" s="1379"/>
      <c r="I7" s="1379"/>
      <c r="J7" s="1308"/>
      <c r="K7" s="1308"/>
      <c r="L7" s="185"/>
      <c r="M7" s="1365">
        <f>'Sp-Table'!N4</f>
        <v>0</v>
      </c>
      <c r="N7" s="1365"/>
      <c r="O7" s="51"/>
      <c r="P7" s="1631"/>
      <c r="R7" s="63"/>
      <c r="S7" s="17">
        <v>75</v>
      </c>
      <c r="T7" s="124" t="str">
        <f t="shared" si="0"/>
        <v/>
      </c>
      <c r="U7" s="43">
        <f>IF(AND(U6&gt;0,U6&lt;0.01),0.01,U6)</f>
        <v>0</v>
      </c>
      <c r="V7" s="6"/>
      <c r="W7" s="125"/>
      <c r="X7" s="126"/>
      <c r="Y7" s="127"/>
      <c r="Z7" s="127"/>
      <c r="AA7" s="127"/>
      <c r="AB7" s="127"/>
      <c r="AC7" s="63"/>
      <c r="AD7" s="63"/>
      <c r="AE7" s="63"/>
      <c r="AF7" s="63"/>
      <c r="AG7" s="63"/>
      <c r="AH7" s="63"/>
      <c r="AI7" s="63"/>
      <c r="AJ7" s="63"/>
      <c r="AK7" s="63"/>
      <c r="AL7" s="63"/>
      <c r="AM7" s="63"/>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row>
    <row r="8" spans="2:170" ht="18" customHeight="1" x14ac:dyDescent="0.2">
      <c r="B8" s="1379" t="s">
        <v>1159</v>
      </c>
      <c r="C8" s="1379"/>
      <c r="D8" s="1379"/>
      <c r="E8" s="1379"/>
      <c r="F8" s="1379"/>
      <c r="G8" s="1379"/>
      <c r="H8" s="1379"/>
      <c r="I8" s="1379"/>
      <c r="J8" s="1308"/>
      <c r="K8" s="1308"/>
      <c r="L8" s="185"/>
      <c r="M8" s="1365">
        <f>'Sp-Table'!N5</f>
        <v>0</v>
      </c>
      <c r="N8" s="1365"/>
      <c r="O8" s="51"/>
      <c r="P8" s="1631"/>
      <c r="R8" s="63"/>
      <c r="S8" s="17">
        <v>45</v>
      </c>
      <c r="T8" s="124" t="str">
        <f t="shared" si="0"/>
        <v/>
      </c>
      <c r="U8" s="16">
        <f>ROUND(U7,2)</f>
        <v>0</v>
      </c>
      <c r="V8" s="6"/>
      <c r="W8" s="125"/>
      <c r="X8" s="128"/>
      <c r="Y8" s="7"/>
      <c r="Z8" s="7"/>
      <c r="AA8" s="7"/>
      <c r="AB8" s="7"/>
      <c r="AC8" s="63"/>
      <c r="AD8" s="63"/>
      <c r="AE8" s="63"/>
      <c r="AF8" s="63"/>
      <c r="AG8" s="63"/>
      <c r="AH8" s="63"/>
      <c r="AI8" s="63"/>
      <c r="AJ8" s="63"/>
      <c r="AK8" s="63"/>
      <c r="AL8" s="63"/>
      <c r="AM8" s="63"/>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row>
    <row r="9" spans="2:170" ht="18" customHeight="1" x14ac:dyDescent="0.2">
      <c r="B9" s="1379" t="s">
        <v>1160</v>
      </c>
      <c r="C9" s="1379"/>
      <c r="D9" s="1379"/>
      <c r="E9" s="1379"/>
      <c r="F9" s="1379"/>
      <c r="G9" s="1379"/>
      <c r="H9" s="1379"/>
      <c r="I9" s="1379"/>
      <c r="J9" s="1308"/>
      <c r="K9" s="1308"/>
      <c r="L9" s="185"/>
      <c r="M9" s="1365">
        <f>'Sp-Table'!N6</f>
        <v>0</v>
      </c>
      <c r="N9" s="1365"/>
      <c r="O9" s="51"/>
      <c r="P9" s="1631"/>
      <c r="R9" s="63"/>
      <c r="S9" s="17">
        <v>45</v>
      </c>
      <c r="T9" s="17" t="str">
        <f t="shared" si="0"/>
        <v/>
      </c>
      <c r="U9" s="7"/>
      <c r="V9" s="6"/>
      <c r="W9" s="125"/>
      <c r="X9" s="126"/>
      <c r="Y9" s="127"/>
      <c r="Z9" s="127"/>
      <c r="AA9" s="127"/>
      <c r="AB9" s="127"/>
      <c r="AC9" s="63"/>
      <c r="AD9" s="63"/>
      <c r="AE9" s="63"/>
      <c r="AF9" s="63"/>
      <c r="AG9" s="63"/>
      <c r="AH9" s="63"/>
      <c r="AI9" s="63"/>
      <c r="AJ9" s="63"/>
      <c r="AK9" s="63"/>
      <c r="AL9" s="63"/>
      <c r="AM9" s="63"/>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row>
    <row r="10" spans="2:170" ht="18" customHeight="1" x14ac:dyDescent="0.2">
      <c r="B10" s="1379" t="s">
        <v>1411</v>
      </c>
      <c r="C10" s="1379"/>
      <c r="D10" s="1379"/>
      <c r="E10" s="1379"/>
      <c r="F10" s="1379"/>
      <c r="G10" s="1379"/>
      <c r="H10" s="1379"/>
      <c r="I10" s="1379"/>
      <c r="J10" s="1308"/>
      <c r="K10" s="1308"/>
      <c r="L10" s="185"/>
      <c r="M10" s="1365">
        <f>'Sp-Table'!N7</f>
        <v>0</v>
      </c>
      <c r="N10" s="1365"/>
      <c r="O10" s="51"/>
      <c r="P10" s="1631"/>
      <c r="R10" s="63"/>
      <c r="S10" s="17">
        <v>80</v>
      </c>
      <c r="T10" s="17" t="str">
        <f t="shared" si="0"/>
        <v/>
      </c>
      <c r="U10" s="7"/>
      <c r="V10" s="6"/>
      <c r="W10" s="125"/>
      <c r="X10" s="127"/>
      <c r="Y10" s="127"/>
      <c r="Z10" s="7"/>
      <c r="AA10" s="7"/>
      <c r="AB10" s="7"/>
      <c r="AC10" s="63"/>
      <c r="AD10" s="63"/>
      <c r="AE10" s="63"/>
      <c r="AF10" s="63"/>
      <c r="AG10" s="63"/>
      <c r="AH10" s="63"/>
      <c r="AI10" s="63"/>
      <c r="AJ10" s="63"/>
      <c r="AK10" s="63"/>
      <c r="AL10" s="63"/>
      <c r="AM10" s="63"/>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row>
    <row r="11" spans="2:170" ht="18" customHeight="1" x14ac:dyDescent="0.2">
      <c r="B11" s="1379" t="s">
        <v>1412</v>
      </c>
      <c r="C11" s="1379"/>
      <c r="D11" s="1379"/>
      <c r="E11" s="1379"/>
      <c r="F11" s="1379"/>
      <c r="G11" s="1379"/>
      <c r="H11" s="1379"/>
      <c r="I11" s="1379"/>
      <c r="J11" s="1308"/>
      <c r="K11" s="1308"/>
      <c r="L11" s="185"/>
      <c r="M11" s="1365">
        <f>'Sp-Table'!N8</f>
        <v>0</v>
      </c>
      <c r="N11" s="1365"/>
      <c r="O11" s="51"/>
      <c r="P11" s="1631"/>
      <c r="R11" s="63"/>
      <c r="S11" s="17">
        <v>80</v>
      </c>
      <c r="T11" s="17" t="str">
        <f t="shared" si="0"/>
        <v/>
      </c>
      <c r="U11" s="7"/>
      <c r="V11" s="6"/>
      <c r="W11" s="125"/>
      <c r="X11" s="126"/>
      <c r="Y11" s="127"/>
      <c r="Z11" s="127"/>
      <c r="AA11" s="127"/>
      <c r="AB11" s="127"/>
      <c r="AC11" s="63"/>
      <c r="AD11" s="63"/>
      <c r="AE11" s="63"/>
      <c r="AF11" s="63"/>
      <c r="AG11" s="63"/>
      <c r="AH11" s="63"/>
      <c r="AI11" s="63"/>
      <c r="AJ11" s="63"/>
      <c r="AK11" s="63"/>
      <c r="AL11" s="63"/>
      <c r="AM11" s="63"/>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row>
    <row r="12" spans="2:170" ht="18" customHeight="1" x14ac:dyDescent="0.2">
      <c r="B12" s="2235" t="s">
        <v>1413</v>
      </c>
      <c r="C12" s="2236"/>
      <c r="D12" s="2236"/>
      <c r="E12" s="2236"/>
      <c r="F12" s="2236"/>
      <c r="G12" s="2236"/>
      <c r="H12" s="2236"/>
      <c r="I12" s="2236"/>
      <c r="J12" s="2236"/>
      <c r="K12" s="2236"/>
      <c r="L12" s="2236"/>
      <c r="M12" s="2236"/>
      <c r="N12" s="2236"/>
      <c r="O12" s="2237"/>
      <c r="P12" s="1623"/>
      <c r="R12" s="63"/>
      <c r="S12" s="7"/>
      <c r="T12" s="7"/>
      <c r="U12" s="7"/>
      <c r="V12" s="6"/>
      <c r="W12" s="125"/>
      <c r="X12" s="126"/>
      <c r="Y12" s="127"/>
      <c r="Z12" s="127"/>
      <c r="AA12" s="127"/>
      <c r="AB12" s="127"/>
      <c r="AC12" s="63"/>
      <c r="AD12" s="63"/>
      <c r="AE12" s="63"/>
      <c r="AF12" s="63"/>
      <c r="AG12" s="63"/>
      <c r="AH12" s="63"/>
      <c r="AI12" s="63"/>
      <c r="AJ12" s="63"/>
      <c r="AK12" s="63"/>
      <c r="AL12" s="63"/>
      <c r="AM12" s="63"/>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row>
    <row r="13" spans="2:170" ht="18" customHeight="1" x14ac:dyDescent="0.2">
      <c r="B13" s="2244"/>
      <c r="C13" s="2244"/>
      <c r="D13" s="2244"/>
      <c r="E13" s="2244"/>
      <c r="F13" s="2244"/>
      <c r="G13" s="2244"/>
      <c r="H13" s="2244"/>
      <c r="I13" s="2244"/>
      <c r="J13" s="2244"/>
      <c r="K13" s="2244"/>
      <c r="L13" s="2244"/>
      <c r="M13" s="2244"/>
      <c r="N13" s="2244"/>
      <c r="O13" s="2244"/>
      <c r="R13" s="63"/>
      <c r="S13" s="7"/>
      <c r="T13" s="7"/>
      <c r="U13" s="7"/>
      <c r="V13" s="6"/>
      <c r="W13" s="125"/>
      <c r="X13" s="126"/>
      <c r="Y13" s="127"/>
      <c r="Z13" s="127"/>
      <c r="AA13" s="127"/>
      <c r="AB13" s="127"/>
      <c r="AC13" s="63"/>
      <c r="AD13" s="63"/>
      <c r="AE13" s="63"/>
      <c r="AF13" s="63"/>
      <c r="AG13" s="63"/>
      <c r="AH13" s="63"/>
      <c r="AI13" s="63"/>
      <c r="AJ13" s="63"/>
      <c r="AK13" s="63"/>
      <c r="AL13" s="63"/>
      <c r="AM13" s="63"/>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row>
    <row r="14" spans="2:170" ht="18" customHeight="1" x14ac:dyDescent="0.2">
      <c r="B14" s="2348" t="s">
        <v>530</v>
      </c>
      <c r="C14" s="2349"/>
      <c r="D14" s="2349"/>
      <c r="E14" s="2350"/>
      <c r="F14" s="23" t="s">
        <v>994</v>
      </c>
      <c r="G14" s="48"/>
      <c r="H14" s="26">
        <f>IF(OR(G14="NA",G14=0,G14=""),0,IF(G14/100&lt;=0.25,0.04,IF(G14/100&lt;=0.5,0.06,IF(G14/100&gt;0.5,0.1,""))))</f>
        <v>0</v>
      </c>
      <c r="I14" s="2348" t="s">
        <v>2288</v>
      </c>
      <c r="J14" s="2349"/>
      <c r="K14" s="2349"/>
      <c r="L14" s="2350"/>
      <c r="M14" s="23" t="s">
        <v>994</v>
      </c>
      <c r="N14" s="48"/>
      <c r="O14" s="26">
        <f t="shared" ref="O14:O20" si="1">IF(N14="X",0.04,0)</f>
        <v>0</v>
      </c>
      <c r="P14" s="287"/>
      <c r="R14" s="63"/>
      <c r="S14" s="7"/>
      <c r="T14" s="7"/>
      <c r="U14" s="7"/>
      <c r="V14" s="6"/>
      <c r="W14" s="125"/>
      <c r="X14" s="126"/>
      <c r="Y14" s="127"/>
      <c r="Z14" s="127"/>
      <c r="AA14" s="127"/>
      <c r="AB14" s="127"/>
      <c r="AC14" s="63"/>
      <c r="AD14" s="63"/>
      <c r="AE14" s="63"/>
      <c r="AF14" s="63"/>
      <c r="AG14" s="63"/>
      <c r="AH14" s="63"/>
      <c r="AI14" s="63"/>
      <c r="AJ14" s="63"/>
      <c r="AK14" s="63"/>
      <c r="AL14" s="63"/>
      <c r="AM14" s="63"/>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row>
    <row r="15" spans="2:170" ht="18" customHeight="1" x14ac:dyDescent="0.2">
      <c r="B15" s="2351"/>
      <c r="C15" s="2352"/>
      <c r="D15" s="2352"/>
      <c r="E15" s="2353"/>
      <c r="F15" s="23" t="s">
        <v>995</v>
      </c>
      <c r="G15" s="1183"/>
      <c r="H15" s="1180">
        <f t="shared" ref="H15:H20" si="2">IF(OR(G15="NA",G15=0,G15=""),0,IF(G15/100&lt;=0.25,0.04,IF(G15/100&lt;=0.5,0.06,IF(G15/100&gt;0.5,0.1,""))))</f>
        <v>0</v>
      </c>
      <c r="I15" s="2351"/>
      <c r="J15" s="2352"/>
      <c r="K15" s="2352"/>
      <c r="L15" s="2353"/>
      <c r="M15" s="23" t="s">
        <v>995</v>
      </c>
      <c r="N15" s="48"/>
      <c r="O15" s="26">
        <f t="shared" si="1"/>
        <v>0</v>
      </c>
      <c r="P15" s="441"/>
      <c r="R15" s="63"/>
      <c r="S15" s="6"/>
      <c r="T15" s="6"/>
      <c r="U15" s="7"/>
      <c r="V15" s="6"/>
      <c r="W15" s="125"/>
      <c r="X15" s="126"/>
      <c r="Y15" s="127"/>
      <c r="Z15" s="127"/>
      <c r="AA15" s="127"/>
      <c r="AB15" s="127"/>
      <c r="AC15" s="63"/>
      <c r="AD15" s="63"/>
      <c r="AE15" s="63"/>
      <c r="AF15" s="63"/>
      <c r="AG15" s="63"/>
      <c r="AH15" s="63"/>
      <c r="AI15" s="63"/>
      <c r="AJ15" s="63"/>
      <c r="AK15" s="63"/>
      <c r="AL15" s="63"/>
      <c r="AM15" s="63"/>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row>
    <row r="16" spans="2:170" ht="18" customHeight="1" x14ac:dyDescent="0.2">
      <c r="B16" s="2351"/>
      <c r="C16" s="2352"/>
      <c r="D16" s="2352"/>
      <c r="E16" s="2353"/>
      <c r="F16" s="23" t="s">
        <v>996</v>
      </c>
      <c r="G16" s="1183"/>
      <c r="H16" s="1180">
        <f t="shared" si="2"/>
        <v>0</v>
      </c>
      <c r="I16" s="2351"/>
      <c r="J16" s="2352"/>
      <c r="K16" s="2352"/>
      <c r="L16" s="2353"/>
      <c r="M16" s="23" t="s">
        <v>996</v>
      </c>
      <c r="N16" s="48"/>
      <c r="O16" s="26">
        <f t="shared" si="1"/>
        <v>0</v>
      </c>
      <c r="P16" s="441"/>
      <c r="R16" s="63"/>
      <c r="S16" s="6"/>
      <c r="T16" s="6"/>
      <c r="U16" s="7"/>
      <c r="V16" s="6"/>
      <c r="W16" s="125"/>
      <c r="X16" s="126"/>
      <c r="Y16" s="127"/>
      <c r="Z16" s="127"/>
      <c r="AA16" s="127"/>
      <c r="AB16" s="127"/>
      <c r="AC16" s="63"/>
      <c r="AD16" s="63"/>
      <c r="AE16" s="63"/>
      <c r="AF16" s="63"/>
      <c r="AG16" s="63"/>
      <c r="AH16" s="63"/>
      <c r="AI16" s="63"/>
      <c r="AJ16" s="63"/>
      <c r="AK16" s="63"/>
      <c r="AL16" s="63"/>
      <c r="AM16" s="63"/>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row>
    <row r="17" spans="1:99" ht="18" customHeight="1" x14ac:dyDescent="0.2">
      <c r="B17" s="2351"/>
      <c r="C17" s="2352"/>
      <c r="D17" s="2352"/>
      <c r="E17" s="2353"/>
      <c r="F17" s="4" t="s">
        <v>997</v>
      </c>
      <c r="G17" s="1183"/>
      <c r="H17" s="1180">
        <f t="shared" si="2"/>
        <v>0</v>
      </c>
      <c r="I17" s="2351"/>
      <c r="J17" s="2352"/>
      <c r="K17" s="2352"/>
      <c r="L17" s="2353"/>
      <c r="M17" s="4" t="s">
        <v>997</v>
      </c>
      <c r="N17" s="48"/>
      <c r="O17" s="26">
        <f t="shared" si="1"/>
        <v>0</v>
      </c>
      <c r="P17" s="441"/>
      <c r="R17" s="63"/>
      <c r="S17" s="6"/>
      <c r="T17" s="6"/>
      <c r="U17" s="7"/>
      <c r="V17" s="6"/>
      <c r="W17" s="125"/>
      <c r="X17" s="126"/>
      <c r="Y17" s="127"/>
      <c r="Z17" s="127"/>
      <c r="AA17" s="127"/>
      <c r="AB17" s="127"/>
      <c r="AC17" s="63"/>
      <c r="AD17" s="63"/>
      <c r="AE17" s="63"/>
      <c r="AF17" s="63"/>
      <c r="AG17" s="63"/>
      <c r="AH17" s="63"/>
      <c r="AI17" s="63"/>
      <c r="AJ17" s="63"/>
      <c r="AK17" s="63"/>
      <c r="AL17" s="63"/>
      <c r="AM17" s="63"/>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row>
    <row r="18" spans="1:99" ht="18" customHeight="1" x14ac:dyDescent="0.2">
      <c r="B18" s="2351"/>
      <c r="C18" s="2352"/>
      <c r="D18" s="2352"/>
      <c r="E18" s="2353"/>
      <c r="F18" s="5" t="s">
        <v>998</v>
      </c>
      <c r="G18" s="1183"/>
      <c r="H18" s="1180">
        <f t="shared" si="2"/>
        <v>0</v>
      </c>
      <c r="I18" s="2351"/>
      <c r="J18" s="2352"/>
      <c r="K18" s="2352"/>
      <c r="L18" s="2353"/>
      <c r="M18" s="5" t="s">
        <v>998</v>
      </c>
      <c r="N18" s="48"/>
      <c r="O18" s="26">
        <f t="shared" si="1"/>
        <v>0</v>
      </c>
      <c r="P18" s="441"/>
      <c r="R18" s="63"/>
      <c r="U18" s="7"/>
      <c r="V18" s="6"/>
      <c r="W18" s="125"/>
      <c r="X18" s="126"/>
      <c r="Y18" s="127"/>
      <c r="Z18" s="127"/>
      <c r="AA18" s="127"/>
      <c r="AB18" s="127"/>
      <c r="AC18" s="63"/>
      <c r="AD18" s="63"/>
      <c r="AE18" s="63"/>
      <c r="AF18" s="63"/>
      <c r="AG18" s="63"/>
      <c r="AH18" s="63"/>
      <c r="AI18" s="63"/>
      <c r="AJ18" s="63"/>
      <c r="AK18" s="63"/>
      <c r="AL18" s="63"/>
      <c r="AM18" s="63"/>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row>
    <row r="19" spans="1:99" ht="18" customHeight="1" x14ac:dyDescent="0.2">
      <c r="B19" s="2351"/>
      <c r="C19" s="2352"/>
      <c r="D19" s="2352"/>
      <c r="E19" s="2353"/>
      <c r="F19" s="53" t="s">
        <v>999</v>
      </c>
      <c r="G19" s="1183"/>
      <c r="H19" s="1180">
        <f t="shared" si="2"/>
        <v>0</v>
      </c>
      <c r="I19" s="2351"/>
      <c r="J19" s="2352"/>
      <c r="K19" s="2352"/>
      <c r="L19" s="2353"/>
      <c r="M19" s="53" t="s">
        <v>999</v>
      </c>
      <c r="N19" s="48"/>
      <c r="O19" s="26">
        <f t="shared" si="1"/>
        <v>0</v>
      </c>
      <c r="P19" s="441"/>
      <c r="R19" s="63"/>
      <c r="S19" s="63"/>
      <c r="T19" s="63"/>
      <c r="U19" s="63"/>
      <c r="V19" s="63"/>
      <c r="W19" s="63"/>
      <c r="X19" s="63"/>
      <c r="Y19" s="63"/>
      <c r="Z19" s="127"/>
      <c r="AA19" s="127"/>
      <c r="AB19" s="127"/>
      <c r="AC19" s="63"/>
      <c r="AD19" s="63"/>
      <c r="AE19" s="63"/>
      <c r="AF19" s="63"/>
      <c r="AG19" s="63"/>
      <c r="AH19" s="63"/>
      <c r="AI19" s="63"/>
      <c r="AJ19" s="63"/>
      <c r="AK19" s="63"/>
      <c r="AL19" s="63"/>
      <c r="AM19" s="63"/>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row>
    <row r="20" spans="1:99" ht="18" customHeight="1" x14ac:dyDescent="0.2">
      <c r="B20" s="2354"/>
      <c r="C20" s="2355"/>
      <c r="D20" s="2355"/>
      <c r="E20" s="2356"/>
      <c r="F20" s="24" t="s">
        <v>1000</v>
      </c>
      <c r="G20" s="1183"/>
      <c r="H20" s="1180">
        <f t="shared" si="2"/>
        <v>0</v>
      </c>
      <c r="I20" s="2354"/>
      <c r="J20" s="2355"/>
      <c r="K20" s="2355"/>
      <c r="L20" s="2356"/>
      <c r="M20" s="24" t="s">
        <v>1000</v>
      </c>
      <c r="N20" s="48"/>
      <c r="O20" s="26">
        <f t="shared" si="1"/>
        <v>0</v>
      </c>
      <c r="P20" s="286"/>
      <c r="R20" s="63"/>
      <c r="S20" s="7"/>
      <c r="T20" s="7"/>
      <c r="U20" s="7"/>
      <c r="V20" s="6"/>
      <c r="W20" s="125"/>
      <c r="X20" s="126"/>
      <c r="Y20" s="127"/>
      <c r="Z20" s="127"/>
      <c r="AA20" s="127"/>
      <c r="AB20" s="127"/>
      <c r="AC20" s="63"/>
      <c r="AD20" s="63"/>
      <c r="AE20" s="63"/>
      <c r="AF20" s="63"/>
      <c r="AG20" s="63"/>
      <c r="AH20" s="63"/>
      <c r="AI20" s="63"/>
      <c r="AJ20" s="63"/>
      <c r="AK20" s="63"/>
      <c r="AL20" s="63"/>
      <c r="AM20" s="63"/>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row>
    <row r="21" spans="1:99" ht="18" customHeight="1" x14ac:dyDescent="0.2">
      <c r="B21" s="1487" t="s">
        <v>774</v>
      </c>
      <c r="C21" s="1487"/>
      <c r="D21" s="1487"/>
      <c r="E21" s="1487"/>
      <c r="F21" s="1487"/>
      <c r="G21" s="1487"/>
      <c r="H21" s="1487"/>
      <c r="I21" s="1487"/>
      <c r="J21" s="1487"/>
      <c r="K21" s="1487"/>
      <c r="L21" s="1487"/>
      <c r="M21" s="1487"/>
      <c r="N21" s="1487"/>
      <c r="O21" s="1487"/>
      <c r="R21" s="63"/>
      <c r="S21" s="7"/>
      <c r="T21" s="7"/>
      <c r="U21" s="7"/>
      <c r="V21" s="6"/>
      <c r="W21" s="125"/>
      <c r="X21" s="126"/>
      <c r="Y21" s="127"/>
      <c r="Z21" s="127"/>
      <c r="AA21" s="127"/>
      <c r="AB21" s="127"/>
      <c r="AC21" s="63"/>
      <c r="AD21" s="63"/>
      <c r="AE21" s="63"/>
      <c r="AF21" s="63"/>
      <c r="AG21" s="63"/>
      <c r="AH21" s="63"/>
      <c r="AI21" s="63"/>
      <c r="AJ21" s="63"/>
      <c r="AK21" s="63"/>
      <c r="AL21" s="63"/>
      <c r="AM21" s="63"/>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row>
    <row r="22" spans="1:99" ht="30" customHeight="1" x14ac:dyDescent="0.2">
      <c r="B22" s="1374" t="s">
        <v>561</v>
      </c>
      <c r="C22" s="1375"/>
      <c r="D22" s="1375"/>
      <c r="E22" s="1375"/>
      <c r="F22" s="1375"/>
      <c r="G22" s="1375"/>
      <c r="H22" s="1375"/>
      <c r="I22" s="1375"/>
      <c r="J22" s="1375"/>
      <c r="K22" s="1375"/>
      <c r="L22" s="1375"/>
      <c r="M22" s="1375"/>
      <c r="N22" s="1375"/>
      <c r="O22" s="1376"/>
      <c r="P22" s="2343" t="s">
        <v>2028</v>
      </c>
      <c r="R22" s="63"/>
      <c r="T22" s="1214"/>
      <c r="U22" s="1214"/>
      <c r="V22" s="1214"/>
      <c r="W22" s="1214"/>
      <c r="X22" s="1214"/>
      <c r="Y22" s="1214"/>
      <c r="Z22" s="1214"/>
      <c r="AA22" s="1214"/>
      <c r="AB22" s="1214"/>
      <c r="AC22" s="1214"/>
      <c r="AD22" s="1214"/>
      <c r="AE22" s="1214"/>
      <c r="AF22" s="1536" t="s">
        <v>2282</v>
      </c>
      <c r="AG22" s="1536" t="s">
        <v>2283</v>
      </c>
      <c r="AH22" s="1536" t="s">
        <v>2284</v>
      </c>
      <c r="AI22" s="1536" t="s">
        <v>2285</v>
      </c>
      <c r="AJ22" s="1536" t="s">
        <v>2286</v>
      </c>
      <c r="AK22" s="1450" t="s">
        <v>1023</v>
      </c>
      <c r="AL22" s="63"/>
      <c r="AM22" s="63"/>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row>
    <row r="23" spans="1:99" ht="17.25" customHeight="1" x14ac:dyDescent="0.2">
      <c r="B23" s="23" t="s">
        <v>994</v>
      </c>
      <c r="C23" s="27" t="s">
        <v>995</v>
      </c>
      <c r="D23" s="27" t="s">
        <v>775</v>
      </c>
      <c r="E23" s="27" t="s">
        <v>996</v>
      </c>
      <c r="F23" s="27" t="s">
        <v>775</v>
      </c>
      <c r="G23" s="27" t="s">
        <v>997</v>
      </c>
      <c r="H23" s="27" t="s">
        <v>775</v>
      </c>
      <c r="I23" s="44" t="s">
        <v>998</v>
      </c>
      <c r="J23" s="44" t="s">
        <v>775</v>
      </c>
      <c r="K23" s="44" t="s">
        <v>999</v>
      </c>
      <c r="L23" s="44" t="s">
        <v>775</v>
      </c>
      <c r="M23" s="44" t="s">
        <v>1000</v>
      </c>
      <c r="N23" s="27" t="s">
        <v>775</v>
      </c>
      <c r="O23" s="185"/>
      <c r="P23" s="2344"/>
      <c r="R23" s="63"/>
      <c r="S23" s="1362" t="s">
        <v>2293</v>
      </c>
      <c r="T23" s="1363"/>
      <c r="U23" s="1363"/>
      <c r="V23" s="1363"/>
      <c r="W23" s="1363"/>
      <c r="X23" s="1363"/>
      <c r="Y23" s="1363"/>
      <c r="Z23" s="1363"/>
      <c r="AA23" s="1363"/>
      <c r="AB23" s="1363"/>
      <c r="AC23" s="1363"/>
      <c r="AD23" s="1363"/>
      <c r="AE23" s="1364"/>
      <c r="AF23" s="1536"/>
      <c r="AG23" s="1536"/>
      <c r="AH23" s="1536"/>
      <c r="AI23" s="1536"/>
      <c r="AJ23" s="1536"/>
      <c r="AK23" s="1452"/>
      <c r="AL23" s="63"/>
      <c r="AM23" s="63"/>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row>
    <row r="24" spans="1:99" ht="18" customHeight="1" x14ac:dyDescent="0.2">
      <c r="B24" s="48"/>
      <c r="C24" s="1191"/>
      <c r="D24" s="1191"/>
      <c r="E24" s="1191"/>
      <c r="F24" s="1191"/>
      <c r="G24" s="1191"/>
      <c r="H24" s="1191"/>
      <c r="I24" s="1191"/>
      <c r="J24" s="1191"/>
      <c r="K24" s="1191"/>
      <c r="L24" s="1191"/>
      <c r="M24" s="1191"/>
      <c r="N24" s="1191"/>
      <c r="O24" s="52"/>
      <c r="P24" s="2344"/>
      <c r="R24" s="63"/>
      <c r="S24" s="17">
        <f t="shared" ref="S24:AE24" si="3">IF(B24="X",1,0)</f>
        <v>0</v>
      </c>
      <c r="T24" s="124">
        <f t="shared" si="3"/>
        <v>0</v>
      </c>
      <c r="U24" s="124">
        <f t="shared" si="3"/>
        <v>0</v>
      </c>
      <c r="V24" s="124">
        <f t="shared" si="3"/>
        <v>0</v>
      </c>
      <c r="W24" s="124">
        <f t="shared" si="3"/>
        <v>0</v>
      </c>
      <c r="X24" s="124">
        <f t="shared" si="3"/>
        <v>0</v>
      </c>
      <c r="Y24" s="124">
        <f t="shared" si="3"/>
        <v>0</v>
      </c>
      <c r="Z24" s="124">
        <f t="shared" si="3"/>
        <v>0</v>
      </c>
      <c r="AA24" s="124">
        <f t="shared" si="3"/>
        <v>0</v>
      </c>
      <c r="AB24" s="124">
        <f t="shared" si="3"/>
        <v>0</v>
      </c>
      <c r="AC24" s="124">
        <f t="shared" si="3"/>
        <v>0</v>
      </c>
      <c r="AD24" s="124">
        <f t="shared" si="3"/>
        <v>0</v>
      </c>
      <c r="AE24" s="124">
        <f t="shared" si="3"/>
        <v>0</v>
      </c>
      <c r="AF24" s="138">
        <f>SUM(S24,T24, V24, X24, Z24, AB24, AD24)</f>
        <v>0</v>
      </c>
      <c r="AG24" s="138">
        <f>SUM(U24, W24, Y24, AA24, AC24,AE24)</f>
        <v>0</v>
      </c>
      <c r="AH24" s="97">
        <f>IF(AND(AF24=0,AG24=0),0,0.08)</f>
        <v>0</v>
      </c>
      <c r="AI24" s="97" t="str">
        <f>IF(AF24&gt;2,(AF24-2)*0.01,"")</f>
        <v/>
      </c>
      <c r="AJ24" s="97" t="str">
        <f>IF(AG24&gt;1,(AG24-1)*0.01,"")</f>
        <v/>
      </c>
      <c r="AK24" s="61">
        <f>SUM(AH24:AJ24)</f>
        <v>0</v>
      </c>
      <c r="AL24" s="63"/>
      <c r="AM24" s="63"/>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row>
    <row r="25" spans="1:99" ht="18" customHeight="1" x14ac:dyDescent="0.2">
      <c r="B25" s="1970" t="s">
        <v>778</v>
      </c>
      <c r="C25" s="1971"/>
      <c r="D25" s="1971"/>
      <c r="E25" s="1971"/>
      <c r="F25" s="1971"/>
      <c r="G25" s="1971"/>
      <c r="H25" s="1971"/>
      <c r="I25" s="1971"/>
      <c r="J25" s="1971"/>
      <c r="K25" s="1971"/>
      <c r="L25" s="1971"/>
      <c r="M25" s="1972"/>
      <c r="N25" s="1373">
        <f>AK24</f>
        <v>0</v>
      </c>
      <c r="O25" s="1373"/>
      <c r="P25" s="2344"/>
      <c r="R25" s="63"/>
      <c r="S25" s="7"/>
      <c r="T25" s="7"/>
      <c r="U25" s="7"/>
      <c r="V25" s="7"/>
      <c r="W25" s="7"/>
      <c r="X25" s="7"/>
      <c r="Y25" s="7"/>
      <c r="Z25" s="7"/>
      <c r="AA25" s="7"/>
      <c r="AB25" s="7"/>
      <c r="AC25" s="7"/>
      <c r="AD25" s="7"/>
      <c r="AE25" s="7"/>
      <c r="AF25" s="129"/>
      <c r="AG25" s="129"/>
      <c r="AH25" s="41"/>
      <c r="AI25" s="41"/>
      <c r="AJ25" s="41"/>
      <c r="AK25" s="130"/>
      <c r="AL25" s="63"/>
      <c r="AM25" s="63"/>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row>
    <row r="26" spans="1:99" ht="28.5" customHeight="1" x14ac:dyDescent="0.2">
      <c r="B26" s="1374" t="s">
        <v>1338</v>
      </c>
      <c r="C26" s="1375"/>
      <c r="D26" s="1375"/>
      <c r="E26" s="1375"/>
      <c r="F26" s="1375"/>
      <c r="G26" s="1375"/>
      <c r="H26" s="1375"/>
      <c r="I26" s="1375"/>
      <c r="J26" s="1375"/>
      <c r="K26" s="1375"/>
      <c r="L26" s="1375"/>
      <c r="M26" s="1375"/>
      <c r="N26" s="1375"/>
      <c r="O26" s="1376"/>
      <c r="P26" s="2344"/>
      <c r="R26" s="63"/>
      <c r="S26" s="63"/>
      <c r="T26" s="63"/>
      <c r="U26" s="63"/>
      <c r="V26" s="63"/>
      <c r="W26" s="63"/>
      <c r="X26" s="63"/>
      <c r="Y26" s="63"/>
      <c r="Z26" s="63"/>
      <c r="AA26" s="63"/>
      <c r="AB26" s="63"/>
      <c r="AC26" s="63"/>
      <c r="AD26" s="63"/>
      <c r="AE26" s="63"/>
      <c r="AF26" s="63"/>
      <c r="AG26" s="63"/>
      <c r="AH26" s="63"/>
      <c r="AI26" s="63"/>
      <c r="AJ26" s="63"/>
      <c r="AK26" s="63"/>
      <c r="AL26" s="63"/>
      <c r="AM26" s="63"/>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row>
    <row r="27" spans="1:99" ht="18" customHeight="1" x14ac:dyDescent="0.2">
      <c r="B27" s="23" t="s">
        <v>994</v>
      </c>
      <c r="C27" s="27" t="s">
        <v>995</v>
      </c>
      <c r="D27" s="27" t="s">
        <v>775</v>
      </c>
      <c r="E27" s="27" t="s">
        <v>996</v>
      </c>
      <c r="F27" s="27" t="s">
        <v>775</v>
      </c>
      <c r="G27" s="27" t="s">
        <v>997</v>
      </c>
      <c r="H27" s="27" t="s">
        <v>775</v>
      </c>
      <c r="I27" s="44" t="s">
        <v>998</v>
      </c>
      <c r="J27" s="44" t="s">
        <v>775</v>
      </c>
      <c r="K27" s="44" t="s">
        <v>999</v>
      </c>
      <c r="L27" s="44" t="s">
        <v>775</v>
      </c>
      <c r="M27" s="44" t="s">
        <v>1000</v>
      </c>
      <c r="N27" s="27" t="s">
        <v>775</v>
      </c>
      <c r="O27" s="51"/>
      <c r="P27" s="2344"/>
      <c r="R27" s="63"/>
      <c r="Y27" s="127"/>
      <c r="Z27" s="7"/>
      <c r="AA27" s="7"/>
      <c r="AB27" s="7"/>
      <c r="AC27" s="7"/>
      <c r="AD27" s="7"/>
      <c r="AE27" s="129"/>
      <c r="AF27" s="129"/>
      <c r="AG27" s="41"/>
      <c r="AH27" s="41"/>
      <c r="AI27" s="41"/>
      <c r="AJ27" s="130"/>
      <c r="AK27" s="63"/>
      <c r="AL27" s="63"/>
      <c r="AM27" s="63"/>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row>
    <row r="28" spans="1:99" ht="18" customHeight="1" x14ac:dyDescent="0.2">
      <c r="B28" s="48"/>
      <c r="C28" s="48"/>
      <c r="D28" s="48"/>
      <c r="E28" s="48"/>
      <c r="F28" s="48"/>
      <c r="G28" s="48"/>
      <c r="H28" s="48"/>
      <c r="I28" s="48"/>
      <c r="J28" s="48"/>
      <c r="K28" s="48"/>
      <c r="L28" s="48"/>
      <c r="M28" s="48"/>
      <c r="N28" s="48"/>
      <c r="O28" s="51"/>
      <c r="P28" s="2344"/>
      <c r="R28" s="63"/>
      <c r="Y28" s="127"/>
      <c r="Z28" s="7"/>
      <c r="AA28" s="7"/>
      <c r="AB28" s="7"/>
      <c r="AC28" s="7"/>
      <c r="AD28" s="7"/>
      <c r="AE28" s="129"/>
      <c r="AF28" s="129"/>
      <c r="AG28" s="41"/>
      <c r="AH28" s="41"/>
      <c r="AI28" s="41"/>
      <c r="AJ28" s="130"/>
      <c r="AK28" s="63"/>
      <c r="AL28" s="63"/>
      <c r="AM28" s="63"/>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row>
    <row r="29" spans="1:99" ht="18" customHeight="1" x14ac:dyDescent="0.2">
      <c r="B29" s="26">
        <f t="shared" ref="B29:N29" si="4">IF(OR(B28="",B28="NA"),0,B28*0.01)</f>
        <v>0</v>
      </c>
      <c r="C29" s="26">
        <f t="shared" si="4"/>
        <v>0</v>
      </c>
      <c r="D29" s="26">
        <f t="shared" si="4"/>
        <v>0</v>
      </c>
      <c r="E29" s="26">
        <f t="shared" si="4"/>
        <v>0</v>
      </c>
      <c r="F29" s="26">
        <f t="shared" si="4"/>
        <v>0</v>
      </c>
      <c r="G29" s="26">
        <f t="shared" si="4"/>
        <v>0</v>
      </c>
      <c r="H29" s="26">
        <f t="shared" si="4"/>
        <v>0</v>
      </c>
      <c r="I29" s="26">
        <f t="shared" si="4"/>
        <v>0</v>
      </c>
      <c r="J29" s="26">
        <f t="shared" si="4"/>
        <v>0</v>
      </c>
      <c r="K29" s="26">
        <f t="shared" si="4"/>
        <v>0</v>
      </c>
      <c r="L29" s="26">
        <f t="shared" si="4"/>
        <v>0</v>
      </c>
      <c r="M29" s="26">
        <f t="shared" si="4"/>
        <v>0</v>
      </c>
      <c r="N29" s="26">
        <f t="shared" si="4"/>
        <v>0</v>
      </c>
      <c r="O29" s="51"/>
      <c r="P29" s="2344"/>
      <c r="R29" s="63"/>
      <c r="S29" s="7"/>
      <c r="T29" s="7"/>
      <c r="U29" s="7"/>
      <c r="V29" s="6"/>
      <c r="W29" s="125"/>
      <c r="X29" s="126"/>
      <c r="Y29" s="127"/>
      <c r="Z29" s="127"/>
      <c r="AA29" s="127"/>
      <c r="AB29" s="127"/>
      <c r="AC29" s="63"/>
      <c r="AD29" s="63"/>
      <c r="AE29" s="63"/>
      <c r="AF29" s="63"/>
      <c r="AG29" s="63"/>
      <c r="AH29" s="63"/>
      <c r="AI29" s="63"/>
      <c r="AJ29" s="63"/>
      <c r="AK29" s="63"/>
      <c r="AL29" s="63"/>
      <c r="AM29" s="63"/>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row>
    <row r="30" spans="1:99" ht="18" customHeight="1" x14ac:dyDescent="0.2">
      <c r="B30" s="1970" t="s">
        <v>778</v>
      </c>
      <c r="C30" s="1971"/>
      <c r="D30" s="1971"/>
      <c r="E30" s="1971"/>
      <c r="F30" s="1971"/>
      <c r="G30" s="1971"/>
      <c r="H30" s="1971"/>
      <c r="I30" s="1971"/>
      <c r="J30" s="1971"/>
      <c r="K30" s="1971"/>
      <c r="L30" s="1971"/>
      <c r="M30" s="1972"/>
      <c r="N30" s="1373">
        <f>SUM(B29:N29)</f>
        <v>0</v>
      </c>
      <c r="O30" s="1373"/>
      <c r="P30" s="663"/>
      <c r="R30" s="63"/>
      <c r="S30" s="7"/>
      <c r="T30" s="7"/>
      <c r="U30" s="7"/>
      <c r="V30" s="6"/>
      <c r="W30" s="125"/>
      <c r="X30" s="126"/>
      <c r="Y30" s="127"/>
      <c r="Z30" s="127"/>
      <c r="AA30" s="127"/>
      <c r="AB30" s="127"/>
      <c r="AC30" s="63"/>
      <c r="AD30" s="63"/>
      <c r="AE30" s="63"/>
      <c r="AF30" s="63"/>
      <c r="AG30" s="63"/>
      <c r="AH30" s="63"/>
      <c r="AI30" s="63"/>
      <c r="AJ30" s="63"/>
      <c r="AK30" s="63"/>
      <c r="AL30" s="63"/>
      <c r="AM30" s="63"/>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row>
    <row r="31" spans="1:99" ht="18" customHeight="1" x14ac:dyDescent="0.2">
      <c r="B31" s="1791" t="s">
        <v>1339</v>
      </c>
      <c r="C31" s="1791"/>
      <c r="D31" s="1791"/>
      <c r="E31" s="1791"/>
      <c r="F31" s="1791"/>
      <c r="G31" s="1791"/>
      <c r="H31" s="1791"/>
      <c r="I31" s="1791"/>
      <c r="J31" s="1791"/>
      <c r="K31" s="1791"/>
      <c r="L31" s="1791"/>
      <c r="M31" s="1791"/>
      <c r="N31" s="1791"/>
      <c r="O31" s="1791"/>
      <c r="P31" s="303">
        <f>N25+N30</f>
        <v>0</v>
      </c>
      <c r="R31" s="63"/>
      <c r="S31" s="7"/>
      <c r="T31" s="7"/>
      <c r="U31" s="7"/>
      <c r="V31" s="6"/>
      <c r="W31" s="125"/>
      <c r="X31" s="126"/>
      <c r="Y31" s="127"/>
      <c r="Z31" s="127"/>
      <c r="AA31" s="127"/>
      <c r="AB31" s="127"/>
      <c r="AC31" s="63"/>
      <c r="AD31" s="63"/>
      <c r="AE31" s="63"/>
      <c r="AF31" s="63"/>
      <c r="AG31" s="63"/>
      <c r="AH31" s="63"/>
      <c r="AI31" s="63"/>
      <c r="AJ31" s="63"/>
      <c r="AK31" s="63"/>
      <c r="AL31" s="63"/>
      <c r="AM31" s="63"/>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row>
    <row r="32" spans="1:99" ht="12" customHeight="1" x14ac:dyDescent="0.2">
      <c r="A32" s="3"/>
      <c r="B32" s="2377"/>
      <c r="C32" s="2378"/>
      <c r="D32" s="2378"/>
      <c r="E32" s="2378"/>
      <c r="F32" s="2378"/>
      <c r="G32" s="2378"/>
      <c r="H32" s="2378"/>
      <c r="I32" s="2378"/>
      <c r="J32" s="2378"/>
      <c r="K32" s="2378"/>
      <c r="L32" s="2378"/>
      <c r="M32" s="2378"/>
      <c r="N32" s="2378"/>
      <c r="O32" s="2378"/>
      <c r="P32" s="2378"/>
      <c r="Q32" s="3"/>
      <c r="R32" s="63"/>
      <c r="S32" s="7"/>
      <c r="T32" s="7"/>
      <c r="U32" s="7"/>
      <c r="V32" s="6"/>
      <c r="W32" s="125"/>
      <c r="X32" s="126"/>
      <c r="Y32" s="127"/>
      <c r="Z32" s="127"/>
      <c r="AA32" s="127"/>
      <c r="AB32" s="127"/>
      <c r="AC32" s="63"/>
      <c r="AD32" s="63"/>
      <c r="AE32" s="63"/>
      <c r="AF32" s="63"/>
      <c r="AG32" s="63"/>
      <c r="AH32" s="63"/>
      <c r="AI32" s="63"/>
      <c r="AJ32" s="63"/>
      <c r="AK32" s="63"/>
      <c r="AL32" s="63"/>
      <c r="AM32" s="63"/>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row>
    <row r="33" spans="1:99" ht="18" customHeight="1" x14ac:dyDescent="0.2">
      <c r="B33" s="1860" t="s">
        <v>596</v>
      </c>
      <c r="C33" s="1959"/>
      <c r="D33" s="1959"/>
      <c r="E33" s="1959"/>
      <c r="F33" s="1959"/>
      <c r="G33" s="1959"/>
      <c r="H33" s="1959"/>
      <c r="I33" s="1959"/>
      <c r="J33" s="1959"/>
      <c r="K33" s="1959"/>
      <c r="L33" s="1959"/>
      <c r="M33" s="1959"/>
      <c r="N33" s="1959"/>
      <c r="O33" s="1959"/>
      <c r="P33" s="1612">
        <f>IF(R35=1,0.05,0)</f>
        <v>0</v>
      </c>
      <c r="R33" s="150"/>
      <c r="S33" s="63"/>
      <c r="T33" s="63"/>
      <c r="U33" s="63"/>
      <c r="V33" s="63"/>
      <c r="W33" s="63"/>
      <c r="X33" s="63"/>
      <c r="Y33" s="63"/>
      <c r="Z33" s="63"/>
      <c r="AA33" s="63"/>
      <c r="AB33" s="63"/>
      <c r="AC33" s="63"/>
      <c r="AD33" s="63"/>
      <c r="AE33" s="63"/>
      <c r="AF33" s="63"/>
      <c r="AG33" s="63"/>
      <c r="AH33" s="63"/>
      <c r="AI33" s="63"/>
      <c r="AJ33" s="63"/>
      <c r="AK33" s="63"/>
      <c r="AL33" s="63"/>
      <c r="AM33" s="63"/>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row>
    <row r="34" spans="1:99" ht="38.25" customHeight="1" x14ac:dyDescent="0.2">
      <c r="B34" s="1379" t="s">
        <v>1143</v>
      </c>
      <c r="C34" s="1379"/>
      <c r="D34" s="1379"/>
      <c r="E34" s="1379"/>
      <c r="F34" s="1379"/>
      <c r="G34" s="1379"/>
      <c r="H34" s="1379"/>
      <c r="I34" s="1379"/>
      <c r="J34" s="1379"/>
      <c r="K34" s="1379"/>
      <c r="L34" s="1379"/>
      <c r="M34" s="1379"/>
      <c r="N34" s="1379"/>
      <c r="O34" s="1379"/>
      <c r="P34" s="1732"/>
      <c r="R34" s="1219" t="s">
        <v>2304</v>
      </c>
      <c r="S34" s="63"/>
      <c r="T34" s="63"/>
      <c r="U34" s="63"/>
      <c r="V34" s="63"/>
      <c r="W34" s="63"/>
      <c r="X34" s="63"/>
      <c r="Y34" s="63"/>
      <c r="Z34" s="63"/>
      <c r="AA34" s="63"/>
      <c r="AB34" s="63"/>
      <c r="AC34" s="63"/>
      <c r="AD34" s="63"/>
      <c r="AE34" s="63"/>
      <c r="AF34" s="63"/>
      <c r="AG34" s="63"/>
      <c r="AH34" s="63"/>
      <c r="AI34" s="63"/>
      <c r="AJ34" s="63"/>
      <c r="AK34" s="63"/>
      <c r="AL34" s="63"/>
      <c r="AM34" s="63"/>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row>
    <row r="35" spans="1:99" ht="21.75" customHeight="1" x14ac:dyDescent="0.2">
      <c r="A35" s="1218"/>
      <c r="B35" s="1410" t="s">
        <v>948</v>
      </c>
      <c r="C35" s="1410"/>
      <c r="D35" s="1410"/>
      <c r="E35" s="1410"/>
      <c r="F35" s="1410"/>
      <c r="G35" s="1410"/>
      <c r="H35" s="1410"/>
      <c r="I35" s="1410"/>
      <c r="J35" s="1410"/>
      <c r="K35" s="1639"/>
      <c r="L35" s="1639"/>
      <c r="M35" s="1639"/>
      <c r="N35" s="1639"/>
      <c r="O35" s="1639"/>
      <c r="P35" s="1733"/>
      <c r="R35" s="1005">
        <v>2</v>
      </c>
      <c r="S35" s="63"/>
      <c r="T35" s="63"/>
      <c r="U35" s="63"/>
      <c r="V35" s="63"/>
      <c r="W35" s="63"/>
      <c r="X35" s="63"/>
      <c r="Y35" s="63"/>
      <c r="Z35" s="63"/>
      <c r="AA35" s="63"/>
      <c r="AB35" s="63"/>
      <c r="AC35" s="63"/>
      <c r="AD35" s="63"/>
      <c r="AE35" s="63"/>
      <c r="AF35" s="63"/>
      <c r="AG35" s="63"/>
      <c r="AH35" s="63"/>
      <c r="AI35" s="63"/>
      <c r="AJ35" s="63"/>
      <c r="AK35" s="63"/>
      <c r="AL35" s="63"/>
      <c r="AM35" s="63"/>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row>
    <row r="36" spans="1:99" ht="12" customHeight="1" x14ac:dyDescent="0.2">
      <c r="A36" s="182"/>
      <c r="B36" s="2357"/>
      <c r="C36" s="2357"/>
      <c r="D36" s="2357"/>
      <c r="E36" s="2357"/>
      <c r="F36" s="2357"/>
      <c r="G36" s="2357"/>
      <c r="H36" s="2357"/>
      <c r="I36" s="2357"/>
      <c r="J36" s="2357"/>
      <c r="K36" s="2357"/>
      <c r="L36" s="2357"/>
      <c r="M36" s="2357"/>
      <c r="N36" s="2357"/>
      <c r="O36" s="2357"/>
      <c r="P36" s="2357"/>
      <c r="Q36" s="182"/>
      <c r="R36" s="150"/>
      <c r="S36" s="63"/>
      <c r="T36" s="63"/>
      <c r="U36" s="63"/>
      <c r="V36" s="63"/>
      <c r="W36" s="63"/>
      <c r="X36" s="63"/>
      <c r="Y36" s="63"/>
      <c r="Z36" s="63"/>
      <c r="AA36" s="63"/>
      <c r="AB36" s="63"/>
      <c r="AC36" s="63"/>
      <c r="AD36" s="63"/>
      <c r="AE36" s="63"/>
      <c r="AF36" s="63"/>
      <c r="AG36" s="63"/>
      <c r="AH36" s="63"/>
      <c r="AI36" s="63"/>
      <c r="AJ36" s="63"/>
      <c r="AK36" s="63"/>
      <c r="AL36" s="63"/>
      <c r="AM36" s="63"/>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row>
    <row r="37" spans="1:99" ht="0.75" customHeight="1" x14ac:dyDescent="0.2">
      <c r="A37" s="182"/>
      <c r="B37" s="2368"/>
      <c r="C37" s="2368"/>
      <c r="D37" s="2368"/>
      <c r="E37" s="2368"/>
      <c r="F37" s="2368"/>
      <c r="G37" s="2368"/>
      <c r="H37" s="2368"/>
      <c r="I37" s="2368"/>
      <c r="J37" s="2368"/>
      <c r="K37" s="2368"/>
      <c r="L37" s="2368"/>
      <c r="M37" s="2368"/>
      <c r="N37" s="2368"/>
      <c r="O37" s="2368"/>
      <c r="P37" s="2368"/>
      <c r="Q37" s="182"/>
      <c r="R37" s="150"/>
      <c r="S37" s="63"/>
      <c r="T37" s="63"/>
      <c r="U37" s="63"/>
      <c r="V37" s="63"/>
      <c r="W37" s="63"/>
      <c r="X37" s="63"/>
      <c r="Y37" s="63"/>
      <c r="Z37" s="63"/>
      <c r="AA37" s="63"/>
      <c r="AB37" s="63"/>
      <c r="AC37" s="63"/>
      <c r="AD37" s="63"/>
      <c r="AE37" s="63"/>
      <c r="AF37" s="63"/>
      <c r="AG37" s="63"/>
      <c r="AH37" s="63"/>
      <c r="AI37" s="63"/>
      <c r="AJ37" s="63"/>
      <c r="AK37" s="63"/>
      <c r="AL37" s="63"/>
      <c r="AM37" s="63"/>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row>
    <row r="38" spans="1:99" ht="27" customHeight="1" x14ac:dyDescent="0.2">
      <c r="B38" s="1356" t="s">
        <v>1340</v>
      </c>
      <c r="C38" s="1356"/>
      <c r="D38" s="1356"/>
      <c r="E38" s="1356"/>
      <c r="F38" s="1356"/>
      <c r="G38" s="1356"/>
      <c r="H38" s="1356"/>
      <c r="I38" s="1687" t="s">
        <v>1525</v>
      </c>
      <c r="J38" s="1534"/>
      <c r="K38" s="1534"/>
      <c r="L38" s="1534"/>
      <c r="M38" s="2359"/>
      <c r="N38" s="2360"/>
      <c r="O38" s="2361"/>
      <c r="P38" s="2341">
        <f>AH42</f>
        <v>0</v>
      </c>
      <c r="R38" s="182"/>
      <c r="S38" s="7"/>
      <c r="T38" s="7"/>
      <c r="U38" s="7"/>
      <c r="V38" s="120"/>
      <c r="W38" s="7"/>
      <c r="X38" s="7"/>
      <c r="Y38" s="63"/>
      <c r="Z38" s="63"/>
      <c r="AA38" s="63"/>
      <c r="AB38" s="63"/>
      <c r="AC38" s="63"/>
      <c r="AD38" s="63"/>
      <c r="AE38" s="63"/>
      <c r="AF38" s="63"/>
      <c r="AG38" s="63"/>
      <c r="AH38" s="63"/>
      <c r="AI38" s="63"/>
      <c r="AJ38" s="63"/>
      <c r="AK38" s="63"/>
      <c r="AL38" s="63"/>
      <c r="AM38" s="63"/>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row>
    <row r="39" spans="1:99" ht="18" customHeight="1" x14ac:dyDescent="0.2">
      <c r="B39" s="1410" t="s">
        <v>1959</v>
      </c>
      <c r="C39" s="1410"/>
      <c r="D39" s="1410"/>
      <c r="E39" s="1410"/>
      <c r="F39" s="1410"/>
      <c r="G39" s="1373">
        <f>P5</f>
        <v>0</v>
      </c>
      <c r="H39" s="1373"/>
      <c r="I39" s="2339"/>
      <c r="J39" s="2340"/>
      <c r="K39" s="2217">
        <f>IF(I39="",0,IF(AND(G39*I39&gt;0,G39*I39&lt;0.01),0.01,ROUND(G39*I39,2)))</f>
        <v>0</v>
      </c>
      <c r="L39" s="2217"/>
      <c r="M39" s="2362"/>
      <c r="N39" s="2363"/>
      <c r="O39" s="2364"/>
      <c r="P39" s="2341"/>
      <c r="R39" s="1182" t="s">
        <v>1865</v>
      </c>
      <c r="S39" s="1204">
        <f>IF(K39&gt;0,K39,G39)</f>
        <v>0</v>
      </c>
      <c r="T39" s="61">
        <f>B42</f>
        <v>0</v>
      </c>
      <c r="U39" s="61">
        <f t="shared" ref="U39:Z39" si="5">C42</f>
        <v>0</v>
      </c>
      <c r="V39" s="61">
        <f t="shared" si="5"/>
        <v>0</v>
      </c>
      <c r="W39" s="61">
        <f t="shared" si="5"/>
        <v>0</v>
      </c>
      <c r="X39" s="61">
        <f t="shared" si="5"/>
        <v>0</v>
      </c>
      <c r="Y39" s="61">
        <f t="shared" si="5"/>
        <v>0</v>
      </c>
      <c r="Z39" s="61">
        <f t="shared" si="5"/>
        <v>0</v>
      </c>
      <c r="AA39" s="61">
        <f t="shared" ref="AA39:AG39" si="6">B45</f>
        <v>0</v>
      </c>
      <c r="AB39" s="61">
        <f t="shared" si="6"/>
        <v>0</v>
      </c>
      <c r="AC39" s="61">
        <f t="shared" si="6"/>
        <v>0</v>
      </c>
      <c r="AD39" s="61">
        <f t="shared" si="6"/>
        <v>0</v>
      </c>
      <c r="AE39" s="61">
        <f t="shared" si="6"/>
        <v>0</v>
      </c>
      <c r="AF39" s="61">
        <f t="shared" si="6"/>
        <v>0</v>
      </c>
      <c r="AG39" s="61">
        <f t="shared" si="6"/>
        <v>0</v>
      </c>
      <c r="AH39" s="479">
        <f>G46</f>
        <v>0</v>
      </c>
      <c r="AI39" s="1204">
        <f>IF(K47&gt;0,K47,G47)</f>
        <v>0</v>
      </c>
      <c r="AJ39" s="63"/>
      <c r="AK39" s="63"/>
      <c r="AL39" s="63"/>
      <c r="AM39" s="63"/>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row>
    <row r="40" spans="1:99" ht="18" customHeight="1" x14ac:dyDescent="0.2">
      <c r="B40" s="1362" t="s">
        <v>1341</v>
      </c>
      <c r="C40" s="1363"/>
      <c r="D40" s="1363"/>
      <c r="E40" s="1363"/>
      <c r="F40" s="1363"/>
      <c r="G40" s="1363"/>
      <c r="H40" s="1364"/>
      <c r="I40" s="1687" t="s">
        <v>1942</v>
      </c>
      <c r="J40" s="1687"/>
      <c r="K40" s="1687"/>
      <c r="L40" s="1687"/>
      <c r="M40" s="2362"/>
      <c r="N40" s="2363"/>
      <c r="O40" s="2364"/>
      <c r="P40" s="2341"/>
      <c r="R40" s="61" t="s">
        <v>1305</v>
      </c>
      <c r="S40" s="1181">
        <f>LARGE($S$39:$AI$39,1)</f>
        <v>0</v>
      </c>
      <c r="T40" s="1181">
        <f>LARGE($S$39:$AI$39,2)</f>
        <v>0</v>
      </c>
      <c r="U40" s="1181">
        <f>LARGE($S$39:$AI$39,3)</f>
        <v>0</v>
      </c>
      <c r="V40" s="1181">
        <f>LARGE($S$39:$AI$39,4)</f>
        <v>0</v>
      </c>
      <c r="W40" s="1181">
        <f>LARGE($S$39:$AI$39,5)</f>
        <v>0</v>
      </c>
      <c r="X40" s="1181">
        <f>LARGE($S$39:$AI$39,6)</f>
        <v>0</v>
      </c>
      <c r="Y40" s="1181">
        <f>LARGE($S$39:$AI$39,7)</f>
        <v>0</v>
      </c>
      <c r="Z40" s="1181">
        <f>LARGE($S$39:$AI$39,8)</f>
        <v>0</v>
      </c>
      <c r="AA40" s="1181">
        <f>LARGE($S$39:$AI$39,9)</f>
        <v>0</v>
      </c>
      <c r="AB40" s="1181">
        <f>LARGE($S$39:$AI$39,10)</f>
        <v>0</v>
      </c>
      <c r="AC40" s="1181">
        <f>LARGE($S$39:$AI$39,11)</f>
        <v>0</v>
      </c>
      <c r="AD40" s="1181">
        <f>LARGE($S$39:$AI$39,12)</f>
        <v>0</v>
      </c>
      <c r="AE40" s="1181">
        <f>LARGE($S$39:$AI$39,13)</f>
        <v>0</v>
      </c>
      <c r="AF40" s="1181">
        <f>LARGE($S$39:$AI$39,14)</f>
        <v>0</v>
      </c>
      <c r="AG40" s="1181">
        <f>LARGE($S$39:$AI$39,15)</f>
        <v>0</v>
      </c>
      <c r="AH40" s="1181">
        <f>LARGE($S$39:$AI$39,16)</f>
        <v>0</v>
      </c>
      <c r="AI40" s="1181">
        <f>LARGE($S$39:$AI$39,17)</f>
        <v>0</v>
      </c>
      <c r="AJ40" s="63"/>
      <c r="AK40" s="63"/>
      <c r="AL40" s="63"/>
      <c r="AM40" s="63"/>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row>
    <row r="41" spans="1:99" ht="18" customHeight="1" x14ac:dyDescent="0.2">
      <c r="B41" s="23" t="s">
        <v>994</v>
      </c>
      <c r="C41" s="23" t="s">
        <v>995</v>
      </c>
      <c r="D41" s="23" t="s">
        <v>996</v>
      </c>
      <c r="E41" s="23" t="s">
        <v>997</v>
      </c>
      <c r="F41" s="23" t="s">
        <v>998</v>
      </c>
      <c r="G41" s="23" t="s">
        <v>999</v>
      </c>
      <c r="H41" s="23" t="s">
        <v>1000</v>
      </c>
      <c r="I41" s="1687" t="s">
        <v>1942</v>
      </c>
      <c r="J41" s="1687"/>
      <c r="K41" s="1687"/>
      <c r="L41" s="1687"/>
      <c r="M41" s="2362"/>
      <c r="N41" s="2363"/>
      <c r="O41" s="2364"/>
      <c r="P41" s="2341"/>
      <c r="R41" s="61" t="s">
        <v>1306</v>
      </c>
      <c r="S41" s="16">
        <f>S40+T40*(1-S40)</f>
        <v>0</v>
      </c>
      <c r="T41" s="16">
        <f>S42+U40*(1-S42)</f>
        <v>0</v>
      </c>
      <c r="U41" s="16">
        <f t="shared" ref="U41:AH41" si="7">T42+V40*(1-T42)</f>
        <v>0</v>
      </c>
      <c r="V41" s="16">
        <f t="shared" si="7"/>
        <v>0</v>
      </c>
      <c r="W41" s="16">
        <f t="shared" si="7"/>
        <v>0</v>
      </c>
      <c r="X41" s="16">
        <f t="shared" si="7"/>
        <v>0</v>
      </c>
      <c r="Y41" s="16">
        <f t="shared" si="7"/>
        <v>0</v>
      </c>
      <c r="Z41" s="16">
        <f t="shared" si="7"/>
        <v>0</v>
      </c>
      <c r="AA41" s="16">
        <f t="shared" si="7"/>
        <v>0</v>
      </c>
      <c r="AB41" s="16">
        <f t="shared" si="7"/>
        <v>0</v>
      </c>
      <c r="AC41" s="16">
        <f t="shared" si="7"/>
        <v>0</v>
      </c>
      <c r="AD41" s="16">
        <f t="shared" si="7"/>
        <v>0</v>
      </c>
      <c r="AE41" s="16">
        <f t="shared" si="7"/>
        <v>0</v>
      </c>
      <c r="AF41" s="16">
        <f t="shared" si="7"/>
        <v>0</v>
      </c>
      <c r="AG41" s="16">
        <f t="shared" si="7"/>
        <v>0</v>
      </c>
      <c r="AH41" s="16">
        <f t="shared" si="7"/>
        <v>0</v>
      </c>
      <c r="AI41" s="63"/>
      <c r="AJ41" s="63"/>
      <c r="AK41" s="63"/>
      <c r="AL41" s="63"/>
      <c r="AM41" s="63"/>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row>
    <row r="42" spans="1:99" ht="18" customHeight="1" x14ac:dyDescent="0.2">
      <c r="B42" s="303">
        <f>H14</f>
        <v>0</v>
      </c>
      <c r="C42" s="303">
        <f>H15</f>
        <v>0</v>
      </c>
      <c r="D42" s="303">
        <f>H16</f>
        <v>0</v>
      </c>
      <c r="E42" s="303">
        <f>H17</f>
        <v>0</v>
      </c>
      <c r="F42" s="303">
        <f>H18</f>
        <v>0</v>
      </c>
      <c r="G42" s="303">
        <f>H19</f>
        <v>0</v>
      </c>
      <c r="H42" s="303">
        <f>H20</f>
        <v>0</v>
      </c>
      <c r="I42" s="1687" t="s">
        <v>1942</v>
      </c>
      <c r="J42" s="1687"/>
      <c r="K42" s="1687"/>
      <c r="L42" s="1687"/>
      <c r="M42" s="2362"/>
      <c r="N42" s="2363"/>
      <c r="O42" s="2364"/>
      <c r="P42" s="2341"/>
      <c r="R42" s="61" t="s">
        <v>1307</v>
      </c>
      <c r="S42" s="1181">
        <f>ROUND(S41,2)</f>
        <v>0</v>
      </c>
      <c r="T42" s="1181">
        <f>ROUND(T41,2)</f>
        <v>0</v>
      </c>
      <c r="U42" s="1181">
        <f t="shared" ref="U42:AD42" si="8">ROUND(U41,2)</f>
        <v>0</v>
      </c>
      <c r="V42" s="1181">
        <f t="shared" si="8"/>
        <v>0</v>
      </c>
      <c r="W42" s="1181">
        <f t="shared" si="8"/>
        <v>0</v>
      </c>
      <c r="X42" s="1181">
        <f t="shared" si="8"/>
        <v>0</v>
      </c>
      <c r="Y42" s="1181">
        <f t="shared" si="8"/>
        <v>0</v>
      </c>
      <c r="Z42" s="1181">
        <f t="shared" si="8"/>
        <v>0</v>
      </c>
      <c r="AA42" s="1181">
        <f t="shared" si="8"/>
        <v>0</v>
      </c>
      <c r="AB42" s="1181">
        <f t="shared" si="8"/>
        <v>0</v>
      </c>
      <c r="AC42" s="1181">
        <f t="shared" si="8"/>
        <v>0</v>
      </c>
      <c r="AD42" s="1181">
        <f t="shared" si="8"/>
        <v>0</v>
      </c>
      <c r="AE42" s="1181">
        <f>ROUND(AE41,2)</f>
        <v>0</v>
      </c>
      <c r="AF42" s="1181">
        <f>ROUND(AF41,2)</f>
        <v>0</v>
      </c>
      <c r="AG42" s="1181">
        <f>ROUND(AG41,2)</f>
        <v>0</v>
      </c>
      <c r="AH42" s="1181">
        <f>ROUND(AH41,2)</f>
        <v>0</v>
      </c>
      <c r="AI42" s="63"/>
      <c r="AJ42" s="63"/>
      <c r="AK42" s="63"/>
      <c r="AL42" s="63"/>
      <c r="AM42" s="63"/>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row>
    <row r="43" spans="1:99" ht="18" customHeight="1" x14ac:dyDescent="0.2">
      <c r="B43" s="1367" t="s">
        <v>1342</v>
      </c>
      <c r="C43" s="1368"/>
      <c r="D43" s="1368"/>
      <c r="E43" s="1368"/>
      <c r="F43" s="1368"/>
      <c r="G43" s="1368"/>
      <c r="H43" s="1369"/>
      <c r="I43" s="1687" t="s">
        <v>1942</v>
      </c>
      <c r="J43" s="1687"/>
      <c r="K43" s="1687"/>
      <c r="L43" s="1687"/>
      <c r="M43" s="2362"/>
      <c r="N43" s="2363"/>
      <c r="O43" s="2364"/>
      <c r="P43" s="2341"/>
      <c r="R43" s="500"/>
      <c r="S43" s="41"/>
      <c r="T43" s="131"/>
      <c r="U43" s="130"/>
      <c r="V43" s="120"/>
      <c r="W43" s="7"/>
      <c r="X43" s="7"/>
      <c r="Y43" s="63"/>
      <c r="Z43" s="63"/>
      <c r="AA43" s="63"/>
      <c r="AB43" s="63"/>
      <c r="AC43" s="63"/>
      <c r="AD43" s="63"/>
      <c r="AE43" s="63"/>
      <c r="AF43" s="63"/>
      <c r="AG43" s="63"/>
      <c r="AH43" s="63"/>
      <c r="AI43" s="63"/>
      <c r="AJ43" s="63"/>
      <c r="AK43" s="63"/>
      <c r="AL43" s="63"/>
      <c r="AM43" s="63"/>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row>
    <row r="44" spans="1:99" ht="18" customHeight="1" x14ac:dyDescent="0.2">
      <c r="B44" s="23" t="s">
        <v>994</v>
      </c>
      <c r="C44" s="23" t="s">
        <v>995</v>
      </c>
      <c r="D44" s="23" t="s">
        <v>996</v>
      </c>
      <c r="E44" s="23" t="s">
        <v>997</v>
      </c>
      <c r="F44" s="23" t="s">
        <v>998</v>
      </c>
      <c r="G44" s="23" t="s">
        <v>999</v>
      </c>
      <c r="H44" s="23" t="s">
        <v>1000</v>
      </c>
      <c r="I44" s="1687" t="s">
        <v>1942</v>
      </c>
      <c r="J44" s="1687"/>
      <c r="K44" s="1687"/>
      <c r="L44" s="1687"/>
      <c r="M44" s="2362"/>
      <c r="N44" s="2363"/>
      <c r="O44" s="2364"/>
      <c r="P44" s="2341"/>
      <c r="R44" s="63"/>
      <c r="S44" s="63"/>
      <c r="T44" s="63"/>
      <c r="U44" s="63"/>
      <c r="V44" s="63"/>
      <c r="W44" s="7"/>
      <c r="X44" s="7"/>
      <c r="Y44" s="63"/>
      <c r="Z44" s="63"/>
      <c r="AA44" s="63"/>
      <c r="AB44" s="63"/>
      <c r="AC44" s="63"/>
      <c r="AD44" s="63"/>
      <c r="AE44" s="63"/>
      <c r="AF44" s="63"/>
      <c r="AG44" s="63"/>
      <c r="AH44" s="63"/>
      <c r="AI44" s="63"/>
      <c r="AJ44" s="63"/>
      <c r="AK44" s="63"/>
      <c r="AL44" s="63"/>
      <c r="AM44" s="63"/>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row>
    <row r="45" spans="1:99" ht="18" customHeight="1" x14ac:dyDescent="0.2">
      <c r="B45" s="303">
        <f>O14</f>
        <v>0</v>
      </c>
      <c r="C45" s="303">
        <f>O15</f>
        <v>0</v>
      </c>
      <c r="D45" s="303">
        <f>O16</f>
        <v>0</v>
      </c>
      <c r="E45" s="303">
        <f>O17</f>
        <v>0</v>
      </c>
      <c r="F45" s="303">
        <f>O18</f>
        <v>0</v>
      </c>
      <c r="G45" s="303">
        <f>O19</f>
        <v>0</v>
      </c>
      <c r="H45" s="303">
        <f>O20</f>
        <v>0</v>
      </c>
      <c r="I45" s="1687" t="s">
        <v>1942</v>
      </c>
      <c r="J45" s="1687"/>
      <c r="K45" s="1687"/>
      <c r="L45" s="1687"/>
      <c r="M45" s="2362"/>
      <c r="N45" s="2363"/>
      <c r="O45" s="2364"/>
      <c r="P45" s="2341"/>
      <c r="R45" s="63"/>
      <c r="S45" s="41"/>
      <c r="T45" s="131"/>
      <c r="U45" s="130"/>
      <c r="V45" s="120"/>
      <c r="W45" s="7"/>
      <c r="X45" s="7"/>
      <c r="Y45" s="63"/>
      <c r="Z45" s="63"/>
      <c r="AA45" s="63"/>
      <c r="AB45" s="63"/>
      <c r="AC45" s="63"/>
      <c r="AD45" s="63"/>
      <c r="AE45" s="63"/>
      <c r="AF45" s="63"/>
      <c r="AG45" s="63"/>
      <c r="AH45" s="63"/>
      <c r="AI45" s="63"/>
      <c r="AJ45" s="63"/>
      <c r="AK45" s="63"/>
      <c r="AL45" s="63"/>
      <c r="AM45" s="63"/>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row>
    <row r="46" spans="1:99" ht="18" customHeight="1" x14ac:dyDescent="0.2">
      <c r="B46" s="1410" t="s">
        <v>1343</v>
      </c>
      <c r="C46" s="1410"/>
      <c r="D46" s="1410"/>
      <c r="E46" s="1410"/>
      <c r="F46" s="1410"/>
      <c r="G46" s="1373">
        <f>P31</f>
        <v>0</v>
      </c>
      <c r="H46" s="1373"/>
      <c r="I46" s="1687" t="s">
        <v>1942</v>
      </c>
      <c r="J46" s="1687"/>
      <c r="K46" s="1687"/>
      <c r="L46" s="1687"/>
      <c r="M46" s="2362"/>
      <c r="N46" s="2363"/>
      <c r="O46" s="2364"/>
      <c r="P46" s="2341"/>
      <c r="R46" s="500"/>
      <c r="S46" s="41"/>
      <c r="T46" s="131"/>
      <c r="U46" s="130"/>
      <c r="V46" s="133"/>
      <c r="W46" s="63"/>
      <c r="X46" s="63"/>
      <c r="Y46" s="63"/>
      <c r="Z46" s="63"/>
      <c r="AA46" s="63"/>
      <c r="AB46" s="63"/>
      <c r="AC46" s="63"/>
      <c r="AD46" s="63"/>
      <c r="AE46" s="63"/>
      <c r="AF46" s="63"/>
      <c r="AG46" s="63"/>
      <c r="AH46" s="63"/>
      <c r="AI46" s="63"/>
      <c r="AJ46" s="63"/>
      <c r="AK46" s="63"/>
      <c r="AL46" s="63"/>
      <c r="AM46" s="63"/>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row>
    <row r="47" spans="1:99" ht="18" customHeight="1" x14ac:dyDescent="0.2">
      <c r="B47" s="1410" t="s">
        <v>596</v>
      </c>
      <c r="C47" s="1410"/>
      <c r="D47" s="1410"/>
      <c r="E47" s="1410"/>
      <c r="F47" s="1410"/>
      <c r="G47" s="1545">
        <f>P33</f>
        <v>0</v>
      </c>
      <c r="H47" s="1545"/>
      <c r="I47" s="2339"/>
      <c r="J47" s="2340"/>
      <c r="K47" s="2217">
        <f>IF(I47="",0,IF(AND(G47*I47&gt;0,G47*I47&lt;0.01),0.01,ROUND(G47*I47,2)))</f>
        <v>0</v>
      </c>
      <c r="L47" s="2217"/>
      <c r="M47" s="2365"/>
      <c r="N47" s="2366"/>
      <c r="O47" s="2367"/>
      <c r="P47" s="2341"/>
      <c r="S47" s="41"/>
      <c r="T47" s="131"/>
      <c r="U47" s="130"/>
      <c r="V47" s="133"/>
      <c r="W47" s="133"/>
      <c r="X47" s="63"/>
      <c r="Y47" s="63"/>
      <c r="Z47" s="63"/>
      <c r="AA47" s="63"/>
      <c r="AB47" s="63"/>
      <c r="AC47" s="63"/>
      <c r="AD47" s="63"/>
      <c r="AE47" s="63"/>
      <c r="AF47" s="63"/>
      <c r="AG47" s="63"/>
      <c r="AH47" s="63"/>
      <c r="AI47" s="63"/>
      <c r="AJ47" s="63"/>
      <c r="AK47" s="63"/>
      <c r="AL47" s="63"/>
      <c r="AM47" s="63"/>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row>
    <row r="48" spans="1:99" ht="18" customHeight="1" x14ac:dyDescent="0.2">
      <c r="B48" s="1555"/>
      <c r="C48" s="1555"/>
      <c r="D48" s="1555"/>
      <c r="E48" s="1555"/>
      <c r="F48" s="1555"/>
      <c r="G48" s="1555"/>
      <c r="H48" s="1555"/>
      <c r="I48" s="1555"/>
      <c r="J48" s="1555"/>
      <c r="K48" s="2369" t="s">
        <v>1593</v>
      </c>
      <c r="L48" s="2370"/>
      <c r="M48" s="2370"/>
      <c r="N48" s="2370"/>
      <c r="O48" s="2371"/>
      <c r="P48" s="2341"/>
      <c r="R48" s="41"/>
      <c r="S48" s="131"/>
      <c r="T48" s="130"/>
      <c r="U48" s="120"/>
      <c r="V48" s="133"/>
      <c r="W48" s="133"/>
      <c r="X48" s="63"/>
      <c r="Y48" s="63"/>
      <c r="Z48" s="63"/>
      <c r="AA48" s="63"/>
      <c r="AB48" s="63"/>
      <c r="AC48" s="63"/>
      <c r="AD48" s="63"/>
      <c r="AE48" s="63"/>
      <c r="AF48" s="63"/>
      <c r="AG48" s="63"/>
      <c r="AH48" s="63"/>
      <c r="AI48" s="63"/>
      <c r="AJ48" s="63"/>
      <c r="AK48" s="63"/>
      <c r="AL48" s="63"/>
      <c r="AM48" s="63"/>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row>
    <row r="49" spans="2:99" ht="12" customHeight="1" x14ac:dyDescent="0.2">
      <c r="B49" s="1395"/>
      <c r="C49" s="1395"/>
      <c r="D49" s="1395"/>
      <c r="E49" s="1395"/>
      <c r="F49" s="1395"/>
      <c r="G49" s="1395"/>
      <c r="H49" s="1395"/>
      <c r="I49" s="1395"/>
      <c r="J49" s="1395"/>
      <c r="K49" s="1395"/>
      <c r="L49" s="1395"/>
      <c r="M49" s="1395"/>
      <c r="N49" s="1395"/>
      <c r="O49" s="1395"/>
      <c r="P49" s="1395"/>
      <c r="R49" s="63"/>
      <c r="S49" s="63"/>
      <c r="T49" s="1536" t="s">
        <v>211</v>
      </c>
      <c r="U49" s="63"/>
      <c r="V49" s="63"/>
      <c r="W49" s="63"/>
      <c r="X49" s="63"/>
      <c r="Y49" s="63"/>
      <c r="Z49" s="63"/>
      <c r="AA49" s="63"/>
      <c r="AB49" s="63"/>
      <c r="AC49" s="63"/>
      <c r="AD49" s="63"/>
      <c r="AE49" s="63"/>
      <c r="AF49" s="63"/>
      <c r="AG49" s="63"/>
      <c r="AH49" s="63"/>
      <c r="AI49" s="63"/>
      <c r="AJ49" s="63"/>
      <c r="AK49" s="63"/>
      <c r="AL49" s="63"/>
      <c r="AM49" s="63"/>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row>
    <row r="50" spans="2:99" ht="26.25" customHeight="1" x14ac:dyDescent="0.2">
      <c r="B50" s="1487" t="s">
        <v>1679</v>
      </c>
      <c r="C50" s="1487"/>
      <c r="D50" s="1487"/>
      <c r="E50" s="1487"/>
      <c r="F50" s="1487"/>
      <c r="G50" s="1487"/>
      <c r="H50" s="1487"/>
      <c r="I50" s="1487"/>
      <c r="J50" s="1487"/>
      <c r="K50" s="1487"/>
      <c r="L50" s="1487"/>
      <c r="M50" s="1487"/>
      <c r="N50" s="1487"/>
      <c r="O50" s="1487"/>
      <c r="P50" s="1481">
        <f>U53</f>
        <v>0</v>
      </c>
      <c r="R50" s="63"/>
      <c r="S50" s="1194" t="s">
        <v>1598</v>
      </c>
      <c r="T50" s="1536"/>
      <c r="U50" s="1193" t="s">
        <v>1156</v>
      </c>
      <c r="V50" s="6"/>
      <c r="W50" s="125"/>
      <c r="X50" s="126"/>
      <c r="Y50" s="127"/>
      <c r="Z50" s="127"/>
      <c r="AA50" s="127"/>
      <c r="AB50" s="127"/>
      <c r="AC50" s="63"/>
      <c r="AD50" s="63"/>
      <c r="AE50" s="63"/>
      <c r="AF50" s="63"/>
      <c r="AG50" s="63"/>
      <c r="AH50" s="63"/>
      <c r="AI50" s="63"/>
      <c r="AJ50" s="63"/>
      <c r="AK50" s="63"/>
      <c r="AL50" s="63"/>
      <c r="AM50" s="63"/>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row>
    <row r="51" spans="2:99" ht="18" customHeight="1" x14ac:dyDescent="0.2">
      <c r="B51" s="1379" t="s">
        <v>447</v>
      </c>
      <c r="C51" s="1379"/>
      <c r="D51" s="1379"/>
      <c r="E51" s="1379"/>
      <c r="F51" s="1379"/>
      <c r="G51" s="1379"/>
      <c r="H51" s="1379"/>
      <c r="I51" s="1379"/>
      <c r="J51" s="1308"/>
      <c r="K51" s="1308"/>
      <c r="L51" s="185"/>
      <c r="M51" s="1365">
        <f>'Sp-Table'!N9</f>
        <v>0</v>
      </c>
      <c r="N51" s="1365"/>
      <c r="O51" s="51"/>
      <c r="P51" s="1451"/>
      <c r="R51" s="7"/>
      <c r="S51" s="17">
        <v>50</v>
      </c>
      <c r="T51" s="17" t="str">
        <f>IF(OR(J51="",J51="NA"),"",IF(J51&gt;S51,S51,IF(J51&lt;0,0,J51)))</f>
        <v/>
      </c>
      <c r="U51" s="16">
        <f>SUM(M51:M53)</f>
        <v>0</v>
      </c>
      <c r="V51" s="6"/>
      <c r="W51" s="125"/>
      <c r="X51" s="127"/>
      <c r="Y51" s="127"/>
      <c r="Z51" s="7"/>
      <c r="AA51" s="7"/>
      <c r="AB51" s="7"/>
      <c r="AC51" s="63"/>
      <c r="AD51" s="63"/>
      <c r="AE51" s="63"/>
      <c r="AF51" s="63"/>
      <c r="AG51" s="63"/>
      <c r="AH51" s="127"/>
      <c r="AI51" s="63"/>
      <c r="AJ51" s="63"/>
      <c r="AK51" s="63"/>
      <c r="AL51" s="63"/>
      <c r="AM51" s="63"/>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row>
    <row r="52" spans="2:99" ht="18" customHeight="1" x14ac:dyDescent="0.2">
      <c r="B52" s="1379" t="s">
        <v>448</v>
      </c>
      <c r="C52" s="1379"/>
      <c r="D52" s="1379"/>
      <c r="E52" s="1379"/>
      <c r="F52" s="1379"/>
      <c r="G52" s="1379"/>
      <c r="H52" s="1379"/>
      <c r="I52" s="1379"/>
      <c r="J52" s="1308"/>
      <c r="K52" s="1308"/>
      <c r="L52" s="185"/>
      <c r="M52" s="1365">
        <f>'Sp-Table'!N10</f>
        <v>0</v>
      </c>
      <c r="N52" s="1365"/>
      <c r="O52" s="51"/>
      <c r="P52" s="1451"/>
      <c r="R52" s="7"/>
      <c r="S52" s="17">
        <v>30</v>
      </c>
      <c r="T52" s="17" t="str">
        <f>IF(OR(J52="",J52="NA"),"",IF(J52&gt;S52,S52,IF(J52&lt;0,0,J52)))</f>
        <v/>
      </c>
      <c r="U52" s="43">
        <f>IF(AND(U51&gt;0,U51&lt;0.01),0.01,U51)</f>
        <v>0</v>
      </c>
      <c r="V52" s="6"/>
      <c r="W52" s="125"/>
      <c r="X52" s="126"/>
      <c r="Y52" s="127"/>
      <c r="Z52" s="127"/>
      <c r="AA52" s="127"/>
      <c r="AB52" s="127"/>
      <c r="AC52" s="63"/>
      <c r="AD52" s="63"/>
      <c r="AE52" s="63"/>
      <c r="AF52" s="63"/>
      <c r="AG52" s="63"/>
      <c r="AH52" s="63"/>
      <c r="AI52" s="63"/>
      <c r="AJ52" s="63"/>
      <c r="AK52" s="63"/>
      <c r="AL52" s="63"/>
      <c r="AM52" s="63"/>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row>
    <row r="53" spans="2:99" ht="18" customHeight="1" x14ac:dyDescent="0.2">
      <c r="B53" s="1379" t="s">
        <v>449</v>
      </c>
      <c r="C53" s="1379"/>
      <c r="D53" s="1379"/>
      <c r="E53" s="1379"/>
      <c r="F53" s="1379"/>
      <c r="G53" s="1379"/>
      <c r="H53" s="1379"/>
      <c r="I53" s="1379"/>
      <c r="J53" s="1308"/>
      <c r="K53" s="1308"/>
      <c r="L53" s="185"/>
      <c r="M53" s="1365">
        <f>'Sp-Table'!N11</f>
        <v>0</v>
      </c>
      <c r="N53" s="1365"/>
      <c r="O53" s="51"/>
      <c r="P53" s="1451"/>
      <c r="R53" s="7"/>
      <c r="S53" s="17">
        <v>30</v>
      </c>
      <c r="T53" s="17" t="str">
        <f>IF(OR(J53="",J53="NA"),"",IF(J53&gt;S53,S53,IF(J53&lt;0,0,J53)))</f>
        <v/>
      </c>
      <c r="U53" s="16">
        <f>ROUND(U52,2)</f>
        <v>0</v>
      </c>
      <c r="V53" s="6"/>
      <c r="W53" s="125"/>
      <c r="X53" s="7"/>
      <c r="Y53" s="7"/>
      <c r="Z53" s="7"/>
      <c r="AA53" s="7"/>
      <c r="AB53" s="7"/>
      <c r="AC53" s="63"/>
      <c r="AD53" s="63"/>
      <c r="AE53" s="63"/>
      <c r="AF53" s="63"/>
      <c r="AG53" s="63"/>
      <c r="AH53" s="127"/>
      <c r="AI53" s="63"/>
      <c r="AJ53" s="63"/>
      <c r="AK53" s="63"/>
      <c r="AL53" s="63"/>
      <c r="AM53" s="63"/>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row>
    <row r="54" spans="2:99" ht="18" customHeight="1" x14ac:dyDescent="0.2">
      <c r="B54" s="1791" t="s">
        <v>1934</v>
      </c>
      <c r="C54" s="1791"/>
      <c r="D54" s="1791"/>
      <c r="E54" s="1791"/>
      <c r="F54" s="1791"/>
      <c r="G54" s="1791"/>
      <c r="H54" s="1791"/>
      <c r="I54" s="1791"/>
      <c r="J54" s="1791"/>
      <c r="K54" s="1791"/>
      <c r="L54" s="1791"/>
      <c r="M54" s="1791"/>
      <c r="N54" s="1791"/>
      <c r="O54" s="1791"/>
      <c r="P54" s="1452"/>
      <c r="R54" s="7"/>
      <c r="S54" s="7"/>
      <c r="T54" s="7"/>
      <c r="U54" s="7"/>
      <c r="V54" s="6"/>
      <c r="W54" s="125"/>
      <c r="X54" s="7"/>
      <c r="Y54" s="7"/>
      <c r="Z54" s="7"/>
      <c r="AA54" s="7"/>
      <c r="AB54" s="7"/>
      <c r="AC54" s="63"/>
      <c r="AD54" s="63"/>
      <c r="AE54" s="63"/>
      <c r="AF54" s="63"/>
      <c r="AG54" s="63"/>
      <c r="AH54" s="127"/>
      <c r="AI54" s="63"/>
      <c r="AJ54" s="63"/>
      <c r="AK54" s="63"/>
      <c r="AL54" s="63"/>
      <c r="AM54" s="63"/>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row>
    <row r="55" spans="2:99" ht="18" customHeight="1" x14ac:dyDescent="0.2">
      <c r="B55" s="2244"/>
      <c r="C55" s="2244"/>
      <c r="D55" s="2244"/>
      <c r="E55" s="2244"/>
      <c r="F55" s="2244"/>
      <c r="G55" s="2244"/>
      <c r="H55" s="2244"/>
      <c r="I55" s="2244"/>
      <c r="J55" s="2244"/>
      <c r="K55" s="2244"/>
      <c r="L55" s="2244"/>
      <c r="M55" s="2244"/>
      <c r="N55" s="2244"/>
      <c r="O55" s="2244"/>
      <c r="P55" s="432"/>
      <c r="R55" s="7"/>
      <c r="S55" s="7"/>
      <c r="T55" s="7"/>
      <c r="U55" s="7"/>
      <c r="V55" s="6"/>
      <c r="W55" s="125"/>
      <c r="X55" s="7"/>
      <c r="Y55" s="7"/>
      <c r="Z55" s="7"/>
      <c r="AA55" s="7"/>
      <c r="AB55" s="7"/>
      <c r="AC55" s="63"/>
      <c r="AD55" s="63"/>
      <c r="AE55" s="63"/>
      <c r="AF55" s="63"/>
      <c r="AG55" s="63"/>
      <c r="AH55" s="127"/>
      <c r="AI55" s="63"/>
      <c r="AJ55" s="63"/>
      <c r="AK55" s="63"/>
      <c r="AL55" s="63"/>
      <c r="AM55" s="63"/>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row>
    <row r="56" spans="2:99" ht="18" customHeight="1" x14ac:dyDescent="0.2">
      <c r="B56" s="2348" t="s">
        <v>450</v>
      </c>
      <c r="C56" s="2349"/>
      <c r="D56" s="2349"/>
      <c r="E56" s="2350"/>
      <c r="F56" s="5" t="s">
        <v>451</v>
      </c>
      <c r="G56" s="1183"/>
      <c r="H56" s="26">
        <f>IF(OR(G56="NA",G56=0,G56=""),0,IF(G56/100&lt;=0.25,0.02,IF(G56/100&lt;=0.5,0.03,IF(G56/100&gt;0.5,0.05,""))))</f>
        <v>0</v>
      </c>
      <c r="I56" s="2348" t="s">
        <v>2287</v>
      </c>
      <c r="J56" s="2349"/>
      <c r="K56" s="2349"/>
      <c r="L56" s="2350"/>
      <c r="M56" s="23" t="s">
        <v>451</v>
      </c>
      <c r="N56" s="48"/>
      <c r="O56" s="57">
        <f t="shared" ref="O56:O67" si="9">IF(N56="X",0.02,0)</f>
        <v>0</v>
      </c>
      <c r="P56" s="1567"/>
      <c r="R56" s="7"/>
      <c r="U56" s="7"/>
      <c r="V56" s="6"/>
      <c r="W56" s="125"/>
      <c r="X56" s="7"/>
      <c r="Y56" s="7"/>
      <c r="Z56" s="7"/>
      <c r="AA56" s="7"/>
      <c r="AB56" s="7"/>
      <c r="AC56" s="63"/>
      <c r="AD56" s="63"/>
      <c r="AE56" s="63"/>
      <c r="AF56" s="63"/>
      <c r="AG56" s="63"/>
      <c r="AH56" s="127"/>
      <c r="AI56" s="63"/>
      <c r="AJ56" s="63"/>
      <c r="AK56" s="63"/>
      <c r="AL56" s="63"/>
      <c r="AM56" s="63"/>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row>
    <row r="57" spans="2:99" ht="18" customHeight="1" x14ac:dyDescent="0.2">
      <c r="B57" s="2351"/>
      <c r="C57" s="2352"/>
      <c r="D57" s="2352"/>
      <c r="E57" s="2353"/>
      <c r="F57" s="31" t="s">
        <v>452</v>
      </c>
      <c r="G57" s="1183"/>
      <c r="H57" s="1180">
        <f t="shared" ref="H57:H67" si="10">IF(OR(G57="NA",G57=0,G57=""),0,IF(G57/100&lt;=0.25,0.02,IF(G57/100&lt;=0.5,0.03,IF(G57/100&gt;0.5,0.05,""))))</f>
        <v>0</v>
      </c>
      <c r="I57" s="2351"/>
      <c r="J57" s="2352"/>
      <c r="K57" s="2352"/>
      <c r="L57" s="2353"/>
      <c r="M57" s="25" t="s">
        <v>452</v>
      </c>
      <c r="N57" s="1191"/>
      <c r="O57" s="57">
        <f t="shared" si="9"/>
        <v>0</v>
      </c>
      <c r="P57" s="2358"/>
      <c r="R57" s="7"/>
      <c r="U57" s="7"/>
      <c r="V57" s="6"/>
      <c r="W57" s="125"/>
      <c r="X57" s="7"/>
      <c r="Y57" s="7"/>
      <c r="Z57" s="7"/>
      <c r="AA57" s="7"/>
      <c r="AB57" s="7"/>
      <c r="AC57" s="63"/>
      <c r="AD57" s="63"/>
      <c r="AE57" s="63"/>
      <c r="AF57" s="63"/>
      <c r="AG57" s="63"/>
      <c r="AH57" s="127"/>
      <c r="AI57" s="63"/>
      <c r="AJ57" s="63"/>
      <c r="AK57" s="63"/>
      <c r="AL57" s="63"/>
      <c r="AM57" s="63"/>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row>
    <row r="58" spans="2:99" ht="18" customHeight="1" x14ac:dyDescent="0.2">
      <c r="B58" s="2351"/>
      <c r="C58" s="2352"/>
      <c r="D58" s="2352"/>
      <c r="E58" s="2353"/>
      <c r="F58" s="31" t="s">
        <v>453</v>
      </c>
      <c r="G58" s="1183"/>
      <c r="H58" s="1180">
        <f t="shared" si="10"/>
        <v>0</v>
      </c>
      <c r="I58" s="2351"/>
      <c r="J58" s="2352"/>
      <c r="K58" s="2352"/>
      <c r="L58" s="2353"/>
      <c r="M58" s="25" t="s">
        <v>453</v>
      </c>
      <c r="N58" s="1191"/>
      <c r="O58" s="57">
        <f t="shared" si="9"/>
        <v>0</v>
      </c>
      <c r="P58" s="2358"/>
      <c r="R58" s="7"/>
      <c r="S58" s="7"/>
      <c r="T58" s="7"/>
      <c r="U58" s="7"/>
      <c r="V58" s="6"/>
      <c r="W58" s="125"/>
      <c r="X58" s="7"/>
      <c r="Y58" s="7"/>
      <c r="Z58" s="7"/>
      <c r="AA58" s="7"/>
      <c r="AB58" s="7"/>
      <c r="AC58" s="63"/>
      <c r="AD58" s="63"/>
      <c r="AE58" s="63"/>
      <c r="AF58" s="63"/>
      <c r="AG58" s="63"/>
      <c r="AH58" s="127"/>
      <c r="AI58" s="63"/>
      <c r="AJ58" s="63"/>
      <c r="AK58" s="63"/>
      <c r="AL58" s="63"/>
      <c r="AM58" s="63"/>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row>
    <row r="59" spans="2:99" ht="18" customHeight="1" x14ac:dyDescent="0.2">
      <c r="B59" s="2351"/>
      <c r="C59" s="2352"/>
      <c r="D59" s="2352"/>
      <c r="E59" s="2353"/>
      <c r="F59" s="31" t="s">
        <v>454</v>
      </c>
      <c r="G59" s="1183"/>
      <c r="H59" s="1180">
        <f t="shared" si="10"/>
        <v>0</v>
      </c>
      <c r="I59" s="2351"/>
      <c r="J59" s="2352"/>
      <c r="K59" s="2352"/>
      <c r="L59" s="2353"/>
      <c r="M59" s="30" t="s">
        <v>454</v>
      </c>
      <c r="N59" s="1191"/>
      <c r="O59" s="57">
        <f t="shared" si="9"/>
        <v>0</v>
      </c>
      <c r="P59" s="2358"/>
      <c r="R59" s="7"/>
      <c r="S59" s="7"/>
      <c r="T59" s="7"/>
      <c r="U59" s="7"/>
      <c r="V59" s="6"/>
      <c r="W59" s="125"/>
      <c r="X59" s="7"/>
      <c r="Y59" s="7"/>
      <c r="Z59" s="7"/>
      <c r="AA59" s="7"/>
      <c r="AB59" s="7"/>
      <c r="AC59" s="63"/>
      <c r="AD59" s="63"/>
      <c r="AE59" s="63"/>
      <c r="AF59" s="63"/>
      <c r="AG59" s="63"/>
      <c r="AH59" s="127"/>
      <c r="AI59" s="63"/>
      <c r="AJ59" s="63"/>
      <c r="AK59" s="63"/>
      <c r="AL59" s="63"/>
      <c r="AM59" s="63"/>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row>
    <row r="60" spans="2:99" ht="18" customHeight="1" x14ac:dyDescent="0.2">
      <c r="B60" s="2351"/>
      <c r="C60" s="2352"/>
      <c r="D60" s="2352"/>
      <c r="E60" s="2353"/>
      <c r="F60" s="31" t="s">
        <v>1758</v>
      </c>
      <c r="G60" s="1183"/>
      <c r="H60" s="1180">
        <f t="shared" si="10"/>
        <v>0</v>
      </c>
      <c r="I60" s="2351"/>
      <c r="J60" s="2352"/>
      <c r="K60" s="2352"/>
      <c r="L60" s="2353"/>
      <c r="M60" s="31" t="s">
        <v>1758</v>
      </c>
      <c r="N60" s="1191"/>
      <c r="O60" s="57">
        <f t="shared" si="9"/>
        <v>0</v>
      </c>
      <c r="P60" s="2358"/>
      <c r="R60" s="7"/>
      <c r="S60" s="1206"/>
      <c r="T60" s="1206"/>
      <c r="U60" s="7"/>
      <c r="V60" s="6"/>
      <c r="W60" s="125"/>
      <c r="X60" s="7"/>
      <c r="Y60" s="7"/>
      <c r="Z60" s="7"/>
      <c r="AA60" s="7"/>
      <c r="AB60" s="7"/>
      <c r="AC60" s="63"/>
      <c r="AD60" s="63"/>
      <c r="AE60" s="63"/>
      <c r="AF60" s="63"/>
      <c r="AG60" s="63"/>
      <c r="AH60" s="127"/>
      <c r="AI60" s="63"/>
      <c r="AJ60" s="63"/>
      <c r="AK60" s="63"/>
      <c r="AL60" s="63"/>
      <c r="AM60" s="63"/>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row>
    <row r="61" spans="2:99" ht="18" customHeight="1" x14ac:dyDescent="0.2">
      <c r="B61" s="2351"/>
      <c r="C61" s="2352"/>
      <c r="D61" s="2352"/>
      <c r="E61" s="2353"/>
      <c r="F61" s="31" t="s">
        <v>1759</v>
      </c>
      <c r="G61" s="1183"/>
      <c r="H61" s="1180">
        <f t="shared" si="10"/>
        <v>0</v>
      </c>
      <c r="I61" s="2351"/>
      <c r="J61" s="2352"/>
      <c r="K61" s="2352"/>
      <c r="L61" s="2353"/>
      <c r="M61" s="32" t="s">
        <v>1759</v>
      </c>
      <c r="N61" s="1191"/>
      <c r="O61" s="57">
        <f t="shared" si="9"/>
        <v>0</v>
      </c>
      <c r="P61" s="2358"/>
      <c r="R61" s="7"/>
      <c r="S61" s="1206"/>
      <c r="T61" s="1206"/>
      <c r="U61" s="7"/>
      <c r="V61" s="6"/>
      <c r="W61" s="125"/>
      <c r="X61" s="7"/>
      <c r="Y61" s="7"/>
      <c r="Z61" s="7"/>
      <c r="AA61" s="7"/>
      <c r="AB61" s="7"/>
      <c r="AC61" s="63"/>
      <c r="AD61" s="63"/>
      <c r="AE61" s="63"/>
      <c r="AF61" s="63"/>
      <c r="AG61" s="63"/>
      <c r="AH61" s="127"/>
      <c r="AI61" s="63"/>
      <c r="AJ61" s="63"/>
      <c r="AK61" s="63"/>
      <c r="AL61" s="63"/>
      <c r="AM61" s="63"/>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row>
    <row r="62" spans="2:99" ht="18" customHeight="1" x14ac:dyDescent="0.2">
      <c r="B62" s="2351"/>
      <c r="C62" s="2352"/>
      <c r="D62" s="2352"/>
      <c r="E62" s="2353"/>
      <c r="F62" s="31" t="s">
        <v>1760</v>
      </c>
      <c r="G62" s="1183"/>
      <c r="H62" s="1180">
        <f t="shared" si="10"/>
        <v>0</v>
      </c>
      <c r="I62" s="2351"/>
      <c r="J62" s="2352"/>
      <c r="K62" s="2352"/>
      <c r="L62" s="2353"/>
      <c r="M62" s="33" t="s">
        <v>1760</v>
      </c>
      <c r="N62" s="1191"/>
      <c r="O62" s="57">
        <f t="shared" si="9"/>
        <v>0</v>
      </c>
      <c r="P62" s="2358"/>
      <c r="R62" s="7"/>
      <c r="S62" s="1206"/>
      <c r="T62" s="1206"/>
      <c r="U62" s="7"/>
      <c r="V62" s="6"/>
      <c r="W62" s="125"/>
      <c r="X62" s="7"/>
      <c r="Y62" s="7"/>
      <c r="Z62" s="7"/>
      <c r="AA62" s="7"/>
      <c r="AB62" s="7"/>
      <c r="AC62" s="63"/>
      <c r="AD62" s="63"/>
      <c r="AE62" s="63"/>
      <c r="AF62" s="63"/>
      <c r="AG62" s="63"/>
      <c r="AH62" s="127"/>
      <c r="AI62" s="63"/>
      <c r="AJ62" s="63"/>
      <c r="AK62" s="63"/>
      <c r="AL62" s="63"/>
      <c r="AM62" s="63"/>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row>
    <row r="63" spans="2:99" ht="18" customHeight="1" x14ac:dyDescent="0.2">
      <c r="B63" s="2351"/>
      <c r="C63" s="2352"/>
      <c r="D63" s="2352"/>
      <c r="E63" s="2353"/>
      <c r="F63" s="31" t="s">
        <v>1761</v>
      </c>
      <c r="G63" s="1183"/>
      <c r="H63" s="1180">
        <f t="shared" si="10"/>
        <v>0</v>
      </c>
      <c r="I63" s="2351"/>
      <c r="J63" s="2352"/>
      <c r="K63" s="2352"/>
      <c r="L63" s="2353"/>
      <c r="M63" s="46" t="s">
        <v>1761</v>
      </c>
      <c r="N63" s="1191"/>
      <c r="O63" s="57">
        <f t="shared" si="9"/>
        <v>0</v>
      </c>
      <c r="P63" s="2358"/>
      <c r="R63" s="7"/>
      <c r="S63" s="1206"/>
      <c r="T63" s="1206"/>
      <c r="U63" s="7"/>
      <c r="V63" s="6"/>
      <c r="W63" s="125"/>
      <c r="X63" s="7"/>
      <c r="Y63" s="7"/>
      <c r="Z63" s="7"/>
      <c r="AA63" s="7"/>
      <c r="AB63" s="7"/>
      <c r="AC63" s="63"/>
      <c r="AD63" s="63"/>
      <c r="AE63" s="63"/>
      <c r="AF63" s="63"/>
      <c r="AG63" s="63"/>
      <c r="AH63" s="127"/>
      <c r="AI63" s="63"/>
      <c r="AJ63" s="63"/>
      <c r="AK63" s="63"/>
      <c r="AL63" s="63"/>
      <c r="AM63" s="63"/>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row>
    <row r="64" spans="2:99" ht="18" customHeight="1" x14ac:dyDescent="0.2">
      <c r="B64" s="2351"/>
      <c r="C64" s="2352"/>
      <c r="D64" s="2352"/>
      <c r="E64" s="2353"/>
      <c r="F64" s="31" t="s">
        <v>1762</v>
      </c>
      <c r="G64" s="1183"/>
      <c r="H64" s="1180">
        <f t="shared" si="10"/>
        <v>0</v>
      </c>
      <c r="I64" s="2351"/>
      <c r="J64" s="2352"/>
      <c r="K64" s="2352"/>
      <c r="L64" s="2353"/>
      <c r="M64" s="45" t="s">
        <v>1762</v>
      </c>
      <c r="N64" s="1191"/>
      <c r="O64" s="57">
        <f t="shared" si="9"/>
        <v>0</v>
      </c>
      <c r="P64" s="2358"/>
      <c r="R64" s="7"/>
      <c r="S64" s="7"/>
      <c r="T64" s="7"/>
      <c r="U64" s="7"/>
      <c r="V64" s="6"/>
      <c r="W64" s="125"/>
      <c r="X64" s="7"/>
      <c r="Y64" s="7"/>
      <c r="Z64" s="7"/>
      <c r="AA64" s="7"/>
      <c r="AB64" s="7"/>
      <c r="AC64" s="63"/>
      <c r="AD64" s="63"/>
      <c r="AE64" s="63"/>
      <c r="AF64" s="63"/>
      <c r="AG64" s="63"/>
      <c r="AH64" s="127"/>
      <c r="AI64" s="63"/>
      <c r="AJ64" s="63"/>
      <c r="AK64" s="63"/>
      <c r="AL64" s="63"/>
      <c r="AM64" s="63"/>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row>
    <row r="65" spans="2:99" ht="18" customHeight="1" x14ac:dyDescent="0.2">
      <c r="B65" s="2351"/>
      <c r="C65" s="2352"/>
      <c r="D65" s="2352"/>
      <c r="E65" s="2353"/>
      <c r="F65" s="31" t="s">
        <v>1763</v>
      </c>
      <c r="G65" s="1183"/>
      <c r="H65" s="1180">
        <f t="shared" si="10"/>
        <v>0</v>
      </c>
      <c r="I65" s="2351"/>
      <c r="J65" s="2352"/>
      <c r="K65" s="2352"/>
      <c r="L65" s="2353"/>
      <c r="M65" s="45" t="s">
        <v>1763</v>
      </c>
      <c r="N65" s="1191"/>
      <c r="O65" s="57">
        <f t="shared" si="9"/>
        <v>0</v>
      </c>
      <c r="P65" s="2358"/>
      <c r="R65" s="7"/>
      <c r="S65" s="7"/>
      <c r="T65" s="7"/>
      <c r="U65" s="7"/>
      <c r="V65" s="6"/>
      <c r="W65" s="125"/>
      <c r="X65" s="7"/>
      <c r="Y65" s="7"/>
      <c r="Z65" s="7"/>
      <c r="AA65" s="7"/>
      <c r="AB65" s="7"/>
      <c r="AC65" s="63"/>
      <c r="AD65" s="63"/>
      <c r="AE65" s="63"/>
      <c r="AF65" s="63"/>
      <c r="AG65" s="63"/>
      <c r="AH65" s="127"/>
      <c r="AI65" s="63"/>
      <c r="AJ65" s="63"/>
      <c r="AK65" s="63"/>
      <c r="AL65" s="63"/>
      <c r="AM65" s="63"/>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row>
    <row r="66" spans="2:99" ht="18" customHeight="1" x14ac:dyDescent="0.2">
      <c r="B66" s="2351"/>
      <c r="C66" s="2352"/>
      <c r="D66" s="2352"/>
      <c r="E66" s="2353"/>
      <c r="F66" s="31" t="s">
        <v>1764</v>
      </c>
      <c r="G66" s="1183"/>
      <c r="H66" s="1180">
        <f t="shared" si="10"/>
        <v>0</v>
      </c>
      <c r="I66" s="2351"/>
      <c r="J66" s="2352"/>
      <c r="K66" s="2352"/>
      <c r="L66" s="2353"/>
      <c r="M66" s="45" t="s">
        <v>1764</v>
      </c>
      <c r="N66" s="1191"/>
      <c r="O66" s="57">
        <f t="shared" si="9"/>
        <v>0</v>
      </c>
      <c r="P66" s="2358"/>
      <c r="R66" s="7"/>
      <c r="S66" s="7"/>
      <c r="T66" s="7"/>
      <c r="U66" s="7"/>
      <c r="V66" s="6"/>
      <c r="W66" s="125"/>
      <c r="X66" s="7"/>
      <c r="Y66" s="7"/>
      <c r="Z66" s="7"/>
      <c r="AA66" s="7"/>
      <c r="AB66" s="7"/>
      <c r="AC66" s="63"/>
      <c r="AD66" s="63"/>
      <c r="AE66" s="63"/>
      <c r="AF66" s="63"/>
      <c r="AG66" s="63"/>
      <c r="AH66" s="127"/>
      <c r="AI66" s="63"/>
      <c r="AJ66" s="63"/>
      <c r="AK66" s="63"/>
      <c r="AL66" s="63"/>
      <c r="AM66" s="63"/>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row>
    <row r="67" spans="2:99" ht="18" customHeight="1" x14ac:dyDescent="0.2">
      <c r="B67" s="2354"/>
      <c r="C67" s="2355"/>
      <c r="D67" s="2355"/>
      <c r="E67" s="2356"/>
      <c r="F67" s="31" t="s">
        <v>1765</v>
      </c>
      <c r="G67" s="1183"/>
      <c r="H67" s="1180">
        <f t="shared" si="10"/>
        <v>0</v>
      </c>
      <c r="I67" s="2354"/>
      <c r="J67" s="2355"/>
      <c r="K67" s="2355"/>
      <c r="L67" s="2356"/>
      <c r="M67" s="45" t="s">
        <v>1765</v>
      </c>
      <c r="N67" s="1191"/>
      <c r="O67" s="26">
        <f t="shared" si="9"/>
        <v>0</v>
      </c>
      <c r="P67" s="1524"/>
      <c r="R67" s="7"/>
      <c r="S67" s="7"/>
      <c r="T67" s="7"/>
      <c r="U67" s="7"/>
      <c r="V67" s="6"/>
      <c r="W67" s="125"/>
      <c r="X67" s="7"/>
      <c r="Y67" s="7"/>
      <c r="Z67" s="7"/>
      <c r="AA67" s="7"/>
      <c r="AB67" s="7"/>
      <c r="AC67" s="63"/>
      <c r="AD67" s="63"/>
      <c r="AE67" s="63"/>
      <c r="AF67" s="63"/>
      <c r="AG67" s="63"/>
      <c r="AH67" s="127"/>
      <c r="AI67" s="63"/>
      <c r="AJ67" s="63"/>
      <c r="AK67" s="63"/>
      <c r="AL67" s="63"/>
      <c r="AM67" s="63"/>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row>
    <row r="68" spans="2:99" ht="18" customHeight="1" x14ac:dyDescent="0.2">
      <c r="B68" s="1487" t="s">
        <v>1766</v>
      </c>
      <c r="C68" s="1487"/>
      <c r="D68" s="1487"/>
      <c r="E68" s="1487"/>
      <c r="F68" s="1487"/>
      <c r="G68" s="1487"/>
      <c r="H68" s="1487"/>
      <c r="I68" s="1487"/>
      <c r="J68" s="1487"/>
      <c r="K68" s="1487"/>
      <c r="L68" s="1487"/>
      <c r="M68" s="1487"/>
      <c r="N68" s="1487"/>
      <c r="O68" s="1487"/>
      <c r="R68" s="63"/>
      <c r="S68" s="7"/>
      <c r="T68" s="7"/>
      <c r="U68" s="7"/>
      <c r="V68" s="6"/>
      <c r="W68" s="125"/>
      <c r="X68" s="126"/>
      <c r="Y68" s="127"/>
      <c r="Z68" s="127"/>
      <c r="AA68" s="127"/>
      <c r="AB68" s="127"/>
      <c r="AC68" s="63"/>
      <c r="AD68" s="63"/>
      <c r="AE68" s="63"/>
      <c r="AF68" s="63"/>
      <c r="AG68" s="63"/>
      <c r="AH68" s="63"/>
      <c r="AI68" s="63"/>
      <c r="AJ68" s="63"/>
      <c r="AK68" s="63"/>
      <c r="AL68" s="63"/>
      <c r="AM68" s="63"/>
    </row>
    <row r="69" spans="2:99" ht="29.25" customHeight="1" thickBot="1" x14ac:dyDescent="0.25">
      <c r="B69" s="1374" t="s">
        <v>562</v>
      </c>
      <c r="C69" s="1375"/>
      <c r="D69" s="1375"/>
      <c r="E69" s="1375"/>
      <c r="F69" s="1375"/>
      <c r="G69" s="1375"/>
      <c r="H69" s="1375"/>
      <c r="I69" s="1375"/>
      <c r="J69" s="1375"/>
      <c r="K69" s="1375"/>
      <c r="L69" s="1375"/>
      <c r="M69" s="1375"/>
      <c r="N69" s="1375"/>
      <c r="O69" s="1376"/>
      <c r="P69" s="2343" t="s">
        <v>2028</v>
      </c>
      <c r="R69" s="63"/>
      <c r="S69" s="2338" t="s">
        <v>2293</v>
      </c>
      <c r="T69" s="2338"/>
      <c r="U69" s="2338"/>
      <c r="V69" s="2338"/>
      <c r="W69" s="2338"/>
      <c r="X69" s="2338"/>
      <c r="Y69" s="2338"/>
      <c r="Z69" s="2338"/>
      <c r="AA69" s="2338"/>
      <c r="AB69" s="2338"/>
      <c r="AC69" s="2338"/>
      <c r="AD69" s="2338"/>
      <c r="AE69" s="2338"/>
      <c r="AF69" s="2338"/>
      <c r="AG69" s="2338"/>
      <c r="AH69" s="2338"/>
      <c r="AI69" s="2338"/>
      <c r="AJ69" s="2338"/>
      <c r="AK69" s="2338"/>
      <c r="AL69" s="2338"/>
      <c r="AM69" s="2338"/>
      <c r="AN69" s="2338"/>
      <c r="AO69" s="2338"/>
      <c r="AP69" s="2338"/>
      <c r="AQ69" s="2338"/>
      <c r="AR69" s="185" t="s">
        <v>776</v>
      </c>
      <c r="AS69" s="185" t="s">
        <v>777</v>
      </c>
    </row>
    <row r="70" spans="2:99" ht="15" customHeight="1" thickBot="1" x14ac:dyDescent="0.25">
      <c r="B70" s="23" t="s">
        <v>775</v>
      </c>
      <c r="C70" s="27" t="s">
        <v>451</v>
      </c>
      <c r="D70" s="27" t="s">
        <v>775</v>
      </c>
      <c r="E70" s="27" t="s">
        <v>452</v>
      </c>
      <c r="F70" s="27" t="s">
        <v>775</v>
      </c>
      <c r="G70" s="27" t="s">
        <v>453</v>
      </c>
      <c r="H70" s="27" t="s">
        <v>775</v>
      </c>
      <c r="I70" s="44" t="s">
        <v>454</v>
      </c>
      <c r="J70" s="44" t="s">
        <v>775</v>
      </c>
      <c r="K70" s="44" t="s">
        <v>1758</v>
      </c>
      <c r="L70" s="44" t="s">
        <v>775</v>
      </c>
      <c r="M70" s="44" t="s">
        <v>1759</v>
      </c>
      <c r="N70" s="27" t="s">
        <v>775</v>
      </c>
      <c r="O70" s="185"/>
      <c r="P70" s="2344"/>
      <c r="R70" s="63"/>
      <c r="S70" s="17">
        <f t="shared" ref="S70:AE70" si="11">IF(B71="X",1,0)</f>
        <v>0</v>
      </c>
      <c r="T70" s="17">
        <f t="shared" si="11"/>
        <v>0</v>
      </c>
      <c r="U70" s="17">
        <f t="shared" si="11"/>
        <v>0</v>
      </c>
      <c r="V70" s="17">
        <f t="shared" si="11"/>
        <v>0</v>
      </c>
      <c r="W70" s="17">
        <f t="shared" si="11"/>
        <v>0</v>
      </c>
      <c r="X70" s="17">
        <f t="shared" si="11"/>
        <v>0</v>
      </c>
      <c r="Y70" s="17">
        <f t="shared" si="11"/>
        <v>0</v>
      </c>
      <c r="Z70" s="17">
        <f t="shared" si="11"/>
        <v>0</v>
      </c>
      <c r="AA70" s="17">
        <f t="shared" si="11"/>
        <v>0</v>
      </c>
      <c r="AB70" s="17">
        <f t="shared" si="11"/>
        <v>0</v>
      </c>
      <c r="AC70" s="17">
        <f t="shared" si="11"/>
        <v>0</v>
      </c>
      <c r="AD70" s="17">
        <f t="shared" si="11"/>
        <v>0</v>
      </c>
      <c r="AE70" s="17">
        <f t="shared" si="11"/>
        <v>0</v>
      </c>
      <c r="AF70" s="17">
        <f t="shared" ref="AF70:AQ70" si="12">IF(B73="X",1,0)</f>
        <v>0</v>
      </c>
      <c r="AG70" s="17">
        <f t="shared" si="12"/>
        <v>0</v>
      </c>
      <c r="AH70" s="17">
        <f t="shared" si="12"/>
        <v>0</v>
      </c>
      <c r="AI70" s="17">
        <f t="shared" si="12"/>
        <v>0</v>
      </c>
      <c r="AJ70" s="17">
        <f t="shared" si="12"/>
        <v>0</v>
      </c>
      <c r="AK70" s="17">
        <f t="shared" si="12"/>
        <v>0</v>
      </c>
      <c r="AL70" s="17">
        <f t="shared" si="12"/>
        <v>0</v>
      </c>
      <c r="AM70" s="17">
        <f t="shared" si="12"/>
        <v>0</v>
      </c>
      <c r="AN70" s="185">
        <f t="shared" si="12"/>
        <v>0</v>
      </c>
      <c r="AO70" s="185">
        <f t="shared" si="12"/>
        <v>0</v>
      </c>
      <c r="AP70" s="185">
        <f t="shared" si="12"/>
        <v>0</v>
      </c>
      <c r="AQ70" s="185">
        <f t="shared" si="12"/>
        <v>0</v>
      </c>
      <c r="AR70" s="185">
        <f>SUM(T70,V70,X70,Z70,AB70,AD70,AF70,AH70,AJ70,AL70,AN70,AP70)</f>
        <v>0</v>
      </c>
      <c r="AS70" s="376">
        <f>SUM(S70,U70,W70,Y70,AA70,AC70,AE70,AG70,AI70,AK70,AM70,AO70,AQ70)</f>
        <v>0</v>
      </c>
      <c r="AT70" s="521">
        <f>IF(AND(AR70=0,AS70=0),0,0.04)</f>
        <v>0</v>
      </c>
      <c r="AU70" s="28" t="str">
        <f>IF(AR70&gt;2,(AR70-2)*0.01,"")</f>
        <v/>
      </c>
      <c r="AV70" s="521" t="str">
        <f>IF(AS70&gt;1,(AS70-1)*0.01,"")</f>
        <v/>
      </c>
      <c r="AW70" s="522">
        <f>SUM(AT70:AV70)</f>
        <v>0</v>
      </c>
    </row>
    <row r="71" spans="2:99" ht="15" customHeight="1" x14ac:dyDescent="0.2">
      <c r="B71" s="48"/>
      <c r="C71" s="1211"/>
      <c r="D71" s="1211"/>
      <c r="E71" s="1211"/>
      <c r="F71" s="1211"/>
      <c r="G71" s="1211"/>
      <c r="H71" s="1211"/>
      <c r="I71" s="1211"/>
      <c r="J71" s="1211"/>
      <c r="K71" s="1211"/>
      <c r="L71" s="1211"/>
      <c r="M71" s="1211"/>
      <c r="N71" s="1211"/>
      <c r="O71" s="52"/>
      <c r="P71" s="2344"/>
      <c r="R71" s="63"/>
      <c r="U71" s="7"/>
      <c r="V71" s="6"/>
      <c r="W71" s="125"/>
      <c r="X71" s="126"/>
      <c r="Y71" s="127"/>
      <c r="Z71" s="127"/>
      <c r="AA71" s="127"/>
      <c r="AB71" s="127"/>
      <c r="AC71" s="63"/>
      <c r="AD71" s="63"/>
      <c r="AE71" s="63"/>
      <c r="AF71" s="63"/>
      <c r="AG71" s="63"/>
      <c r="AH71" s="63"/>
      <c r="AI71" s="63"/>
      <c r="AJ71" s="63"/>
      <c r="AK71" s="63"/>
      <c r="AL71" s="63"/>
      <c r="AM71" s="63"/>
    </row>
    <row r="72" spans="2:99" ht="15" customHeight="1" x14ac:dyDescent="0.2">
      <c r="B72" s="23" t="s">
        <v>1760</v>
      </c>
      <c r="C72" s="27" t="s">
        <v>775</v>
      </c>
      <c r="D72" s="27" t="s">
        <v>1761</v>
      </c>
      <c r="E72" s="27" t="s">
        <v>775</v>
      </c>
      <c r="F72" s="27" t="s">
        <v>1762</v>
      </c>
      <c r="G72" s="27" t="s">
        <v>775</v>
      </c>
      <c r="H72" s="27" t="s">
        <v>1763</v>
      </c>
      <c r="I72" s="44" t="s">
        <v>775</v>
      </c>
      <c r="J72" s="44" t="s">
        <v>1764</v>
      </c>
      <c r="K72" s="44" t="s">
        <v>775</v>
      </c>
      <c r="L72" s="44" t="s">
        <v>1765</v>
      </c>
      <c r="M72" s="44" t="s">
        <v>775</v>
      </c>
      <c r="N72" s="1555" t="s">
        <v>778</v>
      </c>
      <c r="O72" s="1555"/>
      <c r="P72" s="2344"/>
      <c r="R72" s="7"/>
      <c r="S72" s="7"/>
      <c r="T72" s="1192"/>
      <c r="U72" s="7"/>
      <c r="V72" s="6"/>
      <c r="W72" s="125"/>
      <c r="X72" s="126"/>
      <c r="Y72" s="127"/>
      <c r="Z72" s="127"/>
      <c r="AA72" s="127"/>
      <c r="AB72" s="127"/>
      <c r="AC72" s="63"/>
      <c r="AD72" s="63"/>
      <c r="AE72" s="63"/>
      <c r="AF72" s="63"/>
      <c r="AG72" s="63"/>
      <c r="AH72" s="63"/>
      <c r="AI72" s="63"/>
      <c r="AJ72" s="63"/>
      <c r="AK72" s="63"/>
      <c r="AL72" s="63"/>
      <c r="AM72" s="63"/>
    </row>
    <row r="73" spans="2:99" ht="15" customHeight="1" x14ac:dyDescent="0.2">
      <c r="B73" s="1211"/>
      <c r="C73" s="1211"/>
      <c r="D73" s="1211"/>
      <c r="E73" s="1211"/>
      <c r="F73" s="1211"/>
      <c r="G73" s="1211"/>
      <c r="H73" s="1211"/>
      <c r="I73" s="1211"/>
      <c r="J73" s="1211"/>
      <c r="K73" s="1211"/>
      <c r="L73" s="1211"/>
      <c r="M73" s="1211"/>
      <c r="N73" s="1373">
        <f>AW70</f>
        <v>0</v>
      </c>
      <c r="O73" s="1373"/>
      <c r="P73" s="2344"/>
      <c r="R73" s="63"/>
      <c r="S73" s="1195"/>
      <c r="T73" s="1195"/>
      <c r="U73" s="7"/>
      <c r="V73" s="6"/>
      <c r="W73" s="125"/>
      <c r="X73" s="126"/>
      <c r="Y73" s="127"/>
      <c r="Z73" s="127"/>
      <c r="AA73" s="127"/>
      <c r="AB73" s="127"/>
      <c r="AC73" s="63"/>
      <c r="AD73" s="63"/>
      <c r="AE73" s="63"/>
      <c r="AF73" s="63"/>
      <c r="AG73" s="63"/>
      <c r="AH73" s="63"/>
      <c r="AI73" s="63"/>
      <c r="AJ73" s="63"/>
      <c r="AK73" s="63"/>
      <c r="AL73" s="63"/>
      <c r="AM73" s="63"/>
    </row>
    <row r="74" spans="2:99" ht="29.25" customHeight="1" x14ac:dyDescent="0.2">
      <c r="B74" s="1374" t="s">
        <v>353</v>
      </c>
      <c r="C74" s="1375"/>
      <c r="D74" s="1375"/>
      <c r="E74" s="1375"/>
      <c r="F74" s="1375"/>
      <c r="G74" s="1375"/>
      <c r="H74" s="1375"/>
      <c r="I74" s="1375"/>
      <c r="J74" s="1375"/>
      <c r="K74" s="1375"/>
      <c r="L74" s="1375"/>
      <c r="M74" s="1375"/>
      <c r="N74" s="1375"/>
      <c r="O74" s="1376"/>
      <c r="P74" s="2344"/>
      <c r="R74" s="63"/>
      <c r="S74" s="1195"/>
      <c r="T74" s="1195"/>
      <c r="U74" s="1195"/>
      <c r="V74" s="1195"/>
      <c r="W74" s="1195"/>
      <c r="X74" s="1195"/>
      <c r="Y74" s="1195"/>
      <c r="Z74" s="1195"/>
      <c r="AA74" s="1195"/>
      <c r="AB74" s="1195"/>
      <c r="AC74" s="1195"/>
      <c r="AD74" s="1195"/>
      <c r="AE74" s="1195"/>
      <c r="AF74" s="1195"/>
      <c r="AG74" s="1195"/>
      <c r="AH74" s="1195"/>
      <c r="AI74" s="1195"/>
      <c r="AJ74" s="1195"/>
      <c r="AK74" s="63"/>
      <c r="AL74" s="63"/>
      <c r="AM74" s="63"/>
    </row>
    <row r="75" spans="2:99" ht="18" customHeight="1" x14ac:dyDescent="0.2">
      <c r="B75" s="23" t="s">
        <v>775</v>
      </c>
      <c r="C75" s="27" t="s">
        <v>451</v>
      </c>
      <c r="D75" s="27" t="s">
        <v>775</v>
      </c>
      <c r="E75" s="27" t="s">
        <v>452</v>
      </c>
      <c r="F75" s="27" t="s">
        <v>775</v>
      </c>
      <c r="G75" s="27" t="s">
        <v>453</v>
      </c>
      <c r="H75" s="27" t="s">
        <v>775</v>
      </c>
      <c r="I75" s="44" t="s">
        <v>454</v>
      </c>
      <c r="J75" s="44" t="s">
        <v>775</v>
      </c>
      <c r="K75" s="44" t="s">
        <v>1758</v>
      </c>
      <c r="L75" s="44" t="s">
        <v>775</v>
      </c>
      <c r="M75" s="44" t="s">
        <v>1759</v>
      </c>
      <c r="N75" s="27" t="s">
        <v>775</v>
      </c>
      <c r="O75" s="51"/>
      <c r="P75" s="2344"/>
      <c r="R75" s="63"/>
      <c r="S75" s="7"/>
      <c r="T75" s="1192"/>
      <c r="U75" s="7"/>
      <c r="V75" s="7"/>
      <c r="W75" s="7"/>
      <c r="X75" s="7"/>
      <c r="Y75" s="7"/>
      <c r="Z75" s="7"/>
      <c r="AA75" s="7"/>
      <c r="AB75" s="7"/>
      <c r="AC75" s="7"/>
      <c r="AD75" s="7"/>
      <c r="AE75" s="129"/>
      <c r="AF75" s="129"/>
      <c r="AG75" s="41"/>
      <c r="AH75" s="41"/>
      <c r="AI75" s="41"/>
      <c r="AJ75" s="130"/>
      <c r="AK75" s="63"/>
      <c r="AL75" s="63"/>
      <c r="AM75" s="63"/>
    </row>
    <row r="76" spans="2:99" ht="15" customHeight="1" x14ac:dyDescent="0.2">
      <c r="B76" s="48"/>
      <c r="C76" s="48"/>
      <c r="D76" s="48"/>
      <c r="E76" s="48"/>
      <c r="F76" s="48"/>
      <c r="G76" s="48"/>
      <c r="H76" s="48"/>
      <c r="I76" s="48"/>
      <c r="J76" s="48"/>
      <c r="K76" s="48"/>
      <c r="L76" s="48"/>
      <c r="M76" s="48"/>
      <c r="N76" s="48"/>
      <c r="O76" s="51"/>
      <c r="P76" s="2344"/>
      <c r="R76" s="63"/>
      <c r="T76" s="1195"/>
      <c r="Z76" s="7"/>
      <c r="AA76" s="7"/>
      <c r="AB76" s="7"/>
      <c r="AC76" s="7"/>
      <c r="AD76" s="7"/>
      <c r="AE76" s="129"/>
      <c r="AF76" s="129"/>
      <c r="AG76" s="41"/>
      <c r="AH76" s="41"/>
      <c r="AI76" s="41"/>
      <c r="AJ76" s="130"/>
      <c r="AK76" s="63"/>
      <c r="AL76" s="63"/>
      <c r="AM76" s="63"/>
    </row>
    <row r="77" spans="2:99" ht="14.25" customHeight="1" x14ac:dyDescent="0.2">
      <c r="B77" s="26">
        <f t="shared" ref="B77:N77" si="13">IF(OR(B76="",B76="NA"),0,B76*0.01)</f>
        <v>0</v>
      </c>
      <c r="C77" s="26">
        <f t="shared" si="13"/>
        <v>0</v>
      </c>
      <c r="D77" s="26">
        <f t="shared" si="13"/>
        <v>0</v>
      </c>
      <c r="E77" s="26">
        <f t="shared" si="13"/>
        <v>0</v>
      </c>
      <c r="F77" s="26">
        <f t="shared" si="13"/>
        <v>0</v>
      </c>
      <c r="G77" s="26">
        <f t="shared" si="13"/>
        <v>0</v>
      </c>
      <c r="H77" s="26">
        <f t="shared" si="13"/>
        <v>0</v>
      </c>
      <c r="I77" s="26">
        <f t="shared" si="13"/>
        <v>0</v>
      </c>
      <c r="J77" s="26">
        <f t="shared" si="13"/>
        <v>0</v>
      </c>
      <c r="K77" s="26">
        <f t="shared" si="13"/>
        <v>0</v>
      </c>
      <c r="L77" s="26">
        <f t="shared" si="13"/>
        <v>0</v>
      </c>
      <c r="M77" s="26">
        <f t="shared" si="13"/>
        <v>0</v>
      </c>
      <c r="N77" s="26">
        <f t="shared" si="13"/>
        <v>0</v>
      </c>
      <c r="O77" s="51"/>
      <c r="P77" s="2344"/>
      <c r="R77" s="63"/>
      <c r="Z77" s="127"/>
      <c r="AA77" s="127"/>
      <c r="AB77" s="127"/>
      <c r="AC77" s="63"/>
      <c r="AD77" s="63"/>
      <c r="AE77" s="63"/>
      <c r="AF77" s="63"/>
      <c r="AG77" s="63"/>
      <c r="AH77" s="63"/>
      <c r="AI77" s="63"/>
      <c r="AJ77" s="63"/>
      <c r="AK77" s="63"/>
      <c r="AL77" s="63"/>
      <c r="AM77" s="63"/>
    </row>
    <row r="78" spans="2:99" ht="18" customHeight="1" x14ac:dyDescent="0.2">
      <c r="B78" s="23" t="s">
        <v>1760</v>
      </c>
      <c r="C78" s="27" t="s">
        <v>775</v>
      </c>
      <c r="D78" s="27" t="s">
        <v>1761</v>
      </c>
      <c r="E78" s="27" t="s">
        <v>775</v>
      </c>
      <c r="F78" s="27" t="s">
        <v>1762</v>
      </c>
      <c r="G78" s="27" t="s">
        <v>775</v>
      </c>
      <c r="H78" s="27" t="s">
        <v>1763</v>
      </c>
      <c r="I78" s="44" t="s">
        <v>775</v>
      </c>
      <c r="J78" s="44" t="s">
        <v>1764</v>
      </c>
      <c r="K78" s="44" t="s">
        <v>775</v>
      </c>
      <c r="L78" s="44" t="s">
        <v>1765</v>
      </c>
      <c r="M78" s="44" t="s">
        <v>775</v>
      </c>
      <c r="N78" s="51"/>
      <c r="O78" s="51"/>
      <c r="P78" s="2344"/>
      <c r="R78" s="7"/>
      <c r="S78" s="1214"/>
      <c r="T78" s="1214"/>
      <c r="U78" s="1214"/>
      <c r="V78" s="1214"/>
      <c r="W78" s="1214"/>
      <c r="X78" s="1214"/>
      <c r="Y78" s="7"/>
      <c r="Z78" s="7"/>
      <c r="AA78" s="7"/>
      <c r="AB78" s="7"/>
      <c r="AC78" s="63"/>
      <c r="AD78" s="63"/>
      <c r="AE78" s="63"/>
      <c r="AF78" s="63"/>
      <c r="AG78" s="63"/>
      <c r="AH78" s="127"/>
      <c r="AI78" s="63"/>
      <c r="AJ78" s="63"/>
      <c r="AK78" s="63"/>
      <c r="AL78" s="63"/>
      <c r="AM78" s="63"/>
    </row>
    <row r="79" spans="2:99" ht="15" customHeight="1" x14ac:dyDescent="0.2">
      <c r="B79" s="48"/>
      <c r="C79" s="48"/>
      <c r="D79" s="48"/>
      <c r="E79" s="48"/>
      <c r="F79" s="48"/>
      <c r="G79" s="48"/>
      <c r="H79" s="48"/>
      <c r="I79" s="48"/>
      <c r="J79" s="48"/>
      <c r="K79" s="48"/>
      <c r="L79" s="48"/>
      <c r="M79" s="48"/>
      <c r="N79" s="1555" t="s">
        <v>778</v>
      </c>
      <c r="O79" s="1555"/>
      <c r="P79" s="662"/>
      <c r="R79" s="7"/>
      <c r="S79" s="1214"/>
      <c r="T79" s="1214"/>
      <c r="U79" s="1214"/>
      <c r="V79" s="1214"/>
      <c r="W79" s="1214"/>
      <c r="X79" s="1214"/>
      <c r="Y79" s="1192"/>
      <c r="Z79" s="7"/>
      <c r="AA79" s="7"/>
      <c r="AB79" s="7"/>
      <c r="AC79" s="63"/>
      <c r="AD79" s="63"/>
      <c r="AE79" s="63"/>
      <c r="AF79" s="63"/>
      <c r="AG79" s="63"/>
      <c r="AH79" s="127"/>
      <c r="AI79" s="63"/>
      <c r="AJ79" s="63"/>
      <c r="AK79" s="63"/>
      <c r="AL79" s="63"/>
      <c r="AM79" s="63"/>
    </row>
    <row r="80" spans="2:99" ht="15" customHeight="1" x14ac:dyDescent="0.2">
      <c r="B80" s="57">
        <f t="shared" ref="B80:M80" si="14">IF(OR(B79="",B79="NA"),0,B79*0.01)</f>
        <v>0</v>
      </c>
      <c r="C80" s="57">
        <f t="shared" si="14"/>
        <v>0</v>
      </c>
      <c r="D80" s="57">
        <f t="shared" si="14"/>
        <v>0</v>
      </c>
      <c r="E80" s="57">
        <f t="shared" si="14"/>
        <v>0</v>
      </c>
      <c r="F80" s="57">
        <f t="shared" si="14"/>
        <v>0</v>
      </c>
      <c r="G80" s="57">
        <f t="shared" si="14"/>
        <v>0</v>
      </c>
      <c r="H80" s="57">
        <f t="shared" si="14"/>
        <v>0</v>
      </c>
      <c r="I80" s="57">
        <f t="shared" si="14"/>
        <v>0</v>
      </c>
      <c r="J80" s="57">
        <f t="shared" si="14"/>
        <v>0</v>
      </c>
      <c r="K80" s="57">
        <f t="shared" si="14"/>
        <v>0</v>
      </c>
      <c r="L80" s="57">
        <f t="shared" si="14"/>
        <v>0</v>
      </c>
      <c r="M80" s="57">
        <f t="shared" si="14"/>
        <v>0</v>
      </c>
      <c r="N80" s="1481">
        <f>SUM(B77:N77,B80:M80)</f>
        <v>0</v>
      </c>
      <c r="O80" s="1481"/>
      <c r="P80" s="663"/>
      <c r="R80" s="7"/>
      <c r="S80" s="63"/>
      <c r="T80" s="7"/>
      <c r="U80" s="7"/>
      <c r="V80" s="6"/>
      <c r="W80" s="125"/>
      <c r="X80" s="126"/>
      <c r="Y80" s="127"/>
      <c r="Z80" s="7"/>
      <c r="AA80" s="7"/>
      <c r="AB80" s="7"/>
      <c r="AC80" s="63"/>
      <c r="AD80" s="63"/>
      <c r="AE80" s="63"/>
      <c r="AF80" s="63"/>
      <c r="AG80" s="63"/>
      <c r="AH80" s="127"/>
      <c r="AI80" s="63"/>
      <c r="AJ80" s="63"/>
      <c r="AK80" s="63"/>
      <c r="AL80" s="63"/>
      <c r="AM80" s="63"/>
    </row>
    <row r="81" spans="1:99" ht="18" customHeight="1" x14ac:dyDescent="0.2">
      <c r="B81" s="1791" t="s">
        <v>34</v>
      </c>
      <c r="C81" s="1791"/>
      <c r="D81" s="1791"/>
      <c r="E81" s="1791"/>
      <c r="F81" s="1791"/>
      <c r="G81" s="1791"/>
      <c r="H81" s="1791"/>
      <c r="I81" s="1791"/>
      <c r="J81" s="1791"/>
      <c r="K81" s="1791"/>
      <c r="L81" s="1791"/>
      <c r="M81" s="1791"/>
      <c r="N81" s="1791"/>
      <c r="O81" s="1791"/>
      <c r="P81" s="303">
        <f>N73+N80</f>
        <v>0</v>
      </c>
      <c r="R81" s="7"/>
      <c r="S81" s="7"/>
      <c r="T81" s="7"/>
      <c r="U81" s="7"/>
      <c r="V81" s="6"/>
      <c r="W81" s="125"/>
      <c r="X81" s="7"/>
      <c r="Y81" s="7"/>
      <c r="Z81" s="7"/>
      <c r="AA81" s="7"/>
      <c r="AB81" s="7"/>
      <c r="AC81" s="63"/>
      <c r="AD81" s="63"/>
      <c r="AE81" s="63"/>
      <c r="AF81" s="63"/>
      <c r="AG81" s="63"/>
      <c r="AH81" s="127"/>
      <c r="AI81" s="63"/>
      <c r="AJ81" s="63"/>
      <c r="AK81" s="63"/>
      <c r="AL81" s="63"/>
      <c r="AM81" s="63"/>
    </row>
    <row r="82" spans="1:99" ht="12" customHeight="1" x14ac:dyDescent="0.2">
      <c r="B82" s="127"/>
      <c r="C82" s="127"/>
      <c r="D82" s="127"/>
      <c r="E82" s="127"/>
      <c r="F82" s="127"/>
      <c r="G82" s="127"/>
      <c r="H82" s="127"/>
      <c r="I82" s="127"/>
      <c r="J82" s="127"/>
      <c r="K82" s="127"/>
      <c r="L82" s="127"/>
      <c r="M82" s="127"/>
      <c r="N82" s="127"/>
      <c r="O82" s="127"/>
      <c r="P82" s="11"/>
      <c r="R82" s="7"/>
      <c r="S82" s="7"/>
      <c r="T82" s="7"/>
      <c r="U82" s="7"/>
      <c r="V82" s="6"/>
      <c r="W82" s="125"/>
      <c r="X82" s="7"/>
      <c r="Y82" s="7"/>
      <c r="Z82" s="7"/>
      <c r="AA82" s="7"/>
      <c r="AB82" s="7"/>
      <c r="AC82" s="63"/>
      <c r="AD82" s="63"/>
      <c r="AE82" s="63"/>
      <c r="AF82" s="63"/>
      <c r="AG82" s="63"/>
      <c r="AH82" s="127"/>
      <c r="AI82" s="63"/>
      <c r="AJ82" s="63"/>
      <c r="AK82" s="63"/>
      <c r="AL82" s="63"/>
      <c r="AM82" s="63"/>
    </row>
    <row r="83" spans="1:99" ht="18" customHeight="1" x14ac:dyDescent="0.2">
      <c r="B83" s="1860" t="s">
        <v>596</v>
      </c>
      <c r="C83" s="1959"/>
      <c r="D83" s="1959"/>
      <c r="E83" s="1959"/>
      <c r="F83" s="1959"/>
      <c r="G83" s="1959"/>
      <c r="H83" s="1959"/>
      <c r="I83" s="1959"/>
      <c r="J83" s="1959"/>
      <c r="K83" s="1959"/>
      <c r="L83" s="1959"/>
      <c r="M83" s="1959"/>
      <c r="N83" s="1959"/>
      <c r="O83" s="1959"/>
      <c r="P83" s="1612">
        <f>IF(R85=1,0.05,0)</f>
        <v>0</v>
      </c>
      <c r="R83" s="63"/>
      <c r="S83" s="63"/>
      <c r="T83" s="63"/>
      <c r="U83" s="63"/>
      <c r="V83" s="63"/>
      <c r="W83" s="63"/>
      <c r="X83" s="63"/>
      <c r="Y83" s="63"/>
      <c r="Z83" s="63"/>
      <c r="AA83" s="63"/>
      <c r="AB83" s="63"/>
      <c r="AC83" s="63"/>
      <c r="AD83" s="63"/>
      <c r="AE83" s="63"/>
      <c r="AF83" s="63"/>
      <c r="AG83" s="63"/>
      <c r="AH83" s="63"/>
      <c r="AI83" s="63"/>
      <c r="AJ83" s="63"/>
      <c r="AK83" s="63"/>
      <c r="AL83" s="63"/>
      <c r="AM83" s="63"/>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row>
    <row r="84" spans="1:99" ht="42.75" customHeight="1" x14ac:dyDescent="0.2">
      <c r="B84" s="1379" t="s">
        <v>1875</v>
      </c>
      <c r="C84" s="1379"/>
      <c r="D84" s="1379"/>
      <c r="E84" s="1379"/>
      <c r="F84" s="1379"/>
      <c r="G84" s="1379"/>
      <c r="H84" s="1379"/>
      <c r="I84" s="1379"/>
      <c r="J84" s="1379"/>
      <c r="K84" s="1379"/>
      <c r="L84" s="1379"/>
      <c r="M84" s="1379"/>
      <c r="N84" s="1379"/>
      <c r="O84" s="1379"/>
      <c r="P84" s="1732"/>
      <c r="R84" s="1189" t="s">
        <v>2304</v>
      </c>
      <c r="S84" s="63"/>
      <c r="T84" s="63"/>
      <c r="U84" s="63"/>
      <c r="V84" s="63"/>
      <c r="W84" s="63"/>
      <c r="X84" s="63"/>
      <c r="Y84" s="63"/>
      <c r="Z84" s="63"/>
      <c r="AA84" s="63"/>
      <c r="AB84" s="63"/>
      <c r="AC84" s="63"/>
      <c r="AD84" s="63"/>
      <c r="AE84" s="63"/>
      <c r="AF84" s="63"/>
      <c r="AG84" s="63"/>
      <c r="AH84" s="63"/>
      <c r="AI84" s="63"/>
      <c r="AJ84" s="63"/>
      <c r="AK84" s="63"/>
      <c r="AL84" s="63"/>
      <c r="AM84" s="63"/>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row>
    <row r="85" spans="1:99" ht="21.75" customHeight="1" x14ac:dyDescent="0.2">
      <c r="A85" s="189"/>
      <c r="B85" s="1410" t="s">
        <v>948</v>
      </c>
      <c r="C85" s="1410"/>
      <c r="D85" s="1410"/>
      <c r="E85" s="1410"/>
      <c r="F85" s="1410"/>
      <c r="G85" s="1410"/>
      <c r="H85" s="1410"/>
      <c r="I85" s="1410"/>
      <c r="J85" s="1410"/>
      <c r="K85" s="1639"/>
      <c r="L85" s="1639"/>
      <c r="M85" s="1639"/>
      <c r="N85" s="1639"/>
      <c r="O85" s="1639"/>
      <c r="P85" s="1733"/>
      <c r="R85" s="1005">
        <v>2</v>
      </c>
      <c r="S85" s="63"/>
      <c r="T85" s="63"/>
      <c r="U85" s="63"/>
      <c r="V85" s="63"/>
      <c r="W85" s="63"/>
      <c r="X85" s="63"/>
      <c r="Y85" s="63"/>
      <c r="Z85" s="63"/>
      <c r="AA85" s="63"/>
      <c r="AB85" s="63"/>
      <c r="AC85" s="63"/>
      <c r="AD85" s="63"/>
      <c r="AE85" s="63"/>
      <c r="AF85" s="63"/>
      <c r="AG85" s="63"/>
      <c r="AH85" s="63"/>
      <c r="AI85" s="63"/>
      <c r="AJ85" s="63"/>
      <c r="AK85" s="63"/>
      <c r="AL85" s="63"/>
      <c r="AM85" s="63"/>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row>
    <row r="86" spans="1:99" ht="12" customHeight="1" x14ac:dyDescent="0.2">
      <c r="B86" s="1602"/>
      <c r="C86" s="1602"/>
      <c r="D86" s="1602"/>
      <c r="E86" s="1602"/>
      <c r="F86" s="1602"/>
      <c r="G86" s="1602"/>
      <c r="H86" s="1602"/>
      <c r="I86" s="1602"/>
      <c r="J86" s="1602"/>
      <c r="K86" s="1602"/>
      <c r="L86" s="1602"/>
      <c r="M86" s="1602"/>
      <c r="N86" s="1602"/>
      <c r="O86" s="1602"/>
      <c r="P86" s="1602"/>
      <c r="Q86" s="3"/>
      <c r="R86" s="7"/>
      <c r="S86" s="7"/>
      <c r="T86" s="7"/>
      <c r="U86" s="7"/>
      <c r="V86" s="6"/>
      <c r="W86" s="125"/>
      <c r="X86" s="7"/>
      <c r="Y86" s="7"/>
      <c r="Z86" s="7"/>
      <c r="AA86" s="7"/>
      <c r="AB86" s="7"/>
      <c r="AC86" s="63"/>
      <c r="AD86" s="63"/>
      <c r="AE86" s="63"/>
      <c r="AF86" s="63"/>
      <c r="AG86" s="63"/>
      <c r="AH86" s="127"/>
      <c r="AI86" s="63"/>
      <c r="AJ86" s="63"/>
      <c r="AK86" s="63"/>
      <c r="AL86" s="63"/>
      <c r="AM86" s="63"/>
    </row>
    <row r="87" spans="1:99" ht="27" customHeight="1" x14ac:dyDescent="0.2">
      <c r="B87" s="1356" t="s">
        <v>59</v>
      </c>
      <c r="C87" s="1356"/>
      <c r="D87" s="1356"/>
      <c r="E87" s="1356"/>
      <c r="F87" s="1356"/>
      <c r="G87" s="1356"/>
      <c r="H87" s="1356"/>
      <c r="I87" s="1687" t="s">
        <v>1525</v>
      </c>
      <c r="J87" s="1534"/>
      <c r="K87" s="1534"/>
      <c r="L87" s="1534"/>
      <c r="M87" s="1959"/>
      <c r="N87" s="1959"/>
      <c r="O87" s="1959"/>
      <c r="P87" s="2341">
        <f>AR90</f>
        <v>0</v>
      </c>
      <c r="R87" s="1190" t="s">
        <v>1865</v>
      </c>
      <c r="S87" s="1204">
        <f>IF(K88&gt;0,K88,G88)</f>
        <v>0</v>
      </c>
      <c r="T87" s="61">
        <f t="shared" ref="T87:Y87" si="15">C91</f>
        <v>0</v>
      </c>
      <c r="U87" s="61">
        <f t="shared" si="15"/>
        <v>0</v>
      </c>
      <c r="V87" s="61">
        <f t="shared" si="15"/>
        <v>0</v>
      </c>
      <c r="W87" s="61">
        <f t="shared" si="15"/>
        <v>0</v>
      </c>
      <c r="X87" s="61">
        <f t="shared" si="15"/>
        <v>0</v>
      </c>
      <c r="Y87" s="61">
        <f t="shared" si="15"/>
        <v>0</v>
      </c>
      <c r="Z87" s="61">
        <f t="shared" ref="Z87:AE87" si="16">C93</f>
        <v>0</v>
      </c>
      <c r="AA87" s="61">
        <f t="shared" si="16"/>
        <v>0</v>
      </c>
      <c r="AB87" s="61">
        <f t="shared" si="16"/>
        <v>0</v>
      </c>
      <c r="AC87" s="61">
        <f t="shared" si="16"/>
        <v>0</v>
      </c>
      <c r="AD87" s="61">
        <f t="shared" si="16"/>
        <v>0</v>
      </c>
      <c r="AE87" s="61">
        <f t="shared" si="16"/>
        <v>0</v>
      </c>
      <c r="AF87" s="61">
        <f t="shared" ref="AF87:AK87" si="17">C96</f>
        <v>0</v>
      </c>
      <c r="AG87" s="61">
        <f t="shared" si="17"/>
        <v>0</v>
      </c>
      <c r="AH87" s="61">
        <f t="shared" si="17"/>
        <v>0</v>
      </c>
      <c r="AI87" s="61">
        <f t="shared" si="17"/>
        <v>0</v>
      </c>
      <c r="AJ87" s="61">
        <f t="shared" si="17"/>
        <v>0</v>
      </c>
      <c r="AK87" s="61">
        <f t="shared" si="17"/>
        <v>0</v>
      </c>
      <c r="AL87" s="61">
        <f t="shared" ref="AL87:AQ87" si="18">C98</f>
        <v>0</v>
      </c>
      <c r="AM87" s="61">
        <f t="shared" si="18"/>
        <v>0</v>
      </c>
      <c r="AN87" s="61">
        <f t="shared" si="18"/>
        <v>0</v>
      </c>
      <c r="AO87" s="61">
        <f t="shared" si="18"/>
        <v>0</v>
      </c>
      <c r="AP87" s="61">
        <f t="shared" si="18"/>
        <v>0</v>
      </c>
      <c r="AQ87" s="61">
        <f t="shared" si="18"/>
        <v>0</v>
      </c>
      <c r="AR87" s="479">
        <f>G99</f>
        <v>0</v>
      </c>
      <c r="AS87" s="1204">
        <f>IF(K100&gt;0,K100,G100)</f>
        <v>0</v>
      </c>
    </row>
    <row r="88" spans="1:99" ht="18" customHeight="1" x14ac:dyDescent="0.2">
      <c r="B88" s="1410" t="s">
        <v>1959</v>
      </c>
      <c r="C88" s="1410"/>
      <c r="D88" s="1410"/>
      <c r="E88" s="1410"/>
      <c r="F88" s="1410"/>
      <c r="G88" s="1373">
        <f>P50</f>
        <v>0</v>
      </c>
      <c r="H88" s="1373"/>
      <c r="I88" s="2339"/>
      <c r="J88" s="2340"/>
      <c r="K88" s="2073">
        <f>IF(I88="",0,IF(AND(G88*I88&gt;0,G88*I88&lt;0.01),0.01,ROUND(G88*I88,2)))</f>
        <v>0</v>
      </c>
      <c r="L88" s="2073"/>
      <c r="M88" s="1959"/>
      <c r="N88" s="1959"/>
      <c r="O88" s="1959"/>
      <c r="P88" s="2341"/>
      <c r="R88" s="61" t="s">
        <v>1305</v>
      </c>
      <c r="S88" s="1188">
        <f>LARGE($S$87:$AS$87,1)</f>
        <v>0</v>
      </c>
      <c r="T88" s="1188">
        <f>LARGE($S$87:$AS$87,2)</f>
        <v>0</v>
      </c>
      <c r="U88" s="1188">
        <f>LARGE($S$87:$AS$87,3)</f>
        <v>0</v>
      </c>
      <c r="V88" s="1188">
        <f>LARGE($S$87:$AS$87,4)</f>
        <v>0</v>
      </c>
      <c r="W88" s="1188">
        <f>LARGE($S$87:$AS$87,5)</f>
        <v>0</v>
      </c>
      <c r="X88" s="1188">
        <f>LARGE($S$87:$AS$87,6)</f>
        <v>0</v>
      </c>
      <c r="Y88" s="1188">
        <f>LARGE($S$87:$AS$87,7)</f>
        <v>0</v>
      </c>
      <c r="Z88" s="1188">
        <f>LARGE($S$87:$AS$87,8)</f>
        <v>0</v>
      </c>
      <c r="AA88" s="1188">
        <f>LARGE($S$87:$AS$87,9)</f>
        <v>0</v>
      </c>
      <c r="AB88" s="1188">
        <f>LARGE($S$87:$AS$87,10)</f>
        <v>0</v>
      </c>
      <c r="AC88" s="1188">
        <f>LARGE($S$87:$AS$87,11)</f>
        <v>0</v>
      </c>
      <c r="AD88" s="1188">
        <f>LARGE($S$87:$AS$87,12)</f>
        <v>0</v>
      </c>
      <c r="AE88" s="1188">
        <f>LARGE($S$87:$AS$87,13)</f>
        <v>0</v>
      </c>
      <c r="AF88" s="1188">
        <f>LARGE($S$87:$AS$87,14)</f>
        <v>0</v>
      </c>
      <c r="AG88" s="1188">
        <f>LARGE($S$87:$AS$87,15)</f>
        <v>0</v>
      </c>
      <c r="AH88" s="1188">
        <f>LARGE($S$87:$AS$87,16)</f>
        <v>0</v>
      </c>
      <c r="AI88" s="1188">
        <f>LARGE($S$87:$AS$87,17)</f>
        <v>0</v>
      </c>
      <c r="AJ88" s="1188">
        <f>LARGE($S$87:$AS$87,18)</f>
        <v>0</v>
      </c>
      <c r="AK88" s="1188">
        <f>LARGE($S$87:$AS$87,19)</f>
        <v>0</v>
      </c>
      <c r="AL88" s="1188">
        <f>LARGE($S$87:$AS$87,20)</f>
        <v>0</v>
      </c>
      <c r="AM88" s="1188">
        <f>LARGE($S$87:$AS$87,21)</f>
        <v>0</v>
      </c>
      <c r="AN88" s="1188">
        <f>LARGE($S$87:$AS$87,22)</f>
        <v>0</v>
      </c>
      <c r="AO88" s="1188">
        <f>LARGE($S$87:$AS$87,23)</f>
        <v>0</v>
      </c>
      <c r="AP88" s="1188">
        <f>LARGE($S$87:$AS$87,24)</f>
        <v>0</v>
      </c>
      <c r="AQ88" s="1188">
        <f>LARGE($S$87:$AS$87,25)</f>
        <v>0</v>
      </c>
      <c r="AR88" s="1188">
        <f>LARGE($S$87:$AS$87,26)</f>
        <v>0</v>
      </c>
      <c r="AS88" s="1188">
        <f>LARGE($S$87:$AS$87,27)</f>
        <v>0</v>
      </c>
    </row>
    <row r="89" spans="1:99" ht="18" customHeight="1" x14ac:dyDescent="0.2">
      <c r="B89" s="1362" t="s">
        <v>1341</v>
      </c>
      <c r="C89" s="1363"/>
      <c r="D89" s="1363"/>
      <c r="E89" s="1363"/>
      <c r="F89" s="1363"/>
      <c r="G89" s="1363"/>
      <c r="H89" s="1364"/>
      <c r="I89" s="1534" t="s">
        <v>1942</v>
      </c>
      <c r="J89" s="1534"/>
      <c r="K89" s="1534"/>
      <c r="L89" s="1534"/>
      <c r="M89" s="1959"/>
      <c r="N89" s="1959"/>
      <c r="O89" s="1959"/>
      <c r="P89" s="2341"/>
      <c r="R89" s="61" t="s">
        <v>1306</v>
      </c>
      <c r="S89" s="16">
        <f>S88+T88*(1-S88)</f>
        <v>0</v>
      </c>
      <c r="T89" s="16">
        <f>S90+U88*(1-S90)</f>
        <v>0</v>
      </c>
      <c r="U89" s="16">
        <f t="shared" ref="U89:AQ89" si="19">T90+V88*(1-T90)</f>
        <v>0</v>
      </c>
      <c r="V89" s="16">
        <f t="shared" si="19"/>
        <v>0</v>
      </c>
      <c r="W89" s="16">
        <f t="shared" si="19"/>
        <v>0</v>
      </c>
      <c r="X89" s="16">
        <f t="shared" si="19"/>
        <v>0</v>
      </c>
      <c r="Y89" s="16">
        <f t="shared" si="19"/>
        <v>0</v>
      </c>
      <c r="Z89" s="16">
        <f t="shared" si="19"/>
        <v>0</v>
      </c>
      <c r="AA89" s="16">
        <f t="shared" si="19"/>
        <v>0</v>
      </c>
      <c r="AB89" s="16">
        <f>AA90+AC88*(1-AA90)</f>
        <v>0</v>
      </c>
      <c r="AC89" s="16">
        <f t="shared" si="19"/>
        <v>0</v>
      </c>
      <c r="AD89" s="16">
        <f t="shared" si="19"/>
        <v>0</v>
      </c>
      <c r="AE89" s="16">
        <f t="shared" si="19"/>
        <v>0</v>
      </c>
      <c r="AF89" s="16">
        <f t="shared" si="19"/>
        <v>0</v>
      </c>
      <c r="AG89" s="16">
        <f t="shared" si="19"/>
        <v>0</v>
      </c>
      <c r="AH89" s="16">
        <f t="shared" si="19"/>
        <v>0</v>
      </c>
      <c r="AI89" s="16">
        <f t="shared" si="19"/>
        <v>0</v>
      </c>
      <c r="AJ89" s="16">
        <f>AI90+AK88*(1-AI90)</f>
        <v>0</v>
      </c>
      <c r="AK89" s="16">
        <f t="shared" si="19"/>
        <v>0</v>
      </c>
      <c r="AL89" s="16">
        <f t="shared" si="19"/>
        <v>0</v>
      </c>
      <c r="AM89" s="16">
        <f t="shared" si="19"/>
        <v>0</v>
      </c>
      <c r="AN89" s="16">
        <f t="shared" si="19"/>
        <v>0</v>
      </c>
      <c r="AO89" s="16">
        <f t="shared" si="19"/>
        <v>0</v>
      </c>
      <c r="AP89" s="16">
        <f t="shared" si="19"/>
        <v>0</v>
      </c>
      <c r="AQ89" s="16">
        <f t="shared" si="19"/>
        <v>0</v>
      </c>
      <c r="AR89" s="16">
        <f>AQ90+AS88*(1-AQ90)</f>
        <v>0</v>
      </c>
    </row>
    <row r="90" spans="1:99" ht="18" customHeight="1" x14ac:dyDescent="0.2">
      <c r="B90" s="1450"/>
      <c r="C90" s="23" t="s">
        <v>451</v>
      </c>
      <c r="D90" s="23" t="s">
        <v>452</v>
      </c>
      <c r="E90" s="23" t="s">
        <v>453</v>
      </c>
      <c r="F90" s="23" t="s">
        <v>454</v>
      </c>
      <c r="G90" s="23" t="s">
        <v>1758</v>
      </c>
      <c r="H90" s="23" t="s">
        <v>1759</v>
      </c>
      <c r="I90" s="1534" t="s">
        <v>1942</v>
      </c>
      <c r="J90" s="1534"/>
      <c r="K90" s="1534"/>
      <c r="L90" s="1534"/>
      <c r="M90" s="1959"/>
      <c r="N90" s="1959"/>
      <c r="O90" s="1959"/>
      <c r="P90" s="2341"/>
      <c r="R90" s="61" t="s">
        <v>1307</v>
      </c>
      <c r="S90" s="1188">
        <f>ROUND(S89,2)</f>
        <v>0</v>
      </c>
      <c r="T90" s="1188">
        <f>ROUND(T89,2)</f>
        <v>0</v>
      </c>
      <c r="U90" s="1188">
        <f t="shared" ref="U90:AA90" si="20">ROUND(U89,2)</f>
        <v>0</v>
      </c>
      <c r="V90" s="1188">
        <f t="shared" si="20"/>
        <v>0</v>
      </c>
      <c r="W90" s="1188">
        <f t="shared" si="20"/>
        <v>0</v>
      </c>
      <c r="X90" s="1188">
        <f t="shared" si="20"/>
        <v>0</v>
      </c>
      <c r="Y90" s="1188">
        <f t="shared" si="20"/>
        <v>0</v>
      </c>
      <c r="Z90" s="1188">
        <f t="shared" si="20"/>
        <v>0</v>
      </c>
      <c r="AA90" s="1188">
        <f t="shared" si="20"/>
        <v>0</v>
      </c>
      <c r="AB90" s="1188">
        <f t="shared" ref="AB90:AR90" si="21">ROUND(AB89,2)</f>
        <v>0</v>
      </c>
      <c r="AC90" s="1188">
        <f t="shared" si="21"/>
        <v>0</v>
      </c>
      <c r="AD90" s="1188">
        <f t="shared" si="21"/>
        <v>0</v>
      </c>
      <c r="AE90" s="1188">
        <f t="shared" si="21"/>
        <v>0</v>
      </c>
      <c r="AF90" s="1188">
        <f t="shared" si="21"/>
        <v>0</v>
      </c>
      <c r="AG90" s="1188">
        <f t="shared" si="21"/>
        <v>0</v>
      </c>
      <c r="AH90" s="1188">
        <f t="shared" si="21"/>
        <v>0</v>
      </c>
      <c r="AI90" s="1188">
        <f t="shared" si="21"/>
        <v>0</v>
      </c>
      <c r="AJ90" s="1188">
        <f t="shared" si="21"/>
        <v>0</v>
      </c>
      <c r="AK90" s="1188">
        <f t="shared" si="21"/>
        <v>0</v>
      </c>
      <c r="AL90" s="1188">
        <f t="shared" si="21"/>
        <v>0</v>
      </c>
      <c r="AM90" s="1188">
        <f t="shared" si="21"/>
        <v>0</v>
      </c>
      <c r="AN90" s="1188">
        <f t="shared" si="21"/>
        <v>0</v>
      </c>
      <c r="AO90" s="1188">
        <f t="shared" si="21"/>
        <v>0</v>
      </c>
      <c r="AP90" s="1188">
        <f t="shared" si="21"/>
        <v>0</v>
      </c>
      <c r="AQ90" s="1188">
        <f t="shared" si="21"/>
        <v>0</v>
      </c>
      <c r="AR90" s="1188">
        <f t="shared" si="21"/>
        <v>0</v>
      </c>
    </row>
    <row r="91" spans="1:99" ht="18" customHeight="1" x14ac:dyDescent="0.2">
      <c r="B91" s="1451"/>
      <c r="C91" s="303">
        <f>H56</f>
        <v>0</v>
      </c>
      <c r="D91" s="303">
        <f>H57</f>
        <v>0</v>
      </c>
      <c r="E91" s="303">
        <f>H58</f>
        <v>0</v>
      </c>
      <c r="F91" s="303">
        <f>H59</f>
        <v>0</v>
      </c>
      <c r="G91" s="303">
        <f>H60</f>
        <v>0</v>
      </c>
      <c r="H91" s="303">
        <f>H61</f>
        <v>0</v>
      </c>
      <c r="I91" s="1534" t="s">
        <v>1942</v>
      </c>
      <c r="J91" s="1534"/>
      <c r="K91" s="1534"/>
      <c r="L91" s="1534"/>
      <c r="M91" s="1959"/>
      <c r="N91" s="1959"/>
      <c r="O91" s="1959"/>
      <c r="P91" s="2341"/>
      <c r="R91" s="520"/>
      <c r="S91" s="41"/>
      <c r="T91" s="131"/>
      <c r="U91" s="130"/>
      <c r="V91" s="120"/>
      <c r="W91" s="7"/>
      <c r="X91" s="7"/>
      <c r="Y91" s="63"/>
      <c r="Z91" s="63"/>
      <c r="AA91" s="63"/>
      <c r="AB91" s="63"/>
      <c r="AC91" s="63"/>
      <c r="AD91" s="63"/>
      <c r="AE91" s="63"/>
      <c r="AF91" s="63"/>
      <c r="AG91" s="63"/>
      <c r="AH91" s="63"/>
      <c r="AI91" s="63"/>
      <c r="AJ91" s="63"/>
      <c r="AK91" s="63"/>
      <c r="AL91" s="63"/>
      <c r="AM91" s="63"/>
    </row>
    <row r="92" spans="1:99" ht="18" customHeight="1" x14ac:dyDescent="0.2">
      <c r="B92" s="1451"/>
      <c r="C92" s="23" t="s">
        <v>1760</v>
      </c>
      <c r="D92" s="23" t="s">
        <v>1761</v>
      </c>
      <c r="E92" s="23" t="s">
        <v>1762</v>
      </c>
      <c r="F92" s="23" t="s">
        <v>1763</v>
      </c>
      <c r="G92" s="23" t="s">
        <v>1764</v>
      </c>
      <c r="H92" s="23" t="s">
        <v>1765</v>
      </c>
      <c r="I92" s="1534" t="s">
        <v>1942</v>
      </c>
      <c r="J92" s="1534"/>
      <c r="K92" s="1534"/>
      <c r="L92" s="1534"/>
      <c r="M92" s="1959"/>
      <c r="N92" s="1959"/>
      <c r="O92" s="1959"/>
      <c r="P92" s="2341"/>
      <c r="R92" s="131"/>
      <c r="S92" s="131"/>
      <c r="T92" s="131"/>
      <c r="U92" s="131"/>
      <c r="V92" s="131"/>
      <c r="W92" s="7"/>
      <c r="X92" s="7"/>
      <c r="Y92" s="63"/>
      <c r="Z92" s="63"/>
      <c r="AA92" s="63"/>
      <c r="AB92" s="63"/>
      <c r="AC92" s="63"/>
      <c r="AD92" s="63"/>
      <c r="AE92" s="63"/>
      <c r="AF92" s="63"/>
      <c r="AG92" s="63"/>
      <c r="AH92" s="63"/>
      <c r="AI92" s="63"/>
      <c r="AJ92" s="63"/>
      <c r="AK92" s="63"/>
      <c r="AL92" s="63"/>
      <c r="AM92" s="63"/>
    </row>
    <row r="93" spans="1:99" ht="18" customHeight="1" x14ac:dyDescent="0.2">
      <c r="B93" s="1452"/>
      <c r="C93" s="303">
        <f>H62</f>
        <v>0</v>
      </c>
      <c r="D93" s="303">
        <f>H63</f>
        <v>0</v>
      </c>
      <c r="E93" s="303">
        <f>H64</f>
        <v>0</v>
      </c>
      <c r="F93" s="303">
        <f>H65</f>
        <v>0</v>
      </c>
      <c r="G93" s="303">
        <f>H66</f>
        <v>0</v>
      </c>
      <c r="H93" s="303">
        <f>H67</f>
        <v>0</v>
      </c>
      <c r="I93" s="1534" t="s">
        <v>1942</v>
      </c>
      <c r="J93" s="1534"/>
      <c r="K93" s="1534"/>
      <c r="L93" s="1534"/>
      <c r="M93" s="1959"/>
      <c r="N93" s="1959"/>
      <c r="O93" s="1959"/>
      <c r="P93" s="2341"/>
      <c r="R93" s="131"/>
      <c r="S93" s="131"/>
      <c r="T93" s="131"/>
      <c r="U93" s="131"/>
      <c r="V93" s="131"/>
      <c r="W93" s="7"/>
      <c r="X93" s="7"/>
      <c r="Y93" s="63"/>
      <c r="Z93" s="63"/>
      <c r="AA93" s="63"/>
      <c r="AB93" s="63"/>
      <c r="AC93" s="63"/>
      <c r="AD93" s="63"/>
      <c r="AE93" s="63"/>
      <c r="AF93" s="63"/>
      <c r="AG93" s="63"/>
      <c r="AH93" s="63"/>
      <c r="AI93" s="63"/>
      <c r="AJ93" s="63"/>
      <c r="AK93" s="63"/>
      <c r="AL93" s="63"/>
      <c r="AM93" s="63"/>
    </row>
    <row r="94" spans="1:99" ht="18" customHeight="1" x14ac:dyDescent="0.2">
      <c r="B94" s="1367" t="s">
        <v>1342</v>
      </c>
      <c r="C94" s="1368"/>
      <c r="D94" s="1368"/>
      <c r="E94" s="1368"/>
      <c r="F94" s="1368"/>
      <c r="G94" s="1368"/>
      <c r="H94" s="1369"/>
      <c r="I94" s="1534" t="s">
        <v>1942</v>
      </c>
      <c r="J94" s="1534"/>
      <c r="K94" s="1534"/>
      <c r="L94" s="1534"/>
      <c r="M94" s="1959"/>
      <c r="N94" s="1959"/>
      <c r="O94" s="1959"/>
      <c r="P94" s="2341"/>
      <c r="R94" s="520"/>
      <c r="S94" s="41"/>
      <c r="T94" s="131"/>
      <c r="U94" s="130"/>
      <c r="V94" s="120"/>
      <c r="W94" s="7"/>
      <c r="X94" s="7"/>
      <c r="Y94" s="63"/>
      <c r="Z94" s="63"/>
      <c r="AA94" s="63"/>
      <c r="AB94" s="63"/>
      <c r="AC94" s="63"/>
      <c r="AD94" s="63"/>
      <c r="AE94" s="63"/>
      <c r="AF94" s="63"/>
      <c r="AG94" s="63"/>
      <c r="AH94" s="63"/>
      <c r="AI94" s="63"/>
      <c r="AJ94" s="63"/>
      <c r="AK94" s="63"/>
      <c r="AL94" s="63"/>
      <c r="AM94" s="63"/>
    </row>
    <row r="95" spans="1:99" ht="18" customHeight="1" x14ac:dyDescent="0.2">
      <c r="B95" s="1450"/>
      <c r="C95" s="23" t="s">
        <v>451</v>
      </c>
      <c r="D95" s="23" t="s">
        <v>452</v>
      </c>
      <c r="E95" s="23" t="s">
        <v>453</v>
      </c>
      <c r="F95" s="23" t="s">
        <v>454</v>
      </c>
      <c r="G95" s="23" t="s">
        <v>1758</v>
      </c>
      <c r="H95" s="23" t="s">
        <v>1759</v>
      </c>
      <c r="I95" s="1534" t="s">
        <v>1942</v>
      </c>
      <c r="J95" s="1534"/>
      <c r="K95" s="1534"/>
      <c r="L95" s="1534"/>
      <c r="M95" s="1959"/>
      <c r="N95" s="1959"/>
      <c r="O95" s="1959"/>
      <c r="P95" s="2341"/>
      <c r="R95" s="520"/>
      <c r="S95" s="41"/>
      <c r="T95" s="131"/>
      <c r="U95" s="130"/>
      <c r="V95" s="120"/>
      <c r="W95" s="7"/>
      <c r="X95" s="7"/>
      <c r="Y95" s="63"/>
      <c r="Z95" s="63"/>
      <c r="AA95" s="63"/>
      <c r="AB95" s="63"/>
      <c r="AC95" s="63"/>
      <c r="AD95" s="63"/>
      <c r="AE95" s="63"/>
      <c r="AF95" s="63"/>
      <c r="AG95" s="63"/>
      <c r="AH95" s="63"/>
      <c r="AI95" s="63"/>
      <c r="AJ95" s="63"/>
      <c r="AK95" s="63"/>
      <c r="AL95" s="63"/>
      <c r="AM95" s="63"/>
    </row>
    <row r="96" spans="1:99" ht="18" customHeight="1" x14ac:dyDescent="0.2">
      <c r="B96" s="1451"/>
      <c r="C96" s="303">
        <f>O56</f>
        <v>0</v>
      </c>
      <c r="D96" s="303">
        <f>O57</f>
        <v>0</v>
      </c>
      <c r="E96" s="303">
        <f>O58</f>
        <v>0</v>
      </c>
      <c r="F96" s="303">
        <f>O59</f>
        <v>0</v>
      </c>
      <c r="G96" s="303">
        <f>O60</f>
        <v>0</v>
      </c>
      <c r="H96" s="303">
        <f>O61</f>
        <v>0</v>
      </c>
      <c r="I96" s="1534" t="s">
        <v>1942</v>
      </c>
      <c r="J96" s="1534"/>
      <c r="K96" s="1534"/>
      <c r="L96" s="1534"/>
      <c r="M96" s="1959"/>
      <c r="N96" s="1959"/>
      <c r="O96" s="1959"/>
      <c r="P96" s="2341"/>
      <c r="R96" s="520"/>
      <c r="S96" s="41"/>
      <c r="T96" s="131"/>
      <c r="U96" s="130"/>
      <c r="V96" s="120"/>
      <c r="W96" s="7"/>
      <c r="X96" s="7"/>
      <c r="Y96" s="63"/>
      <c r="Z96" s="63"/>
      <c r="AA96" s="63"/>
      <c r="AB96" s="63"/>
      <c r="AC96" s="63"/>
      <c r="AD96" s="63"/>
      <c r="AE96" s="63"/>
      <c r="AF96" s="63"/>
      <c r="AG96" s="63"/>
      <c r="AH96" s="63"/>
      <c r="AI96" s="63"/>
      <c r="AJ96" s="63"/>
      <c r="AK96" s="63"/>
      <c r="AL96" s="63"/>
      <c r="AM96" s="63"/>
    </row>
    <row r="97" spans="2:39" ht="18" customHeight="1" x14ac:dyDescent="0.2">
      <c r="B97" s="1451"/>
      <c r="C97" s="23" t="s">
        <v>1760</v>
      </c>
      <c r="D97" s="23" t="s">
        <v>1761</v>
      </c>
      <c r="E97" s="23" t="s">
        <v>1762</v>
      </c>
      <c r="F97" s="23" t="s">
        <v>1763</v>
      </c>
      <c r="G97" s="23" t="s">
        <v>1764</v>
      </c>
      <c r="H97" s="23" t="s">
        <v>1765</v>
      </c>
      <c r="I97" s="1534" t="s">
        <v>1942</v>
      </c>
      <c r="J97" s="1534"/>
      <c r="K97" s="1534"/>
      <c r="L97" s="1534"/>
      <c r="M97" s="1959"/>
      <c r="N97" s="1959"/>
      <c r="O97" s="1959"/>
      <c r="P97" s="2341"/>
      <c r="R97" s="520"/>
      <c r="S97" s="41"/>
      <c r="T97" s="131"/>
      <c r="U97" s="130"/>
      <c r="V97" s="120"/>
      <c r="W97" s="7"/>
      <c r="X97" s="7"/>
      <c r="Y97" s="63"/>
      <c r="Z97" s="63"/>
      <c r="AA97" s="63"/>
      <c r="AB97" s="63"/>
      <c r="AC97" s="63"/>
      <c r="AD97" s="63"/>
      <c r="AE97" s="63"/>
      <c r="AF97" s="63"/>
      <c r="AG97" s="63"/>
      <c r="AH97" s="63"/>
      <c r="AI97" s="63"/>
      <c r="AJ97" s="63"/>
      <c r="AK97" s="63"/>
      <c r="AL97" s="63"/>
      <c r="AM97" s="63"/>
    </row>
    <row r="98" spans="2:39" ht="18" customHeight="1" x14ac:dyDescent="0.2">
      <c r="B98" s="1452"/>
      <c r="C98" s="303">
        <f>O62</f>
        <v>0</v>
      </c>
      <c r="D98" s="303">
        <f>O63</f>
        <v>0</v>
      </c>
      <c r="E98" s="303">
        <f>O64</f>
        <v>0</v>
      </c>
      <c r="F98" s="303">
        <f>O65</f>
        <v>0</v>
      </c>
      <c r="G98" s="303">
        <f>O66</f>
        <v>0</v>
      </c>
      <c r="H98" s="303">
        <f>O67</f>
        <v>0</v>
      </c>
      <c r="I98" s="1534" t="s">
        <v>1942</v>
      </c>
      <c r="J98" s="1534"/>
      <c r="K98" s="1534"/>
      <c r="L98" s="1534"/>
      <c r="M98" s="1959"/>
      <c r="N98" s="1959"/>
      <c r="O98" s="1959"/>
      <c r="P98" s="2341"/>
      <c r="R98" s="520"/>
      <c r="S98" s="41"/>
      <c r="T98" s="131"/>
      <c r="U98" s="130"/>
      <c r="V98" s="120"/>
      <c r="W98" s="7"/>
      <c r="X98" s="7"/>
      <c r="Y98" s="63"/>
      <c r="Z98" s="63"/>
      <c r="AA98" s="63"/>
      <c r="AB98" s="63"/>
      <c r="AC98" s="63"/>
      <c r="AD98" s="63"/>
      <c r="AE98" s="63"/>
      <c r="AF98" s="63"/>
      <c r="AG98" s="63"/>
      <c r="AH98" s="63"/>
      <c r="AI98" s="63"/>
      <c r="AJ98" s="63"/>
      <c r="AK98" s="63"/>
      <c r="AL98" s="63"/>
      <c r="AM98" s="63"/>
    </row>
    <row r="99" spans="2:39" ht="18" customHeight="1" x14ac:dyDescent="0.2">
      <c r="B99" s="1410" t="s">
        <v>1343</v>
      </c>
      <c r="C99" s="1410"/>
      <c r="D99" s="1410"/>
      <c r="E99" s="1410"/>
      <c r="F99" s="1410"/>
      <c r="G99" s="1373">
        <f>P81</f>
        <v>0</v>
      </c>
      <c r="H99" s="1373"/>
      <c r="I99" s="1534" t="s">
        <v>1942</v>
      </c>
      <c r="J99" s="1534"/>
      <c r="K99" s="1534"/>
      <c r="L99" s="1534"/>
      <c r="M99" s="1959"/>
      <c r="N99" s="1959"/>
      <c r="O99" s="1959"/>
      <c r="P99" s="2341"/>
      <c r="R99" s="500"/>
      <c r="S99" s="41"/>
      <c r="T99" s="131"/>
      <c r="U99" s="130"/>
      <c r="V99" s="133"/>
      <c r="W99" s="63"/>
      <c r="X99" s="63"/>
      <c r="Y99" s="63"/>
      <c r="Z99" s="63"/>
      <c r="AA99" s="63"/>
      <c r="AB99" s="63"/>
      <c r="AC99" s="63"/>
      <c r="AD99" s="63"/>
      <c r="AE99" s="63"/>
      <c r="AF99" s="63"/>
      <c r="AG99" s="63"/>
      <c r="AH99" s="63"/>
      <c r="AI99" s="63"/>
      <c r="AJ99" s="63"/>
      <c r="AK99" s="63"/>
      <c r="AL99" s="63"/>
      <c r="AM99" s="63"/>
    </row>
    <row r="100" spans="2:39" ht="18" customHeight="1" x14ac:dyDescent="0.2">
      <c r="B100" s="1410" t="s">
        <v>596</v>
      </c>
      <c r="C100" s="1410"/>
      <c r="D100" s="1410"/>
      <c r="E100" s="1410"/>
      <c r="F100" s="1410"/>
      <c r="G100" s="1373">
        <f>P83</f>
        <v>0</v>
      </c>
      <c r="H100" s="1346"/>
      <c r="I100" s="2339"/>
      <c r="J100" s="2340"/>
      <c r="K100" s="2073">
        <f>IF(I100="",0,IF(AND(G100*I100&gt;0,G100*I100&lt;0.01),0.01,ROUND(G100*I100,2)))</f>
        <v>0</v>
      </c>
      <c r="L100" s="2073"/>
      <c r="M100" s="1959"/>
      <c r="N100" s="1959"/>
      <c r="O100" s="1959"/>
      <c r="P100" s="2341"/>
      <c r="S100" s="41"/>
      <c r="T100" s="131"/>
      <c r="U100" s="130"/>
      <c r="V100" s="133"/>
      <c r="W100" s="133"/>
      <c r="X100" s="63"/>
      <c r="Y100" s="63"/>
      <c r="Z100" s="63"/>
      <c r="AA100" s="63"/>
      <c r="AB100" s="63"/>
      <c r="AC100" s="63"/>
      <c r="AD100" s="63"/>
      <c r="AE100" s="63"/>
      <c r="AF100" s="63"/>
      <c r="AG100" s="63"/>
      <c r="AH100" s="63"/>
      <c r="AI100" s="63"/>
      <c r="AJ100" s="63"/>
      <c r="AK100" s="63"/>
      <c r="AL100" s="63"/>
      <c r="AM100" s="63"/>
    </row>
    <row r="101" spans="2:39" ht="18" customHeight="1" x14ac:dyDescent="0.2">
      <c r="B101" s="1487"/>
      <c r="C101" s="1487"/>
      <c r="D101" s="1487"/>
      <c r="E101" s="1487"/>
      <c r="F101" s="1487"/>
      <c r="G101" s="1487"/>
      <c r="H101" s="1487"/>
      <c r="I101" s="1487"/>
      <c r="J101" s="1487"/>
      <c r="K101" s="2342" t="s">
        <v>1560</v>
      </c>
      <c r="L101" s="2342"/>
      <c r="M101" s="2342"/>
      <c r="N101" s="2342"/>
      <c r="O101" s="2342"/>
      <c r="P101" s="2341"/>
      <c r="S101" s="131"/>
      <c r="T101" s="130"/>
      <c r="U101" s="120"/>
      <c r="V101" s="133"/>
      <c r="W101" s="133"/>
      <c r="X101" s="63"/>
      <c r="Y101" s="63"/>
      <c r="Z101" s="63"/>
      <c r="AA101" s="63"/>
      <c r="AB101" s="63"/>
      <c r="AC101" s="63"/>
      <c r="AD101" s="63"/>
      <c r="AE101" s="63"/>
      <c r="AF101" s="63"/>
      <c r="AG101" s="63"/>
      <c r="AH101" s="63"/>
      <c r="AI101" s="63"/>
      <c r="AJ101" s="63"/>
      <c r="AK101" s="63"/>
      <c r="AL101" s="63"/>
      <c r="AM101" s="63"/>
    </row>
    <row r="102" spans="2:39" ht="11.25" customHeight="1" x14ac:dyDescent="0.2">
      <c r="B102" s="1602"/>
      <c r="C102" s="1602"/>
      <c r="D102" s="1602"/>
      <c r="E102" s="1602"/>
      <c r="F102" s="1602"/>
      <c r="G102" s="1602"/>
      <c r="H102" s="1602"/>
      <c r="I102" s="1602"/>
      <c r="J102" s="1602"/>
      <c r="K102" s="1602"/>
      <c r="L102" s="1602"/>
      <c r="M102" s="1602"/>
      <c r="N102" s="1602"/>
      <c r="O102" s="1602"/>
      <c r="P102" s="1602"/>
      <c r="Q102" s="3"/>
      <c r="R102" s="7"/>
      <c r="S102" s="7"/>
      <c r="T102" s="7"/>
      <c r="U102" s="7"/>
      <c r="V102" s="6"/>
      <c r="W102" s="125"/>
      <c r="X102" s="7"/>
      <c r="Y102" s="7"/>
      <c r="Z102" s="7"/>
      <c r="AA102" s="7"/>
      <c r="AB102" s="7"/>
      <c r="AC102" s="63"/>
      <c r="AD102" s="63"/>
      <c r="AE102" s="63"/>
      <c r="AF102" s="63"/>
      <c r="AG102" s="63"/>
      <c r="AH102" s="127"/>
      <c r="AI102" s="63"/>
      <c r="AJ102" s="63"/>
      <c r="AK102" s="63"/>
      <c r="AL102" s="63"/>
      <c r="AM102" s="63"/>
    </row>
    <row r="103" spans="2:39" ht="18" customHeight="1" x14ac:dyDescent="0.2">
      <c r="B103" s="1516" t="s">
        <v>60</v>
      </c>
      <c r="C103" s="1517"/>
      <c r="D103" s="1517"/>
      <c r="E103" s="1517"/>
      <c r="F103" s="1517"/>
      <c r="G103" s="1517"/>
      <c r="H103" s="1517"/>
      <c r="I103" s="1517"/>
      <c r="J103" s="1517"/>
      <c r="K103" s="1517"/>
      <c r="L103" s="1517"/>
      <c r="M103" s="1517"/>
      <c r="N103" s="1517"/>
      <c r="O103" s="1518"/>
      <c r="P103" s="1481">
        <f>U106</f>
        <v>0</v>
      </c>
      <c r="R103" s="7"/>
      <c r="S103" s="17" t="s">
        <v>1598</v>
      </c>
      <c r="T103" s="17" t="s">
        <v>211</v>
      </c>
      <c r="U103" s="17" t="s">
        <v>1156</v>
      </c>
      <c r="V103" s="6"/>
      <c r="W103" s="125"/>
      <c r="X103" s="7"/>
      <c r="Y103" s="7"/>
      <c r="Z103" s="7"/>
      <c r="AA103" s="7"/>
      <c r="AB103" s="7"/>
      <c r="AC103" s="63"/>
      <c r="AD103" s="63"/>
      <c r="AE103" s="63"/>
      <c r="AF103" s="63"/>
      <c r="AG103" s="63"/>
      <c r="AH103" s="127"/>
      <c r="AI103" s="63"/>
      <c r="AJ103" s="63"/>
      <c r="AK103" s="63"/>
      <c r="AL103" s="63"/>
      <c r="AM103" s="63"/>
    </row>
    <row r="104" spans="2:39" ht="18" customHeight="1" x14ac:dyDescent="0.2">
      <c r="B104" s="1379" t="s">
        <v>1148</v>
      </c>
      <c r="C104" s="1379"/>
      <c r="D104" s="1379"/>
      <c r="E104" s="1379"/>
      <c r="F104" s="1379"/>
      <c r="G104" s="1379"/>
      <c r="H104" s="1379"/>
      <c r="I104" s="1379"/>
      <c r="J104" s="1308"/>
      <c r="K104" s="1308"/>
      <c r="L104" s="185"/>
      <c r="M104" s="1365">
        <f>'Sp-Table'!N12</f>
        <v>0</v>
      </c>
      <c r="N104" s="1365"/>
      <c r="O104" s="51"/>
      <c r="P104" s="1631"/>
      <c r="R104" s="63"/>
      <c r="S104" s="17">
        <v>60</v>
      </c>
      <c r="T104" s="17" t="str">
        <f>IF(OR(J104="",J104="NA"),"",IF(J104&gt;S104,S104,IF(J104&lt;0,0,J104)))</f>
        <v/>
      </c>
      <c r="U104" s="16">
        <f>SUM(M104:M107)</f>
        <v>0</v>
      </c>
      <c r="V104" s="6"/>
      <c r="W104" s="125"/>
      <c r="X104" s="126"/>
      <c r="Y104" s="127"/>
      <c r="Z104" s="127"/>
      <c r="AA104" s="127"/>
      <c r="AB104" s="127"/>
      <c r="AC104" s="63"/>
      <c r="AD104" s="63"/>
      <c r="AE104" s="63"/>
      <c r="AF104" s="63"/>
      <c r="AG104" s="63"/>
      <c r="AH104" s="63"/>
      <c r="AI104" s="63"/>
      <c r="AJ104" s="63"/>
      <c r="AK104" s="63"/>
      <c r="AL104" s="63"/>
      <c r="AM104" s="63"/>
    </row>
    <row r="105" spans="2:39" ht="18" customHeight="1" x14ac:dyDescent="0.2">
      <c r="B105" s="1379" t="s">
        <v>1149</v>
      </c>
      <c r="C105" s="1379"/>
      <c r="D105" s="1379"/>
      <c r="E105" s="1379"/>
      <c r="F105" s="1379"/>
      <c r="G105" s="1379"/>
      <c r="H105" s="1379"/>
      <c r="I105" s="1379"/>
      <c r="J105" s="1308"/>
      <c r="K105" s="1308"/>
      <c r="L105" s="185"/>
      <c r="M105" s="1365">
        <f>'Sp-Table'!N13</f>
        <v>0</v>
      </c>
      <c r="N105" s="1365"/>
      <c r="O105" s="51"/>
      <c r="P105" s="1631"/>
      <c r="R105" s="63"/>
      <c r="S105" s="17">
        <v>25</v>
      </c>
      <c r="T105" s="17" t="str">
        <f>IF(OR(J105="",J105="NA"),"",IF(J105&gt;S105,S105,IF(J105&lt;0,0,J105)))</f>
        <v/>
      </c>
      <c r="U105" s="43">
        <f>IF(AND(U104&gt;0,U104&lt;0.01),0.01,U104)</f>
        <v>0</v>
      </c>
      <c r="V105" s="6"/>
      <c r="W105" s="125"/>
      <c r="X105" s="7"/>
      <c r="Y105" s="7"/>
      <c r="Z105" s="7"/>
      <c r="AA105" s="7"/>
      <c r="AB105" s="63"/>
      <c r="AC105" s="63"/>
      <c r="AD105" s="63"/>
      <c r="AE105" s="63"/>
      <c r="AF105" s="63"/>
      <c r="AG105" s="63"/>
      <c r="AH105" s="63"/>
      <c r="AI105" s="63"/>
      <c r="AJ105" s="63"/>
      <c r="AK105" s="63"/>
      <c r="AL105" s="63"/>
      <c r="AM105" s="63"/>
    </row>
    <row r="106" spans="2:39" ht="18" customHeight="1" x14ac:dyDescent="0.2">
      <c r="B106" s="1379" t="s">
        <v>1150</v>
      </c>
      <c r="C106" s="1379"/>
      <c r="D106" s="1379"/>
      <c r="E106" s="1379"/>
      <c r="F106" s="1379"/>
      <c r="G106" s="1379"/>
      <c r="H106" s="1379"/>
      <c r="I106" s="1379"/>
      <c r="J106" s="1308"/>
      <c r="K106" s="1308"/>
      <c r="L106" s="185"/>
      <c r="M106" s="1365">
        <f>'Sp-Table'!N14</f>
        <v>0</v>
      </c>
      <c r="N106" s="1365"/>
      <c r="O106" s="51"/>
      <c r="P106" s="1631"/>
      <c r="R106" s="63"/>
      <c r="S106" s="17">
        <v>25</v>
      </c>
      <c r="T106" s="17" t="str">
        <f>IF(OR(J106="",J106="NA"),"",IF(J106&gt;S106,S106,IF(J106&lt;0,0,J106)))</f>
        <v/>
      </c>
      <c r="U106" s="16">
        <f>ROUND(U105,2)</f>
        <v>0</v>
      </c>
      <c r="V106" s="6"/>
      <c r="W106" s="125"/>
      <c r="X106" s="7"/>
      <c r="Y106" s="7"/>
      <c r="Z106" s="7"/>
      <c r="AA106" s="7"/>
      <c r="AB106" s="63"/>
      <c r="AC106" s="63"/>
      <c r="AD106" s="63"/>
      <c r="AE106" s="63"/>
      <c r="AF106" s="63"/>
      <c r="AG106" s="63"/>
      <c r="AH106" s="63"/>
      <c r="AI106" s="63"/>
      <c r="AJ106" s="63"/>
      <c r="AK106" s="63"/>
      <c r="AL106" s="63"/>
      <c r="AM106" s="63"/>
    </row>
    <row r="107" spans="2:39" ht="18" customHeight="1" x14ac:dyDescent="0.2">
      <c r="B107" s="1379" t="s">
        <v>1151</v>
      </c>
      <c r="C107" s="1379"/>
      <c r="D107" s="1379"/>
      <c r="E107" s="1379"/>
      <c r="F107" s="1379"/>
      <c r="G107" s="1379"/>
      <c r="H107" s="1379"/>
      <c r="I107" s="1379"/>
      <c r="J107" s="1308"/>
      <c r="K107" s="1308"/>
      <c r="L107" s="185"/>
      <c r="M107" s="1365">
        <f>'Sp-Table'!N15</f>
        <v>0</v>
      </c>
      <c r="N107" s="1365"/>
      <c r="O107" s="51"/>
      <c r="P107" s="1631"/>
      <c r="R107" s="63"/>
      <c r="S107" s="17">
        <v>25</v>
      </c>
      <c r="T107" s="17" t="str">
        <f>IF(OR(J107="",J107="NA"),"",IF(J107&gt;S107,S107,IF(J107&lt;0,0,J107)))</f>
        <v/>
      </c>
      <c r="U107" s="7"/>
      <c r="V107" s="6"/>
      <c r="W107" s="125"/>
      <c r="X107" s="126"/>
      <c r="Y107" s="127"/>
      <c r="Z107" s="127"/>
      <c r="AA107" s="127"/>
      <c r="AB107" s="127"/>
      <c r="AC107" s="63"/>
      <c r="AD107" s="63"/>
      <c r="AE107" s="63"/>
      <c r="AF107" s="63"/>
      <c r="AG107" s="63"/>
      <c r="AH107" s="63"/>
      <c r="AI107" s="63"/>
      <c r="AJ107" s="63"/>
      <c r="AK107" s="63"/>
      <c r="AL107" s="63"/>
      <c r="AM107" s="63"/>
    </row>
    <row r="108" spans="2:39" ht="18" customHeight="1" x14ac:dyDescent="0.2">
      <c r="B108" s="2235" t="s">
        <v>1152</v>
      </c>
      <c r="C108" s="2236"/>
      <c r="D108" s="2236"/>
      <c r="E108" s="2236"/>
      <c r="F108" s="2236"/>
      <c r="G108" s="2236"/>
      <c r="H108" s="2236"/>
      <c r="I108" s="2236"/>
      <c r="J108" s="2236"/>
      <c r="K108" s="2236"/>
      <c r="L108" s="2236"/>
      <c r="M108" s="2236"/>
      <c r="N108" s="2236"/>
      <c r="O108" s="2237"/>
      <c r="P108" s="1623"/>
      <c r="R108" s="63"/>
      <c r="S108" s="7"/>
      <c r="T108" s="7"/>
      <c r="U108" s="7"/>
      <c r="V108" s="6"/>
      <c r="W108" s="125"/>
      <c r="X108" s="126"/>
      <c r="Y108" s="127"/>
      <c r="Z108" s="127"/>
      <c r="AA108" s="127"/>
      <c r="AB108" s="127"/>
      <c r="AC108" s="63"/>
      <c r="AD108" s="63"/>
      <c r="AE108" s="63"/>
      <c r="AF108" s="63"/>
      <c r="AG108" s="63"/>
      <c r="AH108" s="63"/>
      <c r="AI108" s="63"/>
      <c r="AJ108" s="63"/>
      <c r="AK108" s="63"/>
      <c r="AL108" s="63"/>
      <c r="AM108" s="63"/>
    </row>
    <row r="109" spans="2:39" ht="18" customHeight="1" x14ac:dyDescent="0.2">
      <c r="B109" s="2244"/>
      <c r="C109" s="2244"/>
      <c r="D109" s="2244"/>
      <c r="E109" s="2244"/>
      <c r="F109" s="2244"/>
      <c r="G109" s="2244"/>
      <c r="H109" s="2244"/>
      <c r="I109" s="2244"/>
      <c r="J109" s="2244"/>
      <c r="K109" s="2244"/>
      <c r="L109" s="2244"/>
      <c r="M109" s="2244"/>
      <c r="N109" s="2244"/>
      <c r="O109" s="2244"/>
      <c r="P109" s="2244"/>
      <c r="R109" s="63"/>
      <c r="S109" s="7"/>
      <c r="T109" s="7"/>
      <c r="U109" s="7"/>
      <c r="V109" s="6"/>
      <c r="W109" s="125"/>
      <c r="X109" s="126"/>
      <c r="Y109" s="127"/>
      <c r="Z109" s="127"/>
      <c r="AA109" s="127"/>
      <c r="AB109" s="127"/>
      <c r="AC109" s="63"/>
      <c r="AD109" s="63"/>
      <c r="AE109" s="63"/>
      <c r="AF109" s="63"/>
      <c r="AG109" s="63"/>
      <c r="AH109" s="63"/>
      <c r="AI109" s="63"/>
      <c r="AJ109" s="63"/>
      <c r="AK109" s="63"/>
      <c r="AL109" s="63"/>
      <c r="AM109" s="63"/>
    </row>
    <row r="110" spans="2:39" ht="18" customHeight="1" x14ac:dyDescent="0.2">
      <c r="B110" s="2348" t="s">
        <v>88</v>
      </c>
      <c r="C110" s="2349"/>
      <c r="D110" s="2349"/>
      <c r="E110" s="2350"/>
      <c r="F110" s="23" t="s">
        <v>89</v>
      </c>
      <c r="G110" s="1183"/>
      <c r="H110" s="57">
        <f>IF(OR(G110="NA",G110=0,G110=""),0,IF(G110/100&lt;=0.25,0.05,IF(G110/100&lt;=0.5,0.07,IF(G110/100&gt;0.5,0.12,""))))</f>
        <v>0</v>
      </c>
      <c r="I110" s="2348" t="s">
        <v>2289</v>
      </c>
      <c r="J110" s="2379"/>
      <c r="K110" s="2379"/>
      <c r="L110" s="2380"/>
      <c r="M110" s="23" t="s">
        <v>89</v>
      </c>
      <c r="N110" s="48"/>
      <c r="O110" s="57">
        <f>IF(N110="X",0.05,0)</f>
        <v>0</v>
      </c>
      <c r="P110" s="630"/>
      <c r="R110" s="63"/>
      <c r="S110" s="7"/>
      <c r="T110" s="7"/>
      <c r="U110" s="7"/>
      <c r="V110" s="6"/>
      <c r="W110" s="125"/>
      <c r="X110" s="126"/>
      <c r="Y110" s="127"/>
      <c r="Z110" s="127"/>
      <c r="AA110" s="127"/>
      <c r="AB110" s="127"/>
      <c r="AC110" s="63"/>
      <c r="AD110" s="63"/>
      <c r="AE110" s="63"/>
      <c r="AF110" s="63"/>
      <c r="AG110" s="63"/>
      <c r="AH110" s="63"/>
      <c r="AI110" s="63"/>
      <c r="AJ110" s="63"/>
      <c r="AK110" s="63"/>
      <c r="AL110" s="63"/>
      <c r="AM110" s="63"/>
    </row>
    <row r="111" spans="2:39" ht="18" customHeight="1" x14ac:dyDescent="0.2">
      <c r="B111" s="2351"/>
      <c r="C111" s="2352"/>
      <c r="D111" s="2352"/>
      <c r="E111" s="2353"/>
      <c r="F111" s="23" t="s">
        <v>90</v>
      </c>
      <c r="G111" s="1183"/>
      <c r="H111" s="57">
        <f>IF(OR(G111="NA",G111=""),0,IF(G111/100&lt;=0.25,0.05,IF(G111/100&lt;=0.5,0.07,IF(G111/100&gt;0.5,0.12,""))))</f>
        <v>0</v>
      </c>
      <c r="I111" s="2381"/>
      <c r="J111" s="2382"/>
      <c r="K111" s="2382"/>
      <c r="L111" s="2383"/>
      <c r="M111" s="23" t="s">
        <v>90</v>
      </c>
      <c r="N111" s="1211"/>
      <c r="O111" s="57">
        <f>IF(N111="X",0.05,0)</f>
        <v>0</v>
      </c>
      <c r="P111" s="632"/>
      <c r="R111" s="63"/>
      <c r="S111" s="1214"/>
      <c r="T111" s="1214"/>
      <c r="U111" s="7"/>
      <c r="V111" s="6"/>
      <c r="W111" s="125"/>
      <c r="X111" s="126"/>
      <c r="Y111" s="127"/>
      <c r="Z111" s="127"/>
      <c r="AA111" s="127"/>
      <c r="AB111" s="127"/>
      <c r="AC111" s="63"/>
      <c r="AD111" s="63"/>
      <c r="AE111" s="63"/>
      <c r="AF111" s="63"/>
      <c r="AG111" s="63"/>
      <c r="AH111" s="63"/>
      <c r="AI111" s="63"/>
      <c r="AJ111" s="63"/>
      <c r="AK111" s="63"/>
      <c r="AL111" s="63"/>
      <c r="AM111" s="63"/>
    </row>
    <row r="112" spans="2:39" ht="16.5" customHeight="1" x14ac:dyDescent="0.2">
      <c r="B112" s="2351"/>
      <c r="C112" s="2352"/>
      <c r="D112" s="2352"/>
      <c r="E112" s="2353"/>
      <c r="F112" s="23" t="s">
        <v>91</v>
      </c>
      <c r="G112" s="1183"/>
      <c r="H112" s="57">
        <f>IF(OR(G112="NA",G112=""),0,IF(G112/100&lt;=0.25,0.05,IF(G112/100&lt;=0.5,0.07,IF(G112/100&gt;0.5,0.12,""))))</f>
        <v>0</v>
      </c>
      <c r="I112" s="2381"/>
      <c r="J112" s="2382"/>
      <c r="K112" s="2382"/>
      <c r="L112" s="2383"/>
      <c r="M112" s="23" t="s">
        <v>91</v>
      </c>
      <c r="N112" s="1211"/>
      <c r="O112" s="57">
        <f>IF(N112="X",0.05,0)</f>
        <v>0</v>
      </c>
      <c r="P112" s="632"/>
      <c r="R112" s="63"/>
      <c r="S112" s="1214"/>
      <c r="T112" s="1214"/>
      <c r="U112" s="7"/>
      <c r="V112" s="6"/>
      <c r="W112" s="125"/>
      <c r="X112" s="126"/>
      <c r="Y112" s="127"/>
      <c r="Z112" s="127"/>
      <c r="AA112" s="127"/>
      <c r="AB112" s="127"/>
      <c r="AC112" s="63"/>
      <c r="AD112" s="63"/>
      <c r="AE112" s="63"/>
      <c r="AF112" s="63"/>
      <c r="AG112" s="63"/>
      <c r="AH112" s="63"/>
      <c r="AI112" s="63"/>
      <c r="AJ112" s="63"/>
      <c r="AK112" s="63"/>
      <c r="AL112" s="63"/>
      <c r="AM112" s="63"/>
    </row>
    <row r="113" spans="2:39" ht="18" customHeight="1" x14ac:dyDescent="0.2">
      <c r="B113" s="2351"/>
      <c r="C113" s="2352"/>
      <c r="D113" s="2352"/>
      <c r="E113" s="2353"/>
      <c r="F113" s="4" t="s">
        <v>92</v>
      </c>
      <c r="G113" s="1183"/>
      <c r="H113" s="57">
        <f>IF(OR(G113="NA",G113=""),0,IF(G113/100&lt;=0.25,0.05,IF(G113/100&lt;=0.5,0.07,IF(G113/100&gt;0.5,0.12,""))))</f>
        <v>0</v>
      </c>
      <c r="I113" s="2381"/>
      <c r="J113" s="2382"/>
      <c r="K113" s="2382"/>
      <c r="L113" s="2383"/>
      <c r="M113" s="4" t="s">
        <v>92</v>
      </c>
      <c r="N113" s="1211"/>
      <c r="O113" s="57">
        <f>IF(N113="X",0.05,0)</f>
        <v>0</v>
      </c>
      <c r="P113" s="632"/>
      <c r="R113" s="63"/>
      <c r="S113" s="1214"/>
      <c r="T113" s="1214"/>
      <c r="U113" s="7"/>
      <c r="V113" s="6"/>
      <c r="W113" s="125"/>
      <c r="X113" s="126"/>
      <c r="Y113" s="127"/>
      <c r="Z113" s="127"/>
      <c r="AA113" s="127"/>
      <c r="AB113" s="127"/>
      <c r="AC113" s="63"/>
      <c r="AD113" s="63"/>
      <c r="AE113" s="63"/>
      <c r="AF113" s="63"/>
      <c r="AG113" s="63"/>
      <c r="AH113" s="63"/>
      <c r="AI113" s="63"/>
      <c r="AJ113" s="63"/>
      <c r="AK113" s="63"/>
      <c r="AL113" s="63"/>
      <c r="AM113" s="63"/>
    </row>
    <row r="114" spans="2:39" ht="18" customHeight="1" x14ac:dyDescent="0.2">
      <c r="B114" s="2354"/>
      <c r="C114" s="2355"/>
      <c r="D114" s="2355"/>
      <c r="E114" s="2356"/>
      <c r="F114" s="5" t="s">
        <v>93</v>
      </c>
      <c r="G114" s="1183"/>
      <c r="H114" s="26">
        <f>IF(OR(G114="NA",G114=""),0,IF(G114/100&lt;=0.25,0.05,IF(G114/100&lt;=0.5,0.07,IF(G114/100&gt;0.5,0.12,""))))</f>
        <v>0</v>
      </c>
      <c r="I114" s="2384"/>
      <c r="J114" s="2385"/>
      <c r="K114" s="2385"/>
      <c r="L114" s="2386"/>
      <c r="M114" s="5" t="s">
        <v>93</v>
      </c>
      <c r="N114" s="1211"/>
      <c r="O114" s="76">
        <f>IF(N114="X",0.05,0)</f>
        <v>0</v>
      </c>
      <c r="P114" s="631"/>
      <c r="R114" s="63"/>
      <c r="S114" s="1214"/>
      <c r="T114" s="1214"/>
      <c r="U114" s="7"/>
      <c r="V114" s="6"/>
      <c r="W114" s="125"/>
      <c r="X114" s="126"/>
      <c r="Y114" s="127"/>
      <c r="Z114" s="127"/>
      <c r="AA114" s="127"/>
      <c r="AB114" s="127"/>
      <c r="AC114" s="63"/>
      <c r="AD114" s="63"/>
      <c r="AE114" s="63"/>
      <c r="AF114" s="63"/>
      <c r="AG114" s="63"/>
      <c r="AH114" s="63"/>
      <c r="AI114" s="63"/>
      <c r="AJ114" s="63"/>
      <c r="AK114" s="63"/>
      <c r="AL114" s="63"/>
      <c r="AM114" s="63"/>
    </row>
    <row r="115" spans="2:39" ht="18" customHeight="1" x14ac:dyDescent="0.2">
      <c r="B115" s="1516" t="s">
        <v>1869</v>
      </c>
      <c r="C115" s="1517"/>
      <c r="D115" s="1517"/>
      <c r="E115" s="1517"/>
      <c r="F115" s="1517"/>
      <c r="G115" s="1517"/>
      <c r="H115" s="1517"/>
      <c r="I115" s="1517"/>
      <c r="J115" s="1517"/>
      <c r="K115" s="1517"/>
      <c r="L115" s="1517"/>
      <c r="M115" s="1517"/>
      <c r="N115" s="1517"/>
      <c r="O115" s="1518"/>
      <c r="R115" s="63"/>
      <c r="S115" s="7"/>
      <c r="T115" s="7"/>
      <c r="U115" s="7"/>
      <c r="V115" s="6"/>
      <c r="W115" s="125"/>
      <c r="X115" s="126"/>
      <c r="Y115" s="127"/>
      <c r="Z115" s="127"/>
      <c r="AA115" s="127"/>
      <c r="AB115" s="127"/>
      <c r="AC115" s="63"/>
      <c r="AD115" s="63"/>
      <c r="AE115" s="63"/>
      <c r="AF115" s="63"/>
      <c r="AG115" s="63"/>
      <c r="AH115" s="63"/>
      <c r="AI115" s="63"/>
      <c r="AJ115" s="63"/>
      <c r="AK115" s="63"/>
      <c r="AL115" s="63"/>
      <c r="AM115" s="63"/>
    </row>
    <row r="116" spans="2:39" ht="27" customHeight="1" x14ac:dyDescent="0.2">
      <c r="B116" s="1374" t="s">
        <v>563</v>
      </c>
      <c r="C116" s="1375"/>
      <c r="D116" s="1375"/>
      <c r="E116" s="1375"/>
      <c r="F116" s="1375"/>
      <c r="G116" s="1375"/>
      <c r="H116" s="1375"/>
      <c r="I116" s="1375"/>
      <c r="J116" s="1375"/>
      <c r="K116" s="1375"/>
      <c r="L116" s="1375"/>
      <c r="M116" s="1375"/>
      <c r="N116" s="1368"/>
      <c r="O116" s="1369"/>
      <c r="P116" s="2343" t="s">
        <v>2028</v>
      </c>
      <c r="R116" s="63"/>
      <c r="S116" s="7"/>
      <c r="T116" s="7"/>
      <c r="U116" s="7"/>
      <c r="V116" s="6"/>
      <c r="W116" s="125"/>
      <c r="X116" s="126"/>
      <c r="Y116" s="127"/>
      <c r="Z116" s="127"/>
      <c r="AA116" s="127"/>
      <c r="AB116" s="127"/>
      <c r="AC116" s="63"/>
      <c r="AD116" s="63"/>
      <c r="AE116" s="63"/>
      <c r="AF116" s="63"/>
      <c r="AG116" s="63"/>
      <c r="AH116" s="63"/>
      <c r="AI116" s="63"/>
      <c r="AJ116" s="63"/>
      <c r="AK116" s="63"/>
      <c r="AL116" s="63"/>
      <c r="AM116" s="63"/>
    </row>
    <row r="117" spans="2:39" ht="17.25" customHeight="1" x14ac:dyDescent="0.2">
      <c r="B117" s="23" t="s">
        <v>775</v>
      </c>
      <c r="C117" s="27" t="s">
        <v>89</v>
      </c>
      <c r="D117" s="27" t="s">
        <v>775</v>
      </c>
      <c r="E117" s="27" t="s">
        <v>90</v>
      </c>
      <c r="F117" s="27" t="s">
        <v>775</v>
      </c>
      <c r="G117" s="27" t="s">
        <v>91</v>
      </c>
      <c r="H117" s="27" t="s">
        <v>775</v>
      </c>
      <c r="I117" s="44" t="s">
        <v>92</v>
      </c>
      <c r="J117" s="44" t="s">
        <v>775</v>
      </c>
      <c r="K117" s="44" t="s">
        <v>93</v>
      </c>
      <c r="L117" s="44" t="s">
        <v>775</v>
      </c>
      <c r="M117" s="233" t="s">
        <v>838</v>
      </c>
      <c r="N117" s="234"/>
      <c r="O117" s="436"/>
      <c r="P117" s="2344"/>
      <c r="R117" s="63"/>
      <c r="S117" s="1410" t="s">
        <v>2293</v>
      </c>
      <c r="T117" s="1410"/>
      <c r="U117" s="1410"/>
      <c r="V117" s="1410"/>
      <c r="W117" s="1410"/>
      <c r="X117" s="1410"/>
      <c r="Y117" s="1410"/>
      <c r="Z117" s="1410"/>
      <c r="AA117" s="1410"/>
      <c r="AB117" s="1410"/>
      <c r="AC117" s="1410"/>
      <c r="AD117" s="1410"/>
      <c r="AE117" s="1410"/>
      <c r="AF117" s="63" t="s">
        <v>776</v>
      </c>
      <c r="AG117" s="63" t="s">
        <v>777</v>
      </c>
      <c r="AH117" s="63"/>
      <c r="AI117" s="63"/>
      <c r="AJ117" s="63"/>
      <c r="AK117" s="63"/>
      <c r="AL117" s="63"/>
      <c r="AM117" s="63"/>
    </row>
    <row r="118" spans="2:39" ht="18" customHeight="1" x14ac:dyDescent="0.2">
      <c r="B118" s="48"/>
      <c r="C118" s="1211"/>
      <c r="D118" s="1211"/>
      <c r="E118" s="1211"/>
      <c r="F118" s="1211"/>
      <c r="G118" s="1211"/>
      <c r="H118" s="1211"/>
      <c r="I118" s="1211"/>
      <c r="J118" s="1211"/>
      <c r="K118" s="1211"/>
      <c r="L118" s="1211"/>
      <c r="M118" s="1211"/>
      <c r="N118" s="235"/>
      <c r="O118" s="236"/>
      <c r="P118" s="2344"/>
      <c r="R118" s="63"/>
      <c r="S118" s="98">
        <f t="shared" ref="S118:AD118" si="22">IF(B118="X",1,0)</f>
        <v>0</v>
      </c>
      <c r="T118" s="135">
        <f t="shared" si="22"/>
        <v>0</v>
      </c>
      <c r="U118" s="135">
        <f t="shared" si="22"/>
        <v>0</v>
      </c>
      <c r="V118" s="135">
        <f t="shared" si="22"/>
        <v>0</v>
      </c>
      <c r="W118" s="135">
        <f t="shared" si="22"/>
        <v>0</v>
      </c>
      <c r="X118" s="135">
        <f t="shared" si="22"/>
        <v>0</v>
      </c>
      <c r="Y118" s="135">
        <f t="shared" si="22"/>
        <v>0</v>
      </c>
      <c r="Z118" s="135">
        <f t="shared" si="22"/>
        <v>0</v>
      </c>
      <c r="AA118" s="135">
        <f t="shared" si="22"/>
        <v>0</v>
      </c>
      <c r="AB118" s="135">
        <f t="shared" si="22"/>
        <v>0</v>
      </c>
      <c r="AC118" s="135">
        <f t="shared" si="22"/>
        <v>0</v>
      </c>
      <c r="AD118" s="135">
        <f t="shared" si="22"/>
        <v>0</v>
      </c>
      <c r="AE118" s="135"/>
      <c r="AF118" s="138">
        <f>SUM(T118, V118, X118, Z118, AB118, AD118)</f>
        <v>0</v>
      </c>
      <c r="AG118" s="138">
        <f>SUM(S118,U118, W118, Y118, AA118, AC118)</f>
        <v>0</v>
      </c>
      <c r="AH118" s="97">
        <f>IF(AND(AF118=0,AG118=0),0,0.09)</f>
        <v>0</v>
      </c>
      <c r="AI118" s="97" t="str">
        <f>IF(AF118&gt;2,(AF118-2)*0.01,"")</f>
        <v/>
      </c>
      <c r="AJ118" s="97" t="str">
        <f>IF(AG118&gt;1,(AG118-1)*0.01,"")</f>
        <v/>
      </c>
      <c r="AK118" s="61">
        <f>SUM(AH118:AJ118)</f>
        <v>0</v>
      </c>
      <c r="AL118" s="63"/>
      <c r="AM118" s="63"/>
    </row>
    <row r="119" spans="2:39" ht="18" customHeight="1" x14ac:dyDescent="0.2">
      <c r="B119" s="1555"/>
      <c r="C119" s="1555"/>
      <c r="D119" s="1555"/>
      <c r="E119" s="1555"/>
      <c r="F119" s="1555"/>
      <c r="G119" s="1555"/>
      <c r="H119" s="1555"/>
      <c r="I119" s="1555"/>
      <c r="J119" s="1555"/>
      <c r="K119" s="1555"/>
      <c r="L119" s="1555" t="s">
        <v>778</v>
      </c>
      <c r="M119" s="1555"/>
      <c r="N119" s="1623">
        <f>AK118</f>
        <v>0</v>
      </c>
      <c r="O119" s="1623"/>
      <c r="P119" s="2344"/>
      <c r="R119" s="63"/>
      <c r="S119" s="7"/>
      <c r="T119" s="7"/>
      <c r="U119" s="7"/>
      <c r="V119" s="7"/>
      <c r="W119" s="7"/>
      <c r="X119" s="7"/>
      <c r="Y119" s="7"/>
      <c r="Z119" s="7"/>
      <c r="AA119" s="7"/>
      <c r="AB119" s="7"/>
      <c r="AC119" s="7"/>
      <c r="AD119" s="7"/>
      <c r="AE119" s="7"/>
      <c r="AF119" s="129"/>
      <c r="AG119" s="129"/>
      <c r="AH119" s="41"/>
      <c r="AI119" s="41"/>
      <c r="AJ119" s="41"/>
      <c r="AK119" s="130"/>
      <c r="AL119" s="63"/>
      <c r="AM119" s="63"/>
    </row>
    <row r="120" spans="2:39" ht="27" customHeight="1" x14ac:dyDescent="0.2">
      <c r="B120" s="1374" t="s">
        <v>767</v>
      </c>
      <c r="C120" s="1375"/>
      <c r="D120" s="1375"/>
      <c r="E120" s="1375"/>
      <c r="F120" s="1375"/>
      <c r="G120" s="1375"/>
      <c r="H120" s="1375"/>
      <c r="I120" s="1375"/>
      <c r="J120" s="1375"/>
      <c r="K120" s="1375"/>
      <c r="L120" s="1375"/>
      <c r="M120" s="1375"/>
      <c r="N120" s="1368"/>
      <c r="O120" s="1369"/>
      <c r="P120" s="2344"/>
      <c r="R120" s="63"/>
      <c r="S120" s="63"/>
      <c r="T120" s="63"/>
      <c r="U120" s="63"/>
      <c r="V120" s="63"/>
      <c r="W120" s="63"/>
      <c r="X120" s="63"/>
      <c r="Y120" s="63"/>
      <c r="Z120" s="63"/>
      <c r="AA120" s="63"/>
      <c r="AB120" s="63"/>
      <c r="AC120" s="63"/>
      <c r="AD120" s="63"/>
      <c r="AE120" s="63"/>
      <c r="AF120" s="63"/>
      <c r="AG120" s="63"/>
      <c r="AH120" s="63"/>
      <c r="AI120" s="63"/>
      <c r="AJ120" s="63"/>
      <c r="AK120" s="63"/>
      <c r="AL120" s="63"/>
      <c r="AM120" s="63"/>
    </row>
    <row r="121" spans="2:39" ht="17.25" customHeight="1" x14ac:dyDescent="0.2">
      <c r="B121" s="23" t="s">
        <v>775</v>
      </c>
      <c r="C121" s="27" t="s">
        <v>89</v>
      </c>
      <c r="D121" s="27" t="s">
        <v>775</v>
      </c>
      <c r="E121" s="27" t="s">
        <v>90</v>
      </c>
      <c r="F121" s="27" t="s">
        <v>775</v>
      </c>
      <c r="G121" s="27" t="s">
        <v>91</v>
      </c>
      <c r="H121" s="27" t="s">
        <v>775</v>
      </c>
      <c r="I121" s="44" t="s">
        <v>92</v>
      </c>
      <c r="J121" s="44" t="s">
        <v>775</v>
      </c>
      <c r="K121" s="44" t="s">
        <v>93</v>
      </c>
      <c r="L121" s="44" t="s">
        <v>775</v>
      </c>
      <c r="M121" s="233" t="s">
        <v>838</v>
      </c>
      <c r="N121" s="234"/>
      <c r="O121" s="54"/>
      <c r="P121" s="2344"/>
      <c r="R121" s="63"/>
      <c r="S121" s="7"/>
      <c r="T121" s="7"/>
      <c r="U121" s="7"/>
      <c r="V121" s="7"/>
      <c r="W121" s="7"/>
      <c r="X121" s="7"/>
      <c r="Y121" s="7"/>
      <c r="Z121" s="7"/>
      <c r="AA121" s="7"/>
      <c r="AB121" s="7"/>
      <c r="AC121" s="7"/>
      <c r="AD121" s="7"/>
      <c r="AE121" s="129"/>
      <c r="AF121" s="129"/>
      <c r="AG121" s="41"/>
      <c r="AH121" s="41"/>
      <c r="AI121" s="41"/>
      <c r="AJ121" s="130"/>
      <c r="AK121" s="63"/>
      <c r="AL121" s="63"/>
      <c r="AM121" s="63"/>
    </row>
    <row r="122" spans="2:39" ht="18" customHeight="1" x14ac:dyDescent="0.2">
      <c r="B122" s="48"/>
      <c r="C122" s="48"/>
      <c r="D122" s="48"/>
      <c r="E122" s="48"/>
      <c r="F122" s="48"/>
      <c r="G122" s="48"/>
      <c r="H122" s="48"/>
      <c r="I122" s="48"/>
      <c r="J122" s="48"/>
      <c r="K122" s="48"/>
      <c r="L122" s="48"/>
      <c r="M122" s="231"/>
      <c r="N122" s="237"/>
      <c r="O122" s="55"/>
      <c r="P122" s="2344"/>
      <c r="R122" s="63"/>
      <c r="S122" s="63"/>
      <c r="T122" s="63"/>
      <c r="U122" s="63"/>
      <c r="V122" s="63"/>
      <c r="W122" s="63"/>
      <c r="X122" s="63"/>
      <c r="Y122" s="63"/>
      <c r="Z122" s="7"/>
      <c r="AA122" s="7"/>
      <c r="AB122" s="7"/>
      <c r="AC122" s="7"/>
      <c r="AD122" s="7"/>
      <c r="AE122" s="129"/>
      <c r="AF122" s="129"/>
      <c r="AG122" s="41"/>
      <c r="AH122" s="41"/>
      <c r="AI122" s="41"/>
      <c r="AJ122" s="130"/>
      <c r="AK122" s="63"/>
      <c r="AL122" s="63"/>
      <c r="AM122" s="63"/>
    </row>
    <row r="123" spans="2:39" ht="18" customHeight="1" x14ac:dyDescent="0.2">
      <c r="B123" s="26">
        <f t="shared" ref="B123:M123" si="23">IF(OR(B122="",B122="NA"),0,B122*0.01)</f>
        <v>0</v>
      </c>
      <c r="C123" s="26">
        <f t="shared" si="23"/>
        <v>0</v>
      </c>
      <c r="D123" s="26">
        <f t="shared" si="23"/>
        <v>0</v>
      </c>
      <c r="E123" s="26">
        <f t="shared" si="23"/>
        <v>0</v>
      </c>
      <c r="F123" s="26">
        <f t="shared" si="23"/>
        <v>0</v>
      </c>
      <c r="G123" s="26">
        <f t="shared" si="23"/>
        <v>0</v>
      </c>
      <c r="H123" s="26">
        <f t="shared" si="23"/>
        <v>0</v>
      </c>
      <c r="I123" s="26">
        <f t="shared" si="23"/>
        <v>0</v>
      </c>
      <c r="J123" s="26">
        <f t="shared" si="23"/>
        <v>0</v>
      </c>
      <c r="K123" s="26">
        <f t="shared" si="23"/>
        <v>0</v>
      </c>
      <c r="L123" s="26">
        <f t="shared" si="23"/>
        <v>0</v>
      </c>
      <c r="M123" s="76">
        <f t="shared" si="23"/>
        <v>0</v>
      </c>
      <c r="N123" s="235"/>
      <c r="O123" s="56"/>
      <c r="P123" s="2344"/>
      <c r="R123" s="63"/>
      <c r="S123" s="7"/>
      <c r="T123" s="7"/>
      <c r="U123" s="7"/>
      <c r="V123" s="6"/>
      <c r="W123" s="125"/>
      <c r="X123" s="126"/>
      <c r="Y123" s="127"/>
      <c r="Z123" s="127"/>
      <c r="AA123" s="127"/>
      <c r="AB123" s="127"/>
      <c r="AC123" s="63"/>
      <c r="AD123" s="63"/>
      <c r="AE123" s="63"/>
      <c r="AF123" s="63"/>
      <c r="AG123" s="63"/>
      <c r="AH123" s="63"/>
      <c r="AI123" s="63"/>
      <c r="AJ123" s="63"/>
      <c r="AK123" s="63"/>
      <c r="AL123" s="63"/>
      <c r="AM123" s="63"/>
    </row>
    <row r="124" spans="2:39" ht="18" customHeight="1" x14ac:dyDescent="0.2">
      <c r="B124" s="1555"/>
      <c r="C124" s="1555"/>
      <c r="D124" s="1555"/>
      <c r="E124" s="1555"/>
      <c r="F124" s="1555"/>
      <c r="G124" s="1555"/>
      <c r="H124" s="1555"/>
      <c r="I124" s="1555"/>
      <c r="J124" s="1555"/>
      <c r="K124" s="1555"/>
      <c r="L124" s="1555" t="s">
        <v>778</v>
      </c>
      <c r="M124" s="1555"/>
      <c r="N124" s="1623">
        <f>SUM(B123:M123)</f>
        <v>0</v>
      </c>
      <c r="O124" s="1623"/>
      <c r="P124" s="632"/>
      <c r="R124" s="63"/>
      <c r="S124" s="7"/>
      <c r="T124" s="7"/>
      <c r="U124" s="7"/>
      <c r="V124" s="6"/>
      <c r="W124" s="125"/>
      <c r="X124" s="126"/>
      <c r="Y124" s="127"/>
      <c r="Z124" s="127"/>
      <c r="AA124" s="127"/>
      <c r="AB124" s="127"/>
      <c r="AC124" s="63"/>
      <c r="AD124" s="63"/>
      <c r="AE124" s="63"/>
      <c r="AF124" s="63"/>
      <c r="AG124" s="63"/>
      <c r="AH124" s="63"/>
      <c r="AI124" s="63"/>
      <c r="AJ124" s="63"/>
      <c r="AK124" s="63"/>
      <c r="AL124" s="63"/>
      <c r="AM124" s="63"/>
    </row>
    <row r="125" spans="2:39" ht="18" customHeight="1" x14ac:dyDescent="0.2">
      <c r="B125" s="1791" t="s">
        <v>768</v>
      </c>
      <c r="C125" s="1791"/>
      <c r="D125" s="1791"/>
      <c r="E125" s="1791"/>
      <c r="F125" s="1791"/>
      <c r="G125" s="1791"/>
      <c r="H125" s="1791"/>
      <c r="I125" s="1791"/>
      <c r="J125" s="1791"/>
      <c r="K125" s="1791"/>
      <c r="L125" s="1791"/>
      <c r="M125" s="1791"/>
      <c r="N125" s="1791"/>
      <c r="O125" s="1791"/>
      <c r="P125" s="303">
        <f>N119+N124</f>
        <v>0</v>
      </c>
      <c r="R125" s="63"/>
      <c r="S125" s="7"/>
      <c r="T125" s="7"/>
      <c r="U125" s="7"/>
      <c r="V125" s="6"/>
      <c r="W125" s="125"/>
      <c r="X125" s="126"/>
      <c r="Y125" s="127"/>
      <c r="Z125" s="127"/>
      <c r="AA125" s="127"/>
      <c r="AB125" s="127"/>
      <c r="AC125" s="63"/>
      <c r="AD125" s="63"/>
      <c r="AE125" s="63"/>
      <c r="AF125" s="63"/>
      <c r="AG125" s="63"/>
      <c r="AH125" s="63"/>
      <c r="AI125" s="63"/>
      <c r="AJ125" s="63"/>
      <c r="AK125" s="63"/>
      <c r="AL125" s="63"/>
      <c r="AM125" s="63"/>
    </row>
    <row r="126" spans="2:39" ht="12" customHeight="1" x14ac:dyDescent="0.2">
      <c r="B126" s="1602"/>
      <c r="C126" s="1602"/>
      <c r="D126" s="1602"/>
      <c r="E126" s="1602"/>
      <c r="F126" s="1602"/>
      <c r="G126" s="1602"/>
      <c r="H126" s="1602"/>
      <c r="I126" s="1602"/>
      <c r="J126" s="1602"/>
      <c r="K126" s="1602"/>
      <c r="L126" s="1602"/>
      <c r="M126" s="1602"/>
      <c r="N126" s="1602"/>
      <c r="O126" s="1602"/>
      <c r="P126" s="1602"/>
      <c r="R126" s="63"/>
      <c r="S126" s="7"/>
      <c r="T126" s="7"/>
      <c r="U126" s="7"/>
      <c r="V126" s="6"/>
      <c r="W126" s="125"/>
      <c r="X126" s="126"/>
      <c r="Y126" s="127"/>
      <c r="Z126" s="127"/>
      <c r="AA126" s="127"/>
      <c r="AB126" s="127"/>
      <c r="AC126" s="63"/>
      <c r="AD126" s="63"/>
      <c r="AE126" s="63"/>
      <c r="AF126" s="63"/>
      <c r="AG126" s="63"/>
      <c r="AH126" s="63"/>
      <c r="AI126" s="63"/>
      <c r="AJ126" s="63"/>
      <c r="AK126" s="63"/>
      <c r="AL126" s="63"/>
      <c r="AM126" s="63"/>
    </row>
    <row r="127" spans="2:39" ht="12" hidden="1" customHeight="1" x14ac:dyDescent="0.2">
      <c r="B127" s="1605"/>
      <c r="C127" s="1605"/>
      <c r="D127" s="1605"/>
      <c r="E127" s="1605"/>
      <c r="F127" s="1605"/>
      <c r="G127" s="1605"/>
      <c r="H127" s="1605"/>
      <c r="I127" s="1605"/>
      <c r="J127" s="1605"/>
      <c r="K127" s="1605"/>
      <c r="L127" s="1605"/>
      <c r="M127" s="1605"/>
      <c r="N127" s="1605"/>
      <c r="O127" s="1605"/>
      <c r="P127" s="1605"/>
      <c r="R127" s="63"/>
      <c r="S127" s="7"/>
      <c r="T127" s="7"/>
      <c r="U127" s="7"/>
      <c r="V127" s="6"/>
      <c r="W127" s="125"/>
      <c r="X127" s="126"/>
      <c r="Y127" s="127"/>
      <c r="Z127" s="127"/>
      <c r="AA127" s="127"/>
      <c r="AB127" s="127"/>
      <c r="AC127" s="63"/>
      <c r="AD127" s="63"/>
      <c r="AE127" s="63"/>
      <c r="AF127" s="63"/>
      <c r="AG127" s="63"/>
      <c r="AH127" s="63"/>
      <c r="AI127" s="63"/>
      <c r="AJ127" s="63"/>
      <c r="AK127" s="63"/>
      <c r="AL127" s="63"/>
      <c r="AM127" s="63"/>
    </row>
    <row r="128" spans="2:39" ht="18" customHeight="1" x14ac:dyDescent="0.2">
      <c r="B128" s="1860" t="s">
        <v>596</v>
      </c>
      <c r="C128" s="1959"/>
      <c r="D128" s="1959"/>
      <c r="E128" s="1959"/>
      <c r="F128" s="1959"/>
      <c r="G128" s="1959"/>
      <c r="H128" s="1959"/>
      <c r="I128" s="1959"/>
      <c r="J128" s="1959"/>
      <c r="K128" s="1959"/>
      <c r="L128" s="1959"/>
      <c r="M128" s="1959"/>
      <c r="N128" s="1959"/>
      <c r="O128" s="1959"/>
      <c r="P128" s="1612">
        <f>IF(R130=1,0.05,0)</f>
        <v>0</v>
      </c>
      <c r="R128" s="63"/>
      <c r="S128" s="63"/>
      <c r="T128" s="63"/>
      <c r="U128" s="63"/>
      <c r="V128" s="63"/>
      <c r="W128" s="63"/>
      <c r="X128" s="63"/>
      <c r="Y128" s="63"/>
      <c r="Z128" s="63"/>
      <c r="AA128" s="63"/>
      <c r="AB128" s="63"/>
      <c r="AC128" s="63"/>
      <c r="AD128" s="63"/>
      <c r="AE128" s="63"/>
      <c r="AF128" s="63"/>
      <c r="AG128" s="63"/>
      <c r="AH128" s="63"/>
      <c r="AI128" s="63"/>
      <c r="AJ128" s="63"/>
      <c r="AK128" s="63"/>
      <c r="AL128" s="63"/>
      <c r="AM128" s="63"/>
    </row>
    <row r="129" spans="1:39" ht="45" customHeight="1" x14ac:dyDescent="0.2">
      <c r="B129" s="1379" t="s">
        <v>1876</v>
      </c>
      <c r="C129" s="1379"/>
      <c r="D129" s="1379"/>
      <c r="E129" s="1379"/>
      <c r="F129" s="1379"/>
      <c r="G129" s="1379"/>
      <c r="H129" s="1379"/>
      <c r="I129" s="1379"/>
      <c r="J129" s="1379"/>
      <c r="K129" s="1379"/>
      <c r="L129" s="1379"/>
      <c r="M129" s="1379"/>
      <c r="N129" s="1379"/>
      <c r="O129" s="1379"/>
      <c r="P129" s="1732"/>
      <c r="R129" s="1213" t="s">
        <v>2304</v>
      </c>
      <c r="S129" s="63"/>
      <c r="T129" s="63"/>
      <c r="U129" s="63"/>
      <c r="V129" s="63"/>
      <c r="W129" s="63"/>
      <c r="X129" s="63"/>
      <c r="Y129" s="63"/>
      <c r="Z129" s="63"/>
      <c r="AA129" s="63"/>
      <c r="AB129" s="63"/>
      <c r="AC129" s="63"/>
      <c r="AD129" s="63"/>
      <c r="AE129" s="63"/>
      <c r="AF129" s="63"/>
      <c r="AG129" s="63"/>
      <c r="AH129" s="63"/>
      <c r="AI129" s="63"/>
      <c r="AJ129" s="63"/>
      <c r="AK129" s="63"/>
      <c r="AL129" s="63"/>
      <c r="AM129" s="63"/>
    </row>
    <row r="130" spans="1:39" ht="21.75" customHeight="1" x14ac:dyDescent="0.2">
      <c r="A130" s="189"/>
      <c r="B130" s="1410" t="s">
        <v>948</v>
      </c>
      <c r="C130" s="1410"/>
      <c r="D130" s="1410"/>
      <c r="E130" s="1410"/>
      <c r="F130" s="1410"/>
      <c r="G130" s="1410"/>
      <c r="H130" s="1410"/>
      <c r="I130" s="1410"/>
      <c r="J130" s="1410"/>
      <c r="K130" s="1639"/>
      <c r="L130" s="1639"/>
      <c r="M130" s="1639"/>
      <c r="N130" s="1639"/>
      <c r="O130" s="1639"/>
      <c r="P130" s="1733"/>
      <c r="R130" s="1005">
        <v>2</v>
      </c>
      <c r="S130" s="63"/>
      <c r="T130" s="63"/>
      <c r="U130" s="63"/>
      <c r="V130" s="63"/>
      <c r="W130" s="63"/>
      <c r="X130" s="63"/>
      <c r="Y130" s="63"/>
      <c r="Z130" s="63"/>
      <c r="AA130" s="63"/>
      <c r="AB130" s="63"/>
      <c r="AC130" s="63"/>
      <c r="AD130" s="63"/>
      <c r="AE130" s="63"/>
      <c r="AF130" s="63"/>
      <c r="AG130" s="63"/>
      <c r="AH130" s="63"/>
      <c r="AI130" s="63"/>
      <c r="AJ130" s="63"/>
      <c r="AK130" s="63"/>
      <c r="AL130" s="63"/>
      <c r="AM130" s="63"/>
    </row>
    <row r="131" spans="1:39" ht="15" customHeight="1" x14ac:dyDescent="0.2">
      <c r="B131" s="1817"/>
      <c r="C131" s="1817"/>
      <c r="D131" s="1817"/>
      <c r="E131" s="1817"/>
      <c r="F131" s="1817"/>
      <c r="G131" s="1817"/>
      <c r="H131" s="1817"/>
      <c r="I131" s="1817"/>
      <c r="J131" s="1817"/>
      <c r="K131" s="1817"/>
      <c r="L131" s="1817"/>
      <c r="M131" s="1817"/>
      <c r="N131" s="1817"/>
      <c r="O131" s="1817"/>
      <c r="P131" s="1817"/>
      <c r="Q131" s="3"/>
      <c r="R131" s="150"/>
      <c r="S131" s="63"/>
      <c r="T131" s="63"/>
      <c r="U131" s="63"/>
      <c r="V131" s="63"/>
      <c r="W131" s="63"/>
      <c r="X131" s="63"/>
      <c r="Y131" s="63"/>
      <c r="Z131" s="63"/>
      <c r="AA131" s="63"/>
      <c r="AB131" s="63"/>
      <c r="AC131" s="63"/>
      <c r="AD131" s="63"/>
      <c r="AE131" s="63"/>
      <c r="AF131" s="63"/>
      <c r="AG131" s="63"/>
      <c r="AH131" s="63"/>
      <c r="AI131" s="63"/>
      <c r="AJ131" s="63"/>
      <c r="AK131" s="63"/>
      <c r="AL131" s="63"/>
      <c r="AM131" s="63"/>
    </row>
    <row r="132" spans="1:39" ht="27" customHeight="1" x14ac:dyDescent="0.2">
      <c r="B132" s="1356" t="s">
        <v>844</v>
      </c>
      <c r="C132" s="1356"/>
      <c r="D132" s="1356"/>
      <c r="E132" s="1356"/>
      <c r="F132" s="1356"/>
      <c r="G132" s="1356"/>
      <c r="H132" s="1356"/>
      <c r="I132" s="1687" t="s">
        <v>1525</v>
      </c>
      <c r="J132" s="1534"/>
      <c r="K132" s="1534"/>
      <c r="L132" s="1534"/>
      <c r="M132" s="1959"/>
      <c r="N132" s="1959"/>
      <c r="O132" s="1959"/>
      <c r="P132" s="2341">
        <f>AD135</f>
        <v>0</v>
      </c>
      <c r="R132" s="1210" t="s">
        <v>1865</v>
      </c>
      <c r="S132" s="1204">
        <f>IF(K133&gt;0,K133,G133)</f>
        <v>0</v>
      </c>
      <c r="T132" s="61">
        <f>D136</f>
        <v>0</v>
      </c>
      <c r="U132" s="61">
        <f>E136</f>
        <v>0</v>
      </c>
      <c r="V132" s="61">
        <f>F136</f>
        <v>0</v>
      </c>
      <c r="W132" s="61">
        <f>G136</f>
        <v>0</v>
      </c>
      <c r="X132" s="61">
        <f>H136</f>
        <v>0</v>
      </c>
      <c r="Y132" s="61">
        <f>D139</f>
        <v>0</v>
      </c>
      <c r="Z132" s="61">
        <f>E139</f>
        <v>0</v>
      </c>
      <c r="AA132" s="61">
        <f>F139</f>
        <v>0</v>
      </c>
      <c r="AB132" s="61">
        <f>G139</f>
        <v>0</v>
      </c>
      <c r="AC132" s="61">
        <f>H139</f>
        <v>0</v>
      </c>
      <c r="AD132" s="61">
        <f>G140</f>
        <v>0</v>
      </c>
      <c r="AE132" s="1204">
        <f>IF(K141&gt;0,K141,G141)</f>
        <v>0</v>
      </c>
      <c r="AF132" s="63"/>
      <c r="AG132" s="63"/>
      <c r="AH132" s="63"/>
      <c r="AI132" s="63"/>
      <c r="AJ132" s="63"/>
      <c r="AK132" s="63"/>
      <c r="AL132" s="63"/>
      <c r="AM132" s="63"/>
    </row>
    <row r="133" spans="1:39" ht="18.75" customHeight="1" x14ac:dyDescent="0.2">
      <c r="B133" s="1410" t="s">
        <v>1959</v>
      </c>
      <c r="C133" s="1410"/>
      <c r="D133" s="1410"/>
      <c r="E133" s="1410"/>
      <c r="F133" s="1410"/>
      <c r="G133" s="1373">
        <f>P103</f>
        <v>0</v>
      </c>
      <c r="H133" s="1373"/>
      <c r="I133" s="2339"/>
      <c r="J133" s="2340"/>
      <c r="K133" s="2073">
        <f>IF(I133="",0,IF(AND(G133*I133&gt;0,G133*I133&lt;0.01),0.01,ROUND(G133*I133,2)))</f>
        <v>0</v>
      </c>
      <c r="L133" s="2073"/>
      <c r="M133" s="1959"/>
      <c r="N133" s="1959"/>
      <c r="O133" s="1959"/>
      <c r="P133" s="2341"/>
      <c r="R133" s="61" t="s">
        <v>1305</v>
      </c>
      <c r="S133" s="1209">
        <f>LARGE($S$132:$AE$132,1)</f>
        <v>0</v>
      </c>
      <c r="T133" s="1209">
        <f>LARGE($S$132:$AE$132,2)</f>
        <v>0</v>
      </c>
      <c r="U133" s="1209">
        <f>LARGE($S$132:$AE$132,3)</f>
        <v>0</v>
      </c>
      <c r="V133" s="1209">
        <f>LARGE($S$132:$AE$132,4)</f>
        <v>0</v>
      </c>
      <c r="W133" s="1209">
        <f>LARGE($S$132:$AE$132,5)</f>
        <v>0</v>
      </c>
      <c r="X133" s="1209">
        <f>LARGE($S$132:$AE$132,6)</f>
        <v>0</v>
      </c>
      <c r="Y133" s="1209">
        <f>LARGE($S$132:$AE$132,7)</f>
        <v>0</v>
      </c>
      <c r="Z133" s="1209">
        <f>LARGE($S$132:$AE$132,8)</f>
        <v>0</v>
      </c>
      <c r="AA133" s="1209">
        <f>LARGE($S$132:$AE$132,9)</f>
        <v>0</v>
      </c>
      <c r="AB133" s="1209">
        <f>LARGE($S$132:$AE$132,10)</f>
        <v>0</v>
      </c>
      <c r="AC133" s="1209">
        <f>LARGE($S$132:$AE$132,11)</f>
        <v>0</v>
      </c>
      <c r="AD133" s="1209">
        <f>LARGE($S$132:$AE$132,12)</f>
        <v>0</v>
      </c>
      <c r="AE133" s="1209">
        <f>LARGE($S$132:$AE$132,13)</f>
        <v>0</v>
      </c>
      <c r="AF133" s="63"/>
      <c r="AG133" s="63"/>
      <c r="AH133" s="63"/>
      <c r="AI133" s="63"/>
      <c r="AJ133" s="63"/>
      <c r="AK133" s="63"/>
      <c r="AL133" s="63"/>
      <c r="AM133" s="63"/>
    </row>
    <row r="134" spans="1:39" ht="18.75" customHeight="1" x14ac:dyDescent="0.2">
      <c r="B134" s="1362" t="s">
        <v>1341</v>
      </c>
      <c r="C134" s="1363"/>
      <c r="D134" s="1363"/>
      <c r="E134" s="1363"/>
      <c r="F134" s="1363"/>
      <c r="G134" s="1363"/>
      <c r="H134" s="1364"/>
      <c r="I134" s="1687" t="s">
        <v>1942</v>
      </c>
      <c r="J134" s="1687"/>
      <c r="K134" s="271"/>
      <c r="L134" s="325"/>
      <c r="M134" s="1959"/>
      <c r="N134" s="1959"/>
      <c r="O134" s="1959"/>
      <c r="P134" s="2341"/>
      <c r="R134" s="61" t="s">
        <v>1306</v>
      </c>
      <c r="S134" s="16">
        <f>S133+T133*(1-S133)</f>
        <v>0</v>
      </c>
      <c r="T134" s="16">
        <f>S135+U133*(1-S135)</f>
        <v>0</v>
      </c>
      <c r="U134" s="16">
        <f t="shared" ref="U134:AD134" si="24">T135+V133*(1-T135)</f>
        <v>0</v>
      </c>
      <c r="V134" s="16">
        <f t="shared" si="24"/>
        <v>0</v>
      </c>
      <c r="W134" s="16">
        <f t="shared" si="24"/>
        <v>0</v>
      </c>
      <c r="X134" s="16">
        <f t="shared" si="24"/>
        <v>0</v>
      </c>
      <c r="Y134" s="16">
        <f t="shared" si="24"/>
        <v>0</v>
      </c>
      <c r="Z134" s="16">
        <f t="shared" si="24"/>
        <v>0</v>
      </c>
      <c r="AA134" s="16">
        <f t="shared" si="24"/>
        <v>0</v>
      </c>
      <c r="AB134" s="16">
        <f t="shared" si="24"/>
        <v>0</v>
      </c>
      <c r="AC134" s="16">
        <f t="shared" si="24"/>
        <v>0</v>
      </c>
      <c r="AD134" s="16">
        <f t="shared" si="24"/>
        <v>0</v>
      </c>
      <c r="AE134" s="63"/>
      <c r="AF134" s="63"/>
      <c r="AG134" s="63"/>
      <c r="AH134" s="63"/>
      <c r="AI134" s="63"/>
      <c r="AJ134" s="63"/>
      <c r="AK134" s="63"/>
      <c r="AL134" s="63"/>
      <c r="AM134" s="63"/>
    </row>
    <row r="135" spans="1:39" ht="18.75" customHeight="1" x14ac:dyDescent="0.2">
      <c r="B135" s="1822"/>
      <c r="C135" s="1823"/>
      <c r="D135" s="23" t="s">
        <v>89</v>
      </c>
      <c r="E135" s="23" t="s">
        <v>90</v>
      </c>
      <c r="F135" s="23" t="s">
        <v>91</v>
      </c>
      <c r="G135" s="23" t="s">
        <v>92</v>
      </c>
      <c r="H135" s="23" t="s">
        <v>93</v>
      </c>
      <c r="I135" s="1687" t="s">
        <v>1942</v>
      </c>
      <c r="J135" s="1687"/>
      <c r="K135" s="271"/>
      <c r="L135" s="325"/>
      <c r="M135" s="1959"/>
      <c r="N135" s="1959"/>
      <c r="O135" s="1959"/>
      <c r="P135" s="2341"/>
      <c r="R135" s="61" t="s">
        <v>1307</v>
      </c>
      <c r="S135" s="1209">
        <f t="shared" ref="S135:AD135" si="25">ROUND(S134,2)</f>
        <v>0</v>
      </c>
      <c r="T135" s="1209">
        <f t="shared" si="25"/>
        <v>0</v>
      </c>
      <c r="U135" s="1209">
        <f t="shared" si="25"/>
        <v>0</v>
      </c>
      <c r="V135" s="1209">
        <f t="shared" si="25"/>
        <v>0</v>
      </c>
      <c r="W135" s="1209">
        <f t="shared" si="25"/>
        <v>0</v>
      </c>
      <c r="X135" s="1209">
        <f t="shared" si="25"/>
        <v>0</v>
      </c>
      <c r="Y135" s="1209">
        <f t="shared" si="25"/>
        <v>0</v>
      </c>
      <c r="Z135" s="1209">
        <f t="shared" si="25"/>
        <v>0</v>
      </c>
      <c r="AA135" s="1209">
        <f t="shared" si="25"/>
        <v>0</v>
      </c>
      <c r="AB135" s="1209">
        <f t="shared" si="25"/>
        <v>0</v>
      </c>
      <c r="AC135" s="1209">
        <f t="shared" si="25"/>
        <v>0</v>
      </c>
      <c r="AD135" s="1209">
        <f t="shared" si="25"/>
        <v>0</v>
      </c>
      <c r="AE135" s="63"/>
      <c r="AF135" s="63"/>
      <c r="AG135" s="63"/>
      <c r="AH135" s="63"/>
      <c r="AI135" s="63"/>
      <c r="AJ135" s="63"/>
      <c r="AK135" s="63"/>
      <c r="AL135" s="63"/>
      <c r="AM135" s="63"/>
    </row>
    <row r="136" spans="1:39" ht="18.75" customHeight="1" x14ac:dyDescent="0.2">
      <c r="B136" s="1739"/>
      <c r="C136" s="1824"/>
      <c r="D136" s="303">
        <f>H110</f>
        <v>0</v>
      </c>
      <c r="E136" s="303">
        <f>H111</f>
        <v>0</v>
      </c>
      <c r="F136" s="303">
        <f>H112</f>
        <v>0</v>
      </c>
      <c r="G136" s="303">
        <f>H113</f>
        <v>0</v>
      </c>
      <c r="H136" s="303">
        <f>H114</f>
        <v>0</v>
      </c>
      <c r="I136" s="1687" t="s">
        <v>1942</v>
      </c>
      <c r="J136" s="1687"/>
      <c r="K136" s="271"/>
      <c r="L136" s="325"/>
      <c r="M136" s="1959"/>
      <c r="N136" s="1959"/>
      <c r="O136" s="1959"/>
      <c r="P136" s="2341"/>
      <c r="R136" s="520"/>
      <c r="S136" s="41"/>
      <c r="T136" s="131"/>
      <c r="U136" s="130"/>
      <c r="V136" s="120"/>
      <c r="W136" s="7"/>
      <c r="X136" s="7"/>
      <c r="Y136" s="63"/>
      <c r="Z136" s="63"/>
      <c r="AA136" s="63"/>
      <c r="AB136" s="63"/>
      <c r="AC136" s="63"/>
      <c r="AD136" s="63"/>
      <c r="AE136" s="63"/>
      <c r="AF136" s="63"/>
      <c r="AG136" s="63"/>
      <c r="AH136" s="63"/>
      <c r="AI136" s="63"/>
      <c r="AJ136" s="63"/>
      <c r="AK136" s="63"/>
      <c r="AL136" s="63"/>
      <c r="AM136" s="63"/>
    </row>
    <row r="137" spans="1:39" ht="18.75" customHeight="1" x14ac:dyDescent="0.2">
      <c r="B137" s="1374" t="s">
        <v>1342</v>
      </c>
      <c r="C137" s="1375"/>
      <c r="D137" s="1375"/>
      <c r="E137" s="1375"/>
      <c r="F137" s="1375"/>
      <c r="G137" s="1375"/>
      <c r="H137" s="1376"/>
      <c r="I137" s="1687" t="s">
        <v>1942</v>
      </c>
      <c r="J137" s="1687"/>
      <c r="K137" s="271"/>
      <c r="L137" s="325"/>
      <c r="M137" s="1959"/>
      <c r="N137" s="1959"/>
      <c r="O137" s="1959"/>
      <c r="P137" s="2341"/>
      <c r="R137" s="131"/>
      <c r="S137" s="131"/>
      <c r="T137" s="131"/>
      <c r="U137" s="131"/>
      <c r="V137" s="131"/>
      <c r="W137" s="7"/>
      <c r="X137" s="7"/>
      <c r="Y137" s="63"/>
      <c r="Z137" s="63"/>
      <c r="AA137" s="63"/>
      <c r="AB137" s="63"/>
      <c r="AC137" s="63"/>
      <c r="AD137" s="63"/>
      <c r="AE137" s="63"/>
      <c r="AF137" s="63"/>
      <c r="AG137" s="63"/>
      <c r="AH137" s="63"/>
      <c r="AI137" s="63"/>
      <c r="AJ137" s="63"/>
      <c r="AK137" s="63"/>
      <c r="AL137" s="63"/>
      <c r="AM137" s="63"/>
    </row>
    <row r="138" spans="1:39" ht="18.75" customHeight="1" x14ac:dyDescent="0.2">
      <c r="B138" s="1822"/>
      <c r="C138" s="1823"/>
      <c r="D138" s="23" t="s">
        <v>89</v>
      </c>
      <c r="E138" s="23" t="s">
        <v>90</v>
      </c>
      <c r="F138" s="23" t="s">
        <v>91</v>
      </c>
      <c r="G138" s="23" t="s">
        <v>92</v>
      </c>
      <c r="H138" s="23" t="s">
        <v>93</v>
      </c>
      <c r="I138" s="1687" t="s">
        <v>1942</v>
      </c>
      <c r="J138" s="1687"/>
      <c r="K138" s="271"/>
      <c r="L138" s="325"/>
      <c r="M138" s="1959"/>
      <c r="N138" s="1959"/>
      <c r="O138" s="1959"/>
      <c r="P138" s="2341"/>
      <c r="R138" s="131"/>
      <c r="S138" s="131"/>
      <c r="T138" s="131"/>
      <c r="U138" s="131"/>
      <c r="V138" s="131"/>
      <c r="W138" s="7"/>
      <c r="X138" s="7"/>
      <c r="Y138" s="63"/>
      <c r="Z138" s="63"/>
      <c r="AA138" s="63"/>
      <c r="AB138" s="63"/>
      <c r="AC138" s="63"/>
      <c r="AD138" s="63"/>
      <c r="AE138" s="63"/>
      <c r="AF138" s="63"/>
      <c r="AG138" s="63"/>
      <c r="AH138" s="63"/>
      <c r="AI138" s="63"/>
      <c r="AJ138" s="63"/>
      <c r="AK138" s="63"/>
      <c r="AL138" s="63"/>
      <c r="AM138" s="63"/>
    </row>
    <row r="139" spans="1:39" ht="18.75" customHeight="1" x14ac:dyDescent="0.2">
      <c r="B139" s="1739"/>
      <c r="C139" s="1824"/>
      <c r="D139" s="303">
        <f>O110</f>
        <v>0</v>
      </c>
      <c r="E139" s="303">
        <f>O111</f>
        <v>0</v>
      </c>
      <c r="F139" s="303">
        <f>O112</f>
        <v>0</v>
      </c>
      <c r="G139" s="303">
        <f>O113</f>
        <v>0</v>
      </c>
      <c r="H139" s="303">
        <f>O114</f>
        <v>0</v>
      </c>
      <c r="I139" s="1687" t="s">
        <v>1942</v>
      </c>
      <c r="J139" s="1687"/>
      <c r="K139" s="271"/>
      <c r="L139" s="325"/>
      <c r="M139" s="1959"/>
      <c r="N139" s="1959"/>
      <c r="O139" s="1959"/>
      <c r="P139" s="2341"/>
      <c r="R139" s="520"/>
      <c r="S139" s="41"/>
      <c r="T139" s="131"/>
      <c r="U139" s="130"/>
      <c r="V139" s="120"/>
      <c r="W139" s="63"/>
      <c r="X139" s="63"/>
      <c r="Y139" s="63"/>
      <c r="Z139" s="63"/>
      <c r="AA139" s="63"/>
      <c r="AB139" s="63"/>
      <c r="AC139" s="63"/>
      <c r="AD139" s="63"/>
      <c r="AE139" s="63"/>
      <c r="AF139" s="63"/>
      <c r="AG139" s="63"/>
      <c r="AH139" s="63"/>
      <c r="AI139" s="63"/>
      <c r="AJ139" s="63"/>
      <c r="AK139" s="63"/>
      <c r="AL139" s="63"/>
      <c r="AM139" s="63"/>
    </row>
    <row r="140" spans="1:39" ht="18.75" customHeight="1" x14ac:dyDescent="0.2">
      <c r="B140" s="1410" t="s">
        <v>1343</v>
      </c>
      <c r="C140" s="1410"/>
      <c r="D140" s="1410"/>
      <c r="E140" s="1410"/>
      <c r="F140" s="1410"/>
      <c r="G140" s="1373">
        <f>P125</f>
        <v>0</v>
      </c>
      <c r="H140" s="1373"/>
      <c r="I140" s="1687" t="s">
        <v>1942</v>
      </c>
      <c r="J140" s="1687"/>
      <c r="K140" s="271"/>
      <c r="L140" s="325"/>
      <c r="M140" s="1959"/>
      <c r="N140" s="1959"/>
      <c r="O140" s="1959"/>
      <c r="P140" s="2341"/>
      <c r="R140" s="520"/>
      <c r="S140" s="41"/>
      <c r="T140" s="131"/>
      <c r="U140" s="130"/>
      <c r="V140" s="133"/>
      <c r="W140" s="63"/>
      <c r="X140" s="63"/>
      <c r="Y140" s="63"/>
      <c r="Z140" s="63"/>
      <c r="AA140" s="63"/>
      <c r="AB140" s="63"/>
      <c r="AC140" s="63"/>
      <c r="AD140" s="63"/>
      <c r="AE140" s="63"/>
      <c r="AF140" s="63"/>
      <c r="AG140" s="63"/>
      <c r="AH140" s="63"/>
      <c r="AI140" s="63"/>
      <c r="AJ140" s="63"/>
      <c r="AK140" s="63"/>
      <c r="AL140" s="63"/>
      <c r="AM140" s="63"/>
    </row>
    <row r="141" spans="1:39" ht="18.75" customHeight="1" x14ac:dyDescent="0.2">
      <c r="B141" s="1410" t="s">
        <v>596</v>
      </c>
      <c r="C141" s="1410"/>
      <c r="D141" s="1410"/>
      <c r="E141" s="1410"/>
      <c r="F141" s="1410"/>
      <c r="G141" s="1545">
        <f>P128</f>
        <v>0</v>
      </c>
      <c r="H141" s="1545"/>
      <c r="I141" s="2339"/>
      <c r="J141" s="2340"/>
      <c r="K141" s="2073">
        <f>IF(I141="",0,IF(AND(G141*I141&gt;0,G141*I141&lt;0.01),0.01,ROUND(G141*I141,2)))</f>
        <v>0</v>
      </c>
      <c r="L141" s="2073"/>
      <c r="M141" s="1959"/>
      <c r="N141" s="1959"/>
      <c r="O141" s="1959"/>
      <c r="P141" s="2341"/>
      <c r="S141" s="41"/>
      <c r="T141" s="131"/>
      <c r="U141" s="130"/>
      <c r="V141" s="133"/>
      <c r="W141" s="133"/>
      <c r="X141" s="63"/>
      <c r="Y141" s="63"/>
      <c r="Z141" s="63"/>
      <c r="AA141" s="63"/>
      <c r="AB141" s="63"/>
      <c r="AC141" s="63"/>
      <c r="AD141" s="63"/>
      <c r="AE141" s="63"/>
      <c r="AF141" s="63"/>
      <c r="AG141" s="63"/>
      <c r="AH141" s="63"/>
      <c r="AI141" s="63"/>
      <c r="AJ141" s="63"/>
      <c r="AK141" s="63"/>
      <c r="AL141" s="63"/>
      <c r="AM141" s="63"/>
    </row>
    <row r="142" spans="1:39" ht="18.75" customHeight="1" x14ac:dyDescent="0.2">
      <c r="B142" s="1487"/>
      <c r="C142" s="1487"/>
      <c r="D142" s="1487"/>
      <c r="E142" s="1487"/>
      <c r="F142" s="1487"/>
      <c r="G142" s="1487"/>
      <c r="H142" s="1487"/>
      <c r="I142" s="1487"/>
      <c r="J142" s="1487"/>
      <c r="K142" s="2342" t="s">
        <v>1594</v>
      </c>
      <c r="L142" s="2342"/>
      <c r="M142" s="2342"/>
      <c r="N142" s="2342"/>
      <c r="O142" s="2342"/>
      <c r="P142" s="2341"/>
      <c r="S142" s="131"/>
      <c r="T142" s="130"/>
      <c r="U142" s="120"/>
      <c r="V142" s="133"/>
      <c r="W142" s="133"/>
      <c r="X142" s="63"/>
      <c r="Y142" s="63"/>
      <c r="Z142" s="63"/>
      <c r="AA142" s="63"/>
      <c r="AB142" s="63"/>
      <c r="AC142" s="63"/>
      <c r="AD142" s="63"/>
      <c r="AE142" s="63"/>
      <c r="AF142" s="63"/>
      <c r="AG142" s="63"/>
      <c r="AH142" s="63"/>
      <c r="AI142" s="63"/>
      <c r="AJ142" s="63"/>
      <c r="AK142" s="63"/>
      <c r="AL142" s="63"/>
      <c r="AM142" s="63"/>
    </row>
    <row r="143" spans="1:39" s="8" customFormat="1" ht="12" customHeight="1" x14ac:dyDescent="0.2">
      <c r="B143" s="1686"/>
      <c r="C143" s="1686"/>
      <c r="D143" s="1686"/>
      <c r="E143" s="1686"/>
      <c r="F143" s="1686"/>
      <c r="G143" s="1686"/>
      <c r="H143" s="1686"/>
      <c r="I143" s="1686"/>
      <c r="J143" s="1686"/>
      <c r="K143" s="1686"/>
      <c r="L143" s="1686"/>
      <c r="M143" s="1686"/>
      <c r="N143" s="1686"/>
      <c r="O143" s="1686"/>
      <c r="P143" s="9"/>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c r="AM143" s="120"/>
    </row>
    <row r="144" spans="1:39" ht="18" customHeight="1" x14ac:dyDescent="0.2">
      <c r="B144" s="1959" t="s">
        <v>845</v>
      </c>
      <c r="C144" s="1959"/>
      <c r="D144" s="1959"/>
      <c r="E144" s="1959"/>
      <c r="F144" s="1959"/>
      <c r="G144" s="1959"/>
      <c r="H144" s="1959"/>
      <c r="I144" s="1959"/>
      <c r="J144" s="1959"/>
      <c r="K144" s="1959"/>
      <c r="L144" s="1959"/>
      <c r="M144" s="1959"/>
      <c r="N144" s="1959"/>
      <c r="O144" s="1959"/>
      <c r="P144" s="2294">
        <f>T146</f>
        <v>0</v>
      </c>
      <c r="R144" s="1210" t="s">
        <v>1305</v>
      </c>
      <c r="S144" s="1210" t="s">
        <v>1306</v>
      </c>
      <c r="T144" s="1210" t="s">
        <v>1307</v>
      </c>
      <c r="U144" s="120"/>
      <c r="V144" s="120"/>
      <c r="W144" s="7"/>
      <c r="X144" s="7"/>
      <c r="Y144" s="63"/>
      <c r="Z144" s="63"/>
      <c r="AA144" s="63"/>
      <c r="AB144" s="63"/>
      <c r="AC144" s="63"/>
      <c r="AD144" s="63"/>
      <c r="AE144" s="63"/>
      <c r="AF144" s="63"/>
      <c r="AG144" s="63"/>
      <c r="AH144" s="63"/>
      <c r="AI144" s="63"/>
      <c r="AJ144" s="63"/>
      <c r="AK144" s="63"/>
      <c r="AL144" s="63"/>
      <c r="AM144" s="63"/>
    </row>
    <row r="145" spans="2:463" ht="18" customHeight="1" x14ac:dyDescent="0.2">
      <c r="B145" s="1410" t="s">
        <v>846</v>
      </c>
      <c r="C145" s="1410"/>
      <c r="D145" s="1410"/>
      <c r="E145" s="1410"/>
      <c r="F145" s="1410"/>
      <c r="G145" s="1373">
        <f>P38</f>
        <v>0</v>
      </c>
      <c r="H145" s="1373"/>
      <c r="I145" s="2319"/>
      <c r="J145" s="2320"/>
      <c r="K145" s="2320"/>
      <c r="L145" s="2320"/>
      <c r="M145" s="2320"/>
      <c r="N145" s="2320"/>
      <c r="O145" s="2321"/>
      <c r="P145" s="2295"/>
      <c r="R145" s="1001">
        <f>LARGE($G$145:$G$147,1)</f>
        <v>0</v>
      </c>
      <c r="S145" s="16">
        <f>R145+R146*(1-R145)</f>
        <v>0</v>
      </c>
      <c r="T145" s="61">
        <f>ROUND(S145,2)</f>
        <v>0</v>
      </c>
      <c r="U145" s="120"/>
      <c r="V145" s="120"/>
      <c r="W145" s="7"/>
      <c r="X145" s="7"/>
      <c r="Y145" s="63"/>
      <c r="Z145" s="63"/>
      <c r="AA145" s="63"/>
      <c r="AB145" s="63"/>
      <c r="AC145" s="63"/>
      <c r="AD145" s="63"/>
      <c r="AE145" s="63"/>
      <c r="AF145" s="63"/>
      <c r="AG145" s="63"/>
      <c r="AH145" s="63"/>
      <c r="AI145" s="63"/>
      <c r="AJ145" s="63"/>
      <c r="AK145" s="63"/>
      <c r="AL145" s="63"/>
      <c r="AM145" s="63"/>
    </row>
    <row r="146" spans="2:463" ht="18" customHeight="1" x14ac:dyDescent="0.2">
      <c r="B146" s="1410" t="s">
        <v>847</v>
      </c>
      <c r="C146" s="1410"/>
      <c r="D146" s="1410"/>
      <c r="E146" s="1410"/>
      <c r="F146" s="1410"/>
      <c r="G146" s="1373">
        <f>P87</f>
        <v>0</v>
      </c>
      <c r="H146" s="1373"/>
      <c r="I146" s="2290"/>
      <c r="J146" s="2291"/>
      <c r="K146" s="2291"/>
      <c r="L146" s="2291"/>
      <c r="M146" s="2291"/>
      <c r="N146" s="2291"/>
      <c r="O146" s="2292"/>
      <c r="P146" s="2295"/>
      <c r="R146" s="1001">
        <f>LARGE($G$145:$G$147,2)</f>
        <v>0</v>
      </c>
      <c r="S146" s="16">
        <f>T145+R147*(1-T145)</f>
        <v>0</v>
      </c>
      <c r="T146" s="61">
        <f>ROUND(S146,2)</f>
        <v>0</v>
      </c>
      <c r="U146" s="132"/>
      <c r="V146" s="120"/>
      <c r="W146" s="7"/>
      <c r="X146" s="7"/>
      <c r="Y146" s="63"/>
      <c r="Z146" s="63"/>
      <c r="AA146" s="63"/>
      <c r="AB146" s="63"/>
      <c r="AC146" s="63"/>
      <c r="AD146" s="63"/>
      <c r="AE146" s="63"/>
      <c r="AF146" s="63"/>
      <c r="AG146" s="63"/>
      <c r="AH146" s="63"/>
      <c r="AI146" s="63"/>
      <c r="AJ146" s="63"/>
      <c r="AK146" s="63"/>
      <c r="AL146" s="63"/>
      <c r="AM146" s="63"/>
    </row>
    <row r="147" spans="2:463" ht="18" customHeight="1" x14ac:dyDescent="0.2">
      <c r="B147" s="1560" t="s">
        <v>848</v>
      </c>
      <c r="C147" s="1560"/>
      <c r="D147" s="1560"/>
      <c r="E147" s="1560"/>
      <c r="F147" s="1560"/>
      <c r="G147" s="1630">
        <f>P132</f>
        <v>0</v>
      </c>
      <c r="H147" s="1630"/>
      <c r="I147" s="2290"/>
      <c r="J147" s="2291"/>
      <c r="K147" s="2291"/>
      <c r="L147" s="2291"/>
      <c r="M147" s="2291"/>
      <c r="N147" s="2291"/>
      <c r="O147" s="2292"/>
      <c r="P147" s="2295"/>
      <c r="R147" s="1001">
        <f>LARGE($G$145:$G$147,3)</f>
        <v>0</v>
      </c>
      <c r="S147" s="131"/>
      <c r="T147" s="130"/>
      <c r="U147" s="120"/>
      <c r="V147" s="120"/>
      <c r="W147" s="63"/>
      <c r="X147" s="63"/>
      <c r="Y147" s="63"/>
      <c r="Z147" s="63"/>
      <c r="AA147" s="63"/>
      <c r="AB147" s="63"/>
      <c r="AC147" s="63"/>
      <c r="AD147" s="63"/>
      <c r="AE147" s="63"/>
      <c r="AF147" s="63"/>
      <c r="AG147" s="63"/>
      <c r="AH147" s="63"/>
      <c r="AI147" s="63"/>
      <c r="AJ147" s="63"/>
      <c r="AK147" s="63"/>
      <c r="AL147" s="63"/>
      <c r="AM147" s="63"/>
    </row>
    <row r="148" spans="2:463" ht="18" customHeight="1" x14ac:dyDescent="0.2">
      <c r="B148" s="1667"/>
      <c r="C148" s="1672"/>
      <c r="D148" s="1672"/>
      <c r="E148" s="1672"/>
      <c r="F148" s="1672"/>
      <c r="G148" s="1007"/>
      <c r="H148" s="1007"/>
      <c r="I148" s="1007"/>
      <c r="J148" s="1007"/>
      <c r="K148" s="1007"/>
      <c r="L148" s="2346" t="s">
        <v>2250</v>
      </c>
      <c r="M148" s="2346"/>
      <c r="N148" s="2346"/>
      <c r="O148" s="2347"/>
      <c r="P148" s="2296"/>
      <c r="R148" s="41"/>
      <c r="S148" s="131"/>
      <c r="T148" s="130"/>
      <c r="U148" s="120"/>
      <c r="V148" s="133"/>
      <c r="W148" s="133"/>
      <c r="X148" s="63"/>
      <c r="Y148" s="63"/>
      <c r="Z148" s="63"/>
      <c r="AA148" s="63"/>
      <c r="AB148" s="63"/>
      <c r="AC148" s="63"/>
      <c r="AD148" s="63"/>
      <c r="AE148" s="63"/>
      <c r="AF148" s="63"/>
      <c r="AG148" s="63"/>
      <c r="AH148" s="63"/>
      <c r="AI148" s="63"/>
      <c r="AJ148" s="63"/>
      <c r="AK148" s="63"/>
      <c r="AL148" s="63"/>
      <c r="AM148" s="63"/>
    </row>
    <row r="149" spans="2:463" ht="33" customHeight="1" x14ac:dyDescent="0.25">
      <c r="B149" s="1382" t="s">
        <v>947</v>
      </c>
      <c r="C149" s="1382"/>
      <c r="D149" s="1382"/>
      <c r="E149" s="1382"/>
      <c r="F149" s="1382"/>
      <c r="G149" s="1382"/>
      <c r="H149" s="1382"/>
      <c r="I149" s="1382"/>
      <c r="J149" s="1382"/>
      <c r="K149" s="1382"/>
      <c r="L149" s="1382"/>
      <c r="M149" s="1382"/>
      <c r="N149" s="1382"/>
      <c r="O149" s="1382"/>
      <c r="P149" s="1682"/>
      <c r="R149" s="698"/>
      <c r="S149" s="698"/>
      <c r="T149" s="63"/>
      <c r="U149" s="63"/>
      <c r="V149" s="63"/>
      <c r="W149" s="63"/>
      <c r="X149" s="63"/>
      <c r="Y149" s="63"/>
      <c r="Z149" s="63"/>
      <c r="AA149" s="63"/>
      <c r="AB149" s="63"/>
      <c r="AC149" s="63"/>
      <c r="AD149" s="63"/>
      <c r="AE149" s="63"/>
      <c r="AF149" s="63"/>
      <c r="AG149" s="63"/>
      <c r="AH149" s="63"/>
      <c r="AI149" s="63"/>
      <c r="AJ149" s="63"/>
      <c r="AK149" s="63"/>
      <c r="AL149" s="63"/>
      <c r="AM149" s="63"/>
    </row>
    <row r="150" spans="2:463" ht="15.75" customHeight="1" x14ac:dyDescent="0.2">
      <c r="B150" s="2345" t="s">
        <v>790</v>
      </c>
      <c r="C150" s="2345"/>
      <c r="D150" s="2345"/>
      <c r="E150" s="2345"/>
      <c r="F150" s="2028" t="str">
        <f>IF(U1&lt;&gt;"",U1,"")</f>
        <v>Go to PPD Worksheet</v>
      </c>
      <c r="G150" s="2028"/>
      <c r="H150" s="2028"/>
      <c r="I150" s="2028"/>
      <c r="J150" s="2028"/>
      <c r="K150" s="2028" t="str">
        <f>IF(T1&lt;&gt;"",T1,"")</f>
        <v/>
      </c>
      <c r="L150" s="2028"/>
      <c r="M150" s="2028"/>
      <c r="N150" s="2028"/>
      <c r="O150" s="2028"/>
      <c r="P150" s="50"/>
      <c r="Q150" s="8"/>
      <c r="R150" s="132"/>
      <c r="S150" s="136"/>
      <c r="T150" s="134"/>
      <c r="U150" s="120"/>
      <c r="V150" s="120"/>
      <c r="W150" s="120"/>
      <c r="X150" s="120"/>
      <c r="Y150" s="120"/>
      <c r="Z150" s="120"/>
      <c r="AA150" s="63"/>
      <c r="AB150" s="63"/>
      <c r="AC150" s="63"/>
      <c r="AD150" s="63"/>
      <c r="AE150" s="63"/>
      <c r="AF150" s="63"/>
      <c r="AG150" s="63"/>
      <c r="AH150" s="63"/>
      <c r="AI150" s="63"/>
      <c r="AJ150" s="63"/>
      <c r="AK150" s="63"/>
      <c r="AL150" s="63"/>
      <c r="AM150" s="63"/>
    </row>
    <row r="151" spans="2:463" ht="15.75" customHeight="1" x14ac:dyDescent="0.2">
      <c r="E151" s="12"/>
      <c r="F151" s="1"/>
      <c r="G151" s="1"/>
      <c r="H151" s="19"/>
      <c r="I151" s="19"/>
      <c r="J151" s="19"/>
      <c r="K151" s="19"/>
      <c r="L151" s="19"/>
      <c r="M151" s="19"/>
      <c r="N151" s="19"/>
      <c r="O151" s="19"/>
      <c r="P151" s="11"/>
      <c r="R151" s="40"/>
      <c r="S151" s="89"/>
      <c r="T151" s="130"/>
      <c r="U151" s="7"/>
      <c r="V151" s="63"/>
      <c r="W151" s="63"/>
      <c r="X151" s="63"/>
      <c r="Y151" s="63"/>
      <c r="Z151" s="63"/>
      <c r="AA151" s="63"/>
      <c r="AB151" s="63"/>
      <c r="AC151" s="63"/>
      <c r="AD151" s="63"/>
      <c r="AE151" s="63"/>
      <c r="AF151" s="63"/>
      <c r="AG151" s="63"/>
      <c r="AH151" s="63"/>
      <c r="AI151" s="63"/>
      <c r="AJ151" s="63"/>
      <c r="AK151" s="63"/>
      <c r="AL151" s="63"/>
      <c r="AM151" s="63"/>
    </row>
    <row r="152" spans="2:463" s="219" customFormat="1" ht="12.75" customHeight="1" x14ac:dyDescent="0.2">
      <c r="B152" s="1223"/>
      <c r="C152" s="1223"/>
      <c r="D152" s="1223"/>
      <c r="E152" s="1223"/>
    </row>
    <row r="153" spans="2:463" s="219" customFormat="1" x14ac:dyDescent="0.2">
      <c r="B153" s="1223"/>
      <c r="C153" s="1223"/>
      <c r="D153" s="1223"/>
      <c r="E153" s="1223"/>
    </row>
    <row r="154" spans="2:463" x14ac:dyDescent="0.2">
      <c r="B154" s="1223"/>
      <c r="C154" s="1223"/>
      <c r="D154" s="1223"/>
      <c r="E154" s="1223"/>
      <c r="F154" s="219"/>
      <c r="G154" s="13"/>
      <c r="H154" s="461"/>
      <c r="I154" s="219"/>
      <c r="J154" s="13"/>
      <c r="K154" s="461"/>
      <c r="L154" s="219"/>
      <c r="M154" s="13"/>
      <c r="N154" s="461"/>
      <c r="O154" s="219"/>
      <c r="P154" s="13"/>
      <c r="Q154" s="461"/>
      <c r="R154" s="219"/>
      <c r="S154" s="13"/>
      <c r="T154" s="461"/>
      <c r="U154" s="219"/>
      <c r="V154" s="34"/>
      <c r="W154" s="137"/>
      <c r="X154" s="34"/>
      <c r="Y154" s="34"/>
      <c r="Z154" s="137"/>
      <c r="AA154" s="34"/>
      <c r="AB154" s="34"/>
      <c r="AC154" s="137"/>
      <c r="AD154" s="34"/>
      <c r="AE154" s="34"/>
      <c r="AF154" s="137"/>
      <c r="AG154" s="34"/>
      <c r="AH154" s="34"/>
      <c r="AI154" s="137"/>
      <c r="AJ154" s="34"/>
      <c r="AK154" s="34"/>
      <c r="AL154" s="137"/>
      <c r="AM154" s="34"/>
      <c r="AN154" s="34"/>
      <c r="AO154" s="137"/>
      <c r="AP154" s="34"/>
      <c r="AQ154" s="34"/>
      <c r="AR154" s="461"/>
      <c r="AS154" s="219"/>
      <c r="AT154" s="13"/>
      <c r="AU154" s="461"/>
      <c r="AV154" s="219"/>
      <c r="AW154" s="13"/>
      <c r="AX154" s="461"/>
      <c r="AY154" s="219"/>
      <c r="AZ154" s="13"/>
      <c r="BA154" s="461"/>
      <c r="BB154" s="219"/>
      <c r="BC154" s="34"/>
      <c r="BD154" s="461"/>
      <c r="BE154" s="219"/>
      <c r="BF154" s="13"/>
      <c r="BG154" s="461"/>
      <c r="BH154" s="219"/>
      <c r="BI154" s="13"/>
      <c r="BJ154" s="461"/>
      <c r="BK154" s="219"/>
      <c r="BL154" s="13"/>
      <c r="BM154" s="461"/>
      <c r="BN154" s="219"/>
      <c r="BO154" s="13"/>
      <c r="BP154" s="461"/>
      <c r="BQ154" s="219"/>
      <c r="BR154" s="13"/>
      <c r="BS154" s="461"/>
      <c r="BT154" s="219"/>
      <c r="BU154" s="13"/>
      <c r="BV154" s="461"/>
      <c r="BW154" s="219"/>
      <c r="BX154" s="13"/>
      <c r="BY154" s="461"/>
      <c r="BZ154" s="219"/>
      <c r="CA154" s="13"/>
      <c r="CB154" s="461"/>
      <c r="CC154" s="219"/>
      <c r="CD154" s="13"/>
      <c r="CE154" s="461"/>
      <c r="CF154" s="219"/>
      <c r="CG154" s="13"/>
      <c r="CH154" s="461"/>
      <c r="CI154" s="219"/>
      <c r="CJ154" s="13"/>
      <c r="CK154" s="461"/>
      <c r="CL154" s="219"/>
      <c r="CM154" s="13"/>
      <c r="CN154" s="461"/>
      <c r="CO154" s="219"/>
      <c r="CP154" s="13"/>
      <c r="CQ154" s="461"/>
      <c r="CR154" s="219"/>
      <c r="CS154" s="13"/>
      <c r="CT154" s="461"/>
      <c r="CU154" s="219"/>
      <c r="CV154" s="13"/>
      <c r="CW154" s="461"/>
      <c r="CX154" s="219"/>
      <c r="CY154" s="13"/>
      <c r="CZ154" s="461"/>
      <c r="DA154" s="219"/>
      <c r="DB154" s="13"/>
      <c r="DC154" s="461"/>
      <c r="DD154" s="219"/>
      <c r="DE154" s="13"/>
      <c r="DF154" s="461"/>
      <c r="DG154" s="219"/>
      <c r="DH154" s="13"/>
      <c r="DI154" s="461"/>
      <c r="DJ154" s="219"/>
      <c r="DK154" s="13"/>
      <c r="DL154" s="461"/>
      <c r="DM154" s="219"/>
      <c r="DN154" s="13"/>
      <c r="DO154" s="461"/>
      <c r="DP154" s="219"/>
      <c r="DQ154" s="13"/>
      <c r="DR154" s="461"/>
      <c r="DS154" s="219"/>
      <c r="DT154" s="13"/>
      <c r="DU154" s="461"/>
      <c r="DV154" s="219"/>
      <c r="DW154" s="13"/>
      <c r="DX154" s="461"/>
      <c r="DY154" s="219"/>
      <c r="DZ154" s="13"/>
      <c r="EA154" s="461"/>
      <c r="EB154" s="219"/>
      <c r="EC154" s="13"/>
      <c r="ED154" s="461"/>
      <c r="EE154" s="219"/>
      <c r="EF154" s="13"/>
      <c r="EG154" s="461"/>
      <c r="EH154" s="219"/>
      <c r="EI154" s="13"/>
      <c r="EJ154" s="461"/>
      <c r="EK154" s="219"/>
      <c r="EL154" s="13"/>
      <c r="EM154" s="461"/>
      <c r="EN154" s="219"/>
      <c r="EO154" s="13"/>
      <c r="EP154" s="461"/>
      <c r="EQ154" s="219"/>
      <c r="ER154" s="13"/>
      <c r="ES154" s="461"/>
      <c r="ET154" s="219"/>
      <c r="EU154" s="13"/>
      <c r="EV154" s="461"/>
      <c r="EW154" s="219"/>
      <c r="EX154" s="13"/>
      <c r="EY154" s="461"/>
      <c r="EZ154" s="219"/>
      <c r="FA154" s="13"/>
      <c r="FB154" s="461"/>
      <c r="FC154" s="219"/>
      <c r="FD154" s="13"/>
      <c r="FE154" s="461"/>
      <c r="FF154" s="219"/>
      <c r="FG154" s="13"/>
      <c r="FH154" s="461"/>
      <c r="FI154" s="219"/>
      <c r="FJ154" s="13"/>
      <c r="FK154" s="461"/>
      <c r="FL154" s="219"/>
      <c r="FM154" s="13"/>
      <c r="FN154" s="461"/>
      <c r="FO154" s="219"/>
      <c r="FP154" s="13"/>
      <c r="FQ154" s="461"/>
      <c r="FR154" s="219"/>
      <c r="FS154" s="13"/>
      <c r="FT154" s="461"/>
      <c r="FU154" s="219"/>
      <c r="FV154" s="13"/>
      <c r="FW154" s="461"/>
      <c r="FX154" s="219"/>
      <c r="FY154" s="13"/>
      <c r="FZ154" s="461"/>
      <c r="GA154" s="219"/>
      <c r="GB154" s="13"/>
      <c r="GC154" s="461"/>
      <c r="GD154" s="219"/>
      <c r="GE154" s="13"/>
      <c r="GF154" s="461"/>
      <c r="GG154" s="219"/>
      <c r="GH154" s="13"/>
      <c r="GI154" s="461"/>
      <c r="GJ154" s="219"/>
      <c r="GK154" s="13"/>
      <c r="GL154" s="461"/>
      <c r="GM154" s="219"/>
      <c r="GN154" s="13"/>
      <c r="GO154" s="461"/>
      <c r="GP154" s="219"/>
      <c r="GQ154" s="13"/>
      <c r="GR154" s="461"/>
      <c r="GS154" s="219"/>
      <c r="GT154" s="13"/>
      <c r="GU154" s="461"/>
      <c r="GV154" s="219"/>
      <c r="GW154" s="13"/>
      <c r="GX154" s="461"/>
      <c r="GY154" s="219"/>
      <c r="GZ154" s="13"/>
      <c r="HA154" s="461"/>
      <c r="HB154" s="219"/>
      <c r="HC154" s="13"/>
      <c r="HD154" s="461"/>
      <c r="HE154" s="219"/>
      <c r="HF154" s="13"/>
      <c r="HG154" s="461"/>
      <c r="HH154" s="219"/>
      <c r="HI154" s="13"/>
      <c r="HJ154" s="461"/>
      <c r="HK154" s="219"/>
      <c r="HL154" s="13"/>
      <c r="HM154" s="461"/>
      <c r="HN154" s="219"/>
      <c r="HO154" s="13"/>
      <c r="HP154" s="461"/>
      <c r="HQ154" s="219"/>
      <c r="HR154" s="13"/>
      <c r="HS154" s="461"/>
      <c r="HT154" s="219"/>
      <c r="HU154" s="13"/>
      <c r="HV154" s="461"/>
      <c r="HW154" s="219"/>
      <c r="HX154" s="13"/>
      <c r="HY154" s="461"/>
      <c r="HZ154" s="219"/>
      <c r="IA154" s="13"/>
      <c r="IB154" s="461"/>
      <c r="IC154" s="219"/>
      <c r="ID154" s="13"/>
      <c r="IE154" s="461"/>
      <c r="IF154" s="219"/>
      <c r="IG154" s="13"/>
      <c r="IH154" s="461"/>
      <c r="II154" s="219"/>
      <c r="IJ154" s="13"/>
      <c r="IK154" s="461"/>
      <c r="IL154" s="219"/>
      <c r="IM154" s="219"/>
      <c r="IN154" s="219"/>
      <c r="IO154" s="219"/>
      <c r="IP154" s="219"/>
      <c r="IQ154" s="219"/>
      <c r="IR154" s="219"/>
      <c r="IS154" s="219"/>
      <c r="IT154" s="219"/>
      <c r="IU154" s="219"/>
      <c r="IV154" s="219"/>
      <c r="IW154" s="219"/>
      <c r="IX154" s="219"/>
      <c r="IY154" s="219"/>
      <c r="IZ154" s="219"/>
      <c r="JA154" s="219"/>
      <c r="JB154" s="219"/>
      <c r="JC154" s="219"/>
      <c r="JD154" s="219"/>
      <c r="JE154" s="219"/>
      <c r="JF154" s="219"/>
      <c r="JG154" s="219"/>
      <c r="JH154" s="219"/>
      <c r="JI154" s="219"/>
      <c r="JJ154" s="219"/>
      <c r="JK154" s="219"/>
      <c r="JL154" s="219"/>
      <c r="JM154" s="219"/>
      <c r="JN154" s="219"/>
      <c r="JO154" s="219"/>
      <c r="JP154" s="219"/>
      <c r="JQ154" s="219"/>
      <c r="JR154" s="219"/>
      <c r="JS154" s="219"/>
      <c r="JT154" s="219"/>
      <c r="JU154" s="219"/>
      <c r="JV154" s="219"/>
      <c r="JW154" s="219"/>
      <c r="JX154" s="219"/>
      <c r="JY154" s="219"/>
      <c r="JZ154" s="219"/>
      <c r="KA154" s="219"/>
      <c r="KB154" s="219"/>
      <c r="KC154" s="219"/>
      <c r="KD154" s="219"/>
      <c r="KE154" s="219"/>
      <c r="KF154" s="219"/>
      <c r="KG154" s="219"/>
      <c r="KH154" s="219"/>
      <c r="KI154" s="219"/>
      <c r="KJ154" s="219"/>
      <c r="KK154" s="219"/>
      <c r="KL154" s="219"/>
      <c r="KM154" s="219"/>
      <c r="KN154" s="219"/>
      <c r="KO154" s="219"/>
      <c r="KP154" s="219"/>
      <c r="KQ154" s="219"/>
      <c r="KR154" s="219"/>
      <c r="KS154" s="219"/>
      <c r="KT154" s="219"/>
      <c r="KU154" s="219"/>
      <c r="KV154" s="219"/>
      <c r="KW154" s="219"/>
      <c r="KX154" s="219"/>
      <c r="KY154" s="219"/>
      <c r="KZ154" s="219"/>
      <c r="LA154" s="219"/>
      <c r="LB154" s="219"/>
      <c r="LC154" s="219"/>
      <c r="LD154" s="219"/>
      <c r="LE154" s="219"/>
      <c r="LF154" s="219"/>
      <c r="LG154" s="219"/>
      <c r="LH154" s="219"/>
      <c r="LI154" s="219"/>
      <c r="LJ154" s="219"/>
      <c r="LK154" s="219"/>
      <c r="LL154" s="219"/>
      <c r="LM154" s="219"/>
      <c r="LN154" s="219"/>
      <c r="LO154" s="219"/>
      <c r="LP154" s="219"/>
      <c r="LQ154" s="219"/>
      <c r="LR154" s="219"/>
      <c r="LS154" s="219"/>
      <c r="LT154" s="219"/>
      <c r="LU154" s="219"/>
      <c r="LV154" s="219"/>
      <c r="LW154" s="219"/>
      <c r="LX154" s="219"/>
      <c r="LY154" s="219"/>
      <c r="LZ154" s="219"/>
      <c r="MA154" s="219"/>
      <c r="MB154" s="219"/>
      <c r="MC154" s="219"/>
      <c r="MD154" s="219"/>
      <c r="ME154" s="219"/>
      <c r="MF154" s="219"/>
      <c r="MG154" s="219"/>
      <c r="MH154" s="219"/>
      <c r="MI154" s="219"/>
      <c r="MJ154" s="219"/>
      <c r="MK154" s="219"/>
      <c r="ML154" s="219"/>
      <c r="MM154" s="219"/>
      <c r="MN154" s="219"/>
      <c r="MO154" s="219"/>
      <c r="MP154" s="219"/>
      <c r="MQ154" s="219"/>
      <c r="MR154" s="219"/>
      <c r="MS154" s="219"/>
      <c r="MT154" s="219"/>
      <c r="MU154" s="219"/>
      <c r="MV154" s="219"/>
      <c r="MW154" s="219"/>
      <c r="MX154" s="219"/>
      <c r="MY154" s="219"/>
      <c r="MZ154" s="219"/>
      <c r="NA154" s="219"/>
      <c r="NB154" s="219"/>
      <c r="NC154" s="219"/>
      <c r="ND154" s="219"/>
      <c r="NE154" s="219"/>
      <c r="NF154" s="219"/>
      <c r="NG154" s="219"/>
      <c r="NH154" s="219"/>
      <c r="NI154" s="219"/>
      <c r="NJ154" s="219"/>
      <c r="NK154" s="219"/>
      <c r="NL154" s="219"/>
      <c r="NM154" s="219"/>
      <c r="NN154" s="219"/>
      <c r="NO154" s="219"/>
      <c r="NP154" s="219"/>
      <c r="NQ154" s="219"/>
      <c r="NR154" s="219"/>
      <c r="NS154" s="219"/>
      <c r="NT154" s="219"/>
      <c r="NU154" s="219"/>
      <c r="NV154" s="219"/>
      <c r="NW154" s="219"/>
      <c r="NX154" s="219"/>
      <c r="NY154" s="219"/>
      <c r="NZ154" s="219"/>
      <c r="OA154" s="219"/>
      <c r="OB154" s="219"/>
      <c r="OC154" s="219"/>
      <c r="OD154" s="219"/>
      <c r="OE154" s="219"/>
      <c r="OF154" s="219"/>
      <c r="OG154" s="219"/>
      <c r="OH154" s="219"/>
      <c r="OI154" s="219"/>
      <c r="OJ154" s="219"/>
      <c r="OK154" s="219"/>
      <c r="OL154" s="219"/>
      <c r="OM154" s="219"/>
      <c r="ON154" s="219"/>
      <c r="OO154" s="219"/>
      <c r="OP154" s="219"/>
      <c r="OQ154" s="219"/>
      <c r="OR154" s="219"/>
      <c r="OS154" s="219"/>
      <c r="OT154" s="219"/>
      <c r="OU154" s="219"/>
      <c r="OV154" s="219"/>
      <c r="OW154" s="219"/>
      <c r="OX154" s="219"/>
      <c r="OY154" s="219"/>
      <c r="OZ154" s="219"/>
      <c r="PA154" s="219"/>
      <c r="PB154" s="219"/>
      <c r="PC154" s="219"/>
      <c r="PD154" s="219"/>
      <c r="PE154" s="219"/>
      <c r="PF154" s="219"/>
      <c r="PG154" s="219"/>
      <c r="PH154" s="219"/>
      <c r="PI154" s="219"/>
      <c r="PJ154" s="219"/>
      <c r="PK154" s="219"/>
      <c r="PL154" s="219"/>
      <c r="PM154" s="219"/>
      <c r="PN154" s="219"/>
      <c r="PO154" s="219"/>
      <c r="PP154" s="219"/>
      <c r="PQ154" s="219"/>
      <c r="PR154" s="219"/>
      <c r="PS154" s="219"/>
      <c r="PT154" s="219"/>
      <c r="PU154" s="219"/>
      <c r="PV154" s="219"/>
      <c r="PW154" s="219"/>
      <c r="PX154" s="219"/>
      <c r="PY154" s="219"/>
      <c r="PZ154" s="219"/>
      <c r="QA154" s="219"/>
      <c r="QB154" s="219"/>
      <c r="QC154" s="219"/>
      <c r="QD154" s="219"/>
      <c r="QE154" s="219"/>
      <c r="QF154" s="219"/>
      <c r="QG154" s="219"/>
      <c r="QH154" s="219"/>
      <c r="QI154" s="219"/>
      <c r="QJ154" s="219"/>
      <c r="QK154" s="219"/>
      <c r="QL154" s="219"/>
      <c r="QM154" s="219"/>
      <c r="QN154" s="219"/>
      <c r="QO154" s="219"/>
      <c r="QP154" s="219"/>
      <c r="QQ154" s="219"/>
      <c r="QR154" s="219"/>
      <c r="QS154" s="219"/>
      <c r="QT154" s="219"/>
      <c r="QU154" s="219"/>
    </row>
    <row r="155" spans="2:463" hidden="1" x14ac:dyDescent="0.2">
      <c r="C155" s="35"/>
      <c r="D155" s="35"/>
      <c r="DB155" s="13"/>
      <c r="DC155" s="461"/>
      <c r="DD155" s="219"/>
      <c r="DE155" s="13"/>
      <c r="DF155" s="461"/>
      <c r="DG155" s="219"/>
      <c r="DH155" s="13"/>
      <c r="DI155" s="461"/>
      <c r="DJ155" s="219"/>
      <c r="DK155" s="13"/>
      <c r="DL155" s="461"/>
      <c r="DM155" s="219"/>
      <c r="DN155" s="13"/>
      <c r="DO155" s="461"/>
      <c r="DP155" s="219"/>
      <c r="DQ155" s="13"/>
      <c r="DR155" s="461"/>
      <c r="DS155" s="219"/>
      <c r="DT155" s="13"/>
      <c r="DU155" s="461"/>
      <c r="DV155" s="219"/>
      <c r="DW155" s="13"/>
      <c r="DX155" s="461"/>
      <c r="DY155" s="219"/>
      <c r="DZ155" s="13"/>
      <c r="EA155" s="461"/>
      <c r="EB155" s="219"/>
      <c r="EC155" s="13"/>
      <c r="ED155" s="461"/>
      <c r="EE155" s="219"/>
      <c r="EF155" s="13"/>
      <c r="EG155" s="461"/>
      <c r="EH155" s="219"/>
      <c r="EI155" s="13"/>
      <c r="EJ155" s="461"/>
      <c r="EK155" s="219"/>
      <c r="EL155" s="13"/>
      <c r="EM155" s="461"/>
      <c r="EN155" s="219"/>
      <c r="EO155" s="13"/>
      <c r="EP155" s="461"/>
      <c r="EQ155" s="219"/>
      <c r="ER155" s="13"/>
      <c r="ES155" s="461"/>
      <c r="ET155" s="219"/>
      <c r="EU155" s="13"/>
      <c r="EV155" s="461"/>
      <c r="EW155" s="219"/>
      <c r="EX155" s="13"/>
      <c r="EY155" s="461"/>
      <c r="EZ155" s="219"/>
      <c r="FA155" s="13"/>
      <c r="FB155" s="461"/>
      <c r="FC155" s="219"/>
      <c r="FD155" s="13"/>
      <c r="FE155" s="461"/>
      <c r="FF155" s="219"/>
      <c r="FG155" s="13"/>
      <c r="FH155" s="461"/>
      <c r="FI155" s="219"/>
      <c r="FJ155" s="13"/>
      <c r="FK155" s="461"/>
      <c r="FL155" s="219"/>
      <c r="FM155" s="13"/>
      <c r="FN155" s="461"/>
      <c r="FO155" s="219"/>
      <c r="FP155" s="13"/>
      <c r="FQ155" s="461"/>
      <c r="FR155" s="219"/>
      <c r="FS155" s="13"/>
      <c r="FT155" s="461"/>
      <c r="FU155" s="219"/>
      <c r="FV155" s="13"/>
      <c r="FW155" s="461"/>
      <c r="FX155" s="219"/>
      <c r="FY155" s="13"/>
      <c r="FZ155" s="461"/>
      <c r="GA155" s="219"/>
      <c r="GB155" s="13"/>
      <c r="GC155" s="461"/>
      <c r="GD155" s="219"/>
      <c r="GE155" s="13"/>
      <c r="GF155" s="461"/>
      <c r="GG155" s="219"/>
      <c r="GH155" s="13"/>
      <c r="GI155" s="461"/>
      <c r="GJ155" s="219"/>
      <c r="GK155" s="13"/>
      <c r="GL155" s="461"/>
      <c r="GM155" s="219"/>
      <c r="GN155" s="13"/>
      <c r="GO155" s="461"/>
      <c r="GP155" s="219"/>
      <c r="GQ155" s="13"/>
      <c r="GR155" s="461"/>
      <c r="GS155" s="219"/>
      <c r="GT155" s="13"/>
      <c r="GU155" s="461"/>
      <c r="GV155" s="219"/>
      <c r="GW155" s="13"/>
      <c r="GX155" s="461"/>
      <c r="GY155" s="219"/>
      <c r="GZ155" s="13"/>
      <c r="HA155" s="461"/>
      <c r="HB155" s="219"/>
      <c r="HC155" s="13"/>
      <c r="HD155" s="461"/>
      <c r="HE155" s="219"/>
      <c r="HF155" s="13"/>
      <c r="HG155" s="461"/>
      <c r="HH155" s="219"/>
      <c r="HI155" s="13"/>
      <c r="HJ155" s="461"/>
      <c r="HK155" s="219"/>
      <c r="HL155" s="13"/>
      <c r="HM155" s="461"/>
      <c r="HN155" s="219"/>
      <c r="HO155" s="13"/>
      <c r="HP155" s="461"/>
      <c r="HQ155" s="219"/>
      <c r="HR155" s="13"/>
      <c r="HS155" s="461"/>
      <c r="HT155" s="219"/>
      <c r="HU155" s="13"/>
      <c r="HV155" s="461"/>
      <c r="HW155" s="219"/>
      <c r="HX155" s="13"/>
      <c r="HY155" s="461"/>
      <c r="HZ155" s="219"/>
      <c r="IA155" s="13"/>
      <c r="IB155" s="461"/>
      <c r="IC155" s="219"/>
      <c r="ID155" s="13"/>
      <c r="IE155" s="461"/>
      <c r="IF155" s="219"/>
      <c r="IG155" s="13"/>
      <c r="IH155" s="461"/>
      <c r="II155" s="219"/>
      <c r="IJ155" s="13"/>
      <c r="IK155" s="461"/>
      <c r="IL155" s="219"/>
      <c r="IM155" s="219"/>
      <c r="IN155" s="219"/>
      <c r="IO155" s="219"/>
      <c r="IP155" s="219"/>
      <c r="IQ155" s="219"/>
      <c r="IR155" s="219"/>
      <c r="IS155" s="219"/>
      <c r="IT155" s="219"/>
      <c r="IU155" s="219"/>
      <c r="IV155" s="219"/>
      <c r="IW155" s="219"/>
      <c r="IX155" s="219"/>
      <c r="IY155" s="219"/>
      <c r="IZ155" s="219"/>
      <c r="JA155" s="219"/>
      <c r="JB155" s="219"/>
      <c r="JC155" s="219"/>
      <c r="JD155" s="219"/>
      <c r="JE155" s="219"/>
      <c r="JF155" s="219"/>
      <c r="JG155" s="219"/>
      <c r="JH155" s="219"/>
      <c r="JI155" s="219"/>
      <c r="JJ155" s="219"/>
      <c r="JK155" s="219"/>
      <c r="JL155" s="219"/>
      <c r="JM155" s="219"/>
      <c r="JN155" s="219"/>
      <c r="JO155" s="219"/>
      <c r="JP155" s="219"/>
      <c r="JQ155" s="219"/>
      <c r="JR155" s="219"/>
      <c r="JS155" s="219"/>
      <c r="JT155" s="219"/>
      <c r="JU155" s="219"/>
      <c r="JV155" s="219"/>
      <c r="JW155" s="219"/>
      <c r="JX155" s="219"/>
      <c r="JY155" s="219"/>
      <c r="JZ155" s="219"/>
      <c r="KA155" s="219"/>
      <c r="KB155" s="219"/>
      <c r="KC155" s="219"/>
      <c r="KD155" s="219"/>
      <c r="KE155" s="219"/>
      <c r="KF155" s="219"/>
      <c r="KG155" s="219"/>
      <c r="KH155" s="219"/>
      <c r="KI155" s="219"/>
      <c r="KJ155" s="219"/>
      <c r="KK155" s="219"/>
      <c r="KL155" s="219"/>
      <c r="KM155" s="219"/>
      <c r="KN155" s="219"/>
      <c r="KO155" s="219"/>
      <c r="KP155" s="219"/>
      <c r="KQ155" s="219"/>
      <c r="KR155" s="219"/>
      <c r="KS155" s="219"/>
      <c r="KT155" s="219"/>
      <c r="KU155" s="219"/>
      <c r="KV155" s="219"/>
      <c r="KW155" s="219"/>
      <c r="KX155" s="219"/>
      <c r="KY155" s="219"/>
      <c r="KZ155" s="219"/>
      <c r="LA155" s="219"/>
      <c r="LB155" s="219"/>
      <c r="LC155" s="219"/>
      <c r="LD155" s="219"/>
      <c r="LE155" s="219"/>
      <c r="LF155" s="219"/>
      <c r="LG155" s="219"/>
      <c r="LH155" s="219"/>
      <c r="LI155" s="219"/>
      <c r="LJ155" s="219"/>
      <c r="LK155" s="219"/>
      <c r="LL155" s="219"/>
      <c r="LM155" s="219"/>
      <c r="LN155" s="219"/>
      <c r="LO155" s="219"/>
      <c r="LP155" s="219"/>
      <c r="LQ155" s="219"/>
      <c r="LR155" s="219"/>
      <c r="LS155" s="219"/>
      <c r="LT155" s="219"/>
      <c r="LU155" s="219"/>
      <c r="LV155" s="219"/>
      <c r="LW155" s="219"/>
      <c r="LX155" s="219"/>
      <c r="LY155" s="219"/>
      <c r="LZ155" s="219"/>
      <c r="MA155" s="219"/>
      <c r="MB155" s="219"/>
      <c r="MC155" s="219"/>
      <c r="MD155" s="219"/>
      <c r="ME155" s="219"/>
      <c r="MF155" s="219"/>
      <c r="MG155" s="219"/>
      <c r="MH155" s="219"/>
      <c r="MI155" s="219"/>
      <c r="MJ155" s="219"/>
      <c r="MK155" s="219"/>
      <c r="ML155" s="219"/>
      <c r="MM155" s="219"/>
      <c r="MN155" s="219"/>
      <c r="MO155" s="219"/>
      <c r="MP155" s="219"/>
      <c r="MQ155" s="219"/>
      <c r="MR155" s="219"/>
      <c r="MS155" s="219"/>
      <c r="MT155" s="219"/>
      <c r="MU155" s="219"/>
      <c r="MV155" s="219"/>
      <c r="MW155" s="219"/>
      <c r="MX155" s="219"/>
      <c r="MY155" s="219"/>
      <c r="MZ155" s="219"/>
      <c r="NA155" s="219"/>
      <c r="NB155" s="219"/>
      <c r="NC155" s="219"/>
      <c r="ND155" s="219"/>
      <c r="NE155" s="219"/>
      <c r="NF155" s="219"/>
      <c r="NG155" s="219"/>
      <c r="NH155" s="219"/>
      <c r="NI155" s="219"/>
      <c r="NJ155" s="219"/>
      <c r="NK155" s="219"/>
      <c r="NL155" s="219"/>
      <c r="NM155" s="219"/>
      <c r="NN155" s="219"/>
      <c r="NO155" s="219"/>
      <c r="NP155" s="219"/>
      <c r="NQ155" s="219"/>
      <c r="NR155" s="219"/>
      <c r="NS155" s="219"/>
      <c r="NT155" s="219"/>
      <c r="NU155" s="219"/>
      <c r="NV155" s="219"/>
      <c r="NW155" s="219"/>
      <c r="NX155" s="219"/>
      <c r="NY155" s="219"/>
      <c r="NZ155" s="219"/>
      <c r="OA155" s="219"/>
      <c r="OB155" s="219"/>
      <c r="OC155" s="219"/>
      <c r="OD155" s="219"/>
      <c r="OE155" s="219"/>
      <c r="OF155" s="219"/>
      <c r="OG155" s="219"/>
      <c r="OH155" s="219"/>
      <c r="OI155" s="219"/>
      <c r="OJ155" s="219"/>
      <c r="OK155" s="219"/>
      <c r="OL155" s="219"/>
      <c r="OM155" s="219"/>
      <c r="ON155" s="219"/>
      <c r="OO155" s="219"/>
      <c r="OP155" s="219"/>
      <c r="OQ155" s="219"/>
      <c r="OR155" s="219"/>
      <c r="OS155" s="219"/>
      <c r="OT155" s="219"/>
      <c r="OU155" s="219"/>
      <c r="OV155" s="219"/>
      <c r="OW155" s="219"/>
      <c r="OX155" s="219"/>
      <c r="OY155" s="219"/>
      <c r="OZ155" s="219"/>
      <c r="PA155" s="219"/>
      <c r="PB155" s="219"/>
      <c r="PC155" s="219"/>
      <c r="PD155" s="219"/>
      <c r="PE155" s="219"/>
      <c r="PF155" s="219"/>
      <c r="PG155" s="219"/>
      <c r="PH155" s="219"/>
      <c r="PI155" s="219"/>
      <c r="PJ155" s="219"/>
      <c r="PK155" s="219"/>
      <c r="PL155" s="219"/>
      <c r="PM155" s="219"/>
      <c r="PN155" s="219"/>
      <c r="PO155" s="219"/>
      <c r="PP155" s="219"/>
      <c r="PQ155" s="219"/>
      <c r="PR155" s="219"/>
      <c r="PS155" s="219"/>
      <c r="PT155" s="219"/>
      <c r="PU155" s="219"/>
      <c r="PV155" s="219"/>
      <c r="PW155" s="219"/>
      <c r="PX155" s="219"/>
      <c r="PY155" s="219"/>
      <c r="PZ155" s="219"/>
      <c r="QA155" s="219"/>
      <c r="QB155" s="219"/>
      <c r="QC155" s="219"/>
      <c r="QD155" s="219"/>
      <c r="QE155" s="219"/>
      <c r="QF155" s="219"/>
      <c r="QG155" s="219"/>
      <c r="QH155" s="219"/>
      <c r="QI155" s="219"/>
      <c r="QJ155" s="219"/>
      <c r="QK155" s="219"/>
      <c r="QL155" s="219"/>
      <c r="QM155" s="219"/>
      <c r="QN155" s="219"/>
      <c r="QO155" s="219"/>
      <c r="QP155" s="219"/>
      <c r="QQ155" s="219"/>
      <c r="QR155" s="219"/>
      <c r="QS155" s="219"/>
      <c r="QT155" s="219"/>
      <c r="QU155" s="219"/>
    </row>
    <row r="156" spans="2:463" hidden="1" x14ac:dyDescent="0.2">
      <c r="B156" s="1216" t="s">
        <v>1942</v>
      </c>
      <c r="C156" s="1410" t="s">
        <v>2292</v>
      </c>
      <c r="D156" s="1410"/>
      <c r="E156" s="1410"/>
      <c r="F156" s="1410"/>
      <c r="G156" s="1410"/>
      <c r="H156" s="1410"/>
      <c r="I156" s="1410"/>
      <c r="J156" s="1410"/>
      <c r="K156" s="1410"/>
      <c r="L156" s="1410"/>
      <c r="M156" s="1410"/>
      <c r="N156" s="1410"/>
      <c r="O156" s="1217"/>
      <c r="P156" s="1217"/>
      <c r="Q156" s="1217"/>
      <c r="R156" s="1217"/>
      <c r="S156" s="1217"/>
      <c r="T156" s="1217"/>
      <c r="U156" s="63"/>
      <c r="V156" s="63"/>
      <c r="W156" s="63"/>
      <c r="X156" s="63"/>
      <c r="Y156" s="63"/>
      <c r="Z156" s="63"/>
      <c r="AA156" s="63"/>
      <c r="AB156" s="63"/>
      <c r="AC156" s="63"/>
      <c r="AD156" s="63"/>
      <c r="AE156" s="63"/>
      <c r="AF156" s="63"/>
      <c r="AG156" s="63"/>
      <c r="AH156" s="63"/>
      <c r="AI156" s="63"/>
      <c r="AJ156" s="63"/>
      <c r="AK156" s="63"/>
      <c r="AL156" s="63"/>
      <c r="AM156" s="63"/>
    </row>
    <row r="157" spans="2:463" hidden="1" x14ac:dyDescent="0.2">
      <c r="B157" s="1216">
        <v>0</v>
      </c>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c r="BE157" s="13"/>
      <c r="BF157" s="13"/>
      <c r="BG157" s="13"/>
      <c r="BH157" s="13"/>
      <c r="BI157" s="13"/>
      <c r="BJ157" s="13"/>
      <c r="BK157" s="13"/>
      <c r="BL157" s="13"/>
      <c r="BM157" s="13"/>
      <c r="BN157" s="13"/>
      <c r="BO157" s="13"/>
      <c r="BP157" s="13"/>
      <c r="BQ157" s="13"/>
      <c r="BR157" s="13"/>
      <c r="BS157" s="13"/>
      <c r="BT157" s="13"/>
      <c r="BU157" s="13"/>
      <c r="BV157" s="13"/>
      <c r="BW157" s="13"/>
      <c r="BX157" s="13"/>
      <c r="BY157" s="13"/>
      <c r="BZ157" s="13"/>
      <c r="CA157" s="13"/>
      <c r="CB157" s="13"/>
      <c r="CC157" s="13"/>
      <c r="CD157" s="13"/>
      <c r="CE157" s="13"/>
      <c r="CF157" s="13"/>
      <c r="CG157" s="13"/>
      <c r="CH157" s="13"/>
      <c r="CI157" s="13"/>
      <c r="CJ157" s="13"/>
      <c r="CK157" s="13"/>
      <c r="CL157" s="13"/>
      <c r="CM157" s="13"/>
      <c r="CN157" s="13"/>
      <c r="CO157" s="13"/>
      <c r="CP157" s="13"/>
      <c r="CQ157" s="13"/>
      <c r="CR157" s="13"/>
      <c r="CS157" s="13"/>
      <c r="CT157" s="13"/>
      <c r="CU157" s="13"/>
      <c r="CV157" s="13"/>
      <c r="CW157" s="13"/>
      <c r="CX157" s="13"/>
      <c r="CY157" s="13"/>
      <c r="CZ157" s="13"/>
      <c r="DA157" s="13"/>
    </row>
    <row r="158" spans="2:463" hidden="1" x14ac:dyDescent="0.2">
      <c r="B158" s="1216">
        <v>1</v>
      </c>
      <c r="R158" s="63"/>
      <c r="S158" s="63"/>
      <c r="T158" s="63"/>
      <c r="U158" s="63"/>
      <c r="V158" s="63"/>
      <c r="W158" s="63"/>
      <c r="X158" s="63"/>
      <c r="Y158" s="63"/>
      <c r="Z158" s="63"/>
      <c r="AA158" s="63"/>
      <c r="AB158" s="63"/>
      <c r="AC158" s="63"/>
      <c r="AD158" s="63"/>
      <c r="AE158" s="63"/>
      <c r="AF158" s="63"/>
      <c r="AG158" s="63"/>
      <c r="AH158" s="63"/>
      <c r="AI158" s="63"/>
      <c r="AJ158" s="63"/>
      <c r="AK158" s="63"/>
      <c r="AL158" s="63"/>
      <c r="AM158" s="63"/>
    </row>
    <row r="159" spans="2:463" hidden="1" x14ac:dyDescent="0.2">
      <c r="B159" s="1216">
        <v>2</v>
      </c>
      <c r="C159" s="35"/>
      <c r="D159" s="35"/>
      <c r="E159" s="1536" t="s">
        <v>2291</v>
      </c>
      <c r="F159" s="1536"/>
      <c r="G159" s="1536"/>
      <c r="H159" s="1536"/>
      <c r="I159" s="1536"/>
      <c r="J159" s="1536"/>
      <c r="K159" s="14"/>
      <c r="L159" s="1536" t="s">
        <v>2271</v>
      </c>
      <c r="M159" s="1536"/>
      <c r="N159" s="1536"/>
      <c r="R159" s="63"/>
      <c r="S159" s="63"/>
      <c r="T159" s="63"/>
      <c r="U159" s="63"/>
      <c r="V159" s="63"/>
      <c r="W159" s="63"/>
      <c r="X159" s="63"/>
      <c r="Y159" s="63"/>
      <c r="Z159" s="63"/>
      <c r="AA159" s="63"/>
      <c r="AB159" s="63"/>
      <c r="AC159" s="63"/>
      <c r="AD159" s="63"/>
      <c r="AE159" s="63"/>
      <c r="AF159" s="63"/>
      <c r="AG159" s="63"/>
      <c r="AH159" s="63"/>
      <c r="AI159" s="63"/>
      <c r="AJ159" s="63"/>
      <c r="AK159" s="63"/>
      <c r="AL159" s="63"/>
      <c r="AM159" s="63"/>
    </row>
    <row r="160" spans="2:463" hidden="1" x14ac:dyDescent="0.2">
      <c r="B160" s="1216">
        <v>3</v>
      </c>
      <c r="C160" s="35"/>
      <c r="D160" s="35"/>
      <c r="E160" s="1536"/>
      <c r="F160" s="1536"/>
      <c r="G160" s="1536"/>
      <c r="H160" s="1536"/>
      <c r="I160" s="1536"/>
      <c r="J160" s="1536"/>
      <c r="K160" s="14"/>
      <c r="L160" s="1536"/>
      <c r="M160" s="1536"/>
      <c r="N160" s="1536"/>
      <c r="R160" s="63"/>
      <c r="S160" s="63"/>
      <c r="T160" s="63"/>
      <c r="U160" s="63"/>
      <c r="V160" s="63"/>
      <c r="W160" s="63"/>
      <c r="X160" s="63"/>
      <c r="Y160" s="63"/>
      <c r="Z160" s="63"/>
      <c r="AA160" s="63"/>
      <c r="AB160" s="63"/>
      <c r="AC160" s="63"/>
      <c r="AD160" s="63"/>
      <c r="AE160" s="63"/>
      <c r="AF160" s="63"/>
      <c r="AG160" s="63"/>
      <c r="AH160" s="63"/>
      <c r="AI160" s="63"/>
      <c r="AJ160" s="63"/>
      <c r="AK160" s="63"/>
      <c r="AL160" s="63"/>
      <c r="AM160" s="63"/>
    </row>
    <row r="161" spans="2:39" hidden="1" x14ac:dyDescent="0.2">
      <c r="B161" s="1216">
        <v>4</v>
      </c>
      <c r="C161" s="35"/>
      <c r="D161" s="35"/>
      <c r="E161" s="17" t="s">
        <v>1942</v>
      </c>
      <c r="F161" s="17">
        <v>1</v>
      </c>
      <c r="G161" s="17">
        <v>2</v>
      </c>
      <c r="H161" s="17">
        <v>3</v>
      </c>
      <c r="I161" s="17">
        <v>4</v>
      </c>
      <c r="J161" s="17">
        <v>5</v>
      </c>
      <c r="K161" s="14"/>
      <c r="L161" s="1536"/>
      <c r="M161" s="1536"/>
      <c r="N161" s="1536"/>
      <c r="R161" s="63"/>
      <c r="S161" s="63"/>
      <c r="T161" s="63"/>
      <c r="U161" s="63"/>
      <c r="V161" s="63"/>
      <c r="W161" s="63"/>
      <c r="X161" s="63"/>
      <c r="Y161" s="63"/>
      <c r="Z161" s="63"/>
      <c r="AA161" s="63"/>
      <c r="AB161" s="63"/>
      <c r="AC161" s="63"/>
      <c r="AD161" s="63"/>
      <c r="AE161" s="63"/>
      <c r="AF161" s="63"/>
      <c r="AG161" s="63"/>
      <c r="AH161" s="63"/>
      <c r="AI161" s="63"/>
      <c r="AJ161" s="63"/>
      <c r="AK161" s="63"/>
      <c r="AL161" s="63"/>
      <c r="AM161" s="63"/>
    </row>
    <row r="162" spans="2:39" hidden="1" x14ac:dyDescent="0.2">
      <c r="B162" s="1216">
        <v>5</v>
      </c>
      <c r="C162" s="35"/>
      <c r="D162" s="35"/>
      <c r="F162" s="35"/>
      <c r="H162" s="35"/>
      <c r="J162" s="15"/>
      <c r="K162" s="14"/>
      <c r="L162" s="1186">
        <v>0.01</v>
      </c>
      <c r="M162" s="1186">
        <v>0.99</v>
      </c>
      <c r="N162" s="1186"/>
      <c r="R162" s="63"/>
      <c r="S162" s="63"/>
      <c r="T162" s="63"/>
      <c r="U162" s="63"/>
      <c r="V162" s="63"/>
      <c r="W162" s="63"/>
      <c r="X162" s="63"/>
      <c r="Y162" s="63"/>
      <c r="Z162" s="63"/>
      <c r="AA162" s="63"/>
      <c r="AB162" s="63"/>
      <c r="AC162" s="63"/>
      <c r="AD162" s="63"/>
      <c r="AE162" s="63"/>
      <c r="AF162" s="63"/>
      <c r="AG162" s="63"/>
      <c r="AH162" s="63"/>
      <c r="AI162" s="63"/>
      <c r="AJ162" s="63"/>
      <c r="AK162" s="63"/>
      <c r="AL162" s="63"/>
      <c r="AM162" s="63"/>
    </row>
    <row r="163" spans="2:39" ht="12.75" hidden="1" customHeight="1" x14ac:dyDescent="0.2">
      <c r="B163" s="1216">
        <v>6</v>
      </c>
      <c r="C163" s="35"/>
      <c r="D163" s="35"/>
      <c r="E163" s="1536" t="s">
        <v>2290</v>
      </c>
      <c r="F163" s="1536"/>
      <c r="G163" s="1536"/>
      <c r="H163" s="1536"/>
      <c r="I163" s="1536"/>
      <c r="J163" s="1536"/>
      <c r="K163" s="14"/>
      <c r="R163" s="63"/>
      <c r="S163" s="63"/>
      <c r="T163" s="63"/>
      <c r="U163" s="63"/>
      <c r="V163" s="63"/>
      <c r="W163" s="63"/>
      <c r="X163" s="63"/>
      <c r="Y163" s="63"/>
      <c r="Z163" s="63"/>
      <c r="AA163" s="63"/>
      <c r="AB163" s="63"/>
      <c r="AC163" s="63"/>
      <c r="AD163" s="63"/>
      <c r="AE163" s="63"/>
      <c r="AF163" s="63"/>
      <c r="AG163" s="63"/>
      <c r="AH163" s="63"/>
      <c r="AI163" s="63"/>
      <c r="AJ163" s="63"/>
      <c r="AK163" s="63"/>
      <c r="AL163" s="63"/>
      <c r="AM163" s="63"/>
    </row>
    <row r="164" spans="2:39" hidden="1" x14ac:dyDescent="0.2">
      <c r="B164" s="1216">
        <v>7</v>
      </c>
      <c r="C164" s="35"/>
      <c r="D164" s="35"/>
      <c r="E164" s="1536"/>
      <c r="F164" s="1536"/>
      <c r="G164" s="1536"/>
      <c r="H164" s="1536"/>
      <c r="I164" s="1536"/>
      <c r="J164" s="1536"/>
      <c r="K164" s="14"/>
      <c r="R164" s="63"/>
      <c r="S164" s="63"/>
      <c r="T164" s="63"/>
      <c r="U164" s="63"/>
      <c r="V164" s="63"/>
      <c r="W164" s="63"/>
      <c r="X164" s="63"/>
      <c r="Y164" s="63"/>
      <c r="Z164" s="63"/>
      <c r="AA164" s="63"/>
      <c r="AB164" s="63"/>
      <c r="AC164" s="63"/>
      <c r="AD164" s="63"/>
      <c r="AE164" s="63"/>
      <c r="AF164" s="63"/>
      <c r="AG164" s="63"/>
      <c r="AH164" s="63"/>
      <c r="AI164" s="63"/>
      <c r="AJ164" s="63"/>
      <c r="AK164" s="63"/>
      <c r="AL164" s="63"/>
      <c r="AM164" s="63"/>
    </row>
    <row r="165" spans="2:39" hidden="1" x14ac:dyDescent="0.2">
      <c r="B165" s="1216">
        <v>8</v>
      </c>
      <c r="C165" s="35"/>
      <c r="E165" s="1536"/>
      <c r="F165" s="1536"/>
      <c r="G165" s="1536"/>
      <c r="H165" s="1536"/>
      <c r="I165" s="1536"/>
      <c r="J165" s="1536"/>
      <c r="R165" s="63"/>
      <c r="S165" s="63"/>
      <c r="T165" s="63"/>
      <c r="U165" s="63"/>
      <c r="V165" s="63"/>
      <c r="W165" s="63"/>
      <c r="X165" s="63"/>
      <c r="Y165" s="63"/>
      <c r="Z165" s="63"/>
      <c r="AA165" s="63"/>
      <c r="AB165" s="63"/>
      <c r="AC165" s="63"/>
      <c r="AD165" s="63"/>
      <c r="AE165" s="63"/>
      <c r="AF165" s="63"/>
      <c r="AG165" s="63"/>
      <c r="AH165" s="63"/>
      <c r="AI165" s="63"/>
      <c r="AJ165" s="63"/>
      <c r="AK165" s="63"/>
      <c r="AL165" s="63"/>
      <c r="AM165" s="63"/>
    </row>
    <row r="166" spans="2:39" hidden="1" x14ac:dyDescent="0.2">
      <c r="B166" s="1216">
        <v>9</v>
      </c>
      <c r="C166" s="35"/>
      <c r="E166" s="1536"/>
      <c r="F166" s="1536"/>
      <c r="G166" s="1536"/>
      <c r="H166" s="1536"/>
      <c r="I166" s="1536"/>
      <c r="J166" s="1536"/>
      <c r="R166" s="63"/>
      <c r="S166" s="63"/>
      <c r="T166" s="63"/>
      <c r="U166" s="63"/>
      <c r="V166" s="63"/>
      <c r="W166" s="63"/>
      <c r="X166" s="63"/>
      <c r="Y166" s="63"/>
      <c r="Z166" s="63"/>
      <c r="AA166" s="63"/>
      <c r="AB166" s="63"/>
      <c r="AC166" s="63"/>
      <c r="AD166" s="63"/>
      <c r="AE166" s="63"/>
      <c r="AF166" s="63"/>
      <c r="AG166" s="63"/>
      <c r="AH166" s="63"/>
      <c r="AI166" s="63"/>
      <c r="AJ166" s="63"/>
      <c r="AK166" s="63"/>
      <c r="AL166" s="63"/>
      <c r="AM166" s="63"/>
    </row>
    <row r="167" spans="2:39" hidden="1" x14ac:dyDescent="0.2">
      <c r="B167" s="1216">
        <v>10</v>
      </c>
      <c r="E167" s="1212" t="s">
        <v>1942</v>
      </c>
      <c r="F167" s="1212" t="s">
        <v>1791</v>
      </c>
      <c r="R167" s="63"/>
      <c r="S167" s="63"/>
      <c r="T167" s="63"/>
      <c r="U167" s="63"/>
      <c r="V167" s="63"/>
      <c r="W167" s="63"/>
      <c r="X167" s="63"/>
      <c r="Y167" s="63"/>
      <c r="Z167" s="63"/>
      <c r="AA167" s="63"/>
      <c r="AB167" s="63"/>
      <c r="AC167" s="63"/>
      <c r="AD167" s="63"/>
      <c r="AE167" s="63"/>
      <c r="AF167" s="63"/>
      <c r="AG167" s="63"/>
      <c r="AH167" s="63"/>
      <c r="AI167" s="63"/>
      <c r="AJ167" s="63"/>
      <c r="AK167" s="63"/>
      <c r="AL167" s="63"/>
      <c r="AM167" s="63"/>
    </row>
    <row r="168" spans="2:39" hidden="1" x14ac:dyDescent="0.2">
      <c r="B168" s="1216">
        <v>11</v>
      </c>
      <c r="R168" s="63"/>
      <c r="S168" s="63"/>
      <c r="T168" s="63"/>
      <c r="U168" s="63"/>
      <c r="V168" s="63"/>
      <c r="W168" s="63"/>
      <c r="X168" s="63"/>
      <c r="Y168" s="63"/>
      <c r="Z168" s="63"/>
      <c r="AA168" s="63"/>
      <c r="AB168" s="63"/>
      <c r="AC168" s="63"/>
      <c r="AD168" s="63"/>
      <c r="AE168" s="63"/>
      <c r="AF168" s="63"/>
      <c r="AG168" s="63"/>
      <c r="AH168" s="63"/>
      <c r="AI168" s="63"/>
      <c r="AJ168" s="63"/>
      <c r="AK168" s="63"/>
      <c r="AL168" s="63"/>
      <c r="AM168" s="63"/>
    </row>
    <row r="169" spans="2:39" hidden="1" x14ac:dyDescent="0.2">
      <c r="B169" s="1216">
        <v>12</v>
      </c>
      <c r="R169" s="63"/>
      <c r="S169" s="63"/>
      <c r="T169" s="63"/>
      <c r="U169" s="63"/>
      <c r="V169" s="63"/>
      <c r="W169" s="63"/>
      <c r="X169" s="63"/>
      <c r="Y169" s="63"/>
      <c r="Z169" s="63"/>
      <c r="AA169" s="63"/>
      <c r="AB169" s="63"/>
      <c r="AC169" s="63"/>
      <c r="AD169" s="63"/>
      <c r="AE169" s="63"/>
      <c r="AF169" s="63"/>
      <c r="AG169" s="63"/>
      <c r="AH169" s="63"/>
      <c r="AI169" s="63"/>
      <c r="AJ169" s="63"/>
      <c r="AK169" s="63"/>
      <c r="AL169" s="63"/>
      <c r="AM169" s="63"/>
    </row>
    <row r="170" spans="2:39" hidden="1" x14ac:dyDescent="0.2">
      <c r="B170" s="1216">
        <v>13</v>
      </c>
      <c r="R170" s="63"/>
      <c r="S170" s="63"/>
      <c r="T170" s="63"/>
      <c r="U170" s="63"/>
      <c r="V170" s="63"/>
      <c r="W170" s="63"/>
      <c r="X170" s="63"/>
      <c r="Y170" s="63"/>
      <c r="Z170" s="63"/>
      <c r="AA170" s="63"/>
      <c r="AB170" s="63"/>
      <c r="AC170" s="63"/>
      <c r="AD170" s="63"/>
      <c r="AE170" s="63"/>
      <c r="AF170" s="63"/>
      <c r="AG170" s="63"/>
      <c r="AH170" s="63"/>
      <c r="AI170" s="63"/>
      <c r="AJ170" s="63"/>
      <c r="AK170" s="63"/>
      <c r="AL170" s="63"/>
      <c r="AM170" s="63"/>
    </row>
    <row r="171" spans="2:39" hidden="1" x14ac:dyDescent="0.2">
      <c r="B171" s="1216">
        <v>14</v>
      </c>
      <c r="R171" s="63"/>
      <c r="S171" s="63"/>
      <c r="T171" s="63"/>
      <c r="U171" s="63"/>
      <c r="V171" s="63"/>
      <c r="W171" s="63"/>
      <c r="X171" s="63"/>
      <c r="Y171" s="63"/>
      <c r="Z171" s="63"/>
      <c r="AA171" s="63"/>
      <c r="AB171" s="63"/>
      <c r="AC171" s="63"/>
      <c r="AD171" s="63"/>
      <c r="AE171" s="63"/>
      <c r="AF171" s="63"/>
      <c r="AG171" s="63"/>
      <c r="AH171" s="63"/>
      <c r="AI171" s="63"/>
      <c r="AJ171" s="63"/>
      <c r="AK171" s="63"/>
      <c r="AL171" s="63"/>
      <c r="AM171" s="63"/>
    </row>
    <row r="172" spans="2:39" hidden="1" x14ac:dyDescent="0.2">
      <c r="B172" s="1216">
        <v>15</v>
      </c>
      <c r="R172" s="63"/>
      <c r="S172" s="63"/>
      <c r="T172" s="63"/>
      <c r="U172" s="63"/>
      <c r="V172" s="63"/>
      <c r="W172" s="63"/>
      <c r="X172" s="63"/>
      <c r="Y172" s="63"/>
      <c r="Z172" s="63"/>
      <c r="AA172" s="63"/>
      <c r="AB172" s="63"/>
      <c r="AC172" s="63"/>
      <c r="AD172" s="63"/>
      <c r="AE172" s="63"/>
      <c r="AF172" s="63"/>
      <c r="AG172" s="63"/>
      <c r="AH172" s="63"/>
      <c r="AI172" s="63"/>
      <c r="AJ172" s="63"/>
      <c r="AK172" s="63"/>
      <c r="AL172" s="63"/>
      <c r="AM172" s="63"/>
    </row>
    <row r="173" spans="2:39" hidden="1" x14ac:dyDescent="0.2">
      <c r="B173" s="1216">
        <v>16</v>
      </c>
      <c r="R173" s="63"/>
      <c r="S173" s="63"/>
      <c r="T173" s="63"/>
      <c r="U173" s="63"/>
      <c r="V173" s="63"/>
      <c r="W173" s="63"/>
      <c r="X173" s="63"/>
      <c r="Y173" s="63"/>
      <c r="Z173" s="63"/>
      <c r="AA173" s="63"/>
      <c r="AB173" s="63"/>
      <c r="AC173" s="63"/>
      <c r="AD173" s="63"/>
      <c r="AE173" s="63"/>
      <c r="AF173" s="63"/>
      <c r="AG173" s="63"/>
      <c r="AH173" s="63"/>
      <c r="AI173" s="63"/>
      <c r="AJ173" s="63"/>
      <c r="AK173" s="63"/>
      <c r="AL173" s="63"/>
      <c r="AM173" s="63"/>
    </row>
    <row r="174" spans="2:39" hidden="1" x14ac:dyDescent="0.2">
      <c r="B174" s="1216">
        <v>17</v>
      </c>
      <c r="R174" s="63"/>
      <c r="S174" s="63"/>
      <c r="T174" s="63"/>
      <c r="U174" s="63"/>
      <c r="V174" s="63"/>
      <c r="W174" s="63"/>
      <c r="X174" s="63"/>
      <c r="Y174" s="63"/>
      <c r="Z174" s="63"/>
      <c r="AA174" s="63"/>
      <c r="AB174" s="63"/>
      <c r="AC174" s="63"/>
      <c r="AD174" s="63"/>
      <c r="AE174" s="63"/>
      <c r="AF174" s="63"/>
      <c r="AG174" s="63"/>
      <c r="AH174" s="63"/>
      <c r="AI174" s="63"/>
      <c r="AJ174" s="63"/>
      <c r="AK174" s="63"/>
      <c r="AL174" s="63"/>
      <c r="AM174" s="63"/>
    </row>
    <row r="175" spans="2:39" hidden="1" x14ac:dyDescent="0.2">
      <c r="B175" s="1216">
        <v>18</v>
      </c>
      <c r="R175" s="63"/>
      <c r="S175" s="63"/>
      <c r="T175" s="63"/>
      <c r="U175" s="63"/>
      <c r="V175" s="63"/>
      <c r="W175" s="63"/>
      <c r="X175" s="63"/>
      <c r="Y175" s="63"/>
      <c r="Z175" s="63"/>
      <c r="AA175" s="63"/>
      <c r="AB175" s="63"/>
      <c r="AC175" s="63"/>
      <c r="AD175" s="63"/>
      <c r="AE175" s="63"/>
      <c r="AF175" s="63"/>
      <c r="AG175" s="63"/>
      <c r="AH175" s="63"/>
      <c r="AI175" s="63"/>
      <c r="AJ175" s="63"/>
      <c r="AK175" s="63"/>
      <c r="AL175" s="63"/>
      <c r="AM175" s="63"/>
    </row>
    <row r="176" spans="2:39" hidden="1" x14ac:dyDescent="0.2">
      <c r="B176" s="1216">
        <v>19</v>
      </c>
      <c r="R176" s="63"/>
      <c r="S176" s="63"/>
      <c r="T176" s="63"/>
      <c r="U176" s="63"/>
      <c r="V176" s="63"/>
      <c r="W176" s="63"/>
      <c r="X176" s="63"/>
      <c r="Y176" s="63"/>
      <c r="Z176" s="63"/>
      <c r="AA176" s="63"/>
      <c r="AB176" s="63"/>
      <c r="AC176" s="63"/>
      <c r="AD176" s="63"/>
      <c r="AE176" s="63"/>
      <c r="AF176" s="63"/>
      <c r="AG176" s="63"/>
      <c r="AH176" s="63"/>
      <c r="AI176" s="63"/>
      <c r="AJ176" s="63"/>
      <c r="AK176" s="63"/>
      <c r="AL176" s="63"/>
      <c r="AM176" s="63"/>
    </row>
    <row r="177" spans="2:39" hidden="1" x14ac:dyDescent="0.2">
      <c r="B177" s="1216">
        <v>20</v>
      </c>
      <c r="R177" s="63"/>
      <c r="S177" s="63"/>
      <c r="T177" s="63"/>
      <c r="U177" s="63"/>
      <c r="V177" s="63"/>
      <c r="W177" s="63"/>
      <c r="X177" s="63"/>
      <c r="Y177" s="63"/>
      <c r="Z177" s="63"/>
      <c r="AA177" s="63"/>
      <c r="AB177" s="63"/>
      <c r="AC177" s="63"/>
      <c r="AD177" s="63"/>
      <c r="AE177" s="63"/>
      <c r="AF177" s="63"/>
      <c r="AG177" s="63"/>
      <c r="AH177" s="63"/>
      <c r="AI177" s="63"/>
      <c r="AJ177" s="63"/>
      <c r="AK177" s="63"/>
      <c r="AL177" s="63"/>
      <c r="AM177" s="63"/>
    </row>
    <row r="178" spans="2:39" hidden="1" x14ac:dyDescent="0.2">
      <c r="B178" s="1216">
        <v>21</v>
      </c>
      <c r="R178" s="63"/>
      <c r="S178" s="63"/>
      <c r="T178" s="63"/>
      <c r="U178" s="63"/>
      <c r="V178" s="63"/>
      <c r="W178" s="63"/>
      <c r="X178" s="63"/>
      <c r="Y178" s="63"/>
      <c r="Z178" s="63"/>
      <c r="AA178" s="63"/>
      <c r="AB178" s="63"/>
      <c r="AC178" s="63"/>
      <c r="AD178" s="63"/>
      <c r="AE178" s="63"/>
      <c r="AF178" s="63"/>
      <c r="AG178" s="63"/>
      <c r="AH178" s="63"/>
      <c r="AI178" s="63"/>
      <c r="AJ178" s="63"/>
      <c r="AK178" s="63"/>
      <c r="AL178" s="63"/>
      <c r="AM178" s="63"/>
    </row>
    <row r="179" spans="2:39" hidden="1" x14ac:dyDescent="0.2">
      <c r="B179" s="1216">
        <v>22</v>
      </c>
      <c r="R179" s="63"/>
      <c r="S179" s="63"/>
      <c r="T179" s="63"/>
      <c r="U179" s="63"/>
      <c r="V179" s="63"/>
      <c r="W179" s="63"/>
      <c r="X179" s="63"/>
      <c r="Y179" s="63"/>
      <c r="Z179" s="63"/>
      <c r="AA179" s="63"/>
      <c r="AB179" s="63"/>
      <c r="AC179" s="63"/>
      <c r="AD179" s="63"/>
      <c r="AE179" s="63"/>
      <c r="AF179" s="63"/>
      <c r="AG179" s="63"/>
      <c r="AH179" s="63"/>
      <c r="AI179" s="63"/>
      <c r="AJ179" s="63"/>
      <c r="AK179" s="63"/>
      <c r="AL179" s="63"/>
      <c r="AM179" s="63"/>
    </row>
    <row r="180" spans="2:39" hidden="1" x14ac:dyDescent="0.2">
      <c r="B180" s="1216">
        <v>23</v>
      </c>
      <c r="R180" s="63"/>
      <c r="S180" s="63"/>
      <c r="T180" s="63"/>
      <c r="U180" s="63"/>
      <c r="V180" s="63"/>
      <c r="W180" s="63"/>
      <c r="X180" s="63"/>
      <c r="Y180" s="63"/>
      <c r="Z180" s="63"/>
      <c r="AA180" s="63"/>
      <c r="AB180" s="63"/>
      <c r="AC180" s="63"/>
      <c r="AD180" s="63"/>
      <c r="AE180" s="63"/>
      <c r="AF180" s="63"/>
      <c r="AG180" s="63"/>
      <c r="AH180" s="63"/>
      <c r="AI180" s="63"/>
      <c r="AJ180" s="63"/>
      <c r="AK180" s="63"/>
      <c r="AL180" s="63"/>
      <c r="AM180" s="63"/>
    </row>
    <row r="181" spans="2:39" hidden="1" x14ac:dyDescent="0.2">
      <c r="B181" s="1216">
        <v>24</v>
      </c>
      <c r="R181" s="63"/>
      <c r="S181" s="63"/>
      <c r="T181" s="63"/>
      <c r="U181" s="63"/>
      <c r="V181" s="63"/>
      <c r="W181" s="63"/>
      <c r="X181" s="63"/>
      <c r="Y181" s="63"/>
      <c r="Z181" s="63"/>
      <c r="AA181" s="63"/>
      <c r="AB181" s="63"/>
      <c r="AC181" s="63"/>
      <c r="AD181" s="63"/>
      <c r="AE181" s="63"/>
      <c r="AF181" s="63"/>
      <c r="AG181" s="63"/>
      <c r="AH181" s="63"/>
      <c r="AI181" s="63"/>
      <c r="AJ181" s="63"/>
      <c r="AK181" s="63"/>
      <c r="AL181" s="63"/>
      <c r="AM181" s="63"/>
    </row>
    <row r="182" spans="2:39" hidden="1" x14ac:dyDescent="0.2">
      <c r="B182" s="1216">
        <v>25</v>
      </c>
      <c r="R182" s="63"/>
      <c r="S182" s="63"/>
      <c r="T182" s="63"/>
      <c r="U182" s="63"/>
      <c r="V182" s="63"/>
      <c r="W182" s="63"/>
      <c r="X182" s="63"/>
      <c r="Y182" s="63"/>
      <c r="Z182" s="63"/>
      <c r="AA182" s="63"/>
      <c r="AB182" s="63"/>
      <c r="AC182" s="63"/>
      <c r="AD182" s="63"/>
      <c r="AE182" s="63"/>
      <c r="AF182" s="63"/>
      <c r="AG182" s="63"/>
      <c r="AH182" s="63"/>
      <c r="AI182" s="63"/>
      <c r="AJ182" s="63"/>
      <c r="AK182" s="63"/>
      <c r="AL182" s="63"/>
      <c r="AM182" s="63"/>
    </row>
    <row r="183" spans="2:39" hidden="1" x14ac:dyDescent="0.2">
      <c r="B183" s="1216">
        <v>26</v>
      </c>
      <c r="R183" s="63"/>
      <c r="S183" s="63"/>
      <c r="T183" s="63"/>
      <c r="U183" s="63"/>
      <c r="V183" s="63"/>
      <c r="W183" s="63"/>
      <c r="X183" s="63"/>
      <c r="Y183" s="63"/>
      <c r="Z183" s="63"/>
      <c r="AA183" s="63"/>
      <c r="AB183" s="63"/>
      <c r="AC183" s="63"/>
      <c r="AD183" s="63"/>
      <c r="AE183" s="63"/>
      <c r="AF183" s="63"/>
      <c r="AG183" s="63"/>
      <c r="AH183" s="63"/>
      <c r="AI183" s="63"/>
      <c r="AJ183" s="63"/>
      <c r="AK183" s="63"/>
      <c r="AL183" s="63"/>
      <c r="AM183" s="63"/>
    </row>
    <row r="184" spans="2:39" hidden="1" x14ac:dyDescent="0.2">
      <c r="B184" s="1216">
        <v>27</v>
      </c>
      <c r="R184" s="63"/>
      <c r="S184" s="63"/>
      <c r="T184" s="63"/>
      <c r="U184" s="63"/>
      <c r="V184" s="63"/>
      <c r="W184" s="63"/>
      <c r="X184" s="63"/>
      <c r="Y184" s="63"/>
      <c r="Z184" s="63"/>
      <c r="AA184" s="63"/>
      <c r="AB184" s="63"/>
      <c r="AC184" s="63"/>
      <c r="AD184" s="63"/>
      <c r="AE184" s="63"/>
      <c r="AF184" s="63"/>
      <c r="AG184" s="63"/>
      <c r="AH184" s="63"/>
      <c r="AI184" s="63"/>
      <c r="AJ184" s="63"/>
      <c r="AK184" s="63"/>
      <c r="AL184" s="63"/>
      <c r="AM184" s="63"/>
    </row>
    <row r="185" spans="2:39" hidden="1" x14ac:dyDescent="0.2">
      <c r="B185" s="1216">
        <v>28</v>
      </c>
      <c r="R185" s="63"/>
      <c r="S185" s="63"/>
      <c r="T185" s="63"/>
      <c r="U185" s="63"/>
      <c r="V185" s="63"/>
      <c r="W185" s="63"/>
      <c r="X185" s="63"/>
      <c r="Y185" s="63"/>
      <c r="Z185" s="63"/>
      <c r="AA185" s="63"/>
      <c r="AB185" s="63"/>
      <c r="AC185" s="63"/>
      <c r="AD185" s="63"/>
      <c r="AE185" s="63"/>
      <c r="AF185" s="63"/>
      <c r="AG185" s="63"/>
      <c r="AH185" s="63"/>
      <c r="AI185" s="63"/>
      <c r="AJ185" s="63"/>
      <c r="AK185" s="63"/>
      <c r="AL185" s="63"/>
      <c r="AM185" s="63"/>
    </row>
    <row r="186" spans="2:39" hidden="1" x14ac:dyDescent="0.2">
      <c r="B186" s="1216">
        <v>29</v>
      </c>
      <c r="R186" s="63"/>
      <c r="S186" s="63"/>
      <c r="T186" s="63"/>
      <c r="U186" s="63"/>
      <c r="V186" s="63"/>
      <c r="W186" s="63"/>
      <c r="X186" s="63"/>
      <c r="Y186" s="63"/>
      <c r="Z186" s="63"/>
      <c r="AA186" s="63"/>
      <c r="AB186" s="63"/>
      <c r="AC186" s="63"/>
      <c r="AD186" s="63"/>
      <c r="AE186" s="63"/>
      <c r="AF186" s="63"/>
      <c r="AG186" s="63"/>
      <c r="AH186" s="63"/>
      <c r="AI186" s="63"/>
      <c r="AJ186" s="63"/>
      <c r="AK186" s="63"/>
      <c r="AL186" s="63"/>
      <c r="AM186" s="63"/>
    </row>
    <row r="187" spans="2:39" hidden="1" x14ac:dyDescent="0.2">
      <c r="B187" s="1216">
        <v>30</v>
      </c>
      <c r="R187" s="63"/>
      <c r="S187" s="63"/>
      <c r="T187" s="63"/>
      <c r="U187" s="63"/>
      <c r="V187" s="63"/>
      <c r="W187" s="63"/>
      <c r="X187" s="63"/>
      <c r="Y187" s="63"/>
      <c r="Z187" s="63"/>
      <c r="AA187" s="63"/>
      <c r="AB187" s="63"/>
      <c r="AC187" s="63"/>
      <c r="AD187" s="63"/>
      <c r="AE187" s="63"/>
      <c r="AF187" s="63"/>
      <c r="AG187" s="63"/>
      <c r="AH187" s="63"/>
      <c r="AI187" s="63"/>
      <c r="AJ187" s="63"/>
      <c r="AK187" s="63"/>
      <c r="AL187" s="63"/>
      <c r="AM187" s="63"/>
    </row>
    <row r="188" spans="2:39" hidden="1" x14ac:dyDescent="0.2">
      <c r="B188" s="1216">
        <v>31</v>
      </c>
      <c r="R188" s="63"/>
      <c r="S188" s="63"/>
      <c r="T188" s="63"/>
      <c r="U188" s="63"/>
      <c r="V188" s="63"/>
      <c r="W188" s="63"/>
      <c r="X188" s="63"/>
      <c r="Y188" s="63"/>
      <c r="Z188" s="63"/>
      <c r="AA188" s="63"/>
      <c r="AB188" s="63"/>
      <c r="AC188" s="63"/>
      <c r="AD188" s="63"/>
      <c r="AE188" s="63"/>
      <c r="AF188" s="63"/>
      <c r="AG188" s="63"/>
      <c r="AH188" s="63"/>
      <c r="AI188" s="63"/>
      <c r="AJ188" s="63"/>
      <c r="AK188" s="63"/>
      <c r="AL188" s="63"/>
      <c r="AM188" s="63"/>
    </row>
    <row r="189" spans="2:39" hidden="1" x14ac:dyDescent="0.2">
      <c r="B189" s="1216">
        <v>32</v>
      </c>
      <c r="R189" s="63"/>
      <c r="S189" s="63"/>
      <c r="T189" s="63"/>
      <c r="U189" s="63"/>
      <c r="V189" s="63"/>
      <c r="W189" s="63"/>
      <c r="X189" s="63"/>
      <c r="Y189" s="63"/>
      <c r="Z189" s="63"/>
      <c r="AA189" s="63"/>
      <c r="AB189" s="63"/>
      <c r="AC189" s="63"/>
      <c r="AD189" s="63"/>
      <c r="AE189" s="63"/>
      <c r="AF189" s="63"/>
      <c r="AG189" s="63"/>
      <c r="AH189" s="63"/>
      <c r="AI189" s="63"/>
      <c r="AJ189" s="63"/>
      <c r="AK189" s="63"/>
      <c r="AL189" s="63"/>
      <c r="AM189" s="63"/>
    </row>
    <row r="190" spans="2:39" hidden="1" x14ac:dyDescent="0.2">
      <c r="B190" s="1216">
        <v>33</v>
      </c>
      <c r="R190" s="63"/>
      <c r="S190" s="63"/>
      <c r="T190" s="63"/>
      <c r="U190" s="63"/>
      <c r="V190" s="63"/>
      <c r="W190" s="63"/>
      <c r="X190" s="63"/>
      <c r="Y190" s="63"/>
      <c r="Z190" s="63"/>
      <c r="AA190" s="63"/>
      <c r="AB190" s="63"/>
      <c r="AC190" s="63"/>
      <c r="AD190" s="63"/>
      <c r="AE190" s="63"/>
      <c r="AF190" s="63"/>
      <c r="AG190" s="63"/>
      <c r="AH190" s="63"/>
      <c r="AI190" s="63"/>
      <c r="AJ190" s="63"/>
      <c r="AK190" s="63"/>
      <c r="AL190" s="63"/>
      <c r="AM190" s="63"/>
    </row>
    <row r="191" spans="2:39" hidden="1" x14ac:dyDescent="0.2">
      <c r="B191" s="1216">
        <v>34</v>
      </c>
      <c r="R191" s="63"/>
      <c r="S191" s="63"/>
      <c r="T191" s="63"/>
      <c r="U191" s="63"/>
      <c r="V191" s="63"/>
      <c r="W191" s="63"/>
      <c r="X191" s="63"/>
      <c r="Y191" s="63"/>
      <c r="Z191" s="63"/>
      <c r="AA191" s="63"/>
      <c r="AB191" s="63"/>
      <c r="AC191" s="63"/>
      <c r="AD191" s="63"/>
      <c r="AE191" s="63"/>
      <c r="AF191" s="63"/>
      <c r="AG191" s="63"/>
      <c r="AH191" s="63"/>
      <c r="AI191" s="63"/>
      <c r="AJ191" s="63"/>
      <c r="AK191" s="63"/>
      <c r="AL191" s="63"/>
      <c r="AM191" s="63"/>
    </row>
    <row r="192" spans="2:39" hidden="1" x14ac:dyDescent="0.2">
      <c r="B192" s="1216">
        <v>35</v>
      </c>
      <c r="R192" s="63"/>
      <c r="S192" s="63"/>
      <c r="T192" s="63"/>
      <c r="U192" s="63"/>
      <c r="V192" s="63"/>
      <c r="W192" s="63"/>
      <c r="X192" s="63"/>
      <c r="Y192" s="63"/>
      <c r="Z192" s="63"/>
      <c r="AA192" s="63"/>
      <c r="AB192" s="63"/>
      <c r="AC192" s="63"/>
      <c r="AD192" s="63"/>
      <c r="AE192" s="63"/>
      <c r="AF192" s="63"/>
      <c r="AG192" s="63"/>
      <c r="AH192" s="63"/>
      <c r="AI192" s="63"/>
      <c r="AJ192" s="63"/>
      <c r="AK192" s="63"/>
      <c r="AL192" s="63"/>
      <c r="AM192" s="63"/>
    </row>
    <row r="193" spans="2:39" hidden="1" x14ac:dyDescent="0.2">
      <c r="B193" s="1216">
        <v>36</v>
      </c>
      <c r="R193" s="63"/>
      <c r="S193" s="63"/>
      <c r="T193" s="63"/>
      <c r="U193" s="63"/>
      <c r="V193" s="63"/>
      <c r="W193" s="63"/>
      <c r="X193" s="63"/>
      <c r="Y193" s="63"/>
      <c r="Z193" s="63"/>
      <c r="AA193" s="63"/>
      <c r="AB193" s="63"/>
      <c r="AC193" s="63"/>
      <c r="AD193" s="63"/>
      <c r="AE193" s="63"/>
      <c r="AF193" s="63"/>
      <c r="AG193" s="63"/>
      <c r="AH193" s="63"/>
      <c r="AI193" s="63"/>
      <c r="AJ193" s="63"/>
      <c r="AK193" s="63"/>
      <c r="AL193" s="63"/>
      <c r="AM193" s="63"/>
    </row>
    <row r="194" spans="2:39" hidden="1" x14ac:dyDescent="0.2">
      <c r="B194" s="1216">
        <v>37</v>
      </c>
      <c r="R194" s="63"/>
      <c r="S194" s="63"/>
      <c r="T194" s="63"/>
      <c r="U194" s="63"/>
      <c r="V194" s="63"/>
      <c r="W194" s="63"/>
      <c r="X194" s="63"/>
      <c r="Y194" s="63"/>
      <c r="Z194" s="63"/>
      <c r="AA194" s="63"/>
      <c r="AB194" s="63"/>
      <c r="AC194" s="63"/>
      <c r="AD194" s="63"/>
      <c r="AE194" s="63"/>
      <c r="AF194" s="63"/>
      <c r="AG194" s="63"/>
      <c r="AH194" s="63"/>
      <c r="AI194" s="63"/>
      <c r="AJ194" s="63"/>
      <c r="AK194" s="63"/>
      <c r="AL194" s="63"/>
      <c r="AM194" s="63"/>
    </row>
    <row r="195" spans="2:39" hidden="1" x14ac:dyDescent="0.2">
      <c r="B195" s="1216">
        <v>38</v>
      </c>
      <c r="R195" s="63"/>
      <c r="S195" s="63"/>
      <c r="T195" s="63"/>
      <c r="U195" s="63"/>
      <c r="V195" s="63"/>
      <c r="W195" s="63"/>
      <c r="X195" s="63"/>
      <c r="Y195" s="63"/>
      <c r="Z195" s="63"/>
      <c r="AA195" s="63"/>
      <c r="AB195" s="63"/>
      <c r="AC195" s="63"/>
      <c r="AD195" s="63"/>
      <c r="AE195" s="63"/>
      <c r="AF195" s="63"/>
      <c r="AG195" s="63"/>
      <c r="AH195" s="63"/>
      <c r="AI195" s="63"/>
      <c r="AJ195" s="63"/>
      <c r="AK195" s="63"/>
      <c r="AL195" s="63"/>
      <c r="AM195" s="63"/>
    </row>
    <row r="196" spans="2:39" hidden="1" x14ac:dyDescent="0.2">
      <c r="B196" s="1216">
        <v>39</v>
      </c>
      <c r="R196" s="63"/>
      <c r="S196" s="63"/>
      <c r="T196" s="63"/>
      <c r="U196" s="63"/>
      <c r="V196" s="63"/>
      <c r="W196" s="63"/>
      <c r="X196" s="63"/>
      <c r="Y196" s="63"/>
      <c r="Z196" s="63"/>
      <c r="AA196" s="63"/>
      <c r="AB196" s="63"/>
      <c r="AC196" s="63"/>
      <c r="AD196" s="63"/>
      <c r="AE196" s="63"/>
      <c r="AF196" s="63"/>
      <c r="AG196" s="63"/>
      <c r="AH196" s="63"/>
      <c r="AI196" s="63"/>
      <c r="AJ196" s="63"/>
      <c r="AK196" s="63"/>
      <c r="AL196" s="63"/>
      <c r="AM196" s="63"/>
    </row>
    <row r="197" spans="2:39" hidden="1" x14ac:dyDescent="0.2">
      <c r="B197" s="1216">
        <v>40</v>
      </c>
      <c r="R197" s="63"/>
      <c r="S197" s="63"/>
      <c r="T197" s="63"/>
      <c r="U197" s="63"/>
      <c r="V197" s="63"/>
      <c r="W197" s="63"/>
      <c r="X197" s="63"/>
      <c r="Y197" s="63"/>
      <c r="Z197" s="63"/>
      <c r="AA197" s="63"/>
      <c r="AB197" s="63"/>
      <c r="AC197" s="63"/>
      <c r="AD197" s="63"/>
      <c r="AE197" s="63"/>
      <c r="AF197" s="63"/>
      <c r="AG197" s="63"/>
      <c r="AH197" s="63"/>
      <c r="AI197" s="63"/>
      <c r="AJ197" s="63"/>
      <c r="AK197" s="63"/>
      <c r="AL197" s="63"/>
      <c r="AM197" s="63"/>
    </row>
    <row r="198" spans="2:39" hidden="1" x14ac:dyDescent="0.2">
      <c r="B198" s="1216">
        <v>41</v>
      </c>
      <c r="R198" s="63"/>
      <c r="S198" s="63"/>
      <c r="T198" s="63"/>
      <c r="U198" s="63"/>
      <c r="V198" s="63"/>
      <c r="W198" s="63"/>
      <c r="X198" s="63"/>
      <c r="Y198" s="63"/>
      <c r="Z198" s="63"/>
      <c r="AA198" s="63"/>
      <c r="AB198" s="63"/>
      <c r="AC198" s="63"/>
      <c r="AD198" s="63"/>
      <c r="AE198" s="63"/>
      <c r="AF198" s="63"/>
      <c r="AG198" s="63"/>
      <c r="AH198" s="63"/>
      <c r="AI198" s="63"/>
      <c r="AJ198" s="63"/>
      <c r="AK198" s="63"/>
      <c r="AL198" s="63"/>
      <c r="AM198" s="63"/>
    </row>
    <row r="199" spans="2:39" hidden="1" x14ac:dyDescent="0.2">
      <c r="B199" s="1216">
        <v>42</v>
      </c>
      <c r="R199" s="63"/>
      <c r="S199" s="63"/>
      <c r="T199" s="63"/>
      <c r="U199" s="63"/>
      <c r="V199" s="63"/>
      <c r="W199" s="63"/>
      <c r="X199" s="63"/>
      <c r="Y199" s="63"/>
      <c r="Z199" s="63"/>
      <c r="AA199" s="63"/>
      <c r="AB199" s="63"/>
      <c r="AC199" s="63"/>
      <c r="AD199" s="63"/>
      <c r="AE199" s="63"/>
      <c r="AF199" s="63"/>
      <c r="AG199" s="63"/>
      <c r="AH199" s="63"/>
      <c r="AI199" s="63"/>
      <c r="AJ199" s="63"/>
      <c r="AK199" s="63"/>
      <c r="AL199" s="63"/>
      <c r="AM199" s="63"/>
    </row>
    <row r="200" spans="2:39" hidden="1" x14ac:dyDescent="0.2">
      <c r="B200" s="1216">
        <v>43</v>
      </c>
      <c r="R200" s="63"/>
      <c r="S200" s="63"/>
      <c r="T200" s="63"/>
      <c r="U200" s="63"/>
      <c r="V200" s="63"/>
      <c r="W200" s="63"/>
      <c r="X200" s="63"/>
      <c r="Y200" s="63"/>
      <c r="Z200" s="63"/>
      <c r="AA200" s="63"/>
      <c r="AB200" s="63"/>
      <c r="AC200" s="63"/>
      <c r="AD200" s="63"/>
      <c r="AE200" s="63"/>
      <c r="AF200" s="63"/>
      <c r="AG200" s="63"/>
      <c r="AH200" s="63"/>
      <c r="AI200" s="63"/>
      <c r="AJ200" s="63"/>
      <c r="AK200" s="63"/>
      <c r="AL200" s="63"/>
      <c r="AM200" s="63"/>
    </row>
    <row r="201" spans="2:39" hidden="1" x14ac:dyDescent="0.2">
      <c r="B201" s="1216">
        <v>44</v>
      </c>
      <c r="R201" s="63"/>
      <c r="S201" s="63"/>
      <c r="T201" s="63"/>
      <c r="U201" s="63"/>
      <c r="V201" s="63"/>
      <c r="W201" s="63"/>
      <c r="X201" s="63"/>
      <c r="Y201" s="63"/>
      <c r="Z201" s="63"/>
      <c r="AA201" s="63"/>
      <c r="AB201" s="63"/>
      <c r="AC201" s="63"/>
      <c r="AD201" s="63"/>
      <c r="AE201" s="63"/>
      <c r="AF201" s="63"/>
      <c r="AG201" s="63"/>
      <c r="AH201" s="63"/>
      <c r="AI201" s="63"/>
      <c r="AJ201" s="63"/>
      <c r="AK201" s="63"/>
      <c r="AL201" s="63"/>
      <c r="AM201" s="63"/>
    </row>
    <row r="202" spans="2:39" hidden="1" x14ac:dyDescent="0.2">
      <c r="B202" s="1216">
        <v>45</v>
      </c>
      <c r="R202" s="63"/>
      <c r="S202" s="63"/>
      <c r="T202" s="63"/>
      <c r="U202" s="63"/>
      <c r="V202" s="63"/>
      <c r="W202" s="63"/>
      <c r="X202" s="63"/>
      <c r="Y202" s="63"/>
      <c r="Z202" s="63"/>
      <c r="AA202" s="63"/>
      <c r="AB202" s="63"/>
      <c r="AC202" s="63"/>
      <c r="AD202" s="63"/>
      <c r="AE202" s="63"/>
      <c r="AF202" s="63"/>
      <c r="AG202" s="63"/>
      <c r="AH202" s="63"/>
      <c r="AI202" s="63"/>
      <c r="AJ202" s="63"/>
      <c r="AK202" s="63"/>
      <c r="AL202" s="63"/>
      <c r="AM202" s="63"/>
    </row>
    <row r="203" spans="2:39" hidden="1" x14ac:dyDescent="0.2">
      <c r="B203" s="1216">
        <v>46</v>
      </c>
      <c r="R203" s="63"/>
      <c r="S203" s="63"/>
      <c r="T203" s="63"/>
      <c r="U203" s="63"/>
      <c r="V203" s="63"/>
      <c r="W203" s="63"/>
      <c r="X203" s="63"/>
      <c r="Y203" s="63"/>
      <c r="Z203" s="63"/>
      <c r="AA203" s="63"/>
      <c r="AB203" s="63"/>
      <c r="AC203" s="63"/>
      <c r="AD203" s="63"/>
      <c r="AE203" s="63"/>
      <c r="AF203" s="63"/>
      <c r="AG203" s="63"/>
      <c r="AH203" s="63"/>
      <c r="AI203" s="63"/>
      <c r="AJ203" s="63"/>
      <c r="AK203" s="63"/>
      <c r="AL203" s="63"/>
      <c r="AM203" s="63"/>
    </row>
    <row r="204" spans="2:39" hidden="1" x14ac:dyDescent="0.2">
      <c r="B204" s="1216">
        <v>47</v>
      </c>
      <c r="R204" s="63"/>
      <c r="S204" s="63"/>
      <c r="T204" s="63"/>
      <c r="U204" s="63"/>
      <c r="V204" s="63"/>
      <c r="W204" s="63"/>
      <c r="X204" s="63"/>
      <c r="Y204" s="63"/>
      <c r="Z204" s="63"/>
      <c r="AA204" s="63"/>
      <c r="AB204" s="63"/>
      <c r="AC204" s="63"/>
      <c r="AD204" s="63"/>
      <c r="AE204" s="63"/>
      <c r="AF204" s="63"/>
      <c r="AG204" s="63"/>
      <c r="AH204" s="63"/>
      <c r="AI204" s="63"/>
      <c r="AJ204" s="63"/>
      <c r="AK204" s="63"/>
      <c r="AL204" s="63"/>
      <c r="AM204" s="63"/>
    </row>
    <row r="205" spans="2:39" hidden="1" x14ac:dyDescent="0.2">
      <c r="B205" s="1216">
        <v>48</v>
      </c>
    </row>
    <row r="206" spans="2:39" hidden="1" x14ac:dyDescent="0.2">
      <c r="B206" s="1216">
        <v>49</v>
      </c>
    </row>
    <row r="207" spans="2:39" hidden="1" x14ac:dyDescent="0.2">
      <c r="B207" s="1216">
        <v>50</v>
      </c>
    </row>
    <row r="208" spans="2:39" hidden="1" x14ac:dyDescent="0.2">
      <c r="B208" s="1216">
        <v>51</v>
      </c>
    </row>
    <row r="209" spans="2:2" hidden="1" x14ac:dyDescent="0.2">
      <c r="B209" s="1216">
        <v>52</v>
      </c>
    </row>
    <row r="210" spans="2:2" hidden="1" x14ac:dyDescent="0.2">
      <c r="B210" s="1216">
        <v>53</v>
      </c>
    </row>
    <row r="211" spans="2:2" hidden="1" x14ac:dyDescent="0.2">
      <c r="B211" s="1216">
        <v>54</v>
      </c>
    </row>
    <row r="212" spans="2:2" hidden="1" x14ac:dyDescent="0.2">
      <c r="B212" s="1216">
        <v>55</v>
      </c>
    </row>
    <row r="213" spans="2:2" hidden="1" x14ac:dyDescent="0.2">
      <c r="B213" s="1216">
        <v>56</v>
      </c>
    </row>
    <row r="214" spans="2:2" hidden="1" x14ac:dyDescent="0.2">
      <c r="B214" s="1216">
        <v>57</v>
      </c>
    </row>
    <row r="215" spans="2:2" hidden="1" x14ac:dyDescent="0.2">
      <c r="B215" s="1216">
        <v>58</v>
      </c>
    </row>
    <row r="216" spans="2:2" hidden="1" x14ac:dyDescent="0.2">
      <c r="B216" s="1216">
        <v>59</v>
      </c>
    </row>
    <row r="217" spans="2:2" hidden="1" x14ac:dyDescent="0.2">
      <c r="B217" s="1216">
        <v>60</v>
      </c>
    </row>
    <row r="218" spans="2:2" hidden="1" x14ac:dyDescent="0.2">
      <c r="B218" s="1216">
        <v>61</v>
      </c>
    </row>
    <row r="219" spans="2:2" hidden="1" x14ac:dyDescent="0.2">
      <c r="B219" s="1216">
        <v>62</v>
      </c>
    </row>
    <row r="220" spans="2:2" hidden="1" x14ac:dyDescent="0.2">
      <c r="B220" s="1216">
        <v>63</v>
      </c>
    </row>
    <row r="221" spans="2:2" hidden="1" x14ac:dyDescent="0.2">
      <c r="B221" s="1216">
        <v>64</v>
      </c>
    </row>
    <row r="222" spans="2:2" hidden="1" x14ac:dyDescent="0.2">
      <c r="B222" s="1216">
        <v>65</v>
      </c>
    </row>
    <row r="223" spans="2:2" hidden="1" x14ac:dyDescent="0.2">
      <c r="B223" s="1216">
        <v>66</v>
      </c>
    </row>
    <row r="224" spans="2:2" hidden="1" x14ac:dyDescent="0.2">
      <c r="B224" s="1216">
        <v>67</v>
      </c>
    </row>
    <row r="225" spans="2:2" hidden="1" x14ac:dyDescent="0.2">
      <c r="B225" s="1216">
        <v>68</v>
      </c>
    </row>
    <row r="226" spans="2:2" hidden="1" x14ac:dyDescent="0.2">
      <c r="B226" s="1216">
        <v>69</v>
      </c>
    </row>
    <row r="227" spans="2:2" hidden="1" x14ac:dyDescent="0.2">
      <c r="B227" s="1216">
        <v>70</v>
      </c>
    </row>
    <row r="228" spans="2:2" hidden="1" x14ac:dyDescent="0.2">
      <c r="B228" s="1216">
        <v>71</v>
      </c>
    </row>
    <row r="229" spans="2:2" hidden="1" x14ac:dyDescent="0.2">
      <c r="B229" s="1216">
        <v>72</v>
      </c>
    </row>
    <row r="230" spans="2:2" hidden="1" x14ac:dyDescent="0.2">
      <c r="B230" s="1216">
        <v>73</v>
      </c>
    </row>
    <row r="231" spans="2:2" hidden="1" x14ac:dyDescent="0.2">
      <c r="B231" s="1216">
        <v>74</v>
      </c>
    </row>
    <row r="232" spans="2:2" hidden="1" x14ac:dyDescent="0.2">
      <c r="B232" s="1216">
        <v>75</v>
      </c>
    </row>
    <row r="233" spans="2:2" hidden="1" x14ac:dyDescent="0.2">
      <c r="B233" s="1216">
        <v>76</v>
      </c>
    </row>
    <row r="234" spans="2:2" hidden="1" x14ac:dyDescent="0.2">
      <c r="B234" s="1216">
        <v>77</v>
      </c>
    </row>
    <row r="235" spans="2:2" hidden="1" x14ac:dyDescent="0.2">
      <c r="B235" s="1216">
        <v>78</v>
      </c>
    </row>
    <row r="236" spans="2:2" hidden="1" x14ac:dyDescent="0.2">
      <c r="B236" s="1216">
        <v>79</v>
      </c>
    </row>
    <row r="237" spans="2:2" hidden="1" x14ac:dyDescent="0.2">
      <c r="B237" s="1216">
        <v>80</v>
      </c>
    </row>
    <row r="238" spans="2:2" hidden="1" x14ac:dyDescent="0.2">
      <c r="B238" s="1216">
        <v>81</v>
      </c>
    </row>
    <row r="239" spans="2:2" hidden="1" x14ac:dyDescent="0.2">
      <c r="B239" s="1216">
        <v>82</v>
      </c>
    </row>
    <row r="240" spans="2:2" hidden="1" x14ac:dyDescent="0.2">
      <c r="B240" s="1216">
        <v>83</v>
      </c>
    </row>
    <row r="241" spans="2:2" hidden="1" x14ac:dyDescent="0.2">
      <c r="B241" s="1216">
        <v>84</v>
      </c>
    </row>
    <row r="242" spans="2:2" hidden="1" x14ac:dyDescent="0.2">
      <c r="B242" s="1216">
        <v>85</v>
      </c>
    </row>
    <row r="243" spans="2:2" hidden="1" x14ac:dyDescent="0.2">
      <c r="B243" s="1216">
        <v>86</v>
      </c>
    </row>
    <row r="244" spans="2:2" hidden="1" x14ac:dyDescent="0.2">
      <c r="B244" s="1216">
        <v>87</v>
      </c>
    </row>
    <row r="245" spans="2:2" hidden="1" x14ac:dyDescent="0.2">
      <c r="B245" s="1216">
        <v>88</v>
      </c>
    </row>
    <row r="246" spans="2:2" hidden="1" x14ac:dyDescent="0.2">
      <c r="B246" s="1216">
        <v>89</v>
      </c>
    </row>
    <row r="247" spans="2:2" hidden="1" x14ac:dyDescent="0.2">
      <c r="B247" s="1216">
        <v>90</v>
      </c>
    </row>
    <row r="248" spans="2:2" hidden="1" x14ac:dyDescent="0.2">
      <c r="B248" s="1216">
        <v>91</v>
      </c>
    </row>
    <row r="249" spans="2:2" hidden="1" x14ac:dyDescent="0.2">
      <c r="B249" s="1216">
        <v>92</v>
      </c>
    </row>
    <row r="250" spans="2:2" hidden="1" x14ac:dyDescent="0.2">
      <c r="B250" s="1216">
        <v>93</v>
      </c>
    </row>
    <row r="251" spans="2:2" hidden="1" x14ac:dyDescent="0.2">
      <c r="B251" s="1216">
        <v>94</v>
      </c>
    </row>
    <row r="252" spans="2:2" hidden="1" x14ac:dyDescent="0.2">
      <c r="B252" s="1216">
        <v>95</v>
      </c>
    </row>
    <row r="253" spans="2:2" hidden="1" x14ac:dyDescent="0.2">
      <c r="B253" s="1216">
        <v>96</v>
      </c>
    </row>
    <row r="254" spans="2:2" hidden="1" x14ac:dyDescent="0.2">
      <c r="B254" s="1216">
        <v>97</v>
      </c>
    </row>
    <row r="255" spans="2:2" hidden="1" x14ac:dyDescent="0.2">
      <c r="B255" s="1216">
        <v>98</v>
      </c>
    </row>
    <row r="256" spans="2:2" hidden="1" x14ac:dyDescent="0.2">
      <c r="B256" s="1216">
        <v>99</v>
      </c>
    </row>
    <row r="257" spans="2:2" hidden="1" x14ac:dyDescent="0.2">
      <c r="B257" s="1216">
        <v>100</v>
      </c>
    </row>
    <row r="258" spans="2:2" hidden="1" x14ac:dyDescent="0.2">
      <c r="B258" s="1178"/>
    </row>
    <row r="259" spans="2:2" hidden="1" x14ac:dyDescent="0.2">
      <c r="B259" s="1178"/>
    </row>
    <row r="260" spans="2:2" x14ac:dyDescent="0.2">
      <c r="B260" s="1178"/>
    </row>
    <row r="261" spans="2:2" x14ac:dyDescent="0.2">
      <c r="B261" s="1178"/>
    </row>
    <row r="262" spans="2:2" x14ac:dyDescent="0.2">
      <c r="B262" s="1178"/>
    </row>
    <row r="263" spans="2:2" x14ac:dyDescent="0.2">
      <c r="B263" s="1178"/>
    </row>
    <row r="264" spans="2:2" x14ac:dyDescent="0.2">
      <c r="B264" s="1178"/>
    </row>
    <row r="265" spans="2:2" x14ac:dyDescent="0.2">
      <c r="B265" s="1178"/>
    </row>
    <row r="266" spans="2:2" x14ac:dyDescent="0.2">
      <c r="B266" s="1178"/>
    </row>
    <row r="267" spans="2:2" x14ac:dyDescent="0.2">
      <c r="B267" s="1178"/>
    </row>
    <row r="268" spans="2:2" x14ac:dyDescent="0.2">
      <c r="B268" s="1178"/>
    </row>
    <row r="269" spans="2:2" x14ac:dyDescent="0.2">
      <c r="B269" s="1178"/>
    </row>
    <row r="270" spans="2:2" x14ac:dyDescent="0.2">
      <c r="B270" s="1178"/>
    </row>
    <row r="271" spans="2:2" x14ac:dyDescent="0.2">
      <c r="B271" s="1178"/>
    </row>
    <row r="272" spans="2:2" x14ac:dyDescent="0.2">
      <c r="B272" s="1178"/>
    </row>
    <row r="273" spans="2:2" x14ac:dyDescent="0.2">
      <c r="B273" s="1178"/>
    </row>
    <row r="274" spans="2:2" x14ac:dyDescent="0.2">
      <c r="B274" s="1178"/>
    </row>
    <row r="275" spans="2:2" x14ac:dyDescent="0.2">
      <c r="B275" s="1178"/>
    </row>
    <row r="276" spans="2:2" x14ac:dyDescent="0.2">
      <c r="B276" s="1178"/>
    </row>
    <row r="277" spans="2:2" x14ac:dyDescent="0.2">
      <c r="B277" s="1178"/>
    </row>
    <row r="278" spans="2:2" x14ac:dyDescent="0.2">
      <c r="B278" s="1178"/>
    </row>
    <row r="279" spans="2:2" x14ac:dyDescent="0.2">
      <c r="B279" s="1178"/>
    </row>
    <row r="280" spans="2:2" x14ac:dyDescent="0.2">
      <c r="B280" s="1178"/>
    </row>
    <row r="281" spans="2:2" x14ac:dyDescent="0.2">
      <c r="B281" s="1178"/>
    </row>
    <row r="282" spans="2:2" x14ac:dyDescent="0.2">
      <c r="B282" s="1178"/>
    </row>
    <row r="283" spans="2:2" x14ac:dyDescent="0.2">
      <c r="B283" s="1178"/>
    </row>
    <row r="284" spans="2:2" x14ac:dyDescent="0.2">
      <c r="B284" s="1178"/>
    </row>
    <row r="285" spans="2:2" x14ac:dyDescent="0.2">
      <c r="B285" s="1178"/>
    </row>
    <row r="286" spans="2:2" x14ac:dyDescent="0.2">
      <c r="B286" s="1178"/>
    </row>
    <row r="287" spans="2:2" x14ac:dyDescent="0.2">
      <c r="B287" s="1178"/>
    </row>
    <row r="288" spans="2:2" x14ac:dyDescent="0.2">
      <c r="B288" s="1178"/>
    </row>
    <row r="289" spans="2:2" x14ac:dyDescent="0.2">
      <c r="B289" s="1178"/>
    </row>
    <row r="290" spans="2:2" x14ac:dyDescent="0.2">
      <c r="B290" s="1178"/>
    </row>
    <row r="291" spans="2:2" x14ac:dyDescent="0.2">
      <c r="B291" s="1178"/>
    </row>
    <row r="292" spans="2:2" x14ac:dyDescent="0.2">
      <c r="B292" s="1178"/>
    </row>
    <row r="293" spans="2:2" x14ac:dyDescent="0.2">
      <c r="B293" s="1178"/>
    </row>
    <row r="294" spans="2:2" x14ac:dyDescent="0.2">
      <c r="B294" s="1178"/>
    </row>
    <row r="295" spans="2:2" x14ac:dyDescent="0.2">
      <c r="B295" s="1178"/>
    </row>
    <row r="296" spans="2:2" x14ac:dyDescent="0.2">
      <c r="B296" s="1178"/>
    </row>
    <row r="297" spans="2:2" x14ac:dyDescent="0.2">
      <c r="B297" s="1178"/>
    </row>
    <row r="298" spans="2:2" x14ac:dyDescent="0.2">
      <c r="B298" s="1178"/>
    </row>
    <row r="299" spans="2:2" x14ac:dyDescent="0.2">
      <c r="B299" s="1178"/>
    </row>
    <row r="300" spans="2:2" x14ac:dyDescent="0.2">
      <c r="B300" s="1178"/>
    </row>
    <row r="301" spans="2:2" x14ac:dyDescent="0.2">
      <c r="B301" s="1178"/>
    </row>
    <row r="302" spans="2:2" x14ac:dyDescent="0.2">
      <c r="B302" s="1178"/>
    </row>
    <row r="303" spans="2:2" x14ac:dyDescent="0.2">
      <c r="B303" s="1178"/>
    </row>
    <row r="304" spans="2:2" x14ac:dyDescent="0.2">
      <c r="B304" s="1178"/>
    </row>
    <row r="305" spans="2:2" x14ac:dyDescent="0.2">
      <c r="B305" s="1178"/>
    </row>
    <row r="306" spans="2:2" x14ac:dyDescent="0.2">
      <c r="B306" s="1178"/>
    </row>
    <row r="307" spans="2:2" x14ac:dyDescent="0.2">
      <c r="B307" s="1178"/>
    </row>
    <row r="308" spans="2:2" x14ac:dyDescent="0.2">
      <c r="B308" s="1178"/>
    </row>
    <row r="309" spans="2:2" x14ac:dyDescent="0.2">
      <c r="B309" s="1178"/>
    </row>
    <row r="310" spans="2:2" x14ac:dyDescent="0.2">
      <c r="B310" s="1178"/>
    </row>
    <row r="311" spans="2:2" x14ac:dyDescent="0.2">
      <c r="B311" s="1178"/>
    </row>
    <row r="312" spans="2:2" x14ac:dyDescent="0.2">
      <c r="B312" s="1178"/>
    </row>
    <row r="313" spans="2:2" x14ac:dyDescent="0.2">
      <c r="B313" s="1178"/>
    </row>
    <row r="314" spans="2:2" x14ac:dyDescent="0.2">
      <c r="B314" s="1178"/>
    </row>
    <row r="315" spans="2:2" x14ac:dyDescent="0.2">
      <c r="B315" s="1178"/>
    </row>
    <row r="316" spans="2:2" x14ac:dyDescent="0.2">
      <c r="B316" s="1178"/>
    </row>
    <row r="317" spans="2:2" x14ac:dyDescent="0.2">
      <c r="B317" s="1178"/>
    </row>
    <row r="318" spans="2:2" x14ac:dyDescent="0.2">
      <c r="B318" s="1178"/>
    </row>
    <row r="319" spans="2:2" x14ac:dyDescent="0.2">
      <c r="B319" s="1178"/>
    </row>
    <row r="320" spans="2:2" x14ac:dyDescent="0.2">
      <c r="B320" s="1178"/>
    </row>
    <row r="321" spans="2:2" x14ac:dyDescent="0.2">
      <c r="B321" s="1178"/>
    </row>
    <row r="322" spans="2:2" x14ac:dyDescent="0.2">
      <c r="B322" s="1178"/>
    </row>
    <row r="323" spans="2:2" x14ac:dyDescent="0.2">
      <c r="B323" s="1178"/>
    </row>
    <row r="324" spans="2:2" x14ac:dyDescent="0.2">
      <c r="B324" s="1178"/>
    </row>
    <row r="325" spans="2:2" x14ac:dyDescent="0.2">
      <c r="B325" s="1178"/>
    </row>
    <row r="326" spans="2:2" x14ac:dyDescent="0.2">
      <c r="B326" s="1178"/>
    </row>
    <row r="327" spans="2:2" x14ac:dyDescent="0.2">
      <c r="B327" s="1178"/>
    </row>
    <row r="328" spans="2:2" x14ac:dyDescent="0.2">
      <c r="B328" s="1178"/>
    </row>
    <row r="329" spans="2:2" x14ac:dyDescent="0.2">
      <c r="B329" s="1178"/>
    </row>
    <row r="330" spans="2:2" x14ac:dyDescent="0.2">
      <c r="B330" s="1178"/>
    </row>
    <row r="331" spans="2:2" x14ac:dyDescent="0.2">
      <c r="B331" s="1178"/>
    </row>
    <row r="332" spans="2:2" x14ac:dyDescent="0.2">
      <c r="B332" s="1178"/>
    </row>
    <row r="333" spans="2:2" x14ac:dyDescent="0.2">
      <c r="B333" s="1178"/>
    </row>
    <row r="334" spans="2:2" x14ac:dyDescent="0.2">
      <c r="B334" s="1178"/>
    </row>
    <row r="335" spans="2:2" x14ac:dyDescent="0.2">
      <c r="B335" s="1178"/>
    </row>
    <row r="336" spans="2:2" x14ac:dyDescent="0.2">
      <c r="B336" s="1178"/>
    </row>
    <row r="337" spans="2:2" x14ac:dyDescent="0.2">
      <c r="B337" s="1178"/>
    </row>
    <row r="338" spans="2:2" x14ac:dyDescent="0.2">
      <c r="B338" s="1178"/>
    </row>
    <row r="339" spans="2:2" x14ac:dyDescent="0.2">
      <c r="B339" s="1178"/>
    </row>
    <row r="340" spans="2:2" x14ac:dyDescent="0.2">
      <c r="B340" s="1178"/>
    </row>
    <row r="341" spans="2:2" x14ac:dyDescent="0.2">
      <c r="B341" s="1178"/>
    </row>
    <row r="342" spans="2:2" x14ac:dyDescent="0.2">
      <c r="B342" s="1178"/>
    </row>
    <row r="343" spans="2:2" x14ac:dyDescent="0.2">
      <c r="B343" s="1178"/>
    </row>
    <row r="344" spans="2:2" x14ac:dyDescent="0.2">
      <c r="B344" s="1178"/>
    </row>
    <row r="345" spans="2:2" x14ac:dyDescent="0.2">
      <c r="B345" s="1178"/>
    </row>
    <row r="346" spans="2:2" x14ac:dyDescent="0.2">
      <c r="B346" s="1178"/>
    </row>
    <row r="347" spans="2:2" x14ac:dyDescent="0.2">
      <c r="B347" s="1178"/>
    </row>
    <row r="348" spans="2:2" x14ac:dyDescent="0.2">
      <c r="B348" s="1178"/>
    </row>
    <row r="349" spans="2:2" x14ac:dyDescent="0.2">
      <c r="B349" s="1178"/>
    </row>
    <row r="350" spans="2:2" x14ac:dyDescent="0.2">
      <c r="B350" s="1178"/>
    </row>
    <row r="351" spans="2:2" x14ac:dyDescent="0.2">
      <c r="B351" s="1178"/>
    </row>
    <row r="352" spans="2:2" x14ac:dyDescent="0.2">
      <c r="B352" s="1178"/>
    </row>
    <row r="353" spans="2:2" x14ac:dyDescent="0.2">
      <c r="B353" s="1178"/>
    </row>
    <row r="354" spans="2:2" x14ac:dyDescent="0.2">
      <c r="B354" s="1178"/>
    </row>
    <row r="355" spans="2:2" x14ac:dyDescent="0.2">
      <c r="B355" s="1178"/>
    </row>
    <row r="356" spans="2:2" x14ac:dyDescent="0.2">
      <c r="B356" s="1178"/>
    </row>
    <row r="357" spans="2:2" x14ac:dyDescent="0.2">
      <c r="B357" s="1178"/>
    </row>
    <row r="358" spans="2:2" x14ac:dyDescent="0.2">
      <c r="B358" s="1178"/>
    </row>
    <row r="359" spans="2:2" x14ac:dyDescent="0.2">
      <c r="B359" s="1178"/>
    </row>
    <row r="360" spans="2:2" x14ac:dyDescent="0.2">
      <c r="B360" s="1178"/>
    </row>
    <row r="361" spans="2:2" x14ac:dyDescent="0.2">
      <c r="B361" s="1178"/>
    </row>
    <row r="362" spans="2:2" x14ac:dyDescent="0.2">
      <c r="B362" s="1178"/>
    </row>
    <row r="363" spans="2:2" x14ac:dyDescent="0.2">
      <c r="B363" s="1178"/>
    </row>
    <row r="364" spans="2:2" x14ac:dyDescent="0.2">
      <c r="B364" s="1178"/>
    </row>
    <row r="365" spans="2:2" x14ac:dyDescent="0.2">
      <c r="B365" s="1178"/>
    </row>
    <row r="366" spans="2:2" x14ac:dyDescent="0.2">
      <c r="B366" s="1178"/>
    </row>
    <row r="367" spans="2:2" x14ac:dyDescent="0.2">
      <c r="B367" s="1178"/>
    </row>
    <row r="368" spans="2:2" x14ac:dyDescent="0.2">
      <c r="B368" s="1178"/>
    </row>
    <row r="369" spans="2:2" x14ac:dyDescent="0.2">
      <c r="B369" s="1178"/>
    </row>
    <row r="370" spans="2:2" x14ac:dyDescent="0.2">
      <c r="B370" s="1178"/>
    </row>
    <row r="371" spans="2:2" x14ac:dyDescent="0.2">
      <c r="B371" s="1178"/>
    </row>
    <row r="372" spans="2:2" x14ac:dyDescent="0.2">
      <c r="B372" s="1178"/>
    </row>
    <row r="373" spans="2:2" x14ac:dyDescent="0.2">
      <c r="B373" s="1178"/>
    </row>
    <row r="374" spans="2:2" x14ac:dyDescent="0.2">
      <c r="B374" s="1178"/>
    </row>
    <row r="375" spans="2:2" x14ac:dyDescent="0.2">
      <c r="B375" s="1178"/>
    </row>
    <row r="376" spans="2:2" x14ac:dyDescent="0.2">
      <c r="B376" s="1178"/>
    </row>
    <row r="377" spans="2:2" x14ac:dyDescent="0.2">
      <c r="B377" s="1178"/>
    </row>
    <row r="378" spans="2:2" x14ac:dyDescent="0.2">
      <c r="B378" s="1178"/>
    </row>
    <row r="379" spans="2:2" x14ac:dyDescent="0.2">
      <c r="B379" s="1178"/>
    </row>
    <row r="380" spans="2:2" x14ac:dyDescent="0.2">
      <c r="B380" s="1178"/>
    </row>
    <row r="381" spans="2:2" x14ac:dyDescent="0.2">
      <c r="B381" s="1178"/>
    </row>
    <row r="382" spans="2:2" x14ac:dyDescent="0.2">
      <c r="B382" s="1178"/>
    </row>
    <row r="383" spans="2:2" x14ac:dyDescent="0.2">
      <c r="B383" s="1178"/>
    </row>
    <row r="384" spans="2:2" x14ac:dyDescent="0.2">
      <c r="B384" s="1178"/>
    </row>
    <row r="385" spans="2:2" x14ac:dyDescent="0.2">
      <c r="B385" s="1178"/>
    </row>
    <row r="386" spans="2:2" x14ac:dyDescent="0.2">
      <c r="B386" s="1178"/>
    </row>
    <row r="387" spans="2:2" x14ac:dyDescent="0.2">
      <c r="B387" s="1178"/>
    </row>
    <row r="388" spans="2:2" x14ac:dyDescent="0.2">
      <c r="B388" s="1178"/>
    </row>
    <row r="389" spans="2:2" x14ac:dyDescent="0.2">
      <c r="B389" s="1178"/>
    </row>
    <row r="390" spans="2:2" x14ac:dyDescent="0.2">
      <c r="B390" s="1178"/>
    </row>
    <row r="391" spans="2:2" x14ac:dyDescent="0.2">
      <c r="B391" s="1178"/>
    </row>
    <row r="392" spans="2:2" x14ac:dyDescent="0.2">
      <c r="B392" s="1178"/>
    </row>
    <row r="393" spans="2:2" x14ac:dyDescent="0.2">
      <c r="B393" s="1178"/>
    </row>
    <row r="394" spans="2:2" x14ac:dyDescent="0.2">
      <c r="B394" s="1178"/>
    </row>
    <row r="395" spans="2:2" x14ac:dyDescent="0.2">
      <c r="B395" s="1178"/>
    </row>
    <row r="396" spans="2:2" x14ac:dyDescent="0.2">
      <c r="B396" s="1178"/>
    </row>
    <row r="397" spans="2:2" x14ac:dyDescent="0.2">
      <c r="B397" s="1178"/>
    </row>
    <row r="398" spans="2:2" x14ac:dyDescent="0.2">
      <c r="B398" s="1178"/>
    </row>
    <row r="399" spans="2:2" x14ac:dyDescent="0.2">
      <c r="B399" s="1178"/>
    </row>
    <row r="400" spans="2:2" x14ac:dyDescent="0.2">
      <c r="B400" s="1178"/>
    </row>
    <row r="401" spans="2:2" x14ac:dyDescent="0.2">
      <c r="B401" s="1178"/>
    </row>
    <row r="402" spans="2:2" x14ac:dyDescent="0.2">
      <c r="B402" s="1178"/>
    </row>
    <row r="403" spans="2:2" x14ac:dyDescent="0.2">
      <c r="B403" s="1178"/>
    </row>
    <row r="404" spans="2:2" x14ac:dyDescent="0.2">
      <c r="B404" s="1178"/>
    </row>
    <row r="405" spans="2:2" x14ac:dyDescent="0.2">
      <c r="B405" s="1178"/>
    </row>
    <row r="406" spans="2:2" x14ac:dyDescent="0.2">
      <c r="B406" s="1178"/>
    </row>
    <row r="407" spans="2:2" x14ac:dyDescent="0.2">
      <c r="B407" s="1178"/>
    </row>
    <row r="408" spans="2:2" x14ac:dyDescent="0.2">
      <c r="B408" s="1178"/>
    </row>
    <row r="409" spans="2:2" x14ac:dyDescent="0.2">
      <c r="B409" s="1178"/>
    </row>
    <row r="410" spans="2:2" x14ac:dyDescent="0.2">
      <c r="B410" s="1178"/>
    </row>
    <row r="411" spans="2:2" x14ac:dyDescent="0.2">
      <c r="B411" s="1178"/>
    </row>
    <row r="412" spans="2:2" x14ac:dyDescent="0.2">
      <c r="B412" s="1178"/>
    </row>
    <row r="413" spans="2:2" x14ac:dyDescent="0.2">
      <c r="B413" s="1178"/>
    </row>
    <row r="414" spans="2:2" x14ac:dyDescent="0.2">
      <c r="B414" s="1178"/>
    </row>
    <row r="415" spans="2:2" x14ac:dyDescent="0.2">
      <c r="B415" s="1178"/>
    </row>
    <row r="416" spans="2:2" x14ac:dyDescent="0.2">
      <c r="B416" s="1178"/>
    </row>
    <row r="417" spans="2:2" x14ac:dyDescent="0.2">
      <c r="B417" s="1178"/>
    </row>
    <row r="418" spans="2:2" x14ac:dyDescent="0.2">
      <c r="B418" s="1178"/>
    </row>
    <row r="419" spans="2:2" x14ac:dyDescent="0.2">
      <c r="B419" s="1178"/>
    </row>
    <row r="420" spans="2:2" x14ac:dyDescent="0.2">
      <c r="B420" s="1178"/>
    </row>
    <row r="421" spans="2:2" x14ac:dyDescent="0.2">
      <c r="B421" s="1178"/>
    </row>
    <row r="422" spans="2:2" x14ac:dyDescent="0.2">
      <c r="B422" s="1178"/>
    </row>
    <row r="423" spans="2:2" x14ac:dyDescent="0.2">
      <c r="B423" s="1178"/>
    </row>
    <row r="424" spans="2:2" x14ac:dyDescent="0.2">
      <c r="B424" s="1178"/>
    </row>
    <row r="425" spans="2:2" x14ac:dyDescent="0.2">
      <c r="B425" s="1178"/>
    </row>
    <row r="426" spans="2:2" x14ac:dyDescent="0.2">
      <c r="B426" s="1178"/>
    </row>
    <row r="427" spans="2:2" x14ac:dyDescent="0.2">
      <c r="B427" s="1178"/>
    </row>
    <row r="428" spans="2:2" x14ac:dyDescent="0.2">
      <c r="B428" s="1178"/>
    </row>
    <row r="429" spans="2:2" x14ac:dyDescent="0.2">
      <c r="B429" s="1178"/>
    </row>
    <row r="430" spans="2:2" x14ac:dyDescent="0.2">
      <c r="B430" s="1178"/>
    </row>
    <row r="431" spans="2:2" x14ac:dyDescent="0.2">
      <c r="B431" s="1178"/>
    </row>
    <row r="432" spans="2:2" x14ac:dyDescent="0.2">
      <c r="B432" s="1178"/>
    </row>
    <row r="433" spans="2:2" x14ac:dyDescent="0.2">
      <c r="B433" s="1178"/>
    </row>
    <row r="434" spans="2:2" x14ac:dyDescent="0.2">
      <c r="B434" s="1178"/>
    </row>
    <row r="435" spans="2:2" x14ac:dyDescent="0.2">
      <c r="B435" s="1178"/>
    </row>
    <row r="436" spans="2:2" x14ac:dyDescent="0.2">
      <c r="B436" s="1178"/>
    </row>
    <row r="437" spans="2:2" x14ac:dyDescent="0.2">
      <c r="B437" s="1178"/>
    </row>
    <row r="438" spans="2:2" x14ac:dyDescent="0.2">
      <c r="B438" s="1178"/>
    </row>
    <row r="439" spans="2:2" x14ac:dyDescent="0.2">
      <c r="B439" s="1178"/>
    </row>
    <row r="440" spans="2:2" x14ac:dyDescent="0.2">
      <c r="B440" s="1178"/>
    </row>
    <row r="441" spans="2:2" x14ac:dyDescent="0.2">
      <c r="B441" s="1178"/>
    </row>
    <row r="442" spans="2:2" x14ac:dyDescent="0.2">
      <c r="B442" s="1178"/>
    </row>
    <row r="443" spans="2:2" x14ac:dyDescent="0.2">
      <c r="B443" s="1178"/>
    </row>
    <row r="444" spans="2:2" x14ac:dyDescent="0.2">
      <c r="B444" s="1178"/>
    </row>
    <row r="445" spans="2:2" x14ac:dyDescent="0.2">
      <c r="B445" s="1178"/>
    </row>
    <row r="446" spans="2:2" x14ac:dyDescent="0.2">
      <c r="B446" s="1178"/>
    </row>
    <row r="447" spans="2:2" x14ac:dyDescent="0.2">
      <c r="B447" s="1178"/>
    </row>
    <row r="448" spans="2:2" x14ac:dyDescent="0.2">
      <c r="B448" s="1178"/>
    </row>
    <row r="449" spans="2:2" x14ac:dyDescent="0.2">
      <c r="B449" s="1178"/>
    </row>
    <row r="450" spans="2:2" x14ac:dyDescent="0.2">
      <c r="B450" s="1178"/>
    </row>
    <row r="451" spans="2:2" x14ac:dyDescent="0.2">
      <c r="B451" s="1178"/>
    </row>
    <row r="452" spans="2:2" x14ac:dyDescent="0.2">
      <c r="B452" s="1178"/>
    </row>
    <row r="453" spans="2:2" x14ac:dyDescent="0.2">
      <c r="B453" s="1178"/>
    </row>
    <row r="454" spans="2:2" x14ac:dyDescent="0.2">
      <c r="B454" s="1178"/>
    </row>
    <row r="455" spans="2:2" x14ac:dyDescent="0.2">
      <c r="B455" s="1178"/>
    </row>
    <row r="456" spans="2:2" x14ac:dyDescent="0.2">
      <c r="B456" s="1178"/>
    </row>
    <row r="457" spans="2:2" x14ac:dyDescent="0.2">
      <c r="B457" s="1178"/>
    </row>
    <row r="458" spans="2:2" x14ac:dyDescent="0.2">
      <c r="B458" s="1178"/>
    </row>
    <row r="459" spans="2:2" x14ac:dyDescent="0.2">
      <c r="B459" s="1178"/>
    </row>
    <row r="460" spans="2:2" x14ac:dyDescent="0.2">
      <c r="B460" s="1178"/>
    </row>
    <row r="461" spans="2:2" x14ac:dyDescent="0.2">
      <c r="B461" s="1178"/>
    </row>
    <row r="462" spans="2:2" x14ac:dyDescent="0.2">
      <c r="B462" s="1178"/>
    </row>
    <row r="463" spans="2:2" x14ac:dyDescent="0.2">
      <c r="B463" s="1178"/>
    </row>
    <row r="464" spans="2:2" x14ac:dyDescent="0.2">
      <c r="B464" s="1178"/>
    </row>
    <row r="465" spans="2:2" x14ac:dyDescent="0.2">
      <c r="B465" s="1178"/>
    </row>
    <row r="466" spans="2:2" x14ac:dyDescent="0.2">
      <c r="B466" s="1178"/>
    </row>
    <row r="467" spans="2:2" x14ac:dyDescent="0.2">
      <c r="B467" s="1178"/>
    </row>
    <row r="468" spans="2:2" x14ac:dyDescent="0.2">
      <c r="B468" s="1178"/>
    </row>
    <row r="469" spans="2:2" x14ac:dyDescent="0.2">
      <c r="B469" s="1178"/>
    </row>
    <row r="470" spans="2:2" x14ac:dyDescent="0.2">
      <c r="B470" s="1178"/>
    </row>
    <row r="471" spans="2:2" x14ac:dyDescent="0.2">
      <c r="B471" s="1178"/>
    </row>
    <row r="472" spans="2:2" x14ac:dyDescent="0.2">
      <c r="B472" s="1178"/>
    </row>
    <row r="473" spans="2:2" x14ac:dyDescent="0.2">
      <c r="B473" s="1178"/>
    </row>
    <row r="474" spans="2:2" x14ac:dyDescent="0.2">
      <c r="B474" s="1178"/>
    </row>
    <row r="475" spans="2:2" x14ac:dyDescent="0.2">
      <c r="B475" s="1178"/>
    </row>
    <row r="476" spans="2:2" x14ac:dyDescent="0.2">
      <c r="B476" s="1178"/>
    </row>
    <row r="477" spans="2:2" x14ac:dyDescent="0.2">
      <c r="B477" s="1178"/>
    </row>
    <row r="478" spans="2:2" x14ac:dyDescent="0.2">
      <c r="B478" s="1178"/>
    </row>
    <row r="479" spans="2:2" x14ac:dyDescent="0.2">
      <c r="B479" s="1178"/>
    </row>
    <row r="480" spans="2:2" x14ac:dyDescent="0.2">
      <c r="B480" s="1178"/>
    </row>
    <row r="481" spans="2:2" x14ac:dyDescent="0.2">
      <c r="B481" s="1178"/>
    </row>
    <row r="482" spans="2:2" x14ac:dyDescent="0.2">
      <c r="B482" s="1178"/>
    </row>
    <row r="483" spans="2:2" x14ac:dyDescent="0.2">
      <c r="B483" s="1178"/>
    </row>
    <row r="484" spans="2:2" x14ac:dyDescent="0.2">
      <c r="B484" s="1178"/>
    </row>
    <row r="485" spans="2:2" x14ac:dyDescent="0.2">
      <c r="B485" s="1178"/>
    </row>
    <row r="486" spans="2:2" x14ac:dyDescent="0.2">
      <c r="B486" s="1178"/>
    </row>
    <row r="487" spans="2:2" x14ac:dyDescent="0.2">
      <c r="B487" s="1178"/>
    </row>
    <row r="488" spans="2:2" x14ac:dyDescent="0.2">
      <c r="B488" s="1178"/>
    </row>
    <row r="489" spans="2:2" x14ac:dyDescent="0.2">
      <c r="B489" s="1178"/>
    </row>
    <row r="490" spans="2:2" x14ac:dyDescent="0.2">
      <c r="B490" s="1178"/>
    </row>
    <row r="491" spans="2:2" x14ac:dyDescent="0.2">
      <c r="B491" s="1178"/>
    </row>
    <row r="492" spans="2:2" x14ac:dyDescent="0.2">
      <c r="B492" s="1178"/>
    </row>
    <row r="493" spans="2:2" x14ac:dyDescent="0.2">
      <c r="B493" s="1178"/>
    </row>
    <row r="494" spans="2:2" x14ac:dyDescent="0.2">
      <c r="B494" s="1178"/>
    </row>
    <row r="495" spans="2:2" x14ac:dyDescent="0.2">
      <c r="B495" s="1178"/>
    </row>
    <row r="496" spans="2:2" x14ac:dyDescent="0.2">
      <c r="B496" s="1178"/>
    </row>
    <row r="497" spans="2:2" x14ac:dyDescent="0.2">
      <c r="B497" s="1178"/>
    </row>
    <row r="498" spans="2:2" x14ac:dyDescent="0.2">
      <c r="B498" s="1178"/>
    </row>
    <row r="499" spans="2:2" x14ac:dyDescent="0.2">
      <c r="B499" s="1178"/>
    </row>
    <row r="500" spans="2:2" x14ac:dyDescent="0.2">
      <c r="B500" s="1178"/>
    </row>
    <row r="501" spans="2:2" x14ac:dyDescent="0.2">
      <c r="B501" s="1178"/>
    </row>
    <row r="502" spans="2:2" x14ac:dyDescent="0.2">
      <c r="B502" s="1178"/>
    </row>
    <row r="503" spans="2:2" x14ac:dyDescent="0.2">
      <c r="B503" s="1178"/>
    </row>
    <row r="504" spans="2:2" x14ac:dyDescent="0.2">
      <c r="B504" s="1178"/>
    </row>
    <row r="505" spans="2:2" x14ac:dyDescent="0.2">
      <c r="B505" s="1178"/>
    </row>
    <row r="506" spans="2:2" x14ac:dyDescent="0.2">
      <c r="B506" s="1178"/>
    </row>
    <row r="507" spans="2:2" x14ac:dyDescent="0.2">
      <c r="B507" s="1178"/>
    </row>
    <row r="508" spans="2:2" x14ac:dyDescent="0.2">
      <c r="B508" s="1178"/>
    </row>
    <row r="509" spans="2:2" x14ac:dyDescent="0.2">
      <c r="B509" s="1178"/>
    </row>
    <row r="510" spans="2:2" x14ac:dyDescent="0.2">
      <c r="B510" s="1178"/>
    </row>
    <row r="511" spans="2:2" x14ac:dyDescent="0.2">
      <c r="B511" s="1178"/>
    </row>
    <row r="512" spans="2:2" x14ac:dyDescent="0.2">
      <c r="B512" s="1178"/>
    </row>
    <row r="513" spans="2:2" x14ac:dyDescent="0.2">
      <c r="B513" s="1178"/>
    </row>
    <row r="514" spans="2:2" x14ac:dyDescent="0.2">
      <c r="B514" s="1178"/>
    </row>
    <row r="515" spans="2:2" x14ac:dyDescent="0.2">
      <c r="B515" s="1178"/>
    </row>
    <row r="516" spans="2:2" x14ac:dyDescent="0.2">
      <c r="B516" s="1178"/>
    </row>
    <row r="517" spans="2:2" x14ac:dyDescent="0.2">
      <c r="B517" s="1178"/>
    </row>
    <row r="578" spans="3:14" x14ac:dyDescent="0.2">
      <c r="C578" s="35"/>
      <c r="D578" s="35"/>
      <c r="F578" s="35"/>
      <c r="H578" s="35"/>
      <c r="J578" s="35"/>
      <c r="L578" s="35"/>
      <c r="N578" s="35"/>
    </row>
  </sheetData>
  <sheetProtection sheet="1" objects="1" scenarios="1"/>
  <mergeCells count="254">
    <mergeCell ref="T49:T50"/>
    <mergeCell ref="E159:J160"/>
    <mergeCell ref="P87:P101"/>
    <mergeCell ref="K89:L89"/>
    <mergeCell ref="M87:O100"/>
    <mergeCell ref="B89:H89"/>
    <mergeCell ref="G88:H88"/>
    <mergeCell ref="K93:L93"/>
    <mergeCell ref="B88:F88"/>
    <mergeCell ref="B85:J85"/>
    <mergeCell ref="B99:F99"/>
    <mergeCell ref="K100:L100"/>
    <mergeCell ref="B100:F100"/>
    <mergeCell ref="N119:O119"/>
    <mergeCell ref="I110:L114"/>
    <mergeCell ref="B108:O108"/>
    <mergeCell ref="J104:K104"/>
    <mergeCell ref="M104:N104"/>
    <mergeCell ref="B125:O125"/>
    <mergeCell ref="I87:L87"/>
    <mergeCell ref="K91:L91"/>
    <mergeCell ref="B101:J101"/>
    <mergeCell ref="B68:O68"/>
    <mergeCell ref="J52:K52"/>
    <mergeCell ref="L1:P1"/>
    <mergeCell ref="F1:J1"/>
    <mergeCell ref="O4:P4"/>
    <mergeCell ref="B4:F4"/>
    <mergeCell ref="G4:J4"/>
    <mergeCell ref="K4:N4"/>
    <mergeCell ref="B2:P2"/>
    <mergeCell ref="B3:P3"/>
    <mergeCell ref="P33:P35"/>
    <mergeCell ref="J9:K9"/>
    <mergeCell ref="B10:I10"/>
    <mergeCell ref="B6:I6"/>
    <mergeCell ref="J7:K7"/>
    <mergeCell ref="B33:O33"/>
    <mergeCell ref="B31:O31"/>
    <mergeCell ref="N30:O30"/>
    <mergeCell ref="N25:O25"/>
    <mergeCell ref="B35:J35"/>
    <mergeCell ref="B32:P32"/>
    <mergeCell ref="B12:O12"/>
    <mergeCell ref="P22:P29"/>
    <mergeCell ref="B34:O34"/>
    <mergeCell ref="P5:P12"/>
    <mergeCell ref="B9:I9"/>
    <mergeCell ref="B37:P37"/>
    <mergeCell ref="B40:H40"/>
    <mergeCell ref="I42:J42"/>
    <mergeCell ref="I40:J40"/>
    <mergeCell ref="B38:H38"/>
    <mergeCell ref="B8:I8"/>
    <mergeCell ref="J8:K8"/>
    <mergeCell ref="K35:O35"/>
    <mergeCell ref="B26:O26"/>
    <mergeCell ref="M9:N9"/>
    <mergeCell ref="M10:N10"/>
    <mergeCell ref="M8:N8"/>
    <mergeCell ref="K39:L39"/>
    <mergeCell ref="B25:M25"/>
    <mergeCell ref="B21:O21"/>
    <mergeCell ref="B22:O22"/>
    <mergeCell ref="B30:M30"/>
    <mergeCell ref="J11:K11"/>
    <mergeCell ref="B13:O13"/>
    <mergeCell ref="B11:I11"/>
    <mergeCell ref="I38:L38"/>
    <mergeCell ref="K40:L40"/>
    <mergeCell ref="P38:P48"/>
    <mergeCell ref="K48:O48"/>
    <mergeCell ref="M38:O47"/>
    <mergeCell ref="I43:J43"/>
    <mergeCell ref="B48:J48"/>
    <mergeCell ref="B55:O55"/>
    <mergeCell ref="I44:J44"/>
    <mergeCell ref="B46:F46"/>
    <mergeCell ref="B47:F47"/>
    <mergeCell ref="G47:H47"/>
    <mergeCell ref="B43:H43"/>
    <mergeCell ref="I41:J41"/>
    <mergeCell ref="K41:L41"/>
    <mergeCell ref="K42:L42"/>
    <mergeCell ref="B39:F39"/>
    <mergeCell ref="B53:I53"/>
    <mergeCell ref="I47:J47"/>
    <mergeCell ref="K46:L46"/>
    <mergeCell ref="I39:J39"/>
    <mergeCell ref="G46:H46"/>
    <mergeCell ref="N80:O80"/>
    <mergeCell ref="N72:O72"/>
    <mergeCell ref="I88:J88"/>
    <mergeCell ref="I89:J89"/>
    <mergeCell ref="K90:L90"/>
    <mergeCell ref="B86:P86"/>
    <mergeCell ref="B83:O83"/>
    <mergeCell ref="M51:N51"/>
    <mergeCell ref="B51:I51"/>
    <mergeCell ref="P83:P85"/>
    <mergeCell ref="B56:E67"/>
    <mergeCell ref="I56:L67"/>
    <mergeCell ref="P56:P67"/>
    <mergeCell ref="I98:J98"/>
    <mergeCell ref="I90:J90"/>
    <mergeCell ref="B87:H87"/>
    <mergeCell ref="B84:O84"/>
    <mergeCell ref="B81:O81"/>
    <mergeCell ref="I91:J91"/>
    <mergeCell ref="I94:J94"/>
    <mergeCell ref="K94:L94"/>
    <mergeCell ref="B94:H94"/>
    <mergeCell ref="B14:E20"/>
    <mergeCell ref="I14:L20"/>
    <mergeCell ref="M11:N11"/>
    <mergeCell ref="M6:N6"/>
    <mergeCell ref="M7:N7"/>
    <mergeCell ref="B5:O5"/>
    <mergeCell ref="J10:K10"/>
    <mergeCell ref="J6:K6"/>
    <mergeCell ref="B7:I7"/>
    <mergeCell ref="B36:P36"/>
    <mergeCell ref="P50:P54"/>
    <mergeCell ref="M53:N53"/>
    <mergeCell ref="G39:H39"/>
    <mergeCell ref="K99:L99"/>
    <mergeCell ref="K92:L92"/>
    <mergeCell ref="I97:J97"/>
    <mergeCell ref="I92:J92"/>
    <mergeCell ref="B119:K119"/>
    <mergeCell ref="L119:M119"/>
    <mergeCell ref="K43:L43"/>
    <mergeCell ref="K44:L44"/>
    <mergeCell ref="K45:L45"/>
    <mergeCell ref="J53:K53"/>
    <mergeCell ref="I45:J45"/>
    <mergeCell ref="K47:L47"/>
    <mergeCell ref="M52:N52"/>
    <mergeCell ref="B49:P49"/>
    <mergeCell ref="J51:K51"/>
    <mergeCell ref="B54:O54"/>
    <mergeCell ref="B50:O50"/>
    <mergeCell ref="B52:I52"/>
    <mergeCell ref="I46:J46"/>
    <mergeCell ref="I99:J99"/>
    <mergeCell ref="G99:H99"/>
    <mergeCell ref="B110:E114"/>
    <mergeCell ref="N79:O79"/>
    <mergeCell ref="N73:O73"/>
    <mergeCell ref="K85:O85"/>
    <mergeCell ref="P69:P78"/>
    <mergeCell ref="K101:O101"/>
    <mergeCell ref="B109:P109"/>
    <mergeCell ref="M106:N106"/>
    <mergeCell ref="B102:P102"/>
    <mergeCell ref="I100:J100"/>
    <mergeCell ref="K88:L88"/>
    <mergeCell ref="I93:J93"/>
    <mergeCell ref="B74:O74"/>
    <mergeCell ref="I96:J96"/>
    <mergeCell ref="K95:L95"/>
    <mergeCell ref="K96:L96"/>
    <mergeCell ref="K98:L98"/>
    <mergeCell ref="B90:B93"/>
    <mergeCell ref="G100:H100"/>
    <mergeCell ref="B69:O69"/>
    <mergeCell ref="K97:L97"/>
    <mergeCell ref="I95:J95"/>
    <mergeCell ref="B95:B98"/>
    <mergeCell ref="K150:O150"/>
    <mergeCell ref="B150:E150"/>
    <mergeCell ref="F150:J150"/>
    <mergeCell ref="I145:O147"/>
    <mergeCell ref="B146:F146"/>
    <mergeCell ref="G146:H146"/>
    <mergeCell ref="B147:F147"/>
    <mergeCell ref="G147:H147"/>
    <mergeCell ref="B148:F148"/>
    <mergeCell ref="B149:P149"/>
    <mergeCell ref="B145:F145"/>
    <mergeCell ref="P144:P148"/>
    <mergeCell ref="G145:H145"/>
    <mergeCell ref="L148:O148"/>
    <mergeCell ref="K133:L133"/>
    <mergeCell ref="B107:I107"/>
    <mergeCell ref="B115:O115"/>
    <mergeCell ref="B128:O128"/>
    <mergeCell ref="P132:P142"/>
    <mergeCell ref="K142:O142"/>
    <mergeCell ref="G133:H133"/>
    <mergeCell ref="B140:F140"/>
    <mergeCell ref="B120:O120"/>
    <mergeCell ref="L124:M124"/>
    <mergeCell ref="M132:O141"/>
    <mergeCell ref="I132:L132"/>
    <mergeCell ref="P128:P130"/>
    <mergeCell ref="B142:J142"/>
    <mergeCell ref="B138:C139"/>
    <mergeCell ref="B132:H132"/>
    <mergeCell ref="N124:O124"/>
    <mergeCell ref="B116:O116"/>
    <mergeCell ref="P116:P123"/>
    <mergeCell ref="B126:P126"/>
    <mergeCell ref="B134:H134"/>
    <mergeCell ref="B137:H137"/>
    <mergeCell ref="I137:J137"/>
    <mergeCell ref="T4:T5"/>
    <mergeCell ref="S4:S5"/>
    <mergeCell ref="U4:U5"/>
    <mergeCell ref="V5:W5"/>
    <mergeCell ref="S23:AE23"/>
    <mergeCell ref="L159:N161"/>
    <mergeCell ref="K141:L141"/>
    <mergeCell ref="B144:O144"/>
    <mergeCell ref="I138:J138"/>
    <mergeCell ref="I140:J140"/>
    <mergeCell ref="I139:J139"/>
    <mergeCell ref="I141:J141"/>
    <mergeCell ref="B143:O143"/>
    <mergeCell ref="J105:K105"/>
    <mergeCell ref="B103:O103"/>
    <mergeCell ref="B127:P127"/>
    <mergeCell ref="P103:P108"/>
    <mergeCell ref="G141:H141"/>
    <mergeCell ref="G140:H140"/>
    <mergeCell ref="J106:K106"/>
    <mergeCell ref="B105:I105"/>
    <mergeCell ref="B135:C136"/>
    <mergeCell ref="B106:I106"/>
    <mergeCell ref="B129:O129"/>
    <mergeCell ref="E163:J166"/>
    <mergeCell ref="S117:AE117"/>
    <mergeCell ref="C156:N156"/>
    <mergeCell ref="AF22:AF23"/>
    <mergeCell ref="AG22:AG23"/>
    <mergeCell ref="AH22:AH23"/>
    <mergeCell ref="AI22:AI23"/>
    <mergeCell ref="AJ22:AJ23"/>
    <mergeCell ref="AK22:AK23"/>
    <mergeCell ref="B130:J130"/>
    <mergeCell ref="S69:AQ69"/>
    <mergeCell ref="M107:N107"/>
    <mergeCell ref="B124:K124"/>
    <mergeCell ref="B141:F141"/>
    <mergeCell ref="M105:N105"/>
    <mergeCell ref="B104:I104"/>
    <mergeCell ref="J107:K107"/>
    <mergeCell ref="B133:F133"/>
    <mergeCell ref="K130:O130"/>
    <mergeCell ref="I134:J134"/>
    <mergeCell ref="I136:J136"/>
    <mergeCell ref="I135:J135"/>
    <mergeCell ref="I133:J133"/>
    <mergeCell ref="B131:P131"/>
  </mergeCells>
  <phoneticPr fontId="0" type="noConversion"/>
  <dataValidations xWindow="815" yWindow="346" count="21">
    <dataValidation type="list" showInputMessage="1" showErrorMessage="1" promptTitle="Range of Motion" prompt="Cervical spine: Enter retained degrees of motion, flexion. If area was not affected by the injury, select &quot;NA&quot; or leave blank." sqref="J6:K6" xr:uid="{00000000-0002-0000-0E00-000000000000}">
      <formula1>$B$156:$B$217</formula1>
    </dataValidation>
    <dataValidation type="list" showInputMessage="1" showErrorMessage="1" promptTitle="Range of Motion" prompt="Cervical Spine: Enter retained degrees of motion, right lateral flexion. If area was not affected by the injury, select &quot;NA&quot; or leave blank." sqref="J8:K8" xr:uid="{00000000-0002-0000-0E00-000001000000}">
      <formula1>$B$156:$B$202</formula1>
    </dataValidation>
    <dataValidation type="list" showInputMessage="1" showErrorMessage="1" promptTitle="Range of Motion" prompt="Cervical Spine: Enter retained degrees of motion, extension. If area was not affected by the injury, select &quot;NA&quot; or leave blank." sqref="J7:K7" xr:uid="{00000000-0002-0000-0E00-000002000000}">
      <formula1>$B$156:$B$232</formula1>
    </dataValidation>
    <dataValidation type="list" showInputMessage="1" showErrorMessage="1" promptTitle="Range of Motion" prompt="Cervical Spine: Enter retained degrees of motion, left lateral flexion. If area was not affected by the injury, select &quot;NA&quot; or leave blank." sqref="J9:K9" xr:uid="{00000000-0002-0000-0E00-000003000000}">
      <formula1>$B$156:$B$202</formula1>
    </dataValidation>
    <dataValidation type="list" showInputMessage="1" showErrorMessage="1" promptTitle="Range of Motion" prompt="Cervical Spine: Enter retained degrees of motion, right rotation. If area was not affected by the injury, select &quot;NA&quot; or leave blank." sqref="J10:K10" xr:uid="{00000000-0002-0000-0E00-000004000000}">
      <formula1>$B$156:$B$237</formula1>
    </dataValidation>
    <dataValidation type="list" showInputMessage="1" showErrorMessage="1" promptTitle="Range of Motion" prompt="Cervical Spine: Enter retained degrees of motion, left rotation. If area was not affected by the injury, select &quot;NA&quot; or leave blank." sqref="J11:K11" xr:uid="{00000000-0002-0000-0E00-000005000000}">
      <formula1>$B$156:$B$237</formula1>
    </dataValidation>
    <dataValidation type="list" showInputMessage="1" showErrorMessage="1" promptTitle="Range of Motion" prompt="Thoracic spine: Enter retained degrees of motion, flexion. If area was not affected by the injury, select &quot;NA&quot; or leave blank." sqref="J51:K51" xr:uid="{00000000-0002-0000-0E00-000006000000}">
      <formula1>$B$156:$B$207</formula1>
    </dataValidation>
    <dataValidation type="list" showInputMessage="1" showErrorMessage="1" promptTitle="Range of Motion" prompt="Thoracic spine: Enter retained degrees of motion, right rotation. If area was not affected by the injury, select &quot;NA&quot; or leave blank." sqref="J52:K52" xr:uid="{00000000-0002-0000-0E00-000007000000}">
      <formula1>$B$156:$B$187</formula1>
    </dataValidation>
    <dataValidation type="list" showInputMessage="1" showErrorMessage="1" promptTitle="Range of Motion" prompt="Thoracic spine: Enter retained degrees of motion, left rotation. If area was not affected by the injury, select &quot;NA&quot; or leave blank." sqref="J53:K53" xr:uid="{00000000-0002-0000-0E00-000008000000}">
      <formula1>$B$156:$B$187</formula1>
    </dataValidation>
    <dataValidation type="list" showInputMessage="1" showErrorMessage="1" promptTitle="Range of Motion" prompt="Lumbosacral spine: Enter retained degrees of motion, flexion. If area was not affected by the injury, select &quot;NA&quot; or leave blank." sqref="J104:K104" xr:uid="{00000000-0002-0000-0E00-000009000000}">
      <formula1>$B$156:$B$217</formula1>
    </dataValidation>
    <dataValidation type="list" showInputMessage="1" showErrorMessage="1" promptTitle="Range of Motion" prompt="Lumbosacral spine: Enter retained degrees of motion, extension. If area was not affected by the injury, select &quot;NA&quot; or leave blank." sqref="J105:K105" xr:uid="{00000000-0002-0000-0E00-00000A000000}">
      <formula1>$B$156:$B$182</formula1>
    </dataValidation>
    <dataValidation type="list" showInputMessage="1" showErrorMessage="1" promptTitle="Range of Motion" prompt="Lumbosacral spine: Enter retained degrees of motion, right lateral flexion. If area was not affected by the injury, select &quot;NA&quot; or leave blank." sqref="J106:K106" xr:uid="{00000000-0002-0000-0E00-00000B000000}">
      <formula1>$B$156:$B$182</formula1>
    </dataValidation>
    <dataValidation type="list" showInputMessage="1" showErrorMessage="1" promptTitle="Range of Motion" prompt="Lumbosacral spine: Enter retained degrees of motion, left lateral flexion. If area was not affected by the injury, select &quot;NA&quot; or leave blank." sqref="J107:K107" xr:uid="{00000000-0002-0000-0E00-00000C000000}">
      <formula1>$B$156:$B$182</formula1>
    </dataValidation>
    <dataValidation type="decimal" operator="equal" allowBlank="1" showInputMessage="1" showErrorMessage="1" promptTitle="Shoulder" prompt="Check &quot;Yes&quot; if the chronic condition criteria have been met." sqref="A37" xr:uid="{00000000-0002-0000-0E00-000010000000}">
      <formula1>S37</formula1>
    </dataValidation>
    <dataValidation type="decimal" operator="equal" allowBlank="1" showInputMessage="1" showErrorMessage="1" promptTitle="Chronic condition" prompt="Check &quot;Yes&quot; if the chronic condition criteria have been met." sqref="A35:A36 A85 A130" xr:uid="{00000000-0002-0000-0E00-000011000000}">
      <formula1>S35</formula1>
    </dataValidation>
    <dataValidation allowBlank="1" showInputMessage="1" showErrorMessage="1" promptTitle="End of worksheet" prompt="Press TAB to return to top of sheet." sqref="P150" xr:uid="{00000000-0002-0000-0E00-000012000000}"/>
    <dataValidation type="list" allowBlank="1" showInputMessage="1" showErrorMessage="1" promptTitle="% of Compression" prompt="Select the percent of compression for each vertebral body. If the vertebra is uninjured, enter &quot;NA&quot; or leave blank." sqref="G14:G20 G56:G67 G110:G114" xr:uid="{1B6830DB-D057-4CDE-981B-15E4992E916F}">
      <formula1>$B$156:$B$257</formula1>
    </dataValidation>
    <dataValidation type="list" allowBlank="1" showInputMessage="1" showErrorMessage="1" promptTitle="Subsequent surgery" prompt="Select the number of additional procedures for each vertebra and disc." sqref="B28:N28 B76:N76 B79:M79 B122:M122" xr:uid="{00000000-0002-0000-0E00-00000E000000}">
      <formula1>$E$161:$J$161</formula1>
    </dataValidation>
    <dataValidation type="list" allowBlank="1" showInputMessage="1" showErrorMessage="1" promptTitle="Fracture of posterior elements" prompt="Place an &quot;X&quot; beneath any vertebra that has suffered a fracture of one or more of the posterior elements (spinous process, pedicles, laminae, articular processes, or transverse processes)." sqref="N14:N20 N56:N67 N110:N114" xr:uid="{00000000-0002-0000-0E00-000014000000}">
      <formula1>$E$167:$F$167</formula1>
    </dataValidation>
    <dataValidation type="list" allowBlank="1" showInputMessage="1" showErrorMessage="1" promptTitle="Surgery" prompt="Place an &quot;X&quot; beneath all vertebrae and discs affected by the surgery." sqref="B24:N24 B71:N71 B73:M73 B118:M118" xr:uid="{99DE2BA9-F6B1-4429-94C0-8F58B46B47EC}">
      <formula1>$E$167:$F$167</formula1>
    </dataValidation>
    <dataValidation type="decimal" allowBlank="1" showInputMessage="1" showErrorMessage="1" promptTitle="Apportionment (if any)" prompt="Enter percentage of impairment caused by the injury or illness. See OAR 436-035-0013." sqref="I39:J39 I133:J133 I88:J88 I100:J100 I141:J141 I47:J47" xr:uid="{00000000-0002-0000-0E00-000013000000}">
      <formula1>$L$162</formula1>
      <formula2>$M$162</formula2>
    </dataValidation>
  </dataValidations>
  <hyperlinks>
    <hyperlink ref="G4:J4" location="Spine!A4" display="Spine!A4" xr:uid="{00000000-0004-0000-0E00-000000000000}"/>
    <hyperlink ref="K4:N4" location="Spine!A50" display="Thoracic" xr:uid="{00000000-0004-0000-0E00-000001000000}"/>
    <hyperlink ref="O4:P4" location="Spine!A104" display="Lumbar" xr:uid="{00000000-0004-0000-0E00-000002000000}"/>
    <hyperlink ref="B150" location="'Hip-Left'!A1" display="Return to top of sheet" xr:uid="{00000000-0004-0000-0E00-000003000000}"/>
    <hyperlink ref="F150:J150" location="'PPD DOI before 2005'!A1" display="'PPD DOI before 2005'!A1" xr:uid="{00000000-0004-0000-0E00-000004000000}"/>
    <hyperlink ref="K150:O150" location="'PPD DOI on or after 2005'!A1" display="'PPD DOI on or after 2005'!A1" xr:uid="{00000000-0004-0000-0E00-000005000000}"/>
    <hyperlink ref="B150:E150" location="Spine!A1" display="Return to top of sheet" xr:uid="{00000000-0004-0000-0E00-000006000000}"/>
  </hyperlinks>
  <pageMargins left="0.66" right="0.63" top="0.47" bottom="0.63" header="0.5" footer="0.4"/>
  <pageSetup orientation="portrait" horizontalDpi="300" verticalDpi="300" r:id="rId1"/>
  <headerFooter alignWithMargins="0">
    <oddFooter>&amp;LSpine&amp;CPage &amp;P</oddFooter>
  </headerFooter>
  <rowBreaks count="4" manualBreakCount="4">
    <brk id="36" max="16383" man="1"/>
    <brk id="67" max="16383" man="1"/>
    <brk id="102" max="16383" man="1"/>
    <brk id="13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0963" r:id="rId4" name="Group Box 3">
              <controlPr defaultSize="0" autoFill="0" autoPict="0">
                <anchor moveWithCells="1">
                  <from>
                    <xdr:col>10</xdr:col>
                    <xdr:colOff>0</xdr:colOff>
                    <xdr:row>34</xdr:row>
                    <xdr:rowOff>0</xdr:rowOff>
                  </from>
                  <to>
                    <xdr:col>15</xdr:col>
                    <xdr:colOff>0</xdr:colOff>
                    <xdr:row>35</xdr:row>
                    <xdr:rowOff>0</xdr:rowOff>
                  </to>
                </anchor>
              </controlPr>
            </control>
          </mc:Choice>
        </mc:AlternateContent>
        <mc:AlternateContent xmlns:mc="http://schemas.openxmlformats.org/markup-compatibility/2006">
          <mc:Choice Requires="x14">
            <control shapeId="40966" r:id="rId5" name="Option Button 6">
              <controlPr defaultSize="0" autoFill="0" autoLine="0" autoPict="0">
                <anchor moveWithCells="1">
                  <from>
                    <xdr:col>10</xdr:col>
                    <xdr:colOff>295275</xdr:colOff>
                    <xdr:row>34</xdr:row>
                    <xdr:rowOff>38100</xdr:rowOff>
                  </from>
                  <to>
                    <xdr:col>11</xdr:col>
                    <xdr:colOff>361950</xdr:colOff>
                    <xdr:row>34</xdr:row>
                    <xdr:rowOff>257175</xdr:rowOff>
                  </to>
                </anchor>
              </controlPr>
            </control>
          </mc:Choice>
        </mc:AlternateContent>
        <mc:AlternateContent xmlns:mc="http://schemas.openxmlformats.org/markup-compatibility/2006">
          <mc:Choice Requires="x14">
            <control shapeId="40967" r:id="rId6" name="Option Button 7">
              <controlPr defaultSize="0" autoFill="0" autoLine="0" autoPict="0">
                <anchor moveWithCells="1">
                  <from>
                    <xdr:col>12</xdr:col>
                    <xdr:colOff>266700</xdr:colOff>
                    <xdr:row>34</xdr:row>
                    <xdr:rowOff>38100</xdr:rowOff>
                  </from>
                  <to>
                    <xdr:col>13</xdr:col>
                    <xdr:colOff>333375</xdr:colOff>
                    <xdr:row>34</xdr:row>
                    <xdr:rowOff>257175</xdr:rowOff>
                  </to>
                </anchor>
              </controlPr>
            </control>
          </mc:Choice>
        </mc:AlternateContent>
        <mc:AlternateContent xmlns:mc="http://schemas.openxmlformats.org/markup-compatibility/2006">
          <mc:Choice Requires="x14">
            <control shapeId="40968" r:id="rId7" name="Group Box 8">
              <controlPr defaultSize="0" autoFill="0" autoPict="0">
                <anchor moveWithCells="1">
                  <from>
                    <xdr:col>10</xdr:col>
                    <xdr:colOff>0</xdr:colOff>
                    <xdr:row>129</xdr:row>
                    <xdr:rowOff>0</xdr:rowOff>
                  </from>
                  <to>
                    <xdr:col>15</xdr:col>
                    <xdr:colOff>0</xdr:colOff>
                    <xdr:row>130</xdr:row>
                    <xdr:rowOff>0</xdr:rowOff>
                  </to>
                </anchor>
              </controlPr>
            </control>
          </mc:Choice>
        </mc:AlternateContent>
        <mc:AlternateContent xmlns:mc="http://schemas.openxmlformats.org/markup-compatibility/2006">
          <mc:Choice Requires="x14">
            <control shapeId="40969" r:id="rId8" name="Option Button 9">
              <controlPr defaultSize="0" autoFill="0" autoLine="0" autoPict="0">
                <anchor moveWithCells="1">
                  <from>
                    <xdr:col>10</xdr:col>
                    <xdr:colOff>295275</xdr:colOff>
                    <xdr:row>129</xdr:row>
                    <xdr:rowOff>38100</xdr:rowOff>
                  </from>
                  <to>
                    <xdr:col>11</xdr:col>
                    <xdr:colOff>361950</xdr:colOff>
                    <xdr:row>129</xdr:row>
                    <xdr:rowOff>257175</xdr:rowOff>
                  </to>
                </anchor>
              </controlPr>
            </control>
          </mc:Choice>
        </mc:AlternateContent>
        <mc:AlternateContent xmlns:mc="http://schemas.openxmlformats.org/markup-compatibility/2006">
          <mc:Choice Requires="x14">
            <control shapeId="40970" r:id="rId9" name="Option Button 10">
              <controlPr defaultSize="0" autoFill="0" autoLine="0" autoPict="0">
                <anchor moveWithCells="1">
                  <from>
                    <xdr:col>12</xdr:col>
                    <xdr:colOff>266700</xdr:colOff>
                    <xdr:row>129</xdr:row>
                    <xdr:rowOff>38100</xdr:rowOff>
                  </from>
                  <to>
                    <xdr:col>13</xdr:col>
                    <xdr:colOff>342900</xdr:colOff>
                    <xdr:row>129</xdr:row>
                    <xdr:rowOff>257175</xdr:rowOff>
                  </to>
                </anchor>
              </controlPr>
            </control>
          </mc:Choice>
        </mc:AlternateContent>
        <mc:AlternateContent xmlns:mc="http://schemas.openxmlformats.org/markup-compatibility/2006">
          <mc:Choice Requires="x14">
            <control shapeId="40980" r:id="rId10" name="Group Box 20">
              <controlPr defaultSize="0" autoFill="0" autoPict="0">
                <anchor moveWithCells="1">
                  <from>
                    <xdr:col>10</xdr:col>
                    <xdr:colOff>0</xdr:colOff>
                    <xdr:row>84</xdr:row>
                    <xdr:rowOff>0</xdr:rowOff>
                  </from>
                  <to>
                    <xdr:col>15</xdr:col>
                    <xdr:colOff>0</xdr:colOff>
                    <xdr:row>85</xdr:row>
                    <xdr:rowOff>0</xdr:rowOff>
                  </to>
                </anchor>
              </controlPr>
            </control>
          </mc:Choice>
        </mc:AlternateContent>
        <mc:AlternateContent xmlns:mc="http://schemas.openxmlformats.org/markup-compatibility/2006">
          <mc:Choice Requires="x14">
            <control shapeId="40981" r:id="rId11" name="Option Button 21">
              <controlPr defaultSize="0" autoFill="0" autoLine="0" autoPict="0">
                <anchor moveWithCells="1">
                  <from>
                    <xdr:col>10</xdr:col>
                    <xdr:colOff>295275</xdr:colOff>
                    <xdr:row>84</xdr:row>
                    <xdr:rowOff>38100</xdr:rowOff>
                  </from>
                  <to>
                    <xdr:col>11</xdr:col>
                    <xdr:colOff>361950</xdr:colOff>
                    <xdr:row>84</xdr:row>
                    <xdr:rowOff>257175</xdr:rowOff>
                  </to>
                </anchor>
              </controlPr>
            </control>
          </mc:Choice>
        </mc:AlternateContent>
        <mc:AlternateContent xmlns:mc="http://schemas.openxmlformats.org/markup-compatibility/2006">
          <mc:Choice Requires="x14">
            <control shapeId="40982" r:id="rId12" name="Option Button 22">
              <controlPr defaultSize="0" autoFill="0" autoLine="0" autoPict="0">
                <anchor moveWithCells="1">
                  <from>
                    <xdr:col>12</xdr:col>
                    <xdr:colOff>266700</xdr:colOff>
                    <xdr:row>84</xdr:row>
                    <xdr:rowOff>38100</xdr:rowOff>
                  </from>
                  <to>
                    <xdr:col>13</xdr:col>
                    <xdr:colOff>333375</xdr:colOff>
                    <xdr:row>84</xdr:row>
                    <xdr:rowOff>257175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N19"/>
  <sheetViews>
    <sheetView showGridLines="0" zoomScale="120" zoomScaleNormal="120" workbookViewId="0"/>
  </sheetViews>
  <sheetFormatPr defaultColWidth="1" defaultRowHeight="12.75" x14ac:dyDescent="0.2"/>
  <cols>
    <col min="1" max="1" width="1.42578125" style="35" customWidth="1"/>
    <col min="2" max="2" width="22.7109375" style="35" customWidth="1"/>
    <col min="3" max="4" width="2.7109375" style="35" customWidth="1"/>
    <col min="5" max="14" width="3.85546875" style="35" customWidth="1"/>
    <col min="15" max="16" width="9.5703125" style="35" customWidth="1"/>
    <col min="17" max="17" width="2.28515625" style="35" customWidth="1"/>
    <col min="18" max="19" width="7.5703125" style="35" hidden="1" customWidth="1"/>
    <col min="20" max="20" width="6.85546875" style="35" hidden="1" customWidth="1"/>
    <col min="21" max="21" width="17.85546875" style="35" hidden="1" customWidth="1"/>
    <col min="22" max="22" width="6.140625" style="35" hidden="1" customWidth="1"/>
    <col min="23" max="130" width="1" style="35" hidden="1" customWidth="1"/>
    <col min="131" max="255" width="1" style="35" customWidth="1"/>
    <col min="256" max="16384" width="1" style="35"/>
  </cols>
  <sheetData>
    <row r="1" spans="1:170" ht="15" customHeight="1" x14ac:dyDescent="0.2">
      <c r="A1" s="189"/>
      <c r="B1" s="14" t="s">
        <v>1733</v>
      </c>
      <c r="C1" s="1347" t="str">
        <f>IF('Start here'!A6="","",'Start here'!A6)</f>
        <v/>
      </c>
      <c r="D1" s="1351"/>
      <c r="E1" s="1351"/>
      <c r="F1" s="1351"/>
      <c r="G1" s="1351"/>
      <c r="H1" s="1351"/>
      <c r="I1" s="1351"/>
      <c r="J1" s="1352"/>
      <c r="K1" s="2"/>
      <c r="L1" s="1347" t="str">
        <f>IF('Start here'!A7="","",'Start here'!A7)</f>
        <v/>
      </c>
      <c r="M1" s="1351"/>
      <c r="N1" s="1351"/>
      <c r="O1" s="1351"/>
      <c r="P1" s="1352"/>
      <c r="R1" s="694">
        <v>38353</v>
      </c>
      <c r="S1" s="196">
        <f>'Start here'!A8</f>
        <v>0</v>
      </c>
      <c r="T1" s="1207" t="str">
        <f>IF(S1&gt;=R1,"Go to PPD Worksheet","")</f>
        <v/>
      </c>
      <c r="U1" s="1207"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x14ac:dyDescent="0.2">
      <c r="B2" s="1395"/>
      <c r="C2" s="1395"/>
      <c r="D2" s="1395"/>
      <c r="E2" s="1395"/>
      <c r="F2" s="1395"/>
      <c r="G2" s="1395"/>
      <c r="H2" s="1395"/>
      <c r="I2" s="1395"/>
      <c r="J2" s="1395"/>
      <c r="K2" s="1395"/>
      <c r="L2" s="1395"/>
      <c r="M2" s="1395"/>
      <c r="N2" s="1395"/>
      <c r="O2" s="1395"/>
      <c r="P2" s="1395"/>
    </row>
    <row r="3" spans="1:170" ht="24" customHeight="1" x14ac:dyDescent="0.3">
      <c r="B3" s="1530" t="s">
        <v>1038</v>
      </c>
      <c r="C3" s="1530"/>
      <c r="D3" s="1530"/>
      <c r="E3" s="1530"/>
      <c r="F3" s="1530"/>
      <c r="G3" s="1530"/>
      <c r="H3" s="1530"/>
      <c r="I3" s="1530"/>
      <c r="J3" s="1530"/>
      <c r="K3" s="1530"/>
      <c r="L3" s="1530"/>
      <c r="M3" s="1530"/>
      <c r="N3" s="1530"/>
      <c r="O3" s="1530"/>
      <c r="P3" s="1530"/>
      <c r="R3" s="1536" t="s">
        <v>2294</v>
      </c>
      <c r="S3" s="1811" t="s">
        <v>2295</v>
      </c>
    </row>
    <row r="4" spans="1:170" ht="18.75" customHeight="1" x14ac:dyDescent="0.2">
      <c r="B4" s="1367" t="s">
        <v>109</v>
      </c>
      <c r="C4" s="1368"/>
      <c r="D4" s="1368"/>
      <c r="E4" s="1368"/>
      <c r="F4" s="1368"/>
      <c r="G4" s="1368"/>
      <c r="H4" s="1368"/>
      <c r="I4" s="1368"/>
      <c r="J4" s="1368"/>
      <c r="K4" s="1368"/>
      <c r="L4" s="1368"/>
      <c r="M4" s="1368"/>
      <c r="N4" s="1368"/>
      <c r="O4" s="1368"/>
      <c r="P4" s="1369"/>
      <c r="R4" s="1536"/>
      <c r="S4" s="1836"/>
    </row>
    <row r="5" spans="1:170" ht="18" customHeight="1" x14ac:dyDescent="0.2">
      <c r="B5" s="1370" t="s">
        <v>110</v>
      </c>
      <c r="C5" s="1371"/>
      <c r="D5" s="1371"/>
      <c r="E5" s="1371"/>
      <c r="F5" s="1371"/>
      <c r="G5" s="1371"/>
      <c r="H5" s="1371"/>
      <c r="I5" s="2387" t="s">
        <v>289</v>
      </c>
      <c r="J5" s="2387"/>
      <c r="K5" s="2387" t="s">
        <v>293</v>
      </c>
      <c r="L5" s="2387"/>
      <c r="M5" s="232"/>
      <c r="N5" s="232"/>
      <c r="O5" s="549"/>
      <c r="P5" s="555"/>
      <c r="R5" s="1536"/>
      <c r="S5" s="1786"/>
      <c r="T5" s="1210" t="s">
        <v>1305</v>
      </c>
      <c r="U5" s="1210" t="s">
        <v>1306</v>
      </c>
      <c r="V5" s="1210" t="s">
        <v>1307</v>
      </c>
    </row>
    <row r="6" spans="1:170" ht="18" customHeight="1" x14ac:dyDescent="0.2">
      <c r="B6" s="2390" t="s">
        <v>296</v>
      </c>
      <c r="C6" s="1639"/>
      <c r="D6" s="1639"/>
      <c r="E6" s="1362" t="s">
        <v>1039</v>
      </c>
      <c r="F6" s="1363"/>
      <c r="G6" s="1363"/>
      <c r="H6" s="1363"/>
      <c r="I6" s="1363"/>
      <c r="J6" s="1363"/>
      <c r="K6" s="1363"/>
      <c r="L6" s="1363"/>
      <c r="M6" s="1363"/>
      <c r="N6" s="1364"/>
      <c r="O6" s="26">
        <f>IF(S6=1,0.15,0)</f>
        <v>0</v>
      </c>
      <c r="P6" s="2393" t="str">
        <f>IF(S16=1,"Hemipelvec-tomy: The loss of the leg is determined under OAR 436-035-0140(1).","")</f>
        <v/>
      </c>
      <c r="R6" s="1215" t="b">
        <v>0</v>
      </c>
      <c r="S6" s="1216">
        <f t="shared" ref="S6:S15" si="0">IF(R6=TRUE,1,0)</f>
        <v>0</v>
      </c>
      <c r="T6" s="452">
        <f>LARGE($O$6:$O$16,1)</f>
        <v>0</v>
      </c>
      <c r="U6" s="495">
        <f>T6+T7*(1-T6)</f>
        <v>0</v>
      </c>
      <c r="V6" s="479">
        <f>ROUND(U6,2)</f>
        <v>0</v>
      </c>
    </row>
    <row r="7" spans="1:170" ht="18" customHeight="1" x14ac:dyDescent="0.2">
      <c r="B7" s="2391"/>
      <c r="C7" s="1639"/>
      <c r="D7" s="1639"/>
      <c r="E7" s="1362" t="s">
        <v>1627</v>
      </c>
      <c r="F7" s="1363"/>
      <c r="G7" s="1363"/>
      <c r="H7" s="1363"/>
      <c r="I7" s="1363"/>
      <c r="J7" s="1363"/>
      <c r="K7" s="1363"/>
      <c r="L7" s="1363"/>
      <c r="M7" s="1363"/>
      <c r="N7" s="1364"/>
      <c r="O7" s="26">
        <f>IF(S7=1,0.1,0)</f>
        <v>0</v>
      </c>
      <c r="P7" s="2394"/>
      <c r="R7" s="1215" t="b">
        <v>0</v>
      </c>
      <c r="S7" s="1216">
        <f t="shared" si="0"/>
        <v>0</v>
      </c>
      <c r="T7" s="452">
        <f>LARGE($O$6:$O$16,2)</f>
        <v>0</v>
      </c>
      <c r="U7" s="495">
        <f>V6+T8*(1-V6)</f>
        <v>0</v>
      </c>
      <c r="V7" s="479">
        <f>ROUND(U7,2)</f>
        <v>0</v>
      </c>
    </row>
    <row r="8" spans="1:170" ht="18" customHeight="1" x14ac:dyDescent="0.2">
      <c r="B8" s="2391"/>
      <c r="C8" s="1639"/>
      <c r="D8" s="1639"/>
      <c r="E8" s="1362" t="s">
        <v>1628</v>
      </c>
      <c r="F8" s="1363"/>
      <c r="G8" s="1363"/>
      <c r="H8" s="1363"/>
      <c r="I8" s="1363"/>
      <c r="J8" s="1363"/>
      <c r="K8" s="1363"/>
      <c r="L8" s="1363"/>
      <c r="M8" s="1363"/>
      <c r="N8" s="1364"/>
      <c r="O8" s="26">
        <f>IF(S8=1,0.1,0)</f>
        <v>0</v>
      </c>
      <c r="P8" s="2394"/>
      <c r="R8" s="1215" t="b">
        <v>0</v>
      </c>
      <c r="S8" s="1216">
        <f t="shared" si="0"/>
        <v>0</v>
      </c>
      <c r="T8" s="452">
        <f>LARGE($O$6:$O$16,3)</f>
        <v>0</v>
      </c>
      <c r="U8" s="495">
        <f t="shared" ref="U8:U15" si="1">V7+T9*(1-V7)</f>
        <v>0</v>
      </c>
      <c r="V8" s="479">
        <f t="shared" ref="V8:V15" si="2">ROUND(U8,2)</f>
        <v>0</v>
      </c>
    </row>
    <row r="9" spans="1:170" ht="18" customHeight="1" x14ac:dyDescent="0.2">
      <c r="B9" s="525"/>
      <c r="C9" s="1639"/>
      <c r="D9" s="1639"/>
      <c r="E9" s="1362" t="s">
        <v>1629</v>
      </c>
      <c r="F9" s="1363"/>
      <c r="G9" s="1363"/>
      <c r="H9" s="1363"/>
      <c r="I9" s="1363"/>
      <c r="J9" s="1363"/>
      <c r="K9" s="1363"/>
      <c r="L9" s="1363"/>
      <c r="M9" s="1363"/>
      <c r="N9" s="1364"/>
      <c r="O9" s="26">
        <f>IF(S9=1,0.1,0)</f>
        <v>0</v>
      </c>
      <c r="P9" s="2394"/>
      <c r="R9" s="1215" t="b">
        <v>0</v>
      </c>
      <c r="S9" s="1216">
        <f t="shared" si="0"/>
        <v>0</v>
      </c>
      <c r="T9" s="452">
        <f>LARGE($O$6:$O$16,4)</f>
        <v>0</v>
      </c>
      <c r="U9" s="495">
        <f t="shared" si="1"/>
        <v>0</v>
      </c>
      <c r="V9" s="479">
        <f t="shared" si="2"/>
        <v>0</v>
      </c>
    </row>
    <row r="10" spans="1:170" ht="18" customHeight="1" x14ac:dyDescent="0.2">
      <c r="B10" s="525"/>
      <c r="C10" s="1639"/>
      <c r="D10" s="1639"/>
      <c r="E10" s="1362" t="s">
        <v>1630</v>
      </c>
      <c r="F10" s="1363"/>
      <c r="G10" s="1363"/>
      <c r="H10" s="1363"/>
      <c r="I10" s="1363"/>
      <c r="J10" s="1363"/>
      <c r="K10" s="1363"/>
      <c r="L10" s="1363"/>
      <c r="M10" s="1363"/>
      <c r="N10" s="1364"/>
      <c r="O10" s="26">
        <f>IF(S10=1,0.05,0)</f>
        <v>0</v>
      </c>
      <c r="P10" s="2394"/>
      <c r="R10" s="1215" t="b">
        <v>0</v>
      </c>
      <c r="S10" s="1216">
        <f t="shared" si="0"/>
        <v>0</v>
      </c>
      <c r="T10" s="452">
        <f>LARGE($O$6:$O$16,5)</f>
        <v>0</v>
      </c>
      <c r="U10" s="495">
        <f t="shared" si="1"/>
        <v>0</v>
      </c>
      <c r="V10" s="479">
        <f t="shared" si="2"/>
        <v>0</v>
      </c>
    </row>
    <row r="11" spans="1:170" ht="18" customHeight="1" x14ac:dyDescent="0.2">
      <c r="B11" s="2388"/>
      <c r="C11" s="1639"/>
      <c r="D11" s="1639"/>
      <c r="E11" s="1362" t="s">
        <v>2031</v>
      </c>
      <c r="F11" s="1363"/>
      <c r="G11" s="1363"/>
      <c r="H11" s="1363"/>
      <c r="I11" s="1363"/>
      <c r="J11" s="1363"/>
      <c r="K11" s="1363"/>
      <c r="L11" s="1363"/>
      <c r="M11" s="1363"/>
      <c r="N11" s="1364"/>
      <c r="O11" s="26">
        <f>IF(S11=1,0.02,0)</f>
        <v>0</v>
      </c>
      <c r="P11" s="2394"/>
      <c r="R11" s="1215" t="b">
        <v>0</v>
      </c>
      <c r="S11" s="1216">
        <f t="shared" si="0"/>
        <v>0</v>
      </c>
      <c r="T11" s="452">
        <f>LARGE($O$6:$O$16,6)</f>
        <v>0</v>
      </c>
      <c r="U11" s="495">
        <f t="shared" si="1"/>
        <v>0</v>
      </c>
      <c r="V11" s="479">
        <f t="shared" si="2"/>
        <v>0</v>
      </c>
    </row>
    <row r="12" spans="1:170" ht="18" customHeight="1" x14ac:dyDescent="0.2">
      <c r="B12" s="2388"/>
      <c r="C12" s="1639"/>
      <c r="D12" s="1639"/>
      <c r="E12" s="1362" t="s">
        <v>2029</v>
      </c>
      <c r="F12" s="1363"/>
      <c r="G12" s="1363"/>
      <c r="H12" s="1363"/>
      <c r="I12" s="1363"/>
      <c r="J12" s="1363"/>
      <c r="K12" s="1363"/>
      <c r="L12" s="1363"/>
      <c r="M12" s="1363"/>
      <c r="N12" s="1364"/>
      <c r="O12" s="26">
        <f>IF(S12=1,0.02,0)</f>
        <v>0</v>
      </c>
      <c r="P12" s="2394"/>
      <c r="R12" s="1215" t="b">
        <v>0</v>
      </c>
      <c r="S12" s="1216">
        <f t="shared" si="0"/>
        <v>0</v>
      </c>
      <c r="T12" s="452">
        <f>LARGE($O$6:$O$16,7)</f>
        <v>0</v>
      </c>
      <c r="U12" s="495">
        <f t="shared" si="1"/>
        <v>0</v>
      </c>
      <c r="V12" s="479">
        <f t="shared" si="2"/>
        <v>0</v>
      </c>
    </row>
    <row r="13" spans="1:170" ht="18" customHeight="1" x14ac:dyDescent="0.2">
      <c r="B13" s="2388"/>
      <c r="C13" s="1714"/>
      <c r="D13" s="1649"/>
      <c r="E13" s="340" t="s">
        <v>2032</v>
      </c>
      <c r="F13" s="660"/>
      <c r="G13" s="660"/>
      <c r="H13" s="660"/>
      <c r="I13" s="660"/>
      <c r="J13" s="660"/>
      <c r="K13" s="660"/>
      <c r="L13" s="660"/>
      <c r="M13" s="660"/>
      <c r="N13" s="661"/>
      <c r="O13" s="26">
        <f>IF(S13=1,0.02,0)</f>
        <v>0</v>
      </c>
      <c r="P13" s="2394"/>
      <c r="R13" s="1215" t="b">
        <v>0</v>
      </c>
      <c r="S13" s="1216">
        <f t="shared" si="0"/>
        <v>0</v>
      </c>
      <c r="T13" s="452">
        <f>LARGE($O$6:$O$16,8)</f>
        <v>0</v>
      </c>
      <c r="U13" s="495">
        <f t="shared" si="1"/>
        <v>0</v>
      </c>
      <c r="V13" s="479">
        <f t="shared" si="2"/>
        <v>0</v>
      </c>
    </row>
    <row r="14" spans="1:170" ht="18" customHeight="1" x14ac:dyDescent="0.2">
      <c r="B14" s="2388"/>
      <c r="C14" s="1714"/>
      <c r="D14" s="1649"/>
      <c r="E14" s="340" t="s">
        <v>2030</v>
      </c>
      <c r="F14" s="660"/>
      <c r="G14" s="660"/>
      <c r="H14" s="660"/>
      <c r="I14" s="660"/>
      <c r="J14" s="660"/>
      <c r="K14" s="660"/>
      <c r="L14" s="660"/>
      <c r="M14" s="660"/>
      <c r="N14" s="661"/>
      <c r="O14" s="26">
        <f>IF(S14=1,0.02,0)</f>
        <v>0</v>
      </c>
      <c r="P14" s="2394"/>
      <c r="R14" s="1215" t="b">
        <v>0</v>
      </c>
      <c r="S14" s="1216">
        <f t="shared" si="0"/>
        <v>0</v>
      </c>
      <c r="T14" s="452">
        <f>LARGE($O$6:$O$16,9)</f>
        <v>0</v>
      </c>
      <c r="U14" s="495">
        <f t="shared" si="1"/>
        <v>0</v>
      </c>
      <c r="V14" s="479">
        <f t="shared" si="2"/>
        <v>0</v>
      </c>
    </row>
    <row r="15" spans="1:170" ht="18" customHeight="1" x14ac:dyDescent="0.2">
      <c r="B15" s="2389"/>
      <c r="C15" s="1639"/>
      <c r="D15" s="1639"/>
      <c r="E15" s="1362" t="s">
        <v>1631</v>
      </c>
      <c r="F15" s="1363"/>
      <c r="G15" s="1363"/>
      <c r="H15" s="1363"/>
      <c r="I15" s="1363"/>
      <c r="J15" s="1363"/>
      <c r="K15" s="1363"/>
      <c r="L15" s="1363"/>
      <c r="M15" s="1363"/>
      <c r="N15" s="1364"/>
      <c r="O15" s="26">
        <f>IF(S15=1,0.02,0)</f>
        <v>0</v>
      </c>
      <c r="P15" s="2394"/>
      <c r="R15" s="1215" t="b">
        <v>0</v>
      </c>
      <c r="S15" s="1216">
        <f t="shared" si="0"/>
        <v>0</v>
      </c>
      <c r="T15" s="452">
        <f>LARGE($O$6:$O$16,10)</f>
        <v>0</v>
      </c>
      <c r="U15" s="495">
        <f t="shared" si="1"/>
        <v>0</v>
      </c>
      <c r="V15" s="479">
        <f t="shared" si="2"/>
        <v>0</v>
      </c>
    </row>
    <row r="16" spans="1:170" ht="18" customHeight="1" x14ac:dyDescent="0.2">
      <c r="B16" s="328" t="s">
        <v>1212</v>
      </c>
      <c r="C16" s="1714"/>
      <c r="D16" s="1649"/>
      <c r="E16" s="1363" t="s">
        <v>1212</v>
      </c>
      <c r="F16" s="1363"/>
      <c r="G16" s="1363"/>
      <c r="H16" s="1363"/>
      <c r="I16" s="1363"/>
      <c r="J16" s="1363"/>
      <c r="K16" s="1363"/>
      <c r="L16" s="1363"/>
      <c r="M16" s="1363"/>
      <c r="N16" s="1363"/>
      <c r="O16" s="26">
        <f>IF(S16=1,0.25,0)</f>
        <v>0</v>
      </c>
      <c r="P16" s="2395"/>
      <c r="R16" s="1215" t="b">
        <v>0</v>
      </c>
      <c r="S16" s="1216">
        <f>IF(R16=TRUE,1,0)</f>
        <v>0</v>
      </c>
      <c r="T16" s="452">
        <f>LARGE($O$6:$O$16,11)</f>
        <v>0</v>
      </c>
    </row>
    <row r="17" spans="2:20" ht="18" customHeight="1" x14ac:dyDescent="0.2">
      <c r="B17" s="629"/>
      <c r="C17" s="626" t="s">
        <v>1213</v>
      </c>
      <c r="D17" s="627"/>
      <c r="E17" s="627"/>
      <c r="F17" s="627"/>
      <c r="G17" s="627"/>
      <c r="H17" s="627"/>
      <c r="I17" s="627"/>
      <c r="J17" s="627"/>
      <c r="K17" s="627"/>
      <c r="L17" s="627"/>
      <c r="M17" s="1517" t="s">
        <v>1214</v>
      </c>
      <c r="N17" s="1517"/>
      <c r="O17" s="1518"/>
      <c r="P17" s="305">
        <f>V15</f>
        <v>0</v>
      </c>
      <c r="T17" s="191"/>
    </row>
    <row r="18" spans="2:20" ht="33" customHeight="1" x14ac:dyDescent="0.25">
      <c r="B18" s="1682" t="s">
        <v>947</v>
      </c>
      <c r="C18" s="1682"/>
      <c r="D18" s="1682"/>
      <c r="E18" s="1682"/>
      <c r="F18" s="1682"/>
      <c r="G18" s="1682"/>
      <c r="H18" s="1682"/>
      <c r="I18" s="1682"/>
      <c r="J18" s="1682"/>
      <c r="K18" s="1682"/>
      <c r="L18" s="1682"/>
      <c r="M18" s="1682"/>
      <c r="N18" s="1682"/>
      <c r="O18" s="1682"/>
      <c r="P18" s="1682"/>
    </row>
    <row r="19" spans="2:20" x14ac:dyDescent="0.2">
      <c r="B19" s="302" t="s">
        <v>790</v>
      </c>
      <c r="C19" s="2392" t="str">
        <f>IF(U1&lt;&gt;"",U1,"")</f>
        <v>Go to PPD Worksheet</v>
      </c>
      <c r="D19" s="2392"/>
      <c r="E19" s="2392"/>
      <c r="F19" s="2392"/>
      <c r="G19" s="2392"/>
      <c r="H19" s="2392"/>
      <c r="I19" s="2267" t="str">
        <f>IF(T1&lt;&gt;"",T1,"")</f>
        <v/>
      </c>
      <c r="J19" s="2267"/>
      <c r="K19" s="2267"/>
      <c r="L19" s="2267"/>
      <c r="M19" s="2267"/>
      <c r="N19" s="2267"/>
    </row>
  </sheetData>
  <sheetProtection sheet="1" objects="1" scenarios="1"/>
  <mergeCells count="37">
    <mergeCell ref="C19:H19"/>
    <mergeCell ref="I19:N19"/>
    <mergeCell ref="B18:P18"/>
    <mergeCell ref="M17:O17"/>
    <mergeCell ref="P6:P16"/>
    <mergeCell ref="C8:D8"/>
    <mergeCell ref="C6:D6"/>
    <mergeCell ref="E11:N11"/>
    <mergeCell ref="E16:N16"/>
    <mergeCell ref="C16:D16"/>
    <mergeCell ref="C12:D12"/>
    <mergeCell ref="E15:N15"/>
    <mergeCell ref="C15:D15"/>
    <mergeCell ref="E12:N12"/>
    <mergeCell ref="C1:J1"/>
    <mergeCell ref="L1:P1"/>
    <mergeCell ref="C11:D11"/>
    <mergeCell ref="E6:N6"/>
    <mergeCell ref="E7:N7"/>
    <mergeCell ref="B2:P2"/>
    <mergeCell ref="K5:L5"/>
    <mergeCell ref="B11:B15"/>
    <mergeCell ref="I5:J5"/>
    <mergeCell ref="E9:N9"/>
    <mergeCell ref="C14:D14"/>
    <mergeCell ref="C10:D10"/>
    <mergeCell ref="B3:P3"/>
    <mergeCell ref="B5:H5"/>
    <mergeCell ref="B6:B8"/>
    <mergeCell ref="E8:N8"/>
    <mergeCell ref="R3:R5"/>
    <mergeCell ref="S3:S5"/>
    <mergeCell ref="B4:P4"/>
    <mergeCell ref="C13:D13"/>
    <mergeCell ref="C7:D7"/>
    <mergeCell ref="E10:N10"/>
    <mergeCell ref="C9:D9"/>
  </mergeCells>
  <phoneticPr fontId="0" type="noConversion"/>
  <hyperlinks>
    <hyperlink ref="B19" location="Pelvis!A1" display="Return to top of sheet" xr:uid="{00000000-0004-0000-0F00-000000000000}"/>
    <hyperlink ref="I19:N19" location="'PPD DOI on or after 2005'!A1" display="'PPD DOI on or after 2005'!A1" xr:uid="{00000000-0004-0000-0F00-000001000000}"/>
    <hyperlink ref="C19:H19" location="'PPD DOI before 2005'!A1" display="'PPD DOI before 2005'!A1" xr:uid="{00000000-0004-0000-0F00-000002000000}"/>
    <hyperlink ref="I5:J5" location="'Hip-Right'!A1" display="Right" xr:uid="{00000000-0004-0000-0F00-000003000000}"/>
    <hyperlink ref="K5:L5" location="'Hip-Left'!A1" display="Left" xr:uid="{00000000-0004-0000-0F00-000004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3793" r:id="rId4" name="Check Box 1">
              <controlPr defaultSize="0" autoFill="0" autoLine="0" autoPict="0">
                <anchor moveWithCells="1">
                  <from>
                    <xdr:col>2</xdr:col>
                    <xdr:colOff>0</xdr:colOff>
                    <xdr:row>5</xdr:row>
                    <xdr:rowOff>0</xdr:rowOff>
                  </from>
                  <to>
                    <xdr:col>3</xdr:col>
                    <xdr:colOff>123825</xdr:colOff>
                    <xdr:row>5</xdr:row>
                    <xdr:rowOff>219075</xdr:rowOff>
                  </to>
                </anchor>
              </controlPr>
            </control>
          </mc:Choice>
        </mc:AlternateContent>
        <mc:AlternateContent xmlns:mc="http://schemas.openxmlformats.org/markup-compatibility/2006">
          <mc:Choice Requires="x14">
            <control shapeId="33794" r:id="rId5" name="Check Box 2">
              <controlPr defaultSize="0" autoFill="0" autoLine="0" autoPict="0">
                <anchor moveWithCells="1">
                  <from>
                    <xdr:col>2</xdr:col>
                    <xdr:colOff>0</xdr:colOff>
                    <xdr:row>6</xdr:row>
                    <xdr:rowOff>0</xdr:rowOff>
                  </from>
                  <to>
                    <xdr:col>3</xdr:col>
                    <xdr:colOff>123825</xdr:colOff>
                    <xdr:row>6</xdr:row>
                    <xdr:rowOff>219075</xdr:rowOff>
                  </to>
                </anchor>
              </controlPr>
            </control>
          </mc:Choice>
        </mc:AlternateContent>
        <mc:AlternateContent xmlns:mc="http://schemas.openxmlformats.org/markup-compatibility/2006">
          <mc:Choice Requires="x14">
            <control shapeId="33795" r:id="rId6" name="Check Box 3">
              <controlPr defaultSize="0" autoFill="0" autoLine="0" autoPict="0">
                <anchor moveWithCells="1">
                  <from>
                    <xdr:col>2</xdr:col>
                    <xdr:colOff>0</xdr:colOff>
                    <xdr:row>7</xdr:row>
                    <xdr:rowOff>0</xdr:rowOff>
                  </from>
                  <to>
                    <xdr:col>3</xdr:col>
                    <xdr:colOff>123825</xdr:colOff>
                    <xdr:row>7</xdr:row>
                    <xdr:rowOff>219075</xdr:rowOff>
                  </to>
                </anchor>
              </controlPr>
            </control>
          </mc:Choice>
        </mc:AlternateContent>
        <mc:AlternateContent xmlns:mc="http://schemas.openxmlformats.org/markup-compatibility/2006">
          <mc:Choice Requires="x14">
            <control shapeId="33796" r:id="rId7" name="Check Box 4">
              <controlPr defaultSize="0" autoFill="0" autoLine="0" autoPict="0">
                <anchor moveWithCells="1">
                  <from>
                    <xdr:col>2</xdr:col>
                    <xdr:colOff>0</xdr:colOff>
                    <xdr:row>8</xdr:row>
                    <xdr:rowOff>0</xdr:rowOff>
                  </from>
                  <to>
                    <xdr:col>3</xdr:col>
                    <xdr:colOff>123825</xdr:colOff>
                    <xdr:row>8</xdr:row>
                    <xdr:rowOff>219075</xdr:rowOff>
                  </to>
                </anchor>
              </controlPr>
            </control>
          </mc:Choice>
        </mc:AlternateContent>
        <mc:AlternateContent xmlns:mc="http://schemas.openxmlformats.org/markup-compatibility/2006">
          <mc:Choice Requires="x14">
            <control shapeId="33797" r:id="rId8" name="Check Box 5">
              <controlPr defaultSize="0" autoFill="0" autoLine="0" autoPict="0">
                <anchor moveWithCells="1">
                  <from>
                    <xdr:col>2</xdr:col>
                    <xdr:colOff>0</xdr:colOff>
                    <xdr:row>9</xdr:row>
                    <xdr:rowOff>0</xdr:rowOff>
                  </from>
                  <to>
                    <xdr:col>3</xdr:col>
                    <xdr:colOff>123825</xdr:colOff>
                    <xdr:row>10</xdr:row>
                    <xdr:rowOff>0</xdr:rowOff>
                  </to>
                </anchor>
              </controlPr>
            </control>
          </mc:Choice>
        </mc:AlternateContent>
        <mc:AlternateContent xmlns:mc="http://schemas.openxmlformats.org/markup-compatibility/2006">
          <mc:Choice Requires="x14">
            <control shapeId="33798" r:id="rId9" name="Check Box 6">
              <controlPr defaultSize="0" autoFill="0" autoLine="0" autoPict="0">
                <anchor moveWithCells="1">
                  <from>
                    <xdr:col>2</xdr:col>
                    <xdr:colOff>0</xdr:colOff>
                    <xdr:row>10</xdr:row>
                    <xdr:rowOff>9525</xdr:rowOff>
                  </from>
                  <to>
                    <xdr:col>3</xdr:col>
                    <xdr:colOff>123825</xdr:colOff>
                    <xdr:row>11</xdr:row>
                    <xdr:rowOff>0</xdr:rowOff>
                  </to>
                </anchor>
              </controlPr>
            </control>
          </mc:Choice>
        </mc:AlternateContent>
        <mc:AlternateContent xmlns:mc="http://schemas.openxmlformats.org/markup-compatibility/2006">
          <mc:Choice Requires="x14">
            <control shapeId="33799" r:id="rId10" name="Check Box 7">
              <controlPr defaultSize="0" autoFill="0" autoLine="0" autoPict="0">
                <anchor moveWithCells="1">
                  <from>
                    <xdr:col>2</xdr:col>
                    <xdr:colOff>0</xdr:colOff>
                    <xdr:row>11</xdr:row>
                    <xdr:rowOff>9525</xdr:rowOff>
                  </from>
                  <to>
                    <xdr:col>3</xdr:col>
                    <xdr:colOff>123825</xdr:colOff>
                    <xdr:row>12</xdr:row>
                    <xdr:rowOff>0</xdr:rowOff>
                  </to>
                </anchor>
              </controlPr>
            </control>
          </mc:Choice>
        </mc:AlternateContent>
        <mc:AlternateContent xmlns:mc="http://schemas.openxmlformats.org/markup-compatibility/2006">
          <mc:Choice Requires="x14">
            <control shapeId="33800" r:id="rId11" name="Check Box 8">
              <controlPr defaultSize="0" autoFill="0" autoLine="0" autoPict="0">
                <anchor moveWithCells="1">
                  <from>
                    <xdr:col>2</xdr:col>
                    <xdr:colOff>0</xdr:colOff>
                    <xdr:row>14</xdr:row>
                    <xdr:rowOff>9525</xdr:rowOff>
                  </from>
                  <to>
                    <xdr:col>3</xdr:col>
                    <xdr:colOff>123825</xdr:colOff>
                    <xdr:row>15</xdr:row>
                    <xdr:rowOff>0</xdr:rowOff>
                  </to>
                </anchor>
              </controlPr>
            </control>
          </mc:Choice>
        </mc:AlternateContent>
        <mc:AlternateContent xmlns:mc="http://schemas.openxmlformats.org/markup-compatibility/2006">
          <mc:Choice Requires="x14">
            <control shapeId="33810" r:id="rId12" name="Check Box 18">
              <controlPr defaultSize="0" autoFill="0" autoLine="0" autoPict="0">
                <anchor moveWithCells="1">
                  <from>
                    <xdr:col>2</xdr:col>
                    <xdr:colOff>0</xdr:colOff>
                    <xdr:row>15</xdr:row>
                    <xdr:rowOff>19050</xdr:rowOff>
                  </from>
                  <to>
                    <xdr:col>3</xdr:col>
                    <xdr:colOff>123825</xdr:colOff>
                    <xdr:row>16</xdr:row>
                    <xdr:rowOff>19050</xdr:rowOff>
                  </to>
                </anchor>
              </controlPr>
            </control>
          </mc:Choice>
        </mc:AlternateContent>
        <mc:AlternateContent xmlns:mc="http://schemas.openxmlformats.org/markup-compatibility/2006">
          <mc:Choice Requires="x14">
            <control shapeId="33811" r:id="rId13" name="Check Box 19">
              <controlPr defaultSize="0" autoFill="0" autoLine="0" autoPict="0">
                <anchor moveWithCells="1">
                  <from>
                    <xdr:col>2</xdr:col>
                    <xdr:colOff>0</xdr:colOff>
                    <xdr:row>12</xdr:row>
                    <xdr:rowOff>0</xdr:rowOff>
                  </from>
                  <to>
                    <xdr:col>3</xdr:col>
                    <xdr:colOff>123825</xdr:colOff>
                    <xdr:row>12</xdr:row>
                    <xdr:rowOff>219075</xdr:rowOff>
                  </to>
                </anchor>
              </controlPr>
            </control>
          </mc:Choice>
        </mc:AlternateContent>
        <mc:AlternateContent xmlns:mc="http://schemas.openxmlformats.org/markup-compatibility/2006">
          <mc:Choice Requires="x14">
            <control shapeId="33812" r:id="rId14" name="Check Box 20">
              <controlPr defaultSize="0" autoFill="0" autoLine="0" autoPict="0">
                <anchor moveWithCells="1">
                  <from>
                    <xdr:col>1</xdr:col>
                    <xdr:colOff>1514475</xdr:colOff>
                    <xdr:row>13</xdr:row>
                    <xdr:rowOff>9525</xdr:rowOff>
                  </from>
                  <to>
                    <xdr:col>3</xdr:col>
                    <xdr:colOff>123825</xdr:colOff>
                    <xdr:row>14</xdr:row>
                    <xdr:rowOff>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dimension ref="A1:FN17"/>
  <sheetViews>
    <sheetView showGridLines="0" zoomScale="120" zoomScaleNormal="120" workbookViewId="0"/>
  </sheetViews>
  <sheetFormatPr defaultColWidth="2.42578125" defaultRowHeight="12.75" x14ac:dyDescent="0.2"/>
  <cols>
    <col min="1" max="1" width="1.5703125" style="35" customWidth="1"/>
    <col min="2" max="2" width="22.7109375" style="35" customWidth="1"/>
    <col min="3" max="4" width="2.7109375" style="35" customWidth="1"/>
    <col min="5" max="14" width="3.7109375" style="35" customWidth="1"/>
    <col min="15" max="16" width="9.140625" style="35" customWidth="1"/>
    <col min="17" max="17" width="1.28515625" style="35" customWidth="1"/>
    <col min="18" max="18" width="18" style="35" hidden="1" customWidth="1"/>
    <col min="19" max="19" width="13.7109375" style="35" hidden="1" customWidth="1"/>
    <col min="20" max="20" width="17" style="35" hidden="1" customWidth="1"/>
    <col min="21" max="21" width="18.140625" style="35" hidden="1" customWidth="1"/>
    <col min="22" max="22" width="12.7109375" style="35" hidden="1" customWidth="1"/>
    <col min="23" max="47" width="2.42578125" style="35" hidden="1" customWidth="1"/>
    <col min="48" max="48" width="6.5703125" style="35" hidden="1" customWidth="1"/>
    <col min="49" max="130" width="2.42578125" style="35" hidden="1" customWidth="1"/>
    <col min="131" max="255" width="2.42578125" style="35" customWidth="1"/>
    <col min="256" max="16384" width="2.42578125" style="35"/>
  </cols>
  <sheetData>
    <row r="1" spans="1:170" ht="15" customHeight="1" x14ac:dyDescent="0.2">
      <c r="A1" s="189"/>
      <c r="B1" s="14" t="s">
        <v>1733</v>
      </c>
      <c r="C1" s="1347" t="str">
        <f>IF('Start here'!A6="","",'Start here'!A6)</f>
        <v/>
      </c>
      <c r="D1" s="1351"/>
      <c r="E1" s="1351"/>
      <c r="F1" s="1351"/>
      <c r="G1" s="1351"/>
      <c r="H1" s="1351"/>
      <c r="I1" s="1351"/>
      <c r="J1" s="1352"/>
      <c r="K1" s="2"/>
      <c r="L1" s="1347" t="str">
        <f>IF('Start here'!A7="","",'Start here'!A7)</f>
        <v/>
      </c>
      <c r="M1" s="1351"/>
      <c r="N1" s="1351"/>
      <c r="O1" s="1351"/>
      <c r="P1" s="1352"/>
      <c r="R1" s="694">
        <v>38353</v>
      </c>
      <c r="S1" s="196">
        <f>'Start here'!A8</f>
        <v>0</v>
      </c>
      <c r="T1" s="1207" t="str">
        <f>IF(S1&gt;=R1,"Go to PPD Worksheet","")</f>
        <v/>
      </c>
      <c r="U1" s="1207"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v>1E-4</v>
      </c>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ht="12" customHeight="1" x14ac:dyDescent="0.2">
      <c r="A2" s="182"/>
      <c r="B2" s="1395"/>
      <c r="C2" s="1395"/>
      <c r="D2" s="1395"/>
      <c r="E2" s="1395"/>
      <c r="F2" s="1395"/>
      <c r="G2" s="1395"/>
      <c r="H2" s="1395"/>
      <c r="I2" s="1395"/>
      <c r="J2" s="1395"/>
      <c r="K2" s="1395"/>
      <c r="L2" s="1395"/>
      <c r="M2" s="1395"/>
      <c r="N2" s="1395"/>
      <c r="O2" s="1395"/>
      <c r="P2" s="1395"/>
    </row>
    <row r="3" spans="1:170" ht="24" customHeight="1" x14ac:dyDescent="0.3">
      <c r="B3" s="1529" t="s">
        <v>949</v>
      </c>
      <c r="C3" s="1529"/>
      <c r="D3" s="1529"/>
      <c r="E3" s="1529"/>
      <c r="F3" s="1529"/>
      <c r="G3" s="1529"/>
      <c r="H3" s="1529"/>
      <c r="I3" s="1529"/>
      <c r="J3" s="1529"/>
      <c r="K3" s="1529"/>
      <c r="L3" s="1529"/>
      <c r="M3" s="1529"/>
      <c r="N3" s="1529"/>
      <c r="O3" s="1529"/>
      <c r="P3" s="1529"/>
    </row>
    <row r="4" spans="1:170" ht="51" customHeight="1" x14ac:dyDescent="0.2">
      <c r="B4" s="2396"/>
      <c r="C4" s="1375" t="s">
        <v>891</v>
      </c>
      <c r="D4" s="1375"/>
      <c r="E4" s="1375"/>
      <c r="F4" s="1375"/>
      <c r="G4" s="1375"/>
      <c r="H4" s="1375"/>
      <c r="I4" s="1375"/>
      <c r="J4" s="1375"/>
      <c r="K4" s="1375"/>
      <c r="L4" s="1375"/>
      <c r="M4" s="1375"/>
      <c r="N4" s="1375"/>
      <c r="O4" s="1375"/>
      <c r="P4" s="95">
        <f>IF(S4=2,0.05,0)</f>
        <v>0</v>
      </c>
      <c r="R4" s="1231" t="s">
        <v>2300</v>
      </c>
      <c r="S4" s="1215">
        <v>1</v>
      </c>
      <c r="T4" s="2"/>
      <c r="U4" s="1"/>
      <c r="V4" s="1"/>
    </row>
    <row r="5" spans="1:170" ht="39" customHeight="1" x14ac:dyDescent="0.2">
      <c r="B5" s="2397"/>
      <c r="C5" s="1375" t="s">
        <v>892</v>
      </c>
      <c r="D5" s="1375"/>
      <c r="E5" s="1375"/>
      <c r="F5" s="1375"/>
      <c r="G5" s="1375"/>
      <c r="H5" s="1375"/>
      <c r="I5" s="1375"/>
      <c r="J5" s="1375"/>
      <c r="K5" s="1375"/>
      <c r="L5" s="1375"/>
      <c r="M5" s="1375"/>
      <c r="N5" s="1375"/>
      <c r="O5" s="1375"/>
      <c r="P5" s="95">
        <f>IF(S4=3,0.15,0)</f>
        <v>0</v>
      </c>
      <c r="T5" s="2"/>
      <c r="U5" s="1"/>
      <c r="V5" s="1"/>
    </row>
    <row r="6" spans="1:170" ht="26.25" customHeight="1" x14ac:dyDescent="0.2">
      <c r="B6" s="2127"/>
      <c r="C6" s="1375" t="s">
        <v>893</v>
      </c>
      <c r="D6" s="1375"/>
      <c r="E6" s="1375"/>
      <c r="F6" s="1375"/>
      <c r="G6" s="1375"/>
      <c r="H6" s="1375"/>
      <c r="I6" s="1375"/>
      <c r="J6" s="1375"/>
      <c r="K6" s="1375"/>
      <c r="L6" s="1375"/>
      <c r="M6" s="1375"/>
      <c r="N6" s="1375"/>
      <c r="O6" s="1375"/>
      <c r="P6" s="95">
        <f>IF(S4=4,0.25,0)</f>
        <v>0</v>
      </c>
      <c r="T6" s="2"/>
      <c r="U6" s="1"/>
      <c r="V6" s="1"/>
    </row>
    <row r="7" spans="1:170" ht="21" customHeight="1" x14ac:dyDescent="0.2">
      <c r="B7" s="1570" t="s">
        <v>1026</v>
      </c>
      <c r="C7" s="1570"/>
      <c r="D7" s="1570"/>
      <c r="E7" s="1570"/>
      <c r="F7" s="1570"/>
      <c r="G7" s="1570"/>
      <c r="H7" s="1570"/>
      <c r="I7" s="1570"/>
      <c r="J7" s="1570"/>
      <c r="K7" s="1570"/>
      <c r="L7" s="1570"/>
      <c r="M7" s="1570"/>
      <c r="N7" s="1570"/>
      <c r="O7" s="260"/>
      <c r="P7" s="628">
        <f>IF(O7="",SUM(P4:P6),ROUND(O7*SUM(P4:P6),2))</f>
        <v>0</v>
      </c>
      <c r="R7" s="189"/>
    </row>
    <row r="8" spans="1:170" ht="33" customHeight="1" x14ac:dyDescent="0.25">
      <c r="B8" s="1682" t="s">
        <v>947</v>
      </c>
      <c r="C8" s="1682"/>
      <c r="D8" s="1682"/>
      <c r="E8" s="1682"/>
      <c r="F8" s="1682"/>
      <c r="G8" s="1682"/>
      <c r="H8" s="1682"/>
      <c r="I8" s="1682"/>
      <c r="J8" s="1682"/>
      <c r="K8" s="1682"/>
      <c r="L8" s="1682"/>
      <c r="M8" s="1682"/>
      <c r="N8" s="1682"/>
      <c r="O8" s="1682"/>
      <c r="P8" s="1682"/>
    </row>
    <row r="9" spans="1:170" x14ac:dyDescent="0.2">
      <c r="C9" s="2028" t="str">
        <f>IF(U1&lt;&gt;"",U1,"")</f>
        <v>Go to PPD Worksheet</v>
      </c>
      <c r="D9" s="2028"/>
      <c r="E9" s="2028"/>
      <c r="F9" s="2028"/>
      <c r="G9" s="2028"/>
      <c r="H9" s="2028"/>
      <c r="I9" s="2267" t="str">
        <f>IF(T1&lt;&gt;"",T1,"")</f>
        <v/>
      </c>
      <c r="J9" s="2267"/>
      <c r="K9" s="2267"/>
      <c r="L9" s="2267"/>
      <c r="M9" s="2267"/>
      <c r="N9" s="2267"/>
    </row>
    <row r="10" spans="1:170" ht="12" customHeight="1" x14ac:dyDescent="0.2"/>
    <row r="11" spans="1:170" hidden="1" x14ac:dyDescent="0.2">
      <c r="B11" s="35">
        <v>0.01</v>
      </c>
      <c r="C11" s="35">
        <v>0.99</v>
      </c>
      <c r="D11" s="2"/>
      <c r="E11" s="2"/>
      <c r="F11" s="2"/>
      <c r="G11" s="2"/>
      <c r="H11" s="2"/>
      <c r="I11" s="2"/>
      <c r="J11" s="2"/>
      <c r="K11" s="2"/>
      <c r="L11" s="2"/>
      <c r="M11" s="2"/>
      <c r="N11" s="2"/>
      <c r="P11" s="526"/>
    </row>
    <row r="12" spans="1:170" x14ac:dyDescent="0.2">
      <c r="B12" s="2"/>
      <c r="C12" s="2"/>
      <c r="D12" s="2"/>
      <c r="E12" s="2"/>
      <c r="F12" s="2"/>
      <c r="G12" s="2"/>
      <c r="H12" s="2"/>
      <c r="I12" s="2"/>
      <c r="J12" s="2"/>
      <c r="K12" s="2"/>
      <c r="L12" s="2"/>
      <c r="M12" s="2"/>
      <c r="N12" s="2"/>
    </row>
    <row r="13" spans="1:170" x14ac:dyDescent="0.2">
      <c r="B13" s="2"/>
      <c r="C13" s="2"/>
      <c r="D13" s="2"/>
      <c r="E13" s="2"/>
      <c r="F13" s="2"/>
      <c r="G13" s="2"/>
      <c r="H13" s="2"/>
      <c r="I13" s="2"/>
      <c r="J13" s="2"/>
      <c r="K13" s="2"/>
      <c r="L13" s="2"/>
      <c r="M13" s="2"/>
      <c r="N13" s="2"/>
    </row>
    <row r="14" spans="1:170" x14ac:dyDescent="0.2">
      <c r="B14" s="2"/>
      <c r="C14" s="2"/>
      <c r="D14" s="2"/>
      <c r="E14" s="2"/>
      <c r="F14" s="2"/>
      <c r="G14" s="2"/>
      <c r="H14" s="2"/>
      <c r="I14" s="2"/>
      <c r="J14" s="2"/>
      <c r="K14" s="2"/>
      <c r="L14" s="2"/>
      <c r="M14" s="2"/>
      <c r="N14" s="2"/>
    </row>
    <row r="15" spans="1:170" x14ac:dyDescent="0.2">
      <c r="B15" s="2"/>
      <c r="C15" s="2"/>
      <c r="D15" s="2"/>
      <c r="E15" s="2"/>
      <c r="F15" s="2"/>
      <c r="G15" s="2"/>
      <c r="H15" s="2"/>
      <c r="I15" s="2"/>
      <c r="J15" s="2"/>
      <c r="K15" s="2"/>
      <c r="L15" s="2"/>
      <c r="M15" s="2"/>
      <c r="N15" s="2"/>
    </row>
    <row r="16" spans="1:170" x14ac:dyDescent="0.2">
      <c r="B16" s="2"/>
      <c r="C16" s="2"/>
      <c r="D16" s="2"/>
      <c r="E16" s="2"/>
      <c r="F16" s="2"/>
      <c r="G16" s="2"/>
      <c r="H16" s="2"/>
      <c r="I16" s="2"/>
      <c r="J16" s="2"/>
      <c r="K16" s="2"/>
      <c r="L16" s="2"/>
      <c r="M16" s="2"/>
      <c r="N16" s="2"/>
    </row>
    <row r="17" spans="2:14" x14ac:dyDescent="0.2">
      <c r="B17" s="2"/>
      <c r="C17" s="2"/>
      <c r="D17" s="2"/>
      <c r="E17" s="2"/>
      <c r="F17" s="2"/>
      <c r="G17" s="2"/>
      <c r="H17" s="2"/>
      <c r="I17" s="2"/>
      <c r="J17" s="2"/>
      <c r="K17" s="2"/>
      <c r="L17" s="2"/>
      <c r="M17" s="2"/>
      <c r="N17" s="2"/>
    </row>
  </sheetData>
  <sheetProtection sheet="1" objects="1" scenarios="1"/>
  <mergeCells count="12">
    <mergeCell ref="C1:J1"/>
    <mergeCell ref="L1:P1"/>
    <mergeCell ref="B2:P2"/>
    <mergeCell ref="C9:H9"/>
    <mergeCell ref="I9:N9"/>
    <mergeCell ref="B8:P8"/>
    <mergeCell ref="B3:P3"/>
    <mergeCell ref="C4:O4"/>
    <mergeCell ref="C5:O5"/>
    <mergeCell ref="B7:N7"/>
    <mergeCell ref="C6:O6"/>
    <mergeCell ref="B4:B6"/>
  </mergeCells>
  <phoneticPr fontId="0" type="noConversion"/>
  <dataValidations xWindow="604" yWindow="412" count="2">
    <dataValidation type="decimal" allowBlank="1" showInputMessage="1" showErrorMessage="1" promptTitle="Apportionment (if any)" prompt="Enter percentage of impairment caused by the injury or illness. See OAR 436-035-0013." sqref="O7" xr:uid="{00000000-0002-0000-1000-000000000000}">
      <formula1>$B$11</formula1>
      <formula2>$C$11</formula2>
    </dataValidation>
    <dataValidation type="decimal" operator="equal" allowBlank="1" showInputMessage="1" showErrorMessage="1" sqref="A1" xr:uid="{00000000-0002-0000-1000-000001000000}">
      <formula1>AV1</formula1>
    </dataValidation>
  </dataValidations>
  <hyperlinks>
    <hyperlink ref="I9:N9" location="'PPD DOI on or after 2005'!A1" display="'PPD DOI on or after 2005'!A1" xr:uid="{00000000-0004-0000-1000-000000000000}"/>
    <hyperlink ref="C9:H9" location="'PPD DOI before 2005'!A1" display="'PPD DOI before 2005'!A1" xr:uid="{00000000-0004-0000-10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38" r:id="rId4" name="Group Box 18">
              <controlPr defaultSize="0" autoFill="0" autoPict="0">
                <anchor moveWithCells="1">
                  <from>
                    <xdr:col>1</xdr:col>
                    <xdr:colOff>19050</xdr:colOff>
                    <xdr:row>3</xdr:row>
                    <xdr:rowOff>19050</xdr:rowOff>
                  </from>
                  <to>
                    <xdr:col>1</xdr:col>
                    <xdr:colOff>1504950</xdr:colOff>
                    <xdr:row>5</xdr:row>
                    <xdr:rowOff>314325</xdr:rowOff>
                  </to>
                </anchor>
              </controlPr>
            </control>
          </mc:Choice>
        </mc:AlternateContent>
        <mc:AlternateContent xmlns:mc="http://schemas.openxmlformats.org/markup-compatibility/2006">
          <mc:Choice Requires="x14">
            <control shapeId="5139" r:id="rId5" name="Option Button 19">
              <controlPr defaultSize="0" autoFill="0" autoLine="0" autoPict="0">
                <anchor moveWithCells="1">
                  <from>
                    <xdr:col>1</xdr:col>
                    <xdr:colOff>57150</xdr:colOff>
                    <xdr:row>3</xdr:row>
                    <xdr:rowOff>57150</xdr:rowOff>
                  </from>
                  <to>
                    <xdr:col>1</xdr:col>
                    <xdr:colOff>942975</xdr:colOff>
                    <xdr:row>3</xdr:row>
                    <xdr:rowOff>276225</xdr:rowOff>
                  </to>
                </anchor>
              </controlPr>
            </control>
          </mc:Choice>
        </mc:AlternateContent>
        <mc:AlternateContent xmlns:mc="http://schemas.openxmlformats.org/markup-compatibility/2006">
          <mc:Choice Requires="x14">
            <control shapeId="5140" r:id="rId6" name="Option Button 20">
              <controlPr defaultSize="0" autoFill="0" autoLine="0" autoPict="0">
                <anchor moveWithCells="1">
                  <from>
                    <xdr:col>1</xdr:col>
                    <xdr:colOff>1143000</xdr:colOff>
                    <xdr:row>3</xdr:row>
                    <xdr:rowOff>209550</xdr:rowOff>
                  </from>
                  <to>
                    <xdr:col>1</xdr:col>
                    <xdr:colOff>1447800</xdr:colOff>
                    <xdr:row>3</xdr:row>
                    <xdr:rowOff>428625</xdr:rowOff>
                  </to>
                </anchor>
              </controlPr>
            </control>
          </mc:Choice>
        </mc:AlternateContent>
        <mc:AlternateContent xmlns:mc="http://schemas.openxmlformats.org/markup-compatibility/2006">
          <mc:Choice Requires="x14">
            <control shapeId="5141" r:id="rId7" name="Option Button 21">
              <controlPr defaultSize="0" autoFill="0" autoLine="0" autoPict="0">
                <anchor moveWithCells="1">
                  <from>
                    <xdr:col>1</xdr:col>
                    <xdr:colOff>1143000</xdr:colOff>
                    <xdr:row>4</xdr:row>
                    <xdr:rowOff>104775</xdr:rowOff>
                  </from>
                  <to>
                    <xdr:col>1</xdr:col>
                    <xdr:colOff>1447800</xdr:colOff>
                    <xdr:row>4</xdr:row>
                    <xdr:rowOff>323850</xdr:rowOff>
                  </to>
                </anchor>
              </controlPr>
            </control>
          </mc:Choice>
        </mc:AlternateContent>
        <mc:AlternateContent xmlns:mc="http://schemas.openxmlformats.org/markup-compatibility/2006">
          <mc:Choice Requires="x14">
            <control shapeId="5142" r:id="rId8" name="Option Button 22">
              <controlPr defaultSize="0" autoFill="0" autoLine="0" autoPict="0">
                <anchor moveWithCells="1">
                  <from>
                    <xdr:col>1</xdr:col>
                    <xdr:colOff>1143000</xdr:colOff>
                    <xdr:row>5</xdr:row>
                    <xdr:rowOff>28575</xdr:rowOff>
                  </from>
                  <to>
                    <xdr:col>1</xdr:col>
                    <xdr:colOff>1447800</xdr:colOff>
                    <xdr:row>5</xdr:row>
                    <xdr:rowOff>247650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N16"/>
  <sheetViews>
    <sheetView showGridLines="0" zoomScale="120" zoomScaleNormal="120" workbookViewId="0"/>
  </sheetViews>
  <sheetFormatPr defaultColWidth="2.42578125" defaultRowHeight="12.75" x14ac:dyDescent="0.2"/>
  <cols>
    <col min="1" max="1" width="1.5703125" style="35" customWidth="1"/>
    <col min="2" max="2" width="22.7109375" style="35" customWidth="1"/>
    <col min="3" max="4" width="2.7109375" style="35" customWidth="1"/>
    <col min="5" max="14" width="3.7109375" style="35" customWidth="1"/>
    <col min="15" max="16" width="9.140625" style="35" customWidth="1"/>
    <col min="17" max="17" width="1.28515625" style="35" customWidth="1"/>
    <col min="18" max="19" width="12.7109375" style="35" hidden="1" customWidth="1"/>
    <col min="20" max="20" width="18.140625" style="35" hidden="1" customWidth="1"/>
    <col min="21" max="21" width="19.85546875" style="35" hidden="1" customWidth="1"/>
    <col min="22" max="22" width="12.7109375" style="35" hidden="1" customWidth="1"/>
    <col min="23" max="52" width="2.42578125" style="35" hidden="1" customWidth="1"/>
    <col min="53" max="53" width="6.5703125" style="35" hidden="1" customWidth="1"/>
    <col min="54" max="130" width="2.42578125" style="35" hidden="1" customWidth="1"/>
    <col min="131" max="255" width="2.42578125" style="35" customWidth="1"/>
    <col min="256" max="16384" width="2.42578125" style="35"/>
  </cols>
  <sheetData>
    <row r="1" spans="1:170" ht="15" customHeight="1" x14ac:dyDescent="0.2">
      <c r="A1" s="189"/>
      <c r="B1" s="14" t="s">
        <v>1733</v>
      </c>
      <c r="C1" s="1347" t="str">
        <f>IF('Start here'!A6="","",'Start here'!A6)</f>
        <v/>
      </c>
      <c r="D1" s="1351"/>
      <c r="E1" s="1351"/>
      <c r="F1" s="1351"/>
      <c r="G1" s="1351"/>
      <c r="H1" s="1351"/>
      <c r="I1" s="1351"/>
      <c r="J1" s="1352"/>
      <c r="K1" s="2"/>
      <c r="L1" s="1347" t="str">
        <f>IF('Start here'!A7="","",'Start here'!A7)</f>
        <v/>
      </c>
      <c r="M1" s="1351"/>
      <c r="N1" s="1351"/>
      <c r="O1" s="1351"/>
      <c r="P1" s="1352"/>
      <c r="R1" s="694">
        <v>38353</v>
      </c>
      <c r="S1" s="196">
        <f>'Start here'!A8</f>
        <v>0</v>
      </c>
      <c r="T1" s="1207" t="str">
        <f>IF(S1&gt;=R1,"Go to PPD Worksheet","")</f>
        <v/>
      </c>
      <c r="U1" s="1207"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v>1E-4</v>
      </c>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ht="12" customHeight="1" x14ac:dyDescent="0.2">
      <c r="A2" s="182"/>
      <c r="B2" s="1395"/>
      <c r="C2" s="1395"/>
      <c r="D2" s="1395"/>
      <c r="E2" s="1395"/>
      <c r="F2" s="1395"/>
      <c r="G2" s="1395"/>
      <c r="H2" s="1395"/>
      <c r="I2" s="1395"/>
      <c r="J2" s="1395"/>
      <c r="K2" s="1395"/>
      <c r="L2" s="1395"/>
      <c r="M2" s="1395"/>
      <c r="N2" s="1395"/>
      <c r="O2" s="1395"/>
      <c r="P2" s="1395"/>
    </row>
    <row r="3" spans="1:170" ht="24" customHeight="1" x14ac:dyDescent="0.3">
      <c r="B3" s="1529" t="s">
        <v>565</v>
      </c>
      <c r="C3" s="1529"/>
      <c r="D3" s="1529"/>
      <c r="E3" s="1529"/>
      <c r="F3" s="1529"/>
      <c r="G3" s="1529"/>
      <c r="H3" s="1529"/>
      <c r="I3" s="1529"/>
      <c r="J3" s="1529"/>
      <c r="K3" s="1529"/>
      <c r="L3" s="1529"/>
      <c r="M3" s="1529"/>
      <c r="N3" s="1529"/>
      <c r="O3" s="1529"/>
      <c r="P3" s="1529"/>
    </row>
    <row r="4" spans="1:170" ht="38.25" customHeight="1" x14ac:dyDescent="0.2">
      <c r="B4" s="1379" t="s">
        <v>566</v>
      </c>
      <c r="C4" s="1379"/>
      <c r="D4" s="1379"/>
      <c r="E4" s="1379"/>
      <c r="F4" s="1379"/>
      <c r="G4" s="1379"/>
      <c r="H4" s="1379"/>
      <c r="I4" s="1379"/>
      <c r="J4" s="1379"/>
      <c r="K4" s="1379"/>
      <c r="L4" s="1379"/>
      <c r="M4" s="1379"/>
      <c r="N4" s="1379"/>
      <c r="O4" s="1379"/>
      <c r="P4" s="625"/>
      <c r="R4" s="1205" t="s">
        <v>2303</v>
      </c>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row>
    <row r="5" spans="1:170" ht="21" customHeight="1" x14ac:dyDescent="0.2">
      <c r="A5" s="189"/>
      <c r="B5" s="1570" t="s">
        <v>948</v>
      </c>
      <c r="C5" s="1570"/>
      <c r="D5" s="1570"/>
      <c r="E5" s="1570"/>
      <c r="F5" s="1570"/>
      <c r="G5" s="1570"/>
      <c r="H5" s="1570"/>
      <c r="I5" s="1570"/>
      <c r="J5" s="1570"/>
      <c r="K5" s="1570"/>
      <c r="L5" s="1639"/>
      <c r="M5" s="1639"/>
      <c r="N5" s="1639"/>
      <c r="O5" s="1639"/>
      <c r="P5" s="2398">
        <f>IF(AND(P10&gt;0,P10&lt;0.01),0.01,ROUND(P10,2))</f>
        <v>0</v>
      </c>
      <c r="R5" s="1215">
        <v>2</v>
      </c>
    </row>
    <row r="6" spans="1:170" ht="21" customHeight="1" x14ac:dyDescent="0.2">
      <c r="B6" s="1570" t="s">
        <v>1026</v>
      </c>
      <c r="C6" s="1570"/>
      <c r="D6" s="1570"/>
      <c r="E6" s="1570"/>
      <c r="F6" s="1570"/>
      <c r="G6" s="1570"/>
      <c r="H6" s="1570"/>
      <c r="I6" s="1570"/>
      <c r="J6" s="1570"/>
      <c r="K6" s="1570"/>
      <c r="L6" s="1570"/>
      <c r="M6" s="1570"/>
      <c r="N6" s="1570"/>
      <c r="O6" s="260"/>
      <c r="P6" s="2398"/>
      <c r="R6" s="189"/>
    </row>
    <row r="7" spans="1:170" ht="33" customHeight="1" x14ac:dyDescent="0.25">
      <c r="B7" s="1682" t="s">
        <v>947</v>
      </c>
      <c r="C7" s="1682"/>
      <c r="D7" s="1682"/>
      <c r="E7" s="1682"/>
      <c r="F7" s="1682"/>
      <c r="G7" s="1682"/>
      <c r="H7" s="1682"/>
      <c r="I7" s="1682"/>
      <c r="J7" s="1682"/>
      <c r="K7" s="1682"/>
      <c r="L7" s="1682"/>
      <c r="M7" s="1682"/>
      <c r="N7" s="1682"/>
      <c r="O7" s="1682"/>
      <c r="P7" s="1682"/>
    </row>
    <row r="8" spans="1:170" x14ac:dyDescent="0.2">
      <c r="C8" s="2028" t="str">
        <f>IF(U1&lt;&gt;"",U1,"")</f>
        <v>Go to PPD Worksheet</v>
      </c>
      <c r="D8" s="2028"/>
      <c r="E8" s="2028"/>
      <c r="F8" s="2028"/>
      <c r="G8" s="2028"/>
      <c r="H8" s="2028"/>
      <c r="I8" s="2267" t="str">
        <f>IF(T1&lt;&gt;"",T1,"")</f>
        <v/>
      </c>
      <c r="J8" s="2267"/>
      <c r="K8" s="2267"/>
      <c r="L8" s="2267"/>
      <c r="M8" s="2267"/>
      <c r="N8" s="2267"/>
    </row>
    <row r="9" spans="1:170" ht="12" customHeight="1" x14ac:dyDescent="0.2"/>
    <row r="10" spans="1:170" hidden="1" x14ac:dyDescent="0.2">
      <c r="B10" s="35">
        <v>0.01</v>
      </c>
      <c r="C10" s="35">
        <v>0.99</v>
      </c>
      <c r="D10" s="2"/>
      <c r="E10" s="2"/>
      <c r="F10" s="2"/>
      <c r="G10" s="2"/>
      <c r="H10" s="2"/>
      <c r="I10" s="2"/>
      <c r="J10" s="2"/>
      <c r="K10" s="2"/>
      <c r="L10" s="2"/>
      <c r="M10" s="2"/>
      <c r="N10" s="2"/>
      <c r="P10" s="526">
        <f>IF(AND(O6&lt;&gt;"",R5=1),O6*0.05,IF(R5=1,0.05,0))</f>
        <v>0</v>
      </c>
    </row>
    <row r="11" spans="1:170" x14ac:dyDescent="0.2">
      <c r="B11" s="2"/>
      <c r="C11" s="2"/>
      <c r="D11" s="2"/>
      <c r="E11" s="2"/>
      <c r="F11" s="2"/>
      <c r="G11" s="2"/>
      <c r="H11" s="2"/>
      <c r="I11" s="2"/>
      <c r="J11" s="2"/>
      <c r="K11" s="2"/>
      <c r="L11" s="2"/>
      <c r="M11" s="2"/>
      <c r="N11" s="2"/>
    </row>
    <row r="12" spans="1:170" x14ac:dyDescent="0.2">
      <c r="B12" s="2"/>
      <c r="C12" s="2"/>
      <c r="D12" s="2"/>
      <c r="E12" s="2"/>
      <c r="F12" s="2"/>
      <c r="G12" s="2"/>
      <c r="H12" s="2"/>
      <c r="I12" s="2"/>
      <c r="J12" s="2"/>
      <c r="K12" s="2"/>
      <c r="L12" s="2"/>
      <c r="M12" s="2"/>
      <c r="N12" s="2"/>
    </row>
    <row r="13" spans="1:170" x14ac:dyDescent="0.2">
      <c r="B13" s="2"/>
      <c r="C13" s="2"/>
      <c r="D13" s="2"/>
      <c r="E13" s="2"/>
      <c r="F13" s="2"/>
      <c r="G13" s="2"/>
      <c r="H13" s="2"/>
      <c r="I13" s="2"/>
      <c r="J13" s="2"/>
      <c r="K13" s="2"/>
      <c r="L13" s="2"/>
      <c r="M13" s="2"/>
      <c r="N13" s="2"/>
    </row>
    <row r="14" spans="1:170" x14ac:dyDescent="0.2">
      <c r="B14" s="2"/>
      <c r="C14" s="2"/>
      <c r="D14" s="2"/>
      <c r="E14" s="2"/>
      <c r="F14" s="2"/>
      <c r="G14" s="2"/>
      <c r="H14" s="2"/>
      <c r="I14" s="2"/>
      <c r="J14" s="2"/>
      <c r="K14" s="2"/>
      <c r="L14" s="2"/>
      <c r="M14" s="2"/>
      <c r="N14" s="2"/>
    </row>
    <row r="15" spans="1:170" x14ac:dyDescent="0.2">
      <c r="B15" s="2"/>
      <c r="C15" s="2"/>
      <c r="D15" s="2"/>
      <c r="E15" s="2"/>
      <c r="F15" s="2"/>
      <c r="G15" s="2"/>
      <c r="H15" s="2"/>
      <c r="I15" s="2"/>
      <c r="J15" s="2"/>
      <c r="K15" s="2"/>
      <c r="L15" s="2"/>
      <c r="M15" s="2"/>
      <c r="N15" s="2"/>
    </row>
    <row r="16" spans="1:170" x14ac:dyDescent="0.2">
      <c r="B16" s="2"/>
      <c r="C16" s="2"/>
      <c r="D16" s="2"/>
      <c r="E16" s="2"/>
      <c r="F16" s="2"/>
      <c r="G16" s="2"/>
      <c r="H16" s="2"/>
      <c r="I16" s="2"/>
      <c r="J16" s="2"/>
      <c r="K16" s="2"/>
      <c r="L16" s="2"/>
      <c r="M16" s="2"/>
      <c r="N16" s="2"/>
    </row>
  </sheetData>
  <sheetProtection sheet="1" objects="1" scenarios="1"/>
  <mergeCells count="12">
    <mergeCell ref="P5:P6"/>
    <mergeCell ref="B4:O4"/>
    <mergeCell ref="C8:H8"/>
    <mergeCell ref="I8:N8"/>
    <mergeCell ref="C1:J1"/>
    <mergeCell ref="L1:P1"/>
    <mergeCell ref="B2:P2"/>
    <mergeCell ref="B7:P7"/>
    <mergeCell ref="L5:O5"/>
    <mergeCell ref="B5:K5"/>
    <mergeCell ref="B3:P3"/>
    <mergeCell ref="B6:N6"/>
  </mergeCells>
  <phoneticPr fontId="0" type="noConversion"/>
  <dataValidations xWindow="804" yWindow="311" count="3">
    <dataValidation type="decimal" operator="equal" allowBlank="1" showInputMessage="1" showErrorMessage="1" promptTitle="Chronic condition" prompt="Check Yes or No." sqref="A5" xr:uid="{00000000-0002-0000-1100-000000000000}">
      <formula1>W5</formula1>
    </dataValidation>
    <dataValidation type="decimal" allowBlank="1" showInputMessage="1" showErrorMessage="1" promptTitle="Apportionment (if any)" prompt="Enter percentage of impairment caused by the injury or illness. See OAR 436-035-0013." sqref="O6" xr:uid="{00000000-0002-0000-1100-000001000000}">
      <formula1>$B$10</formula1>
      <formula2>$C$10</formula2>
    </dataValidation>
    <dataValidation type="decimal" operator="equal" allowBlank="1" showInputMessage="1" showErrorMessage="1" sqref="A1" xr:uid="{00000000-0002-0000-1100-000002000000}">
      <formula1>BA1</formula1>
    </dataValidation>
  </dataValidations>
  <hyperlinks>
    <hyperlink ref="I8:N8" location="'PPD DOI on or after 2005'!A1" display="'PPD DOI on or after 2005'!A1" xr:uid="{00000000-0004-0000-1100-000000000000}"/>
    <hyperlink ref="C8:H8" location="'PPD DOI before 2005'!A1" display="'PPD DOI before 2005'!A1" xr:uid="{00000000-0004-0000-11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7346" r:id="rId4" name="Group Box 2">
              <controlPr defaultSize="0" autoFill="0" autoPict="0">
                <anchor moveWithCells="1" sizeWithCells="1">
                  <from>
                    <xdr:col>11</xdr:col>
                    <xdr:colOff>0</xdr:colOff>
                    <xdr:row>4</xdr:row>
                    <xdr:rowOff>0</xdr:rowOff>
                  </from>
                  <to>
                    <xdr:col>15</xdr:col>
                    <xdr:colOff>0</xdr:colOff>
                    <xdr:row>5</xdr:row>
                    <xdr:rowOff>0</xdr:rowOff>
                  </to>
                </anchor>
              </controlPr>
            </control>
          </mc:Choice>
        </mc:AlternateContent>
        <mc:AlternateContent xmlns:mc="http://schemas.openxmlformats.org/markup-compatibility/2006">
          <mc:Choice Requires="x14">
            <control shapeId="57347" r:id="rId5" name="Option Button 3">
              <controlPr defaultSize="0" autoFill="0" autoLine="0" autoPict="0">
                <anchor moveWithCells="1" sizeWithCells="1">
                  <from>
                    <xdr:col>11</xdr:col>
                    <xdr:colOff>152400</xdr:colOff>
                    <xdr:row>4</xdr:row>
                    <xdr:rowOff>19050</xdr:rowOff>
                  </from>
                  <to>
                    <xdr:col>13</xdr:col>
                    <xdr:colOff>47625</xdr:colOff>
                    <xdr:row>4</xdr:row>
                    <xdr:rowOff>238125</xdr:rowOff>
                  </to>
                </anchor>
              </controlPr>
            </control>
          </mc:Choice>
        </mc:AlternateContent>
        <mc:AlternateContent xmlns:mc="http://schemas.openxmlformats.org/markup-compatibility/2006">
          <mc:Choice Requires="x14">
            <control shapeId="57348" r:id="rId6" name="Option Button 4">
              <controlPr defaultSize="0" autoFill="0" autoLine="0" autoPict="0">
                <anchor moveWithCells="1" sizeWithCells="1">
                  <from>
                    <xdr:col>13</xdr:col>
                    <xdr:colOff>200025</xdr:colOff>
                    <xdr:row>4</xdr:row>
                    <xdr:rowOff>19050</xdr:rowOff>
                  </from>
                  <to>
                    <xdr:col>14</xdr:col>
                    <xdr:colOff>400050</xdr:colOff>
                    <xdr:row>4</xdr:row>
                    <xdr:rowOff>238125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N23"/>
  <sheetViews>
    <sheetView showGridLines="0" zoomScale="120" zoomScaleNormal="120" workbookViewId="0"/>
  </sheetViews>
  <sheetFormatPr defaultColWidth="2.42578125" defaultRowHeight="12.75" x14ac:dyDescent="0.2"/>
  <cols>
    <col min="1" max="1" width="1.5703125" style="35" customWidth="1"/>
    <col min="2" max="2" width="19.7109375" style="35" customWidth="1"/>
    <col min="3" max="4" width="2.7109375" style="35" customWidth="1"/>
    <col min="5" max="13" width="3.7109375" style="35" customWidth="1"/>
    <col min="14" max="14" width="4.42578125" style="35" customWidth="1"/>
    <col min="15" max="15" width="8.42578125" style="35" customWidth="1"/>
    <col min="16" max="16" width="8.7109375" style="35" customWidth="1"/>
    <col min="17" max="17" width="1.28515625" style="35" customWidth="1"/>
    <col min="18" max="25" width="12.7109375" style="35" hidden="1" customWidth="1"/>
    <col min="26" max="130" width="2.42578125" style="35" hidden="1" customWidth="1"/>
    <col min="131" max="255" width="2.42578125" style="35" customWidth="1"/>
    <col min="256" max="16384" width="2.42578125" style="35"/>
  </cols>
  <sheetData>
    <row r="1" spans="1:170" ht="15" customHeight="1" x14ac:dyDescent="0.2">
      <c r="B1" s="14" t="s">
        <v>1733</v>
      </c>
      <c r="D1" s="1347" t="str">
        <f>IF('Start here'!A6="","",'Start here'!A6)</f>
        <v/>
      </c>
      <c r="E1" s="1351"/>
      <c r="F1" s="1351"/>
      <c r="G1" s="1351"/>
      <c r="H1" s="1351"/>
      <c r="I1" s="1351"/>
      <c r="J1" s="1351"/>
      <c r="K1" s="1352"/>
      <c r="M1" s="1347" t="str">
        <f>IF('Start here'!A7="","",'Start here'!A7)</f>
        <v/>
      </c>
      <c r="N1" s="1351"/>
      <c r="O1" s="1351"/>
      <c r="P1" s="1352"/>
      <c r="R1" s="694">
        <v>38353</v>
      </c>
      <c r="S1" s="196">
        <f>'Start here'!A8</f>
        <v>0</v>
      </c>
      <c r="T1" s="1207" t="str">
        <f>IF(S1&gt;=R1,"Go to PPD Worksheet","")</f>
        <v/>
      </c>
      <c r="U1" s="1207"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x14ac:dyDescent="0.2">
      <c r="B2" s="1395"/>
      <c r="C2" s="1395"/>
      <c r="D2" s="1395"/>
      <c r="E2" s="1395"/>
      <c r="F2" s="1395"/>
      <c r="G2" s="1395"/>
      <c r="H2" s="1395"/>
      <c r="I2" s="1395"/>
      <c r="J2" s="1395"/>
      <c r="K2" s="1395"/>
      <c r="L2" s="1395"/>
      <c r="M2" s="1395"/>
      <c r="N2" s="1395"/>
      <c r="O2" s="1395"/>
      <c r="P2" s="1395"/>
    </row>
    <row r="3" spans="1:170" ht="24" customHeight="1" x14ac:dyDescent="0.3">
      <c r="B3" s="1529" t="s">
        <v>1284</v>
      </c>
      <c r="C3" s="1529"/>
      <c r="D3" s="1529"/>
      <c r="E3" s="1529"/>
      <c r="F3" s="1529"/>
      <c r="G3" s="1529"/>
      <c r="H3" s="1529"/>
      <c r="I3" s="1529"/>
      <c r="J3" s="1529"/>
      <c r="K3" s="1529"/>
      <c r="L3" s="1529"/>
      <c r="M3" s="1529"/>
      <c r="N3" s="1529"/>
      <c r="O3" s="1529"/>
      <c r="P3" s="1529"/>
    </row>
    <row r="4" spans="1:170" ht="27" customHeight="1" x14ac:dyDescent="0.3">
      <c r="B4" s="527"/>
      <c r="C4" s="1488" t="s">
        <v>1819</v>
      </c>
      <c r="D4" s="1489"/>
      <c r="E4" s="1489"/>
      <c r="F4" s="1489"/>
      <c r="G4" s="1489"/>
      <c r="H4" s="1489"/>
      <c r="I4" s="1489"/>
      <c r="J4" s="1489"/>
      <c r="K4" s="1489"/>
      <c r="L4" s="1490"/>
      <c r="M4" s="1531" t="s">
        <v>1525</v>
      </c>
      <c r="N4" s="1535"/>
      <c r="O4" s="1532"/>
      <c r="P4" s="527"/>
      <c r="S4" s="1026" t="s">
        <v>2303</v>
      </c>
      <c r="T4" s="1210" t="s">
        <v>1305</v>
      </c>
      <c r="U4" s="1210" t="s">
        <v>1306</v>
      </c>
      <c r="V4" s="1210" t="s">
        <v>1307</v>
      </c>
      <c r="W4" s="1208" t="s">
        <v>1025</v>
      </c>
    </row>
    <row r="5" spans="1:170" ht="21" customHeight="1" x14ac:dyDescent="0.2">
      <c r="B5" s="328" t="s">
        <v>1071</v>
      </c>
      <c r="C5" s="2400"/>
      <c r="D5" s="2401"/>
      <c r="E5" s="2401"/>
      <c r="F5" s="2401"/>
      <c r="G5" s="2401"/>
      <c r="H5" s="2401"/>
      <c r="I5" s="2401"/>
      <c r="J5" s="2401"/>
      <c r="K5" s="2401"/>
      <c r="L5" s="2402"/>
      <c r="M5" s="1353">
        <f t="shared" ref="M5:M10" si="0">IF(S5=2,0.05,IF(S5=3,0.2,IF(S5=4,0.4,IF(S5=5,0.78,0))))</f>
        <v>0</v>
      </c>
      <c r="N5" s="1355"/>
      <c r="O5" s="262"/>
      <c r="P5" s="26">
        <f t="shared" ref="P5:P10" si="1">IF(AND(W5&gt;0,W5&lt;0.01),0.01,ROUND(W5,2))</f>
        <v>0</v>
      </c>
      <c r="S5" s="1215">
        <v>1</v>
      </c>
      <c r="T5" s="452">
        <f>LARGE($P$5:$P$11,1)</f>
        <v>0</v>
      </c>
      <c r="U5" s="495">
        <f>T5+T6*(1-T5)</f>
        <v>0</v>
      </c>
      <c r="V5" s="479">
        <f t="shared" ref="V5:V10" si="2">ROUND(U5,2)</f>
        <v>0</v>
      </c>
      <c r="W5" s="452">
        <f t="shared" ref="W5:W10" si="3">IF(O5&gt;0,O5*M5,M5)</f>
        <v>0</v>
      </c>
    </row>
    <row r="6" spans="1:170" ht="21" customHeight="1" x14ac:dyDescent="0.2">
      <c r="B6" s="328" t="s">
        <v>1072</v>
      </c>
      <c r="C6" s="2400"/>
      <c r="D6" s="2401"/>
      <c r="E6" s="2401"/>
      <c r="F6" s="2401"/>
      <c r="G6" s="2401"/>
      <c r="H6" s="2401"/>
      <c r="I6" s="2401"/>
      <c r="J6" s="2401"/>
      <c r="K6" s="2401"/>
      <c r="L6" s="2402"/>
      <c r="M6" s="1353">
        <f t="shared" si="0"/>
        <v>0</v>
      </c>
      <c r="N6" s="1355"/>
      <c r="O6" s="261"/>
      <c r="P6" s="26">
        <f t="shared" si="1"/>
        <v>0</v>
      </c>
      <c r="S6" s="1215">
        <v>1</v>
      </c>
      <c r="T6" s="452">
        <f>LARGE($P$5:$P$11,2)</f>
        <v>0</v>
      </c>
      <c r="U6" s="495">
        <f>V5+T7*(1-V5)</f>
        <v>0</v>
      </c>
      <c r="V6" s="479">
        <f t="shared" si="2"/>
        <v>0</v>
      </c>
      <c r="W6" s="452">
        <f t="shared" si="3"/>
        <v>0</v>
      </c>
    </row>
    <row r="7" spans="1:170" ht="27" customHeight="1" x14ac:dyDescent="0.2">
      <c r="B7" s="328" t="s">
        <v>1073</v>
      </c>
      <c r="C7" s="2400"/>
      <c r="D7" s="2401"/>
      <c r="E7" s="2401"/>
      <c r="F7" s="2401"/>
      <c r="G7" s="2401"/>
      <c r="H7" s="2401"/>
      <c r="I7" s="2401"/>
      <c r="J7" s="2401"/>
      <c r="K7" s="2401"/>
      <c r="L7" s="2402"/>
      <c r="M7" s="1353">
        <f t="shared" si="0"/>
        <v>0</v>
      </c>
      <c r="N7" s="1355"/>
      <c r="O7" s="261"/>
      <c r="P7" s="26">
        <f t="shared" si="1"/>
        <v>0</v>
      </c>
      <c r="S7" s="1215">
        <v>1</v>
      </c>
      <c r="T7" s="452">
        <f>LARGE($P$5:$P$11,3)</f>
        <v>0</v>
      </c>
      <c r="U7" s="495">
        <f>V6+T8*(1-V6)</f>
        <v>0</v>
      </c>
      <c r="V7" s="479">
        <f t="shared" si="2"/>
        <v>0</v>
      </c>
      <c r="W7" s="452">
        <f t="shared" si="3"/>
        <v>0</v>
      </c>
    </row>
    <row r="8" spans="1:170" ht="21" customHeight="1" x14ac:dyDescent="0.2">
      <c r="B8" s="328" t="s">
        <v>1074</v>
      </c>
      <c r="C8" s="2400"/>
      <c r="D8" s="2401"/>
      <c r="E8" s="2401"/>
      <c r="F8" s="2401"/>
      <c r="G8" s="2401"/>
      <c r="H8" s="2401"/>
      <c r="I8" s="2401"/>
      <c r="J8" s="2401"/>
      <c r="K8" s="2401"/>
      <c r="L8" s="2402"/>
      <c r="M8" s="1353">
        <f t="shared" si="0"/>
        <v>0</v>
      </c>
      <c r="N8" s="1355"/>
      <c r="O8" s="261"/>
      <c r="P8" s="26">
        <f t="shared" si="1"/>
        <v>0</v>
      </c>
      <c r="S8" s="1215">
        <v>1</v>
      </c>
      <c r="T8" s="452">
        <f>LARGE($P$5:$P$11,4)</f>
        <v>0</v>
      </c>
      <c r="U8" s="495">
        <f>V7+T9*(1-V7)</f>
        <v>0</v>
      </c>
      <c r="V8" s="479">
        <f t="shared" si="2"/>
        <v>0</v>
      </c>
      <c r="W8" s="452">
        <f t="shared" si="3"/>
        <v>0</v>
      </c>
    </row>
    <row r="9" spans="1:170" ht="21" customHeight="1" x14ac:dyDescent="0.2">
      <c r="B9" s="328" t="s">
        <v>1047</v>
      </c>
      <c r="C9" s="2400"/>
      <c r="D9" s="2401"/>
      <c r="E9" s="2401"/>
      <c r="F9" s="2401"/>
      <c r="G9" s="2401"/>
      <c r="H9" s="2401"/>
      <c r="I9" s="2401"/>
      <c r="J9" s="2401"/>
      <c r="K9" s="2401"/>
      <c r="L9" s="2402"/>
      <c r="M9" s="1545">
        <f t="shared" si="0"/>
        <v>0</v>
      </c>
      <c r="N9" s="1545"/>
      <c r="O9" s="260"/>
      <c r="P9" s="26">
        <f t="shared" si="1"/>
        <v>0</v>
      </c>
      <c r="S9" s="1215">
        <v>1</v>
      </c>
      <c r="T9" s="452">
        <f>LARGE($P$5:$P$11,5)</f>
        <v>0</v>
      </c>
      <c r="U9" s="495">
        <f>V8+T10*(1-V8)</f>
        <v>0</v>
      </c>
      <c r="V9" s="479">
        <f t="shared" si="2"/>
        <v>0</v>
      </c>
      <c r="W9" s="452">
        <f t="shared" si="3"/>
        <v>0</v>
      </c>
    </row>
    <row r="10" spans="1:170" ht="21" customHeight="1" x14ac:dyDescent="0.2">
      <c r="B10" s="328" t="s">
        <v>1048</v>
      </c>
      <c r="C10" s="2400"/>
      <c r="D10" s="2401"/>
      <c r="E10" s="2401"/>
      <c r="F10" s="2401"/>
      <c r="G10" s="2401"/>
      <c r="H10" s="2401"/>
      <c r="I10" s="2401"/>
      <c r="J10" s="2401"/>
      <c r="K10" s="2401"/>
      <c r="L10" s="2402"/>
      <c r="M10" s="1545">
        <f t="shared" si="0"/>
        <v>0</v>
      </c>
      <c r="N10" s="1545"/>
      <c r="O10" s="260"/>
      <c r="P10" s="327">
        <f t="shared" si="1"/>
        <v>0</v>
      </c>
      <c r="S10" s="1215">
        <v>1</v>
      </c>
      <c r="T10" s="452">
        <f>LARGE($P$5:$P$11,6)</f>
        <v>0</v>
      </c>
      <c r="U10" s="495">
        <f>V9+T11*(1-V9)</f>
        <v>0</v>
      </c>
      <c r="V10" s="479">
        <f t="shared" si="2"/>
        <v>0</v>
      </c>
      <c r="W10" s="452">
        <f t="shared" si="3"/>
        <v>0</v>
      </c>
    </row>
    <row r="11" spans="1:170" ht="21" customHeight="1" x14ac:dyDescent="0.2">
      <c r="B11" s="328" t="s">
        <v>1049</v>
      </c>
      <c r="C11" s="321"/>
      <c r="D11" s="322"/>
      <c r="E11" s="322"/>
      <c r="F11" s="322"/>
      <c r="G11" s="322"/>
      <c r="H11" s="322"/>
      <c r="I11" s="322"/>
      <c r="J11" s="322"/>
      <c r="K11" s="322"/>
      <c r="L11" s="322"/>
      <c r="M11" s="1702"/>
      <c r="N11" s="1628"/>
      <c r="O11" s="42" t="s">
        <v>1942</v>
      </c>
      <c r="P11" s="26">
        <f>IF(S11=1,0.5,0)</f>
        <v>0</v>
      </c>
      <c r="S11" s="1215">
        <v>2</v>
      </c>
      <c r="T11" s="452">
        <f>LARGE($P$5:$P$11,7)</f>
        <v>0</v>
      </c>
      <c r="W11" s="191"/>
    </row>
    <row r="12" spans="1:170" ht="21" customHeight="1" x14ac:dyDescent="0.2">
      <c r="B12" s="394"/>
      <c r="C12" s="2111" t="s">
        <v>1050</v>
      </c>
      <c r="D12" s="2112"/>
      <c r="E12" s="2112"/>
      <c r="F12" s="2112"/>
      <c r="G12" s="2112"/>
      <c r="H12" s="2112"/>
      <c r="I12" s="2112"/>
      <c r="J12" s="2112"/>
      <c r="K12" s="2112"/>
      <c r="L12" s="2112"/>
      <c r="M12" s="2112"/>
      <c r="N12" s="2112"/>
      <c r="O12" s="2113"/>
      <c r="P12" s="333">
        <f>V10</f>
        <v>0</v>
      </c>
    </row>
    <row r="13" spans="1:170" ht="33.75" customHeight="1" x14ac:dyDescent="0.25">
      <c r="B13" s="1682" t="s">
        <v>947</v>
      </c>
      <c r="C13" s="1682"/>
      <c r="D13" s="1682"/>
      <c r="E13" s="1682"/>
      <c r="F13" s="1682"/>
      <c r="G13" s="1682"/>
      <c r="H13" s="1682"/>
      <c r="I13" s="1682"/>
      <c r="J13" s="1682"/>
      <c r="K13" s="1682"/>
      <c r="L13" s="1682"/>
      <c r="M13" s="1682"/>
      <c r="N13" s="1682"/>
      <c r="O13" s="1682"/>
      <c r="P13" s="1682"/>
    </row>
    <row r="14" spans="1:170" x14ac:dyDescent="0.2">
      <c r="A14" s="189"/>
      <c r="C14" s="2403"/>
      <c r="D14" s="2403"/>
      <c r="E14" s="2403"/>
      <c r="F14" s="2403"/>
      <c r="G14" s="2403"/>
    </row>
    <row r="15" spans="1:170" x14ac:dyDescent="0.2">
      <c r="B15" s="35" t="s">
        <v>2047</v>
      </c>
      <c r="C15" s="2404"/>
      <c r="D15" s="2404"/>
      <c r="E15" s="2404"/>
      <c r="F15" s="2404"/>
      <c r="G15" s="2404"/>
      <c r="I15" s="2345" t="str">
        <f>IF(U1&lt;&gt;"",U1,"")</f>
        <v>Go to PPD Worksheet</v>
      </c>
      <c r="J15" s="2345"/>
      <c r="K15" s="2345"/>
      <c r="L15" s="2345"/>
      <c r="M15" s="2345"/>
      <c r="N15" s="2345"/>
    </row>
    <row r="16" spans="1:170" x14ac:dyDescent="0.2">
      <c r="B16" s="35" t="s">
        <v>2049</v>
      </c>
      <c r="C16" s="2404"/>
      <c r="D16" s="2404"/>
      <c r="E16" s="2404"/>
      <c r="F16" s="2404"/>
      <c r="G16" s="2404"/>
      <c r="I16" s="2345"/>
      <c r="J16" s="2345"/>
      <c r="K16" s="2345"/>
      <c r="L16" s="2345"/>
      <c r="M16" s="2345"/>
      <c r="N16" s="2345"/>
      <c r="O16" s="3"/>
    </row>
    <row r="17" spans="2:15" ht="15" x14ac:dyDescent="0.25">
      <c r="B17" s="210"/>
      <c r="C17" s="2404"/>
      <c r="D17" s="2404"/>
      <c r="E17" s="2404"/>
      <c r="F17" s="2404"/>
      <c r="G17" s="2404"/>
      <c r="I17" s="2399" t="str">
        <f>IF(T1&lt;&gt;"",T1,"")</f>
        <v/>
      </c>
      <c r="J17" s="2399"/>
      <c r="K17" s="2399"/>
      <c r="L17" s="2399"/>
      <c r="M17" s="2399"/>
      <c r="N17" s="2399"/>
      <c r="O17" s="3"/>
    </row>
    <row r="18" spans="2:15" x14ac:dyDescent="0.2">
      <c r="C18" s="2404"/>
      <c r="D18" s="2404"/>
      <c r="E18" s="2404"/>
      <c r="F18" s="2404"/>
      <c r="G18" s="2404"/>
      <c r="I18" s="3"/>
      <c r="J18" s="3"/>
      <c r="K18" s="3"/>
      <c r="L18" s="3"/>
      <c r="M18" s="3"/>
      <c r="N18" s="3"/>
      <c r="O18" s="3"/>
    </row>
    <row r="19" spans="2:15" x14ac:dyDescent="0.2">
      <c r="B19" s="182"/>
    </row>
    <row r="20" spans="2:15" x14ac:dyDescent="0.2">
      <c r="B20" s="182"/>
    </row>
    <row r="21" spans="2:15" hidden="1" x14ac:dyDescent="0.2">
      <c r="B21" s="35">
        <v>0.01</v>
      </c>
      <c r="C21" s="35">
        <v>0.99</v>
      </c>
    </row>
    <row r="22" spans="2:15" x14ac:dyDescent="0.2">
      <c r="B22" s="182"/>
    </row>
    <row r="23" spans="2:15" x14ac:dyDescent="0.2">
      <c r="B23" s="182"/>
    </row>
  </sheetData>
  <sheetProtection sheet="1" objects="1" scenarios="1"/>
  <mergeCells count="25">
    <mergeCell ref="C8:L8"/>
    <mergeCell ref="M1:P1"/>
    <mergeCell ref="D1:K1"/>
    <mergeCell ref="C10:L10"/>
    <mergeCell ref="M5:N5"/>
    <mergeCell ref="M6:N6"/>
    <mergeCell ref="B2:P2"/>
    <mergeCell ref="M4:O4"/>
    <mergeCell ref="B3:P3"/>
    <mergeCell ref="C12:O12"/>
    <mergeCell ref="I17:N17"/>
    <mergeCell ref="I16:N16"/>
    <mergeCell ref="C9:L9"/>
    <mergeCell ref="C4:L4"/>
    <mergeCell ref="C5:L5"/>
    <mergeCell ref="M7:N7"/>
    <mergeCell ref="M8:N8"/>
    <mergeCell ref="C14:G18"/>
    <mergeCell ref="B13:P13"/>
    <mergeCell ref="C6:L6"/>
    <mergeCell ref="I15:N15"/>
    <mergeCell ref="M11:N11"/>
    <mergeCell ref="M9:N9"/>
    <mergeCell ref="M10:N10"/>
    <mergeCell ref="C7:L7"/>
  </mergeCells>
  <phoneticPr fontId="0" type="noConversion"/>
  <dataValidations xWindow="636" yWindow="282" count="1">
    <dataValidation type="decimal" allowBlank="1" showInputMessage="1" showErrorMessage="1" promptTitle="Apportionment (if any)" prompt="Enter percentage of impairment caused by the injury or illness. See OAR 436-035-0013." sqref="O5:O10" xr:uid="{00000000-0002-0000-1200-000000000000}">
      <formula1>$B$21</formula1>
      <formula2>$C$21</formula2>
    </dataValidation>
  </dataValidations>
  <hyperlinks>
    <hyperlink ref="I15:N15" location="'PPD DOI before 2005'!A1" display="'PPD DOI before 2005'!A1" xr:uid="{00000000-0004-0000-1200-000000000000}"/>
    <hyperlink ref="I17:N17" location="'PPD DOI on or after 2005'!A1" display="'PPD DOI on or after 2005'!A1" xr:uid="{00000000-0004-0000-12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26671" r:id="rId4">
          <objectPr locked="0" defaultSize="0" r:id="rId5">
            <anchor moveWithCells="1">
              <from>
                <xdr:col>2</xdr:col>
                <xdr:colOff>85725</xdr:colOff>
                <xdr:row>13</xdr:row>
                <xdr:rowOff>104775</xdr:rowOff>
              </from>
              <to>
                <xdr:col>7</xdr:col>
                <xdr:colOff>133350</xdr:colOff>
                <xdr:row>19</xdr:row>
                <xdr:rowOff>0</xdr:rowOff>
              </to>
            </anchor>
          </objectPr>
        </oleObject>
      </mc:Choice>
      <mc:Fallback>
        <oleObject progId="Document" dvAspect="DVASPECT_ICON" shapeId="26671" r:id="rId4"/>
      </mc:Fallback>
    </mc:AlternateContent>
  </oleObjects>
  <mc:AlternateContent xmlns:mc="http://schemas.openxmlformats.org/markup-compatibility/2006">
    <mc:Choice Requires="x14">
      <controls>
        <mc:AlternateContent xmlns:mc="http://schemas.openxmlformats.org/markup-compatibility/2006">
          <mc:Choice Requires="x14">
            <control shapeId="26626" r:id="rId6" name="Group Box 2">
              <controlPr defaultSize="0" autoFill="0" autoPict="0">
                <anchor moveWithCells="1" sizeWithCells="1">
                  <from>
                    <xdr:col>2</xdr:col>
                    <xdr:colOff>0</xdr:colOff>
                    <xdr:row>4</xdr:row>
                    <xdr:rowOff>0</xdr:rowOff>
                  </from>
                  <to>
                    <xdr:col>12</xdr:col>
                    <xdr:colOff>0</xdr:colOff>
                    <xdr:row>5</xdr:row>
                    <xdr:rowOff>0</xdr:rowOff>
                  </to>
                </anchor>
              </controlPr>
            </control>
          </mc:Choice>
        </mc:AlternateContent>
        <mc:AlternateContent xmlns:mc="http://schemas.openxmlformats.org/markup-compatibility/2006">
          <mc:Choice Requires="x14">
            <control shapeId="26627" r:id="rId7" name="Option Button 3">
              <controlPr defaultSize="0" autoFill="0" autoLine="0" autoPict="0">
                <anchor moveWithCells="1" sizeWithCells="1">
                  <from>
                    <xdr:col>3</xdr:col>
                    <xdr:colOff>123825</xdr:colOff>
                    <xdr:row>4</xdr:row>
                    <xdr:rowOff>19050</xdr:rowOff>
                  </from>
                  <to>
                    <xdr:col>6</xdr:col>
                    <xdr:colOff>66675</xdr:colOff>
                    <xdr:row>4</xdr:row>
                    <xdr:rowOff>247650</xdr:rowOff>
                  </to>
                </anchor>
              </controlPr>
            </control>
          </mc:Choice>
        </mc:AlternateContent>
        <mc:AlternateContent xmlns:mc="http://schemas.openxmlformats.org/markup-compatibility/2006">
          <mc:Choice Requires="x14">
            <control shapeId="26628" r:id="rId8" name="Option Button 4">
              <controlPr defaultSize="0" autoFill="0" autoLine="0" autoPict="0">
                <anchor moveWithCells="1" sizeWithCells="1">
                  <from>
                    <xdr:col>6</xdr:col>
                    <xdr:colOff>123825</xdr:colOff>
                    <xdr:row>4</xdr:row>
                    <xdr:rowOff>19050</xdr:rowOff>
                  </from>
                  <to>
                    <xdr:col>7</xdr:col>
                    <xdr:colOff>180975</xdr:colOff>
                    <xdr:row>4</xdr:row>
                    <xdr:rowOff>247650</xdr:rowOff>
                  </to>
                </anchor>
              </controlPr>
            </control>
          </mc:Choice>
        </mc:AlternateContent>
        <mc:AlternateContent xmlns:mc="http://schemas.openxmlformats.org/markup-compatibility/2006">
          <mc:Choice Requires="x14">
            <control shapeId="26629" r:id="rId9" name="Option Button 5">
              <controlPr defaultSize="0" autoFill="0" autoLine="0" autoPict="0">
                <anchor moveWithCells="1" sizeWithCells="1">
                  <from>
                    <xdr:col>7</xdr:col>
                    <xdr:colOff>180975</xdr:colOff>
                    <xdr:row>4</xdr:row>
                    <xdr:rowOff>19050</xdr:rowOff>
                  </from>
                  <to>
                    <xdr:col>8</xdr:col>
                    <xdr:colOff>238125</xdr:colOff>
                    <xdr:row>4</xdr:row>
                    <xdr:rowOff>247650</xdr:rowOff>
                  </to>
                </anchor>
              </controlPr>
            </control>
          </mc:Choice>
        </mc:AlternateContent>
        <mc:AlternateContent xmlns:mc="http://schemas.openxmlformats.org/markup-compatibility/2006">
          <mc:Choice Requires="x14">
            <control shapeId="26630" r:id="rId10" name="Option Button 6">
              <controlPr defaultSize="0" autoFill="0" autoLine="0" autoPict="0">
                <anchor moveWithCells="1" sizeWithCells="1">
                  <from>
                    <xdr:col>9</xdr:col>
                    <xdr:colOff>0</xdr:colOff>
                    <xdr:row>4</xdr:row>
                    <xdr:rowOff>19050</xdr:rowOff>
                  </from>
                  <to>
                    <xdr:col>10</xdr:col>
                    <xdr:colOff>57150</xdr:colOff>
                    <xdr:row>4</xdr:row>
                    <xdr:rowOff>247650</xdr:rowOff>
                  </to>
                </anchor>
              </controlPr>
            </control>
          </mc:Choice>
        </mc:AlternateContent>
        <mc:AlternateContent xmlns:mc="http://schemas.openxmlformats.org/markup-compatibility/2006">
          <mc:Choice Requires="x14">
            <control shapeId="26631" r:id="rId11" name="Option Button 7">
              <controlPr defaultSize="0" autoFill="0" autoLine="0" autoPict="0">
                <anchor moveWithCells="1" sizeWithCells="1">
                  <from>
                    <xdr:col>10</xdr:col>
                    <xdr:colOff>66675</xdr:colOff>
                    <xdr:row>4</xdr:row>
                    <xdr:rowOff>19050</xdr:rowOff>
                  </from>
                  <to>
                    <xdr:col>11</xdr:col>
                    <xdr:colOff>123825</xdr:colOff>
                    <xdr:row>4</xdr:row>
                    <xdr:rowOff>247650</xdr:rowOff>
                  </to>
                </anchor>
              </controlPr>
            </control>
          </mc:Choice>
        </mc:AlternateContent>
        <mc:AlternateContent xmlns:mc="http://schemas.openxmlformats.org/markup-compatibility/2006">
          <mc:Choice Requires="x14">
            <control shapeId="26633" r:id="rId12" name="Group Box 9">
              <controlPr defaultSize="0" autoFill="0" autoPict="0">
                <anchor moveWithCells="1" sizeWithCells="1">
                  <from>
                    <xdr:col>2</xdr:col>
                    <xdr:colOff>0</xdr:colOff>
                    <xdr:row>9</xdr:row>
                    <xdr:rowOff>0</xdr:rowOff>
                  </from>
                  <to>
                    <xdr:col>12</xdr:col>
                    <xdr:colOff>0</xdr:colOff>
                    <xdr:row>10</xdr:row>
                    <xdr:rowOff>0</xdr:rowOff>
                  </to>
                </anchor>
              </controlPr>
            </control>
          </mc:Choice>
        </mc:AlternateContent>
        <mc:AlternateContent xmlns:mc="http://schemas.openxmlformats.org/markup-compatibility/2006">
          <mc:Choice Requires="x14">
            <control shapeId="26634" r:id="rId13" name="Option Button 10">
              <controlPr defaultSize="0" autoFill="0" autoLine="0" autoPict="0">
                <anchor moveWithCells="1" sizeWithCells="1">
                  <from>
                    <xdr:col>3</xdr:col>
                    <xdr:colOff>123825</xdr:colOff>
                    <xdr:row>9</xdr:row>
                    <xdr:rowOff>38100</xdr:rowOff>
                  </from>
                  <to>
                    <xdr:col>6</xdr:col>
                    <xdr:colOff>66675</xdr:colOff>
                    <xdr:row>9</xdr:row>
                    <xdr:rowOff>257175</xdr:rowOff>
                  </to>
                </anchor>
              </controlPr>
            </control>
          </mc:Choice>
        </mc:AlternateContent>
        <mc:AlternateContent xmlns:mc="http://schemas.openxmlformats.org/markup-compatibility/2006">
          <mc:Choice Requires="x14">
            <control shapeId="26635" r:id="rId14" name="Option Button 11">
              <controlPr defaultSize="0" autoFill="0" autoLine="0" autoPict="0">
                <anchor moveWithCells="1" sizeWithCells="1">
                  <from>
                    <xdr:col>6</xdr:col>
                    <xdr:colOff>123825</xdr:colOff>
                    <xdr:row>9</xdr:row>
                    <xdr:rowOff>38100</xdr:rowOff>
                  </from>
                  <to>
                    <xdr:col>7</xdr:col>
                    <xdr:colOff>180975</xdr:colOff>
                    <xdr:row>9</xdr:row>
                    <xdr:rowOff>257175</xdr:rowOff>
                  </to>
                </anchor>
              </controlPr>
            </control>
          </mc:Choice>
        </mc:AlternateContent>
        <mc:AlternateContent xmlns:mc="http://schemas.openxmlformats.org/markup-compatibility/2006">
          <mc:Choice Requires="x14">
            <control shapeId="26636" r:id="rId15" name="Option Button 12">
              <controlPr defaultSize="0" autoFill="0" autoLine="0" autoPict="0">
                <anchor moveWithCells="1" sizeWithCells="1">
                  <from>
                    <xdr:col>7</xdr:col>
                    <xdr:colOff>180975</xdr:colOff>
                    <xdr:row>9</xdr:row>
                    <xdr:rowOff>38100</xdr:rowOff>
                  </from>
                  <to>
                    <xdr:col>8</xdr:col>
                    <xdr:colOff>238125</xdr:colOff>
                    <xdr:row>9</xdr:row>
                    <xdr:rowOff>257175</xdr:rowOff>
                  </to>
                </anchor>
              </controlPr>
            </control>
          </mc:Choice>
        </mc:AlternateContent>
        <mc:AlternateContent xmlns:mc="http://schemas.openxmlformats.org/markup-compatibility/2006">
          <mc:Choice Requires="x14">
            <control shapeId="26637" r:id="rId16" name="Option Button 13">
              <controlPr defaultSize="0" autoFill="0" autoLine="0" autoPict="0">
                <anchor moveWithCells="1" sizeWithCells="1">
                  <from>
                    <xdr:col>9</xdr:col>
                    <xdr:colOff>0</xdr:colOff>
                    <xdr:row>9</xdr:row>
                    <xdr:rowOff>38100</xdr:rowOff>
                  </from>
                  <to>
                    <xdr:col>10</xdr:col>
                    <xdr:colOff>57150</xdr:colOff>
                    <xdr:row>9</xdr:row>
                    <xdr:rowOff>257175</xdr:rowOff>
                  </to>
                </anchor>
              </controlPr>
            </control>
          </mc:Choice>
        </mc:AlternateContent>
        <mc:AlternateContent xmlns:mc="http://schemas.openxmlformats.org/markup-compatibility/2006">
          <mc:Choice Requires="x14">
            <control shapeId="26638" r:id="rId17" name="Option Button 14">
              <controlPr defaultSize="0" autoFill="0" autoLine="0" autoPict="0">
                <anchor moveWithCells="1" sizeWithCells="1">
                  <from>
                    <xdr:col>10</xdr:col>
                    <xdr:colOff>66675</xdr:colOff>
                    <xdr:row>9</xdr:row>
                    <xdr:rowOff>38100</xdr:rowOff>
                  </from>
                  <to>
                    <xdr:col>11</xdr:col>
                    <xdr:colOff>123825</xdr:colOff>
                    <xdr:row>9</xdr:row>
                    <xdr:rowOff>257175</xdr:rowOff>
                  </to>
                </anchor>
              </controlPr>
            </control>
          </mc:Choice>
        </mc:AlternateContent>
        <mc:AlternateContent xmlns:mc="http://schemas.openxmlformats.org/markup-compatibility/2006">
          <mc:Choice Requires="x14">
            <control shapeId="26640" r:id="rId18" name="Group Box 16">
              <controlPr defaultSize="0" autoFill="0" autoPict="0">
                <anchor moveWithCells="1" sizeWithCells="1">
                  <from>
                    <xdr:col>2</xdr:col>
                    <xdr:colOff>0</xdr:colOff>
                    <xdr:row>8</xdr:row>
                    <xdr:rowOff>0</xdr:rowOff>
                  </from>
                  <to>
                    <xdr:col>12</xdr:col>
                    <xdr:colOff>0</xdr:colOff>
                    <xdr:row>9</xdr:row>
                    <xdr:rowOff>0</xdr:rowOff>
                  </to>
                </anchor>
              </controlPr>
            </control>
          </mc:Choice>
        </mc:AlternateContent>
        <mc:AlternateContent xmlns:mc="http://schemas.openxmlformats.org/markup-compatibility/2006">
          <mc:Choice Requires="x14">
            <control shapeId="26641" r:id="rId19" name="Option Button 17">
              <controlPr defaultSize="0" autoFill="0" autoLine="0" autoPict="0">
                <anchor moveWithCells="1" sizeWithCells="1">
                  <from>
                    <xdr:col>3</xdr:col>
                    <xdr:colOff>123825</xdr:colOff>
                    <xdr:row>8</xdr:row>
                    <xdr:rowOff>9525</xdr:rowOff>
                  </from>
                  <to>
                    <xdr:col>6</xdr:col>
                    <xdr:colOff>66675</xdr:colOff>
                    <xdr:row>9</xdr:row>
                    <xdr:rowOff>0</xdr:rowOff>
                  </to>
                </anchor>
              </controlPr>
            </control>
          </mc:Choice>
        </mc:AlternateContent>
        <mc:AlternateContent xmlns:mc="http://schemas.openxmlformats.org/markup-compatibility/2006">
          <mc:Choice Requires="x14">
            <control shapeId="26642" r:id="rId20" name="Option Button 18">
              <controlPr defaultSize="0" autoFill="0" autoLine="0" autoPict="0">
                <anchor moveWithCells="1" sizeWithCells="1">
                  <from>
                    <xdr:col>6</xdr:col>
                    <xdr:colOff>123825</xdr:colOff>
                    <xdr:row>8</xdr:row>
                    <xdr:rowOff>9525</xdr:rowOff>
                  </from>
                  <to>
                    <xdr:col>7</xdr:col>
                    <xdr:colOff>180975</xdr:colOff>
                    <xdr:row>9</xdr:row>
                    <xdr:rowOff>0</xdr:rowOff>
                  </to>
                </anchor>
              </controlPr>
            </control>
          </mc:Choice>
        </mc:AlternateContent>
        <mc:AlternateContent xmlns:mc="http://schemas.openxmlformats.org/markup-compatibility/2006">
          <mc:Choice Requires="x14">
            <control shapeId="26643" r:id="rId21" name="Option Button 19">
              <controlPr defaultSize="0" autoFill="0" autoLine="0" autoPict="0">
                <anchor moveWithCells="1" sizeWithCells="1">
                  <from>
                    <xdr:col>7</xdr:col>
                    <xdr:colOff>180975</xdr:colOff>
                    <xdr:row>8</xdr:row>
                    <xdr:rowOff>9525</xdr:rowOff>
                  </from>
                  <to>
                    <xdr:col>8</xdr:col>
                    <xdr:colOff>238125</xdr:colOff>
                    <xdr:row>9</xdr:row>
                    <xdr:rowOff>0</xdr:rowOff>
                  </to>
                </anchor>
              </controlPr>
            </control>
          </mc:Choice>
        </mc:AlternateContent>
        <mc:AlternateContent xmlns:mc="http://schemas.openxmlformats.org/markup-compatibility/2006">
          <mc:Choice Requires="x14">
            <control shapeId="26644" r:id="rId22" name="Option Button 20">
              <controlPr defaultSize="0" autoFill="0" autoLine="0" autoPict="0">
                <anchor moveWithCells="1" sizeWithCells="1">
                  <from>
                    <xdr:col>9</xdr:col>
                    <xdr:colOff>0</xdr:colOff>
                    <xdr:row>8</xdr:row>
                    <xdr:rowOff>9525</xdr:rowOff>
                  </from>
                  <to>
                    <xdr:col>10</xdr:col>
                    <xdr:colOff>57150</xdr:colOff>
                    <xdr:row>9</xdr:row>
                    <xdr:rowOff>0</xdr:rowOff>
                  </to>
                </anchor>
              </controlPr>
            </control>
          </mc:Choice>
        </mc:AlternateContent>
        <mc:AlternateContent xmlns:mc="http://schemas.openxmlformats.org/markup-compatibility/2006">
          <mc:Choice Requires="x14">
            <control shapeId="26645" r:id="rId23" name="Option Button 21">
              <controlPr defaultSize="0" autoFill="0" autoLine="0" autoPict="0">
                <anchor moveWithCells="1" sizeWithCells="1">
                  <from>
                    <xdr:col>10</xdr:col>
                    <xdr:colOff>66675</xdr:colOff>
                    <xdr:row>8</xdr:row>
                    <xdr:rowOff>9525</xdr:rowOff>
                  </from>
                  <to>
                    <xdr:col>11</xdr:col>
                    <xdr:colOff>123825</xdr:colOff>
                    <xdr:row>9</xdr:row>
                    <xdr:rowOff>0</xdr:rowOff>
                  </to>
                </anchor>
              </controlPr>
            </control>
          </mc:Choice>
        </mc:AlternateContent>
        <mc:AlternateContent xmlns:mc="http://schemas.openxmlformats.org/markup-compatibility/2006">
          <mc:Choice Requires="x14">
            <control shapeId="26647" r:id="rId24" name="Group Box 23">
              <controlPr defaultSize="0" autoFill="0" autoPict="0">
                <anchor moveWithCells="1" sizeWithCells="1">
                  <from>
                    <xdr:col>2</xdr:col>
                    <xdr:colOff>0</xdr:colOff>
                    <xdr:row>7</xdr:row>
                    <xdr:rowOff>0</xdr:rowOff>
                  </from>
                  <to>
                    <xdr:col>12</xdr:col>
                    <xdr:colOff>0</xdr:colOff>
                    <xdr:row>8</xdr:row>
                    <xdr:rowOff>0</xdr:rowOff>
                  </to>
                </anchor>
              </controlPr>
            </control>
          </mc:Choice>
        </mc:AlternateContent>
        <mc:AlternateContent xmlns:mc="http://schemas.openxmlformats.org/markup-compatibility/2006">
          <mc:Choice Requires="x14">
            <control shapeId="26648" r:id="rId25" name="Option Button 24">
              <controlPr defaultSize="0" autoFill="0" autoLine="0" autoPict="0">
                <anchor moveWithCells="1" sizeWithCells="1">
                  <from>
                    <xdr:col>3</xdr:col>
                    <xdr:colOff>123825</xdr:colOff>
                    <xdr:row>7</xdr:row>
                    <xdr:rowOff>28575</xdr:rowOff>
                  </from>
                  <to>
                    <xdr:col>6</xdr:col>
                    <xdr:colOff>66675</xdr:colOff>
                    <xdr:row>7</xdr:row>
                    <xdr:rowOff>247650</xdr:rowOff>
                  </to>
                </anchor>
              </controlPr>
            </control>
          </mc:Choice>
        </mc:AlternateContent>
        <mc:AlternateContent xmlns:mc="http://schemas.openxmlformats.org/markup-compatibility/2006">
          <mc:Choice Requires="x14">
            <control shapeId="26649" r:id="rId26" name="Option Button 25">
              <controlPr defaultSize="0" autoFill="0" autoLine="0" autoPict="0">
                <anchor moveWithCells="1" sizeWithCells="1">
                  <from>
                    <xdr:col>6</xdr:col>
                    <xdr:colOff>123825</xdr:colOff>
                    <xdr:row>7</xdr:row>
                    <xdr:rowOff>28575</xdr:rowOff>
                  </from>
                  <to>
                    <xdr:col>7</xdr:col>
                    <xdr:colOff>180975</xdr:colOff>
                    <xdr:row>7</xdr:row>
                    <xdr:rowOff>247650</xdr:rowOff>
                  </to>
                </anchor>
              </controlPr>
            </control>
          </mc:Choice>
        </mc:AlternateContent>
        <mc:AlternateContent xmlns:mc="http://schemas.openxmlformats.org/markup-compatibility/2006">
          <mc:Choice Requires="x14">
            <control shapeId="26650" r:id="rId27" name="Option Button 26">
              <controlPr defaultSize="0" autoFill="0" autoLine="0" autoPict="0">
                <anchor moveWithCells="1" sizeWithCells="1">
                  <from>
                    <xdr:col>7</xdr:col>
                    <xdr:colOff>180975</xdr:colOff>
                    <xdr:row>7</xdr:row>
                    <xdr:rowOff>28575</xdr:rowOff>
                  </from>
                  <to>
                    <xdr:col>8</xdr:col>
                    <xdr:colOff>238125</xdr:colOff>
                    <xdr:row>7</xdr:row>
                    <xdr:rowOff>247650</xdr:rowOff>
                  </to>
                </anchor>
              </controlPr>
            </control>
          </mc:Choice>
        </mc:AlternateContent>
        <mc:AlternateContent xmlns:mc="http://schemas.openxmlformats.org/markup-compatibility/2006">
          <mc:Choice Requires="x14">
            <control shapeId="26651" r:id="rId28" name="Option Button 27">
              <controlPr defaultSize="0" autoFill="0" autoLine="0" autoPict="0">
                <anchor moveWithCells="1" sizeWithCells="1">
                  <from>
                    <xdr:col>9</xdr:col>
                    <xdr:colOff>0</xdr:colOff>
                    <xdr:row>7</xdr:row>
                    <xdr:rowOff>28575</xdr:rowOff>
                  </from>
                  <to>
                    <xdr:col>10</xdr:col>
                    <xdr:colOff>57150</xdr:colOff>
                    <xdr:row>7</xdr:row>
                    <xdr:rowOff>247650</xdr:rowOff>
                  </to>
                </anchor>
              </controlPr>
            </control>
          </mc:Choice>
        </mc:AlternateContent>
        <mc:AlternateContent xmlns:mc="http://schemas.openxmlformats.org/markup-compatibility/2006">
          <mc:Choice Requires="x14">
            <control shapeId="26652" r:id="rId29" name="Option Button 28">
              <controlPr defaultSize="0" autoFill="0" autoLine="0" autoPict="0">
                <anchor moveWithCells="1" sizeWithCells="1">
                  <from>
                    <xdr:col>10</xdr:col>
                    <xdr:colOff>66675</xdr:colOff>
                    <xdr:row>7</xdr:row>
                    <xdr:rowOff>28575</xdr:rowOff>
                  </from>
                  <to>
                    <xdr:col>11</xdr:col>
                    <xdr:colOff>123825</xdr:colOff>
                    <xdr:row>7</xdr:row>
                    <xdr:rowOff>247650</xdr:rowOff>
                  </to>
                </anchor>
              </controlPr>
            </control>
          </mc:Choice>
        </mc:AlternateContent>
        <mc:AlternateContent xmlns:mc="http://schemas.openxmlformats.org/markup-compatibility/2006">
          <mc:Choice Requires="x14">
            <control shapeId="26654" r:id="rId30" name="Group Box 30">
              <controlPr defaultSize="0" autoFill="0" autoPict="0">
                <anchor moveWithCells="1" sizeWithCells="1">
                  <from>
                    <xdr:col>2</xdr:col>
                    <xdr:colOff>0</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26655" r:id="rId31" name="Option Button 31">
              <controlPr defaultSize="0" autoFill="0" autoLine="0" autoPict="0">
                <anchor moveWithCells="1" sizeWithCells="1">
                  <from>
                    <xdr:col>3</xdr:col>
                    <xdr:colOff>123825</xdr:colOff>
                    <xdr:row>6</xdr:row>
                    <xdr:rowOff>66675</xdr:rowOff>
                  </from>
                  <to>
                    <xdr:col>6</xdr:col>
                    <xdr:colOff>66675</xdr:colOff>
                    <xdr:row>6</xdr:row>
                    <xdr:rowOff>285750</xdr:rowOff>
                  </to>
                </anchor>
              </controlPr>
            </control>
          </mc:Choice>
        </mc:AlternateContent>
        <mc:AlternateContent xmlns:mc="http://schemas.openxmlformats.org/markup-compatibility/2006">
          <mc:Choice Requires="x14">
            <control shapeId="26656" r:id="rId32" name="Option Button 32">
              <controlPr defaultSize="0" autoFill="0" autoLine="0" autoPict="0">
                <anchor moveWithCells="1" sizeWithCells="1">
                  <from>
                    <xdr:col>6</xdr:col>
                    <xdr:colOff>123825</xdr:colOff>
                    <xdr:row>6</xdr:row>
                    <xdr:rowOff>66675</xdr:rowOff>
                  </from>
                  <to>
                    <xdr:col>7</xdr:col>
                    <xdr:colOff>180975</xdr:colOff>
                    <xdr:row>6</xdr:row>
                    <xdr:rowOff>285750</xdr:rowOff>
                  </to>
                </anchor>
              </controlPr>
            </control>
          </mc:Choice>
        </mc:AlternateContent>
        <mc:AlternateContent xmlns:mc="http://schemas.openxmlformats.org/markup-compatibility/2006">
          <mc:Choice Requires="x14">
            <control shapeId="26657" r:id="rId33" name="Option Button 33">
              <controlPr defaultSize="0" autoFill="0" autoLine="0" autoPict="0">
                <anchor moveWithCells="1" sizeWithCells="1">
                  <from>
                    <xdr:col>7</xdr:col>
                    <xdr:colOff>180975</xdr:colOff>
                    <xdr:row>6</xdr:row>
                    <xdr:rowOff>66675</xdr:rowOff>
                  </from>
                  <to>
                    <xdr:col>8</xdr:col>
                    <xdr:colOff>238125</xdr:colOff>
                    <xdr:row>6</xdr:row>
                    <xdr:rowOff>285750</xdr:rowOff>
                  </to>
                </anchor>
              </controlPr>
            </control>
          </mc:Choice>
        </mc:AlternateContent>
        <mc:AlternateContent xmlns:mc="http://schemas.openxmlformats.org/markup-compatibility/2006">
          <mc:Choice Requires="x14">
            <control shapeId="26658" r:id="rId34" name="Option Button 34">
              <controlPr defaultSize="0" autoFill="0" autoLine="0" autoPict="0">
                <anchor moveWithCells="1" sizeWithCells="1">
                  <from>
                    <xdr:col>9</xdr:col>
                    <xdr:colOff>0</xdr:colOff>
                    <xdr:row>6</xdr:row>
                    <xdr:rowOff>66675</xdr:rowOff>
                  </from>
                  <to>
                    <xdr:col>10</xdr:col>
                    <xdr:colOff>57150</xdr:colOff>
                    <xdr:row>6</xdr:row>
                    <xdr:rowOff>285750</xdr:rowOff>
                  </to>
                </anchor>
              </controlPr>
            </control>
          </mc:Choice>
        </mc:AlternateContent>
        <mc:AlternateContent xmlns:mc="http://schemas.openxmlformats.org/markup-compatibility/2006">
          <mc:Choice Requires="x14">
            <control shapeId="26659" r:id="rId35" name="Option Button 35">
              <controlPr defaultSize="0" autoFill="0" autoLine="0" autoPict="0">
                <anchor moveWithCells="1" sizeWithCells="1">
                  <from>
                    <xdr:col>10</xdr:col>
                    <xdr:colOff>66675</xdr:colOff>
                    <xdr:row>6</xdr:row>
                    <xdr:rowOff>66675</xdr:rowOff>
                  </from>
                  <to>
                    <xdr:col>11</xdr:col>
                    <xdr:colOff>123825</xdr:colOff>
                    <xdr:row>6</xdr:row>
                    <xdr:rowOff>285750</xdr:rowOff>
                  </to>
                </anchor>
              </controlPr>
            </control>
          </mc:Choice>
        </mc:AlternateContent>
        <mc:AlternateContent xmlns:mc="http://schemas.openxmlformats.org/markup-compatibility/2006">
          <mc:Choice Requires="x14">
            <control shapeId="26661" r:id="rId36" name="Group Box 37">
              <controlPr defaultSize="0" autoFill="0" autoPict="0">
                <anchor moveWithCells="1" sizeWithCells="1">
                  <from>
                    <xdr:col>2</xdr:col>
                    <xdr:colOff>0</xdr:colOff>
                    <xdr:row>5</xdr:row>
                    <xdr:rowOff>0</xdr:rowOff>
                  </from>
                  <to>
                    <xdr:col>12</xdr:col>
                    <xdr:colOff>0</xdr:colOff>
                    <xdr:row>6</xdr:row>
                    <xdr:rowOff>0</xdr:rowOff>
                  </to>
                </anchor>
              </controlPr>
            </control>
          </mc:Choice>
        </mc:AlternateContent>
        <mc:AlternateContent xmlns:mc="http://schemas.openxmlformats.org/markup-compatibility/2006">
          <mc:Choice Requires="x14">
            <control shapeId="26662" r:id="rId37" name="Option Button 38">
              <controlPr defaultSize="0" autoFill="0" autoLine="0" autoPict="0">
                <anchor moveWithCells="1" sizeWithCells="1">
                  <from>
                    <xdr:col>3</xdr:col>
                    <xdr:colOff>123825</xdr:colOff>
                    <xdr:row>5</xdr:row>
                    <xdr:rowOff>28575</xdr:rowOff>
                  </from>
                  <to>
                    <xdr:col>6</xdr:col>
                    <xdr:colOff>66675</xdr:colOff>
                    <xdr:row>6</xdr:row>
                    <xdr:rowOff>0</xdr:rowOff>
                  </to>
                </anchor>
              </controlPr>
            </control>
          </mc:Choice>
        </mc:AlternateContent>
        <mc:AlternateContent xmlns:mc="http://schemas.openxmlformats.org/markup-compatibility/2006">
          <mc:Choice Requires="x14">
            <control shapeId="26663" r:id="rId38" name="Option Button 39">
              <controlPr defaultSize="0" autoFill="0" autoLine="0" autoPict="0">
                <anchor moveWithCells="1" sizeWithCells="1">
                  <from>
                    <xdr:col>6</xdr:col>
                    <xdr:colOff>123825</xdr:colOff>
                    <xdr:row>5</xdr:row>
                    <xdr:rowOff>28575</xdr:rowOff>
                  </from>
                  <to>
                    <xdr:col>7</xdr:col>
                    <xdr:colOff>180975</xdr:colOff>
                    <xdr:row>6</xdr:row>
                    <xdr:rowOff>0</xdr:rowOff>
                  </to>
                </anchor>
              </controlPr>
            </control>
          </mc:Choice>
        </mc:AlternateContent>
        <mc:AlternateContent xmlns:mc="http://schemas.openxmlformats.org/markup-compatibility/2006">
          <mc:Choice Requires="x14">
            <control shapeId="26664" r:id="rId39" name="Option Button 40">
              <controlPr defaultSize="0" autoFill="0" autoLine="0" autoPict="0">
                <anchor moveWithCells="1" sizeWithCells="1">
                  <from>
                    <xdr:col>7</xdr:col>
                    <xdr:colOff>180975</xdr:colOff>
                    <xdr:row>5</xdr:row>
                    <xdr:rowOff>28575</xdr:rowOff>
                  </from>
                  <to>
                    <xdr:col>8</xdr:col>
                    <xdr:colOff>238125</xdr:colOff>
                    <xdr:row>6</xdr:row>
                    <xdr:rowOff>0</xdr:rowOff>
                  </to>
                </anchor>
              </controlPr>
            </control>
          </mc:Choice>
        </mc:AlternateContent>
        <mc:AlternateContent xmlns:mc="http://schemas.openxmlformats.org/markup-compatibility/2006">
          <mc:Choice Requires="x14">
            <control shapeId="26665" r:id="rId40" name="Option Button 41">
              <controlPr defaultSize="0" autoFill="0" autoLine="0" autoPict="0">
                <anchor moveWithCells="1" sizeWithCells="1">
                  <from>
                    <xdr:col>9</xdr:col>
                    <xdr:colOff>0</xdr:colOff>
                    <xdr:row>5</xdr:row>
                    <xdr:rowOff>28575</xdr:rowOff>
                  </from>
                  <to>
                    <xdr:col>10</xdr:col>
                    <xdr:colOff>57150</xdr:colOff>
                    <xdr:row>6</xdr:row>
                    <xdr:rowOff>0</xdr:rowOff>
                  </to>
                </anchor>
              </controlPr>
            </control>
          </mc:Choice>
        </mc:AlternateContent>
        <mc:AlternateContent xmlns:mc="http://schemas.openxmlformats.org/markup-compatibility/2006">
          <mc:Choice Requires="x14">
            <control shapeId="26666" r:id="rId41" name="Option Button 42">
              <controlPr defaultSize="0" autoFill="0" autoLine="0" autoPict="0">
                <anchor moveWithCells="1" sizeWithCells="1">
                  <from>
                    <xdr:col>10</xdr:col>
                    <xdr:colOff>66675</xdr:colOff>
                    <xdr:row>5</xdr:row>
                    <xdr:rowOff>28575</xdr:rowOff>
                  </from>
                  <to>
                    <xdr:col>11</xdr:col>
                    <xdr:colOff>123825</xdr:colOff>
                    <xdr:row>6</xdr:row>
                    <xdr:rowOff>0</xdr:rowOff>
                  </to>
                </anchor>
              </controlPr>
            </control>
          </mc:Choice>
        </mc:AlternateContent>
        <mc:AlternateContent xmlns:mc="http://schemas.openxmlformats.org/markup-compatibility/2006">
          <mc:Choice Requires="x14">
            <control shapeId="26668" r:id="rId42" name="Group Box 44">
              <controlPr defaultSize="0" autoFill="0" autoPict="0">
                <anchor moveWithCells="1" sizeWithCells="1">
                  <from>
                    <xdr:col>2</xdr:col>
                    <xdr:colOff>0</xdr:colOff>
                    <xdr:row>10</xdr:row>
                    <xdr:rowOff>0</xdr:rowOff>
                  </from>
                  <to>
                    <xdr:col>12</xdr:col>
                    <xdr:colOff>0</xdr:colOff>
                    <xdr:row>11</xdr:row>
                    <xdr:rowOff>0</xdr:rowOff>
                  </to>
                </anchor>
              </controlPr>
            </control>
          </mc:Choice>
        </mc:AlternateContent>
        <mc:AlternateContent xmlns:mc="http://schemas.openxmlformats.org/markup-compatibility/2006">
          <mc:Choice Requires="x14">
            <control shapeId="26669" r:id="rId43" name="Option Button 45">
              <controlPr defaultSize="0" autoFill="0" autoLine="0" autoPict="0">
                <anchor moveWithCells="1" sizeWithCells="1">
                  <from>
                    <xdr:col>3</xdr:col>
                    <xdr:colOff>123825</xdr:colOff>
                    <xdr:row>10</xdr:row>
                    <xdr:rowOff>38100</xdr:rowOff>
                  </from>
                  <to>
                    <xdr:col>6</xdr:col>
                    <xdr:colOff>66675</xdr:colOff>
                    <xdr:row>10</xdr:row>
                    <xdr:rowOff>257175</xdr:rowOff>
                  </to>
                </anchor>
              </controlPr>
            </control>
          </mc:Choice>
        </mc:AlternateContent>
        <mc:AlternateContent xmlns:mc="http://schemas.openxmlformats.org/markup-compatibility/2006">
          <mc:Choice Requires="x14">
            <control shapeId="26670" r:id="rId44" name="Option Button 46">
              <controlPr defaultSize="0" autoFill="0" autoLine="0" autoPict="0">
                <anchor moveWithCells="1" sizeWithCells="1">
                  <from>
                    <xdr:col>6</xdr:col>
                    <xdr:colOff>123825</xdr:colOff>
                    <xdr:row>10</xdr:row>
                    <xdr:rowOff>38100</xdr:rowOff>
                  </from>
                  <to>
                    <xdr:col>8</xdr:col>
                    <xdr:colOff>142875</xdr:colOff>
                    <xdr:row>10</xdr:row>
                    <xdr:rowOff>257175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V199"/>
  <sheetViews>
    <sheetView showGridLines="0" zoomScale="120" zoomScaleNormal="120" zoomScaleSheetLayoutView="140" workbookViewId="0">
      <selection activeCell="R1" sqref="R1:DZ1048576"/>
    </sheetView>
  </sheetViews>
  <sheetFormatPr defaultColWidth="2.5703125" defaultRowHeight="12.75" x14ac:dyDescent="0.2"/>
  <cols>
    <col min="1" max="1" width="1.85546875" style="35" customWidth="1"/>
    <col min="2" max="2" width="18.7109375" style="35" customWidth="1"/>
    <col min="3" max="3" width="3.140625" style="35" customWidth="1"/>
    <col min="4" max="4" width="3.7109375" style="35" customWidth="1"/>
    <col min="5" max="5" width="3" style="35" customWidth="1"/>
    <col min="6" max="6" width="3.7109375" style="35" customWidth="1"/>
    <col min="7" max="13" width="4" style="35" customWidth="1"/>
    <col min="14" max="14" width="5" style="35" customWidth="1"/>
    <col min="15" max="15" width="9.28515625" style="35" customWidth="1"/>
    <col min="16" max="16" width="13.5703125" style="35" customWidth="1"/>
    <col min="17" max="17" width="3.42578125" style="35" customWidth="1"/>
    <col min="18" max="18" width="11.7109375" style="35" hidden="1" customWidth="1"/>
    <col min="19" max="19" width="9.140625" style="35" hidden="1" customWidth="1"/>
    <col min="20" max="20" width="10.5703125" style="35" hidden="1" customWidth="1"/>
    <col min="21" max="21" width="9.7109375" style="35" hidden="1" customWidth="1"/>
    <col min="22" max="22" width="12.7109375" style="2" hidden="1" customWidth="1"/>
    <col min="23" max="23" width="9.140625" style="35" hidden="1" customWidth="1"/>
    <col min="24" max="24" width="12.42578125" style="35" hidden="1" customWidth="1"/>
    <col min="25" max="25" width="26.7109375" style="35" hidden="1" customWidth="1"/>
    <col min="26" max="28" width="9.140625" style="35" hidden="1" customWidth="1"/>
    <col min="29" max="29" width="12.7109375" style="35" hidden="1" customWidth="1"/>
    <col min="30" max="130" width="9.140625" style="35" hidden="1" customWidth="1"/>
    <col min="131" max="255" width="9.140625" style="35" customWidth="1"/>
    <col min="256" max="16384" width="2.5703125" style="35"/>
  </cols>
  <sheetData>
    <row r="1" spans="1:170" ht="15" customHeight="1" x14ac:dyDescent="0.2">
      <c r="B1" s="1339" t="s">
        <v>1733</v>
      </c>
      <c r="C1" s="1339"/>
      <c r="D1" s="1389"/>
      <c r="E1" s="1347" t="str">
        <f>IF('Start here'!A6="","",'Start here'!A6)</f>
        <v/>
      </c>
      <c r="F1" s="1351"/>
      <c r="G1" s="1351"/>
      <c r="H1" s="1351"/>
      <c r="I1" s="1351"/>
      <c r="J1" s="1351"/>
      <c r="K1" s="1352"/>
      <c r="M1" s="1347" t="str">
        <f>IF('Start here'!A7="","",'Start here'!A7)</f>
        <v/>
      </c>
      <c r="N1" s="1351"/>
      <c r="O1" s="1351"/>
      <c r="P1" s="1352"/>
      <c r="R1" s="63"/>
      <c r="S1" s="63"/>
      <c r="T1" s="1289" t="s">
        <v>2330</v>
      </c>
      <c r="U1" s="694" t="str">
        <f>IF('Start here'!A9="","",'Start here'!A9)</f>
        <v/>
      </c>
      <c r="V1" s="1289" t="s">
        <v>2329</v>
      </c>
      <c r="W1" s="694" t="str">
        <f>IF('Start here'!A11="","",'Start here'!A11)</f>
        <v/>
      </c>
      <c r="X1" s="1289" t="s">
        <v>2331</v>
      </c>
      <c r="Y1" s="1289" t="str">
        <f>IF(OR(U1="",W1=""),"",DATEDIF(U1,W1,"y"))</f>
        <v/>
      </c>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ht="12" customHeight="1" x14ac:dyDescent="0.2">
      <c r="B2" s="1395"/>
      <c r="C2" s="1395"/>
      <c r="D2" s="1395"/>
      <c r="E2" s="1395"/>
      <c r="F2" s="1395"/>
      <c r="G2" s="1395"/>
      <c r="H2" s="1395"/>
      <c r="I2" s="1395"/>
      <c r="J2" s="1395"/>
      <c r="K2" s="1395"/>
      <c r="L2" s="1395"/>
      <c r="M2" s="1395"/>
      <c r="N2" s="1395"/>
      <c r="O2" s="1395"/>
      <c r="P2" s="1395"/>
      <c r="X2" s="14"/>
      <c r="Y2" s="214" t="s">
        <v>2173</v>
      </c>
    </row>
    <row r="3" spans="1:170" ht="39" customHeight="1" x14ac:dyDescent="0.3">
      <c r="A3" s="189"/>
      <c r="B3" s="1396" t="str">
        <f>IF(N11="",Y2,IF(N11&lt;R4,Y4,Y3))</f>
        <v>Enter date of injury on "Start here" worksheet: The disability award cannot be determined without the date of injury.</v>
      </c>
      <c r="C3" s="1397"/>
      <c r="D3" s="1397"/>
      <c r="E3" s="1397"/>
      <c r="F3" s="1397"/>
      <c r="G3" s="1398"/>
      <c r="H3" s="1398"/>
      <c r="I3" s="1398"/>
      <c r="J3" s="1398"/>
      <c r="K3" s="1398"/>
      <c r="L3" s="1398"/>
      <c r="M3" s="1398"/>
      <c r="N3" s="1398"/>
      <c r="O3" s="1398"/>
      <c r="P3" s="1399"/>
      <c r="R3" s="683">
        <v>38718</v>
      </c>
      <c r="S3" s="185" t="s">
        <v>1307</v>
      </c>
      <c r="T3" s="58" t="s">
        <v>1305</v>
      </c>
      <c r="U3" s="58" t="s">
        <v>1306</v>
      </c>
      <c r="V3" s="58" t="s">
        <v>1307</v>
      </c>
      <c r="W3" s="14"/>
      <c r="X3" s="14"/>
      <c r="Y3" s="214" t="s">
        <v>1120</v>
      </c>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row>
    <row r="4" spans="1:170" ht="23.1" customHeight="1" x14ac:dyDescent="0.2">
      <c r="B4" s="190" t="s">
        <v>889</v>
      </c>
      <c r="C4" s="1383">
        <f>'Upper Extremity-Right'!I622</f>
        <v>0</v>
      </c>
      <c r="D4" s="1384"/>
      <c r="E4" s="1385"/>
      <c r="F4" s="7"/>
      <c r="G4" s="1400" t="s">
        <v>1267</v>
      </c>
      <c r="H4" s="1401"/>
      <c r="I4" s="1401"/>
      <c r="J4" s="1401"/>
      <c r="K4" s="1401"/>
      <c r="L4" s="1401"/>
      <c r="M4" s="1401"/>
      <c r="N4" s="1401"/>
      <c r="O4" s="1401"/>
      <c r="P4" s="1402"/>
      <c r="R4" s="196">
        <v>38353</v>
      </c>
      <c r="S4" s="684">
        <f>ROUND(C4,2)</f>
        <v>0</v>
      </c>
      <c r="T4" s="186">
        <f>LARGE($S$4:$S$52,1)</f>
        <v>0</v>
      </c>
      <c r="U4" s="685">
        <f>T4+T5*(1-T4)</f>
        <v>0</v>
      </c>
      <c r="V4" s="688">
        <f>ROUND(U4,2)</f>
        <v>0</v>
      </c>
      <c r="W4" s="14"/>
      <c r="X4" s="14"/>
      <c r="Y4" s="214" t="s">
        <v>279</v>
      </c>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row>
    <row r="5" spans="1:170" ht="23.1" customHeight="1" x14ac:dyDescent="0.2">
      <c r="B5" s="190" t="s">
        <v>615</v>
      </c>
      <c r="C5" s="1383">
        <f>'Upper Extremity-Right'!I621</f>
        <v>0</v>
      </c>
      <c r="D5" s="1384"/>
      <c r="E5" s="1385"/>
      <c r="F5" s="7"/>
      <c r="G5" s="294"/>
      <c r="H5" s="1403" t="str">
        <f>IF(N11&lt;R3,Y10,IF(N11&gt;=R3,Y11,""))</f>
        <v>See OAR 436-035-0009.
The worker was released to regular work.
The worker returned to regular work at the job held at the time of injury.
The worker was not released to regular work and has not returned to regular work at the job held at the time of injury.</v>
      </c>
      <c r="I5" s="1404"/>
      <c r="J5" s="1404"/>
      <c r="K5" s="1404"/>
      <c r="L5" s="1404"/>
      <c r="M5" s="1404"/>
      <c r="N5" s="1404"/>
      <c r="O5" s="1404"/>
      <c r="P5" s="1405"/>
      <c r="R5" s="686" t="b">
        <v>0</v>
      </c>
      <c r="S5" s="684">
        <f t="shared" ref="S5:S52" si="0">ROUND(C5,2)</f>
        <v>0</v>
      </c>
      <c r="T5" s="186">
        <f>LARGE($S$4:$S$52,2)</f>
        <v>0</v>
      </c>
      <c r="U5" s="685">
        <f>V4+T6*(1-V4)</f>
        <v>0</v>
      </c>
      <c r="V5" s="688">
        <f>ROUND(U5,2)</f>
        <v>0</v>
      </c>
      <c r="W5" s="14"/>
      <c r="X5" s="14"/>
      <c r="Y5" s="214" t="s">
        <v>364</v>
      </c>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row>
    <row r="6" spans="1:170" ht="23.1" customHeight="1" x14ac:dyDescent="0.2">
      <c r="B6" s="190" t="s">
        <v>1937</v>
      </c>
      <c r="C6" s="1383">
        <f>'Upper Extremity-Right'!I616</f>
        <v>0</v>
      </c>
      <c r="D6" s="1384"/>
      <c r="E6" s="1385"/>
      <c r="F6" s="7"/>
      <c r="G6" s="294"/>
      <c r="H6" s="1404"/>
      <c r="I6" s="1404"/>
      <c r="J6" s="1404"/>
      <c r="K6" s="1404"/>
      <c r="L6" s="1404"/>
      <c r="M6" s="1404"/>
      <c r="N6" s="1404"/>
      <c r="O6" s="1404"/>
      <c r="P6" s="1405"/>
      <c r="R6" s="686" t="b">
        <v>0</v>
      </c>
      <c r="S6" s="684">
        <f t="shared" si="0"/>
        <v>0</v>
      </c>
      <c r="T6" s="186">
        <f>LARGE($S$4:$S$52,3)</f>
        <v>0</v>
      </c>
      <c r="U6" s="685">
        <f t="shared" ref="U6:U39" si="1">V5+T7*(1-V5)</f>
        <v>0</v>
      </c>
      <c r="V6" s="688">
        <f t="shared" ref="V6:V51" si="2">ROUND(U6,2)</f>
        <v>0</v>
      </c>
      <c r="W6" s="14"/>
      <c r="X6" s="14"/>
      <c r="Y6" s="214" t="s">
        <v>1217</v>
      </c>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row>
    <row r="7" spans="1:170" ht="23.1" customHeight="1" x14ac:dyDescent="0.2">
      <c r="B7" s="190" t="s">
        <v>115</v>
      </c>
      <c r="C7" s="1383">
        <f>'Upper Extremity-Right'!I617</f>
        <v>0</v>
      </c>
      <c r="D7" s="1384"/>
      <c r="E7" s="1385"/>
      <c r="F7" s="7"/>
      <c r="G7" s="294"/>
      <c r="H7" s="1404"/>
      <c r="I7" s="1404"/>
      <c r="J7" s="1404"/>
      <c r="K7" s="1404"/>
      <c r="L7" s="1404"/>
      <c r="M7" s="1404"/>
      <c r="N7" s="1404"/>
      <c r="O7" s="1404"/>
      <c r="P7" s="1405"/>
      <c r="R7" s="686" t="b">
        <v>0</v>
      </c>
      <c r="S7" s="684">
        <f t="shared" si="0"/>
        <v>0</v>
      </c>
      <c r="T7" s="186">
        <f>LARGE($S$4:$S$52,4)</f>
        <v>0</v>
      </c>
      <c r="U7" s="685">
        <f t="shared" si="1"/>
        <v>0</v>
      </c>
      <c r="V7" s="688">
        <f t="shared" si="2"/>
        <v>0</v>
      </c>
      <c r="W7" s="14"/>
      <c r="X7" s="14"/>
      <c r="Y7" s="214" t="s">
        <v>1183</v>
      </c>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row>
    <row r="8" spans="1:170" ht="23.1" customHeight="1" x14ac:dyDescent="0.2">
      <c r="B8" s="190" t="s">
        <v>117</v>
      </c>
      <c r="C8" s="1383">
        <f>'Upper Extremity-Right'!I618</f>
        <v>0</v>
      </c>
      <c r="D8" s="1384"/>
      <c r="E8" s="1385"/>
      <c r="F8" s="290"/>
      <c r="G8" s="295"/>
      <c r="H8" s="1406"/>
      <c r="I8" s="1406"/>
      <c r="J8" s="1406"/>
      <c r="K8" s="1406"/>
      <c r="L8" s="1406"/>
      <c r="M8" s="1406"/>
      <c r="N8" s="1406"/>
      <c r="O8" s="1406"/>
      <c r="P8" s="1407"/>
      <c r="R8" s="58">
        <f>IF(R5=TRUE,1,0)</f>
        <v>0</v>
      </c>
      <c r="S8" s="684">
        <f t="shared" si="0"/>
        <v>0</v>
      </c>
      <c r="T8" s="186">
        <f>LARGE($S$4:$S$52,5)</f>
        <v>0</v>
      </c>
      <c r="U8" s="685">
        <f t="shared" si="1"/>
        <v>0</v>
      </c>
      <c r="V8" s="688">
        <f t="shared" si="2"/>
        <v>0</v>
      </c>
      <c r="W8" s="14"/>
      <c r="X8" s="14"/>
      <c r="Y8" s="214" t="s">
        <v>2334</v>
      </c>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row>
    <row r="9" spans="1:170" ht="21" customHeight="1" x14ac:dyDescent="0.2">
      <c r="B9" s="190" t="s">
        <v>119</v>
      </c>
      <c r="C9" s="1383">
        <f>'Upper Extremity-Right'!I619</f>
        <v>0</v>
      </c>
      <c r="D9" s="1384"/>
      <c r="E9" s="1385"/>
      <c r="F9" s="290"/>
      <c r="G9" s="1390" t="str">
        <f>IF(Y16=1,Y17,IF(Y14=1,Y15,IF(R11=1,Y8,Y7)))</f>
        <v>Enter release and return to work information above.</v>
      </c>
      <c r="H9" s="1390"/>
      <c r="I9" s="1390"/>
      <c r="J9" s="1390"/>
      <c r="K9" s="1390"/>
      <c r="L9" s="1390"/>
      <c r="M9" s="1390"/>
      <c r="N9" s="1390"/>
      <c r="O9" s="1390"/>
      <c r="P9" s="1390"/>
      <c r="R9" s="58">
        <f>IF(R6=TRUE,1,0)</f>
        <v>0</v>
      </c>
      <c r="S9" s="684">
        <f t="shared" si="0"/>
        <v>0</v>
      </c>
      <c r="T9" s="186">
        <f>LARGE($S$4:$S$52,6)</f>
        <v>0</v>
      </c>
      <c r="U9" s="685">
        <f t="shared" si="1"/>
        <v>0</v>
      </c>
      <c r="V9" s="688">
        <f t="shared" si="2"/>
        <v>0</v>
      </c>
      <c r="W9" s="14"/>
      <c r="X9" s="14"/>
      <c r="Y9" s="214" t="s">
        <v>1278</v>
      </c>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row>
    <row r="10" spans="1:170" ht="21" customHeight="1" x14ac:dyDescent="0.2">
      <c r="B10" s="1299" t="s">
        <v>1390</v>
      </c>
      <c r="C10" s="1383">
        <f>'Upper Extremity-Right'!I620</f>
        <v>0</v>
      </c>
      <c r="D10" s="1384"/>
      <c r="E10" s="1385"/>
      <c r="F10" s="290"/>
      <c r="G10" s="1390"/>
      <c r="H10" s="1390"/>
      <c r="I10" s="1390"/>
      <c r="J10" s="1390"/>
      <c r="K10" s="1390"/>
      <c r="L10" s="1390"/>
      <c r="M10" s="1390"/>
      <c r="N10" s="1390"/>
      <c r="O10" s="1390"/>
      <c r="P10" s="1391"/>
      <c r="R10" s="58">
        <f>IF(R7=TRUE,1,0)</f>
        <v>0</v>
      </c>
      <c r="S10" s="684">
        <f t="shared" si="0"/>
        <v>0</v>
      </c>
      <c r="T10" s="186">
        <f>LARGE($S$4:$S$52,7)</f>
        <v>0</v>
      </c>
      <c r="U10" s="685">
        <f t="shared" si="1"/>
        <v>0</v>
      </c>
      <c r="V10" s="688">
        <f t="shared" si="2"/>
        <v>0</v>
      </c>
      <c r="W10" s="14"/>
      <c r="X10" s="14"/>
      <c r="Y10" s="692" t="s">
        <v>2174</v>
      </c>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row>
    <row r="11" spans="1:170" ht="21" customHeight="1" x14ac:dyDescent="0.2">
      <c r="B11" s="190" t="s">
        <v>1932</v>
      </c>
      <c r="C11" s="1342">
        <f>'Upper Extremity-Left'!I622</f>
        <v>0</v>
      </c>
      <c r="D11" s="1351"/>
      <c r="E11" s="1352"/>
      <c r="F11" s="179"/>
      <c r="G11" s="1394" t="s">
        <v>363</v>
      </c>
      <c r="H11" s="1394"/>
      <c r="I11" s="1394"/>
      <c r="J11" s="1394"/>
      <c r="K11" s="1394"/>
      <c r="L11" s="1394"/>
      <c r="M11" s="1394"/>
      <c r="N11" s="1392" t="str">
        <f>IF('Start here'!A8="","",'Start here'!A8)</f>
        <v/>
      </c>
      <c r="O11" s="1393"/>
      <c r="P11" s="1408" t="s">
        <v>1279</v>
      </c>
      <c r="R11" s="58">
        <f>MAX(R8:R9)</f>
        <v>0</v>
      </c>
      <c r="S11" s="684">
        <f t="shared" si="0"/>
        <v>0</v>
      </c>
      <c r="T11" s="186">
        <f>LARGE($S$4:$S$52,8)</f>
        <v>0</v>
      </c>
      <c r="U11" s="685">
        <f t="shared" si="1"/>
        <v>0</v>
      </c>
      <c r="V11" s="688">
        <f t="shared" si="2"/>
        <v>0</v>
      </c>
      <c r="W11" s="14"/>
      <c r="X11" s="14"/>
      <c r="Y11" s="692" t="s">
        <v>2267</v>
      </c>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row>
    <row r="12" spans="1:170" ht="21" customHeight="1" x14ac:dyDescent="0.2">
      <c r="B12" s="190" t="s">
        <v>1536</v>
      </c>
      <c r="C12" s="1342">
        <f>'Upper Extremity-Left'!I621</f>
        <v>0</v>
      </c>
      <c r="D12" s="1351"/>
      <c r="E12" s="1352"/>
      <c r="F12" s="179"/>
      <c r="G12" s="1379" t="s">
        <v>1319</v>
      </c>
      <c r="H12" s="1379"/>
      <c r="I12" s="1379"/>
      <c r="J12" s="1379"/>
      <c r="K12" s="1379"/>
      <c r="L12" s="1379"/>
      <c r="M12" s="1379"/>
      <c r="N12" s="1377" t="str">
        <f>IF('Start here'!A9="","",'Start here'!A9)</f>
        <v/>
      </c>
      <c r="O12" s="1378"/>
      <c r="P12" s="1409"/>
      <c r="R12" s="3"/>
      <c r="S12" s="684">
        <f t="shared" si="0"/>
        <v>0</v>
      </c>
      <c r="T12" s="186">
        <f>LARGE($S$4:$S$52,9)</f>
        <v>0</v>
      </c>
      <c r="U12" s="685">
        <f t="shared" si="1"/>
        <v>0</v>
      </c>
      <c r="V12" s="688">
        <f t="shared" si="2"/>
        <v>0</v>
      </c>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row>
    <row r="13" spans="1:170" ht="21" customHeight="1" x14ac:dyDescent="0.2">
      <c r="B13" s="190" t="s">
        <v>942</v>
      </c>
      <c r="C13" s="1342">
        <f>'Upper Extremity-Left'!I616</f>
        <v>0</v>
      </c>
      <c r="D13" s="1351"/>
      <c r="E13" s="1352"/>
      <c r="F13" s="179"/>
      <c r="G13" s="1410" t="s">
        <v>1320</v>
      </c>
      <c r="H13" s="1410"/>
      <c r="I13" s="1410"/>
      <c r="J13" s="1410"/>
      <c r="K13" s="1410"/>
      <c r="L13" s="1410"/>
      <c r="M13" s="1410"/>
      <c r="N13" s="1377" t="str">
        <f>IF('Start here'!A11="","",'Start here'!A11)</f>
        <v/>
      </c>
      <c r="O13" s="1378"/>
      <c r="P13" s="1394"/>
      <c r="R13" s="3"/>
      <c r="S13" s="684">
        <f t="shared" si="0"/>
        <v>0</v>
      </c>
      <c r="T13" s="186">
        <f>LARGE($S$4:$S$52,10)</f>
        <v>0</v>
      </c>
      <c r="U13" s="685">
        <f t="shared" si="1"/>
        <v>0</v>
      </c>
      <c r="V13" s="688">
        <f t="shared" si="2"/>
        <v>0</v>
      </c>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row>
    <row r="14" spans="1:170" ht="23.25" customHeight="1" x14ac:dyDescent="0.2">
      <c r="B14" s="190" t="s">
        <v>1416</v>
      </c>
      <c r="C14" s="1342">
        <f>'Upper Extremity-Left'!I617</f>
        <v>0</v>
      </c>
      <c r="D14" s="1351"/>
      <c r="E14" s="1352"/>
      <c r="F14" s="179"/>
      <c r="G14" s="1410" t="str">
        <f>IF(Y16=1,Y18,IF(R11=1,"Not applicable","Age 40 or above, add value of 1."))</f>
        <v>No release/return to work data</v>
      </c>
      <c r="H14" s="1410"/>
      <c r="I14" s="1410"/>
      <c r="J14" s="1410"/>
      <c r="K14" s="1410"/>
      <c r="L14" s="1410"/>
      <c r="M14" s="1410"/>
      <c r="N14" s="1380" t="str">
        <f>IF(R11=1,"",IF(AND('Start here'!A9="",'Start here'!A10=""),"Enter DOB or age.",IF(AND('Start here'!A10="",'Start here'!A11=""),"Enter date of issuance.",IF('Start here'!A9&lt;&gt;"",Y1,'Start here'!A10))))</f>
        <v>Enter DOB or age.</v>
      </c>
      <c r="O14" s="1380"/>
      <c r="P14" s="283" t="str">
        <f>IF(OR(C53=0,R11=1),"",IF(OR(N14="Enter DOB or age.",N14="Enter age or date of issuance."),"",IF(N14&gt;=40,1,0)))</f>
        <v/>
      </c>
      <c r="R14" s="3"/>
      <c r="S14" s="684">
        <f t="shared" si="0"/>
        <v>0</v>
      </c>
      <c r="T14" s="186">
        <f>LARGE($S$4:$S$52,11)</f>
        <v>0</v>
      </c>
      <c r="U14" s="685">
        <f t="shared" si="1"/>
        <v>0</v>
      </c>
      <c r="V14" s="688">
        <f t="shared" si="2"/>
        <v>0</v>
      </c>
      <c r="W14" s="14"/>
      <c r="X14" s="14"/>
      <c r="Y14" s="58">
        <f>IF(AND(R7=TRUE,OR(R6=TRUE,R5=TRUE)),1,0)</f>
        <v>0</v>
      </c>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row>
    <row r="15" spans="1:170" ht="21" customHeight="1" x14ac:dyDescent="0.2">
      <c r="B15" s="190" t="s">
        <v>584</v>
      </c>
      <c r="C15" s="1342">
        <f>'Upper Extremity-Left'!I618</f>
        <v>0</v>
      </c>
      <c r="D15" s="1351"/>
      <c r="E15" s="1352"/>
      <c r="F15" s="179"/>
      <c r="G15" s="1362" t="str">
        <f>IF(C53=0,"No PPD entered",IF(Y16=1,Y18,IF(R11=1,"Not applicable","Formal education (&lt;12, add 1)")))</f>
        <v>No PPD entered</v>
      </c>
      <c r="H15" s="1363"/>
      <c r="I15" s="1363"/>
      <c r="J15" s="1363"/>
      <c r="K15" s="1363"/>
      <c r="L15" s="1363"/>
      <c r="M15" s="1364"/>
      <c r="N15" s="1340"/>
      <c r="O15" s="1341"/>
      <c r="P15" s="188" t="str">
        <f>IF(OR(C53=0,R11=1),"",IF(N15=B56,0,IF(N15=C56,1,0)))</f>
        <v/>
      </c>
      <c r="S15" s="684">
        <f t="shared" si="0"/>
        <v>0</v>
      </c>
      <c r="T15" s="186">
        <f>LARGE($S$4:$S$52,12)</f>
        <v>0</v>
      </c>
      <c r="U15" s="685">
        <f t="shared" si="1"/>
        <v>0</v>
      </c>
      <c r="V15" s="688">
        <f t="shared" si="2"/>
        <v>0</v>
      </c>
      <c r="W15" s="14"/>
      <c r="X15" s="14"/>
      <c r="Y15" s="14" t="s">
        <v>2156</v>
      </c>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row>
    <row r="16" spans="1:170" ht="21" customHeight="1" x14ac:dyDescent="0.2">
      <c r="B16" s="190" t="s">
        <v>1454</v>
      </c>
      <c r="C16" s="1342">
        <f>'Upper Extremity-Left'!I619</f>
        <v>0</v>
      </c>
      <c r="D16" s="1351"/>
      <c r="E16" s="1352"/>
      <c r="F16" s="179"/>
      <c r="G16" s="1348" t="str">
        <f>IF(C53=0,"No PPD entered",IF(Y16=1,Y18,IF(R11=1,"Not applicable","Specific vocational preparation")))</f>
        <v>No PPD entered</v>
      </c>
      <c r="H16" s="1349"/>
      <c r="I16" s="1349"/>
      <c r="J16" s="1349"/>
      <c r="K16" s="1349"/>
      <c r="L16" s="1349"/>
      <c r="M16" s="1350"/>
      <c r="N16" s="1345"/>
      <c r="O16" s="1440"/>
      <c r="P16" s="188" t="str">
        <f>IF(OR(C53=0,N16="",R11=1),"",SUMIF(A57:J57,N16,A58:J58))</f>
        <v/>
      </c>
      <c r="R16" s="3"/>
      <c r="S16" s="684">
        <f t="shared" si="0"/>
        <v>0</v>
      </c>
      <c r="T16" s="186">
        <f>LARGE($S$4:$S$52,13)</f>
        <v>0</v>
      </c>
      <c r="U16" s="685">
        <f t="shared" si="1"/>
        <v>0</v>
      </c>
      <c r="V16" s="688">
        <f t="shared" si="2"/>
        <v>0</v>
      </c>
      <c r="W16" s="14"/>
      <c r="X16" s="14"/>
      <c r="Y16" s="35">
        <f>IF(AND(R5=FALSE,R6=FALSE,R7=FALSE),1,0)</f>
        <v>1</v>
      </c>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row>
    <row r="17" spans="2:106" ht="21" customHeight="1" x14ac:dyDescent="0.2">
      <c r="B17" s="190" t="s">
        <v>1667</v>
      </c>
      <c r="C17" s="1342">
        <f>'Upper Extremity-Left'!I620</f>
        <v>0</v>
      </c>
      <c r="D17" s="1351"/>
      <c r="E17" s="1352"/>
      <c r="F17" s="179"/>
      <c r="G17" s="1367" t="str">
        <f>IF(Y16=1,Y18,IF(R11=1,"Not applicable",Y9))</f>
        <v>No release/return to work data</v>
      </c>
      <c r="H17" s="1368"/>
      <c r="I17" s="1368"/>
      <c r="J17" s="1368"/>
      <c r="K17" s="1368"/>
      <c r="L17" s="1368"/>
      <c r="M17" s="1368"/>
      <c r="N17" s="1368"/>
      <c r="O17" s="1368"/>
      <c r="P17" s="1369"/>
      <c r="R17" s="3"/>
      <c r="S17" s="684">
        <f t="shared" si="0"/>
        <v>0</v>
      </c>
      <c r="T17" s="186">
        <f>LARGE($S$4:$S$52,14)</f>
        <v>0</v>
      </c>
      <c r="U17" s="685">
        <f t="shared" si="1"/>
        <v>0</v>
      </c>
      <c r="V17" s="688">
        <f t="shared" si="2"/>
        <v>0</v>
      </c>
      <c r="W17" s="14"/>
      <c r="X17" s="14"/>
      <c r="Y17" s="14" t="s">
        <v>2157</v>
      </c>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row>
    <row r="18" spans="2:106" ht="21" customHeight="1" x14ac:dyDescent="0.2">
      <c r="B18" s="190" t="s">
        <v>1364</v>
      </c>
      <c r="C18" s="1353">
        <f>'Lower Extremity-Right'!J485</f>
        <v>0</v>
      </c>
      <c r="D18" s="1354"/>
      <c r="E18" s="1355"/>
      <c r="F18" s="179"/>
      <c r="G18" s="1437"/>
      <c r="H18" s="1438"/>
      <c r="I18" s="1438"/>
      <c r="J18" s="1438"/>
      <c r="K18" s="1438"/>
      <c r="L18" s="1438"/>
      <c r="M18" s="1438"/>
      <c r="N18" s="1438"/>
      <c r="O18" s="1438"/>
      <c r="P18" s="1439"/>
      <c r="R18" s="3"/>
      <c r="S18" s="684">
        <f t="shared" si="0"/>
        <v>0</v>
      </c>
      <c r="T18" s="186">
        <f>LARGE($S$4:$S$52,15)</f>
        <v>0</v>
      </c>
      <c r="U18" s="685">
        <f t="shared" si="1"/>
        <v>0</v>
      </c>
      <c r="V18" s="688">
        <f t="shared" si="2"/>
        <v>0</v>
      </c>
      <c r="W18" s="14"/>
      <c r="X18" s="14"/>
      <c r="Y18" s="35" t="s">
        <v>2158</v>
      </c>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row>
    <row r="19" spans="2:106" ht="21" customHeight="1" x14ac:dyDescent="0.2">
      <c r="B19" s="190" t="s">
        <v>1345</v>
      </c>
      <c r="C19" s="1353">
        <f>'Lower Extremity-Right'!J484</f>
        <v>0</v>
      </c>
      <c r="D19" s="1354"/>
      <c r="E19" s="1355"/>
      <c r="F19" s="1"/>
      <c r="G19" s="1370"/>
      <c r="H19" s="1371"/>
      <c r="I19" s="1371"/>
      <c r="J19" s="1371"/>
      <c r="K19" s="1371"/>
      <c r="L19" s="1371"/>
      <c r="M19" s="1371"/>
      <c r="N19" s="1371"/>
      <c r="O19" s="1371"/>
      <c r="P19" s="1439"/>
      <c r="R19" s="3"/>
      <c r="S19" s="684">
        <f t="shared" si="0"/>
        <v>0</v>
      </c>
      <c r="T19" s="186">
        <f>LARGE($S$4:$S$52,16)</f>
        <v>0</v>
      </c>
      <c r="U19" s="685">
        <f t="shared" si="1"/>
        <v>0</v>
      </c>
      <c r="V19" s="688">
        <f t="shared" si="2"/>
        <v>0</v>
      </c>
      <c r="W19" s="14"/>
      <c r="X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row>
    <row r="20" spans="2:106" ht="21" customHeight="1" x14ac:dyDescent="0.2">
      <c r="B20" s="190" t="s">
        <v>1359</v>
      </c>
      <c r="C20" s="1353">
        <f>'Lower Extremity-Right'!J479</f>
        <v>0</v>
      </c>
      <c r="D20" s="1354"/>
      <c r="E20" s="1355"/>
      <c r="F20" s="7" t="s">
        <v>209</v>
      </c>
      <c r="G20" s="1348" t="str">
        <f>IF(C53=0,"No PPD entered",IF(Y16=1,Y18,IF(R11=1,"Not applicable","Rule 0012(13) chart adaptability")))</f>
        <v>No PPD entered</v>
      </c>
      <c r="H20" s="1349"/>
      <c r="I20" s="1349"/>
      <c r="J20" s="1349"/>
      <c r="K20" s="1349"/>
      <c r="L20" s="1349"/>
      <c r="M20" s="1350"/>
      <c r="N20" s="1346" t="str">
        <f>IF(OR(C53=0,R11=1),"",SUMIF(B66:CW66,C53,B67:CW67))</f>
        <v/>
      </c>
      <c r="O20" s="1347"/>
      <c r="P20" s="1425" t="s">
        <v>1279</v>
      </c>
      <c r="R20" s="108"/>
      <c r="S20" s="684">
        <f t="shared" si="0"/>
        <v>0</v>
      </c>
      <c r="T20" s="186">
        <f>LARGE($S$4:$S$52,17)</f>
        <v>0</v>
      </c>
      <c r="U20" s="685">
        <f t="shared" si="1"/>
        <v>0</v>
      </c>
      <c r="V20" s="688">
        <f t="shared" si="2"/>
        <v>0</v>
      </c>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row>
    <row r="21" spans="2:106" ht="21" customHeight="1" x14ac:dyDescent="0.2">
      <c r="B21" s="190" t="s">
        <v>240</v>
      </c>
      <c r="C21" s="1353">
        <f>'Lower Extremity-Right'!J480</f>
        <v>0</v>
      </c>
      <c r="D21" s="1354"/>
      <c r="E21" s="1355"/>
      <c r="G21" s="1348" t="str">
        <f>IF(C53=0,"No PPD entered",IF(Y16=1,Y18,IF(R11=1,"Not applicable","Base functional capacity")))</f>
        <v>No PPD entered</v>
      </c>
      <c r="H21" s="1349"/>
      <c r="I21" s="1349"/>
      <c r="J21" s="1349"/>
      <c r="K21" s="1349"/>
      <c r="L21" s="1349"/>
      <c r="M21" s="1350"/>
      <c r="N21" s="1308"/>
      <c r="O21" s="1345"/>
      <c r="P21" s="1426"/>
      <c r="R21" s="58" t="str">
        <f>IF(OR(N21="",N22=""),"No BFC/RFC",CONCATENATE(N21,N22))</f>
        <v>No BFC/RFC</v>
      </c>
      <c r="S21" s="684">
        <f t="shared" si="0"/>
        <v>0</v>
      </c>
      <c r="T21" s="186">
        <f>LARGE($S$4:$S$52,18)</f>
        <v>0</v>
      </c>
      <c r="U21" s="685">
        <f t="shared" si="1"/>
        <v>0</v>
      </c>
      <c r="V21" s="688">
        <f t="shared" si="2"/>
        <v>0</v>
      </c>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row>
    <row r="22" spans="2:106" ht="21" customHeight="1" x14ac:dyDescent="0.2">
      <c r="B22" s="190" t="s">
        <v>241</v>
      </c>
      <c r="C22" s="1353">
        <f>'Lower Extremity-Right'!J481</f>
        <v>0</v>
      </c>
      <c r="D22" s="1354"/>
      <c r="E22" s="1355"/>
      <c r="F22" s="200"/>
      <c r="G22" s="1348" t="str">
        <f>IF(C53=0,"No PPD entered",IF(Y16=1,Y18,IF(R11=1,"Not applicable","Residual functional capacity")))</f>
        <v>No PPD entered</v>
      </c>
      <c r="H22" s="1349"/>
      <c r="I22" s="1349"/>
      <c r="J22" s="1349"/>
      <c r="K22" s="1349"/>
      <c r="L22" s="1349"/>
      <c r="M22" s="1350"/>
      <c r="N22" s="1308"/>
      <c r="O22" s="1345"/>
      <c r="P22" s="1426"/>
      <c r="R22" s="3"/>
      <c r="S22" s="684">
        <f t="shared" si="0"/>
        <v>0</v>
      </c>
      <c r="T22" s="186">
        <f>LARGE($S$4:$S$52,19)</f>
        <v>0</v>
      </c>
      <c r="U22" s="685">
        <f t="shared" si="1"/>
        <v>0</v>
      </c>
      <c r="V22" s="688">
        <f t="shared" si="2"/>
        <v>0</v>
      </c>
      <c r="W22" s="14"/>
      <c r="X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row>
    <row r="23" spans="2:106" ht="21" customHeight="1" x14ac:dyDescent="0.2">
      <c r="B23" s="190" t="s">
        <v>242</v>
      </c>
      <c r="C23" s="1353">
        <f>'Lower Extremity-Right'!J482</f>
        <v>0</v>
      </c>
      <c r="D23" s="1354"/>
      <c r="E23" s="1355"/>
      <c r="F23" s="199" t="s">
        <v>210</v>
      </c>
      <c r="G23" s="1348" t="str">
        <f>IF(Y16=1,Y18,IF(R11=1,"Not applicable","Rule 0012(11) chart adaptability"))</f>
        <v>No release/return to work data</v>
      </c>
      <c r="H23" s="1349"/>
      <c r="I23" s="1349"/>
      <c r="J23" s="1349"/>
      <c r="K23" s="1349"/>
      <c r="L23" s="1349"/>
      <c r="M23" s="1350"/>
      <c r="N23" s="1346" t="str">
        <f>IF(OR(C53=0,R11=1),"",SUMIF(B62:AT62,R21,B63:AT63))</f>
        <v/>
      </c>
      <c r="O23" s="1347"/>
      <c r="P23" s="1427"/>
      <c r="R23" s="3"/>
      <c r="S23" s="684">
        <f t="shared" si="0"/>
        <v>0</v>
      </c>
      <c r="T23" s="186">
        <f>LARGE($S$4:$S$52,20)</f>
        <v>0</v>
      </c>
      <c r="U23" s="685">
        <f t="shared" si="1"/>
        <v>0</v>
      </c>
      <c r="V23" s="688">
        <f t="shared" si="2"/>
        <v>0</v>
      </c>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row>
    <row r="24" spans="2:106" ht="21" customHeight="1" x14ac:dyDescent="0.2">
      <c r="B24" s="190" t="s">
        <v>243</v>
      </c>
      <c r="C24" s="1353">
        <f>'Lower Extremity-Right'!J483</f>
        <v>0</v>
      </c>
      <c r="D24" s="1354"/>
      <c r="E24" s="1355"/>
      <c r="F24" s="1"/>
      <c r="G24" s="1362" t="str">
        <f>IF(Y16=1,Y18,IF(R11=1,"Not applicable","Adaptability value = greater of A1, A2"))</f>
        <v>No release/return to work data</v>
      </c>
      <c r="H24" s="1363"/>
      <c r="I24" s="1363"/>
      <c r="J24" s="1363"/>
      <c r="K24" s="1363"/>
      <c r="L24" s="1363"/>
      <c r="M24" s="1363"/>
      <c r="N24" s="1363"/>
      <c r="O24" s="1364"/>
      <c r="P24" s="283" t="str">
        <f>IF(OR(C53=0,R11=1),"",MAX(N20,N23))</f>
        <v/>
      </c>
      <c r="R24" s="3"/>
      <c r="S24" s="684">
        <f t="shared" si="0"/>
        <v>0</v>
      </c>
      <c r="T24" s="186">
        <f>LARGE($S$4:$S$52,21)</f>
        <v>0</v>
      </c>
      <c r="U24" s="685">
        <f t="shared" si="1"/>
        <v>0</v>
      </c>
      <c r="V24" s="688">
        <f t="shared" si="2"/>
        <v>0</v>
      </c>
      <c r="W24" s="14"/>
      <c r="X24" s="14"/>
      <c r="Y24" s="3"/>
      <c r="Z24" s="29"/>
      <c r="AA24" s="3"/>
      <c r="AB24" s="12"/>
      <c r="AC24" s="3"/>
      <c r="AD24" s="114"/>
      <c r="AE24" s="3"/>
      <c r="AF24" s="1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row>
    <row r="25" spans="2:106" ht="21" customHeight="1" x14ac:dyDescent="0.2">
      <c r="B25" s="190" t="s">
        <v>1244</v>
      </c>
      <c r="C25" s="1353">
        <f>'Lower Extremity-Left'!J485</f>
        <v>0</v>
      </c>
      <c r="D25" s="1354"/>
      <c r="E25" s="1355"/>
      <c r="F25" s="1"/>
      <c r="G25" s="1362" t="str">
        <f>IF(Y16=1,Y18,IF(R11=1,"Not applicable","Multiplied times the age &amp; education total"))</f>
        <v>No release/return to work data</v>
      </c>
      <c r="H25" s="1363"/>
      <c r="I25" s="1363"/>
      <c r="J25" s="1363"/>
      <c r="K25" s="1363"/>
      <c r="L25" s="1363"/>
      <c r="M25" s="1363"/>
      <c r="N25" s="1363"/>
      <c r="O25" s="1364"/>
      <c r="P25" s="188" t="str">
        <f>IF(OR(C53=0,R11=1),"",SUM(P14:P16))</f>
        <v/>
      </c>
      <c r="R25" s="3"/>
      <c r="S25" s="684">
        <f t="shared" si="0"/>
        <v>0</v>
      </c>
      <c r="T25" s="186">
        <f>LARGE($S$4:$S$52,22)</f>
        <v>0</v>
      </c>
      <c r="U25" s="685">
        <f t="shared" si="1"/>
        <v>0</v>
      </c>
      <c r="V25" s="688">
        <f t="shared" si="2"/>
        <v>0</v>
      </c>
      <c r="W25" s="14"/>
      <c r="X25" s="14"/>
      <c r="Y25" s="3"/>
      <c r="Z25" s="29"/>
      <c r="AA25" s="3"/>
      <c r="AB25" s="12"/>
      <c r="AC25" s="3"/>
      <c r="AD25" s="114"/>
      <c r="AE25" s="3"/>
      <c r="AF25" s="1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row>
    <row r="26" spans="2:106" ht="21" customHeight="1" x14ac:dyDescent="0.2">
      <c r="B26" s="190" t="s">
        <v>476</v>
      </c>
      <c r="C26" s="1353">
        <f>'Lower Extremity-Left'!J484</f>
        <v>0</v>
      </c>
      <c r="D26" s="1354"/>
      <c r="E26" s="1355"/>
      <c r="F26" s="1"/>
      <c r="G26" s="1362" t="str">
        <f>IF(Y16=1,Y18,IF(R11=1,"Not applicable","Equals total social-vocational factor"))</f>
        <v>No release/return to work data</v>
      </c>
      <c r="H26" s="1363"/>
      <c r="I26" s="1363"/>
      <c r="J26" s="1363"/>
      <c r="K26" s="1363"/>
      <c r="L26" s="1363"/>
      <c r="M26" s="1363"/>
      <c r="N26" s="1363"/>
      <c r="O26" s="1364"/>
      <c r="P26" s="188" t="str">
        <f>IF(OR(C53=0,R11=1),"",P24*P25)</f>
        <v/>
      </c>
      <c r="R26" s="18"/>
      <c r="S26" s="684">
        <f t="shared" si="0"/>
        <v>0</v>
      </c>
      <c r="T26" s="186">
        <f>LARGE($S$4:$S$52,23)</f>
        <v>0</v>
      </c>
      <c r="U26" s="685">
        <f t="shared" si="1"/>
        <v>0</v>
      </c>
      <c r="V26" s="688">
        <f t="shared" si="2"/>
        <v>0</v>
      </c>
      <c r="W26" s="14"/>
      <c r="X26" s="14"/>
      <c r="Y26" s="3"/>
      <c r="Z26" s="29"/>
      <c r="AA26" s="3"/>
      <c r="AB26" s="12"/>
      <c r="AC26" s="3"/>
      <c r="AD26" s="114"/>
      <c r="AE26" s="3"/>
      <c r="AF26" s="1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row>
    <row r="27" spans="2:106" ht="21" customHeight="1" x14ac:dyDescent="0.2">
      <c r="B27" s="190" t="s">
        <v>1365</v>
      </c>
      <c r="C27" s="1353">
        <f>'Lower Extremity-Left'!J479</f>
        <v>0</v>
      </c>
      <c r="D27" s="1354"/>
      <c r="E27" s="1355"/>
      <c r="F27" s="1"/>
      <c r="G27" s="1428" t="str">
        <f>IF(OR(C53=0,R11=1),"",IF(N11="",Y5,IF(N13="","Enter date of issuance.",IF(AND(R11=0,OR(N15="",N16="",N21="",N22="")),"Missing social-vocational data",IF(N13&lt;N11,Y6,"")))))</f>
        <v/>
      </c>
      <c r="H27" s="1429"/>
      <c r="I27" s="1429"/>
      <c r="J27" s="1429"/>
      <c r="K27" s="1429"/>
      <c r="L27" s="1429"/>
      <c r="M27" s="1429"/>
      <c r="N27" s="1429"/>
      <c r="O27" s="1429"/>
      <c r="P27" s="1430"/>
      <c r="R27" s="18"/>
      <c r="S27" s="684">
        <f t="shared" si="0"/>
        <v>0</v>
      </c>
      <c r="T27" s="186">
        <f>LARGE($S$4:$S$52,24)</f>
        <v>0</v>
      </c>
      <c r="U27" s="685">
        <f t="shared" si="1"/>
        <v>0</v>
      </c>
      <c r="V27" s="688">
        <f t="shared" si="2"/>
        <v>0</v>
      </c>
      <c r="W27" s="14"/>
      <c r="X27" s="14"/>
      <c r="Y27" s="3"/>
      <c r="Z27" s="29"/>
      <c r="AA27" s="3"/>
      <c r="AB27" s="12"/>
      <c r="AC27" s="3"/>
      <c r="AD27" s="114"/>
      <c r="AE27" s="3"/>
      <c r="AF27" s="1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row>
    <row r="28" spans="2:106" ht="21" customHeight="1" x14ac:dyDescent="0.2">
      <c r="B28" s="190" t="s">
        <v>1062</v>
      </c>
      <c r="C28" s="1353">
        <f>'Lower Extremity-Left'!J480</f>
        <v>0</v>
      </c>
      <c r="D28" s="1354"/>
      <c r="E28" s="1355"/>
      <c r="F28" s="1"/>
      <c r="G28" s="1431"/>
      <c r="H28" s="1432"/>
      <c r="I28" s="1432"/>
      <c r="J28" s="1432"/>
      <c r="K28" s="1432"/>
      <c r="L28" s="1432"/>
      <c r="M28" s="1432"/>
      <c r="N28" s="1432"/>
      <c r="O28" s="1432"/>
      <c r="P28" s="1433"/>
      <c r="R28" s="3"/>
      <c r="S28" s="684">
        <f t="shared" si="0"/>
        <v>0</v>
      </c>
      <c r="T28" s="186">
        <f>LARGE($S$4:$S$52,25)</f>
        <v>0</v>
      </c>
      <c r="U28" s="685">
        <f t="shared" si="1"/>
        <v>0</v>
      </c>
      <c r="V28" s="688">
        <f t="shared" si="2"/>
        <v>0</v>
      </c>
      <c r="W28" s="14"/>
      <c r="X28" s="14"/>
      <c r="Y28" s="3"/>
      <c r="Z28" s="29"/>
      <c r="AA28" s="3"/>
      <c r="AB28" s="12"/>
      <c r="AC28" s="3"/>
      <c r="AD28" s="114"/>
      <c r="AE28" s="3"/>
      <c r="AF28" s="1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row>
    <row r="29" spans="2:106" ht="21" customHeight="1" x14ac:dyDescent="0.2">
      <c r="B29" s="190" t="s">
        <v>1367</v>
      </c>
      <c r="C29" s="1353">
        <f>'Lower Extremity-Left'!J481</f>
        <v>0</v>
      </c>
      <c r="D29" s="1354"/>
      <c r="E29" s="1355"/>
      <c r="F29" s="1"/>
      <c r="G29" s="1431"/>
      <c r="H29" s="1432"/>
      <c r="I29" s="1432"/>
      <c r="J29" s="1432"/>
      <c r="K29" s="1432"/>
      <c r="L29" s="1432"/>
      <c r="M29" s="1432"/>
      <c r="N29" s="1432"/>
      <c r="O29" s="1432"/>
      <c r="P29" s="1433"/>
      <c r="R29" s="18"/>
      <c r="S29" s="684">
        <f t="shared" si="0"/>
        <v>0</v>
      </c>
      <c r="T29" s="186">
        <f>LARGE($S$4:$S$52,26)</f>
        <v>0</v>
      </c>
      <c r="U29" s="685">
        <f t="shared" si="1"/>
        <v>0</v>
      </c>
      <c r="V29" s="688">
        <f t="shared" si="2"/>
        <v>0</v>
      </c>
      <c r="W29" s="14"/>
      <c r="X29" s="14"/>
      <c r="Y29" s="3"/>
      <c r="Z29" s="29"/>
      <c r="AA29" s="3"/>
      <c r="AB29" s="12"/>
      <c r="AC29" s="3"/>
      <c r="AD29" s="114"/>
      <c r="AE29" s="3"/>
      <c r="AF29" s="1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row>
    <row r="30" spans="2:106" ht="21" customHeight="1" x14ac:dyDescent="0.2">
      <c r="B30" s="190" t="s">
        <v>1368</v>
      </c>
      <c r="C30" s="1353">
        <f>'Lower Extremity-Left'!J482</f>
        <v>0</v>
      </c>
      <c r="D30" s="1354"/>
      <c r="E30" s="1355"/>
      <c r="F30" s="1"/>
      <c r="G30" s="1434"/>
      <c r="H30" s="1435"/>
      <c r="I30" s="1435"/>
      <c r="J30" s="1435"/>
      <c r="K30" s="1435"/>
      <c r="L30" s="1435"/>
      <c r="M30" s="1435"/>
      <c r="N30" s="1435"/>
      <c r="O30" s="1435"/>
      <c r="P30" s="1436"/>
      <c r="R30" s="18"/>
      <c r="S30" s="684">
        <f t="shared" si="0"/>
        <v>0</v>
      </c>
      <c r="T30" s="186">
        <f>LARGE($S$4:$S$52,27)</f>
        <v>0</v>
      </c>
      <c r="U30" s="685">
        <f t="shared" si="1"/>
        <v>0</v>
      </c>
      <c r="V30" s="688">
        <f t="shared" si="2"/>
        <v>0</v>
      </c>
      <c r="W30" s="14"/>
      <c r="X30" s="14"/>
      <c r="Y30" s="3"/>
      <c r="Z30" s="29"/>
      <c r="AA30" s="3"/>
      <c r="AB30" s="12"/>
      <c r="AC30" s="3"/>
      <c r="AD30" s="114"/>
      <c r="AE30" s="3"/>
      <c r="AF30" s="1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row>
    <row r="31" spans="2:106" ht="21" customHeight="1" x14ac:dyDescent="0.2">
      <c r="B31" s="190" t="s">
        <v>1369</v>
      </c>
      <c r="C31" s="1353">
        <f>'Lower Extremity-Left'!J483</f>
        <v>0</v>
      </c>
      <c r="D31" s="1354"/>
      <c r="E31" s="1355"/>
      <c r="F31" s="199" t="s">
        <v>208</v>
      </c>
      <c r="G31" s="1362" t="str">
        <f>IF(Y16=1,Y18,IF(R11=1,"Not applicable","Permanent impairment + social-vocational factor"))</f>
        <v>No release/return to work data</v>
      </c>
      <c r="H31" s="1363"/>
      <c r="I31" s="1363"/>
      <c r="J31" s="1363"/>
      <c r="K31" s="1363"/>
      <c r="L31" s="1363"/>
      <c r="M31" s="1363"/>
      <c r="N31" s="1363"/>
      <c r="O31" s="1364"/>
      <c r="P31" s="289" t="str">
        <f>IF(OR(C53=0,R11=1),"",C53+P26/100)</f>
        <v/>
      </c>
      <c r="R31" s="58">
        <f>Hearing!S35</f>
        <v>0</v>
      </c>
      <c r="S31" s="684">
        <f t="shared" si="0"/>
        <v>0</v>
      </c>
      <c r="T31" s="186">
        <f>LARGE($S$4:$S$52,28)</f>
        <v>0</v>
      </c>
      <c r="U31" s="685">
        <f t="shared" si="1"/>
        <v>0</v>
      </c>
      <c r="V31" s="688">
        <f t="shared" si="2"/>
        <v>0</v>
      </c>
      <c r="W31" s="14"/>
      <c r="X31" s="14"/>
      <c r="Y31" s="3"/>
      <c r="Z31" s="29"/>
      <c r="AA31" s="3"/>
      <c r="AB31" s="12"/>
      <c r="AC31" s="3"/>
      <c r="AD31" s="114"/>
      <c r="AE31" s="3"/>
      <c r="AF31" s="1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row>
    <row r="32" spans="2:106" ht="27" customHeight="1" x14ac:dyDescent="0.2">
      <c r="B32" s="190" t="str">
        <f>IF(R31=0,"Hearing",IF(AND(R31=1,R32="Right"),"Hearing (right)",IF(AND(R31=1,R32="Left"),"Hearing (left)",IF(R31=2,"Hearing - monaural combined (L&amp;R)","Hearing - binaural"))))</f>
        <v>Hearing</v>
      </c>
      <c r="C32" s="1421">
        <f>Hearing!S34</f>
        <v>0</v>
      </c>
      <c r="D32" s="1351"/>
      <c r="E32" s="1352"/>
      <c r="F32" s="7" t="s">
        <v>12</v>
      </c>
      <c r="G32" s="1362" t="str">
        <f>IF(Y16=1,Y18,IF(R11=1,"Not applicable","Work disability factor"))</f>
        <v>No release/return to work data</v>
      </c>
      <c r="H32" s="1363"/>
      <c r="I32" s="1363"/>
      <c r="J32" s="1363"/>
      <c r="K32" s="1363"/>
      <c r="L32" s="1363"/>
      <c r="M32" s="1364"/>
      <c r="N32" s="1347">
        <f>IF(R11=1,"",150)</f>
        <v>150</v>
      </c>
      <c r="O32" s="1351"/>
      <c r="P32" s="287"/>
      <c r="R32" s="58">
        <f>Hearing!R35</f>
        <v>0</v>
      </c>
      <c r="S32" s="684">
        <f t="shared" si="0"/>
        <v>0</v>
      </c>
      <c r="T32" s="186">
        <f>LARGE($S$4:$S$52,29)</f>
        <v>0</v>
      </c>
      <c r="U32" s="685">
        <f t="shared" si="1"/>
        <v>0</v>
      </c>
      <c r="V32" s="688">
        <f t="shared" si="2"/>
        <v>0</v>
      </c>
      <c r="W32" s="14"/>
      <c r="X32" s="14"/>
      <c r="Y32" s="3"/>
      <c r="Z32" s="29"/>
      <c r="AA32" s="3"/>
      <c r="AB32" s="12"/>
      <c r="AC32" s="3"/>
      <c r="AD32" s="114"/>
      <c r="AE32" s="3"/>
      <c r="AF32" s="1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row>
    <row r="33" spans="2:106" ht="27" customHeight="1" x14ac:dyDescent="0.2">
      <c r="B33" s="190" t="str">
        <f>IF(R33=3,"Vision - binocular",IF(R33=2,"Vision - monocular - combined (L&amp;R)",IF(AND(R33=1,R34="Left"),"Vision (left)",IF(AND(R33=1,R34="Right"),"Vision (right)","Vision"))))</f>
        <v>Vision</v>
      </c>
      <c r="C33" s="1366">
        <f>Vision!AL69</f>
        <v>0</v>
      </c>
      <c r="D33" s="1387"/>
      <c r="E33" s="1388"/>
      <c r="F33" s="7" t="s">
        <v>11</v>
      </c>
      <c r="G33" s="1374" t="str">
        <f>IF(C53=0,"No PPD entered",IF(Y16=1,Y18,IF(R11=1,"Not applicable","Worker's weekly wage at injury")))</f>
        <v>No PPD entered</v>
      </c>
      <c r="H33" s="1375"/>
      <c r="I33" s="1375"/>
      <c r="J33" s="1375"/>
      <c r="K33" s="1375"/>
      <c r="L33" s="1375"/>
      <c r="M33" s="1376"/>
      <c r="N33" s="1419"/>
      <c r="O33" s="1420"/>
      <c r="P33" s="429" t="str">
        <f>IF(AND(R11=0,N33="",C53&lt;&gt;0),"Enter wage.","")</f>
        <v/>
      </c>
      <c r="R33" s="58">
        <f>Vision!AM75</f>
        <v>0</v>
      </c>
      <c r="S33" s="684">
        <f t="shared" si="0"/>
        <v>0</v>
      </c>
      <c r="T33" s="186">
        <f>LARGE($S$4:$S$52,30)</f>
        <v>0</v>
      </c>
      <c r="U33" s="685">
        <f t="shared" si="1"/>
        <v>0</v>
      </c>
      <c r="V33" s="688">
        <f t="shared" si="2"/>
        <v>0</v>
      </c>
      <c r="W33" s="14"/>
      <c r="X33" s="14"/>
      <c r="Y33" s="14"/>
      <c r="Z33" s="176"/>
      <c r="AA33" s="14"/>
      <c r="AB33" s="176"/>
      <c r="AC33" s="18"/>
      <c r="AD33" s="18"/>
      <c r="AE33" s="18"/>
      <c r="AF33" s="18"/>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row>
    <row r="34" spans="2:106" ht="21" customHeight="1" x14ac:dyDescent="0.2">
      <c r="B34" s="190" t="s">
        <v>27</v>
      </c>
      <c r="C34" s="1373">
        <f>'Shoulder-Right'!P90</f>
        <v>0</v>
      </c>
      <c r="D34" s="1346"/>
      <c r="E34" s="1346"/>
      <c r="F34" s="7" t="s">
        <v>10</v>
      </c>
      <c r="G34" s="1367" t="str">
        <f>IF(Y16=1,Y18,IF(R11=1,"Not applicable","Wage carried down or adjusted to 50% min. or 133% max. of SAWW at time of injury"))</f>
        <v>No release/return to work data</v>
      </c>
      <c r="H34" s="1368"/>
      <c r="I34" s="1368"/>
      <c r="J34" s="1368"/>
      <c r="K34" s="1368"/>
      <c r="L34" s="1368"/>
      <c r="M34" s="1369"/>
      <c r="N34" s="1417" t="str">
        <f>IF(R11=1,"",IF(N11="","Enter date of injury.",IF(SAWW!D6=0,"Missing SAWW",SAWW!D14)))</f>
        <v>Enter date of injury.</v>
      </c>
      <c r="O34" s="1418"/>
      <c r="P34" s="429"/>
      <c r="R34" s="58">
        <f>Vision!AL75</f>
        <v>0</v>
      </c>
      <c r="S34" s="684">
        <f t="shared" si="0"/>
        <v>0</v>
      </c>
      <c r="T34" s="186">
        <f>LARGE($S$4:$S$52,31)</f>
        <v>0</v>
      </c>
      <c r="U34" s="685">
        <f t="shared" si="1"/>
        <v>0</v>
      </c>
      <c r="V34" s="688">
        <f t="shared" si="2"/>
        <v>0</v>
      </c>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row>
    <row r="35" spans="2:106" ht="21" customHeight="1" x14ac:dyDescent="0.2">
      <c r="B35" s="190" t="s">
        <v>1470</v>
      </c>
      <c r="C35" s="1373">
        <f>'Shoulder-Left'!P90</f>
        <v>0</v>
      </c>
      <c r="D35" s="1346"/>
      <c r="E35" s="1346"/>
      <c r="G35" s="1370"/>
      <c r="H35" s="1371"/>
      <c r="I35" s="1371"/>
      <c r="J35" s="1371"/>
      <c r="K35" s="1371"/>
      <c r="L35" s="1371"/>
      <c r="M35" s="1372"/>
      <c r="N35" s="1417"/>
      <c r="O35" s="1418"/>
      <c r="P35" s="82"/>
      <c r="R35" s="18"/>
      <c r="S35" s="684">
        <f t="shared" si="0"/>
        <v>0</v>
      </c>
      <c r="T35" s="186">
        <f>LARGE($S$4:$S$52,32)</f>
        <v>0</v>
      </c>
      <c r="U35" s="685">
        <f t="shared" si="1"/>
        <v>0</v>
      </c>
      <c r="V35" s="688">
        <f t="shared" si="2"/>
        <v>0</v>
      </c>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row>
    <row r="36" spans="2:106" ht="21" customHeight="1" x14ac:dyDescent="0.2">
      <c r="B36" s="190" t="s">
        <v>1471</v>
      </c>
      <c r="C36" s="1373">
        <f>'Hip-Right'!P32</f>
        <v>0</v>
      </c>
      <c r="D36" s="1346"/>
      <c r="E36" s="1346"/>
      <c r="F36" s="223" t="s">
        <v>8</v>
      </c>
      <c r="G36" s="1362" t="str">
        <f>IF(R11=1,"A work disability benefit is not due.","a * b * d = work disability benefit")</f>
        <v>a * b * d = work disability benefit</v>
      </c>
      <c r="H36" s="1363"/>
      <c r="I36" s="1363"/>
      <c r="J36" s="1363"/>
      <c r="K36" s="1363"/>
      <c r="L36" s="1363"/>
      <c r="M36" s="1363"/>
      <c r="N36" s="1363"/>
      <c r="O36" s="1364"/>
      <c r="P36" s="288">
        <f>IF(OR(C53=0,R11=1,Y16=1),0,IF(N11="","DOI?",ROUND(P31*N32*N34,2)))</f>
        <v>0</v>
      </c>
      <c r="R36" s="18"/>
      <c r="S36" s="684">
        <f t="shared" si="0"/>
        <v>0</v>
      </c>
      <c r="T36" s="186">
        <f>LARGE($S$4:$S$52,33)</f>
        <v>0</v>
      </c>
      <c r="U36" s="685">
        <f t="shared" si="1"/>
        <v>0</v>
      </c>
      <c r="V36" s="688">
        <f t="shared" si="2"/>
        <v>0</v>
      </c>
      <c r="W36" s="14"/>
      <c r="X36" s="14"/>
      <c r="Y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row>
    <row r="37" spans="2:106" ht="21" customHeight="1" x14ac:dyDescent="0.2">
      <c r="B37" s="190" t="s">
        <v>1472</v>
      </c>
      <c r="C37" s="1373">
        <f>'Hip-Left'!P32</f>
        <v>0</v>
      </c>
      <c r="D37" s="1346"/>
      <c r="E37" s="1346"/>
      <c r="F37" s="7" t="s">
        <v>5</v>
      </c>
      <c r="G37" s="1362" t="s">
        <v>330</v>
      </c>
      <c r="H37" s="1363"/>
      <c r="I37" s="1363"/>
      <c r="J37" s="1363"/>
      <c r="K37" s="1363"/>
      <c r="L37" s="1363"/>
      <c r="M37" s="1364"/>
      <c r="N37" s="1347">
        <v>100</v>
      </c>
      <c r="O37" s="1351"/>
      <c r="P37" s="1422" t="str">
        <f>IF(N11="","",IF(AND(N33&gt;0,SAWW!D6=0),"Update SAWW worksheet - see Bulletin 111.",""))</f>
        <v/>
      </c>
      <c r="S37" s="684">
        <f t="shared" si="0"/>
        <v>0</v>
      </c>
      <c r="T37" s="186">
        <f>LARGE($S$4:$S$52,34)</f>
        <v>0</v>
      </c>
      <c r="U37" s="685">
        <f t="shared" si="1"/>
        <v>0</v>
      </c>
      <c r="V37" s="688">
        <f t="shared" si="2"/>
        <v>0</v>
      </c>
      <c r="W37" s="14"/>
      <c r="X37" s="14"/>
      <c r="Y37" s="14"/>
      <c r="Z37" s="14"/>
      <c r="AA37" s="14"/>
      <c r="AB37" s="14"/>
      <c r="AC37" s="14"/>
      <c r="AD37" s="14"/>
      <c r="AE37" s="14"/>
      <c r="AF37" s="14"/>
      <c r="AG37" s="14"/>
      <c r="AH37" s="14"/>
      <c r="AI37" s="14"/>
      <c r="AJ37" s="14"/>
      <c r="AK37" s="14"/>
      <c r="AL37" s="14"/>
      <c r="AM37" s="14"/>
      <c r="AN37" s="14"/>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row>
    <row r="38" spans="2:106" ht="21" customHeight="1" x14ac:dyDescent="0.2">
      <c r="B38" s="190" t="s">
        <v>1494</v>
      </c>
      <c r="C38" s="1373">
        <f>Spine!P144</f>
        <v>0</v>
      </c>
      <c r="D38" s="1346"/>
      <c r="E38" s="1346"/>
      <c r="F38" s="7" t="s">
        <v>6</v>
      </c>
      <c r="G38" s="1374" t="s">
        <v>550</v>
      </c>
      <c r="H38" s="1375"/>
      <c r="I38" s="1375"/>
      <c r="J38" s="1375"/>
      <c r="K38" s="1375"/>
      <c r="L38" s="1375"/>
      <c r="M38" s="1376"/>
      <c r="N38" s="1360" t="str">
        <f>IF(N11="","DOI?",IF(SAWW!D6=0,"Missing SAWW",SAWW!D6))</f>
        <v>DOI?</v>
      </c>
      <c r="O38" s="1361"/>
      <c r="P38" s="1423"/>
      <c r="R38" s="3"/>
      <c r="S38" s="684">
        <f t="shared" si="0"/>
        <v>0</v>
      </c>
      <c r="T38" s="186">
        <f>LARGE($S$4:$S$52,35)</f>
        <v>0</v>
      </c>
      <c r="U38" s="685">
        <f t="shared" si="1"/>
        <v>0</v>
      </c>
      <c r="V38" s="688">
        <f t="shared" si="2"/>
        <v>0</v>
      </c>
      <c r="W38" s="14"/>
      <c r="X38" s="14"/>
      <c r="Y38" s="14"/>
      <c r="Z38" s="14"/>
      <c r="AA38" s="14"/>
      <c r="AB38" s="14"/>
      <c r="AC38" s="14"/>
      <c r="AD38" s="14"/>
      <c r="AE38" s="14"/>
      <c r="AF38" s="14"/>
      <c r="AG38" s="14"/>
      <c r="AH38" s="14"/>
      <c r="AI38" s="14"/>
      <c r="AJ38" s="14"/>
      <c r="AK38" s="14"/>
      <c r="AL38" s="14"/>
      <c r="AM38" s="14"/>
      <c r="AN38" s="14"/>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row>
    <row r="39" spans="2:106" ht="21" customHeight="1" x14ac:dyDescent="0.2">
      <c r="B39" s="190" t="s">
        <v>1495</v>
      </c>
      <c r="C39" s="1373">
        <f>Pelvis!P17</f>
        <v>0</v>
      </c>
      <c r="D39" s="1346"/>
      <c r="E39" s="1346"/>
      <c r="F39" s="63" t="s">
        <v>7</v>
      </c>
      <c r="G39" s="1362" t="s">
        <v>171</v>
      </c>
      <c r="H39" s="1363"/>
      <c r="I39" s="1363"/>
      <c r="J39" s="1363"/>
      <c r="K39" s="1363"/>
      <c r="L39" s="1363"/>
      <c r="M39" s="1364"/>
      <c r="N39" s="1365">
        <f>C53</f>
        <v>0</v>
      </c>
      <c r="O39" s="1366"/>
      <c r="P39" s="1424"/>
      <c r="R39" s="18"/>
      <c r="S39" s="684">
        <f t="shared" si="0"/>
        <v>0</v>
      </c>
      <c r="T39" s="186">
        <f>LARGE($S$4:$S$52,36)</f>
        <v>0</v>
      </c>
      <c r="U39" s="685">
        <f t="shared" si="1"/>
        <v>0</v>
      </c>
      <c r="V39" s="688">
        <f t="shared" si="2"/>
        <v>0</v>
      </c>
      <c r="W39" s="14"/>
      <c r="X39" s="14"/>
      <c r="Y39" s="14"/>
      <c r="Z39" s="14"/>
      <c r="AA39" s="14"/>
      <c r="AB39" s="14"/>
      <c r="AC39" s="14"/>
      <c r="AD39" s="14"/>
      <c r="AE39" s="14"/>
      <c r="AF39" s="14"/>
      <c r="AG39" s="14"/>
      <c r="AH39" s="14"/>
      <c r="AI39" s="14"/>
      <c r="AJ39" s="14"/>
      <c r="AK39" s="14"/>
      <c r="AL39" s="14"/>
      <c r="AM39" s="14"/>
      <c r="AN39" s="14"/>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row>
    <row r="40" spans="2:106" ht="21" customHeight="1" x14ac:dyDescent="0.2">
      <c r="B40" s="190" t="s">
        <v>1493</v>
      </c>
      <c r="C40" s="1373">
        <f>Abdomen!P7</f>
        <v>0</v>
      </c>
      <c r="D40" s="1346"/>
      <c r="E40" s="1346"/>
      <c r="F40" s="224" t="s">
        <v>9</v>
      </c>
      <c r="G40" s="1357" t="s">
        <v>549</v>
      </c>
      <c r="H40" s="1358"/>
      <c r="I40" s="1358"/>
      <c r="J40" s="1358"/>
      <c r="K40" s="1358"/>
      <c r="L40" s="1358"/>
      <c r="M40" s="1358"/>
      <c r="N40" s="1358"/>
      <c r="O40" s="1359"/>
      <c r="P40" s="285" t="str">
        <f>IF(Y14=1,"ERROR",IF(Y16=1,"",IF(N11="","DOI?",ROUND(N37*N38*N39,2))))</f>
        <v/>
      </c>
      <c r="R40" s="18"/>
      <c r="S40" s="684">
        <f t="shared" si="0"/>
        <v>0</v>
      </c>
      <c r="T40" s="186">
        <f>LARGE($S$4:$S$52,37)</f>
        <v>0</v>
      </c>
      <c r="U40" s="685">
        <f t="shared" ref="U40:U51" si="3">V39+T41*(1-V39)</f>
        <v>0</v>
      </c>
      <c r="V40" s="688">
        <f t="shared" si="2"/>
        <v>0</v>
      </c>
      <c r="W40" s="14"/>
      <c r="X40" s="14"/>
      <c r="Y40" s="14"/>
      <c r="Z40" s="14"/>
      <c r="AA40" s="14"/>
      <c r="AB40" s="14"/>
      <c r="AC40" s="14"/>
      <c r="AD40" s="14"/>
      <c r="AE40" s="14"/>
      <c r="AF40" s="14"/>
      <c r="AG40" s="14"/>
      <c r="AH40" s="14"/>
      <c r="AI40" s="14"/>
      <c r="AJ40" s="14"/>
      <c r="AK40" s="14"/>
      <c r="AL40" s="14"/>
      <c r="AM40" s="14"/>
      <c r="AN40" s="14"/>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row>
    <row r="41" spans="2:106" ht="21" customHeight="1" x14ac:dyDescent="0.2">
      <c r="B41" s="190" t="s">
        <v>568</v>
      </c>
      <c r="C41" s="1342">
        <f>Chest!P5</f>
        <v>0</v>
      </c>
      <c r="D41" s="1343"/>
      <c r="E41" s="1344"/>
      <c r="F41" s="224"/>
      <c r="G41" s="1356" t="s">
        <v>108</v>
      </c>
      <c r="H41" s="1356"/>
      <c r="I41" s="1356"/>
      <c r="J41" s="1356"/>
      <c r="K41" s="1356"/>
      <c r="L41" s="1356"/>
      <c r="M41" s="1356"/>
      <c r="N41" s="1356"/>
      <c r="O41" s="1356"/>
      <c r="P41" s="444">
        <f>IF(Y14=1,"ERROR",IF(C53=0,0,IF(N11="","Enter DOI",IF(OR(G27&lt;&gt;"",P33&lt;&gt;""),"ERROR",SUM(P36,P40)))))</f>
        <v>0</v>
      </c>
      <c r="R41" s="18"/>
      <c r="S41" s="684">
        <f t="shared" si="0"/>
        <v>0</v>
      </c>
      <c r="T41" s="186">
        <f>LARGE($S$4:$S$52,38)</f>
        <v>0</v>
      </c>
      <c r="U41" s="685">
        <f t="shared" si="3"/>
        <v>0</v>
      </c>
      <c r="V41" s="688">
        <f t="shared" si="2"/>
        <v>0</v>
      </c>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row>
    <row r="42" spans="2:106" ht="21" customHeight="1" x14ac:dyDescent="0.2">
      <c r="B42" s="190" t="s">
        <v>271</v>
      </c>
      <c r="C42" s="1373">
        <f>Cardiovascular!P12</f>
        <v>0</v>
      </c>
      <c r="D42" s="1346"/>
      <c r="E42" s="1346"/>
      <c r="F42" s="198"/>
      <c r="R42" s="18"/>
      <c r="S42" s="684">
        <f t="shared" si="0"/>
        <v>0</v>
      </c>
      <c r="T42" s="186">
        <f>LARGE($S$4:$S$52,39)</f>
        <v>0</v>
      </c>
      <c r="U42" s="685">
        <f t="shared" si="3"/>
        <v>0</v>
      </c>
      <c r="V42" s="688">
        <f t="shared" si="2"/>
        <v>0</v>
      </c>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row>
    <row r="43" spans="2:106" ht="21" customHeight="1" x14ac:dyDescent="0.2">
      <c r="B43" s="190" t="s">
        <v>1096</v>
      </c>
      <c r="C43" s="1373">
        <f>Respiratory!P9</f>
        <v>0</v>
      </c>
      <c r="D43" s="1346"/>
      <c r="E43" s="1346"/>
      <c r="G43" s="1411" t="s">
        <v>2180</v>
      </c>
      <c r="H43" s="1412"/>
      <c r="I43" s="1412"/>
      <c r="J43" s="1412"/>
      <c r="K43" s="1412"/>
      <c r="L43" s="1412"/>
      <c r="M43" s="1412"/>
      <c r="N43" s="1412"/>
      <c r="O43" s="1412"/>
      <c r="P43" s="1413"/>
      <c r="R43" s="18"/>
      <c r="S43" s="684">
        <f t="shared" si="0"/>
        <v>0</v>
      </c>
      <c r="T43" s="186">
        <f>LARGE($S$4:$S$52,40)</f>
        <v>0</v>
      </c>
      <c r="U43" s="685">
        <f t="shared" si="3"/>
        <v>0</v>
      </c>
      <c r="V43" s="688">
        <f t="shared" si="2"/>
        <v>0</v>
      </c>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row>
    <row r="44" spans="2:106" ht="21" customHeight="1" x14ac:dyDescent="0.2">
      <c r="B44" s="190" t="s">
        <v>1957</v>
      </c>
      <c r="C44" s="1373">
        <f>'Cranial Nerves-Brain'!P51</f>
        <v>0</v>
      </c>
      <c r="D44" s="1346"/>
      <c r="E44" s="1346"/>
      <c r="G44" s="1414"/>
      <c r="H44" s="1415"/>
      <c r="I44" s="1415"/>
      <c r="J44" s="1415"/>
      <c r="K44" s="1415"/>
      <c r="L44" s="1415"/>
      <c r="M44" s="1415"/>
      <c r="N44" s="1415"/>
      <c r="O44" s="1415"/>
      <c r="P44" s="1416"/>
      <c r="R44" s="18"/>
      <c r="S44" s="684">
        <f t="shared" si="0"/>
        <v>0</v>
      </c>
      <c r="T44" s="186">
        <f>LARGE($S$4:$S$52,41)</f>
        <v>0</v>
      </c>
      <c r="U44" s="685">
        <f t="shared" si="3"/>
        <v>0</v>
      </c>
      <c r="V44" s="688">
        <f t="shared" si="2"/>
        <v>0</v>
      </c>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row>
    <row r="45" spans="2:106" ht="21" customHeight="1" x14ac:dyDescent="0.2">
      <c r="B45" s="190" t="s">
        <v>274</v>
      </c>
      <c r="C45" s="1373">
        <f>'Spinal cord'!P12</f>
        <v>0</v>
      </c>
      <c r="D45" s="1346"/>
      <c r="E45" s="1346"/>
      <c r="G45" s="1414"/>
      <c r="H45" s="1415"/>
      <c r="I45" s="1415"/>
      <c r="J45" s="1415"/>
      <c r="K45" s="1415"/>
      <c r="L45" s="1415"/>
      <c r="M45" s="1415"/>
      <c r="N45" s="1415"/>
      <c r="O45" s="1415"/>
      <c r="P45" s="1416"/>
      <c r="R45" s="18"/>
      <c r="S45" s="684">
        <f t="shared" si="0"/>
        <v>0</v>
      </c>
      <c r="T45" s="186">
        <f>LARGE($S$4:$S$52,42)</f>
        <v>0</v>
      </c>
      <c r="U45" s="685">
        <f t="shared" si="3"/>
        <v>0</v>
      </c>
      <c r="V45" s="688">
        <f t="shared" si="2"/>
        <v>0</v>
      </c>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row>
    <row r="46" spans="2:106" ht="21" customHeight="1" x14ac:dyDescent="0.2">
      <c r="B46" s="190" t="s">
        <v>1070</v>
      </c>
      <c r="C46" s="1373">
        <f>'Mental illness'!P16</f>
        <v>0</v>
      </c>
      <c r="D46" s="1346"/>
      <c r="E46" s="1346"/>
      <c r="G46" s="1414"/>
      <c r="H46" s="1415"/>
      <c r="I46" s="1415"/>
      <c r="J46" s="1415"/>
      <c r="K46" s="1415"/>
      <c r="L46" s="1415"/>
      <c r="M46" s="1415"/>
      <c r="N46" s="1415"/>
      <c r="O46" s="1415"/>
      <c r="P46" s="1416"/>
      <c r="R46" s="18"/>
      <c r="S46" s="684">
        <f t="shared" si="0"/>
        <v>0</v>
      </c>
      <c r="T46" s="186">
        <f>LARGE($S$4:$S$52,43)</f>
        <v>0</v>
      </c>
      <c r="U46" s="685">
        <f t="shared" si="3"/>
        <v>0</v>
      </c>
      <c r="V46" s="688">
        <f t="shared" si="2"/>
        <v>0</v>
      </c>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row>
    <row r="47" spans="2:106" ht="21" customHeight="1" x14ac:dyDescent="0.2">
      <c r="B47" s="190" t="s">
        <v>1956</v>
      </c>
      <c r="C47" s="1373">
        <f>Hematopoietic!P22</f>
        <v>0</v>
      </c>
      <c r="D47" s="1346"/>
      <c r="E47" s="1346"/>
      <c r="G47" s="1414"/>
      <c r="H47" s="1415"/>
      <c r="I47" s="1415"/>
      <c r="J47" s="1415"/>
      <c r="K47" s="1415"/>
      <c r="L47" s="1415"/>
      <c r="M47" s="1415"/>
      <c r="N47" s="1415"/>
      <c r="O47" s="1415"/>
      <c r="P47" s="1416"/>
      <c r="R47" s="18"/>
      <c r="S47" s="684">
        <f t="shared" si="0"/>
        <v>0</v>
      </c>
      <c r="T47" s="186">
        <f>LARGE($S$4:$S$52,44)</f>
        <v>0</v>
      </c>
      <c r="U47" s="685">
        <f t="shared" si="3"/>
        <v>0</v>
      </c>
      <c r="V47" s="688">
        <f t="shared" si="2"/>
        <v>0</v>
      </c>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row>
    <row r="48" spans="2:106" ht="27" customHeight="1" x14ac:dyDescent="0.2">
      <c r="B48" s="190" t="s">
        <v>1063</v>
      </c>
      <c r="C48" s="1373">
        <f>'GI &amp; GU'!P79</f>
        <v>0</v>
      </c>
      <c r="D48" s="1346"/>
      <c r="E48" s="1346"/>
      <c r="G48" s="1414"/>
      <c r="H48" s="1415"/>
      <c r="I48" s="1415"/>
      <c r="J48" s="1415"/>
      <c r="K48" s="1415"/>
      <c r="L48" s="1415"/>
      <c r="M48" s="1415"/>
      <c r="N48" s="1415"/>
      <c r="O48" s="1415"/>
      <c r="P48" s="1416"/>
      <c r="R48" s="18"/>
      <c r="S48" s="684">
        <f t="shared" si="0"/>
        <v>0</v>
      </c>
      <c r="T48" s="186">
        <f>LARGE($S$4:$S$52,45)</f>
        <v>0</v>
      </c>
      <c r="U48" s="685">
        <f t="shared" si="3"/>
        <v>0</v>
      </c>
      <c r="V48" s="688">
        <f t="shared" si="2"/>
        <v>0</v>
      </c>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row>
    <row r="49" spans="1:256" ht="21" customHeight="1" x14ac:dyDescent="0.2">
      <c r="B49" s="190" t="s">
        <v>244</v>
      </c>
      <c r="C49" s="1373">
        <f>Endocrine!P53</f>
        <v>0</v>
      </c>
      <c r="D49" s="1346"/>
      <c r="E49" s="1346"/>
      <c r="G49" s="1414"/>
      <c r="H49" s="1415"/>
      <c r="I49" s="1415"/>
      <c r="J49" s="1415"/>
      <c r="K49" s="1415"/>
      <c r="L49" s="1415"/>
      <c r="M49" s="1415"/>
      <c r="N49" s="1415"/>
      <c r="O49" s="1415"/>
      <c r="P49" s="1416"/>
      <c r="R49" s="18"/>
      <c r="S49" s="684">
        <f t="shared" si="0"/>
        <v>0</v>
      </c>
      <c r="T49" s="186">
        <f>LARGE($S$4:$S$52,46)</f>
        <v>0</v>
      </c>
      <c r="U49" s="685">
        <f t="shared" si="3"/>
        <v>0</v>
      </c>
      <c r="V49" s="688">
        <f t="shared" si="2"/>
        <v>0</v>
      </c>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row>
    <row r="50" spans="1:256" ht="21" customHeight="1" x14ac:dyDescent="0.2">
      <c r="B50" s="190" t="s">
        <v>808</v>
      </c>
      <c r="C50" s="1373">
        <f>'Integument &amp; Lacrimal'!P21</f>
        <v>0</v>
      </c>
      <c r="D50" s="1346"/>
      <c r="E50" s="1346"/>
      <c r="G50" s="1414"/>
      <c r="H50" s="1415"/>
      <c r="I50" s="1415"/>
      <c r="J50" s="1415"/>
      <c r="K50" s="1415"/>
      <c r="L50" s="1415"/>
      <c r="M50" s="1415"/>
      <c r="N50" s="1415"/>
      <c r="O50" s="1415"/>
      <c r="P50" s="1416"/>
      <c r="R50" s="18"/>
      <c r="S50" s="684">
        <f t="shared" si="0"/>
        <v>0</v>
      </c>
      <c r="T50" s="186">
        <f>LARGE($S$4:$S$52,47)</f>
        <v>0</v>
      </c>
      <c r="U50" s="685">
        <f t="shared" si="3"/>
        <v>0</v>
      </c>
      <c r="V50" s="688">
        <f t="shared" si="2"/>
        <v>0</v>
      </c>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row>
    <row r="51" spans="1:256" ht="21" customHeight="1" x14ac:dyDescent="0.2">
      <c r="B51" s="190" t="s">
        <v>102</v>
      </c>
      <c r="C51" s="1373">
        <f>'Immune system'!P4</f>
        <v>0</v>
      </c>
      <c r="D51" s="1346"/>
      <c r="E51" s="1346"/>
      <c r="F51" s="3"/>
      <c r="G51" s="1414"/>
      <c r="H51" s="1415"/>
      <c r="I51" s="1415"/>
      <c r="J51" s="1415"/>
      <c r="K51" s="1415"/>
      <c r="L51" s="1415"/>
      <c r="M51" s="1415"/>
      <c r="N51" s="1415"/>
      <c r="O51" s="1415"/>
      <c r="P51" s="1416"/>
      <c r="R51" s="18"/>
      <c r="S51" s="684">
        <f t="shared" si="0"/>
        <v>0</v>
      </c>
      <c r="T51" s="186">
        <f>LARGE($S$4:$S$52,48)</f>
        <v>0</v>
      </c>
      <c r="U51" s="685">
        <f t="shared" si="3"/>
        <v>0</v>
      </c>
      <c r="V51" s="688">
        <f t="shared" si="2"/>
        <v>0</v>
      </c>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row>
    <row r="52" spans="1:256" ht="21" customHeight="1" x14ac:dyDescent="0.2">
      <c r="B52" s="227"/>
      <c r="C52" s="1386">
        <v>0</v>
      </c>
      <c r="D52" s="1386"/>
      <c r="E52" s="1386"/>
      <c r="F52" s="224"/>
      <c r="G52" s="1414"/>
      <c r="H52" s="1415"/>
      <c r="I52" s="1415"/>
      <c r="J52" s="1415"/>
      <c r="K52" s="1415"/>
      <c r="L52" s="1415"/>
      <c r="M52" s="1415"/>
      <c r="N52" s="1415"/>
      <c r="O52" s="1415"/>
      <c r="P52" s="1416"/>
      <c r="R52" s="18"/>
      <c r="S52" s="684">
        <f t="shared" si="0"/>
        <v>0</v>
      </c>
      <c r="T52" s="186">
        <f>LARGE($S$4:$S$52,49)</f>
        <v>0</v>
      </c>
      <c r="U52" s="18"/>
      <c r="V52" s="18"/>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row>
    <row r="53" spans="1:256" ht="26.25" customHeight="1" x14ac:dyDescent="0.25">
      <c r="A53" s="63"/>
      <c r="B53" s="279" t="s">
        <v>171</v>
      </c>
      <c r="C53" s="1381">
        <f>V51</f>
        <v>0</v>
      </c>
      <c r="D53" s="1381"/>
      <c r="E53" s="1381"/>
      <c r="F53" s="1382" t="s">
        <v>887</v>
      </c>
      <c r="G53" s="1382"/>
      <c r="H53" s="1382"/>
      <c r="I53" s="1382"/>
      <c r="J53" s="1382"/>
      <c r="K53" s="1382"/>
      <c r="L53" s="1382"/>
      <c r="M53" s="1382"/>
      <c r="N53" s="1382"/>
      <c r="O53" s="1382"/>
      <c r="P53" s="1382"/>
      <c r="R53" s="18"/>
      <c r="S53" s="114"/>
      <c r="T53" s="19"/>
      <c r="U53" s="18"/>
      <c r="V53" s="18"/>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row>
    <row r="54" spans="1:256" ht="21.75" customHeight="1" x14ac:dyDescent="0.25">
      <c r="C54" s="284"/>
      <c r="D54" s="284"/>
      <c r="E54" s="284"/>
      <c r="F54" s="284"/>
      <c r="G54" s="284"/>
      <c r="H54" s="284"/>
      <c r="I54" s="284"/>
      <c r="J54" s="284"/>
      <c r="K54" s="284"/>
      <c r="L54" s="284"/>
      <c r="M54" s="284"/>
      <c r="N54" s="284"/>
      <c r="O54" s="284"/>
      <c r="P54" s="28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IV54" s="189"/>
    </row>
    <row r="55" spans="1:256" ht="18" customHeight="1" x14ac:dyDescent="0.2">
      <c r="B55" s="291"/>
      <c r="C55" s="8"/>
      <c r="D55" s="8"/>
      <c r="E55" s="8"/>
      <c r="F55" s="8"/>
      <c r="G55" s="8"/>
      <c r="H55" s="8"/>
      <c r="I55" s="8"/>
      <c r="J55" s="8"/>
      <c r="K55" s="8"/>
      <c r="L55" s="8"/>
      <c r="M55" s="8"/>
      <c r="N55" s="8"/>
      <c r="O55" s="8"/>
      <c r="P55" s="8"/>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row>
    <row r="56" spans="1:256" ht="18" hidden="1" customHeight="1" x14ac:dyDescent="0.2">
      <c r="B56" s="35" t="s">
        <v>366</v>
      </c>
      <c r="C56" s="1339" t="s">
        <v>1138</v>
      </c>
      <c r="D56" s="1339"/>
      <c r="E56" s="1339"/>
      <c r="F56" s="1339"/>
      <c r="G56" s="1339"/>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row>
    <row r="57" spans="1:256" ht="18" hidden="1" customHeight="1" x14ac:dyDescent="0.2">
      <c r="A57" s="185" t="s">
        <v>278</v>
      </c>
      <c r="B57" s="23">
        <v>1</v>
      </c>
      <c r="C57" s="23">
        <v>2</v>
      </c>
      <c r="D57" s="23">
        <v>3</v>
      </c>
      <c r="E57" s="23">
        <v>4</v>
      </c>
      <c r="F57" s="23">
        <v>5</v>
      </c>
      <c r="G57" s="23">
        <v>6</v>
      </c>
      <c r="H57" s="23">
        <v>7</v>
      </c>
      <c r="I57" s="23">
        <v>8</v>
      </c>
      <c r="J57" s="23">
        <v>9</v>
      </c>
      <c r="K57" s="681"/>
      <c r="L57" s="680" t="s">
        <v>2181</v>
      </c>
      <c r="M57" s="681"/>
      <c r="N57" s="681"/>
      <c r="O57" s="682"/>
      <c r="P57" s="682"/>
      <c r="Q57" s="682"/>
      <c r="R57" s="680"/>
      <c r="S57" s="680"/>
      <c r="T57" s="680"/>
      <c r="U57" s="680"/>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row>
    <row r="58" spans="1:256" ht="18" hidden="1" customHeight="1" x14ac:dyDescent="0.2">
      <c r="A58" s="185">
        <v>4</v>
      </c>
      <c r="B58" s="23">
        <v>4</v>
      </c>
      <c r="C58" s="23">
        <v>4</v>
      </c>
      <c r="D58" s="23">
        <v>3</v>
      </c>
      <c r="E58" s="23">
        <v>3</v>
      </c>
      <c r="F58" s="23">
        <v>2</v>
      </c>
      <c r="G58" s="23">
        <v>2</v>
      </c>
      <c r="H58" s="23">
        <v>1</v>
      </c>
      <c r="I58" s="23">
        <v>1</v>
      </c>
      <c r="J58" s="23">
        <v>1</v>
      </c>
      <c r="K58" s="2"/>
      <c r="L58" s="2"/>
      <c r="M58" s="2"/>
      <c r="N58" s="2"/>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row>
    <row r="59" spans="1:256" ht="18" hidden="1" customHeight="1" x14ac:dyDescent="0.2">
      <c r="A59" s="3"/>
      <c r="B59" s="2"/>
      <c r="C59" s="2"/>
      <c r="D59" s="2"/>
      <c r="E59" s="2"/>
      <c r="F59" s="2"/>
      <c r="G59" s="2"/>
      <c r="H59" s="2"/>
      <c r="I59" s="2"/>
      <c r="J59" s="2"/>
      <c r="K59" s="2"/>
      <c r="L59" s="2"/>
      <c r="M59" s="2"/>
      <c r="N59" s="2"/>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row>
    <row r="60" spans="1:256" ht="18" hidden="1" customHeight="1" x14ac:dyDescent="0.2">
      <c r="A60" s="3"/>
      <c r="B60" s="2"/>
      <c r="C60" s="2"/>
      <c r="D60" s="2"/>
      <c r="E60" s="2"/>
      <c r="F60" s="2"/>
      <c r="G60" s="2"/>
      <c r="H60" s="2"/>
      <c r="I60" s="2"/>
      <c r="J60" s="680"/>
      <c r="K60" s="680" t="s">
        <v>2182</v>
      </c>
      <c r="L60" s="680"/>
      <c r="M60" s="680"/>
      <c r="N60" s="680"/>
      <c r="O60" s="680"/>
      <c r="P60" s="680"/>
      <c r="Q60" s="680"/>
      <c r="R60" s="680"/>
      <c r="S60" s="680"/>
      <c r="T60" s="680"/>
      <c r="U60" s="680"/>
      <c r="V60" s="680"/>
      <c r="W60" s="680"/>
      <c r="X60" s="680"/>
      <c r="Y60" s="680"/>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row>
    <row r="61" spans="1:256" ht="18" hidden="1" customHeight="1" x14ac:dyDescent="0.2">
      <c r="B61" s="23" t="s">
        <v>354</v>
      </c>
      <c r="C61" s="23" t="s">
        <v>355</v>
      </c>
      <c r="D61" s="23" t="s">
        <v>356</v>
      </c>
      <c r="E61" s="23" t="s">
        <v>357</v>
      </c>
      <c r="F61" s="23" t="s">
        <v>358</v>
      </c>
      <c r="G61" s="23"/>
      <c r="H61" s="23" t="s">
        <v>359</v>
      </c>
      <c r="I61" s="23" t="s">
        <v>354</v>
      </c>
      <c r="J61" s="23" t="s">
        <v>360</v>
      </c>
      <c r="K61" s="23" t="s">
        <v>355</v>
      </c>
      <c r="L61" s="23" t="s">
        <v>361</v>
      </c>
      <c r="M61" s="23" t="s">
        <v>356</v>
      </c>
      <c r="N61" s="23" t="s">
        <v>362</v>
      </c>
      <c r="O61" s="185" t="s">
        <v>357</v>
      </c>
      <c r="P61" s="185" t="s">
        <v>358</v>
      </c>
      <c r="Q61" s="185"/>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14"/>
      <c r="AV61" s="14"/>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row>
    <row r="62" spans="1:256" ht="18" hidden="1" customHeight="1" x14ac:dyDescent="0.2">
      <c r="B62" s="23" t="s">
        <v>1929</v>
      </c>
      <c r="C62" s="23" t="s">
        <v>1930</v>
      </c>
      <c r="D62" s="23" t="s">
        <v>1675</v>
      </c>
      <c r="E62" s="23" t="s">
        <v>1463</v>
      </c>
      <c r="F62" s="23" t="s">
        <v>1464</v>
      </c>
      <c r="G62" s="23" t="s">
        <v>1465</v>
      </c>
      <c r="H62" s="23" t="s">
        <v>1466</v>
      </c>
      <c r="I62" s="23" t="s">
        <v>1467</v>
      </c>
      <c r="J62" s="23" t="s">
        <v>1468</v>
      </c>
      <c r="K62" s="23" t="s">
        <v>1469</v>
      </c>
      <c r="L62" s="23" t="s">
        <v>1589</v>
      </c>
      <c r="M62" s="23" t="s">
        <v>958</v>
      </c>
      <c r="N62" s="23" t="s">
        <v>959</v>
      </c>
      <c r="O62" s="185" t="s">
        <v>960</v>
      </c>
      <c r="P62" s="185" t="s">
        <v>961</v>
      </c>
      <c r="Q62" s="185" t="s">
        <v>962</v>
      </c>
      <c r="R62" s="58" t="s">
        <v>963</v>
      </c>
      <c r="S62" s="58" t="s">
        <v>964</v>
      </c>
      <c r="T62" s="58" t="s">
        <v>965</v>
      </c>
      <c r="U62" s="58" t="s">
        <v>644</v>
      </c>
      <c r="V62" s="58" t="s">
        <v>645</v>
      </c>
      <c r="W62" s="58" t="s">
        <v>646</v>
      </c>
      <c r="X62" s="58" t="s">
        <v>647</v>
      </c>
      <c r="Y62" s="58" t="s">
        <v>648</v>
      </c>
      <c r="Z62" s="58" t="s">
        <v>649</v>
      </c>
      <c r="AA62" s="58" t="s">
        <v>650</v>
      </c>
      <c r="AB62" s="58" t="s">
        <v>651</v>
      </c>
      <c r="AC62" s="58" t="s">
        <v>652</v>
      </c>
      <c r="AD62" s="58" t="s">
        <v>653</v>
      </c>
      <c r="AE62" s="58" t="s">
        <v>654</v>
      </c>
      <c r="AF62" s="58" t="s">
        <v>655</v>
      </c>
      <c r="AG62" s="58" t="s">
        <v>656</v>
      </c>
      <c r="AH62" s="58" t="s">
        <v>657</v>
      </c>
      <c r="AI62" s="58" t="s">
        <v>658</v>
      </c>
      <c r="AJ62" s="58" t="s">
        <v>659</v>
      </c>
      <c r="AK62" s="58" t="s">
        <v>660</v>
      </c>
      <c r="AL62" s="58" t="s">
        <v>661</v>
      </c>
      <c r="AM62" s="58" t="s">
        <v>662</v>
      </c>
      <c r="AN62" s="58" t="s">
        <v>1064</v>
      </c>
      <c r="AO62" s="58" t="s">
        <v>378</v>
      </c>
      <c r="AP62" s="58" t="s">
        <v>379</v>
      </c>
      <c r="AQ62" s="58" t="s">
        <v>44</v>
      </c>
      <c r="AR62" s="58" t="s">
        <v>45</v>
      </c>
      <c r="AS62" s="58" t="s">
        <v>46</v>
      </c>
      <c r="AT62" s="58" t="s">
        <v>47</v>
      </c>
      <c r="AU62" s="14"/>
      <c r="AV62" s="14"/>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row>
    <row r="63" spans="1:256" ht="18" hidden="1" customHeight="1" x14ac:dyDescent="0.2">
      <c r="B63" s="23">
        <v>2</v>
      </c>
      <c r="C63" s="23">
        <v>1</v>
      </c>
      <c r="D63" s="23">
        <v>1</v>
      </c>
      <c r="E63" s="23">
        <v>1</v>
      </c>
      <c r="F63" s="23">
        <v>1</v>
      </c>
      <c r="G63" s="23">
        <v>1</v>
      </c>
      <c r="H63" s="23">
        <v>1</v>
      </c>
      <c r="I63" s="23">
        <v>1</v>
      </c>
      <c r="J63" s="23">
        <v>1</v>
      </c>
      <c r="K63" s="23">
        <v>4</v>
      </c>
      <c r="L63" s="23">
        <v>3</v>
      </c>
      <c r="M63" s="23">
        <v>2</v>
      </c>
      <c r="N63" s="23">
        <v>1</v>
      </c>
      <c r="O63" s="185">
        <v>1</v>
      </c>
      <c r="P63" s="185">
        <v>1</v>
      </c>
      <c r="Q63" s="185">
        <v>1</v>
      </c>
      <c r="R63" s="58">
        <v>1</v>
      </c>
      <c r="S63" s="58">
        <v>1</v>
      </c>
      <c r="T63" s="58">
        <v>6</v>
      </c>
      <c r="U63" s="58">
        <v>5</v>
      </c>
      <c r="V63" s="58">
        <v>4</v>
      </c>
      <c r="W63" s="58">
        <v>3</v>
      </c>
      <c r="X63" s="58">
        <v>2</v>
      </c>
      <c r="Y63" s="58">
        <v>1</v>
      </c>
      <c r="Z63" s="58">
        <v>1</v>
      </c>
      <c r="AA63" s="58">
        <v>1</v>
      </c>
      <c r="AB63" s="58">
        <v>1</v>
      </c>
      <c r="AC63" s="58">
        <v>7</v>
      </c>
      <c r="AD63" s="58">
        <v>6</v>
      </c>
      <c r="AE63" s="58">
        <v>6</v>
      </c>
      <c r="AF63" s="58">
        <v>5</v>
      </c>
      <c r="AG63" s="58">
        <v>4</v>
      </c>
      <c r="AH63" s="58">
        <v>3</v>
      </c>
      <c r="AI63" s="58">
        <v>2</v>
      </c>
      <c r="AJ63" s="58">
        <v>1</v>
      </c>
      <c r="AK63" s="58">
        <v>1</v>
      </c>
      <c r="AL63" s="58">
        <v>7</v>
      </c>
      <c r="AM63" s="58">
        <v>7</v>
      </c>
      <c r="AN63" s="58">
        <v>6</v>
      </c>
      <c r="AO63" s="58">
        <v>5</v>
      </c>
      <c r="AP63" s="58">
        <v>4</v>
      </c>
      <c r="AQ63" s="58">
        <v>3</v>
      </c>
      <c r="AR63" s="58">
        <v>2</v>
      </c>
      <c r="AS63" s="58">
        <v>1</v>
      </c>
      <c r="AT63" s="58">
        <v>1</v>
      </c>
      <c r="AU63" s="14"/>
      <c r="AV63" s="14"/>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row>
    <row r="64" spans="1:256" ht="18" hidden="1" customHeight="1" x14ac:dyDescent="0.2">
      <c r="B64" s="1"/>
      <c r="C64" s="1"/>
      <c r="D64" s="1"/>
      <c r="E64" s="1"/>
      <c r="F64" s="1"/>
      <c r="G64" s="1"/>
      <c r="H64" s="1"/>
      <c r="I64" s="1"/>
      <c r="J64" s="1"/>
      <c r="K64" s="1"/>
      <c r="L64" s="1"/>
      <c r="M64" s="1"/>
      <c r="N64" s="1"/>
      <c r="O64" s="3"/>
      <c r="P64" s="3"/>
      <c r="Q64" s="3"/>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4"/>
      <c r="AV64" s="14"/>
      <c r="AW64" s="14"/>
      <c r="AX64" s="14"/>
      <c r="AY64" s="14"/>
      <c r="AZ64" s="14"/>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row>
    <row r="65" spans="2:106" ht="18" hidden="1" customHeight="1" x14ac:dyDescent="0.2">
      <c r="B65" s="1"/>
      <c r="C65" s="1"/>
      <c r="D65" s="1"/>
      <c r="E65" s="1"/>
      <c r="F65" s="1"/>
      <c r="G65" s="1"/>
      <c r="H65" s="1"/>
      <c r="I65" s="1"/>
      <c r="J65" s="680"/>
      <c r="K65" s="680" t="s">
        <v>2183</v>
      </c>
      <c r="L65" s="680"/>
      <c r="M65" s="680"/>
      <c r="N65" s="680"/>
      <c r="O65" s="680"/>
      <c r="P65" s="680"/>
      <c r="Q65" s="680"/>
      <c r="R65" s="680"/>
      <c r="S65" s="680"/>
      <c r="T65" s="680"/>
      <c r="U65" s="680"/>
      <c r="V65" s="680"/>
      <c r="W65" s="680"/>
      <c r="X65" s="680"/>
      <c r="Y65" s="18"/>
      <c r="Z65" s="18"/>
      <c r="AA65" s="18"/>
      <c r="AB65" s="18"/>
      <c r="AC65" s="18"/>
      <c r="AD65" s="18"/>
      <c r="AE65" s="18"/>
      <c r="AF65" s="18"/>
      <c r="AG65" s="18"/>
      <c r="AH65" s="18"/>
      <c r="AI65" s="18"/>
      <c r="AJ65" s="18"/>
      <c r="AK65" s="18"/>
      <c r="AL65" s="18"/>
      <c r="AM65" s="18"/>
      <c r="AN65" s="18"/>
      <c r="AO65" s="18"/>
      <c r="AP65" s="18"/>
      <c r="AQ65" s="18"/>
      <c r="AR65" s="18"/>
      <c r="AS65" s="18"/>
      <c r="AT65" s="18"/>
      <c r="AU65" s="14"/>
      <c r="AV65" s="14"/>
      <c r="AW65" s="14"/>
      <c r="AX65" s="14"/>
      <c r="AY65" s="14"/>
      <c r="AZ65" s="14"/>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row>
    <row r="66" spans="2:106" s="191" customFormat="1" ht="18" hidden="1" customHeight="1" x14ac:dyDescent="0.2">
      <c r="B66" s="201">
        <v>0.01</v>
      </c>
      <c r="C66" s="201">
        <v>0.02</v>
      </c>
      <c r="D66" s="201">
        <v>0.03</v>
      </c>
      <c r="E66" s="201">
        <v>0.04</v>
      </c>
      <c r="F66" s="201">
        <v>0.05</v>
      </c>
      <c r="G66" s="201">
        <v>0.06</v>
      </c>
      <c r="H66" s="201">
        <v>7.0000000000000007E-2</v>
      </c>
      <c r="I66" s="201">
        <v>0.08</v>
      </c>
      <c r="J66" s="201">
        <v>0.09</v>
      </c>
      <c r="K66" s="201">
        <v>0.1</v>
      </c>
      <c r="L66" s="201">
        <v>0.11</v>
      </c>
      <c r="M66" s="201">
        <v>0.12</v>
      </c>
      <c r="N66" s="201">
        <v>0.13</v>
      </c>
      <c r="O66" s="201">
        <v>0.14000000000000001</v>
      </c>
      <c r="P66" s="201">
        <v>0.15</v>
      </c>
      <c r="Q66" s="201">
        <v>0.16</v>
      </c>
      <c r="R66" s="186">
        <v>0.17</v>
      </c>
      <c r="S66" s="186">
        <v>0.18</v>
      </c>
      <c r="T66" s="186">
        <v>0.19</v>
      </c>
      <c r="U66" s="186">
        <v>0.2</v>
      </c>
      <c r="V66" s="186">
        <v>0.21</v>
      </c>
      <c r="W66" s="186">
        <v>0.22</v>
      </c>
      <c r="X66" s="186">
        <v>0.23</v>
      </c>
      <c r="Y66" s="186">
        <v>0.24</v>
      </c>
      <c r="Z66" s="186">
        <v>0.25</v>
      </c>
      <c r="AA66" s="186">
        <v>0.26</v>
      </c>
      <c r="AB66" s="186">
        <v>0.27</v>
      </c>
      <c r="AC66" s="186">
        <v>0.28000000000000003</v>
      </c>
      <c r="AD66" s="186">
        <v>0.28999999999999998</v>
      </c>
      <c r="AE66" s="186">
        <v>0.3</v>
      </c>
      <c r="AF66" s="186">
        <v>0.31</v>
      </c>
      <c r="AG66" s="186">
        <v>0.32</v>
      </c>
      <c r="AH66" s="186">
        <v>0.33</v>
      </c>
      <c r="AI66" s="186">
        <v>0.34</v>
      </c>
      <c r="AJ66" s="186">
        <v>0.35</v>
      </c>
      <c r="AK66" s="186">
        <v>0.36</v>
      </c>
      <c r="AL66" s="186">
        <v>0.37</v>
      </c>
      <c r="AM66" s="186">
        <v>0.38</v>
      </c>
      <c r="AN66" s="186">
        <v>0.39</v>
      </c>
      <c r="AO66" s="186">
        <v>0.4</v>
      </c>
      <c r="AP66" s="186">
        <v>0.41</v>
      </c>
      <c r="AQ66" s="186">
        <v>0.42</v>
      </c>
      <c r="AR66" s="186">
        <v>0.43</v>
      </c>
      <c r="AS66" s="186">
        <v>0.44</v>
      </c>
      <c r="AT66" s="186">
        <v>0.45</v>
      </c>
      <c r="AU66" s="186">
        <v>0.46</v>
      </c>
      <c r="AV66" s="186">
        <v>0.47</v>
      </c>
      <c r="AW66" s="186">
        <v>0.48</v>
      </c>
      <c r="AX66" s="186">
        <v>0.49</v>
      </c>
      <c r="AY66" s="186">
        <v>0.5</v>
      </c>
      <c r="AZ66" s="186">
        <v>0.51</v>
      </c>
      <c r="BA66" s="186">
        <v>0.52</v>
      </c>
      <c r="BB66" s="186">
        <v>0.53</v>
      </c>
      <c r="BC66" s="186">
        <v>0.54</v>
      </c>
      <c r="BD66" s="186">
        <v>0.55000000000000004</v>
      </c>
      <c r="BE66" s="186">
        <v>0.56000000000000005</v>
      </c>
      <c r="BF66" s="186">
        <v>0.56999999999999995</v>
      </c>
      <c r="BG66" s="186">
        <v>0.57999999999999996</v>
      </c>
      <c r="BH66" s="186">
        <v>0.59</v>
      </c>
      <c r="BI66" s="186">
        <v>0.6</v>
      </c>
      <c r="BJ66" s="186">
        <v>0.61</v>
      </c>
      <c r="BK66" s="186">
        <v>0.62</v>
      </c>
      <c r="BL66" s="186">
        <v>0.63</v>
      </c>
      <c r="BM66" s="186">
        <v>0.64</v>
      </c>
      <c r="BN66" s="186">
        <v>0.65</v>
      </c>
      <c r="BO66" s="186">
        <v>0.66</v>
      </c>
      <c r="BP66" s="186">
        <v>0.67</v>
      </c>
      <c r="BQ66" s="186">
        <v>0.68</v>
      </c>
      <c r="BR66" s="186">
        <v>0.69</v>
      </c>
      <c r="BS66" s="186">
        <v>0.7</v>
      </c>
      <c r="BT66" s="186">
        <v>0.71</v>
      </c>
      <c r="BU66" s="186">
        <v>0.72</v>
      </c>
      <c r="BV66" s="186">
        <v>0.73</v>
      </c>
      <c r="BW66" s="186">
        <v>0.74</v>
      </c>
      <c r="BX66" s="186">
        <v>0.75</v>
      </c>
      <c r="BY66" s="186">
        <v>0.76</v>
      </c>
      <c r="BZ66" s="186">
        <v>0.77</v>
      </c>
      <c r="CA66" s="186">
        <v>0.78</v>
      </c>
      <c r="CB66" s="186">
        <v>0.79</v>
      </c>
      <c r="CC66" s="186">
        <v>0.8</v>
      </c>
      <c r="CD66" s="186">
        <v>0.81</v>
      </c>
      <c r="CE66" s="186">
        <v>0.82</v>
      </c>
      <c r="CF66" s="186">
        <v>0.83</v>
      </c>
      <c r="CG66" s="186">
        <v>0.84</v>
      </c>
      <c r="CH66" s="186">
        <v>0.85</v>
      </c>
      <c r="CI66" s="186">
        <v>0.86</v>
      </c>
      <c r="CJ66" s="186">
        <v>0.87</v>
      </c>
      <c r="CK66" s="186">
        <v>0.88</v>
      </c>
      <c r="CL66" s="186">
        <v>0.89</v>
      </c>
      <c r="CM66" s="186">
        <v>0.9</v>
      </c>
      <c r="CN66" s="186">
        <v>0.91</v>
      </c>
      <c r="CO66" s="186">
        <v>0.92</v>
      </c>
      <c r="CP66" s="186">
        <v>0.93</v>
      </c>
      <c r="CQ66" s="186">
        <v>0.94</v>
      </c>
      <c r="CR66" s="186">
        <v>0.95</v>
      </c>
      <c r="CS66" s="186">
        <v>0.96</v>
      </c>
      <c r="CT66" s="186">
        <v>0.97</v>
      </c>
      <c r="CU66" s="186">
        <v>0.98</v>
      </c>
      <c r="CV66" s="186">
        <v>0.99</v>
      </c>
      <c r="CW66" s="186">
        <v>1</v>
      </c>
      <c r="CX66" s="15"/>
      <c r="CY66" s="15"/>
      <c r="CZ66" s="15"/>
      <c r="DA66" s="15"/>
      <c r="DB66" s="15"/>
    </row>
    <row r="67" spans="2:106" ht="18" hidden="1" customHeight="1" x14ac:dyDescent="0.2">
      <c r="B67" s="23">
        <v>1</v>
      </c>
      <c r="C67" s="23">
        <v>1</v>
      </c>
      <c r="D67" s="23">
        <v>1</v>
      </c>
      <c r="E67" s="23">
        <v>1</v>
      </c>
      <c r="F67" s="23">
        <v>1</v>
      </c>
      <c r="G67" s="23">
        <v>1</v>
      </c>
      <c r="H67" s="23">
        <v>1</v>
      </c>
      <c r="I67" s="23">
        <v>1</v>
      </c>
      <c r="J67" s="23">
        <v>1</v>
      </c>
      <c r="K67" s="23">
        <v>2</v>
      </c>
      <c r="L67" s="23">
        <v>2</v>
      </c>
      <c r="M67" s="23">
        <v>2</v>
      </c>
      <c r="N67" s="23">
        <v>2</v>
      </c>
      <c r="O67" s="185">
        <v>2</v>
      </c>
      <c r="P67" s="185">
        <v>2</v>
      </c>
      <c r="Q67" s="185">
        <v>2</v>
      </c>
      <c r="R67" s="58">
        <v>2</v>
      </c>
      <c r="S67" s="58">
        <v>2</v>
      </c>
      <c r="T67" s="58">
        <v>2</v>
      </c>
      <c r="U67" s="58">
        <v>3</v>
      </c>
      <c r="V67" s="58">
        <v>3</v>
      </c>
      <c r="W67" s="58">
        <v>3</v>
      </c>
      <c r="X67" s="58">
        <v>3</v>
      </c>
      <c r="Y67" s="58">
        <v>3</v>
      </c>
      <c r="Z67" s="58">
        <v>3</v>
      </c>
      <c r="AA67" s="58">
        <v>3</v>
      </c>
      <c r="AB67" s="58">
        <v>3</v>
      </c>
      <c r="AC67" s="58">
        <v>3</v>
      </c>
      <c r="AD67" s="58">
        <v>3</v>
      </c>
      <c r="AE67" s="58">
        <v>4</v>
      </c>
      <c r="AF67" s="58">
        <v>4</v>
      </c>
      <c r="AG67" s="58">
        <v>4</v>
      </c>
      <c r="AH67" s="58">
        <v>4</v>
      </c>
      <c r="AI67" s="58">
        <v>4</v>
      </c>
      <c r="AJ67" s="58">
        <v>4</v>
      </c>
      <c r="AK67" s="58">
        <v>4</v>
      </c>
      <c r="AL67" s="58">
        <v>4</v>
      </c>
      <c r="AM67" s="58">
        <v>4</v>
      </c>
      <c r="AN67" s="58">
        <v>4</v>
      </c>
      <c r="AO67" s="58">
        <v>5</v>
      </c>
      <c r="AP67" s="58">
        <v>5</v>
      </c>
      <c r="AQ67" s="58">
        <v>5</v>
      </c>
      <c r="AR67" s="58">
        <v>5</v>
      </c>
      <c r="AS67" s="58">
        <v>5</v>
      </c>
      <c r="AT67" s="58">
        <v>5</v>
      </c>
      <c r="AU67" s="58">
        <v>5</v>
      </c>
      <c r="AV67" s="58">
        <v>5</v>
      </c>
      <c r="AW67" s="58">
        <v>5</v>
      </c>
      <c r="AX67" s="58">
        <v>5</v>
      </c>
      <c r="AY67" s="58">
        <v>6</v>
      </c>
      <c r="AZ67" s="58">
        <v>6</v>
      </c>
      <c r="BA67" s="58">
        <v>6</v>
      </c>
      <c r="BB67" s="58">
        <v>6</v>
      </c>
      <c r="BC67" s="58">
        <v>6</v>
      </c>
      <c r="BD67" s="58">
        <v>6</v>
      </c>
      <c r="BE67" s="58">
        <v>6</v>
      </c>
      <c r="BF67" s="58">
        <v>6</v>
      </c>
      <c r="BG67" s="58">
        <v>6</v>
      </c>
      <c r="BH67" s="58">
        <v>6</v>
      </c>
      <c r="BI67" s="58">
        <v>7</v>
      </c>
      <c r="BJ67" s="58">
        <v>7</v>
      </c>
      <c r="BK67" s="58">
        <v>7</v>
      </c>
      <c r="BL67" s="58">
        <v>7</v>
      </c>
      <c r="BM67" s="58">
        <v>7</v>
      </c>
      <c r="BN67" s="58">
        <v>7</v>
      </c>
      <c r="BO67" s="58">
        <v>7</v>
      </c>
      <c r="BP67" s="58">
        <v>7</v>
      </c>
      <c r="BQ67" s="58">
        <v>7</v>
      </c>
      <c r="BR67" s="58">
        <v>7</v>
      </c>
      <c r="BS67" s="58">
        <v>7</v>
      </c>
      <c r="BT67" s="58">
        <v>7</v>
      </c>
      <c r="BU67" s="58">
        <v>7</v>
      </c>
      <c r="BV67" s="58">
        <v>7</v>
      </c>
      <c r="BW67" s="58">
        <v>7</v>
      </c>
      <c r="BX67" s="58">
        <v>7</v>
      </c>
      <c r="BY67" s="58">
        <v>7</v>
      </c>
      <c r="BZ67" s="58">
        <v>7</v>
      </c>
      <c r="CA67" s="58">
        <v>7</v>
      </c>
      <c r="CB67" s="58">
        <v>7</v>
      </c>
      <c r="CC67" s="58">
        <v>7</v>
      </c>
      <c r="CD67" s="58">
        <v>7</v>
      </c>
      <c r="CE67" s="58">
        <v>7</v>
      </c>
      <c r="CF67" s="58">
        <v>7</v>
      </c>
      <c r="CG67" s="58">
        <v>7</v>
      </c>
      <c r="CH67" s="58">
        <v>7</v>
      </c>
      <c r="CI67" s="58">
        <v>7</v>
      </c>
      <c r="CJ67" s="58">
        <v>7</v>
      </c>
      <c r="CK67" s="58">
        <v>7</v>
      </c>
      <c r="CL67" s="58">
        <v>7</v>
      </c>
      <c r="CM67" s="58">
        <v>7</v>
      </c>
      <c r="CN67" s="58">
        <v>7</v>
      </c>
      <c r="CO67" s="58">
        <v>7</v>
      </c>
      <c r="CP67" s="58">
        <v>7</v>
      </c>
      <c r="CQ67" s="58">
        <v>7</v>
      </c>
      <c r="CR67" s="58">
        <v>7</v>
      </c>
      <c r="CS67" s="58">
        <v>7</v>
      </c>
      <c r="CT67" s="58">
        <v>7</v>
      </c>
      <c r="CU67" s="58">
        <v>7</v>
      </c>
      <c r="CV67" s="58">
        <v>7</v>
      </c>
      <c r="CW67" s="58">
        <v>7</v>
      </c>
      <c r="CX67" s="14"/>
      <c r="CY67" s="14"/>
      <c r="CZ67" s="14"/>
      <c r="DA67" s="14"/>
      <c r="DB67" s="14"/>
    </row>
    <row r="68" spans="2:106" hidden="1" x14ac:dyDescent="0.2">
      <c r="B68" s="2"/>
      <c r="C68" s="2"/>
      <c r="D68" s="2"/>
      <c r="E68" s="2"/>
      <c r="F68" s="2"/>
      <c r="G68" s="2"/>
      <c r="H68" s="2"/>
      <c r="I68" s="2"/>
      <c r="J68" s="2"/>
      <c r="K68" s="2"/>
      <c r="L68" s="2"/>
      <c r="M68" s="2"/>
      <c r="N68" s="2"/>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row>
    <row r="69" spans="2:106" hidden="1" x14ac:dyDescent="0.2">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row>
    <row r="70" spans="2:106" x14ac:dyDescent="0.2">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row>
    <row r="71" spans="2:106" x14ac:dyDescent="0.2">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row>
    <row r="72" spans="2:106" x14ac:dyDescent="0.2">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row>
    <row r="73" spans="2:106" x14ac:dyDescent="0.2">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row>
    <row r="74" spans="2:106" x14ac:dyDescent="0.2">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row>
    <row r="75" spans="2:106" x14ac:dyDescent="0.2">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row>
    <row r="76" spans="2:106" x14ac:dyDescent="0.2">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row>
    <row r="77" spans="2:106" x14ac:dyDescent="0.2">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row>
    <row r="78" spans="2:106" x14ac:dyDescent="0.2">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row>
    <row r="79" spans="2:106" x14ac:dyDescent="0.2">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row>
    <row r="80" spans="2:106" x14ac:dyDescent="0.2">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row>
    <row r="81" spans="18:106" x14ac:dyDescent="0.2">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row>
    <row r="82" spans="18:106" x14ac:dyDescent="0.2">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row>
    <row r="83" spans="18:106" x14ac:dyDescent="0.2">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row>
    <row r="84" spans="18:106" x14ac:dyDescent="0.2">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row>
    <row r="85" spans="18:106" x14ac:dyDescent="0.2">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row>
    <row r="86" spans="18:106" x14ac:dyDescent="0.2">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row>
    <row r="87" spans="18:106" x14ac:dyDescent="0.2">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row>
    <row r="88" spans="18:106" x14ac:dyDescent="0.2">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row>
    <row r="89" spans="18:106" x14ac:dyDescent="0.2">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row>
    <row r="90" spans="18:106" x14ac:dyDescent="0.2">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row>
    <row r="91" spans="18:106" x14ac:dyDescent="0.2">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row>
    <row r="92" spans="18:106" x14ac:dyDescent="0.2">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row>
    <row r="93" spans="18:106" x14ac:dyDescent="0.2">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row>
    <row r="94" spans="18:106" x14ac:dyDescent="0.2">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row>
    <row r="95" spans="18:106" x14ac:dyDescent="0.2">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row>
    <row r="96" spans="18:106" x14ac:dyDescent="0.2">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row>
    <row r="97" spans="18:106" x14ac:dyDescent="0.2">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row>
    <row r="98" spans="18:106" x14ac:dyDescent="0.2">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row>
    <row r="99" spans="18:106" x14ac:dyDescent="0.2">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row>
    <row r="100" spans="18:106" x14ac:dyDescent="0.2">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row>
    <row r="101" spans="18:106" x14ac:dyDescent="0.2">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row>
    <row r="102" spans="18:106" x14ac:dyDescent="0.2">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row>
    <row r="103" spans="18:106" x14ac:dyDescent="0.2">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row>
    <row r="104" spans="18:106" x14ac:dyDescent="0.2">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row>
    <row r="105" spans="18:106" x14ac:dyDescent="0.2">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row>
    <row r="106" spans="18:106" x14ac:dyDescent="0.2">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row>
    <row r="107" spans="18:106" x14ac:dyDescent="0.2">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row>
    <row r="108" spans="18:106" x14ac:dyDescent="0.2">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row>
    <row r="109" spans="18:106" x14ac:dyDescent="0.2">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row>
    <row r="110" spans="18:106" x14ac:dyDescent="0.2">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row>
    <row r="111" spans="18:106" x14ac:dyDescent="0.2">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row>
    <row r="112" spans="18:106" x14ac:dyDescent="0.2">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row>
    <row r="113" spans="18:106" x14ac:dyDescent="0.2">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row>
    <row r="114" spans="18:106" x14ac:dyDescent="0.2">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row>
    <row r="115" spans="18:106" x14ac:dyDescent="0.2">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row>
    <row r="116" spans="18:106" x14ac:dyDescent="0.2">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row>
    <row r="117" spans="18:106" x14ac:dyDescent="0.2">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row>
    <row r="118" spans="18:106" x14ac:dyDescent="0.2">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row>
    <row r="119" spans="18:106" x14ac:dyDescent="0.2">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row>
    <row r="120" spans="18:106" x14ac:dyDescent="0.2">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row>
    <row r="121" spans="18:106" x14ac:dyDescent="0.2">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c r="AQ121" s="14"/>
      <c r="AR121" s="14"/>
      <c r="AS121" s="14"/>
      <c r="AT121" s="14"/>
      <c r="AU121" s="14"/>
      <c r="AV121" s="14"/>
      <c r="AW121" s="14"/>
      <c r="AX121" s="14"/>
      <c r="AY121" s="14"/>
      <c r="AZ121" s="14"/>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row>
    <row r="122" spans="18:106" x14ac:dyDescent="0.2">
      <c r="R122" s="14"/>
      <c r="S122" s="14"/>
      <c r="T122" s="14"/>
      <c r="U122" s="14"/>
      <c r="V122" s="14"/>
      <c r="W122" s="14"/>
      <c r="X122" s="14"/>
      <c r="Y122" s="14"/>
      <c r="Z122" s="14"/>
      <c r="AA122" s="14"/>
      <c r="AB122" s="14"/>
      <c r="AC122" s="14"/>
      <c r="AD122" s="14"/>
      <c r="AE122" s="14"/>
      <c r="AF122" s="14"/>
      <c r="AG122" s="14"/>
      <c r="AH122" s="14"/>
      <c r="AI122" s="14"/>
      <c r="AJ122" s="14"/>
      <c r="AK122" s="14"/>
      <c r="AL122" s="14"/>
      <c r="AM122" s="14"/>
      <c r="AN122" s="14"/>
      <c r="AO122" s="14"/>
      <c r="AP122" s="14"/>
      <c r="AQ122" s="14"/>
      <c r="AR122" s="14"/>
      <c r="AS122" s="14"/>
      <c r="AT122" s="14"/>
      <c r="AU122" s="14"/>
      <c r="AV122" s="14"/>
      <c r="AW122" s="14"/>
      <c r="AX122" s="14"/>
      <c r="AY122" s="14"/>
      <c r="AZ122" s="14"/>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row>
    <row r="123" spans="18:106" x14ac:dyDescent="0.2">
      <c r="R123" s="14"/>
      <c r="S123" s="14"/>
      <c r="T123" s="14"/>
      <c r="U123" s="14"/>
      <c r="V123" s="14"/>
      <c r="W123" s="14"/>
      <c r="X123" s="14"/>
      <c r="Y123" s="14"/>
      <c r="Z123" s="14"/>
      <c r="AA123" s="14"/>
      <c r="AB123" s="14"/>
      <c r="AC123" s="14"/>
      <c r="AD123" s="14"/>
      <c r="AE123" s="14"/>
      <c r="AF123" s="14"/>
      <c r="AG123" s="14"/>
      <c r="AH123" s="14"/>
      <c r="AI123" s="14"/>
      <c r="AJ123" s="14"/>
      <c r="AK123" s="14"/>
      <c r="AL123" s="14"/>
      <c r="AM123" s="14"/>
      <c r="AN123" s="14"/>
      <c r="AO123" s="14"/>
      <c r="AP123" s="14"/>
      <c r="AQ123" s="14"/>
      <c r="AR123" s="14"/>
      <c r="AS123" s="14"/>
      <c r="AT123" s="14"/>
      <c r="AU123" s="14"/>
      <c r="AV123" s="14"/>
      <c r="AW123" s="14"/>
      <c r="AX123" s="14"/>
      <c r="AY123" s="14"/>
      <c r="AZ123" s="14"/>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row>
    <row r="124" spans="18:106" x14ac:dyDescent="0.2">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c r="AQ124" s="14"/>
      <c r="AR124" s="14"/>
      <c r="AS124" s="14"/>
      <c r="AT124" s="14"/>
      <c r="AU124" s="14"/>
      <c r="AV124" s="14"/>
      <c r="AW124" s="14"/>
      <c r="AX124" s="14"/>
      <c r="AY124" s="14"/>
      <c r="AZ124" s="14"/>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row>
    <row r="125" spans="18:106" x14ac:dyDescent="0.2">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c r="AQ125" s="14"/>
      <c r="AR125" s="14"/>
      <c r="AS125" s="14"/>
      <c r="AT125" s="14"/>
      <c r="AU125" s="14"/>
      <c r="AV125" s="14"/>
      <c r="AW125" s="14"/>
      <c r="AX125" s="14"/>
      <c r="AY125" s="14"/>
      <c r="AZ125" s="14"/>
      <c r="BA125" s="14"/>
      <c r="BB125" s="14"/>
      <c r="BC125" s="14"/>
      <c r="BD125" s="14"/>
      <c r="BE125" s="14"/>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row>
    <row r="126" spans="18:106" x14ac:dyDescent="0.2">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c r="AQ126" s="14"/>
      <c r="AR126" s="14"/>
      <c r="AS126" s="14"/>
      <c r="AT126" s="14"/>
      <c r="AU126" s="14"/>
      <c r="AV126" s="14"/>
      <c r="AW126" s="14"/>
      <c r="AX126" s="14"/>
      <c r="AY126" s="14"/>
      <c r="AZ126" s="14"/>
      <c r="BA126" s="14"/>
      <c r="BB126" s="14"/>
      <c r="BC126" s="14"/>
      <c r="BD126" s="14"/>
      <c r="BE126" s="14"/>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row>
    <row r="127" spans="18:106" x14ac:dyDescent="0.2">
      <c r="R127" s="14"/>
      <c r="S127" s="14"/>
      <c r="T127" s="14"/>
      <c r="U127" s="14"/>
      <c r="V127" s="14"/>
      <c r="W127" s="14"/>
      <c r="X127" s="14"/>
      <c r="Y127" s="14"/>
      <c r="Z127" s="14"/>
      <c r="AA127" s="14"/>
      <c r="AB127" s="14"/>
      <c r="AC127" s="14"/>
      <c r="AD127" s="14"/>
      <c r="AE127" s="14"/>
      <c r="AF127" s="14"/>
      <c r="AG127" s="14"/>
      <c r="AH127" s="14"/>
      <c r="AI127" s="14"/>
      <c r="AJ127" s="14"/>
      <c r="AK127" s="14"/>
      <c r="AL127" s="14"/>
      <c r="AM127" s="14"/>
      <c r="AN127" s="14"/>
      <c r="AO127" s="14"/>
      <c r="AP127" s="14"/>
      <c r="AQ127" s="14"/>
      <c r="AR127" s="14"/>
      <c r="AS127" s="14"/>
      <c r="AT127" s="14"/>
      <c r="AU127" s="14"/>
      <c r="AV127" s="14"/>
      <c r="AW127" s="14"/>
      <c r="AX127" s="14"/>
      <c r="AY127" s="14"/>
      <c r="AZ127" s="14"/>
      <c r="BA127" s="14"/>
      <c r="BB127" s="14"/>
      <c r="BC127" s="14"/>
      <c r="BD127" s="14"/>
      <c r="BE127" s="14"/>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row>
    <row r="128" spans="18:106" x14ac:dyDescent="0.2">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c r="AQ128" s="14"/>
      <c r="AR128" s="14"/>
      <c r="AS128" s="14"/>
      <c r="AT128" s="14"/>
      <c r="AU128" s="14"/>
      <c r="AV128" s="14"/>
      <c r="AW128" s="14"/>
      <c r="AX128" s="14"/>
      <c r="AY128" s="14"/>
      <c r="AZ128" s="14"/>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row>
    <row r="129" spans="18:106" x14ac:dyDescent="0.2">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c r="AQ129" s="14"/>
      <c r="AR129" s="14"/>
      <c r="AS129" s="14"/>
      <c r="AT129" s="14"/>
      <c r="AU129" s="14"/>
      <c r="AV129" s="14"/>
      <c r="AW129" s="14"/>
      <c r="AX129" s="14"/>
      <c r="AY129" s="14"/>
      <c r="AZ129" s="14"/>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row>
    <row r="130" spans="18:106" x14ac:dyDescent="0.2">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c r="AQ130" s="14"/>
      <c r="AR130" s="14"/>
      <c r="AS130" s="14"/>
      <c r="AT130" s="14"/>
      <c r="AU130" s="14"/>
      <c r="AV130" s="14"/>
      <c r="AW130" s="14"/>
      <c r="AX130" s="14"/>
      <c r="AY130" s="14"/>
      <c r="AZ130" s="14"/>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row>
    <row r="131" spans="18:106" x14ac:dyDescent="0.2">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c r="AQ131" s="14"/>
      <c r="AR131" s="14"/>
      <c r="AS131" s="14"/>
      <c r="AT131" s="14"/>
      <c r="AU131" s="14"/>
      <c r="AV131" s="14"/>
      <c r="AW131" s="14"/>
      <c r="AX131" s="14"/>
      <c r="AY131" s="14"/>
      <c r="AZ131" s="14"/>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row>
    <row r="132" spans="18:106" x14ac:dyDescent="0.2">
      <c r="R132" s="14"/>
      <c r="S132" s="14"/>
      <c r="T132" s="14"/>
      <c r="U132" s="14"/>
      <c r="V132" s="14"/>
      <c r="W132" s="14"/>
      <c r="X132" s="14"/>
      <c r="Y132" s="14"/>
      <c r="Z132" s="14"/>
      <c r="AA132" s="14"/>
      <c r="AB132" s="14"/>
      <c r="AC132" s="14"/>
      <c r="AD132" s="14"/>
      <c r="AE132" s="14"/>
      <c r="AF132" s="14"/>
      <c r="AG132" s="14"/>
      <c r="AH132" s="14"/>
      <c r="AI132" s="14"/>
      <c r="AJ132" s="14"/>
      <c r="AK132" s="14"/>
      <c r="AL132" s="14"/>
      <c r="AM132" s="14"/>
      <c r="AN132" s="14"/>
      <c r="AO132" s="14"/>
      <c r="AP132" s="14"/>
      <c r="AQ132" s="14"/>
      <c r="AR132" s="14"/>
      <c r="AS132" s="14"/>
      <c r="AT132" s="14"/>
      <c r="AU132" s="14"/>
      <c r="AV132" s="14"/>
      <c r="AW132" s="14"/>
      <c r="AX132" s="14"/>
      <c r="AY132" s="14"/>
      <c r="AZ132" s="14"/>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row>
    <row r="133" spans="18:106" x14ac:dyDescent="0.2">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c r="AQ133" s="14"/>
      <c r="AR133" s="14"/>
      <c r="AS133" s="14"/>
      <c r="AT133" s="14"/>
      <c r="AU133" s="14"/>
      <c r="AV133" s="14"/>
      <c r="AW133" s="14"/>
      <c r="AX133" s="14"/>
      <c r="AY133" s="14"/>
      <c r="AZ133" s="14"/>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row>
    <row r="134" spans="18:106" x14ac:dyDescent="0.2">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c r="AQ134" s="14"/>
      <c r="AR134" s="14"/>
      <c r="AS134" s="14"/>
      <c r="AT134" s="14"/>
      <c r="AU134" s="14"/>
      <c r="AV134" s="14"/>
      <c r="AW134" s="14"/>
      <c r="AX134" s="14"/>
      <c r="AY134" s="14"/>
      <c r="AZ134" s="14"/>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row>
    <row r="135" spans="18:106" x14ac:dyDescent="0.2">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c r="AQ135" s="14"/>
      <c r="AR135" s="14"/>
      <c r="AS135" s="14"/>
      <c r="AT135" s="14"/>
      <c r="AU135" s="14"/>
      <c r="AV135" s="14"/>
      <c r="AW135" s="14"/>
      <c r="AX135" s="14"/>
      <c r="AY135" s="14"/>
      <c r="AZ135" s="14"/>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row>
    <row r="136" spans="18:106" x14ac:dyDescent="0.2">
      <c r="R136" s="14"/>
      <c r="S136" s="14"/>
      <c r="T136" s="14"/>
      <c r="U136" s="14"/>
      <c r="V136" s="14"/>
      <c r="W136" s="14"/>
      <c r="X136" s="14"/>
      <c r="Y136" s="14"/>
      <c r="Z136" s="14"/>
      <c r="AA136" s="14"/>
      <c r="AB136" s="14"/>
      <c r="AC136" s="14"/>
      <c r="AD136" s="14"/>
      <c r="AE136" s="14"/>
      <c r="AF136" s="14"/>
      <c r="AG136" s="14"/>
      <c r="AH136" s="14"/>
      <c r="AI136" s="14"/>
      <c r="AJ136" s="14"/>
      <c r="AK136" s="14"/>
      <c r="AL136" s="14"/>
      <c r="AM136" s="14"/>
      <c r="AN136" s="14"/>
      <c r="AO136" s="14"/>
      <c r="AP136" s="14"/>
      <c r="AQ136" s="14"/>
      <c r="AR136" s="14"/>
      <c r="AS136" s="14"/>
      <c r="AT136" s="14"/>
      <c r="AU136" s="14"/>
      <c r="AV136" s="14"/>
      <c r="AW136" s="14"/>
      <c r="AX136" s="14"/>
      <c r="AY136" s="14"/>
      <c r="AZ136" s="14"/>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row>
    <row r="137" spans="18:106" x14ac:dyDescent="0.2">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c r="AQ137" s="14"/>
      <c r="AR137" s="14"/>
      <c r="AS137" s="14"/>
      <c r="AT137" s="14"/>
      <c r="AU137" s="14"/>
      <c r="AV137" s="14"/>
      <c r="AW137" s="14"/>
      <c r="AX137" s="14"/>
      <c r="AY137" s="14"/>
      <c r="AZ137" s="14"/>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row>
    <row r="138" spans="18:106" x14ac:dyDescent="0.2">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Q138" s="14"/>
      <c r="AR138" s="14"/>
      <c r="AS138" s="14"/>
      <c r="AT138" s="14"/>
      <c r="AU138" s="14"/>
      <c r="AV138" s="14"/>
      <c r="AW138" s="14"/>
      <c r="AX138" s="14"/>
      <c r="AY138" s="14"/>
      <c r="AZ138" s="14"/>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row>
    <row r="139" spans="18:106" x14ac:dyDescent="0.2">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c r="AQ139" s="14"/>
      <c r="AR139" s="14"/>
      <c r="AS139" s="14"/>
      <c r="AT139" s="14"/>
      <c r="AU139" s="14"/>
      <c r="AV139" s="14"/>
      <c r="AW139" s="14"/>
      <c r="AX139" s="14"/>
      <c r="AY139" s="14"/>
      <c r="AZ139" s="14"/>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row>
    <row r="140" spans="18:106" x14ac:dyDescent="0.2">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c r="AQ140" s="14"/>
      <c r="AR140" s="14"/>
      <c r="AS140" s="14"/>
      <c r="AT140" s="14"/>
      <c r="AU140" s="14"/>
      <c r="AV140" s="14"/>
      <c r="AW140" s="14"/>
      <c r="AX140" s="14"/>
      <c r="AY140" s="14"/>
      <c r="AZ140" s="14"/>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row>
    <row r="141" spans="18:106" x14ac:dyDescent="0.2">
      <c r="R141" s="14"/>
      <c r="S141" s="14"/>
      <c r="T141" s="14"/>
      <c r="U141" s="14"/>
      <c r="V141" s="14"/>
      <c r="W141" s="14"/>
      <c r="X141" s="14"/>
      <c r="Y141" s="14"/>
      <c r="Z141" s="14"/>
      <c r="AA141" s="14"/>
      <c r="AB141" s="14"/>
      <c r="AC141" s="14"/>
      <c r="AD141" s="14"/>
      <c r="AE141" s="14"/>
      <c r="AF141" s="14"/>
      <c r="AG141" s="14"/>
      <c r="AH141" s="14"/>
      <c r="AI141" s="14"/>
      <c r="AJ141" s="14"/>
      <c r="AK141" s="14"/>
      <c r="AL141" s="14"/>
      <c r="AM141" s="14"/>
      <c r="AN141" s="14"/>
      <c r="AO141" s="14"/>
      <c r="AP141" s="14"/>
      <c r="AQ141" s="14"/>
      <c r="AR141" s="14"/>
      <c r="AS141" s="14"/>
      <c r="AT141" s="14"/>
      <c r="AU141" s="14"/>
      <c r="AV141" s="14"/>
      <c r="AW141" s="14"/>
      <c r="AX141" s="14"/>
      <c r="AY141" s="14"/>
      <c r="AZ141" s="14"/>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row>
    <row r="142" spans="18:106" x14ac:dyDescent="0.2">
      <c r="R142" s="14"/>
      <c r="S142" s="14"/>
      <c r="T142" s="14"/>
      <c r="U142" s="14"/>
      <c r="V142" s="14"/>
      <c r="W142" s="14"/>
      <c r="X142" s="14"/>
      <c r="Y142" s="14"/>
      <c r="Z142" s="14"/>
      <c r="AA142" s="14"/>
      <c r="AB142" s="14"/>
      <c r="AC142" s="14"/>
      <c r="AD142" s="14"/>
      <c r="AE142" s="14"/>
      <c r="AF142" s="14"/>
      <c r="AG142" s="14"/>
      <c r="AH142" s="14"/>
      <c r="AI142" s="14"/>
      <c r="AJ142" s="14"/>
      <c r="AK142" s="14"/>
      <c r="AL142" s="14"/>
      <c r="AM142" s="14"/>
      <c r="AN142" s="14"/>
      <c r="AO142" s="14"/>
      <c r="AP142" s="14"/>
      <c r="AQ142" s="14"/>
      <c r="AR142" s="14"/>
      <c r="AS142" s="14"/>
      <c r="AT142" s="14"/>
      <c r="AU142" s="14"/>
      <c r="AV142" s="14"/>
      <c r="AW142" s="14"/>
      <c r="AX142" s="14"/>
      <c r="AY142" s="14"/>
      <c r="AZ142" s="14"/>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row>
    <row r="143" spans="18:106" x14ac:dyDescent="0.2">
      <c r="R143" s="14"/>
      <c r="S143" s="14"/>
      <c r="T143" s="14"/>
      <c r="U143" s="14"/>
      <c r="V143" s="14"/>
      <c r="W143" s="14"/>
      <c r="X143" s="14"/>
      <c r="Y143" s="14"/>
      <c r="Z143" s="14"/>
      <c r="AA143" s="14"/>
      <c r="AB143" s="14"/>
      <c r="AC143" s="14"/>
      <c r="AD143" s="14"/>
      <c r="AE143" s="14"/>
      <c r="AF143" s="14"/>
      <c r="AG143" s="14"/>
      <c r="AH143" s="14"/>
      <c r="AI143" s="14"/>
      <c r="AJ143" s="14"/>
      <c r="AK143" s="14"/>
      <c r="AL143" s="14"/>
      <c r="AM143" s="14"/>
      <c r="AN143" s="14"/>
      <c r="AO143" s="14"/>
      <c r="AP143" s="14"/>
      <c r="AQ143" s="14"/>
      <c r="AR143" s="14"/>
      <c r="AS143" s="14"/>
      <c r="AT143" s="14"/>
      <c r="AU143" s="14"/>
      <c r="AV143" s="14"/>
      <c r="AW143" s="14"/>
      <c r="AX143" s="14"/>
      <c r="AY143" s="14"/>
      <c r="AZ143" s="14"/>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row>
    <row r="144" spans="18:106" x14ac:dyDescent="0.2">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c r="AT144" s="14"/>
      <c r="AU144" s="14"/>
      <c r="AV144" s="14"/>
      <c r="AW144" s="14"/>
      <c r="AX144" s="14"/>
      <c r="AY144" s="14"/>
      <c r="AZ144" s="14"/>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row>
    <row r="145" spans="18:106" x14ac:dyDescent="0.2">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c r="AQ145" s="14"/>
      <c r="AR145" s="14"/>
      <c r="AS145" s="14"/>
      <c r="AT145" s="14"/>
      <c r="AU145" s="14"/>
      <c r="AV145" s="14"/>
      <c r="AW145" s="14"/>
      <c r="AX145" s="14"/>
      <c r="AY145" s="14"/>
      <c r="AZ145" s="14"/>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row>
    <row r="146" spans="18:106" x14ac:dyDescent="0.2">
      <c r="R146" s="14"/>
      <c r="S146" s="14"/>
      <c r="T146" s="14"/>
      <c r="U146" s="14"/>
      <c r="V146" s="14"/>
      <c r="W146" s="14"/>
      <c r="X146" s="14"/>
      <c r="Y146" s="14"/>
      <c r="Z146" s="14"/>
      <c r="AA146" s="14"/>
      <c r="AB146" s="14"/>
      <c r="AC146" s="14"/>
      <c r="AD146" s="14"/>
      <c r="AE146" s="14"/>
      <c r="AF146" s="14"/>
      <c r="AG146" s="14"/>
      <c r="AH146" s="14"/>
      <c r="AI146" s="14"/>
      <c r="AJ146" s="14"/>
      <c r="AK146" s="14"/>
      <c r="AL146" s="14"/>
      <c r="AM146" s="14"/>
      <c r="AN146" s="14"/>
      <c r="AO146" s="14"/>
      <c r="AP146" s="14"/>
      <c r="AQ146" s="14"/>
      <c r="AR146" s="14"/>
      <c r="AS146" s="14"/>
      <c r="AT146" s="14"/>
      <c r="AU146" s="14"/>
      <c r="AV146" s="14"/>
      <c r="AW146" s="14"/>
      <c r="AX146" s="14"/>
      <c r="AY146" s="14"/>
      <c r="AZ146" s="14"/>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row>
    <row r="147" spans="18:106" x14ac:dyDescent="0.2">
      <c r="R147" s="14"/>
      <c r="S147" s="14"/>
      <c r="T147" s="14"/>
      <c r="U147" s="14"/>
      <c r="V147" s="14"/>
      <c r="W147" s="14"/>
      <c r="X147" s="14"/>
      <c r="Y147" s="14"/>
      <c r="Z147" s="14"/>
      <c r="AA147" s="14"/>
      <c r="AB147" s="14"/>
      <c r="AC147" s="14"/>
      <c r="AD147" s="14"/>
      <c r="AE147" s="14"/>
      <c r="AF147" s="14"/>
      <c r="AG147" s="14"/>
      <c r="AH147" s="14"/>
      <c r="AI147" s="14"/>
      <c r="AJ147" s="14"/>
      <c r="AK147" s="14"/>
      <c r="AL147" s="14"/>
      <c r="AM147" s="14"/>
      <c r="AN147" s="14"/>
      <c r="AO147" s="14"/>
      <c r="AP147" s="14"/>
      <c r="AQ147" s="14"/>
      <c r="AR147" s="14"/>
      <c r="AS147" s="14"/>
      <c r="AT147" s="14"/>
      <c r="AU147" s="14"/>
      <c r="AV147" s="14"/>
      <c r="AW147" s="14"/>
      <c r="AX147" s="14"/>
      <c r="AY147" s="14"/>
      <c r="AZ147" s="14"/>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row>
    <row r="148" spans="18:106" x14ac:dyDescent="0.2">
      <c r="R148" s="14"/>
      <c r="S148" s="14"/>
      <c r="T148" s="14"/>
      <c r="U148" s="14"/>
      <c r="V148" s="14"/>
      <c r="W148" s="14"/>
      <c r="X148" s="14"/>
      <c r="Y148" s="14"/>
      <c r="Z148" s="14"/>
      <c r="AA148" s="14"/>
      <c r="AB148" s="14"/>
      <c r="AC148" s="14"/>
      <c r="AD148" s="14"/>
      <c r="AE148" s="14"/>
      <c r="AF148" s="14"/>
      <c r="AG148" s="14"/>
      <c r="AH148" s="14"/>
      <c r="AI148" s="14"/>
      <c r="AJ148" s="14"/>
      <c r="AK148" s="14"/>
      <c r="AL148" s="14"/>
      <c r="AM148" s="14"/>
      <c r="AN148" s="14"/>
      <c r="AO148" s="14"/>
      <c r="AP148" s="14"/>
      <c r="AQ148" s="14"/>
      <c r="AR148" s="14"/>
      <c r="AS148" s="14"/>
      <c r="AT148" s="14"/>
      <c r="AU148" s="14"/>
      <c r="AV148" s="14"/>
      <c r="AW148" s="14"/>
      <c r="AX148" s="14"/>
      <c r="AY148" s="14"/>
      <c r="AZ148" s="14"/>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row>
    <row r="149" spans="18:106" x14ac:dyDescent="0.2">
      <c r="R149" s="14"/>
      <c r="S149" s="14"/>
      <c r="T149" s="14"/>
      <c r="U149" s="14"/>
      <c r="V149" s="14"/>
      <c r="W149" s="14"/>
      <c r="X149" s="14"/>
      <c r="Y149" s="14"/>
      <c r="Z149" s="14"/>
      <c r="AA149" s="14"/>
      <c r="AB149" s="14"/>
      <c r="AC149" s="14"/>
      <c r="AD149" s="14"/>
      <c r="AE149" s="14"/>
      <c r="AF149" s="14"/>
      <c r="AG149" s="14"/>
      <c r="AH149" s="14"/>
      <c r="AI149" s="14"/>
      <c r="AJ149" s="14"/>
      <c r="AK149" s="14"/>
      <c r="AL149" s="14"/>
      <c r="AM149" s="14"/>
      <c r="AN149" s="14"/>
      <c r="AO149" s="14"/>
      <c r="AP149" s="14"/>
      <c r="AQ149" s="14"/>
      <c r="AR149" s="14"/>
      <c r="AS149" s="14"/>
      <c r="AT149" s="14"/>
      <c r="AU149" s="14"/>
      <c r="AV149" s="14"/>
      <c r="AW149" s="14"/>
      <c r="AX149" s="14"/>
      <c r="AY149" s="14"/>
      <c r="AZ149" s="14"/>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row>
    <row r="150" spans="18:106" x14ac:dyDescent="0.2">
      <c r="R150" s="14"/>
      <c r="S150" s="14"/>
      <c r="T150" s="14"/>
      <c r="U150" s="14"/>
      <c r="V150" s="14"/>
      <c r="W150" s="14"/>
      <c r="X150" s="14"/>
      <c r="Y150" s="14"/>
      <c r="Z150" s="14"/>
      <c r="AA150" s="14"/>
      <c r="AB150" s="14"/>
      <c r="AC150" s="14"/>
      <c r="AD150" s="14"/>
      <c r="AE150" s="14"/>
      <c r="AF150" s="14"/>
      <c r="AG150" s="14"/>
      <c r="AH150" s="14"/>
      <c r="AI150" s="14"/>
      <c r="AJ150" s="14"/>
      <c r="AK150" s="14"/>
      <c r="AL150" s="14"/>
      <c r="AM150" s="14"/>
      <c r="AN150" s="14"/>
      <c r="AO150" s="14"/>
      <c r="AP150" s="14"/>
      <c r="AQ150" s="14"/>
      <c r="AR150" s="14"/>
      <c r="AS150" s="14"/>
      <c r="AT150" s="14"/>
      <c r="AU150" s="14"/>
      <c r="AV150" s="14"/>
      <c r="AW150" s="14"/>
      <c r="AX150" s="14"/>
      <c r="AY150" s="14"/>
      <c r="AZ150" s="14"/>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row>
    <row r="151" spans="18:106" x14ac:dyDescent="0.2">
      <c r="R151" s="14"/>
      <c r="S151" s="14"/>
      <c r="T151" s="14"/>
      <c r="U151" s="14"/>
      <c r="V151" s="14"/>
      <c r="W151" s="14"/>
      <c r="X151" s="14"/>
      <c r="Y151" s="14"/>
      <c r="Z151" s="14"/>
      <c r="AA151" s="14"/>
      <c r="AB151" s="14"/>
      <c r="AC151" s="14"/>
      <c r="AD151" s="14"/>
      <c r="AE151" s="14"/>
      <c r="AF151" s="14"/>
      <c r="AG151" s="14"/>
      <c r="AH151" s="14"/>
      <c r="AI151" s="14"/>
      <c r="AJ151" s="14"/>
      <c r="AK151" s="14"/>
      <c r="AL151" s="14"/>
      <c r="AM151" s="14"/>
      <c r="AN151" s="14"/>
      <c r="AO151" s="14"/>
      <c r="AP151" s="14"/>
      <c r="AQ151" s="14"/>
      <c r="AR151" s="14"/>
      <c r="AS151" s="14"/>
      <c r="AT151" s="14"/>
      <c r="AU151" s="14"/>
      <c r="AV151" s="14"/>
      <c r="AW151" s="14"/>
      <c r="AX151" s="14"/>
      <c r="AY151" s="14"/>
      <c r="AZ151" s="14"/>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row>
    <row r="152" spans="18:106" x14ac:dyDescent="0.2">
      <c r="R152" s="14"/>
      <c r="S152" s="14"/>
      <c r="T152" s="14"/>
      <c r="U152" s="14"/>
      <c r="V152" s="14"/>
      <c r="W152" s="14"/>
      <c r="X152" s="14"/>
      <c r="Y152" s="14"/>
      <c r="Z152" s="14"/>
      <c r="AA152" s="14"/>
      <c r="AB152" s="14"/>
      <c r="AC152" s="14"/>
      <c r="AD152" s="14"/>
      <c r="AE152" s="14"/>
      <c r="AF152" s="14"/>
      <c r="AG152" s="14"/>
      <c r="AH152" s="14"/>
      <c r="AI152" s="14"/>
      <c r="AJ152" s="14"/>
      <c r="AK152" s="14"/>
      <c r="AL152" s="14"/>
      <c r="AM152" s="14"/>
      <c r="AN152" s="14"/>
      <c r="AO152" s="14"/>
      <c r="AP152" s="14"/>
      <c r="AQ152" s="14"/>
      <c r="AR152" s="14"/>
      <c r="AS152" s="14"/>
      <c r="AT152" s="14"/>
      <c r="AU152" s="14"/>
      <c r="AV152" s="14"/>
      <c r="AW152" s="14"/>
      <c r="AX152" s="14"/>
      <c r="AY152" s="14"/>
      <c r="AZ152" s="14"/>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row>
    <row r="153" spans="18:106" x14ac:dyDescent="0.2">
      <c r="R153" s="14"/>
      <c r="S153" s="14"/>
      <c r="T153" s="14"/>
      <c r="U153" s="14"/>
      <c r="V153" s="14"/>
      <c r="W153" s="14"/>
      <c r="X153" s="14"/>
      <c r="Y153" s="14"/>
      <c r="Z153" s="14"/>
      <c r="AA153" s="14"/>
      <c r="AB153" s="14"/>
      <c r="AC153" s="14"/>
      <c r="AD153" s="14"/>
      <c r="AE153" s="14"/>
      <c r="AF153" s="14"/>
      <c r="AG153" s="14"/>
      <c r="AH153" s="14"/>
      <c r="AI153" s="14"/>
      <c r="AJ153" s="14"/>
      <c r="AK153" s="14"/>
      <c r="AL153" s="14"/>
      <c r="AM153" s="14"/>
      <c r="AN153" s="14"/>
      <c r="AO153" s="14"/>
      <c r="AP153" s="14"/>
      <c r="AQ153" s="14"/>
      <c r="AR153" s="14"/>
      <c r="AS153" s="14"/>
      <c r="AT153" s="14"/>
      <c r="AU153" s="14"/>
      <c r="AV153" s="14"/>
      <c r="AW153" s="14"/>
      <c r="AX153" s="14"/>
      <c r="AY153" s="14"/>
      <c r="AZ153" s="14"/>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row>
    <row r="154" spans="18:106" x14ac:dyDescent="0.2">
      <c r="R154" s="14"/>
      <c r="S154" s="14"/>
      <c r="T154" s="14"/>
      <c r="U154" s="14"/>
      <c r="V154" s="14"/>
      <c r="W154" s="14"/>
      <c r="X154" s="14"/>
      <c r="Y154" s="14"/>
      <c r="Z154" s="14"/>
      <c r="AA154" s="14"/>
      <c r="AB154" s="14"/>
      <c r="AC154" s="14"/>
      <c r="AD154" s="14"/>
      <c r="AE154" s="14"/>
      <c r="AF154" s="14"/>
      <c r="AG154" s="14"/>
      <c r="AH154" s="14"/>
      <c r="AI154" s="14"/>
      <c r="AJ154" s="14"/>
      <c r="AK154" s="14"/>
      <c r="AL154" s="14"/>
      <c r="AM154" s="14"/>
      <c r="AN154" s="14"/>
      <c r="AO154" s="14"/>
      <c r="AP154" s="14"/>
      <c r="AQ154" s="14"/>
      <c r="AR154" s="14"/>
      <c r="AS154" s="14"/>
      <c r="AT154" s="14"/>
      <c r="AU154" s="14"/>
      <c r="AV154" s="14"/>
      <c r="AW154" s="14"/>
      <c r="AX154" s="14"/>
      <c r="AY154" s="14"/>
      <c r="AZ154" s="14"/>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row>
    <row r="155" spans="18:106" x14ac:dyDescent="0.2">
      <c r="R155" s="14"/>
      <c r="S155" s="14"/>
      <c r="T155" s="14"/>
      <c r="U155" s="14"/>
      <c r="V155" s="14"/>
      <c r="W155" s="14"/>
      <c r="X155" s="14"/>
      <c r="Y155" s="14"/>
      <c r="Z155" s="14"/>
      <c r="AA155" s="14"/>
      <c r="AB155" s="14"/>
      <c r="AC155" s="14"/>
      <c r="AD155" s="14"/>
      <c r="AE155" s="14"/>
      <c r="AF155" s="14"/>
      <c r="AG155" s="14"/>
      <c r="AH155" s="14"/>
      <c r="AI155" s="14"/>
      <c r="AJ155" s="14"/>
      <c r="AK155" s="14"/>
      <c r="AL155" s="14"/>
      <c r="AM155" s="14"/>
      <c r="AN155" s="14"/>
      <c r="AO155" s="14"/>
      <c r="AP155" s="14"/>
      <c r="AQ155" s="14"/>
      <c r="AR155" s="14"/>
      <c r="AS155" s="14"/>
      <c r="AT155" s="14"/>
      <c r="AU155" s="14"/>
      <c r="AV155" s="14"/>
      <c r="AW155" s="14"/>
      <c r="AX155" s="14"/>
      <c r="AY155" s="14"/>
      <c r="AZ155" s="14"/>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row>
    <row r="156" spans="18:106" x14ac:dyDescent="0.2">
      <c r="R156" s="14"/>
      <c r="S156" s="14"/>
      <c r="T156" s="14"/>
      <c r="U156" s="14"/>
      <c r="V156" s="14"/>
      <c r="W156" s="14"/>
      <c r="X156" s="14"/>
      <c r="Y156" s="14"/>
      <c r="Z156" s="14"/>
      <c r="AA156" s="14"/>
      <c r="AB156" s="14"/>
      <c r="AC156" s="14"/>
      <c r="AD156" s="14"/>
      <c r="AE156" s="14"/>
      <c r="AF156" s="14"/>
      <c r="AG156" s="14"/>
      <c r="AH156" s="14"/>
      <c r="AI156" s="14"/>
      <c r="AJ156" s="14"/>
      <c r="AK156" s="14"/>
      <c r="AL156" s="14"/>
      <c r="AM156" s="14"/>
      <c r="AN156" s="14"/>
      <c r="AO156" s="14"/>
      <c r="AP156" s="14"/>
      <c r="AQ156" s="14"/>
      <c r="AR156" s="14"/>
      <c r="AS156" s="14"/>
      <c r="AT156" s="14"/>
      <c r="AU156" s="14"/>
      <c r="AV156" s="14"/>
      <c r="AW156" s="14"/>
      <c r="AX156" s="14"/>
      <c r="AY156" s="14"/>
      <c r="AZ156" s="14"/>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row>
    <row r="157" spans="18:106" x14ac:dyDescent="0.2">
      <c r="R157" s="14"/>
      <c r="S157" s="14"/>
      <c r="T157" s="14"/>
      <c r="U157" s="14"/>
      <c r="V157" s="14"/>
      <c r="W157" s="14"/>
      <c r="X157" s="14"/>
      <c r="Y157" s="14"/>
      <c r="Z157" s="14"/>
      <c r="AA157" s="14"/>
      <c r="AB157" s="14"/>
      <c r="AC157" s="14"/>
      <c r="AD157" s="14"/>
      <c r="AE157" s="14"/>
      <c r="AF157" s="14"/>
      <c r="AG157" s="14"/>
      <c r="AH157" s="14"/>
      <c r="AI157" s="14"/>
      <c r="AJ157" s="14"/>
      <c r="AK157" s="14"/>
      <c r="AL157" s="14"/>
      <c r="AM157" s="14"/>
      <c r="AN157" s="14"/>
      <c r="AO157" s="14"/>
      <c r="AP157" s="14"/>
      <c r="AQ157" s="14"/>
      <c r="AR157" s="14"/>
      <c r="AS157" s="14"/>
      <c r="AT157" s="14"/>
      <c r="AU157" s="14"/>
      <c r="AV157" s="14"/>
      <c r="AW157" s="14"/>
      <c r="AX157" s="14"/>
      <c r="AY157" s="14"/>
      <c r="AZ157" s="14"/>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row>
    <row r="158" spans="18:106" x14ac:dyDescent="0.2">
      <c r="R158" s="14"/>
      <c r="S158" s="14"/>
      <c r="T158" s="14"/>
      <c r="U158" s="14"/>
      <c r="V158" s="14"/>
      <c r="W158" s="14"/>
      <c r="X158" s="14"/>
      <c r="Y158" s="14"/>
      <c r="Z158" s="14"/>
      <c r="AA158" s="14"/>
      <c r="AB158" s="14"/>
      <c r="AC158" s="14"/>
      <c r="AD158" s="14"/>
      <c r="AE158" s="14"/>
      <c r="AF158" s="14"/>
      <c r="AG158" s="14"/>
      <c r="AH158" s="14"/>
      <c r="AI158" s="14"/>
      <c r="AJ158" s="14"/>
      <c r="AK158" s="14"/>
      <c r="AL158" s="14"/>
      <c r="AM158" s="14"/>
      <c r="AN158" s="14"/>
      <c r="AO158" s="14"/>
      <c r="AP158" s="14"/>
      <c r="AQ158" s="14"/>
      <c r="AR158" s="14"/>
      <c r="AS158" s="14"/>
      <c r="AT158" s="14"/>
      <c r="AU158" s="14"/>
      <c r="AV158" s="14"/>
      <c r="AW158" s="14"/>
      <c r="AX158" s="14"/>
      <c r="AY158" s="14"/>
      <c r="AZ158" s="14"/>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row>
    <row r="159" spans="18:106" x14ac:dyDescent="0.2">
      <c r="R159" s="14"/>
      <c r="S159" s="14"/>
      <c r="T159" s="14"/>
      <c r="U159" s="14"/>
      <c r="V159" s="14"/>
      <c r="W159" s="14"/>
      <c r="X159" s="14"/>
      <c r="Y159" s="14"/>
      <c r="Z159" s="14"/>
      <c r="AA159" s="14"/>
      <c r="AB159" s="14"/>
      <c r="AC159" s="14"/>
      <c r="AD159" s="14"/>
      <c r="AE159" s="14"/>
      <c r="AF159" s="14"/>
      <c r="AG159" s="14"/>
      <c r="AH159" s="14"/>
      <c r="AI159" s="14"/>
      <c r="AJ159" s="14"/>
      <c r="AK159" s="14"/>
      <c r="AL159" s="14"/>
      <c r="AM159" s="14"/>
      <c r="AN159" s="14"/>
      <c r="AO159" s="14"/>
      <c r="AP159" s="14"/>
      <c r="AQ159" s="14"/>
      <c r="AR159" s="14"/>
      <c r="AS159" s="14"/>
      <c r="AT159" s="14"/>
      <c r="AU159" s="14"/>
      <c r="AV159" s="14"/>
      <c r="AW159" s="14"/>
      <c r="AX159" s="14"/>
      <c r="AY159" s="14"/>
      <c r="AZ159" s="14"/>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row>
    <row r="160" spans="18:106" x14ac:dyDescent="0.2">
      <c r="R160" s="14"/>
      <c r="S160" s="14"/>
      <c r="T160" s="14"/>
      <c r="U160" s="14"/>
      <c r="V160" s="14"/>
      <c r="W160" s="14"/>
      <c r="X160" s="14"/>
      <c r="Y160" s="14"/>
      <c r="Z160" s="14"/>
      <c r="AA160" s="14"/>
      <c r="AB160" s="14"/>
      <c r="AC160" s="14"/>
      <c r="AD160" s="14"/>
      <c r="AE160" s="14"/>
      <c r="AF160" s="14"/>
      <c r="AG160" s="14"/>
      <c r="AH160" s="14"/>
      <c r="AI160" s="14"/>
      <c r="AJ160" s="14"/>
      <c r="AK160" s="14"/>
      <c r="AL160" s="14"/>
      <c r="AM160" s="14"/>
      <c r="AN160" s="14"/>
      <c r="AO160" s="14"/>
      <c r="AP160" s="14"/>
      <c r="AQ160" s="14"/>
      <c r="AR160" s="14"/>
      <c r="AS160" s="14"/>
      <c r="AT160" s="14"/>
      <c r="AU160" s="14"/>
      <c r="AV160" s="14"/>
      <c r="AW160" s="14"/>
      <c r="AX160" s="14"/>
      <c r="AY160" s="14"/>
      <c r="AZ160" s="14"/>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row>
    <row r="161" spans="18:106" x14ac:dyDescent="0.2">
      <c r="R161" s="14"/>
      <c r="S161" s="14"/>
      <c r="T161" s="14"/>
      <c r="U161" s="14"/>
      <c r="V161" s="14"/>
      <c r="W161" s="14"/>
      <c r="X161" s="14"/>
      <c r="Y161" s="14"/>
      <c r="Z161" s="14"/>
      <c r="AA161" s="14"/>
      <c r="AB161" s="14"/>
      <c r="AC161" s="14"/>
      <c r="AD161" s="14"/>
      <c r="AE161" s="14"/>
      <c r="AF161" s="14"/>
      <c r="AG161" s="14"/>
      <c r="AH161" s="14"/>
      <c r="AI161" s="14"/>
      <c r="AJ161" s="14"/>
      <c r="AK161" s="14"/>
      <c r="AL161" s="14"/>
      <c r="AM161" s="14"/>
      <c r="AN161" s="14"/>
      <c r="AO161" s="14"/>
      <c r="AP161" s="14"/>
      <c r="AQ161" s="14"/>
      <c r="AR161" s="14"/>
      <c r="AS161" s="14"/>
      <c r="AT161" s="14"/>
      <c r="AU161" s="14"/>
      <c r="AV161" s="14"/>
      <c r="AW161" s="14"/>
      <c r="AX161" s="14"/>
      <c r="AY161" s="14"/>
      <c r="AZ161" s="14"/>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row>
    <row r="162" spans="18:106" x14ac:dyDescent="0.2">
      <c r="R162" s="14"/>
      <c r="S162" s="14"/>
      <c r="T162" s="14"/>
      <c r="U162" s="14"/>
      <c r="V162" s="14"/>
      <c r="W162" s="14"/>
      <c r="X162" s="14"/>
      <c r="Y162" s="14"/>
      <c r="Z162" s="14"/>
      <c r="AA162" s="14"/>
      <c r="AB162" s="14"/>
      <c r="AC162" s="14"/>
      <c r="AD162" s="14"/>
      <c r="AE162" s="14"/>
      <c r="AF162" s="14"/>
      <c r="AG162" s="14"/>
      <c r="AH162" s="14"/>
      <c r="AI162" s="14"/>
      <c r="AJ162" s="14"/>
      <c r="AK162" s="14"/>
      <c r="AL162" s="14"/>
      <c r="AM162" s="14"/>
      <c r="AN162" s="14"/>
      <c r="AO162" s="14"/>
      <c r="AP162" s="14"/>
      <c r="AQ162" s="14"/>
      <c r="AR162" s="14"/>
      <c r="AS162" s="14"/>
      <c r="AT162" s="14"/>
      <c r="AU162" s="14"/>
      <c r="AV162" s="14"/>
      <c r="AW162" s="14"/>
      <c r="AX162" s="14"/>
      <c r="AY162" s="14"/>
      <c r="AZ162" s="14"/>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row>
    <row r="163" spans="18:106" x14ac:dyDescent="0.2">
      <c r="R163" s="14"/>
      <c r="S163" s="14"/>
      <c r="T163" s="14"/>
      <c r="U163" s="14"/>
      <c r="V163" s="14"/>
      <c r="W163" s="14"/>
      <c r="X163" s="14"/>
      <c r="Y163" s="14"/>
      <c r="Z163" s="14"/>
      <c r="AA163" s="14"/>
      <c r="AB163" s="14"/>
      <c r="AC163" s="14"/>
      <c r="AD163" s="14"/>
      <c r="AE163" s="14"/>
      <c r="AF163" s="14"/>
      <c r="AG163" s="14"/>
      <c r="AH163" s="14"/>
      <c r="AI163" s="14"/>
      <c r="AJ163" s="14"/>
      <c r="AK163" s="14"/>
      <c r="AL163" s="14"/>
      <c r="AM163" s="14"/>
      <c r="AN163" s="14"/>
      <c r="AO163" s="14"/>
      <c r="AP163" s="14"/>
      <c r="AQ163" s="14"/>
      <c r="AR163" s="14"/>
      <c r="AS163" s="14"/>
      <c r="AT163" s="14"/>
      <c r="AU163" s="14"/>
      <c r="AV163" s="14"/>
      <c r="AW163" s="14"/>
      <c r="AX163" s="14"/>
      <c r="AY163" s="14"/>
      <c r="AZ163" s="14"/>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row>
    <row r="164" spans="18:106" x14ac:dyDescent="0.2">
      <c r="R164" s="14"/>
      <c r="S164" s="14"/>
      <c r="T164" s="14"/>
      <c r="U164" s="14"/>
      <c r="V164" s="14"/>
      <c r="W164" s="14"/>
      <c r="X164" s="14"/>
      <c r="Y164" s="14"/>
      <c r="Z164" s="14"/>
      <c r="AA164" s="14"/>
      <c r="AB164" s="14"/>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row>
    <row r="165" spans="18:106" x14ac:dyDescent="0.2">
      <c r="R165" s="14"/>
      <c r="S165" s="14"/>
      <c r="T165" s="14"/>
      <c r="U165" s="14"/>
      <c r="V165" s="14"/>
      <c r="W165" s="14"/>
      <c r="X165" s="14"/>
      <c r="Y165" s="14"/>
      <c r="Z165" s="14"/>
      <c r="AA165" s="14"/>
      <c r="AB165" s="14"/>
      <c r="AC165" s="14"/>
      <c r="AD165" s="14"/>
      <c r="AE165" s="14"/>
      <c r="AF165" s="14"/>
      <c r="AG165" s="14"/>
      <c r="AH165" s="14"/>
      <c r="AI165" s="14"/>
      <c r="AJ165" s="14"/>
      <c r="AK165" s="14"/>
      <c r="AL165" s="14"/>
      <c r="AM165" s="14"/>
      <c r="AN165" s="14"/>
      <c r="AO165" s="14"/>
      <c r="AP165" s="14"/>
      <c r="AQ165" s="14"/>
      <c r="AR165" s="14"/>
      <c r="AS165" s="14"/>
      <c r="AT165" s="14"/>
      <c r="AU165" s="14"/>
      <c r="AV165" s="14"/>
      <c r="AW165" s="14"/>
      <c r="AX165" s="14"/>
      <c r="AY165" s="14"/>
      <c r="AZ165" s="14"/>
      <c r="BA165" s="14"/>
      <c r="BB165" s="14"/>
      <c r="BC165" s="14"/>
      <c r="BD165" s="14"/>
      <c r="BE165" s="14"/>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row>
    <row r="166" spans="18:106" x14ac:dyDescent="0.2">
      <c r="R166" s="14"/>
      <c r="S166" s="14"/>
      <c r="T166" s="14"/>
      <c r="U166" s="14"/>
      <c r="V166" s="14"/>
      <c r="W166" s="14"/>
      <c r="X166" s="14"/>
      <c r="Y166" s="14"/>
      <c r="Z166" s="14"/>
      <c r="AA166" s="14"/>
      <c r="AB166" s="14"/>
      <c r="AC166" s="14"/>
      <c r="AD166" s="14"/>
      <c r="AE166" s="14"/>
      <c r="AF166" s="14"/>
      <c r="AG166" s="14"/>
      <c r="AH166" s="14"/>
      <c r="AI166" s="14"/>
      <c r="AJ166" s="14"/>
      <c r="AK166" s="14"/>
      <c r="AL166" s="14"/>
      <c r="AM166" s="14"/>
      <c r="AN166" s="14"/>
      <c r="AO166" s="14"/>
      <c r="AP166" s="14"/>
      <c r="AQ166" s="14"/>
      <c r="AR166" s="14"/>
      <c r="AS166" s="14"/>
      <c r="AT166" s="14"/>
      <c r="AU166" s="14"/>
      <c r="AV166" s="14"/>
      <c r="AW166" s="14"/>
      <c r="AX166" s="14"/>
      <c r="AY166" s="14"/>
      <c r="AZ166" s="14"/>
      <c r="BA166" s="14"/>
      <c r="BB166" s="14"/>
      <c r="BC166" s="14"/>
      <c r="BD166" s="14"/>
      <c r="BE166" s="14"/>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row>
    <row r="167" spans="18:106" x14ac:dyDescent="0.2">
      <c r="R167" s="14"/>
      <c r="S167" s="14"/>
      <c r="T167" s="14"/>
      <c r="U167" s="14"/>
      <c r="V167" s="14"/>
      <c r="W167" s="14"/>
      <c r="X167" s="14"/>
      <c r="Y167" s="14"/>
      <c r="Z167" s="14"/>
      <c r="AA167" s="14"/>
      <c r="AB167" s="14"/>
      <c r="AC167" s="14"/>
      <c r="AD167" s="14"/>
      <c r="AE167" s="14"/>
      <c r="AF167" s="14"/>
      <c r="AG167" s="14"/>
      <c r="AH167" s="14"/>
      <c r="AI167" s="14"/>
      <c r="AJ167" s="14"/>
      <c r="AK167" s="14"/>
      <c r="AL167" s="14"/>
      <c r="AM167" s="14"/>
      <c r="AN167" s="14"/>
      <c r="AO167" s="14"/>
      <c r="AP167" s="14"/>
      <c r="AQ167" s="14"/>
      <c r="AR167" s="14"/>
      <c r="AS167" s="14"/>
      <c r="AT167" s="14"/>
      <c r="AU167" s="14"/>
      <c r="AV167" s="14"/>
      <c r="AW167" s="14"/>
      <c r="AX167" s="14"/>
      <c r="AY167" s="14"/>
      <c r="AZ167" s="14"/>
      <c r="BA167" s="14"/>
      <c r="BB167" s="14"/>
      <c r="BC167" s="14"/>
      <c r="BD167" s="14"/>
      <c r="BE167" s="14"/>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row>
    <row r="168" spans="18:106" x14ac:dyDescent="0.2">
      <c r="R168" s="14"/>
      <c r="S168" s="14"/>
      <c r="T168" s="14"/>
      <c r="U168" s="14"/>
      <c r="V168" s="14"/>
      <c r="W168" s="14"/>
      <c r="X168" s="14"/>
      <c r="Y168" s="14"/>
      <c r="Z168" s="14"/>
      <c r="AA168" s="14"/>
      <c r="AB168" s="14"/>
      <c r="AC168" s="14"/>
      <c r="AD168" s="14"/>
      <c r="AE168" s="14"/>
      <c r="AF168" s="14"/>
      <c r="AG168" s="14"/>
      <c r="AH168" s="14"/>
      <c r="AI168" s="14"/>
      <c r="AJ168" s="14"/>
      <c r="AK168" s="14"/>
      <c r="AL168" s="14"/>
      <c r="AM168" s="14"/>
      <c r="AN168" s="14"/>
      <c r="AO168" s="14"/>
      <c r="AP168" s="14"/>
      <c r="AQ168" s="14"/>
      <c r="AR168" s="14"/>
      <c r="AS168" s="14"/>
      <c r="AT168" s="14"/>
      <c r="AU168" s="14"/>
      <c r="AV168" s="14"/>
      <c r="AW168" s="14"/>
      <c r="AX168" s="14"/>
      <c r="AY168" s="14"/>
      <c r="AZ168" s="14"/>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row>
    <row r="169" spans="18:106" x14ac:dyDescent="0.2">
      <c r="R169" s="14"/>
      <c r="S169" s="14"/>
      <c r="T169" s="14"/>
      <c r="U169" s="14"/>
      <c r="V169" s="14"/>
      <c r="W169" s="14"/>
      <c r="X169" s="14"/>
      <c r="Y169" s="14"/>
      <c r="Z169" s="14"/>
      <c r="AA169" s="14"/>
      <c r="AB169" s="14"/>
      <c r="AC169" s="14"/>
      <c r="AD169" s="14"/>
      <c r="AE169" s="14"/>
      <c r="AF169" s="14"/>
      <c r="AG169" s="14"/>
      <c r="AH169" s="14"/>
      <c r="AI169" s="14"/>
      <c r="AJ169" s="14"/>
      <c r="AK169" s="14"/>
      <c r="AL169" s="14"/>
      <c r="AM169" s="14"/>
      <c r="AN169" s="14"/>
      <c r="AO169" s="14"/>
      <c r="AP169" s="14"/>
      <c r="AQ169" s="14"/>
      <c r="AR169" s="14"/>
      <c r="AS169" s="14"/>
      <c r="AT169" s="14"/>
      <c r="AU169" s="14"/>
      <c r="AV169" s="14"/>
      <c r="AW169" s="14"/>
      <c r="AX169" s="14"/>
      <c r="AY169" s="14"/>
      <c r="AZ169" s="14"/>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row>
    <row r="170" spans="18:106" x14ac:dyDescent="0.2">
      <c r="R170" s="14"/>
      <c r="S170" s="14"/>
      <c r="T170" s="14"/>
      <c r="U170" s="14"/>
      <c r="V170" s="14"/>
      <c r="W170" s="14"/>
      <c r="X170" s="14"/>
      <c r="Y170" s="14"/>
      <c r="Z170" s="14"/>
      <c r="AA170" s="14"/>
      <c r="AB170" s="14"/>
      <c r="AC170" s="14"/>
      <c r="AD170" s="14"/>
      <c r="AE170" s="14"/>
      <c r="AF170" s="14"/>
      <c r="AG170" s="14"/>
      <c r="AH170" s="14"/>
      <c r="AI170" s="14"/>
      <c r="AJ170" s="14"/>
      <c r="AK170" s="14"/>
      <c r="AL170" s="14"/>
      <c r="AM170" s="14"/>
      <c r="AN170" s="14"/>
      <c r="AO170" s="14"/>
      <c r="AP170" s="14"/>
      <c r="AQ170" s="14"/>
      <c r="AR170" s="14"/>
      <c r="AS170" s="14"/>
      <c r="AT170" s="14"/>
      <c r="AU170" s="14"/>
      <c r="AV170" s="14"/>
      <c r="AW170" s="14"/>
      <c r="AX170" s="14"/>
      <c r="AY170" s="14"/>
      <c r="AZ170" s="14"/>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row>
    <row r="171" spans="18:106" x14ac:dyDescent="0.2">
      <c r="R171" s="14"/>
      <c r="S171" s="14"/>
      <c r="T171" s="14"/>
      <c r="U171" s="14"/>
      <c r="V171" s="14"/>
      <c r="W171" s="14"/>
      <c r="X171" s="14"/>
      <c r="Y171" s="14"/>
      <c r="Z171" s="14"/>
      <c r="AA171" s="14"/>
      <c r="AB171" s="14"/>
      <c r="AC171" s="14"/>
      <c r="AD171" s="14"/>
      <c r="AE171" s="14"/>
      <c r="AF171" s="14"/>
      <c r="AG171" s="14"/>
      <c r="AH171" s="14"/>
      <c r="AI171" s="14"/>
      <c r="AJ171" s="14"/>
      <c r="AK171" s="14"/>
      <c r="AL171" s="14"/>
      <c r="AM171" s="14"/>
      <c r="AN171" s="14"/>
      <c r="AO171" s="14"/>
      <c r="AP171" s="14"/>
      <c r="AQ171" s="14"/>
      <c r="AR171" s="14"/>
      <c r="AS171" s="14"/>
      <c r="AT171" s="14"/>
      <c r="AU171" s="14"/>
      <c r="AV171" s="14"/>
      <c r="AW171" s="14"/>
      <c r="AX171" s="14"/>
      <c r="AY171" s="14"/>
      <c r="AZ171" s="14"/>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row>
    <row r="172" spans="18:106" x14ac:dyDescent="0.2">
      <c r="R172" s="14"/>
      <c r="S172" s="14"/>
      <c r="T172" s="14"/>
      <c r="U172" s="14"/>
      <c r="V172" s="14"/>
      <c r="W172" s="14"/>
      <c r="X172" s="14"/>
      <c r="Y172" s="14"/>
      <c r="Z172" s="14"/>
      <c r="AA172" s="14"/>
      <c r="AB172" s="14"/>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row>
    <row r="173" spans="18:106" x14ac:dyDescent="0.2">
      <c r="R173" s="14"/>
      <c r="S173" s="14"/>
      <c r="T173" s="14"/>
      <c r="U173" s="14"/>
      <c r="V173" s="14"/>
      <c r="W173" s="14"/>
      <c r="X173" s="14"/>
      <c r="Y173" s="14"/>
      <c r="Z173" s="14"/>
      <c r="AA173" s="14"/>
      <c r="AB173" s="14"/>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row>
    <row r="174" spans="18:106" x14ac:dyDescent="0.2">
      <c r="R174" s="14"/>
      <c r="S174" s="14"/>
      <c r="T174" s="14"/>
      <c r="U174" s="14"/>
      <c r="V174" s="14"/>
      <c r="W174" s="14"/>
      <c r="X174" s="14"/>
      <c r="Y174" s="14"/>
      <c r="Z174" s="14"/>
      <c r="AA174" s="14"/>
      <c r="AB174" s="14"/>
      <c r="AC174" s="14"/>
      <c r="AD174" s="14"/>
      <c r="AE174" s="14"/>
      <c r="AF174" s="14"/>
      <c r="AG174" s="14"/>
      <c r="AH174" s="14"/>
      <c r="AI174" s="14"/>
      <c r="AJ174" s="14"/>
      <c r="AK174" s="14"/>
      <c r="AL174" s="14"/>
      <c r="AM174" s="14"/>
      <c r="AN174" s="14"/>
      <c r="AO174" s="14"/>
      <c r="AP174" s="14"/>
      <c r="AQ174" s="14"/>
      <c r="AR174" s="14"/>
      <c r="AS174" s="14"/>
      <c r="AT174" s="14"/>
      <c r="AU174" s="14"/>
      <c r="AV174" s="14"/>
      <c r="AW174" s="14"/>
      <c r="AX174" s="14"/>
      <c r="AY174" s="14"/>
      <c r="AZ174" s="14"/>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row>
    <row r="175" spans="18:106" x14ac:dyDescent="0.2">
      <c r="R175" s="14"/>
      <c r="S175" s="14"/>
      <c r="T175" s="14"/>
      <c r="U175" s="14"/>
      <c r="V175" s="14"/>
      <c r="W175" s="14"/>
      <c r="X175" s="14"/>
      <c r="Y175" s="14"/>
      <c r="Z175" s="14"/>
      <c r="AA175" s="14"/>
      <c r="AB175" s="14"/>
      <c r="AC175" s="14"/>
      <c r="AD175" s="14"/>
      <c r="AE175" s="14"/>
      <c r="AF175" s="14"/>
      <c r="AG175" s="14"/>
      <c r="AH175" s="14"/>
      <c r="AI175" s="14"/>
      <c r="AJ175" s="14"/>
      <c r="AK175" s="14"/>
      <c r="AL175" s="14"/>
      <c r="AM175" s="14"/>
      <c r="AN175" s="14"/>
      <c r="AO175" s="14"/>
      <c r="AP175" s="14"/>
      <c r="AQ175" s="14"/>
      <c r="AR175" s="14"/>
      <c r="AS175" s="14"/>
      <c r="AT175" s="14"/>
      <c r="AU175" s="14"/>
      <c r="AV175" s="14"/>
      <c r="AW175" s="14"/>
      <c r="AX175" s="14"/>
      <c r="AY175" s="14"/>
      <c r="AZ175" s="14"/>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row>
    <row r="176" spans="18:106" x14ac:dyDescent="0.2">
      <c r="R176" s="14"/>
      <c r="S176" s="14"/>
      <c r="T176" s="14"/>
      <c r="U176" s="14"/>
      <c r="V176" s="14"/>
      <c r="W176" s="14"/>
      <c r="X176" s="14"/>
      <c r="Y176" s="14"/>
      <c r="Z176" s="14"/>
      <c r="AA176" s="14"/>
      <c r="AB176" s="14"/>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c r="AY176" s="14"/>
      <c r="AZ176" s="14"/>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row>
    <row r="177" spans="18:106" x14ac:dyDescent="0.2">
      <c r="R177" s="14"/>
      <c r="S177" s="14"/>
      <c r="T177" s="14"/>
      <c r="U177" s="14"/>
      <c r="V177" s="14"/>
      <c r="W177" s="14"/>
      <c r="X177" s="14"/>
      <c r="Y177" s="14"/>
      <c r="Z177" s="14"/>
      <c r="AA177" s="14"/>
      <c r="AB177" s="14"/>
      <c r="AC177" s="14"/>
      <c r="AD177" s="14"/>
      <c r="AE177" s="14"/>
      <c r="AF177" s="14"/>
      <c r="AG177" s="14"/>
      <c r="AH177" s="14"/>
      <c r="AI177" s="14"/>
      <c r="AJ177" s="14"/>
      <c r="AK177" s="14"/>
      <c r="AL177" s="14"/>
      <c r="AM177" s="14"/>
      <c r="AN177" s="14"/>
      <c r="AO177" s="14"/>
      <c r="AP177" s="14"/>
      <c r="AQ177" s="14"/>
      <c r="AR177" s="14"/>
      <c r="AS177" s="14"/>
      <c r="AT177" s="14"/>
      <c r="AU177" s="14"/>
      <c r="AV177" s="14"/>
      <c r="AW177" s="14"/>
      <c r="AX177" s="14"/>
      <c r="AY177" s="14"/>
      <c r="AZ177" s="14"/>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row>
    <row r="178" spans="18:106" x14ac:dyDescent="0.2">
      <c r="R178" s="14"/>
      <c r="S178" s="14"/>
      <c r="T178" s="14"/>
      <c r="U178" s="14"/>
      <c r="V178" s="14"/>
      <c r="W178" s="14"/>
      <c r="X178" s="14"/>
      <c r="Y178" s="14"/>
      <c r="Z178" s="14"/>
      <c r="AA178" s="14"/>
      <c r="AB178" s="14"/>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c r="AY178" s="14"/>
      <c r="AZ178" s="14"/>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row>
    <row r="179" spans="18:106" x14ac:dyDescent="0.2">
      <c r="R179" s="14"/>
      <c r="S179" s="14"/>
      <c r="T179" s="14"/>
      <c r="U179" s="14"/>
      <c r="V179" s="14"/>
      <c r="W179" s="14"/>
      <c r="X179" s="14"/>
      <c r="Y179" s="14"/>
      <c r="Z179" s="14"/>
      <c r="AA179" s="14"/>
      <c r="AB179" s="14"/>
      <c r="AC179" s="14"/>
      <c r="AD179" s="14"/>
      <c r="AE179" s="14"/>
      <c r="AF179" s="14"/>
      <c r="AG179" s="14"/>
      <c r="AH179" s="14"/>
      <c r="AI179" s="14"/>
      <c r="AJ179" s="14"/>
      <c r="AK179" s="14"/>
      <c r="AL179" s="14"/>
      <c r="AM179" s="14"/>
      <c r="AN179" s="14"/>
      <c r="AO179" s="14"/>
      <c r="AP179" s="14"/>
      <c r="AQ179" s="14"/>
      <c r="AR179" s="14"/>
      <c r="AS179" s="14"/>
      <c r="AT179" s="14"/>
      <c r="AU179" s="14"/>
      <c r="AV179" s="14"/>
      <c r="AW179" s="14"/>
      <c r="AX179" s="14"/>
      <c r="AY179" s="14"/>
      <c r="AZ179" s="14"/>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row>
    <row r="180" spans="18:106" x14ac:dyDescent="0.2">
      <c r="R180" s="14"/>
      <c r="S180" s="14"/>
      <c r="T180" s="14"/>
      <c r="U180" s="14"/>
      <c r="V180" s="14"/>
      <c r="W180" s="14"/>
      <c r="X180" s="14"/>
      <c r="Y180" s="14"/>
      <c r="Z180" s="14"/>
      <c r="AA180" s="14"/>
      <c r="AB180" s="14"/>
      <c r="AC180" s="14"/>
      <c r="AD180" s="14"/>
      <c r="AE180" s="14"/>
      <c r="AF180" s="14"/>
      <c r="AG180" s="14"/>
      <c r="AH180" s="14"/>
      <c r="AI180" s="14"/>
      <c r="AJ180" s="14"/>
      <c r="AK180" s="14"/>
      <c r="AL180" s="14"/>
      <c r="AM180" s="14"/>
      <c r="AN180" s="14"/>
      <c r="AO180" s="14"/>
      <c r="AP180" s="14"/>
      <c r="AQ180" s="14"/>
      <c r="AR180" s="14"/>
      <c r="AS180" s="14"/>
      <c r="AT180" s="14"/>
      <c r="AU180" s="14"/>
      <c r="AV180" s="14"/>
      <c r="AW180" s="14"/>
      <c r="AX180" s="14"/>
      <c r="AY180" s="14"/>
      <c r="AZ180" s="14"/>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row>
    <row r="181" spans="18:106" x14ac:dyDescent="0.2">
      <c r="R181" s="14"/>
      <c r="S181" s="14"/>
      <c r="T181" s="14"/>
      <c r="U181" s="14"/>
      <c r="V181" s="14"/>
      <c r="W181" s="14"/>
      <c r="X181" s="14"/>
      <c r="Y181" s="14"/>
      <c r="Z181" s="14"/>
      <c r="AA181" s="14"/>
      <c r="AB181" s="14"/>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row>
    <row r="182" spans="18:106" x14ac:dyDescent="0.2">
      <c r="R182" s="14"/>
      <c r="S182" s="14"/>
      <c r="T182" s="14"/>
      <c r="U182" s="14"/>
      <c r="V182" s="14"/>
      <c r="W182" s="14"/>
      <c r="X182" s="14"/>
      <c r="Y182" s="14"/>
      <c r="Z182" s="14"/>
      <c r="AA182" s="14"/>
      <c r="AB182" s="14"/>
      <c r="AC182" s="14"/>
      <c r="AD182" s="14"/>
      <c r="AE182" s="14"/>
      <c r="AF182" s="14"/>
      <c r="AG182" s="14"/>
      <c r="AH182" s="14"/>
      <c r="AI182" s="14"/>
      <c r="AJ182" s="14"/>
      <c r="AK182" s="14"/>
      <c r="AL182" s="14"/>
      <c r="AM182" s="14"/>
      <c r="AN182" s="14"/>
      <c r="AO182" s="14"/>
      <c r="AP182" s="14"/>
      <c r="AQ182" s="14"/>
      <c r="AR182" s="14"/>
      <c r="AS182" s="14"/>
      <c r="AT182" s="14"/>
      <c r="AU182" s="14"/>
      <c r="AV182" s="14"/>
      <c r="AW182" s="14"/>
      <c r="AX182" s="14"/>
      <c r="AY182" s="14"/>
      <c r="AZ182" s="14"/>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row>
    <row r="183" spans="18:106" x14ac:dyDescent="0.2">
      <c r="R183" s="14"/>
      <c r="S183" s="14"/>
      <c r="T183" s="14"/>
      <c r="U183" s="14"/>
      <c r="V183" s="14"/>
      <c r="W183" s="14"/>
      <c r="X183" s="14"/>
      <c r="Y183" s="14"/>
      <c r="Z183" s="14"/>
      <c r="AA183" s="14"/>
      <c r="AB183" s="14"/>
      <c r="AC183" s="14"/>
      <c r="AD183" s="14"/>
      <c r="AE183" s="14"/>
      <c r="AF183" s="14"/>
      <c r="AG183" s="14"/>
      <c r="AH183" s="14"/>
      <c r="AI183" s="14"/>
      <c r="AJ183" s="14"/>
      <c r="AK183" s="14"/>
      <c r="AL183" s="14"/>
      <c r="AM183" s="14"/>
      <c r="AN183" s="14"/>
      <c r="AO183" s="14"/>
      <c r="AP183" s="14"/>
      <c r="AQ183" s="14"/>
      <c r="AR183" s="14"/>
      <c r="AS183" s="14"/>
      <c r="AT183" s="14"/>
      <c r="AU183" s="14"/>
      <c r="AV183" s="14"/>
      <c r="AW183" s="14"/>
      <c r="AX183" s="14"/>
      <c r="AY183" s="14"/>
      <c r="AZ183" s="14"/>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row>
    <row r="184" spans="18:106" x14ac:dyDescent="0.2">
      <c r="R184" s="14"/>
      <c r="S184" s="14"/>
      <c r="T184" s="14"/>
      <c r="U184" s="14"/>
      <c r="V184" s="14"/>
      <c r="W184" s="14"/>
      <c r="X184" s="14"/>
      <c r="Y184" s="14"/>
      <c r="Z184" s="14"/>
      <c r="AA184" s="14"/>
      <c r="AB184" s="14"/>
      <c r="AC184" s="14"/>
      <c r="AD184" s="14"/>
      <c r="AE184" s="14"/>
      <c r="AF184" s="14"/>
      <c r="AG184" s="14"/>
      <c r="AH184" s="14"/>
      <c r="AI184" s="14"/>
      <c r="AJ184" s="14"/>
      <c r="AK184" s="14"/>
      <c r="AL184" s="14"/>
      <c r="AM184" s="14"/>
      <c r="AN184" s="14"/>
      <c r="AO184" s="14"/>
      <c r="AP184" s="14"/>
      <c r="AQ184" s="14"/>
      <c r="AR184" s="14"/>
      <c r="AS184" s="14"/>
      <c r="AT184" s="14"/>
      <c r="AU184" s="14"/>
      <c r="AV184" s="14"/>
      <c r="AW184" s="14"/>
      <c r="AX184" s="14"/>
      <c r="AY184" s="14"/>
      <c r="AZ184" s="14"/>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row>
    <row r="185" spans="18:106" x14ac:dyDescent="0.2">
      <c r="R185" s="14"/>
      <c r="S185" s="14"/>
      <c r="T185" s="14"/>
      <c r="U185" s="14"/>
      <c r="V185" s="14"/>
      <c r="W185" s="14"/>
      <c r="X185" s="14"/>
      <c r="Y185" s="14"/>
      <c r="Z185" s="14"/>
      <c r="AA185" s="14"/>
      <c r="AB185" s="14"/>
      <c r="AC185" s="14"/>
      <c r="AD185" s="14"/>
      <c r="AE185" s="14"/>
      <c r="AF185" s="14"/>
      <c r="AG185" s="14"/>
      <c r="AH185" s="14"/>
      <c r="AI185" s="14"/>
      <c r="AJ185" s="14"/>
      <c r="AK185" s="14"/>
      <c r="AL185" s="14"/>
      <c r="AM185" s="14"/>
      <c r="AN185" s="14"/>
      <c r="AO185" s="14"/>
      <c r="AP185" s="14"/>
      <c r="AQ185" s="14"/>
      <c r="AR185" s="14"/>
      <c r="AS185" s="14"/>
      <c r="AT185" s="14"/>
      <c r="AU185" s="14"/>
      <c r="AV185" s="14"/>
      <c r="AW185" s="14"/>
      <c r="AX185" s="14"/>
      <c r="AY185" s="14"/>
      <c r="AZ185" s="14"/>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row>
    <row r="186" spans="18:106" x14ac:dyDescent="0.2">
      <c r="R186" s="14"/>
      <c r="S186" s="14"/>
      <c r="T186" s="14"/>
      <c r="U186" s="14"/>
      <c r="V186" s="14"/>
      <c r="W186" s="14"/>
      <c r="X186" s="14"/>
      <c r="Y186" s="14"/>
      <c r="Z186" s="14"/>
      <c r="AA186" s="14"/>
      <c r="AB186" s="14"/>
      <c r="AC186" s="14"/>
      <c r="AD186" s="14"/>
      <c r="AE186" s="14"/>
      <c r="AF186" s="14"/>
      <c r="AG186" s="14"/>
      <c r="AH186" s="14"/>
      <c r="AI186" s="14"/>
      <c r="AJ186" s="14"/>
      <c r="AK186" s="14"/>
      <c r="AL186" s="14"/>
      <c r="AM186" s="14"/>
      <c r="AN186" s="14"/>
      <c r="AO186" s="14"/>
      <c r="AP186" s="14"/>
      <c r="AQ186" s="14"/>
      <c r="AR186" s="14"/>
      <c r="AS186" s="14"/>
      <c r="AT186" s="14"/>
      <c r="AU186" s="14"/>
      <c r="AV186" s="14"/>
      <c r="AW186" s="14"/>
      <c r="AX186" s="14"/>
      <c r="AY186" s="14"/>
      <c r="AZ186" s="14"/>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row>
    <row r="187" spans="18:106" x14ac:dyDescent="0.2">
      <c r="R187" s="14"/>
      <c r="S187" s="14"/>
      <c r="T187" s="14"/>
      <c r="U187" s="14"/>
      <c r="V187" s="14"/>
      <c r="W187" s="14"/>
      <c r="X187" s="14"/>
      <c r="Y187" s="14"/>
      <c r="Z187" s="14"/>
      <c r="AA187" s="14"/>
      <c r="AB187" s="14"/>
      <c r="AC187" s="14"/>
      <c r="AD187" s="14"/>
      <c r="AE187" s="14"/>
      <c r="AF187" s="14"/>
      <c r="AG187" s="14"/>
      <c r="AH187" s="14"/>
      <c r="AI187" s="14"/>
      <c r="AJ187" s="14"/>
      <c r="AK187" s="14"/>
      <c r="AL187" s="14"/>
      <c r="AM187" s="14"/>
      <c r="AN187" s="14"/>
      <c r="AO187" s="14"/>
      <c r="AP187" s="14"/>
      <c r="AQ187" s="14"/>
      <c r="AR187" s="14"/>
      <c r="AS187" s="14"/>
      <c r="AT187" s="14"/>
      <c r="AU187" s="14"/>
      <c r="AV187" s="14"/>
      <c r="AW187" s="14"/>
      <c r="AX187" s="14"/>
      <c r="AY187" s="14"/>
      <c r="AZ187" s="14"/>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row>
    <row r="188" spans="18:106" x14ac:dyDescent="0.2">
      <c r="R188" s="14"/>
      <c r="S188" s="14"/>
      <c r="T188" s="14"/>
      <c r="U188" s="14"/>
      <c r="V188" s="14"/>
      <c r="W188" s="14"/>
      <c r="X188" s="14"/>
      <c r="Y188" s="14"/>
      <c r="Z188" s="14"/>
      <c r="AA188" s="14"/>
      <c r="AB188" s="14"/>
      <c r="AC188" s="14"/>
      <c r="AD188" s="14"/>
      <c r="AE188" s="14"/>
      <c r="AF188" s="14"/>
      <c r="AG188" s="14"/>
      <c r="AH188" s="14"/>
      <c r="AI188" s="14"/>
      <c r="AJ188" s="14"/>
      <c r="AK188" s="14"/>
      <c r="AL188" s="14"/>
      <c r="AM188" s="14"/>
      <c r="AN188" s="14"/>
      <c r="AO188" s="14"/>
      <c r="AP188" s="14"/>
      <c r="AQ188" s="14"/>
      <c r="AR188" s="14"/>
      <c r="AS188" s="14"/>
      <c r="AT188" s="14"/>
      <c r="AU188" s="14"/>
      <c r="AV188" s="14"/>
      <c r="AW188" s="14"/>
      <c r="AX188" s="14"/>
      <c r="AY188" s="14"/>
      <c r="AZ188" s="14"/>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row>
    <row r="189" spans="18:106" x14ac:dyDescent="0.2">
      <c r="R189" s="14"/>
      <c r="S189" s="14"/>
      <c r="T189" s="14"/>
      <c r="U189" s="14"/>
      <c r="V189" s="14"/>
      <c r="W189" s="14"/>
      <c r="X189" s="14"/>
      <c r="Y189" s="14"/>
      <c r="Z189" s="14"/>
      <c r="AA189" s="14"/>
      <c r="AB189" s="14"/>
      <c r="AC189" s="14"/>
      <c r="AD189" s="14"/>
      <c r="AE189" s="14"/>
      <c r="AF189" s="14"/>
      <c r="AG189" s="14"/>
      <c r="AH189" s="14"/>
      <c r="AI189" s="14"/>
      <c r="AJ189" s="14"/>
      <c r="AK189" s="14"/>
      <c r="AL189" s="14"/>
      <c r="AM189" s="14"/>
      <c r="AN189" s="14"/>
      <c r="AO189" s="14"/>
      <c r="AP189" s="14"/>
      <c r="AQ189" s="14"/>
      <c r="AR189" s="14"/>
      <c r="AS189" s="14"/>
      <c r="AT189" s="14"/>
      <c r="AU189" s="14"/>
      <c r="AV189" s="14"/>
      <c r="AW189" s="14"/>
      <c r="AX189" s="14"/>
      <c r="AY189" s="14"/>
      <c r="AZ189" s="14"/>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row>
    <row r="190" spans="18:106" x14ac:dyDescent="0.2">
      <c r="R190" s="14"/>
      <c r="S190" s="14"/>
      <c r="T190" s="14"/>
      <c r="U190" s="14"/>
      <c r="V190" s="14"/>
      <c r="W190" s="14"/>
      <c r="X190" s="14"/>
      <c r="Y190" s="14"/>
      <c r="Z190" s="14"/>
      <c r="AA190" s="14"/>
      <c r="AB190" s="14"/>
      <c r="AC190" s="14"/>
      <c r="AD190" s="14"/>
      <c r="AE190" s="14"/>
      <c r="AF190" s="14"/>
      <c r="AG190" s="14"/>
      <c r="AH190" s="14"/>
      <c r="AI190" s="14"/>
      <c r="AJ190" s="14"/>
      <c r="AK190" s="14"/>
      <c r="AL190" s="14"/>
      <c r="AM190" s="14"/>
      <c r="AN190" s="14"/>
      <c r="AO190" s="14"/>
      <c r="AP190" s="14"/>
      <c r="AQ190" s="14"/>
      <c r="AR190" s="14"/>
      <c r="AS190" s="14"/>
      <c r="AT190" s="14"/>
      <c r="AU190" s="14"/>
      <c r="AV190" s="14"/>
      <c r="AW190" s="14"/>
      <c r="AX190" s="14"/>
      <c r="AY190" s="14"/>
      <c r="AZ190" s="14"/>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row>
    <row r="191" spans="18:106" x14ac:dyDescent="0.2">
      <c r="R191" s="14"/>
      <c r="S191" s="14"/>
      <c r="T191" s="14"/>
      <c r="U191" s="14"/>
      <c r="V191" s="14"/>
      <c r="W191" s="14"/>
      <c r="X191" s="14"/>
      <c r="Y191" s="14"/>
      <c r="Z191" s="14"/>
      <c r="AA191" s="14"/>
      <c r="AB191" s="14"/>
      <c r="AC191" s="14"/>
      <c r="AD191" s="14"/>
      <c r="AE191" s="14"/>
      <c r="AF191" s="14"/>
      <c r="AG191" s="14"/>
      <c r="AH191" s="14"/>
      <c r="AI191" s="14"/>
      <c r="AJ191" s="14"/>
      <c r="AK191" s="14"/>
      <c r="AL191" s="14"/>
      <c r="AM191" s="14"/>
      <c r="AN191" s="14"/>
      <c r="AO191" s="14"/>
      <c r="AP191" s="14"/>
      <c r="AQ191" s="14"/>
      <c r="AR191" s="14"/>
      <c r="AS191" s="14"/>
      <c r="AT191" s="14"/>
      <c r="AU191" s="14"/>
      <c r="AV191" s="14"/>
      <c r="AW191" s="14"/>
      <c r="AX191" s="14"/>
      <c r="AY191" s="14"/>
      <c r="AZ191" s="14"/>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row>
    <row r="192" spans="18:106" x14ac:dyDescent="0.2">
      <c r="R192" s="14"/>
      <c r="S192" s="14"/>
      <c r="T192" s="14"/>
      <c r="U192" s="14"/>
      <c r="V192" s="14"/>
      <c r="W192" s="14"/>
      <c r="X192" s="14"/>
      <c r="Y192" s="14"/>
      <c r="Z192" s="14"/>
      <c r="AA192" s="14"/>
      <c r="AB192" s="14"/>
      <c r="AC192" s="14"/>
      <c r="AD192" s="14"/>
      <c r="AE192" s="14"/>
      <c r="AF192" s="14"/>
      <c r="AG192" s="14"/>
      <c r="AH192" s="14"/>
      <c r="AI192" s="14"/>
      <c r="AJ192" s="14"/>
      <c r="AK192" s="14"/>
      <c r="AL192" s="14"/>
      <c r="AM192" s="14"/>
      <c r="AN192" s="14"/>
      <c r="AO192" s="14"/>
      <c r="AP192" s="14"/>
      <c r="AQ192" s="14"/>
      <c r="AR192" s="14"/>
      <c r="AS192" s="14"/>
      <c r="AT192" s="14"/>
      <c r="AU192" s="14"/>
      <c r="AV192" s="14"/>
      <c r="AW192" s="14"/>
      <c r="AX192" s="14"/>
      <c r="AY192" s="14"/>
      <c r="AZ192" s="14"/>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row>
    <row r="193" spans="18:106" x14ac:dyDescent="0.2">
      <c r="R193" s="14"/>
      <c r="S193" s="14"/>
      <c r="T193" s="14"/>
      <c r="U193" s="14"/>
      <c r="V193" s="14"/>
      <c r="W193" s="14"/>
      <c r="X193" s="14"/>
      <c r="Y193" s="14"/>
      <c r="Z193" s="14"/>
      <c r="AA193" s="14"/>
      <c r="AB193" s="14"/>
      <c r="AC193" s="14"/>
      <c r="AD193" s="14"/>
      <c r="AE193" s="14"/>
      <c r="AF193" s="14"/>
      <c r="AG193" s="14"/>
      <c r="AH193" s="14"/>
      <c r="AI193" s="14"/>
      <c r="AJ193" s="14"/>
      <c r="AK193" s="14"/>
      <c r="AL193" s="14"/>
      <c r="AM193" s="14"/>
      <c r="AN193" s="14"/>
      <c r="AO193" s="14"/>
      <c r="AP193" s="14"/>
      <c r="AQ193" s="14"/>
      <c r="AR193" s="14"/>
      <c r="AS193" s="14"/>
      <c r="AT193" s="14"/>
      <c r="AU193" s="14"/>
      <c r="AV193" s="14"/>
      <c r="AW193" s="14"/>
      <c r="AX193" s="14"/>
      <c r="AY193" s="14"/>
      <c r="AZ193" s="14"/>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row>
    <row r="194" spans="18:106" x14ac:dyDescent="0.2">
      <c r="R194" s="14"/>
      <c r="S194" s="14"/>
      <c r="T194" s="14"/>
      <c r="U194" s="14"/>
      <c r="V194" s="14"/>
      <c r="W194" s="14"/>
      <c r="X194" s="14"/>
      <c r="Y194" s="14"/>
      <c r="Z194" s="14"/>
      <c r="AA194" s="14"/>
      <c r="AB194" s="14"/>
      <c r="AC194" s="14"/>
      <c r="AD194" s="14"/>
      <c r="AE194" s="14"/>
      <c r="AF194" s="14"/>
      <c r="AG194" s="14"/>
      <c r="AH194" s="14"/>
      <c r="AI194" s="14"/>
      <c r="AJ194" s="14"/>
      <c r="AK194" s="14"/>
      <c r="AL194" s="14"/>
      <c r="AM194" s="14"/>
      <c r="AN194" s="14"/>
      <c r="AO194" s="14"/>
      <c r="AP194" s="14"/>
      <c r="AQ194" s="14"/>
      <c r="AR194" s="14"/>
      <c r="AS194" s="14"/>
      <c r="AT194" s="14"/>
      <c r="AU194" s="14"/>
      <c r="AV194" s="14"/>
      <c r="AW194" s="14"/>
      <c r="AX194" s="14"/>
      <c r="AY194" s="14"/>
      <c r="AZ194" s="14"/>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row>
    <row r="195" spans="18:106" x14ac:dyDescent="0.2">
      <c r="R195" s="14"/>
      <c r="S195" s="14"/>
      <c r="T195" s="14"/>
      <c r="U195" s="14"/>
      <c r="V195" s="14"/>
      <c r="W195" s="14"/>
      <c r="X195" s="14"/>
      <c r="Y195" s="14"/>
      <c r="Z195" s="14"/>
      <c r="AA195" s="14"/>
      <c r="AB195" s="14"/>
      <c r="AC195" s="14"/>
      <c r="AD195" s="14"/>
      <c r="AE195" s="14"/>
      <c r="AF195" s="14"/>
      <c r="AG195" s="14"/>
      <c r="AH195" s="14"/>
      <c r="AI195" s="14"/>
      <c r="AJ195" s="14"/>
      <c r="AK195" s="14"/>
      <c r="AL195" s="14"/>
      <c r="AM195" s="14"/>
      <c r="AN195" s="14"/>
      <c r="AO195" s="14"/>
      <c r="AP195" s="14"/>
      <c r="AQ195" s="14"/>
      <c r="AR195" s="14"/>
      <c r="AS195" s="14"/>
      <c r="AT195" s="14"/>
      <c r="AU195" s="14"/>
      <c r="AV195" s="14"/>
      <c r="AW195" s="14"/>
      <c r="AX195" s="14"/>
      <c r="AY195" s="14"/>
      <c r="AZ195" s="14"/>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row>
    <row r="196" spans="18:106" x14ac:dyDescent="0.2">
      <c r="R196" s="14"/>
      <c r="S196" s="14"/>
      <c r="T196" s="14"/>
      <c r="U196" s="14"/>
      <c r="V196" s="14"/>
      <c r="W196" s="14"/>
      <c r="X196" s="14"/>
      <c r="Y196" s="14"/>
      <c r="Z196" s="14"/>
      <c r="AA196" s="14"/>
      <c r="AB196" s="14"/>
      <c r="AC196" s="14"/>
      <c r="AD196" s="14"/>
      <c r="AE196" s="14"/>
      <c r="AF196" s="14"/>
      <c r="AG196" s="14"/>
      <c r="AH196" s="14"/>
      <c r="AI196" s="14"/>
      <c r="AJ196" s="14"/>
      <c r="AK196" s="14"/>
      <c r="AL196" s="14"/>
      <c r="AM196" s="14"/>
      <c r="AN196" s="14"/>
      <c r="AO196" s="14"/>
      <c r="AP196" s="14"/>
      <c r="AQ196" s="14"/>
      <c r="AR196" s="14"/>
      <c r="AS196" s="14"/>
      <c r="AT196" s="14"/>
      <c r="AU196" s="14"/>
      <c r="AV196" s="14"/>
      <c r="AW196" s="14"/>
      <c r="AX196" s="14"/>
      <c r="AY196" s="14"/>
      <c r="AZ196" s="14"/>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row>
    <row r="197" spans="18:106" x14ac:dyDescent="0.2">
      <c r="R197" s="14"/>
      <c r="S197" s="14"/>
      <c r="T197" s="14"/>
      <c r="U197" s="14"/>
      <c r="V197" s="14"/>
      <c r="W197" s="14"/>
      <c r="X197" s="14"/>
      <c r="Y197" s="14"/>
      <c r="Z197" s="14"/>
      <c r="AA197" s="14"/>
      <c r="AB197" s="14"/>
      <c r="AC197" s="14"/>
      <c r="AD197" s="14"/>
      <c r="AE197" s="14"/>
      <c r="AF197" s="14"/>
      <c r="AG197" s="14"/>
      <c r="AH197" s="14"/>
      <c r="AI197" s="14"/>
      <c r="AJ197" s="14"/>
      <c r="AK197" s="14"/>
      <c r="AL197" s="14"/>
      <c r="AM197" s="14"/>
      <c r="AN197" s="14"/>
      <c r="AO197" s="14"/>
      <c r="AP197" s="14"/>
      <c r="AQ197" s="14"/>
      <c r="AR197" s="14"/>
      <c r="AS197" s="14"/>
      <c r="AT197" s="14"/>
      <c r="AU197" s="14"/>
      <c r="AV197" s="14"/>
      <c r="AW197" s="14"/>
      <c r="AX197" s="14"/>
      <c r="AY197" s="14"/>
      <c r="AZ197" s="14"/>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row>
    <row r="198" spans="18:106" x14ac:dyDescent="0.2">
      <c r="R198" s="14"/>
      <c r="S198" s="14"/>
      <c r="T198" s="14"/>
      <c r="U198" s="14"/>
      <c r="V198" s="14"/>
      <c r="W198" s="14"/>
      <c r="X198" s="14"/>
      <c r="Y198" s="14"/>
      <c r="Z198" s="14"/>
      <c r="AA198" s="14"/>
      <c r="AB198" s="14"/>
      <c r="AC198" s="14"/>
      <c r="AD198" s="14"/>
      <c r="AE198" s="14"/>
      <c r="AF198" s="14"/>
      <c r="AG198" s="14"/>
      <c r="AH198" s="14"/>
      <c r="AI198" s="14"/>
      <c r="AJ198" s="14"/>
      <c r="AK198" s="14"/>
      <c r="AL198" s="14"/>
      <c r="AM198" s="14"/>
      <c r="AN198" s="14"/>
      <c r="AO198" s="14"/>
      <c r="AP198" s="14"/>
      <c r="AQ198" s="14"/>
      <c r="AR198" s="14"/>
      <c r="AS198" s="14"/>
      <c r="AT198" s="14"/>
      <c r="AU198" s="14"/>
      <c r="AV198" s="14"/>
      <c r="AW198" s="14"/>
      <c r="AX198" s="14"/>
      <c r="AY198" s="14"/>
      <c r="AZ198" s="14"/>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row>
    <row r="199" spans="18:106" x14ac:dyDescent="0.2">
      <c r="R199" s="14"/>
      <c r="S199" s="14"/>
      <c r="T199" s="14"/>
      <c r="U199" s="14"/>
      <c r="V199" s="14"/>
      <c r="W199" s="14"/>
      <c r="X199" s="14"/>
      <c r="Y199" s="14"/>
      <c r="Z199" s="14"/>
      <c r="AA199" s="14"/>
      <c r="AB199" s="14"/>
      <c r="AC199" s="14"/>
      <c r="AD199" s="14"/>
      <c r="AE199" s="14"/>
      <c r="AF199" s="14"/>
      <c r="AG199" s="14"/>
      <c r="AH199" s="14"/>
      <c r="AI199" s="14"/>
      <c r="AJ199" s="14"/>
      <c r="AK199" s="14"/>
      <c r="AL199" s="14"/>
      <c r="AM199" s="14"/>
      <c r="AN199" s="14"/>
      <c r="AO199" s="14"/>
      <c r="AP199" s="14"/>
      <c r="AQ199" s="14"/>
      <c r="AR199" s="14"/>
      <c r="AS199" s="14"/>
      <c r="AT199" s="14"/>
      <c r="AU199" s="14"/>
      <c r="AV199" s="14"/>
      <c r="AW199" s="14"/>
      <c r="AX199" s="14"/>
      <c r="AY199" s="14"/>
      <c r="AZ199" s="14"/>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row>
  </sheetData>
  <sheetProtection sheet="1" objects="1" scenarios="1"/>
  <mergeCells count="105">
    <mergeCell ref="G43:P52"/>
    <mergeCell ref="C12:E12"/>
    <mergeCell ref="C13:E13"/>
    <mergeCell ref="G14:M14"/>
    <mergeCell ref="C14:E14"/>
    <mergeCell ref="G32:M32"/>
    <mergeCell ref="G36:O36"/>
    <mergeCell ref="N34:O35"/>
    <mergeCell ref="G33:M33"/>
    <mergeCell ref="N33:O33"/>
    <mergeCell ref="C34:E34"/>
    <mergeCell ref="C32:E32"/>
    <mergeCell ref="C31:E31"/>
    <mergeCell ref="C30:E30"/>
    <mergeCell ref="C29:E29"/>
    <mergeCell ref="C38:E38"/>
    <mergeCell ref="C15:E15"/>
    <mergeCell ref="P37:P39"/>
    <mergeCell ref="P20:P23"/>
    <mergeCell ref="G27:P30"/>
    <mergeCell ref="N32:O32"/>
    <mergeCell ref="G15:M15"/>
    <mergeCell ref="G17:P19"/>
    <mergeCell ref="N16:O16"/>
    <mergeCell ref="B1:D1"/>
    <mergeCell ref="M1:P1"/>
    <mergeCell ref="G9:P10"/>
    <mergeCell ref="N11:O11"/>
    <mergeCell ref="G11:M11"/>
    <mergeCell ref="B2:P2"/>
    <mergeCell ref="B3:P3"/>
    <mergeCell ref="E1:K1"/>
    <mergeCell ref="C11:E11"/>
    <mergeCell ref="C9:E9"/>
    <mergeCell ref="C4:E4"/>
    <mergeCell ref="G4:P4"/>
    <mergeCell ref="H5:P8"/>
    <mergeCell ref="C5:E5"/>
    <mergeCell ref="C6:E6"/>
    <mergeCell ref="C10:E10"/>
    <mergeCell ref="P11:P13"/>
    <mergeCell ref="N13:O13"/>
    <mergeCell ref="G13:M13"/>
    <mergeCell ref="C53:E53"/>
    <mergeCell ref="F53:P53"/>
    <mergeCell ref="C7:E7"/>
    <mergeCell ref="C8:E8"/>
    <mergeCell ref="C48:E48"/>
    <mergeCell ref="C43:E43"/>
    <mergeCell ref="C46:E46"/>
    <mergeCell ref="C44:E44"/>
    <mergeCell ref="C49:E49"/>
    <mergeCell ref="C50:E50"/>
    <mergeCell ref="C52:E52"/>
    <mergeCell ref="C40:E40"/>
    <mergeCell ref="C42:E42"/>
    <mergeCell ref="C51:E51"/>
    <mergeCell ref="C47:E47"/>
    <mergeCell ref="C45:E45"/>
    <mergeCell ref="C36:E36"/>
    <mergeCell ref="C23:E23"/>
    <mergeCell ref="C24:E24"/>
    <mergeCell ref="C35:E35"/>
    <mergeCell ref="C33:E33"/>
    <mergeCell ref="C25:E25"/>
    <mergeCell ref="C20:E20"/>
    <mergeCell ref="C27:E27"/>
    <mergeCell ref="G16:M16"/>
    <mergeCell ref="N21:O21"/>
    <mergeCell ref="G25:O25"/>
    <mergeCell ref="N12:O12"/>
    <mergeCell ref="G12:M12"/>
    <mergeCell ref="G31:O31"/>
    <mergeCell ref="G26:O26"/>
    <mergeCell ref="N14:O14"/>
    <mergeCell ref="C21:E21"/>
    <mergeCell ref="G24:O24"/>
    <mergeCell ref="G20:M20"/>
    <mergeCell ref="G21:M21"/>
    <mergeCell ref="N20:O20"/>
    <mergeCell ref="C22:E22"/>
    <mergeCell ref="C56:G56"/>
    <mergeCell ref="N15:O15"/>
    <mergeCell ref="C41:E41"/>
    <mergeCell ref="N22:O22"/>
    <mergeCell ref="N23:O23"/>
    <mergeCell ref="G22:M22"/>
    <mergeCell ref="G23:M23"/>
    <mergeCell ref="C16:E16"/>
    <mergeCell ref="C17:E17"/>
    <mergeCell ref="C18:E18"/>
    <mergeCell ref="C19:E19"/>
    <mergeCell ref="G41:O41"/>
    <mergeCell ref="G40:O40"/>
    <mergeCell ref="N37:O37"/>
    <mergeCell ref="N38:O38"/>
    <mergeCell ref="G39:M39"/>
    <mergeCell ref="N39:O39"/>
    <mergeCell ref="G34:M35"/>
    <mergeCell ref="C39:E39"/>
    <mergeCell ref="C26:E26"/>
    <mergeCell ref="C37:E37"/>
    <mergeCell ref="G37:M37"/>
    <mergeCell ref="G38:M38"/>
    <mergeCell ref="C28:E28"/>
  </mergeCells>
  <phoneticPr fontId="0" type="noConversion"/>
  <conditionalFormatting sqref="G9:P10">
    <cfRule type="cellIs" dxfId="30" priority="71" stopIfTrue="1" operator="equal">
      <formula>$Y$17</formula>
    </cfRule>
    <cfRule type="cellIs" dxfId="29" priority="72" stopIfTrue="1" operator="equal">
      <formula>$Y$15</formula>
    </cfRule>
  </conditionalFormatting>
  <dataValidations xWindow="804" yWindow="391" count="10">
    <dataValidation type="list" allowBlank="1" showInputMessage="1" showErrorMessage="1" promptTitle="Education" prompt="If the worker does not have a high school diploma or GED, add value of 1." sqref="N15:O15" xr:uid="{00000000-0002-0000-0100-000000000000}">
      <formula1>$A$56:$C$56</formula1>
    </dataValidation>
    <dataValidation type="list" allowBlank="1" showInputMessage="1" showErrorMessage="1" promptTitle="Specific vocational preparation" prompt="Click on the hyperlink to see descriptions of vocational preparation levels. " sqref="N16:O16" xr:uid="{00000000-0002-0000-0100-000001000000}">
      <formula1>$A$57:$J$57</formula1>
    </dataValidation>
    <dataValidation type="list" allowBlank="1" showInputMessage="1" showErrorMessage="1" promptTitle="Base Functional Capacity (BFC)" prompt="BFC means an individual's demonstrated physical capacity before the injury or disease." sqref="N21" xr:uid="{00000000-0002-0000-0100-000002000000}">
      <formula1>$A$61:$F$61</formula1>
    </dataValidation>
    <dataValidation type="list" allowBlank="1" showInputMessage="1" showErrorMessage="1" promptTitle="Residual Functional Capacity" prompt="Residual functional capacity (RFC) means an individual's remaining ability to perform work-related activites despite medically determinable impairment resulting from the accepted compensable condition." sqref="N22" xr:uid="{00000000-0002-0000-0100-000003000000}">
      <formula1>$G$61:$P$61</formula1>
    </dataValidation>
    <dataValidation allowBlank="1" showInputMessage="1" showErrorMessage="1" promptTitle="End of worksheet" prompt="Press TAB to return to top of sheet." sqref="IV54" xr:uid="{00000000-0002-0000-0100-000004000000}"/>
    <dataValidation allowBlank="1" showInputMessage="1" showErrorMessage="1" promptTitle="Post-2004 Worksheet" prompt="Press TAB to continue." sqref="A3" xr:uid="{00000000-0002-0000-0100-000005000000}"/>
    <dataValidation allowBlank="1" showInputMessage="1" showErrorMessage="1" promptTitle="OAR 436-035-0500" prompt="Department use only_x000a_Name of body part or system" sqref="B52" xr:uid="{00000000-0002-0000-0100-000006000000}"/>
    <dataValidation allowBlank="1" showInputMessage="1" showErrorMessage="1" promptTitle="Department Use Only" prompt="Enter percent of impairment under OAR 436-035-0500." sqref="C52:E52" xr:uid="{00000000-0002-0000-0100-000007000000}"/>
    <dataValidation allowBlank="1" showInputMessage="1" showErrorMessage="1" promptTitle="Return &amp; Release for Work" prompt="Check the box next to a true statement, if any." sqref="F11:F17" xr:uid="{00000000-0002-0000-0100-000008000000}"/>
    <dataValidation allowBlank="1" showInputMessage="1" showErrorMessage="1" promptTitle="Worker's weekly wage at injury" prompt="Supplemental disability is not considered in the determination of the worker’s average weekly wage when calculating work disability." sqref="N33:O33" xr:uid="{00000000-0002-0000-0100-000009000000}"/>
  </dataValidations>
  <hyperlinks>
    <hyperlink ref="B34" location="'Shoulder-Right'!A1" display="Right shoulder" xr:uid="{00000000-0004-0000-0100-000000000000}"/>
    <hyperlink ref="B35" location="'Shoulder-Left'!A1" display="Left shoulder" xr:uid="{00000000-0004-0000-0100-000001000000}"/>
    <hyperlink ref="B36" location="'Hip-Right'!A1" display="Right hip" xr:uid="{00000000-0004-0000-0100-000002000000}"/>
    <hyperlink ref="B37" location="'Hip-Left'!A1" display="Left hip" xr:uid="{00000000-0004-0000-0100-000003000000}"/>
    <hyperlink ref="B38" location="Spine!A1" display="Spine" xr:uid="{00000000-0004-0000-0100-000004000000}"/>
    <hyperlink ref="B39" location="Pelvis!A1" display="Pelvis" xr:uid="{00000000-0004-0000-0100-000005000000}"/>
    <hyperlink ref="B40" location="Abdomen!A1" display="Abdomen" xr:uid="{00000000-0004-0000-0100-000006000000}"/>
    <hyperlink ref="B42" location="Cardiovascular!A1" display="Cardiovascular system" xr:uid="{00000000-0004-0000-0100-000007000000}"/>
    <hyperlink ref="B43" location="Respiratory!A1" display="Respiratory system" xr:uid="{00000000-0004-0000-0100-000008000000}"/>
    <hyperlink ref="B44" location="'Cranial Nerves-Brain'!A1" display="Cranial nerves/brain" xr:uid="{00000000-0004-0000-0100-000009000000}"/>
    <hyperlink ref="B45" location="'Spinal cord'!A1" display="Spinal cord" xr:uid="{00000000-0004-0000-0100-00000A000000}"/>
    <hyperlink ref="B46" location="'Mental illness'!A1" display="Mental illness" xr:uid="{00000000-0004-0000-0100-00000B000000}"/>
    <hyperlink ref="B47" location="Hematopoietic!A1" display="Hematopoietic system" xr:uid="{00000000-0004-0000-0100-00000C000000}"/>
    <hyperlink ref="B48" location="'GI &amp; GU'!A1" display="Gastrointestinal and genitourinary systems" xr:uid="{00000000-0004-0000-0100-00000D000000}"/>
    <hyperlink ref="B49" location="Endocrine!A1" display="Endocrine system" xr:uid="{00000000-0004-0000-0100-00000E000000}"/>
    <hyperlink ref="B50" location="'Integument &amp; Lacrimal'!A1" display="Integument and lacrimal system" xr:uid="{00000000-0004-0000-0100-00000F000000}"/>
    <hyperlink ref="B51" location="'Immune system'!A1" display="Immune system" xr:uid="{00000000-0004-0000-0100-000010000000}"/>
    <hyperlink ref="G16:M16" location="Rules!A22" display="Specific vocational preparation:" xr:uid="{00000000-0004-0000-0100-000011000000}"/>
    <hyperlink ref="B11" location="'Upper Extremity-Left'!A556" display="Left arm" xr:uid="{00000000-0004-0000-0100-000012000000}"/>
    <hyperlink ref="B32" location="Hearing!A1" display="Hearing" xr:uid="{00000000-0004-0000-0100-000013000000}"/>
    <hyperlink ref="B33" location="Vision!A1" display="Vision" xr:uid="{00000000-0004-0000-0100-000014000000}"/>
    <hyperlink ref="B4" location="'Upper Extremity-Right'!A556" display="Right arm" xr:uid="{00000000-0004-0000-0100-000015000000}"/>
    <hyperlink ref="B25" location="'Lower Extremity-Left'!A371" display="Left leg" xr:uid="{00000000-0004-0000-0100-000016000000}"/>
    <hyperlink ref="B18" location="'Lower Extremity-Right'!A371" display="Right leg" xr:uid="{00000000-0004-0000-0100-000017000000}"/>
    <hyperlink ref="B19" location="'Lower Extremity-Right'!A204" display="Right foot" xr:uid="{00000000-0004-0000-0100-000018000000}"/>
    <hyperlink ref="B22" location="'Lower Extremity-Right'!A84" display="Right 3rd toe" xr:uid="{00000000-0004-0000-0100-000019000000}"/>
    <hyperlink ref="B23" location="'Lower Extremity-Right'!A124" display="Right 4th toe" xr:uid="{00000000-0004-0000-0100-00001A000000}"/>
    <hyperlink ref="B24" location="'Lower Extremity-Right'!A164" display="Right 5th toe" xr:uid="{00000000-0004-0000-0100-00001B000000}"/>
    <hyperlink ref="B28" location="'Lower Extremity-Left'!A44" display="Left 2nd toe" xr:uid="{00000000-0004-0000-0100-00001C000000}"/>
    <hyperlink ref="B29" location="'Lower Extremity-Left'!A84" display="Left third toe" xr:uid="{00000000-0004-0000-0100-00001D000000}"/>
    <hyperlink ref="B30" location="'Lower Extremity-Left'!A124" display="Left fourth toe" xr:uid="{00000000-0004-0000-0100-00001E000000}"/>
    <hyperlink ref="B31" location="'Lower Extremity-Left'!A164" display="Left fifth toe" xr:uid="{00000000-0004-0000-0100-00001F000000}"/>
    <hyperlink ref="B5" location="'Upper Extremity-Right'!A442" display="Right hand" xr:uid="{00000000-0004-0000-0100-000020000000}"/>
    <hyperlink ref="B6" location="'Upper Extremity-Right'!A5" display="Right thumb" xr:uid="{00000000-0004-0000-0100-000021000000}"/>
    <hyperlink ref="B7" location="'Upper Extremity-Right'!A80" display="Right index finger" xr:uid="{00000000-0004-0000-0100-000022000000}"/>
    <hyperlink ref="B8" location="'Upper Extremity-Right'!A156" display="Right middle finger" xr:uid="{00000000-0004-0000-0100-000023000000}"/>
    <hyperlink ref="B9" location="'Upper Extremity-Right'!A233" display="Right ring finger" xr:uid="{00000000-0004-0000-0100-000024000000}"/>
    <hyperlink ref="B10" location="'Upper Extremity-Right'!A308" display="Right little finger" xr:uid="{00000000-0004-0000-0100-000025000000}"/>
    <hyperlink ref="B12" location="'Upper Extremity-Left'!A383" display="Left hand" xr:uid="{00000000-0004-0000-0100-000026000000}"/>
    <hyperlink ref="B13" location="'Upper Extremity-Left'!A5" display="Left thumb" xr:uid="{00000000-0004-0000-0100-000027000000}"/>
    <hyperlink ref="B14" location="'Upper Extremity-Left'!A80" display="Left index finger" xr:uid="{00000000-0004-0000-0100-000028000000}"/>
    <hyperlink ref="B15" location="'Upper Extremity-Left'!A156" display="Left middle finger" xr:uid="{00000000-0004-0000-0100-000029000000}"/>
    <hyperlink ref="B16" location="'Upper Extremity-Left'!A233" display="Left ring finger" xr:uid="{00000000-0004-0000-0100-00002A000000}"/>
    <hyperlink ref="B17" location="'Upper Extremity-Left'!A308" display="Left little finger" xr:uid="{00000000-0004-0000-0100-00002B000000}"/>
    <hyperlink ref="B20" location="'Lower Extremity-Right'!A6" display="Right great toe" xr:uid="{00000000-0004-0000-0100-00002C000000}"/>
    <hyperlink ref="B21" location="'Lower Extremity-Right'!A44" display="Right 2nd toe" xr:uid="{00000000-0004-0000-0100-00002D000000}"/>
    <hyperlink ref="B26" location="'Lower Extremity-Left'!A204" display="Left foot" xr:uid="{00000000-0004-0000-0100-00002E000000}"/>
    <hyperlink ref="B27" location="'Lower Extremity-Left'!A6" display="Left great toe" xr:uid="{00000000-0004-0000-0100-00002F000000}"/>
    <hyperlink ref="G20:M20" location="Rules!A46" display="Rules!A46" xr:uid="{00000000-0004-0000-0100-000030000000}"/>
    <hyperlink ref="G21:M21" location="Rules!B45" display="Rules!B45" xr:uid="{00000000-0004-0000-0100-000031000000}"/>
    <hyperlink ref="G22:M22" location="Rules!B45" display="Rules!B45" xr:uid="{00000000-0004-0000-0100-000032000000}"/>
    <hyperlink ref="G23:M23" location="Rules!B45" display="Rules!B45" xr:uid="{00000000-0004-0000-0100-000033000000}"/>
    <hyperlink ref="B41" location="Chest!A1" display="Chest" xr:uid="{00000000-0004-0000-0100-000034000000}"/>
  </hyperlinks>
  <pageMargins left="0.75" right="0.75" top="0.67" bottom="0.73" header="0.36" footer="0.51"/>
  <pageSetup orientation="portrait" horizontalDpi="300" verticalDpi="300" r:id="rId1"/>
  <headerFooter alignWithMargins="0">
    <oddFooter>&amp;LDate of Injury on or after 1/1/2005&amp;CPage &amp;P&amp;RPermanent Partial Disability</oddFooter>
  </headerFooter>
  <rowBreaks count="1" manualBreakCount="1">
    <brk id="30" max="16383" man="1"/>
  </rowBreaks>
  <drawing r:id="rId2"/>
  <legacyDrawing r:id="rId3"/>
  <oleObjects>
    <mc:AlternateContent xmlns:mc="http://schemas.openxmlformats.org/markup-compatibility/2006">
      <mc:Choice Requires="x14">
        <oleObject progId="Document" dvAspect="DVASPECT_ICON" shapeId="39965" r:id="rId4">
          <objectPr locked="0" defaultSize="0" autoPict="0" r:id="rId5">
            <anchor moveWithCells="1">
              <from>
                <xdr:col>15</xdr:col>
                <xdr:colOff>38100</xdr:colOff>
                <xdr:row>10</xdr:row>
                <xdr:rowOff>133350</xdr:rowOff>
              </from>
              <to>
                <xdr:col>15</xdr:col>
                <xdr:colOff>714375</xdr:colOff>
                <xdr:row>12</xdr:row>
                <xdr:rowOff>76200</xdr:rowOff>
              </to>
            </anchor>
          </objectPr>
        </oleObject>
      </mc:Choice>
      <mc:Fallback>
        <oleObject progId="Document" dvAspect="DVASPECT_ICON" shapeId="39965" r:id="rId4"/>
      </mc:Fallback>
    </mc:AlternateContent>
    <mc:AlternateContent xmlns:mc="http://schemas.openxmlformats.org/markup-compatibility/2006">
      <mc:Choice Requires="x14">
        <oleObject progId="Document" dvAspect="DVASPECT_ICON" shapeId="39966" r:id="rId6">
          <objectPr locked="0" defaultSize="0" autoPict="0" r:id="rId7">
            <anchor moveWithCells="1">
              <from>
                <xdr:col>15</xdr:col>
                <xdr:colOff>47625</xdr:colOff>
                <xdr:row>19</xdr:row>
                <xdr:rowOff>171450</xdr:rowOff>
              </from>
              <to>
                <xdr:col>15</xdr:col>
                <xdr:colOff>704850</xdr:colOff>
                <xdr:row>21</xdr:row>
                <xdr:rowOff>95250</xdr:rowOff>
              </to>
            </anchor>
          </objectPr>
        </oleObject>
      </mc:Choice>
      <mc:Fallback>
        <oleObject progId="Document" dvAspect="DVASPECT_ICON" shapeId="39966" r:id="rId6"/>
      </mc:Fallback>
    </mc:AlternateContent>
  </oleObjects>
  <mc:AlternateContent xmlns:mc="http://schemas.openxmlformats.org/markup-compatibility/2006">
    <mc:Choice Requires="x14">
      <controls>
        <mc:AlternateContent xmlns:mc="http://schemas.openxmlformats.org/markup-compatibility/2006">
          <mc:Choice Requires="x14">
            <control shapeId="39982" r:id="rId8" name="Check Box 46">
              <controlPr defaultSize="0" autoFill="0" autoLine="0" autoPict="0">
                <anchor moveWithCells="1">
                  <from>
                    <xdr:col>6</xdr:col>
                    <xdr:colOff>38100</xdr:colOff>
                    <xdr:row>6</xdr:row>
                    <xdr:rowOff>238125</xdr:rowOff>
                  </from>
                  <to>
                    <xdr:col>7</xdr:col>
                    <xdr:colOff>76200</xdr:colOff>
                    <xdr:row>7</xdr:row>
                    <xdr:rowOff>180975</xdr:rowOff>
                  </to>
                </anchor>
              </controlPr>
            </control>
          </mc:Choice>
        </mc:AlternateContent>
        <mc:AlternateContent xmlns:mc="http://schemas.openxmlformats.org/markup-compatibility/2006">
          <mc:Choice Requires="x14">
            <control shapeId="39980" r:id="rId9" name="Check Box 44">
              <controlPr defaultSize="0" autoFill="0" autoLine="0" autoPict="0">
                <anchor moveWithCells="1">
                  <from>
                    <xdr:col>6</xdr:col>
                    <xdr:colOff>38100</xdr:colOff>
                    <xdr:row>4</xdr:row>
                    <xdr:rowOff>133350</xdr:rowOff>
                  </from>
                  <to>
                    <xdr:col>7</xdr:col>
                    <xdr:colOff>76200</xdr:colOff>
                    <xdr:row>5</xdr:row>
                    <xdr:rowOff>66675</xdr:rowOff>
                  </to>
                </anchor>
              </controlPr>
            </control>
          </mc:Choice>
        </mc:AlternateContent>
        <mc:AlternateContent xmlns:mc="http://schemas.openxmlformats.org/markup-compatibility/2006">
          <mc:Choice Requires="x14">
            <control shapeId="39981" r:id="rId10" name="Check Box 45">
              <controlPr defaultSize="0" autoFill="0" autoLine="0" autoPict="0">
                <anchor moveWithCells="1">
                  <from>
                    <xdr:col>6</xdr:col>
                    <xdr:colOff>38100</xdr:colOff>
                    <xdr:row>4</xdr:row>
                    <xdr:rowOff>285750</xdr:rowOff>
                  </from>
                  <to>
                    <xdr:col>7</xdr:col>
                    <xdr:colOff>76200</xdr:colOff>
                    <xdr:row>5</xdr:row>
                    <xdr:rowOff>266700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N20"/>
  <sheetViews>
    <sheetView showGridLines="0" zoomScale="120" zoomScaleNormal="120" workbookViewId="0"/>
  </sheetViews>
  <sheetFormatPr defaultColWidth="2.28515625" defaultRowHeight="12.75" x14ac:dyDescent="0.2"/>
  <cols>
    <col min="1" max="1" width="1.5703125" style="35" customWidth="1"/>
    <col min="2" max="2" width="19.5703125" style="35" customWidth="1"/>
    <col min="3" max="4" width="2.7109375" style="35" customWidth="1"/>
    <col min="5" max="11" width="3.7109375" style="35" customWidth="1"/>
    <col min="12" max="12" width="7.5703125" style="35" customWidth="1"/>
    <col min="13" max="13" width="4.28515625" style="35" customWidth="1"/>
    <col min="14" max="14" width="4.5703125" style="35" customWidth="1"/>
    <col min="15" max="15" width="7.85546875" style="35" customWidth="1"/>
    <col min="16" max="16" width="9" style="35" customWidth="1"/>
    <col min="17" max="17" width="0.85546875" style="35" customWidth="1"/>
    <col min="18" max="23" width="12.7109375" style="35" hidden="1" customWidth="1"/>
    <col min="24" max="130" width="2.28515625" style="35" hidden="1" customWidth="1"/>
    <col min="131" max="255" width="2.28515625" style="35" customWidth="1"/>
    <col min="256" max="16384" width="2.28515625" style="35"/>
  </cols>
  <sheetData>
    <row r="1" spans="1:170" ht="15" customHeight="1" x14ac:dyDescent="0.2">
      <c r="B1" s="14" t="s">
        <v>1733</v>
      </c>
      <c r="D1" s="1347" t="str">
        <f>IF('Start here'!A6="","",'Start here'!A6)</f>
        <v/>
      </c>
      <c r="E1" s="1351"/>
      <c r="F1" s="1351"/>
      <c r="G1" s="1351"/>
      <c r="H1" s="1351"/>
      <c r="I1" s="1351"/>
      <c r="J1" s="1351"/>
      <c r="K1" s="1352"/>
      <c r="M1" s="1347" t="str">
        <f>IF('Start here'!A7="","",'Start here'!A7)</f>
        <v/>
      </c>
      <c r="N1" s="1351"/>
      <c r="O1" s="1351"/>
      <c r="P1" s="1352"/>
      <c r="R1" s="694">
        <v>38353</v>
      </c>
      <c r="S1" s="196">
        <f>'Start here'!A8</f>
        <v>0</v>
      </c>
      <c r="T1" s="1207" t="str">
        <f>IF(S1&gt;=R1,"Go to PPD Worksheet","")</f>
        <v/>
      </c>
      <c r="U1" s="1207"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x14ac:dyDescent="0.2">
      <c r="B2" s="1812"/>
      <c r="C2" s="1812"/>
      <c r="D2" s="1812"/>
      <c r="E2" s="1812"/>
      <c r="F2" s="1812"/>
      <c r="G2" s="1812"/>
      <c r="H2" s="1812"/>
      <c r="I2" s="1812"/>
      <c r="J2" s="1812"/>
      <c r="K2" s="1812"/>
      <c r="L2" s="1812"/>
      <c r="M2" s="1812"/>
      <c r="N2" s="1812"/>
      <c r="O2" s="1812"/>
      <c r="P2" s="1812"/>
    </row>
    <row r="3" spans="1:170" ht="24" customHeight="1" x14ac:dyDescent="0.3">
      <c r="B3" s="1529" t="s">
        <v>1825</v>
      </c>
      <c r="C3" s="1529"/>
      <c r="D3" s="1529"/>
      <c r="E3" s="1529"/>
      <c r="F3" s="1529"/>
      <c r="G3" s="1529"/>
      <c r="H3" s="1529"/>
      <c r="I3" s="1529"/>
      <c r="J3" s="1529"/>
      <c r="K3" s="1529"/>
      <c r="L3" s="1529"/>
      <c r="M3" s="1529"/>
      <c r="N3" s="1529"/>
      <c r="O3" s="1529"/>
      <c r="P3" s="1529"/>
    </row>
    <row r="4" spans="1:170" ht="27" customHeight="1" x14ac:dyDescent="0.3">
      <c r="B4" s="390"/>
      <c r="C4" s="1549" t="s">
        <v>429</v>
      </c>
      <c r="D4" s="1550"/>
      <c r="E4" s="1550"/>
      <c r="F4" s="1550"/>
      <c r="G4" s="1550"/>
      <c r="H4" s="1550"/>
      <c r="I4" s="1550"/>
      <c r="J4" s="1550"/>
      <c r="K4" s="1550"/>
      <c r="L4" s="1551"/>
      <c r="M4" s="1531" t="s">
        <v>1525</v>
      </c>
      <c r="N4" s="1535"/>
      <c r="O4" s="1532"/>
      <c r="P4" s="390"/>
      <c r="S4" s="1026" t="s">
        <v>2303</v>
      </c>
      <c r="T4" s="1210" t="s">
        <v>1305</v>
      </c>
      <c r="U4" s="1210" t="s">
        <v>1306</v>
      </c>
      <c r="V4" s="1210" t="s">
        <v>1307</v>
      </c>
      <c r="W4" s="1208" t="s">
        <v>1025</v>
      </c>
    </row>
    <row r="5" spans="1:170" ht="21" customHeight="1" x14ac:dyDescent="0.2">
      <c r="B5" s="328" t="s">
        <v>1826</v>
      </c>
      <c r="C5" s="2400"/>
      <c r="D5" s="2401"/>
      <c r="E5" s="2401"/>
      <c r="F5" s="2401"/>
      <c r="G5" s="2401"/>
      <c r="H5" s="2401"/>
      <c r="I5" s="2401"/>
      <c r="J5" s="2401"/>
      <c r="K5" s="2401"/>
      <c r="L5" s="2402"/>
      <c r="M5" s="1353">
        <f>IF(S5=2,0,IF(S5=3,0.18,IF(S5=4,0.38,IF(S5=5,0.75,0))))</f>
        <v>0</v>
      </c>
      <c r="N5" s="1355"/>
      <c r="O5" s="261"/>
      <c r="P5" s="327">
        <f>IF(AND(W5&gt;0,W5&lt;0.01),0.01,ROUND(W5,2))</f>
        <v>0</v>
      </c>
      <c r="S5" s="1215">
        <v>1</v>
      </c>
      <c r="T5" s="452">
        <f>LARGE($P$5:$P$8,1)</f>
        <v>0</v>
      </c>
      <c r="U5" s="495">
        <f>T5+T6*(1-T5)</f>
        <v>0</v>
      </c>
      <c r="V5" s="479">
        <f>ROUND(U5,2)</f>
        <v>0</v>
      </c>
      <c r="W5" s="1216">
        <f>IF(O5&gt;0,O5*M5,M5)</f>
        <v>0</v>
      </c>
    </row>
    <row r="6" spans="1:170" ht="21" customHeight="1" x14ac:dyDescent="0.2">
      <c r="B6" s="328" t="s">
        <v>1827</v>
      </c>
      <c r="C6" s="2400"/>
      <c r="D6" s="2401"/>
      <c r="E6" s="2401"/>
      <c r="F6" s="2401"/>
      <c r="G6" s="2401"/>
      <c r="H6" s="2401"/>
      <c r="I6" s="2401"/>
      <c r="J6" s="2401"/>
      <c r="K6" s="2401"/>
      <c r="L6" s="2402"/>
      <c r="M6" s="1353">
        <f>IF(S6=2,0.05,IF(S6=3,0.2,IF(S6=4,0.4,IF(S6=5,0.78,0))))</f>
        <v>0</v>
      </c>
      <c r="N6" s="1355"/>
      <c r="O6" s="261"/>
      <c r="P6" s="26">
        <f>IF(AND(W6&gt;0,W6&lt;0.01),0.01,ROUND(W6,2))</f>
        <v>0</v>
      </c>
      <c r="S6" s="1215">
        <v>1</v>
      </c>
      <c r="T6" s="452">
        <f>LARGE($P$5:$P$8,2)</f>
        <v>0</v>
      </c>
      <c r="U6" s="495">
        <f>V5+T7*(1-V5)</f>
        <v>0</v>
      </c>
      <c r="V6" s="479">
        <f>ROUND(U6,2)</f>
        <v>0</v>
      </c>
      <c r="W6" s="1216">
        <f>IF(O6&gt;0,O6*M6,M6)</f>
        <v>0</v>
      </c>
    </row>
    <row r="7" spans="1:170" ht="21" customHeight="1" x14ac:dyDescent="0.2">
      <c r="B7" s="328" t="s">
        <v>1828</v>
      </c>
      <c r="C7" s="2400"/>
      <c r="D7" s="2401"/>
      <c r="E7" s="2401"/>
      <c r="F7" s="2401"/>
      <c r="G7" s="2401"/>
      <c r="H7" s="2401"/>
      <c r="I7" s="2401"/>
      <c r="J7" s="2401"/>
      <c r="K7" s="2401"/>
      <c r="L7" s="2402"/>
      <c r="M7" s="1353">
        <f>IF(S7=2,0.04,IF(S7=3,0.09,IF(S7=4,0.18,IF(S7=5,0.26,IF(S7=6,0.33,0)))))</f>
        <v>0</v>
      </c>
      <c r="N7" s="1355"/>
      <c r="O7" s="261"/>
      <c r="P7" s="26">
        <f>IF(AND(W7&gt;0,W7&lt;0.01),0.01,ROUND(W7,2))</f>
        <v>0</v>
      </c>
      <c r="S7" s="1215">
        <v>1</v>
      </c>
      <c r="T7" s="452">
        <f>LARGE($P$5:$P$8,3)</f>
        <v>0</v>
      </c>
      <c r="U7" s="495">
        <f>V6+T8*(1-V6)</f>
        <v>0</v>
      </c>
      <c r="V7" s="479">
        <f>ROUND(U7,2)</f>
        <v>0</v>
      </c>
      <c r="W7" s="1216">
        <f>IF(O7&gt;0,O7*M7,M7)</f>
        <v>0</v>
      </c>
    </row>
    <row r="8" spans="1:170" ht="29.25" customHeight="1" x14ac:dyDescent="0.2">
      <c r="B8" s="328" t="s">
        <v>1863</v>
      </c>
      <c r="C8" s="1539"/>
      <c r="D8" s="2407"/>
      <c r="E8" s="2407"/>
      <c r="F8" s="2407"/>
      <c r="G8" s="2407"/>
      <c r="H8" s="2407"/>
      <c r="I8" s="2407"/>
      <c r="J8" s="2407"/>
      <c r="K8" s="2407"/>
      <c r="L8" s="1540"/>
      <c r="M8" s="1626"/>
      <c r="N8" s="1798"/>
      <c r="O8" s="316"/>
      <c r="P8" s="26">
        <f>IF(S8=1,0.25,0)</f>
        <v>0</v>
      </c>
      <c r="S8" s="1215">
        <v>2</v>
      </c>
      <c r="T8" s="452">
        <f>LARGE($P$5:$P$8,4)</f>
        <v>0</v>
      </c>
      <c r="U8" s="524"/>
      <c r="V8" s="499"/>
    </row>
    <row r="9" spans="1:170" ht="21" customHeight="1" x14ac:dyDescent="0.2">
      <c r="B9" s="215"/>
      <c r="C9" s="2111" t="s">
        <v>2141</v>
      </c>
      <c r="D9" s="2112"/>
      <c r="E9" s="2112"/>
      <c r="F9" s="2112"/>
      <c r="G9" s="2112"/>
      <c r="H9" s="2112"/>
      <c r="I9" s="2112"/>
      <c r="J9" s="2112"/>
      <c r="K9" s="2112"/>
      <c r="L9" s="2112"/>
      <c r="M9" s="2112"/>
      <c r="N9" s="2112"/>
      <c r="O9" s="2113"/>
      <c r="P9" s="333">
        <f>V7</f>
        <v>0</v>
      </c>
    </row>
    <row r="10" spans="1:170" ht="33" customHeight="1" x14ac:dyDescent="0.25">
      <c r="B10" s="1682" t="s">
        <v>947</v>
      </c>
      <c r="C10" s="1682"/>
      <c r="D10" s="1682"/>
      <c r="E10" s="1682"/>
      <c r="F10" s="1682"/>
      <c r="G10" s="1682"/>
      <c r="H10" s="1682"/>
      <c r="I10" s="1682"/>
      <c r="J10" s="1682"/>
      <c r="K10" s="1682"/>
      <c r="L10" s="1682"/>
      <c r="M10" s="1682"/>
      <c r="N10" s="1682"/>
      <c r="O10" s="1682"/>
      <c r="P10" s="1682"/>
    </row>
    <row r="11" spans="1:170" x14ac:dyDescent="0.2">
      <c r="A11" s="189"/>
      <c r="C11" s="2405"/>
      <c r="D11" s="2405"/>
      <c r="E11" s="2405"/>
      <c r="F11" s="2405"/>
      <c r="G11" s="2405"/>
    </row>
    <row r="12" spans="1:170" x14ac:dyDescent="0.2">
      <c r="B12" s="35" t="s">
        <v>2047</v>
      </c>
      <c r="C12" s="2406"/>
      <c r="D12" s="2406"/>
      <c r="E12" s="2406"/>
      <c r="F12" s="2406"/>
      <c r="G12" s="2406"/>
      <c r="J12" s="2345" t="str">
        <f>IF(U1&lt;&gt;"",U1,"")</f>
        <v>Go to PPD Worksheet</v>
      </c>
      <c r="K12" s="2345"/>
      <c r="L12" s="2345"/>
      <c r="M12" s="2345"/>
      <c r="N12" s="2345"/>
      <c r="O12" s="2345"/>
    </row>
    <row r="13" spans="1:170" x14ac:dyDescent="0.2">
      <c r="B13" s="35" t="s">
        <v>2048</v>
      </c>
      <c r="C13" s="2406"/>
      <c r="D13" s="2406"/>
      <c r="E13" s="2406"/>
      <c r="F13" s="2406"/>
      <c r="G13" s="2406"/>
      <c r="J13" s="2345"/>
      <c r="K13" s="2345"/>
      <c r="L13" s="2345"/>
      <c r="M13" s="2345"/>
      <c r="N13" s="2345"/>
      <c r="O13" s="2345"/>
    </row>
    <row r="14" spans="1:170" ht="15" x14ac:dyDescent="0.25">
      <c r="B14" s="210"/>
      <c r="C14" s="2406"/>
      <c r="D14" s="2406"/>
      <c r="E14" s="2406"/>
      <c r="F14" s="2406"/>
      <c r="G14" s="2406"/>
      <c r="J14" s="2399" t="str">
        <f>IF(T1&lt;&gt;"",T1,"")</f>
        <v/>
      </c>
      <c r="K14" s="2399"/>
      <c r="L14" s="2399"/>
      <c r="M14" s="2399"/>
      <c r="N14" s="2399"/>
      <c r="O14" s="2399"/>
    </row>
    <row r="15" spans="1:170" x14ac:dyDescent="0.2">
      <c r="C15" s="2406"/>
      <c r="D15" s="2406"/>
      <c r="E15" s="2406"/>
      <c r="F15" s="2406"/>
      <c r="G15" s="2406"/>
    </row>
    <row r="16" spans="1:170" x14ac:dyDescent="0.2">
      <c r="B16" s="182"/>
    </row>
    <row r="17" spans="2:3" hidden="1" x14ac:dyDescent="0.2">
      <c r="B17" s="35">
        <v>0.01</v>
      </c>
      <c r="C17" s="35">
        <v>0.99</v>
      </c>
    </row>
    <row r="18" spans="2:3" x14ac:dyDescent="0.2">
      <c r="B18" s="182"/>
    </row>
    <row r="19" spans="2:3" x14ac:dyDescent="0.2">
      <c r="B19" s="182"/>
    </row>
    <row r="20" spans="2:3" x14ac:dyDescent="0.2">
      <c r="B20" s="182"/>
    </row>
  </sheetData>
  <sheetProtection sheet="1" objects="1" scenarios="1"/>
  <mergeCells count="20">
    <mergeCell ref="C11:G15"/>
    <mergeCell ref="M8:N8"/>
    <mergeCell ref="C8:L8"/>
    <mergeCell ref="C6:L6"/>
    <mergeCell ref="C7:L7"/>
    <mergeCell ref="C9:O9"/>
    <mergeCell ref="B10:P10"/>
    <mergeCell ref="J12:O12"/>
    <mergeCell ref="J13:O13"/>
    <mergeCell ref="J14:O14"/>
    <mergeCell ref="M1:P1"/>
    <mergeCell ref="D1:K1"/>
    <mergeCell ref="M7:N7"/>
    <mergeCell ref="M4:O4"/>
    <mergeCell ref="C4:L4"/>
    <mergeCell ref="B2:P2"/>
    <mergeCell ref="B3:P3"/>
    <mergeCell ref="M5:N5"/>
    <mergeCell ref="M6:N6"/>
    <mergeCell ref="C5:L5"/>
  </mergeCells>
  <phoneticPr fontId="0" type="noConversion"/>
  <dataValidations xWindow="642" yWindow="516" count="1">
    <dataValidation type="decimal" allowBlank="1" showInputMessage="1" showErrorMessage="1" promptTitle="Apportionment (if any)" prompt="Enter percentage of impairment caused by the injury or illness. See OAR 436-035-0013." sqref="O5:O7" xr:uid="{00000000-0002-0000-1300-000000000000}">
      <formula1>$B$17</formula1>
      <formula2>$C$17</formula2>
    </dataValidation>
  </dataValidations>
  <hyperlinks>
    <hyperlink ref="J12:O12" location="'PPD DOI before 2005'!A1" display="'PPD DOI before 2005'!A1" xr:uid="{00000000-0004-0000-1300-000000000000}"/>
    <hyperlink ref="J14:O14" location="'PPD DOI on or after 2005'!A1" display="'PPD DOI on or after 2005'!A1" xr:uid="{00000000-0004-0000-13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34843" r:id="rId4">
          <objectPr locked="0" defaultSize="0" r:id="rId5">
            <anchor moveWithCells="1">
              <from>
                <xdr:col>2</xdr:col>
                <xdr:colOff>85725</xdr:colOff>
                <xdr:row>10</xdr:row>
                <xdr:rowOff>85725</xdr:rowOff>
              </from>
              <to>
                <xdr:col>7</xdr:col>
                <xdr:colOff>133350</xdr:colOff>
                <xdr:row>15</xdr:row>
                <xdr:rowOff>142875</xdr:rowOff>
              </to>
            </anchor>
          </objectPr>
        </oleObject>
      </mc:Choice>
      <mc:Fallback>
        <oleObject progId="Document" dvAspect="DVASPECT_ICON" shapeId="34843" r:id="rId4"/>
      </mc:Fallback>
    </mc:AlternateContent>
  </oleObjects>
  <mc:AlternateContent xmlns:mc="http://schemas.openxmlformats.org/markup-compatibility/2006">
    <mc:Choice Requires="x14">
      <controls>
        <mc:AlternateContent xmlns:mc="http://schemas.openxmlformats.org/markup-compatibility/2006">
          <mc:Choice Requires="x14">
            <control shapeId="34818" r:id="rId6" name="Group Box 2">
              <controlPr defaultSize="0" autoFill="0" autoPict="0">
                <anchor moveWithCells="1" sizeWithCells="1">
                  <from>
                    <xdr:col>2</xdr:col>
                    <xdr:colOff>0</xdr:colOff>
                    <xdr:row>4</xdr:row>
                    <xdr:rowOff>0</xdr:rowOff>
                  </from>
                  <to>
                    <xdr:col>12</xdr:col>
                    <xdr:colOff>0</xdr:colOff>
                    <xdr:row>5</xdr:row>
                    <xdr:rowOff>0</xdr:rowOff>
                  </to>
                </anchor>
              </controlPr>
            </control>
          </mc:Choice>
        </mc:AlternateContent>
        <mc:AlternateContent xmlns:mc="http://schemas.openxmlformats.org/markup-compatibility/2006">
          <mc:Choice Requires="x14">
            <control shapeId="34819" r:id="rId7" name="Option Button 3">
              <controlPr defaultSize="0" autoFill="0" autoLine="0" autoPict="0">
                <anchor moveWithCells="1" sizeWithCells="1">
                  <from>
                    <xdr:col>3</xdr:col>
                    <xdr:colOff>142875</xdr:colOff>
                    <xdr:row>4</xdr:row>
                    <xdr:rowOff>19050</xdr:rowOff>
                  </from>
                  <to>
                    <xdr:col>6</xdr:col>
                    <xdr:colOff>104775</xdr:colOff>
                    <xdr:row>4</xdr:row>
                    <xdr:rowOff>257175</xdr:rowOff>
                  </to>
                </anchor>
              </controlPr>
            </control>
          </mc:Choice>
        </mc:AlternateContent>
        <mc:AlternateContent xmlns:mc="http://schemas.openxmlformats.org/markup-compatibility/2006">
          <mc:Choice Requires="x14">
            <control shapeId="34820" r:id="rId8" name="Option Button 4">
              <controlPr defaultSize="0" autoFill="0" autoLine="0" autoPict="0">
                <anchor moveWithCells="1" sizeWithCells="1">
                  <from>
                    <xdr:col>6</xdr:col>
                    <xdr:colOff>104775</xdr:colOff>
                    <xdr:row>4</xdr:row>
                    <xdr:rowOff>19050</xdr:rowOff>
                  </from>
                  <to>
                    <xdr:col>7</xdr:col>
                    <xdr:colOff>161925</xdr:colOff>
                    <xdr:row>4</xdr:row>
                    <xdr:rowOff>257175</xdr:rowOff>
                  </to>
                </anchor>
              </controlPr>
            </control>
          </mc:Choice>
        </mc:AlternateContent>
        <mc:AlternateContent xmlns:mc="http://schemas.openxmlformats.org/markup-compatibility/2006">
          <mc:Choice Requires="x14">
            <control shapeId="34821" r:id="rId9" name="Option Button 5">
              <controlPr defaultSize="0" autoFill="0" autoLine="0" autoPict="0">
                <anchor moveWithCells="1" sizeWithCells="1">
                  <from>
                    <xdr:col>7</xdr:col>
                    <xdr:colOff>180975</xdr:colOff>
                    <xdr:row>4</xdr:row>
                    <xdr:rowOff>19050</xdr:rowOff>
                  </from>
                  <to>
                    <xdr:col>9</xdr:col>
                    <xdr:colOff>0</xdr:colOff>
                    <xdr:row>4</xdr:row>
                    <xdr:rowOff>257175</xdr:rowOff>
                  </to>
                </anchor>
              </controlPr>
            </control>
          </mc:Choice>
        </mc:AlternateContent>
        <mc:AlternateContent xmlns:mc="http://schemas.openxmlformats.org/markup-compatibility/2006">
          <mc:Choice Requires="x14">
            <control shapeId="34822" r:id="rId10" name="Option Button 6">
              <controlPr defaultSize="0" autoFill="0" autoLine="0" autoPict="0">
                <anchor moveWithCells="1" sizeWithCells="1">
                  <from>
                    <xdr:col>9</xdr:col>
                    <xdr:colOff>9525</xdr:colOff>
                    <xdr:row>4</xdr:row>
                    <xdr:rowOff>19050</xdr:rowOff>
                  </from>
                  <to>
                    <xdr:col>10</xdr:col>
                    <xdr:colOff>76200</xdr:colOff>
                    <xdr:row>4</xdr:row>
                    <xdr:rowOff>257175</xdr:rowOff>
                  </to>
                </anchor>
              </controlPr>
            </control>
          </mc:Choice>
        </mc:AlternateContent>
        <mc:AlternateContent xmlns:mc="http://schemas.openxmlformats.org/markup-compatibility/2006">
          <mc:Choice Requires="x14">
            <control shapeId="34823" r:id="rId11" name="Option Button 7">
              <controlPr defaultSize="0" autoFill="0" autoLine="0" autoPict="0">
                <anchor moveWithCells="1" sizeWithCells="1">
                  <from>
                    <xdr:col>10</xdr:col>
                    <xdr:colOff>76200</xdr:colOff>
                    <xdr:row>4</xdr:row>
                    <xdr:rowOff>19050</xdr:rowOff>
                  </from>
                  <to>
                    <xdr:col>11</xdr:col>
                    <xdr:colOff>142875</xdr:colOff>
                    <xdr:row>4</xdr:row>
                    <xdr:rowOff>257175</xdr:rowOff>
                  </to>
                </anchor>
              </controlPr>
            </control>
          </mc:Choice>
        </mc:AlternateContent>
        <mc:AlternateContent xmlns:mc="http://schemas.openxmlformats.org/markup-compatibility/2006">
          <mc:Choice Requires="x14">
            <control shapeId="34825" r:id="rId12" name="Group Box 9">
              <controlPr defaultSize="0" autoFill="0" autoPict="0">
                <anchor moveWithCells="1" sizeWithCells="1">
                  <from>
                    <xdr:col>2</xdr:col>
                    <xdr:colOff>0</xdr:colOff>
                    <xdr:row>5</xdr:row>
                    <xdr:rowOff>0</xdr:rowOff>
                  </from>
                  <to>
                    <xdr:col>12</xdr:col>
                    <xdr:colOff>0</xdr:colOff>
                    <xdr:row>6</xdr:row>
                    <xdr:rowOff>0</xdr:rowOff>
                  </to>
                </anchor>
              </controlPr>
            </control>
          </mc:Choice>
        </mc:AlternateContent>
        <mc:AlternateContent xmlns:mc="http://schemas.openxmlformats.org/markup-compatibility/2006">
          <mc:Choice Requires="x14">
            <control shapeId="34826" r:id="rId13" name="Option Button 10">
              <controlPr defaultSize="0" autoFill="0" autoLine="0" autoPict="0">
                <anchor moveWithCells="1" sizeWithCells="1">
                  <from>
                    <xdr:col>3</xdr:col>
                    <xdr:colOff>133350</xdr:colOff>
                    <xdr:row>5</xdr:row>
                    <xdr:rowOff>9525</xdr:rowOff>
                  </from>
                  <to>
                    <xdr:col>6</xdr:col>
                    <xdr:colOff>76200</xdr:colOff>
                    <xdr:row>6</xdr:row>
                    <xdr:rowOff>0</xdr:rowOff>
                  </to>
                </anchor>
              </controlPr>
            </control>
          </mc:Choice>
        </mc:AlternateContent>
        <mc:AlternateContent xmlns:mc="http://schemas.openxmlformats.org/markup-compatibility/2006">
          <mc:Choice Requires="x14">
            <control shapeId="34827" r:id="rId14" name="Option Button 11">
              <controlPr defaultSize="0" autoFill="0" autoLine="0" autoPict="0">
                <anchor moveWithCells="1" sizeWithCells="1">
                  <from>
                    <xdr:col>6</xdr:col>
                    <xdr:colOff>104775</xdr:colOff>
                    <xdr:row>5</xdr:row>
                    <xdr:rowOff>9525</xdr:rowOff>
                  </from>
                  <to>
                    <xdr:col>7</xdr:col>
                    <xdr:colOff>161925</xdr:colOff>
                    <xdr:row>6</xdr:row>
                    <xdr:rowOff>0</xdr:rowOff>
                  </to>
                </anchor>
              </controlPr>
            </control>
          </mc:Choice>
        </mc:AlternateContent>
        <mc:AlternateContent xmlns:mc="http://schemas.openxmlformats.org/markup-compatibility/2006">
          <mc:Choice Requires="x14">
            <control shapeId="34828" r:id="rId15" name="Option Button 12">
              <controlPr defaultSize="0" autoFill="0" autoLine="0" autoPict="0">
                <anchor moveWithCells="1" sizeWithCells="1">
                  <from>
                    <xdr:col>7</xdr:col>
                    <xdr:colOff>180975</xdr:colOff>
                    <xdr:row>5</xdr:row>
                    <xdr:rowOff>9525</xdr:rowOff>
                  </from>
                  <to>
                    <xdr:col>8</xdr:col>
                    <xdr:colOff>238125</xdr:colOff>
                    <xdr:row>6</xdr:row>
                    <xdr:rowOff>0</xdr:rowOff>
                  </to>
                </anchor>
              </controlPr>
            </control>
          </mc:Choice>
        </mc:AlternateContent>
        <mc:AlternateContent xmlns:mc="http://schemas.openxmlformats.org/markup-compatibility/2006">
          <mc:Choice Requires="x14">
            <control shapeId="34829" r:id="rId16" name="Option Button 13">
              <controlPr defaultSize="0" autoFill="0" autoLine="0" autoPict="0">
                <anchor moveWithCells="1" sizeWithCells="1">
                  <from>
                    <xdr:col>9</xdr:col>
                    <xdr:colOff>9525</xdr:colOff>
                    <xdr:row>5</xdr:row>
                    <xdr:rowOff>9525</xdr:rowOff>
                  </from>
                  <to>
                    <xdr:col>10</xdr:col>
                    <xdr:colOff>66675</xdr:colOff>
                    <xdr:row>6</xdr:row>
                    <xdr:rowOff>0</xdr:rowOff>
                  </to>
                </anchor>
              </controlPr>
            </control>
          </mc:Choice>
        </mc:AlternateContent>
        <mc:AlternateContent xmlns:mc="http://schemas.openxmlformats.org/markup-compatibility/2006">
          <mc:Choice Requires="x14">
            <control shapeId="34830" r:id="rId17" name="Option Button 14">
              <controlPr defaultSize="0" autoFill="0" autoLine="0" autoPict="0">
                <anchor moveWithCells="1" sizeWithCells="1">
                  <from>
                    <xdr:col>10</xdr:col>
                    <xdr:colOff>66675</xdr:colOff>
                    <xdr:row>5</xdr:row>
                    <xdr:rowOff>9525</xdr:rowOff>
                  </from>
                  <to>
                    <xdr:col>11</xdr:col>
                    <xdr:colOff>123825</xdr:colOff>
                    <xdr:row>6</xdr:row>
                    <xdr:rowOff>0</xdr:rowOff>
                  </to>
                </anchor>
              </controlPr>
            </control>
          </mc:Choice>
        </mc:AlternateContent>
        <mc:AlternateContent xmlns:mc="http://schemas.openxmlformats.org/markup-compatibility/2006">
          <mc:Choice Requires="x14">
            <control shapeId="34832" r:id="rId18" name="Group Box 16">
              <controlPr defaultSize="0" autoFill="0" autoPict="0">
                <anchor moveWithCells="1" sizeWithCells="1">
                  <from>
                    <xdr:col>2</xdr:col>
                    <xdr:colOff>0</xdr:colOff>
                    <xdr:row>7</xdr:row>
                    <xdr:rowOff>0</xdr:rowOff>
                  </from>
                  <to>
                    <xdr:col>15</xdr:col>
                    <xdr:colOff>0</xdr:colOff>
                    <xdr:row>8</xdr:row>
                    <xdr:rowOff>0</xdr:rowOff>
                  </to>
                </anchor>
              </controlPr>
            </control>
          </mc:Choice>
        </mc:AlternateContent>
        <mc:AlternateContent xmlns:mc="http://schemas.openxmlformats.org/markup-compatibility/2006">
          <mc:Choice Requires="x14">
            <control shapeId="34833" r:id="rId19" name="Option Button 17">
              <controlPr defaultSize="0" autoFill="0" autoLine="0" autoPict="0">
                <anchor moveWithCells="1" sizeWithCells="1">
                  <from>
                    <xdr:col>3</xdr:col>
                    <xdr:colOff>133350</xdr:colOff>
                    <xdr:row>7</xdr:row>
                    <xdr:rowOff>114300</xdr:rowOff>
                  </from>
                  <to>
                    <xdr:col>6</xdr:col>
                    <xdr:colOff>76200</xdr:colOff>
                    <xdr:row>7</xdr:row>
                    <xdr:rowOff>333375</xdr:rowOff>
                  </to>
                </anchor>
              </controlPr>
            </control>
          </mc:Choice>
        </mc:AlternateContent>
        <mc:AlternateContent xmlns:mc="http://schemas.openxmlformats.org/markup-compatibility/2006">
          <mc:Choice Requires="x14">
            <control shapeId="34834" r:id="rId20" name="Option Button 18">
              <controlPr defaultSize="0" autoFill="0" autoLine="0" autoPict="0">
                <anchor moveWithCells="1" sizeWithCells="1">
                  <from>
                    <xdr:col>6</xdr:col>
                    <xdr:colOff>104775</xdr:colOff>
                    <xdr:row>7</xdr:row>
                    <xdr:rowOff>114300</xdr:rowOff>
                  </from>
                  <to>
                    <xdr:col>8</xdr:col>
                    <xdr:colOff>123825</xdr:colOff>
                    <xdr:row>7</xdr:row>
                    <xdr:rowOff>333375</xdr:rowOff>
                  </to>
                </anchor>
              </controlPr>
            </control>
          </mc:Choice>
        </mc:AlternateContent>
        <mc:AlternateContent xmlns:mc="http://schemas.openxmlformats.org/markup-compatibility/2006">
          <mc:Choice Requires="x14">
            <control shapeId="34836" r:id="rId21" name="Group Box 20">
              <controlPr defaultSize="0" autoFill="0" autoPict="0">
                <anchor moveWithCells="1" sizeWithCells="1">
                  <from>
                    <xdr:col>2</xdr:col>
                    <xdr:colOff>0</xdr:colOff>
                    <xdr:row>6</xdr:row>
                    <xdr:rowOff>0</xdr:rowOff>
                  </from>
                  <to>
                    <xdr:col>12</xdr:col>
                    <xdr:colOff>0</xdr:colOff>
                    <xdr:row>7</xdr:row>
                    <xdr:rowOff>0</xdr:rowOff>
                  </to>
                </anchor>
              </controlPr>
            </control>
          </mc:Choice>
        </mc:AlternateContent>
        <mc:AlternateContent xmlns:mc="http://schemas.openxmlformats.org/markup-compatibility/2006">
          <mc:Choice Requires="x14">
            <control shapeId="34837" r:id="rId22" name="Option Button 21">
              <controlPr defaultSize="0" autoFill="0" autoLine="0" autoPict="0">
                <anchor moveWithCells="1" sizeWithCells="1">
                  <from>
                    <xdr:col>3</xdr:col>
                    <xdr:colOff>133350</xdr:colOff>
                    <xdr:row>6</xdr:row>
                    <xdr:rowOff>47625</xdr:rowOff>
                  </from>
                  <to>
                    <xdr:col>6</xdr:col>
                    <xdr:colOff>76200</xdr:colOff>
                    <xdr:row>7</xdr:row>
                    <xdr:rowOff>0</xdr:rowOff>
                  </to>
                </anchor>
              </controlPr>
            </control>
          </mc:Choice>
        </mc:AlternateContent>
        <mc:AlternateContent xmlns:mc="http://schemas.openxmlformats.org/markup-compatibility/2006">
          <mc:Choice Requires="x14">
            <control shapeId="34838" r:id="rId23" name="Option Button 22">
              <controlPr defaultSize="0" autoFill="0" autoLine="0" autoPict="0">
                <anchor moveWithCells="1" sizeWithCells="1">
                  <from>
                    <xdr:col>6</xdr:col>
                    <xdr:colOff>104775</xdr:colOff>
                    <xdr:row>6</xdr:row>
                    <xdr:rowOff>47625</xdr:rowOff>
                  </from>
                  <to>
                    <xdr:col>7</xdr:col>
                    <xdr:colOff>161925</xdr:colOff>
                    <xdr:row>7</xdr:row>
                    <xdr:rowOff>0</xdr:rowOff>
                  </to>
                </anchor>
              </controlPr>
            </control>
          </mc:Choice>
        </mc:AlternateContent>
        <mc:AlternateContent xmlns:mc="http://schemas.openxmlformats.org/markup-compatibility/2006">
          <mc:Choice Requires="x14">
            <control shapeId="34839" r:id="rId24" name="Option Button 23">
              <controlPr defaultSize="0" autoFill="0" autoLine="0" autoPict="0">
                <anchor moveWithCells="1" sizeWithCells="1">
                  <from>
                    <xdr:col>7</xdr:col>
                    <xdr:colOff>180975</xdr:colOff>
                    <xdr:row>6</xdr:row>
                    <xdr:rowOff>47625</xdr:rowOff>
                  </from>
                  <to>
                    <xdr:col>8</xdr:col>
                    <xdr:colOff>238125</xdr:colOff>
                    <xdr:row>7</xdr:row>
                    <xdr:rowOff>0</xdr:rowOff>
                  </to>
                </anchor>
              </controlPr>
            </control>
          </mc:Choice>
        </mc:AlternateContent>
        <mc:AlternateContent xmlns:mc="http://schemas.openxmlformats.org/markup-compatibility/2006">
          <mc:Choice Requires="x14">
            <control shapeId="34840" r:id="rId25" name="Option Button 24">
              <controlPr defaultSize="0" autoFill="0" autoLine="0" autoPict="0">
                <anchor moveWithCells="1" sizeWithCells="1">
                  <from>
                    <xdr:col>9</xdr:col>
                    <xdr:colOff>9525</xdr:colOff>
                    <xdr:row>6</xdr:row>
                    <xdr:rowOff>47625</xdr:rowOff>
                  </from>
                  <to>
                    <xdr:col>10</xdr:col>
                    <xdr:colOff>66675</xdr:colOff>
                    <xdr:row>7</xdr:row>
                    <xdr:rowOff>0</xdr:rowOff>
                  </to>
                </anchor>
              </controlPr>
            </control>
          </mc:Choice>
        </mc:AlternateContent>
        <mc:AlternateContent xmlns:mc="http://schemas.openxmlformats.org/markup-compatibility/2006">
          <mc:Choice Requires="x14">
            <control shapeId="34841" r:id="rId26" name="Option Button 25">
              <controlPr defaultSize="0" autoFill="0" autoLine="0" autoPict="0">
                <anchor moveWithCells="1" sizeWithCells="1">
                  <from>
                    <xdr:col>10</xdr:col>
                    <xdr:colOff>66675</xdr:colOff>
                    <xdr:row>6</xdr:row>
                    <xdr:rowOff>47625</xdr:rowOff>
                  </from>
                  <to>
                    <xdr:col>11</xdr:col>
                    <xdr:colOff>123825</xdr:colOff>
                    <xdr:row>7</xdr:row>
                    <xdr:rowOff>0</xdr:rowOff>
                  </to>
                </anchor>
              </controlPr>
            </control>
          </mc:Choice>
        </mc:AlternateContent>
        <mc:AlternateContent xmlns:mc="http://schemas.openxmlformats.org/markup-compatibility/2006">
          <mc:Choice Requires="x14">
            <control shapeId="34842" r:id="rId27" name="Option Button 26">
              <controlPr defaultSize="0" autoFill="0" autoLine="0" autoPict="0">
                <anchor moveWithCells="1" sizeWithCells="1">
                  <from>
                    <xdr:col>11</xdr:col>
                    <xdr:colOff>133350</xdr:colOff>
                    <xdr:row>6</xdr:row>
                    <xdr:rowOff>47625</xdr:rowOff>
                  </from>
                  <to>
                    <xdr:col>11</xdr:col>
                    <xdr:colOff>438150</xdr:colOff>
                    <xdr:row>7</xdr:row>
                    <xdr:rowOff>0</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N55"/>
  <sheetViews>
    <sheetView showGridLines="0" zoomScale="120" zoomScaleNormal="120" workbookViewId="0"/>
  </sheetViews>
  <sheetFormatPr defaultColWidth="3.5703125" defaultRowHeight="12.75" x14ac:dyDescent="0.2"/>
  <cols>
    <col min="1" max="1" width="1.42578125" style="35" customWidth="1"/>
    <col min="2" max="2" width="18" style="35" customWidth="1"/>
    <col min="3" max="3" width="2.5703125" style="35" customWidth="1"/>
    <col min="4" max="4" width="2.28515625" style="35" customWidth="1"/>
    <col min="5" max="13" width="3.85546875" style="35" customWidth="1"/>
    <col min="14" max="14" width="3.7109375" style="35" customWidth="1"/>
    <col min="15" max="15" width="12.85546875" style="35" customWidth="1"/>
    <col min="16" max="16" width="11.7109375" style="35" customWidth="1"/>
    <col min="17" max="17" width="0.5703125" style="35" customWidth="1"/>
    <col min="18" max="18" width="17.42578125" style="35" hidden="1" customWidth="1"/>
    <col min="19" max="19" width="12.7109375" style="35" hidden="1" customWidth="1"/>
    <col min="20" max="20" width="15.85546875" style="35" hidden="1" customWidth="1"/>
    <col min="21" max="21" width="17.7109375" style="35" hidden="1" customWidth="1"/>
    <col min="22" max="22" width="12.7109375" style="35" hidden="1" customWidth="1"/>
    <col min="23" max="130" width="3.5703125" style="35" hidden="1" customWidth="1"/>
    <col min="131" max="255" width="3.5703125" style="35" customWidth="1"/>
    <col min="256" max="16384" width="3.5703125" style="35"/>
  </cols>
  <sheetData>
    <row r="1" spans="1:170" ht="15" customHeight="1" x14ac:dyDescent="0.2">
      <c r="B1" s="14" t="s">
        <v>1733</v>
      </c>
      <c r="E1" s="1347" t="str">
        <f>IF('Start here'!A6="","",'Start here'!A6)</f>
        <v/>
      </c>
      <c r="F1" s="1351"/>
      <c r="G1" s="1351"/>
      <c r="H1" s="1351"/>
      <c r="I1" s="1351"/>
      <c r="J1" s="1351"/>
      <c r="K1" s="1352"/>
      <c r="M1" s="1347" t="str">
        <f>IF('Start here'!A7="","",'Start here'!A7)</f>
        <v/>
      </c>
      <c r="N1" s="1351"/>
      <c r="O1" s="1351"/>
      <c r="P1" s="1352"/>
      <c r="R1" s="694">
        <v>38353</v>
      </c>
      <c r="S1" s="196">
        <f>'Start here'!A8</f>
        <v>0</v>
      </c>
      <c r="T1" s="1207" t="str">
        <f>IF(S1&gt;=R1,"Go to PPD Worksheet","")</f>
        <v/>
      </c>
      <c r="U1" s="1207"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ht="10.5" customHeight="1" x14ac:dyDescent="0.2">
      <c r="A2" s="189"/>
      <c r="B2" s="1395"/>
      <c r="C2" s="1395"/>
      <c r="D2" s="1395"/>
      <c r="E2" s="1395"/>
      <c r="F2" s="1395"/>
      <c r="G2" s="1395"/>
      <c r="H2" s="1395"/>
      <c r="I2" s="1395"/>
      <c r="J2" s="1395"/>
      <c r="K2" s="1395"/>
      <c r="L2" s="1395"/>
      <c r="M2" s="1395"/>
      <c r="N2" s="1395"/>
      <c r="O2" s="1395"/>
      <c r="P2" s="1395"/>
    </row>
    <row r="3" spans="1:170" ht="31.5" customHeight="1" x14ac:dyDescent="0.3">
      <c r="B3" s="1529" t="s">
        <v>1945</v>
      </c>
      <c r="C3" s="1529"/>
      <c r="D3" s="1529"/>
      <c r="E3" s="1529"/>
      <c r="F3" s="1529"/>
      <c r="G3" s="1529"/>
      <c r="H3" s="1529"/>
      <c r="I3" s="1529"/>
      <c r="J3" s="1529"/>
      <c r="K3" s="1529"/>
      <c r="L3" s="1529"/>
      <c r="M3" s="1529"/>
      <c r="N3" s="1529"/>
      <c r="O3" s="1529"/>
      <c r="P3" s="1529"/>
      <c r="R3" s="1026" t="s">
        <v>2299</v>
      </c>
      <c r="S3" s="1026" t="s">
        <v>2296</v>
      </c>
      <c r="T3" s="2"/>
      <c r="U3" s="1"/>
      <c r="V3" s="1"/>
    </row>
    <row r="4" spans="1:170" ht="27" customHeight="1" x14ac:dyDescent="0.2">
      <c r="B4" s="328" t="s">
        <v>2044</v>
      </c>
      <c r="C4" s="1639"/>
      <c r="D4" s="1639"/>
      <c r="E4" s="1379" t="s">
        <v>1946</v>
      </c>
      <c r="F4" s="1379"/>
      <c r="G4" s="1379"/>
      <c r="H4" s="1379"/>
      <c r="I4" s="1379"/>
      <c r="J4" s="1379"/>
      <c r="K4" s="1379"/>
      <c r="L4" s="1379"/>
      <c r="M4" s="1379"/>
      <c r="N4" s="1379"/>
      <c r="O4" s="1379"/>
      <c r="P4" s="26">
        <f>IF(S4=1,0.03,0)</f>
        <v>0</v>
      </c>
      <c r="R4" s="1215" t="b">
        <v>0</v>
      </c>
      <c r="S4" s="1215">
        <f>IF(R4=TRUE,1,0)</f>
        <v>0</v>
      </c>
      <c r="T4" s="191"/>
      <c r="U4" s="524"/>
      <c r="V4" s="499"/>
    </row>
    <row r="5" spans="1:170" ht="27" customHeight="1" x14ac:dyDescent="0.2">
      <c r="B5" s="328" t="s">
        <v>2043</v>
      </c>
      <c r="C5" s="1534"/>
      <c r="D5" s="1534"/>
      <c r="E5" s="1541" t="s">
        <v>1947</v>
      </c>
      <c r="F5" s="1541"/>
      <c r="G5" s="1541"/>
      <c r="H5" s="1541"/>
      <c r="I5" s="1541"/>
      <c r="J5" s="1541"/>
      <c r="K5" s="1541"/>
      <c r="L5" s="1541"/>
      <c r="M5" s="1541"/>
      <c r="N5" s="1541"/>
      <c r="O5" s="1541"/>
      <c r="P5" s="26">
        <v>0</v>
      </c>
      <c r="T5" s="191"/>
      <c r="U5" s="524"/>
      <c r="V5" s="499"/>
    </row>
    <row r="6" spans="1:170" ht="27" customHeight="1" x14ac:dyDescent="0.2">
      <c r="B6" s="328" t="s">
        <v>2042</v>
      </c>
      <c r="C6" s="1534"/>
      <c r="D6" s="1534"/>
      <c r="E6" s="1541" t="s">
        <v>1947</v>
      </c>
      <c r="F6" s="1541"/>
      <c r="G6" s="1541"/>
      <c r="H6" s="1541"/>
      <c r="I6" s="1541"/>
      <c r="J6" s="1541"/>
      <c r="K6" s="1541"/>
      <c r="L6" s="1541"/>
      <c r="M6" s="1541"/>
      <c r="N6" s="1541"/>
      <c r="O6" s="1541"/>
      <c r="P6" s="26">
        <v>0</v>
      </c>
      <c r="R6" s="10"/>
      <c r="S6" s="10"/>
      <c r="T6" s="191"/>
      <c r="U6" s="524"/>
      <c r="V6" s="499"/>
    </row>
    <row r="7" spans="1:170" ht="27" customHeight="1" x14ac:dyDescent="0.2">
      <c r="B7" s="328" t="s">
        <v>2041</v>
      </c>
      <c r="C7" s="1645"/>
      <c r="D7" s="1645"/>
      <c r="E7" s="1541" t="s">
        <v>1947</v>
      </c>
      <c r="F7" s="1541"/>
      <c r="G7" s="1541"/>
      <c r="H7" s="1541"/>
      <c r="I7" s="1541"/>
      <c r="J7" s="1541"/>
      <c r="K7" s="1541"/>
      <c r="L7" s="1541"/>
      <c r="M7" s="1541"/>
      <c r="N7" s="1541"/>
      <c r="O7" s="1541"/>
      <c r="P7" s="26">
        <v>0</v>
      </c>
      <c r="R7" s="10"/>
      <c r="S7" s="10"/>
      <c r="T7" s="191"/>
      <c r="U7" s="524"/>
      <c r="V7" s="499"/>
    </row>
    <row r="8" spans="1:170" ht="27" customHeight="1" x14ac:dyDescent="0.2">
      <c r="B8" s="523" t="s">
        <v>2040</v>
      </c>
      <c r="C8" s="2408"/>
      <c r="D8" s="2409"/>
      <c r="E8" s="1376" t="s">
        <v>533</v>
      </c>
      <c r="F8" s="1379"/>
      <c r="G8" s="1379"/>
      <c r="H8" s="1379"/>
      <c r="I8" s="1379"/>
      <c r="J8" s="1379"/>
      <c r="K8" s="1379"/>
      <c r="L8" s="1379"/>
      <c r="M8" s="1379"/>
      <c r="N8" s="1379"/>
      <c r="O8" s="1379"/>
      <c r="P8" s="1612">
        <f>IF(S8=2,0.1,IF(S8=3,0.35,0))</f>
        <v>0</v>
      </c>
      <c r="R8" s="1231" t="s">
        <v>2300</v>
      </c>
      <c r="S8" s="1215">
        <v>1</v>
      </c>
      <c r="T8" s="191"/>
      <c r="U8" s="524"/>
      <c r="V8" s="499"/>
    </row>
    <row r="9" spans="1:170" ht="27" customHeight="1" x14ac:dyDescent="0.2">
      <c r="B9" s="525"/>
      <c r="C9" s="2410"/>
      <c r="D9" s="2411"/>
      <c r="E9" s="1376" t="s">
        <v>534</v>
      </c>
      <c r="F9" s="1379"/>
      <c r="G9" s="1379"/>
      <c r="H9" s="1379"/>
      <c r="I9" s="1379"/>
      <c r="J9" s="1379"/>
      <c r="K9" s="1379"/>
      <c r="L9" s="1379"/>
      <c r="M9" s="1379"/>
      <c r="N9" s="1379"/>
      <c r="O9" s="1379"/>
      <c r="P9" s="1732"/>
      <c r="T9" s="191"/>
      <c r="U9" s="524"/>
      <c r="V9" s="499"/>
    </row>
    <row r="10" spans="1:170" ht="27" customHeight="1" x14ac:dyDescent="0.2">
      <c r="B10" s="525"/>
      <c r="C10" s="1650"/>
      <c r="D10" s="2412"/>
      <c r="E10" s="1376" t="s">
        <v>535</v>
      </c>
      <c r="F10" s="1379"/>
      <c r="G10" s="1379"/>
      <c r="H10" s="1379"/>
      <c r="I10" s="1379"/>
      <c r="J10" s="1379"/>
      <c r="K10" s="1379"/>
      <c r="L10" s="1379"/>
      <c r="M10" s="1379"/>
      <c r="N10" s="1379"/>
      <c r="O10" s="1379"/>
      <c r="P10" s="1733"/>
      <c r="R10" s="1026" t="s">
        <v>2299</v>
      </c>
      <c r="S10" s="1026" t="s">
        <v>2296</v>
      </c>
      <c r="T10" s="191"/>
      <c r="U10" s="524"/>
      <c r="V10" s="499"/>
    </row>
    <row r="11" spans="1:170" ht="27" customHeight="1" x14ac:dyDescent="0.2">
      <c r="B11" s="2421" t="str">
        <f>IF(AND(S11=1,S12=1),"If loss of motor function of both trigeminal nerves, see also OAR 436-035-0385 and 436-035-0420.","")</f>
        <v/>
      </c>
      <c r="C11" s="1650"/>
      <c r="D11" s="2412"/>
      <c r="E11" s="1374" t="s">
        <v>111</v>
      </c>
      <c r="F11" s="1375"/>
      <c r="G11" s="1375"/>
      <c r="H11" s="1375"/>
      <c r="I11" s="1375"/>
      <c r="J11" s="1375"/>
      <c r="K11" s="1375"/>
      <c r="L11" s="1375"/>
      <c r="M11" s="1375"/>
      <c r="N11" s="1375"/>
      <c r="O11" s="1376"/>
      <c r="P11" s="26">
        <f>IF(S11=1,0.05,0)</f>
        <v>0</v>
      </c>
      <c r="R11" s="1215" t="b">
        <v>0</v>
      </c>
      <c r="S11" s="1215">
        <f>IF(R11=TRUE,1,0)</f>
        <v>0</v>
      </c>
      <c r="T11" s="191"/>
      <c r="U11" s="524"/>
      <c r="V11" s="499"/>
    </row>
    <row r="12" spans="1:170" ht="27" customHeight="1" x14ac:dyDescent="0.2">
      <c r="B12" s="2422"/>
      <c r="C12" s="1650"/>
      <c r="D12" s="2412"/>
      <c r="E12" s="1374" t="s">
        <v>112</v>
      </c>
      <c r="F12" s="1375"/>
      <c r="G12" s="1375"/>
      <c r="H12" s="1375"/>
      <c r="I12" s="1375"/>
      <c r="J12" s="1375"/>
      <c r="K12" s="1375"/>
      <c r="L12" s="1375"/>
      <c r="M12" s="1375"/>
      <c r="N12" s="1375"/>
      <c r="O12" s="1376"/>
      <c r="P12" s="26">
        <f>IF(S12=1,0.05,0)</f>
        <v>0</v>
      </c>
      <c r="R12" s="1215" t="b">
        <v>0</v>
      </c>
      <c r="S12" s="1215">
        <f>IF(R12=TRUE,1,0)</f>
        <v>0</v>
      </c>
      <c r="T12" s="191"/>
      <c r="U12" s="524"/>
      <c r="V12" s="499"/>
    </row>
    <row r="13" spans="1:170" ht="27" customHeight="1" x14ac:dyDescent="0.2">
      <c r="B13" s="328" t="s">
        <v>2039</v>
      </c>
      <c r="C13" s="1534"/>
      <c r="D13" s="1534"/>
      <c r="E13" s="1541" t="s">
        <v>1947</v>
      </c>
      <c r="F13" s="1541"/>
      <c r="G13" s="1541"/>
      <c r="H13" s="1541"/>
      <c r="I13" s="1541"/>
      <c r="J13" s="1541"/>
      <c r="K13" s="1541"/>
      <c r="L13" s="1541"/>
      <c r="M13" s="1541"/>
      <c r="N13" s="1541"/>
      <c r="O13" s="1541"/>
      <c r="P13" s="26">
        <v>0</v>
      </c>
      <c r="T13" s="191"/>
      <c r="U13" s="524"/>
      <c r="V13" s="499"/>
    </row>
    <row r="14" spans="1:170" ht="17.25" customHeight="1" x14ac:dyDescent="0.2">
      <c r="B14" s="2390" t="s">
        <v>2054</v>
      </c>
      <c r="C14" s="2418"/>
      <c r="D14" s="2418"/>
      <c r="E14" s="1379" t="s">
        <v>1066</v>
      </c>
      <c r="F14" s="1379"/>
      <c r="G14" s="1379"/>
      <c r="H14" s="1379"/>
      <c r="I14" s="1379"/>
      <c r="J14" s="1379"/>
      <c r="K14" s="1379"/>
      <c r="L14" s="1379"/>
      <c r="M14" s="1379"/>
      <c r="N14" s="1379"/>
      <c r="O14" s="1379"/>
      <c r="P14" s="26">
        <f>IF(S14=1,0.03,0)</f>
        <v>0</v>
      </c>
      <c r="R14" s="1215" t="b">
        <v>0</v>
      </c>
      <c r="S14" s="1215">
        <f>IF(R14=TRUE,1,0)</f>
        <v>0</v>
      </c>
      <c r="T14" s="191"/>
      <c r="U14" s="524"/>
      <c r="V14" s="499"/>
    </row>
    <row r="15" spans="1:170" ht="24" customHeight="1" x14ac:dyDescent="0.2">
      <c r="B15" s="2391"/>
      <c r="C15" s="2408"/>
      <c r="D15" s="2409"/>
      <c r="E15" s="1375" t="s">
        <v>1067</v>
      </c>
      <c r="F15" s="1375"/>
      <c r="G15" s="1375"/>
      <c r="H15" s="1375"/>
      <c r="I15" s="1375"/>
      <c r="J15" s="1375"/>
      <c r="K15" s="1375"/>
      <c r="L15" s="1375"/>
      <c r="M15" s="1375"/>
      <c r="N15" s="1375"/>
      <c r="O15" s="1376"/>
      <c r="P15" s="1612">
        <f>IF(S16=2,0.05,IF(S16=3,0.15,IF(S16=4,0.2,IF(S16=5,0.45,0))))</f>
        <v>0</v>
      </c>
      <c r="T15" s="191"/>
      <c r="U15" s="524"/>
      <c r="V15" s="499"/>
    </row>
    <row r="16" spans="1:170" ht="24" customHeight="1" x14ac:dyDescent="0.2">
      <c r="B16" s="525"/>
      <c r="C16" s="2410"/>
      <c r="D16" s="2411"/>
      <c r="E16" s="1375" t="s">
        <v>1068</v>
      </c>
      <c r="F16" s="1375"/>
      <c r="G16" s="1375"/>
      <c r="H16" s="1375"/>
      <c r="I16" s="1375"/>
      <c r="J16" s="1375"/>
      <c r="K16" s="1375"/>
      <c r="L16" s="1375"/>
      <c r="M16" s="1375"/>
      <c r="N16" s="1375"/>
      <c r="O16" s="1376"/>
      <c r="P16" s="1732"/>
      <c r="R16" s="1231" t="s">
        <v>2300</v>
      </c>
      <c r="S16" s="1215">
        <v>1</v>
      </c>
      <c r="T16" s="191"/>
      <c r="U16" s="524"/>
      <c r="V16" s="499"/>
    </row>
    <row r="17" spans="1:22" ht="24" customHeight="1" x14ac:dyDescent="0.2">
      <c r="B17" s="525"/>
      <c r="C17" s="2410"/>
      <c r="D17" s="2411"/>
      <c r="E17" s="1375" t="s">
        <v>1300</v>
      </c>
      <c r="F17" s="1375"/>
      <c r="G17" s="1375"/>
      <c r="H17" s="1375"/>
      <c r="I17" s="1375"/>
      <c r="J17" s="1375"/>
      <c r="K17" s="1375"/>
      <c r="L17" s="1375"/>
      <c r="M17" s="1375"/>
      <c r="N17" s="1375"/>
      <c r="O17" s="1376"/>
      <c r="P17" s="1732"/>
      <c r="T17" s="191"/>
      <c r="U17" s="524"/>
      <c r="V17" s="499"/>
    </row>
    <row r="18" spans="1:22" ht="24" customHeight="1" x14ac:dyDescent="0.2">
      <c r="B18" s="525"/>
      <c r="C18" s="2410"/>
      <c r="D18" s="2411"/>
      <c r="E18" s="1375" t="s">
        <v>1301</v>
      </c>
      <c r="F18" s="1375"/>
      <c r="G18" s="1375"/>
      <c r="H18" s="1375"/>
      <c r="I18" s="1375"/>
      <c r="J18" s="1375"/>
      <c r="K18" s="1375"/>
      <c r="L18" s="1375"/>
      <c r="M18" s="1375"/>
      <c r="N18" s="1375"/>
      <c r="O18" s="1376"/>
      <c r="P18" s="1732"/>
      <c r="T18" s="191"/>
      <c r="U18" s="524"/>
      <c r="V18" s="499"/>
    </row>
    <row r="19" spans="1:22" ht="24" customHeight="1" x14ac:dyDescent="0.2">
      <c r="B19" s="528"/>
      <c r="C19" s="1650"/>
      <c r="D19" s="2412"/>
      <c r="E19" s="1374" t="s">
        <v>1126</v>
      </c>
      <c r="F19" s="1375"/>
      <c r="G19" s="1375"/>
      <c r="H19" s="1375"/>
      <c r="I19" s="1375"/>
      <c r="J19" s="1375"/>
      <c r="K19" s="1375"/>
      <c r="L19" s="1375"/>
      <c r="M19" s="1375"/>
      <c r="N19" s="1375"/>
      <c r="O19" s="1376"/>
      <c r="P19" s="1733"/>
      <c r="T19" s="191"/>
      <c r="U19" s="524"/>
      <c r="V19" s="499"/>
    </row>
    <row r="20" spans="1:22" ht="18" customHeight="1" x14ac:dyDescent="0.2">
      <c r="B20" s="2390" t="s">
        <v>2053</v>
      </c>
      <c r="C20" s="1746"/>
      <c r="D20" s="1746"/>
      <c r="E20" s="1754" t="s">
        <v>877</v>
      </c>
      <c r="F20" s="1755"/>
      <c r="G20" s="1755"/>
      <c r="H20" s="1755"/>
      <c r="I20" s="1755"/>
      <c r="J20" s="1755"/>
      <c r="K20" s="1755"/>
      <c r="L20" s="1755"/>
      <c r="M20" s="1755"/>
      <c r="N20" s="1755"/>
      <c r="O20" s="1756"/>
      <c r="P20" s="26">
        <v>0</v>
      </c>
      <c r="T20" s="191"/>
      <c r="U20" s="524"/>
      <c r="V20" s="499"/>
    </row>
    <row r="21" spans="1:22" ht="27" customHeight="1" x14ac:dyDescent="0.2">
      <c r="B21" s="2391"/>
      <c r="C21" s="2408"/>
      <c r="D21" s="2409"/>
      <c r="E21" s="1374" t="s">
        <v>878</v>
      </c>
      <c r="F21" s="1375"/>
      <c r="G21" s="1375"/>
      <c r="H21" s="1375"/>
      <c r="I21" s="1375"/>
      <c r="J21" s="1375"/>
      <c r="K21" s="1375"/>
      <c r="L21" s="1375"/>
      <c r="M21" s="1375"/>
      <c r="N21" s="1375"/>
      <c r="O21" s="1376"/>
      <c r="P21" s="1612">
        <f>IF(S21=2,0.08,IF(S21=3,0.23,IF(S21=4,0.48,IF(S21=5,0.8,0))))</f>
        <v>0</v>
      </c>
      <c r="R21" s="1231" t="s">
        <v>2300</v>
      </c>
      <c r="S21" s="1215">
        <v>1</v>
      </c>
      <c r="T21" s="191"/>
      <c r="U21" s="524"/>
      <c r="V21" s="499"/>
    </row>
    <row r="22" spans="1:22" ht="39.75" customHeight="1" x14ac:dyDescent="0.2">
      <c r="B22" s="525"/>
      <c r="C22" s="2410"/>
      <c r="D22" s="2411"/>
      <c r="E22" s="1375" t="s">
        <v>2033</v>
      </c>
      <c r="F22" s="1375"/>
      <c r="G22" s="1375"/>
      <c r="H22" s="1375"/>
      <c r="I22" s="1375"/>
      <c r="J22" s="1375"/>
      <c r="K22" s="1375"/>
      <c r="L22" s="1375"/>
      <c r="M22" s="1375"/>
      <c r="N22" s="1375"/>
      <c r="O22" s="1376"/>
      <c r="P22" s="1732"/>
      <c r="T22" s="191"/>
      <c r="U22" s="524"/>
      <c r="V22" s="499"/>
    </row>
    <row r="23" spans="1:22" ht="51.75" customHeight="1" x14ac:dyDescent="0.2">
      <c r="B23" s="525"/>
      <c r="C23" s="2410"/>
      <c r="D23" s="2411"/>
      <c r="E23" s="1375" t="s">
        <v>2034</v>
      </c>
      <c r="F23" s="1375"/>
      <c r="G23" s="1375"/>
      <c r="H23" s="1375"/>
      <c r="I23" s="1375"/>
      <c r="J23" s="1375"/>
      <c r="K23" s="1375"/>
      <c r="L23" s="1375"/>
      <c r="M23" s="1375"/>
      <c r="N23" s="1375"/>
      <c r="O23" s="1376"/>
      <c r="P23" s="1732"/>
      <c r="T23" s="191"/>
      <c r="U23" s="524"/>
      <c r="V23" s="499"/>
    </row>
    <row r="24" spans="1:22" ht="40.5" customHeight="1" x14ac:dyDescent="0.2">
      <c r="B24" s="525"/>
      <c r="C24" s="2410"/>
      <c r="D24" s="2411"/>
      <c r="E24" s="1375" t="s">
        <v>2035</v>
      </c>
      <c r="F24" s="1375"/>
      <c r="G24" s="1375"/>
      <c r="H24" s="1375"/>
      <c r="I24" s="1375"/>
      <c r="J24" s="1375"/>
      <c r="K24" s="1375"/>
      <c r="L24" s="1375"/>
      <c r="M24" s="1375"/>
      <c r="N24" s="1375"/>
      <c r="O24" s="1376"/>
      <c r="P24" s="1732"/>
      <c r="T24" s="191"/>
      <c r="U24" s="524"/>
      <c r="V24" s="499"/>
    </row>
    <row r="25" spans="1:22" ht="38.25" customHeight="1" x14ac:dyDescent="0.2">
      <c r="B25" s="525"/>
      <c r="C25" s="1650"/>
      <c r="D25" s="2412"/>
      <c r="E25" s="1375" t="s">
        <v>2036</v>
      </c>
      <c r="F25" s="1375"/>
      <c r="G25" s="1375"/>
      <c r="H25" s="1375"/>
      <c r="I25" s="1375"/>
      <c r="J25" s="1375"/>
      <c r="K25" s="1375"/>
      <c r="L25" s="1375"/>
      <c r="M25" s="1375"/>
      <c r="N25" s="1375"/>
      <c r="O25" s="1376"/>
      <c r="P25" s="1733"/>
      <c r="R25" s="1026" t="s">
        <v>2299</v>
      </c>
      <c r="S25" s="1026" t="s">
        <v>2296</v>
      </c>
      <c r="T25" s="191"/>
      <c r="U25" s="524"/>
      <c r="V25" s="499"/>
    </row>
    <row r="26" spans="1:22" ht="27" customHeight="1" x14ac:dyDescent="0.2">
      <c r="B26" s="528"/>
      <c r="C26" s="1714"/>
      <c r="D26" s="1649"/>
      <c r="E26" s="1374" t="s">
        <v>1302</v>
      </c>
      <c r="F26" s="1375"/>
      <c r="G26" s="1375"/>
      <c r="H26" s="1375"/>
      <c r="I26" s="1375"/>
      <c r="J26" s="1375"/>
      <c r="K26" s="1375"/>
      <c r="L26" s="1375"/>
      <c r="M26" s="1375"/>
      <c r="N26" s="1375"/>
      <c r="O26" s="1376"/>
      <c r="P26" s="26">
        <f>IF(S26=1,0.05,0)</f>
        <v>0</v>
      </c>
      <c r="R26" s="1215" t="b">
        <v>0</v>
      </c>
      <c r="S26" s="1215">
        <f>IF(R26=TRUE,1,0)</f>
        <v>0</v>
      </c>
      <c r="T26" s="191"/>
      <c r="U26" s="524"/>
      <c r="V26" s="499"/>
    </row>
    <row r="27" spans="1:22" s="8" customFormat="1" ht="12" customHeight="1" x14ac:dyDescent="0.2">
      <c r="A27" s="35"/>
      <c r="B27" s="529"/>
      <c r="C27" s="10"/>
      <c r="D27" s="10"/>
      <c r="E27" s="167"/>
      <c r="F27" s="167"/>
      <c r="G27" s="167"/>
      <c r="H27" s="167"/>
      <c r="I27" s="167"/>
      <c r="J27" s="167"/>
      <c r="K27" s="167"/>
      <c r="L27" s="167"/>
      <c r="M27" s="167"/>
      <c r="N27" s="167"/>
      <c r="O27" s="167"/>
      <c r="P27" s="273"/>
      <c r="R27" s="20"/>
      <c r="S27" s="20"/>
      <c r="T27" s="22"/>
      <c r="U27" s="519"/>
      <c r="V27" s="9"/>
    </row>
    <row r="28" spans="1:22" ht="36" customHeight="1" x14ac:dyDescent="0.2">
      <c r="B28" s="2390" t="s">
        <v>2037</v>
      </c>
      <c r="C28" s="1534"/>
      <c r="D28" s="1534"/>
      <c r="E28" s="2415" t="s">
        <v>1303</v>
      </c>
      <c r="F28" s="2416"/>
      <c r="G28" s="2416"/>
      <c r="H28" s="2416"/>
      <c r="I28" s="2416"/>
      <c r="J28" s="2416"/>
      <c r="K28" s="2416"/>
      <c r="L28" s="2416"/>
      <c r="M28" s="2416"/>
      <c r="N28" s="2416"/>
      <c r="O28" s="2417"/>
      <c r="P28" s="26">
        <v>0</v>
      </c>
      <c r="T28" s="191"/>
      <c r="U28" s="524"/>
      <c r="V28" s="499"/>
    </row>
    <row r="29" spans="1:22" ht="36.75" customHeight="1" x14ac:dyDescent="0.2">
      <c r="B29" s="2413"/>
      <c r="C29" s="1746"/>
      <c r="D29" s="1746"/>
      <c r="E29" s="2415" t="s">
        <v>103</v>
      </c>
      <c r="F29" s="2416"/>
      <c r="G29" s="2416"/>
      <c r="H29" s="2416"/>
      <c r="I29" s="2416"/>
      <c r="J29" s="2416"/>
      <c r="K29" s="2416"/>
      <c r="L29" s="2416"/>
      <c r="M29" s="2416"/>
      <c r="N29" s="2416"/>
      <c r="O29" s="2417"/>
      <c r="P29" s="26">
        <v>0</v>
      </c>
    </row>
    <row r="30" spans="1:22" ht="27" customHeight="1" x14ac:dyDescent="0.2">
      <c r="B30" s="328" t="s">
        <v>2038</v>
      </c>
      <c r="C30" s="1534"/>
      <c r="D30" s="1534"/>
      <c r="E30" s="1374" t="s">
        <v>528</v>
      </c>
      <c r="F30" s="1375"/>
      <c r="G30" s="1375"/>
      <c r="H30" s="1375"/>
      <c r="I30" s="1375"/>
      <c r="J30" s="1375"/>
      <c r="K30" s="1375"/>
      <c r="L30" s="1375"/>
      <c r="M30" s="1375"/>
      <c r="N30" s="1375"/>
      <c r="O30" s="1376"/>
      <c r="P30" s="26">
        <v>0</v>
      </c>
    </row>
    <row r="31" spans="1:22" ht="27" customHeight="1" x14ac:dyDescent="0.2">
      <c r="B31" s="2390" t="s">
        <v>2050</v>
      </c>
      <c r="C31" s="2408"/>
      <c r="D31" s="2409"/>
      <c r="E31" s="1374" t="s">
        <v>1282</v>
      </c>
      <c r="F31" s="1375"/>
      <c r="G31" s="1375"/>
      <c r="H31" s="1375"/>
      <c r="I31" s="1375"/>
      <c r="J31" s="1375"/>
      <c r="K31" s="1375"/>
      <c r="L31" s="1375"/>
      <c r="M31" s="1375"/>
      <c r="N31" s="1375"/>
      <c r="O31" s="1376"/>
      <c r="P31" s="1612">
        <f>IF(R32=2,0.1,IF(R32=3,0.3,IF(R32=4,0.5,IF(R32=5,0.75,IF(R32=6,0.85,IF(R32=7,0.95,0))))))</f>
        <v>0</v>
      </c>
    </row>
    <row r="32" spans="1:22" ht="27" customHeight="1" x14ac:dyDescent="0.2">
      <c r="B32" s="2391"/>
      <c r="C32" s="2410"/>
      <c r="D32" s="2411"/>
      <c r="E32" s="1374" t="s">
        <v>1969</v>
      </c>
      <c r="F32" s="1375"/>
      <c r="G32" s="1375"/>
      <c r="H32" s="1375"/>
      <c r="I32" s="1375"/>
      <c r="J32" s="1375"/>
      <c r="K32" s="1375"/>
      <c r="L32" s="1375"/>
      <c r="M32" s="1375"/>
      <c r="N32" s="1375"/>
      <c r="O32" s="1376"/>
      <c r="P32" s="1732"/>
      <c r="R32" s="1215">
        <v>1</v>
      </c>
      <c r="S32" s="1026" t="s">
        <v>2297</v>
      </c>
    </row>
    <row r="33" spans="2:22" ht="27" customHeight="1" x14ac:dyDescent="0.2">
      <c r="B33" s="2391"/>
      <c r="C33" s="2410"/>
      <c r="D33" s="2411"/>
      <c r="E33" s="1374" t="s">
        <v>1970</v>
      </c>
      <c r="F33" s="1375"/>
      <c r="G33" s="1375"/>
      <c r="H33" s="1375"/>
      <c r="I33" s="1375"/>
      <c r="J33" s="1375"/>
      <c r="K33" s="1375"/>
      <c r="L33" s="1375"/>
      <c r="M33" s="1375"/>
      <c r="N33" s="1375"/>
      <c r="O33" s="1376"/>
      <c r="P33" s="1732"/>
    </row>
    <row r="34" spans="2:22" ht="27" customHeight="1" x14ac:dyDescent="0.2">
      <c r="B34" s="2391"/>
      <c r="C34" s="2410"/>
      <c r="D34" s="2411"/>
      <c r="E34" s="1374" t="s">
        <v>1972</v>
      </c>
      <c r="F34" s="1375"/>
      <c r="G34" s="1375"/>
      <c r="H34" s="1375"/>
      <c r="I34" s="1375"/>
      <c r="J34" s="1375"/>
      <c r="K34" s="1375"/>
      <c r="L34" s="1375"/>
      <c r="M34" s="1375"/>
      <c r="N34" s="1375"/>
      <c r="O34" s="1376"/>
      <c r="P34" s="1732"/>
    </row>
    <row r="35" spans="2:22" ht="27" customHeight="1" x14ac:dyDescent="0.2">
      <c r="B35" s="2391"/>
      <c r="C35" s="2410"/>
      <c r="D35" s="2411"/>
      <c r="E35" s="1374" t="s">
        <v>945</v>
      </c>
      <c r="F35" s="1375"/>
      <c r="G35" s="1375"/>
      <c r="H35" s="1375"/>
      <c r="I35" s="1375"/>
      <c r="J35" s="1375"/>
      <c r="K35" s="1375"/>
      <c r="L35" s="1375"/>
      <c r="M35" s="1375"/>
      <c r="N35" s="1375"/>
      <c r="O35" s="1376"/>
      <c r="P35" s="1732"/>
    </row>
    <row r="36" spans="2:22" ht="27" customHeight="1" x14ac:dyDescent="0.2">
      <c r="B36" s="2391"/>
      <c r="C36" s="2410"/>
      <c r="D36" s="2411"/>
      <c r="E36" s="1374" t="s">
        <v>558</v>
      </c>
      <c r="F36" s="1375"/>
      <c r="G36" s="1375"/>
      <c r="H36" s="1375"/>
      <c r="I36" s="1375"/>
      <c r="J36" s="1375"/>
      <c r="K36" s="1375"/>
      <c r="L36" s="1375"/>
      <c r="M36" s="1375"/>
      <c r="N36" s="1375"/>
      <c r="O36" s="1376"/>
      <c r="P36" s="1732"/>
    </row>
    <row r="37" spans="2:22" ht="27" customHeight="1" x14ac:dyDescent="0.2">
      <c r="B37" s="2413"/>
      <c r="C37" s="1650"/>
      <c r="D37" s="2412"/>
      <c r="E37" s="1374" t="s">
        <v>2045</v>
      </c>
      <c r="F37" s="1375"/>
      <c r="G37" s="1375"/>
      <c r="H37" s="1375"/>
      <c r="I37" s="1375"/>
      <c r="J37" s="1375"/>
      <c r="K37" s="1375"/>
      <c r="L37" s="1375"/>
      <c r="M37" s="1375"/>
      <c r="N37" s="1375"/>
      <c r="O37" s="1376"/>
      <c r="P37" s="1733"/>
      <c r="R37" s="1026" t="s">
        <v>2299</v>
      </c>
      <c r="S37" s="1026" t="s">
        <v>2296</v>
      </c>
      <c r="T37" s="191"/>
    </row>
    <row r="38" spans="2:22" s="8" customFormat="1" ht="103.5" customHeight="1" x14ac:dyDescent="0.2">
      <c r="B38" s="665" t="s">
        <v>2052</v>
      </c>
      <c r="C38" s="2423"/>
      <c r="D38" s="2424"/>
      <c r="E38" s="1374" t="s">
        <v>2051</v>
      </c>
      <c r="F38" s="1375"/>
      <c r="G38" s="1375"/>
      <c r="H38" s="1375"/>
      <c r="I38" s="1375"/>
      <c r="J38" s="1375"/>
      <c r="K38" s="1375"/>
      <c r="L38" s="1375"/>
      <c r="M38" s="1375"/>
      <c r="N38" s="1375"/>
      <c r="O38" s="1376"/>
      <c r="P38" s="666">
        <f>IF(S38=1,0.1,0)</f>
        <v>0</v>
      </c>
      <c r="R38" s="1224" t="b">
        <v>0</v>
      </c>
      <c r="S38" s="1215">
        <f>IF(R38=TRUE,1,0)</f>
        <v>0</v>
      </c>
    </row>
    <row r="39" spans="2:22" s="8" customFormat="1" ht="12" customHeight="1" x14ac:dyDescent="0.2">
      <c r="B39" s="480"/>
      <c r="C39" s="664"/>
      <c r="D39" s="664"/>
      <c r="E39" s="664"/>
      <c r="F39" s="664"/>
      <c r="G39" s="664"/>
      <c r="H39" s="664"/>
      <c r="I39" s="664"/>
      <c r="J39" s="664"/>
      <c r="K39" s="664"/>
      <c r="L39" s="664"/>
      <c r="M39" s="664"/>
      <c r="N39" s="664"/>
      <c r="O39" s="224"/>
      <c r="P39" s="332"/>
    </row>
    <row r="40" spans="2:22" ht="30" customHeight="1" x14ac:dyDescent="0.2">
      <c r="B40" s="1632" t="s">
        <v>1818</v>
      </c>
      <c r="C40" s="2419"/>
      <c r="D40" s="2419"/>
      <c r="E40" s="2419"/>
      <c r="F40" s="2419"/>
      <c r="G40" s="2419"/>
      <c r="H40" s="2419"/>
      <c r="I40" s="2419"/>
      <c r="J40" s="2419"/>
      <c r="K40" s="2419"/>
      <c r="L40" s="2419"/>
      <c r="M40" s="2419"/>
      <c r="N40" s="2420"/>
      <c r="O40" s="215" t="s">
        <v>1525</v>
      </c>
      <c r="P40" s="392" t="s">
        <v>1304</v>
      </c>
      <c r="S40" s="1210" t="s">
        <v>1305</v>
      </c>
      <c r="T40" s="1210" t="s">
        <v>1306</v>
      </c>
      <c r="U40" s="1210" t="s">
        <v>1307</v>
      </c>
      <c r="V40" s="1208" t="s">
        <v>1025</v>
      </c>
    </row>
    <row r="41" spans="2:22" ht="18" customHeight="1" x14ac:dyDescent="0.2">
      <c r="B41" s="2428" t="s">
        <v>38</v>
      </c>
      <c r="C41" s="2428"/>
      <c r="D41" s="2428"/>
      <c r="E41" s="2428"/>
      <c r="F41" s="2428"/>
      <c r="G41" s="2428"/>
      <c r="H41" s="2428"/>
      <c r="I41" s="2428"/>
      <c r="J41" s="2428"/>
      <c r="K41" s="2428"/>
      <c r="L41" s="1373">
        <f>P4</f>
        <v>0</v>
      </c>
      <c r="M41" s="1373"/>
      <c r="N41" s="1373"/>
      <c r="O41" s="266"/>
      <c r="P41" s="303">
        <f>IF(AND(V41&gt;0,V41&lt;0.01),0.01,ROUND(V41,2))</f>
        <v>0</v>
      </c>
      <c r="S41" s="495">
        <f>LARGE($P$41:$P$50,1)</f>
        <v>0</v>
      </c>
      <c r="T41" s="495">
        <f>S41+S42*(1-S41)</f>
        <v>0</v>
      </c>
      <c r="U41" s="479">
        <f>ROUND(T41,2)</f>
        <v>0</v>
      </c>
      <c r="V41" s="1225">
        <f>IF(O41="",L41,L41*O41)</f>
        <v>0</v>
      </c>
    </row>
    <row r="42" spans="2:22" ht="18" customHeight="1" x14ac:dyDescent="0.2">
      <c r="B42" s="2429" t="s">
        <v>39</v>
      </c>
      <c r="C42" s="2429"/>
      <c r="D42" s="2429"/>
      <c r="E42" s="2429"/>
      <c r="F42" s="2429"/>
      <c r="G42" s="2429"/>
      <c r="H42" s="2429"/>
      <c r="I42" s="2429"/>
      <c r="J42" s="2429"/>
      <c r="K42" s="2429"/>
      <c r="L42" s="1373">
        <f>P8</f>
        <v>0</v>
      </c>
      <c r="M42" s="1373"/>
      <c r="N42" s="1373"/>
      <c r="O42" s="266"/>
      <c r="P42" s="303">
        <f t="shared" ref="P42:P50" si="0">IF(AND(V42&gt;0,V42&lt;0.01),0.01,ROUND(V42,2))</f>
        <v>0</v>
      </c>
      <c r="S42" s="495">
        <f>LARGE($P$41:$P$50,2)</f>
        <v>0</v>
      </c>
      <c r="T42" s="495">
        <f>U41+S43*(1-U41)</f>
        <v>0</v>
      </c>
      <c r="U42" s="479">
        <f>ROUND(T42,2)</f>
        <v>0</v>
      </c>
      <c r="V42" s="1225">
        <f t="shared" ref="V42:V50" si="1">IF(O42="",L42,L42*O42)</f>
        <v>0</v>
      </c>
    </row>
    <row r="43" spans="2:22" ht="18" customHeight="1" x14ac:dyDescent="0.2">
      <c r="B43" s="2335" t="s">
        <v>1615</v>
      </c>
      <c r="C43" s="2414"/>
      <c r="D43" s="2414"/>
      <c r="E43" s="2414"/>
      <c r="F43" s="2414"/>
      <c r="G43" s="2414"/>
      <c r="H43" s="2414"/>
      <c r="I43" s="2414"/>
      <c r="J43" s="2414"/>
      <c r="K43" s="2336"/>
      <c r="L43" s="1373">
        <f>P11</f>
        <v>0</v>
      </c>
      <c r="M43" s="1373"/>
      <c r="N43" s="1373"/>
      <c r="O43" s="266"/>
      <c r="P43" s="303">
        <f t="shared" si="0"/>
        <v>0</v>
      </c>
      <c r="S43" s="495">
        <f>LARGE($P$41:$P$50,3)</f>
        <v>0</v>
      </c>
      <c r="T43" s="495">
        <f t="shared" ref="T43:T49" si="2">U42+S44*(1-U42)</f>
        <v>0</v>
      </c>
      <c r="U43" s="479">
        <f t="shared" ref="U43:U49" si="3">ROUND(T43,2)</f>
        <v>0</v>
      </c>
      <c r="V43" s="1225">
        <f t="shared" si="1"/>
        <v>0</v>
      </c>
    </row>
    <row r="44" spans="2:22" ht="18" customHeight="1" x14ac:dyDescent="0.2">
      <c r="B44" s="2335" t="s">
        <v>1616</v>
      </c>
      <c r="C44" s="2414"/>
      <c r="D44" s="2414"/>
      <c r="E44" s="2414"/>
      <c r="F44" s="2414"/>
      <c r="G44" s="2414"/>
      <c r="H44" s="2414"/>
      <c r="I44" s="2414"/>
      <c r="J44" s="2414"/>
      <c r="K44" s="2336"/>
      <c r="L44" s="1373">
        <f>P12</f>
        <v>0</v>
      </c>
      <c r="M44" s="1373"/>
      <c r="N44" s="1373"/>
      <c r="O44" s="266"/>
      <c r="P44" s="303">
        <f>IF(AND(V44&gt;0,V44&lt;0.01),0.01,ROUND(V44,2))</f>
        <v>0</v>
      </c>
      <c r="S44" s="495">
        <f>LARGE($P$41:$P$50,4)</f>
        <v>0</v>
      </c>
      <c r="T44" s="495">
        <f t="shared" si="2"/>
        <v>0</v>
      </c>
      <c r="U44" s="479">
        <f t="shared" si="3"/>
        <v>0</v>
      </c>
      <c r="V44" s="1225">
        <f t="shared" si="1"/>
        <v>0</v>
      </c>
    </row>
    <row r="45" spans="2:22" ht="18" customHeight="1" x14ac:dyDescent="0.2">
      <c r="B45" s="2335" t="s">
        <v>40</v>
      </c>
      <c r="C45" s="2414"/>
      <c r="D45" s="2414"/>
      <c r="E45" s="2414"/>
      <c r="F45" s="2414"/>
      <c r="G45" s="2414"/>
      <c r="H45" s="2414"/>
      <c r="I45" s="2414"/>
      <c r="J45" s="2414"/>
      <c r="K45" s="2336"/>
      <c r="L45" s="1373">
        <f>P14</f>
        <v>0</v>
      </c>
      <c r="M45" s="1373"/>
      <c r="N45" s="1373"/>
      <c r="O45" s="266"/>
      <c r="P45" s="303">
        <f t="shared" si="0"/>
        <v>0</v>
      </c>
      <c r="S45" s="495">
        <f>LARGE($P$41:$P$50,5)</f>
        <v>0</v>
      </c>
      <c r="T45" s="495">
        <f t="shared" si="2"/>
        <v>0</v>
      </c>
      <c r="U45" s="479">
        <f t="shared" si="3"/>
        <v>0</v>
      </c>
      <c r="V45" s="1225">
        <f t="shared" si="1"/>
        <v>0</v>
      </c>
    </row>
    <row r="46" spans="2:22" ht="18" customHeight="1" x14ac:dyDescent="0.2">
      <c r="B46" s="2335" t="s">
        <v>41</v>
      </c>
      <c r="C46" s="2414"/>
      <c r="D46" s="2414"/>
      <c r="E46" s="2414"/>
      <c r="F46" s="2414"/>
      <c r="G46" s="2414"/>
      <c r="H46" s="2414"/>
      <c r="I46" s="2414"/>
      <c r="J46" s="2414"/>
      <c r="K46" s="2336"/>
      <c r="L46" s="1373">
        <f>P15</f>
        <v>0</v>
      </c>
      <c r="M46" s="1373"/>
      <c r="N46" s="1373"/>
      <c r="O46" s="266"/>
      <c r="P46" s="303">
        <f t="shared" si="0"/>
        <v>0</v>
      </c>
      <c r="S46" s="495">
        <f>LARGE($P$41:$P$50,6)</f>
        <v>0</v>
      </c>
      <c r="T46" s="495">
        <f t="shared" si="2"/>
        <v>0</v>
      </c>
      <c r="U46" s="479">
        <f t="shared" si="3"/>
        <v>0</v>
      </c>
      <c r="V46" s="1225">
        <f t="shared" si="1"/>
        <v>0</v>
      </c>
    </row>
    <row r="47" spans="2:22" ht="18" customHeight="1" x14ac:dyDescent="0.2">
      <c r="B47" s="2335" t="s">
        <v>42</v>
      </c>
      <c r="C47" s="2414"/>
      <c r="D47" s="2414"/>
      <c r="E47" s="2414"/>
      <c r="F47" s="2414"/>
      <c r="G47" s="2414"/>
      <c r="H47" s="2414"/>
      <c r="I47" s="2414"/>
      <c r="J47" s="2414"/>
      <c r="K47" s="2336"/>
      <c r="L47" s="1373">
        <f>P21</f>
        <v>0</v>
      </c>
      <c r="M47" s="1373"/>
      <c r="N47" s="1373"/>
      <c r="O47" s="266"/>
      <c r="P47" s="303">
        <f t="shared" si="0"/>
        <v>0</v>
      </c>
      <c r="S47" s="495">
        <f>LARGE($P$41:$P$50,7)</f>
        <v>0</v>
      </c>
      <c r="T47" s="495">
        <f t="shared" si="2"/>
        <v>0</v>
      </c>
      <c r="U47" s="479">
        <f t="shared" si="3"/>
        <v>0</v>
      </c>
      <c r="V47" s="1225">
        <f t="shared" si="1"/>
        <v>0</v>
      </c>
    </row>
    <row r="48" spans="2:22" ht="18" customHeight="1" x14ac:dyDescent="0.2">
      <c r="B48" s="2335" t="s">
        <v>43</v>
      </c>
      <c r="C48" s="2414"/>
      <c r="D48" s="2414"/>
      <c r="E48" s="2414"/>
      <c r="F48" s="2414"/>
      <c r="G48" s="2414"/>
      <c r="H48" s="2414"/>
      <c r="I48" s="2414"/>
      <c r="J48" s="2414"/>
      <c r="K48" s="2336"/>
      <c r="L48" s="1373">
        <f>P26</f>
        <v>0</v>
      </c>
      <c r="M48" s="1373"/>
      <c r="N48" s="1373"/>
      <c r="O48" s="266"/>
      <c r="P48" s="303">
        <f t="shared" si="0"/>
        <v>0</v>
      </c>
      <c r="S48" s="495">
        <f>LARGE($P$41:$P$50,8)</f>
        <v>0</v>
      </c>
      <c r="T48" s="495">
        <f t="shared" si="2"/>
        <v>0</v>
      </c>
      <c r="U48" s="479">
        <f t="shared" si="3"/>
        <v>0</v>
      </c>
      <c r="V48" s="1225">
        <f t="shared" si="1"/>
        <v>0</v>
      </c>
    </row>
    <row r="49" spans="1:22" ht="18" customHeight="1" x14ac:dyDescent="0.2">
      <c r="B49" s="2335" t="s">
        <v>2133</v>
      </c>
      <c r="C49" s="2414"/>
      <c r="D49" s="2414"/>
      <c r="E49" s="2414"/>
      <c r="F49" s="2414"/>
      <c r="G49" s="2414"/>
      <c r="H49" s="2414"/>
      <c r="I49" s="2414"/>
      <c r="J49" s="2414"/>
      <c r="K49" s="2336"/>
      <c r="L49" s="1373">
        <f>P31</f>
        <v>0</v>
      </c>
      <c r="M49" s="1373"/>
      <c r="N49" s="1373"/>
      <c r="O49" s="266"/>
      <c r="P49" s="303">
        <f t="shared" si="0"/>
        <v>0</v>
      </c>
      <c r="S49" s="495">
        <f>LARGE($P$41:$P$50,9)</f>
        <v>0</v>
      </c>
      <c r="T49" s="495">
        <f t="shared" si="2"/>
        <v>0</v>
      </c>
      <c r="U49" s="479">
        <f t="shared" si="3"/>
        <v>0</v>
      </c>
      <c r="V49" s="1225">
        <f t="shared" si="1"/>
        <v>0</v>
      </c>
    </row>
    <row r="50" spans="1:22" ht="18" customHeight="1" x14ac:dyDescent="0.2">
      <c r="B50" s="1362" t="s">
        <v>2046</v>
      </c>
      <c r="C50" s="1363"/>
      <c r="D50" s="1363"/>
      <c r="E50" s="1363"/>
      <c r="F50" s="1363"/>
      <c r="G50" s="1363"/>
      <c r="H50" s="1363"/>
      <c r="I50" s="1363"/>
      <c r="J50" s="1363"/>
      <c r="K50" s="1364"/>
      <c r="L50" s="2430">
        <f>P38</f>
        <v>0</v>
      </c>
      <c r="M50" s="2431"/>
      <c r="N50" s="2432"/>
      <c r="O50" s="266"/>
      <c r="P50" s="303">
        <f t="shared" si="0"/>
        <v>0</v>
      </c>
      <c r="S50" s="495">
        <f>LARGE($P$41:$P$50,10)</f>
        <v>0</v>
      </c>
      <c r="T50" s="499"/>
      <c r="V50" s="1225">
        <f t="shared" si="1"/>
        <v>0</v>
      </c>
    </row>
    <row r="51" spans="1:22" ht="18" customHeight="1" x14ac:dyDescent="0.2">
      <c r="B51" s="2425" t="s">
        <v>1283</v>
      </c>
      <c r="C51" s="2426"/>
      <c r="D51" s="2426"/>
      <c r="E51" s="2426"/>
      <c r="F51" s="2426"/>
      <c r="G51" s="2426"/>
      <c r="H51" s="2426"/>
      <c r="I51" s="2426"/>
      <c r="J51" s="2426"/>
      <c r="K51" s="2426"/>
      <c r="L51" s="2426"/>
      <c r="M51" s="2426"/>
      <c r="N51" s="2426"/>
      <c r="O51" s="2427"/>
      <c r="P51" s="305">
        <f>U49</f>
        <v>0</v>
      </c>
      <c r="T51" s="191"/>
      <c r="U51" s="524"/>
      <c r="V51" s="499"/>
    </row>
    <row r="52" spans="1:22" ht="33" customHeight="1" x14ac:dyDescent="0.25">
      <c r="B52" s="1682" t="s">
        <v>947</v>
      </c>
      <c r="C52" s="1682"/>
      <c r="D52" s="1682"/>
      <c r="E52" s="1682"/>
      <c r="F52" s="1682"/>
      <c r="G52" s="1682"/>
      <c r="H52" s="1682"/>
      <c r="I52" s="1682"/>
      <c r="J52" s="1682"/>
      <c r="K52" s="1682"/>
      <c r="L52" s="1682"/>
      <c r="M52" s="1682"/>
      <c r="N52" s="1682"/>
      <c r="O52" s="1682"/>
      <c r="P52" s="1682"/>
    </row>
    <row r="53" spans="1:22" x14ac:dyDescent="0.2">
      <c r="A53" s="1206"/>
      <c r="B53" s="302" t="s">
        <v>790</v>
      </c>
      <c r="C53" s="2028" t="str">
        <f>IF(U1&lt;&gt;"",U1,"")</f>
        <v>Go to PPD Worksheet</v>
      </c>
      <c r="D53" s="2028"/>
      <c r="E53" s="2028"/>
      <c r="F53" s="2028"/>
      <c r="G53" s="2028"/>
      <c r="H53" s="2028"/>
      <c r="I53" s="2267" t="str">
        <f>IF(T1&lt;&gt;"",T1,"")</f>
        <v/>
      </c>
      <c r="J53" s="2267"/>
      <c r="K53" s="2267"/>
      <c r="L53" s="2267"/>
      <c r="M53" s="2267"/>
      <c r="N53" s="2267"/>
      <c r="P53" s="189"/>
    </row>
    <row r="55" spans="1:22" hidden="1" x14ac:dyDescent="0.2">
      <c r="B55" s="35">
        <v>0.01</v>
      </c>
      <c r="C55" s="35">
        <v>0.99</v>
      </c>
    </row>
  </sheetData>
  <sheetProtection sheet="1" objects="1" scenarios="1"/>
  <mergeCells count="90">
    <mergeCell ref="B14:B15"/>
    <mergeCell ref="L48:N48"/>
    <mergeCell ref="L49:N49"/>
    <mergeCell ref="E28:O28"/>
    <mergeCell ref="E22:O22"/>
    <mergeCell ref="C29:D29"/>
    <mergeCell ref="C30:D30"/>
    <mergeCell ref="E19:O19"/>
    <mergeCell ref="E30:O30"/>
    <mergeCell ref="E25:O25"/>
    <mergeCell ref="E37:O37"/>
    <mergeCell ref="B51:O51"/>
    <mergeCell ref="B41:K41"/>
    <mergeCell ref="B42:K42"/>
    <mergeCell ref="B43:K43"/>
    <mergeCell ref="B45:K45"/>
    <mergeCell ref="L47:N47"/>
    <mergeCell ref="L46:N46"/>
    <mergeCell ref="B50:K50"/>
    <mergeCell ref="L50:N50"/>
    <mergeCell ref="P8:P10"/>
    <mergeCell ref="E10:O10"/>
    <mergeCell ref="B48:K48"/>
    <mergeCell ref="B47:K47"/>
    <mergeCell ref="B46:K46"/>
    <mergeCell ref="L41:N41"/>
    <mergeCell ref="L42:N42"/>
    <mergeCell ref="L43:N43"/>
    <mergeCell ref="L45:N45"/>
    <mergeCell ref="B40:N40"/>
    <mergeCell ref="B11:B12"/>
    <mergeCell ref="B44:K44"/>
    <mergeCell ref="L44:N44"/>
    <mergeCell ref="C38:D38"/>
    <mergeCell ref="E38:O38"/>
    <mergeCell ref="B20:B21"/>
    <mergeCell ref="B2:P2"/>
    <mergeCell ref="E31:O31"/>
    <mergeCell ref="C31:D37"/>
    <mergeCell ref="B31:B37"/>
    <mergeCell ref="E34:O34"/>
    <mergeCell ref="E35:O35"/>
    <mergeCell ref="E36:O36"/>
    <mergeCell ref="E8:O8"/>
    <mergeCell ref="C13:D13"/>
    <mergeCell ref="E15:O15"/>
    <mergeCell ref="C7:D7"/>
    <mergeCell ref="E7:O7"/>
    <mergeCell ref="C14:D14"/>
    <mergeCell ref="E13:O13"/>
    <mergeCell ref="E14:O14"/>
    <mergeCell ref="C11:D11"/>
    <mergeCell ref="C4:D4"/>
    <mergeCell ref="C5:D5"/>
    <mergeCell ref="C6:D6"/>
    <mergeCell ref="E4:O4"/>
    <mergeCell ref="E5:O5"/>
    <mergeCell ref="E6:O6"/>
    <mergeCell ref="C12:D12"/>
    <mergeCell ref="E11:O11"/>
    <mergeCell ref="C53:H53"/>
    <mergeCell ref="I53:N53"/>
    <mergeCell ref="B52:P52"/>
    <mergeCell ref="P21:P25"/>
    <mergeCell ref="E32:O32"/>
    <mergeCell ref="E33:O33"/>
    <mergeCell ref="B28:B29"/>
    <mergeCell ref="P31:P37"/>
    <mergeCell ref="B49:K49"/>
    <mergeCell ref="E29:O29"/>
    <mergeCell ref="C28:D28"/>
    <mergeCell ref="C26:D26"/>
    <mergeCell ref="E26:O26"/>
    <mergeCell ref="E24:O24"/>
    <mergeCell ref="M1:P1"/>
    <mergeCell ref="E1:K1"/>
    <mergeCell ref="P15:P19"/>
    <mergeCell ref="C21:D25"/>
    <mergeCell ref="C15:D19"/>
    <mergeCell ref="C8:D10"/>
    <mergeCell ref="E12:O12"/>
    <mergeCell ref="E9:O9"/>
    <mergeCell ref="E18:O18"/>
    <mergeCell ref="B3:P3"/>
    <mergeCell ref="E23:O23"/>
    <mergeCell ref="E16:O16"/>
    <mergeCell ref="E21:O21"/>
    <mergeCell ref="E17:O17"/>
    <mergeCell ref="C20:D20"/>
    <mergeCell ref="E20:O20"/>
  </mergeCells>
  <phoneticPr fontId="0" type="noConversion"/>
  <dataValidations xWindow="1222" yWindow="615" count="3">
    <dataValidation type="decimal" allowBlank="1" showInputMessage="1" showErrorMessage="1" promptTitle="Apportionment (if any)" prompt="Enter percentage of impairment caused by the injury or illness. See OAR 436-035-0013." sqref="O41:O50" xr:uid="{00000000-0002-0000-1400-000000000000}">
      <formula1>$B$55</formula1>
      <formula2>$C$55</formula2>
    </dataValidation>
    <dataValidation type="decimal" operator="equal" allowBlank="1" showInputMessage="1" showErrorMessage="1" promptTitle="TAB" prompt="To return to top of worksheet." sqref="P53" xr:uid="{00000000-0002-0000-1400-000001000000}">
      <formula1>S53</formula1>
    </dataValidation>
    <dataValidation type="decimal" operator="equal" allowBlank="1" showInputMessage="1" showErrorMessage="1" sqref="A2" xr:uid="{00000000-0002-0000-1400-000002000000}">
      <formula1>S53</formula1>
    </dataValidation>
  </dataValidations>
  <hyperlinks>
    <hyperlink ref="B53" location="'Cranial Nerves-Brain'!A1" display="Return to top of sheet" xr:uid="{00000000-0004-0000-1400-000000000000}"/>
    <hyperlink ref="I53:N53" location="'PPD DOI on or after 2005'!A1" display="'PPD DOI on or after 2005'!A1" xr:uid="{00000000-0004-0000-1400-000001000000}"/>
    <hyperlink ref="C53:H53" location="'PPD DOI before 2005'!A1" display="'PPD DOI before 2005'!A1" xr:uid="{00000000-0004-0000-1400-000002000000}"/>
    <hyperlink ref="E7:O7" location="Vision!A1" display="Rate effects on vision under OAR 436-035-0260." xr:uid="{00000000-0004-0000-1400-000003000000}"/>
    <hyperlink ref="E6:O6" location="Vision!A1" display="Rate effects on vision under OAR 436-035-0260." xr:uid="{00000000-0004-0000-1400-000004000000}"/>
    <hyperlink ref="E5:O5" location="Vision!A1" display="Rate effects on vision under OAR 436-035-0260." xr:uid="{00000000-0004-0000-1400-000005000000}"/>
    <hyperlink ref="E13:O13" location="Vision!A1" display="Rate effects on vision under OAR 436-035-0260." xr:uid="{00000000-0004-0000-1400-000006000000}"/>
    <hyperlink ref="E20:O20" location="Hearing!A1" display="Effects on hearing are rated under OAR 436-035-0250." xr:uid="{00000000-0004-0000-1400-000007000000}"/>
    <hyperlink ref="E28:O28" location="'GI &amp; GU'!A1" display="Impairment of swallowing is determined under OAR 436-035-0420." xr:uid="{00000000-0004-0000-1400-000008000000}"/>
    <hyperlink ref="E29:O29" location="Respiratory!A1" display="Speech impairment is rated according to the classification in OAR 436-035-0385." xr:uid="{00000000-0004-0000-1400-000009000000}"/>
  </hyperlinks>
  <pageMargins left="0.75" right="0.75" top="0.66" bottom="0.69" header="0.5" footer="0.4"/>
  <pageSetup orientation="portrait" horizontalDpi="300" verticalDpi="300" r:id="rId1"/>
  <headerFooter alignWithMargins="0">
    <oddFooter>&amp;LCranial nerves/brain&amp;CPage &amp;P</oddFooter>
  </headerFooter>
  <drawing r:id="rId2"/>
  <legacyDrawing r:id="rId3"/>
  <oleObjects>
    <mc:AlternateContent xmlns:mc="http://schemas.openxmlformats.org/markup-compatibility/2006">
      <mc:Choice Requires="x14">
        <oleObject progId="Document" dvAspect="DVASPECT_ICON" shapeId="25624" r:id="rId4">
          <objectPr locked="0" defaultSize="0" autoPict="0" r:id="rId5">
            <anchor moveWithCells="1">
              <from>
                <xdr:col>1</xdr:col>
                <xdr:colOff>47625</xdr:colOff>
                <xdr:row>34</xdr:row>
                <xdr:rowOff>66675</xdr:rowOff>
              </from>
              <to>
                <xdr:col>1</xdr:col>
                <xdr:colOff>1076325</xdr:colOff>
                <xdr:row>36</xdr:row>
                <xdr:rowOff>200025</xdr:rowOff>
              </to>
            </anchor>
          </objectPr>
        </oleObject>
      </mc:Choice>
      <mc:Fallback>
        <oleObject progId="Document" dvAspect="DVASPECT_ICON" shapeId="25624" r:id="rId4"/>
      </mc:Fallback>
    </mc:AlternateContent>
  </oleObjects>
  <mc:AlternateContent xmlns:mc="http://schemas.openxmlformats.org/markup-compatibility/2006">
    <mc:Choice Requires="x14">
      <controls>
        <mc:AlternateContent xmlns:mc="http://schemas.openxmlformats.org/markup-compatibility/2006">
          <mc:Choice Requires="x14">
            <control shapeId="25601" r:id="rId6" name="Check Box 1">
              <controlPr defaultSize="0" autoFill="0" autoLine="0" autoPict="0">
                <anchor moveWithCells="1">
                  <from>
                    <xdr:col>2</xdr:col>
                    <xdr:colOff>66675</xdr:colOff>
                    <xdr:row>3</xdr:row>
                    <xdr:rowOff>104775</xdr:rowOff>
                  </from>
                  <to>
                    <xdr:col>4</xdr:col>
                    <xdr:colOff>47625</xdr:colOff>
                    <xdr:row>3</xdr:row>
                    <xdr:rowOff>323850</xdr:rowOff>
                  </to>
                </anchor>
              </controlPr>
            </control>
          </mc:Choice>
        </mc:AlternateContent>
        <mc:AlternateContent xmlns:mc="http://schemas.openxmlformats.org/markup-compatibility/2006">
          <mc:Choice Requires="x14">
            <control shapeId="25602" r:id="rId7" name="Check Box 2">
              <controlPr defaultSize="0" autoFill="0" autoLine="0" autoPict="0">
                <anchor moveWithCells="1">
                  <from>
                    <xdr:col>2</xdr:col>
                    <xdr:colOff>57150</xdr:colOff>
                    <xdr:row>13</xdr:row>
                    <xdr:rowOff>9525</xdr:rowOff>
                  </from>
                  <to>
                    <xdr:col>4</xdr:col>
                    <xdr:colOff>38100</xdr:colOff>
                    <xdr:row>14</xdr:row>
                    <xdr:rowOff>9525</xdr:rowOff>
                  </to>
                </anchor>
              </controlPr>
            </control>
          </mc:Choice>
        </mc:AlternateContent>
        <mc:AlternateContent xmlns:mc="http://schemas.openxmlformats.org/markup-compatibility/2006">
          <mc:Choice Requires="x14">
            <control shapeId="25603" r:id="rId8" name="Check Box 3">
              <controlPr defaultSize="0" autoFill="0" autoLine="0" autoPict="0">
                <anchor moveWithCells="1">
                  <from>
                    <xdr:col>2</xdr:col>
                    <xdr:colOff>57150</xdr:colOff>
                    <xdr:row>10</xdr:row>
                    <xdr:rowOff>76200</xdr:rowOff>
                  </from>
                  <to>
                    <xdr:col>4</xdr:col>
                    <xdr:colOff>38100</xdr:colOff>
                    <xdr:row>10</xdr:row>
                    <xdr:rowOff>295275</xdr:rowOff>
                  </to>
                </anchor>
              </controlPr>
            </control>
          </mc:Choice>
        </mc:AlternateContent>
        <mc:AlternateContent xmlns:mc="http://schemas.openxmlformats.org/markup-compatibility/2006">
          <mc:Choice Requires="x14">
            <control shapeId="25604" r:id="rId9" name="Check Box 4">
              <controlPr defaultSize="0" autoFill="0" autoLine="0" autoPict="0">
                <anchor moveWithCells="1">
                  <from>
                    <xdr:col>2</xdr:col>
                    <xdr:colOff>47625</xdr:colOff>
                    <xdr:row>25</xdr:row>
                    <xdr:rowOff>47625</xdr:rowOff>
                  </from>
                  <to>
                    <xdr:col>4</xdr:col>
                    <xdr:colOff>28575</xdr:colOff>
                    <xdr:row>25</xdr:row>
                    <xdr:rowOff>266700</xdr:rowOff>
                  </to>
                </anchor>
              </controlPr>
            </control>
          </mc:Choice>
        </mc:AlternateContent>
        <mc:AlternateContent xmlns:mc="http://schemas.openxmlformats.org/markup-compatibility/2006">
          <mc:Choice Requires="x14">
            <control shapeId="25634" r:id="rId10" name="Check Box 34">
              <controlPr defaultSize="0" autoFill="0" autoLine="0" autoPict="0">
                <anchor moveWithCells="1">
                  <from>
                    <xdr:col>2</xdr:col>
                    <xdr:colOff>57150</xdr:colOff>
                    <xdr:row>11</xdr:row>
                    <xdr:rowOff>76200</xdr:rowOff>
                  </from>
                  <to>
                    <xdr:col>4</xdr:col>
                    <xdr:colOff>38100</xdr:colOff>
                    <xdr:row>11</xdr:row>
                    <xdr:rowOff>295275</xdr:rowOff>
                  </to>
                </anchor>
              </controlPr>
            </control>
          </mc:Choice>
        </mc:AlternateContent>
        <mc:AlternateContent xmlns:mc="http://schemas.openxmlformats.org/markup-compatibility/2006">
          <mc:Choice Requires="x14">
            <control shapeId="26027" r:id="rId11" name="Check Box 427">
              <controlPr defaultSize="0" autoFill="0" autoLine="0" autoPict="0">
                <anchor moveWithCells="1">
                  <from>
                    <xdr:col>2</xdr:col>
                    <xdr:colOff>38100</xdr:colOff>
                    <xdr:row>37</xdr:row>
                    <xdr:rowOff>104775</xdr:rowOff>
                  </from>
                  <to>
                    <xdr:col>4</xdr:col>
                    <xdr:colOff>9525</xdr:colOff>
                    <xdr:row>37</xdr:row>
                    <xdr:rowOff>323850</xdr:rowOff>
                  </to>
                </anchor>
              </controlPr>
            </control>
          </mc:Choice>
        </mc:AlternateContent>
        <mc:AlternateContent xmlns:mc="http://schemas.openxmlformats.org/markup-compatibility/2006">
          <mc:Choice Requires="x14">
            <control shapeId="25613" r:id="rId12" name="Group Box 13">
              <controlPr defaultSize="0" autoFill="0" autoPict="0">
                <anchor moveWithCells="1" sizeWithCells="1">
                  <from>
                    <xdr:col>2</xdr:col>
                    <xdr:colOff>0</xdr:colOff>
                    <xdr:row>7</xdr:row>
                    <xdr:rowOff>0</xdr:rowOff>
                  </from>
                  <to>
                    <xdr:col>15</xdr:col>
                    <xdr:colOff>0</xdr:colOff>
                    <xdr:row>10</xdr:row>
                    <xdr:rowOff>0</xdr:rowOff>
                  </to>
                </anchor>
              </controlPr>
            </control>
          </mc:Choice>
        </mc:AlternateContent>
        <mc:AlternateContent xmlns:mc="http://schemas.openxmlformats.org/markup-compatibility/2006">
          <mc:Choice Requires="x14">
            <control shapeId="25614" r:id="rId13" name="Option Button 14">
              <controlPr defaultSize="0" autoFill="0" autoLine="0" autoPict="0">
                <anchor moveWithCells="1" sizeWithCells="1">
                  <from>
                    <xdr:col>2</xdr:col>
                    <xdr:colOff>57150</xdr:colOff>
                    <xdr:row>7</xdr:row>
                    <xdr:rowOff>114300</xdr:rowOff>
                  </from>
                  <to>
                    <xdr:col>4</xdr:col>
                    <xdr:colOff>19050</xdr:colOff>
                    <xdr:row>7</xdr:row>
                    <xdr:rowOff>333375</xdr:rowOff>
                  </to>
                </anchor>
              </controlPr>
            </control>
          </mc:Choice>
        </mc:AlternateContent>
        <mc:AlternateContent xmlns:mc="http://schemas.openxmlformats.org/markup-compatibility/2006">
          <mc:Choice Requires="x14">
            <control shapeId="25615" r:id="rId14" name="Option Button 15">
              <controlPr defaultSize="0" autoFill="0" autoLine="0" autoPict="0">
                <anchor moveWithCells="1" sizeWithCells="1">
                  <from>
                    <xdr:col>2</xdr:col>
                    <xdr:colOff>57150</xdr:colOff>
                    <xdr:row>8</xdr:row>
                    <xdr:rowOff>114300</xdr:rowOff>
                  </from>
                  <to>
                    <xdr:col>4</xdr:col>
                    <xdr:colOff>19050</xdr:colOff>
                    <xdr:row>8</xdr:row>
                    <xdr:rowOff>333375</xdr:rowOff>
                  </to>
                </anchor>
              </controlPr>
            </control>
          </mc:Choice>
        </mc:AlternateContent>
        <mc:AlternateContent xmlns:mc="http://schemas.openxmlformats.org/markup-compatibility/2006">
          <mc:Choice Requires="x14">
            <control shapeId="25616" r:id="rId15" name="Option Button 16">
              <controlPr defaultSize="0" autoFill="0" autoLine="0" autoPict="0">
                <anchor moveWithCells="1" sizeWithCells="1">
                  <from>
                    <xdr:col>2</xdr:col>
                    <xdr:colOff>57150</xdr:colOff>
                    <xdr:row>9</xdr:row>
                    <xdr:rowOff>114300</xdr:rowOff>
                  </from>
                  <to>
                    <xdr:col>4</xdr:col>
                    <xdr:colOff>19050</xdr:colOff>
                    <xdr:row>9</xdr:row>
                    <xdr:rowOff>333375</xdr:rowOff>
                  </to>
                </anchor>
              </controlPr>
            </control>
          </mc:Choice>
        </mc:AlternateContent>
        <mc:AlternateContent xmlns:mc="http://schemas.openxmlformats.org/markup-compatibility/2006">
          <mc:Choice Requires="x14">
            <control shapeId="25618" r:id="rId16" name="Group Box 18">
              <controlPr defaultSize="0" autoFill="0" autoPict="0">
                <anchor moveWithCells="1" sizeWithCells="1">
                  <from>
                    <xdr:col>2</xdr:col>
                    <xdr:colOff>0</xdr:colOff>
                    <xdr:row>20</xdr:row>
                    <xdr:rowOff>0</xdr:rowOff>
                  </from>
                  <to>
                    <xdr:col>15</xdr:col>
                    <xdr:colOff>9525</xdr:colOff>
                    <xdr:row>25</xdr:row>
                    <xdr:rowOff>0</xdr:rowOff>
                  </to>
                </anchor>
              </controlPr>
            </control>
          </mc:Choice>
        </mc:AlternateContent>
        <mc:AlternateContent xmlns:mc="http://schemas.openxmlformats.org/markup-compatibility/2006">
          <mc:Choice Requires="x14">
            <control shapeId="25619" r:id="rId17" name="Option Button 19">
              <controlPr defaultSize="0" autoFill="0" autoLine="0" autoPict="0">
                <anchor moveWithCells="1" sizeWithCells="1">
                  <from>
                    <xdr:col>2</xdr:col>
                    <xdr:colOff>57150</xdr:colOff>
                    <xdr:row>20</xdr:row>
                    <xdr:rowOff>66675</xdr:rowOff>
                  </from>
                  <to>
                    <xdr:col>4</xdr:col>
                    <xdr:colOff>19050</xdr:colOff>
                    <xdr:row>20</xdr:row>
                    <xdr:rowOff>333375</xdr:rowOff>
                  </to>
                </anchor>
              </controlPr>
            </control>
          </mc:Choice>
        </mc:AlternateContent>
        <mc:AlternateContent xmlns:mc="http://schemas.openxmlformats.org/markup-compatibility/2006">
          <mc:Choice Requires="x14">
            <control shapeId="25620" r:id="rId18" name="Option Button 20">
              <controlPr defaultSize="0" autoFill="0" autoLine="0" autoPict="0">
                <anchor moveWithCells="1" sizeWithCells="1">
                  <from>
                    <xdr:col>2</xdr:col>
                    <xdr:colOff>57150</xdr:colOff>
                    <xdr:row>21</xdr:row>
                    <xdr:rowOff>161925</xdr:rowOff>
                  </from>
                  <to>
                    <xdr:col>4</xdr:col>
                    <xdr:colOff>19050</xdr:colOff>
                    <xdr:row>21</xdr:row>
                    <xdr:rowOff>428625</xdr:rowOff>
                  </to>
                </anchor>
              </controlPr>
            </control>
          </mc:Choice>
        </mc:AlternateContent>
        <mc:AlternateContent xmlns:mc="http://schemas.openxmlformats.org/markup-compatibility/2006">
          <mc:Choice Requires="x14">
            <control shapeId="25621" r:id="rId19" name="Option Button 21">
              <controlPr defaultSize="0" autoFill="0" autoLine="0" autoPict="0">
                <anchor moveWithCells="1" sizeWithCells="1">
                  <from>
                    <xdr:col>2</xdr:col>
                    <xdr:colOff>57150</xdr:colOff>
                    <xdr:row>22</xdr:row>
                    <xdr:rowOff>133350</xdr:rowOff>
                  </from>
                  <to>
                    <xdr:col>4</xdr:col>
                    <xdr:colOff>19050</xdr:colOff>
                    <xdr:row>22</xdr:row>
                    <xdr:rowOff>400050</xdr:rowOff>
                  </to>
                </anchor>
              </controlPr>
            </control>
          </mc:Choice>
        </mc:AlternateContent>
        <mc:AlternateContent xmlns:mc="http://schemas.openxmlformats.org/markup-compatibility/2006">
          <mc:Choice Requires="x14">
            <control shapeId="25622" r:id="rId20" name="Option Button 22">
              <controlPr defaultSize="0" autoFill="0" autoLine="0" autoPict="0">
                <anchor moveWithCells="1" sizeWithCells="1">
                  <from>
                    <xdr:col>2</xdr:col>
                    <xdr:colOff>57150</xdr:colOff>
                    <xdr:row>22</xdr:row>
                    <xdr:rowOff>647700</xdr:rowOff>
                  </from>
                  <to>
                    <xdr:col>4</xdr:col>
                    <xdr:colOff>19050</xdr:colOff>
                    <xdr:row>23</xdr:row>
                    <xdr:rowOff>257175</xdr:rowOff>
                  </to>
                </anchor>
              </controlPr>
            </control>
          </mc:Choice>
        </mc:AlternateContent>
        <mc:AlternateContent xmlns:mc="http://schemas.openxmlformats.org/markup-compatibility/2006">
          <mc:Choice Requires="x14">
            <control shapeId="25623" r:id="rId21" name="Option Button 23">
              <controlPr defaultSize="0" autoFill="0" autoLine="0" autoPict="0">
                <anchor moveWithCells="1" sizeWithCells="1">
                  <from>
                    <xdr:col>2</xdr:col>
                    <xdr:colOff>57150</xdr:colOff>
                    <xdr:row>24</xdr:row>
                    <xdr:rowOff>38100</xdr:rowOff>
                  </from>
                  <to>
                    <xdr:col>4</xdr:col>
                    <xdr:colOff>19050</xdr:colOff>
                    <xdr:row>24</xdr:row>
                    <xdr:rowOff>304800</xdr:rowOff>
                  </to>
                </anchor>
              </controlPr>
            </control>
          </mc:Choice>
        </mc:AlternateContent>
        <mc:AlternateContent xmlns:mc="http://schemas.openxmlformats.org/markup-compatibility/2006">
          <mc:Choice Requires="x14">
            <control shapeId="25626" r:id="rId22" name="Group Box 26">
              <controlPr defaultSize="0" autoFill="0" autoPict="0">
                <anchor moveWithCells="1" sizeWithCells="1">
                  <from>
                    <xdr:col>2</xdr:col>
                    <xdr:colOff>0</xdr:colOff>
                    <xdr:row>30</xdr:row>
                    <xdr:rowOff>0</xdr:rowOff>
                  </from>
                  <to>
                    <xdr:col>3</xdr:col>
                    <xdr:colOff>152400</xdr:colOff>
                    <xdr:row>37</xdr:row>
                    <xdr:rowOff>0</xdr:rowOff>
                  </to>
                </anchor>
              </controlPr>
            </control>
          </mc:Choice>
        </mc:AlternateContent>
        <mc:AlternateContent xmlns:mc="http://schemas.openxmlformats.org/markup-compatibility/2006">
          <mc:Choice Requires="x14">
            <control shapeId="25627" r:id="rId23" name="Option Button 27">
              <controlPr defaultSize="0" autoFill="0" autoLine="0" autoPict="0">
                <anchor moveWithCells="1" sizeWithCells="1">
                  <from>
                    <xdr:col>2</xdr:col>
                    <xdr:colOff>28575</xdr:colOff>
                    <xdr:row>30</xdr:row>
                    <xdr:rowOff>152400</xdr:rowOff>
                  </from>
                  <to>
                    <xdr:col>4</xdr:col>
                    <xdr:colOff>9525</xdr:colOff>
                    <xdr:row>31</xdr:row>
                    <xdr:rowOff>28575</xdr:rowOff>
                  </to>
                </anchor>
              </controlPr>
            </control>
          </mc:Choice>
        </mc:AlternateContent>
        <mc:AlternateContent xmlns:mc="http://schemas.openxmlformats.org/markup-compatibility/2006">
          <mc:Choice Requires="x14">
            <control shapeId="25628" r:id="rId24" name="Option Button 28">
              <controlPr defaultSize="0" autoFill="0" autoLine="0" autoPict="0">
                <anchor moveWithCells="1" sizeWithCells="1">
                  <from>
                    <xdr:col>2</xdr:col>
                    <xdr:colOff>28575</xdr:colOff>
                    <xdr:row>31</xdr:row>
                    <xdr:rowOff>133350</xdr:rowOff>
                  </from>
                  <to>
                    <xdr:col>4</xdr:col>
                    <xdr:colOff>9525</xdr:colOff>
                    <xdr:row>32</xdr:row>
                    <xdr:rowOff>9525</xdr:rowOff>
                  </to>
                </anchor>
              </controlPr>
            </control>
          </mc:Choice>
        </mc:AlternateContent>
        <mc:AlternateContent xmlns:mc="http://schemas.openxmlformats.org/markup-compatibility/2006">
          <mc:Choice Requires="x14">
            <control shapeId="25629" r:id="rId25" name="Option Button 29">
              <controlPr defaultSize="0" autoFill="0" autoLine="0" autoPict="0">
                <anchor moveWithCells="1" sizeWithCells="1">
                  <from>
                    <xdr:col>2</xdr:col>
                    <xdr:colOff>28575</xdr:colOff>
                    <xdr:row>32</xdr:row>
                    <xdr:rowOff>142875</xdr:rowOff>
                  </from>
                  <to>
                    <xdr:col>4</xdr:col>
                    <xdr:colOff>9525</xdr:colOff>
                    <xdr:row>33</xdr:row>
                    <xdr:rowOff>19050</xdr:rowOff>
                  </to>
                </anchor>
              </controlPr>
            </control>
          </mc:Choice>
        </mc:AlternateContent>
        <mc:AlternateContent xmlns:mc="http://schemas.openxmlformats.org/markup-compatibility/2006">
          <mc:Choice Requires="x14">
            <control shapeId="25630" r:id="rId26" name="Option Button 30">
              <controlPr defaultSize="0" autoFill="0" autoLine="0" autoPict="0">
                <anchor moveWithCells="1" sizeWithCells="1">
                  <from>
                    <xdr:col>2</xdr:col>
                    <xdr:colOff>28575</xdr:colOff>
                    <xdr:row>33</xdr:row>
                    <xdr:rowOff>123825</xdr:rowOff>
                  </from>
                  <to>
                    <xdr:col>4</xdr:col>
                    <xdr:colOff>9525</xdr:colOff>
                    <xdr:row>34</xdr:row>
                    <xdr:rowOff>0</xdr:rowOff>
                  </to>
                </anchor>
              </controlPr>
            </control>
          </mc:Choice>
        </mc:AlternateContent>
        <mc:AlternateContent xmlns:mc="http://schemas.openxmlformats.org/markup-compatibility/2006">
          <mc:Choice Requires="x14">
            <control shapeId="25631" r:id="rId27" name="Option Button 31">
              <controlPr defaultSize="0" autoFill="0" autoLine="0" autoPict="0">
                <anchor moveWithCells="1" sizeWithCells="1">
                  <from>
                    <xdr:col>2</xdr:col>
                    <xdr:colOff>28575</xdr:colOff>
                    <xdr:row>34</xdr:row>
                    <xdr:rowOff>133350</xdr:rowOff>
                  </from>
                  <to>
                    <xdr:col>4</xdr:col>
                    <xdr:colOff>9525</xdr:colOff>
                    <xdr:row>35</xdr:row>
                    <xdr:rowOff>9525</xdr:rowOff>
                  </to>
                </anchor>
              </controlPr>
            </control>
          </mc:Choice>
        </mc:AlternateContent>
        <mc:AlternateContent xmlns:mc="http://schemas.openxmlformats.org/markup-compatibility/2006">
          <mc:Choice Requires="x14">
            <control shapeId="25632" r:id="rId28" name="Option Button 32">
              <controlPr defaultSize="0" autoFill="0" autoLine="0" autoPict="0">
                <anchor moveWithCells="1" sizeWithCells="1">
                  <from>
                    <xdr:col>2</xdr:col>
                    <xdr:colOff>28575</xdr:colOff>
                    <xdr:row>35</xdr:row>
                    <xdr:rowOff>104775</xdr:rowOff>
                  </from>
                  <to>
                    <xdr:col>4</xdr:col>
                    <xdr:colOff>9525</xdr:colOff>
                    <xdr:row>35</xdr:row>
                    <xdr:rowOff>323850</xdr:rowOff>
                  </to>
                </anchor>
              </controlPr>
            </control>
          </mc:Choice>
        </mc:AlternateContent>
        <mc:AlternateContent xmlns:mc="http://schemas.openxmlformats.org/markup-compatibility/2006">
          <mc:Choice Requires="x14">
            <control shapeId="25633" r:id="rId29" name="Option Button 33">
              <controlPr defaultSize="0" autoFill="0" autoLine="0" autoPict="0">
                <anchor moveWithCells="1" sizeWithCells="1">
                  <from>
                    <xdr:col>2</xdr:col>
                    <xdr:colOff>28575</xdr:colOff>
                    <xdr:row>36</xdr:row>
                    <xdr:rowOff>95250</xdr:rowOff>
                  </from>
                  <to>
                    <xdr:col>4</xdr:col>
                    <xdr:colOff>9525</xdr:colOff>
                    <xdr:row>36</xdr:row>
                    <xdr:rowOff>314325</xdr:rowOff>
                  </to>
                </anchor>
              </controlPr>
            </control>
          </mc:Choice>
        </mc:AlternateContent>
        <mc:AlternateContent xmlns:mc="http://schemas.openxmlformats.org/markup-compatibility/2006">
          <mc:Choice Requires="x14">
            <control shapeId="25606" r:id="rId30" name="Group Box 6">
              <controlPr defaultSize="0" autoFill="0" autoPict="0">
                <anchor moveWithCells="1" sizeWithCells="1">
                  <from>
                    <xdr:col>2</xdr:col>
                    <xdr:colOff>0</xdr:colOff>
                    <xdr:row>14</xdr:row>
                    <xdr:rowOff>0</xdr:rowOff>
                  </from>
                  <to>
                    <xdr:col>15</xdr:col>
                    <xdr:colOff>0</xdr:colOff>
                    <xdr:row>19</xdr:row>
                    <xdr:rowOff>0</xdr:rowOff>
                  </to>
                </anchor>
              </controlPr>
            </control>
          </mc:Choice>
        </mc:AlternateContent>
        <mc:AlternateContent xmlns:mc="http://schemas.openxmlformats.org/markup-compatibility/2006">
          <mc:Choice Requires="x14">
            <control shapeId="25607" r:id="rId31" name="Option Button 7">
              <controlPr defaultSize="0" autoFill="0" autoLine="0" autoPict="0">
                <anchor moveWithCells="1" sizeWithCells="1">
                  <from>
                    <xdr:col>2</xdr:col>
                    <xdr:colOff>66675</xdr:colOff>
                    <xdr:row>14</xdr:row>
                    <xdr:rowOff>104775</xdr:rowOff>
                  </from>
                  <to>
                    <xdr:col>4</xdr:col>
                    <xdr:colOff>19050</xdr:colOff>
                    <xdr:row>15</xdr:row>
                    <xdr:rowOff>0</xdr:rowOff>
                  </to>
                </anchor>
              </controlPr>
            </control>
          </mc:Choice>
        </mc:AlternateContent>
        <mc:AlternateContent xmlns:mc="http://schemas.openxmlformats.org/markup-compatibility/2006">
          <mc:Choice Requires="x14">
            <control shapeId="25608" r:id="rId32" name="Option Button 8">
              <controlPr defaultSize="0" autoFill="0" autoLine="0" autoPict="0">
                <anchor moveWithCells="1" sizeWithCells="1">
                  <from>
                    <xdr:col>2</xdr:col>
                    <xdr:colOff>66675</xdr:colOff>
                    <xdr:row>15</xdr:row>
                    <xdr:rowOff>104775</xdr:rowOff>
                  </from>
                  <to>
                    <xdr:col>4</xdr:col>
                    <xdr:colOff>19050</xdr:colOff>
                    <xdr:row>15</xdr:row>
                    <xdr:rowOff>295275</xdr:rowOff>
                  </to>
                </anchor>
              </controlPr>
            </control>
          </mc:Choice>
        </mc:AlternateContent>
        <mc:AlternateContent xmlns:mc="http://schemas.openxmlformats.org/markup-compatibility/2006">
          <mc:Choice Requires="x14">
            <control shapeId="25609" r:id="rId33" name="Option Button 9">
              <controlPr defaultSize="0" autoFill="0" autoLine="0" autoPict="0">
                <anchor moveWithCells="1" sizeWithCells="1">
                  <from>
                    <xdr:col>2</xdr:col>
                    <xdr:colOff>66675</xdr:colOff>
                    <xdr:row>16</xdr:row>
                    <xdr:rowOff>85725</xdr:rowOff>
                  </from>
                  <to>
                    <xdr:col>4</xdr:col>
                    <xdr:colOff>19050</xdr:colOff>
                    <xdr:row>16</xdr:row>
                    <xdr:rowOff>276225</xdr:rowOff>
                  </to>
                </anchor>
              </controlPr>
            </control>
          </mc:Choice>
        </mc:AlternateContent>
        <mc:AlternateContent xmlns:mc="http://schemas.openxmlformats.org/markup-compatibility/2006">
          <mc:Choice Requires="x14">
            <control shapeId="25610" r:id="rId34" name="Option Button 10">
              <controlPr defaultSize="0" autoFill="0" autoLine="0" autoPict="0">
                <anchor moveWithCells="1" sizeWithCells="1">
                  <from>
                    <xdr:col>2</xdr:col>
                    <xdr:colOff>66675</xdr:colOff>
                    <xdr:row>17</xdr:row>
                    <xdr:rowOff>76200</xdr:rowOff>
                  </from>
                  <to>
                    <xdr:col>4</xdr:col>
                    <xdr:colOff>19050</xdr:colOff>
                    <xdr:row>17</xdr:row>
                    <xdr:rowOff>266700</xdr:rowOff>
                  </to>
                </anchor>
              </controlPr>
            </control>
          </mc:Choice>
        </mc:AlternateContent>
        <mc:AlternateContent xmlns:mc="http://schemas.openxmlformats.org/markup-compatibility/2006">
          <mc:Choice Requires="x14">
            <control shapeId="25611" r:id="rId35" name="Option Button 11">
              <controlPr defaultSize="0" autoFill="0" autoLine="0" autoPict="0">
                <anchor moveWithCells="1" sizeWithCells="1">
                  <from>
                    <xdr:col>2</xdr:col>
                    <xdr:colOff>66675</xdr:colOff>
                    <xdr:row>18</xdr:row>
                    <xdr:rowOff>76200</xdr:rowOff>
                  </from>
                  <to>
                    <xdr:col>4</xdr:col>
                    <xdr:colOff>19050</xdr:colOff>
                    <xdr:row>18</xdr:row>
                    <xdr:rowOff>266700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FN19"/>
  <sheetViews>
    <sheetView showGridLines="0" zoomScale="120" zoomScaleNormal="120" workbookViewId="0"/>
  </sheetViews>
  <sheetFormatPr defaultColWidth="2.7109375" defaultRowHeight="12.75" x14ac:dyDescent="0.2"/>
  <cols>
    <col min="1" max="1" width="1.42578125" style="35" customWidth="1"/>
    <col min="2" max="2" width="18" style="35" customWidth="1"/>
    <col min="3" max="3" width="2.5703125" style="35" customWidth="1"/>
    <col min="4" max="4" width="2.28515625" style="35" customWidth="1"/>
    <col min="5" max="13" width="3.85546875" style="35" customWidth="1"/>
    <col min="14" max="14" width="4.85546875" style="35" customWidth="1"/>
    <col min="15" max="15" width="14.85546875" style="35" customWidth="1"/>
    <col min="16" max="16" width="9.5703125" style="35" customWidth="1"/>
    <col min="17" max="17" width="1.28515625" style="35" customWidth="1"/>
    <col min="18" max="18" width="17.85546875" style="35" hidden="1" customWidth="1"/>
    <col min="19" max="24" width="12.7109375" style="35" hidden="1" customWidth="1"/>
    <col min="25" max="130" width="2.7109375" style="35" hidden="1" customWidth="1"/>
    <col min="131" max="255" width="2.7109375" style="35" customWidth="1"/>
    <col min="256" max="16384" width="2.7109375" style="35"/>
  </cols>
  <sheetData>
    <row r="1" spans="2:170" ht="15" customHeight="1" x14ac:dyDescent="0.2">
      <c r="B1" s="14" t="s">
        <v>1733</v>
      </c>
      <c r="E1" s="1347" t="str">
        <f>IF('Start here'!A6="","",'Start here'!A6)</f>
        <v/>
      </c>
      <c r="F1" s="1351"/>
      <c r="G1" s="1351"/>
      <c r="H1" s="1351"/>
      <c r="I1" s="1351"/>
      <c r="J1" s="1351"/>
      <c r="K1" s="1352"/>
      <c r="M1" s="1347" t="str">
        <f>IF('Start here'!A7="","",'Start here'!A7)</f>
        <v/>
      </c>
      <c r="N1" s="1351"/>
      <c r="O1" s="1351"/>
      <c r="P1" s="1352"/>
      <c r="R1" s="694">
        <v>38353</v>
      </c>
      <c r="S1" s="196">
        <f>'Start here'!A8</f>
        <v>0</v>
      </c>
      <c r="T1" s="1207" t="str">
        <f>IF(S1&gt;=R1,"Go to PPD Worksheet","")</f>
        <v/>
      </c>
      <c r="U1" s="1207"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170" x14ac:dyDescent="0.2">
      <c r="B2" s="1395"/>
      <c r="C2" s="1395"/>
      <c r="D2" s="1395"/>
      <c r="E2" s="1395"/>
      <c r="F2" s="1395"/>
      <c r="G2" s="1395"/>
      <c r="H2" s="1395"/>
      <c r="I2" s="1395"/>
      <c r="J2" s="1395"/>
      <c r="K2" s="1395"/>
      <c r="L2" s="1395"/>
      <c r="M2" s="1395"/>
      <c r="N2" s="1395"/>
      <c r="O2" s="1395"/>
      <c r="P2" s="1395"/>
    </row>
    <row r="3" spans="2:170" ht="24" customHeight="1" x14ac:dyDescent="0.3">
      <c r="B3" s="1529" t="s">
        <v>277</v>
      </c>
      <c r="C3" s="1529"/>
      <c r="D3" s="1529"/>
      <c r="E3" s="1529"/>
      <c r="F3" s="1529"/>
      <c r="G3" s="1529"/>
      <c r="H3" s="1529"/>
      <c r="I3" s="1529"/>
      <c r="J3" s="1529"/>
      <c r="K3" s="1529"/>
      <c r="L3" s="1529"/>
      <c r="M3" s="1529"/>
      <c r="N3" s="1529"/>
      <c r="O3" s="1529"/>
      <c r="P3" s="1529"/>
    </row>
    <row r="4" spans="2:170" ht="30" customHeight="1" x14ac:dyDescent="0.2">
      <c r="B4" s="1676" t="s">
        <v>1299</v>
      </c>
      <c r="C4" s="1677"/>
      <c r="D4" s="1677"/>
      <c r="E4" s="1677"/>
      <c r="F4" s="1677"/>
      <c r="G4" s="1677"/>
      <c r="H4" s="1677"/>
      <c r="I4" s="1677"/>
      <c r="J4" s="1677"/>
      <c r="K4" s="1677"/>
      <c r="L4" s="1677"/>
      <c r="M4" s="1677"/>
      <c r="N4" s="1677"/>
      <c r="O4" s="1677"/>
      <c r="P4" s="1678"/>
      <c r="Q4" s="8"/>
    </row>
    <row r="5" spans="2:170" ht="30" customHeight="1" x14ac:dyDescent="0.2">
      <c r="B5" s="2390" t="s">
        <v>2055</v>
      </c>
      <c r="C5" s="2408"/>
      <c r="D5" s="2409"/>
      <c r="E5" s="1374" t="s">
        <v>1282</v>
      </c>
      <c r="F5" s="1375"/>
      <c r="G5" s="1375"/>
      <c r="H5" s="1375"/>
      <c r="I5" s="1375"/>
      <c r="J5" s="1375"/>
      <c r="K5" s="1375"/>
      <c r="L5" s="1375"/>
      <c r="M5" s="1375"/>
      <c r="N5" s="1375"/>
      <c r="O5" s="1375"/>
      <c r="P5" s="531"/>
      <c r="R5" s="1026" t="s">
        <v>2300</v>
      </c>
      <c r="S5" s="1215">
        <v>1</v>
      </c>
    </row>
    <row r="6" spans="2:170" ht="30" customHeight="1" x14ac:dyDescent="0.2">
      <c r="B6" s="2391"/>
      <c r="C6" s="2410"/>
      <c r="D6" s="2411"/>
      <c r="E6" s="1374" t="s">
        <v>2056</v>
      </c>
      <c r="F6" s="1375"/>
      <c r="G6" s="1375"/>
      <c r="H6" s="1375"/>
      <c r="I6" s="1375"/>
      <c r="J6" s="1375"/>
      <c r="K6" s="1375"/>
      <c r="L6" s="1375"/>
      <c r="M6" s="1375"/>
      <c r="N6" s="1375"/>
      <c r="O6" s="1375"/>
      <c r="P6" s="317"/>
    </row>
    <row r="7" spans="2:170" ht="30" customHeight="1" x14ac:dyDescent="0.2">
      <c r="B7" s="2391"/>
      <c r="C7" s="2410"/>
      <c r="D7" s="2411"/>
      <c r="E7" s="1374" t="s">
        <v>2057</v>
      </c>
      <c r="F7" s="1375"/>
      <c r="G7" s="1375"/>
      <c r="H7" s="1375"/>
      <c r="I7" s="1375"/>
      <c r="J7" s="1375"/>
      <c r="K7" s="1375"/>
      <c r="L7" s="1375"/>
      <c r="M7" s="1375"/>
      <c r="N7" s="1375"/>
      <c r="O7" s="1375"/>
      <c r="P7" s="317"/>
    </row>
    <row r="8" spans="2:170" ht="30" customHeight="1" x14ac:dyDescent="0.2">
      <c r="B8" s="2391"/>
      <c r="C8" s="2410"/>
      <c r="D8" s="2411"/>
      <c r="E8" s="1374" t="s">
        <v>2058</v>
      </c>
      <c r="F8" s="1375"/>
      <c r="G8" s="1375"/>
      <c r="H8" s="1375"/>
      <c r="I8" s="1375"/>
      <c r="J8" s="1375"/>
      <c r="K8" s="1375"/>
      <c r="L8" s="1375"/>
      <c r="M8" s="1375"/>
      <c r="N8" s="1375"/>
      <c r="O8" s="1375"/>
      <c r="P8" s="317"/>
    </row>
    <row r="9" spans="2:170" ht="40.5" customHeight="1" x14ac:dyDescent="0.2">
      <c r="B9" s="2391"/>
      <c r="C9" s="2410"/>
      <c r="D9" s="2411"/>
      <c r="E9" s="1374" t="s">
        <v>2059</v>
      </c>
      <c r="F9" s="1375"/>
      <c r="G9" s="1375"/>
      <c r="H9" s="1375"/>
      <c r="I9" s="1375"/>
      <c r="J9" s="1375"/>
      <c r="K9" s="1375"/>
      <c r="L9" s="1375"/>
      <c r="M9" s="1375"/>
      <c r="N9" s="1375"/>
      <c r="O9" s="1375"/>
      <c r="P9" s="317"/>
    </row>
    <row r="10" spans="2:170" ht="30" customHeight="1" x14ac:dyDescent="0.2">
      <c r="B10" s="2413"/>
      <c r="C10" s="2410"/>
      <c r="D10" s="2411"/>
      <c r="E10" s="1374" t="s">
        <v>2060</v>
      </c>
      <c r="F10" s="1375"/>
      <c r="G10" s="1375"/>
      <c r="H10" s="1375"/>
      <c r="I10" s="1375"/>
      <c r="J10" s="1375"/>
      <c r="K10" s="1375"/>
      <c r="L10" s="1375"/>
      <c r="M10" s="1375"/>
      <c r="N10" s="1375"/>
      <c r="O10" s="1375"/>
      <c r="P10" s="356">
        <f>IF(S5=2,0.15,IF(S5=3,0.35,IF(S5=4,0.5,IF(S5=5,0.75,IF(S5=6,0.95,0)))))</f>
        <v>0</v>
      </c>
      <c r="S10" s="1536" t="s">
        <v>1025</v>
      </c>
    </row>
    <row r="11" spans="2:170" ht="20.25" customHeight="1" x14ac:dyDescent="0.2">
      <c r="B11" s="1604"/>
      <c r="C11" s="1605"/>
      <c r="D11" s="1605"/>
      <c r="E11" s="396"/>
      <c r="F11" s="396"/>
      <c r="G11" s="396"/>
      <c r="H11" s="396"/>
      <c r="I11" s="396"/>
      <c r="J11" s="3"/>
      <c r="K11" s="3"/>
      <c r="L11" s="1489" t="s">
        <v>1025</v>
      </c>
      <c r="M11" s="1489"/>
      <c r="N11" s="1489"/>
      <c r="O11" s="1490"/>
      <c r="P11" s="318"/>
      <c r="S11" s="1536"/>
    </row>
    <row r="12" spans="2:170" ht="20.25" customHeight="1" x14ac:dyDescent="0.2">
      <c r="B12" s="391"/>
      <c r="C12" s="389"/>
      <c r="D12" s="389"/>
      <c r="E12" s="377"/>
      <c r="F12" s="265"/>
      <c r="G12" s="265"/>
      <c r="H12" s="265"/>
      <c r="I12" s="265"/>
      <c r="J12" s="265"/>
      <c r="K12" s="265"/>
      <c r="L12" s="2096" t="s">
        <v>1153</v>
      </c>
      <c r="M12" s="2096"/>
      <c r="N12" s="2096"/>
      <c r="O12" s="2097"/>
      <c r="P12" s="319">
        <f>IF(AND(S12&gt;0,S12&lt;0.01),0.01,ROUND(S12,2))</f>
        <v>0</v>
      </c>
      <c r="S12" s="1216">
        <f>IF(P11="",P10,P10*P11)</f>
        <v>0</v>
      </c>
    </row>
    <row r="13" spans="2:170" ht="66.75" customHeight="1" x14ac:dyDescent="0.2">
      <c r="B13" s="1367" t="s">
        <v>0</v>
      </c>
      <c r="C13" s="1368"/>
      <c r="D13" s="1368"/>
      <c r="E13" s="1368"/>
      <c r="F13" s="1368"/>
      <c r="G13" s="1368"/>
      <c r="H13" s="1368"/>
      <c r="I13" s="1368"/>
      <c r="J13" s="1368"/>
      <c r="K13" s="1368"/>
      <c r="L13" s="1368"/>
      <c r="M13" s="1368"/>
      <c r="N13" s="1368"/>
      <c r="O13" s="1368"/>
      <c r="P13" s="1369"/>
    </row>
    <row r="14" spans="2:170" ht="38.25" customHeight="1" x14ac:dyDescent="0.2">
      <c r="B14" s="1437" t="s">
        <v>1322</v>
      </c>
      <c r="C14" s="1438"/>
      <c r="D14" s="1438"/>
      <c r="E14" s="1438"/>
      <c r="F14" s="1438"/>
      <c r="G14" s="1438"/>
      <c r="H14" s="1438"/>
      <c r="I14" s="1438"/>
      <c r="J14" s="1438"/>
      <c r="K14" s="1438"/>
      <c r="L14" s="1438"/>
      <c r="M14" s="1438"/>
      <c r="N14" s="1438"/>
      <c r="O14" s="1438"/>
      <c r="P14" s="1439"/>
    </row>
    <row r="15" spans="2:170" ht="27" customHeight="1" x14ac:dyDescent="0.2">
      <c r="B15" s="1754" t="s">
        <v>1323</v>
      </c>
      <c r="C15" s="1755"/>
      <c r="D15" s="1755"/>
      <c r="E15" s="1755"/>
      <c r="F15" s="1755"/>
      <c r="G15" s="1755"/>
      <c r="H15" s="1755"/>
      <c r="I15" s="1755"/>
      <c r="J15" s="1755"/>
      <c r="K15" s="1755"/>
      <c r="L15" s="1755"/>
      <c r="M15" s="1755"/>
      <c r="N15" s="1755"/>
      <c r="O15" s="1755"/>
      <c r="P15" s="1756"/>
    </row>
    <row r="16" spans="2:170" ht="30.75" customHeight="1" x14ac:dyDescent="0.25">
      <c r="B16" s="1682" t="s">
        <v>947</v>
      </c>
      <c r="C16" s="1682"/>
      <c r="D16" s="1682"/>
      <c r="E16" s="1682"/>
      <c r="F16" s="1682"/>
      <c r="G16" s="1682"/>
      <c r="H16" s="1682"/>
      <c r="I16" s="1682"/>
      <c r="J16" s="1682"/>
      <c r="K16" s="1682"/>
      <c r="L16" s="1682"/>
      <c r="M16" s="1682"/>
      <c r="N16" s="1682"/>
      <c r="O16" s="1682"/>
      <c r="P16" s="1682"/>
    </row>
    <row r="17" spans="2:14" x14ac:dyDescent="0.2">
      <c r="B17" s="302" t="s">
        <v>790</v>
      </c>
      <c r="C17" s="2028" t="str">
        <f>IF(U1&lt;&gt;"",U1,"")</f>
        <v>Go to PPD Worksheet</v>
      </c>
      <c r="D17" s="2028"/>
      <c r="E17" s="2028"/>
      <c r="F17" s="2028"/>
      <c r="G17" s="2028"/>
      <c r="H17" s="2028"/>
      <c r="I17" s="2267" t="str">
        <f>IF(T1&lt;&gt;"",T1,"")</f>
        <v/>
      </c>
      <c r="J17" s="2267"/>
      <c r="K17" s="2267"/>
      <c r="L17" s="2267"/>
      <c r="M17" s="2267"/>
      <c r="N17" s="2267"/>
    </row>
    <row r="19" spans="2:14" hidden="1" x14ac:dyDescent="0.2">
      <c r="B19" s="35">
        <v>0.01</v>
      </c>
      <c r="C19" s="35">
        <v>0.99</v>
      </c>
    </row>
  </sheetData>
  <sheetProtection sheet="1" objects="1" scenarios="1"/>
  <mergeCells count="23">
    <mergeCell ref="L12:O12"/>
    <mergeCell ref="B5:B10"/>
    <mergeCell ref="E5:O5"/>
    <mergeCell ref="E7:O7"/>
    <mergeCell ref="E8:O8"/>
    <mergeCell ref="B11:D11"/>
    <mergeCell ref="C17:H17"/>
    <mergeCell ref="I17:N17"/>
    <mergeCell ref="B15:P15"/>
    <mergeCell ref="B16:P16"/>
    <mergeCell ref="B13:P13"/>
    <mergeCell ref="B14:P14"/>
    <mergeCell ref="S10:S11"/>
    <mergeCell ref="E9:O9"/>
    <mergeCell ref="E1:K1"/>
    <mergeCell ref="M1:P1"/>
    <mergeCell ref="B4:P4"/>
    <mergeCell ref="B2:P2"/>
    <mergeCell ref="B3:P3"/>
    <mergeCell ref="E10:O10"/>
    <mergeCell ref="C5:D10"/>
    <mergeCell ref="E6:O6"/>
    <mergeCell ref="L11:O11"/>
  </mergeCells>
  <phoneticPr fontId="0" type="noConversion"/>
  <dataValidations xWindow="838" yWindow="601" count="1">
    <dataValidation type="decimal" allowBlank="1" showInputMessage="1" showErrorMessage="1" promptTitle="Apportionment (if any)" prompt="Enter percentage of impairment caused by the injury or illness. See OAR 436-035-0013." sqref="P11" xr:uid="{00000000-0002-0000-1500-000000000000}">
      <formula1>$B$19</formula1>
      <formula2>$C$19</formula2>
    </dataValidation>
  </dataValidations>
  <hyperlinks>
    <hyperlink ref="B17" location="'Spinal cord'!A1" display="Return to top of sheet" xr:uid="{00000000-0004-0000-1500-000000000000}"/>
    <hyperlink ref="I17:N17" location="'PPD DOI on or after 2005'!A1" display="'PPD DOI on or after 2005'!A1" xr:uid="{00000000-0004-0000-1500-000001000000}"/>
    <hyperlink ref="C17:H17" location="'PPD DOI before 2005'!A1" display="'PPD DOI before 2005'!A1" xr:uid="{00000000-0004-0000-1500-000002000000}"/>
    <hyperlink ref="B15:P15" location="'Cranial Nerves-Brain'!A1" display="Episodic neurological disorders are determined under OAR 436-035-0390(10)." xr:uid="{00000000-0004-0000-1500-000003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6865" r:id="rId4" name="Group Box 1">
              <controlPr defaultSize="0" autoFill="0" autoPict="0">
                <anchor moveWithCells="1" sizeWithCells="1">
                  <from>
                    <xdr:col>2</xdr:col>
                    <xdr:colOff>0</xdr:colOff>
                    <xdr:row>3</xdr:row>
                    <xdr:rowOff>361950</xdr:rowOff>
                  </from>
                  <to>
                    <xdr:col>14</xdr:col>
                    <xdr:colOff>933450</xdr:colOff>
                    <xdr:row>9</xdr:row>
                    <xdr:rowOff>361950</xdr:rowOff>
                  </to>
                </anchor>
              </controlPr>
            </control>
          </mc:Choice>
        </mc:AlternateContent>
        <mc:AlternateContent xmlns:mc="http://schemas.openxmlformats.org/markup-compatibility/2006">
          <mc:Choice Requires="x14">
            <control shapeId="36866" r:id="rId5" name="Option Button 2">
              <controlPr defaultSize="0" autoFill="0" autoLine="0" autoPict="0">
                <anchor moveWithCells="1" sizeWithCells="1">
                  <from>
                    <xdr:col>2</xdr:col>
                    <xdr:colOff>57150</xdr:colOff>
                    <xdr:row>4</xdr:row>
                    <xdr:rowOff>47625</xdr:rowOff>
                  </from>
                  <to>
                    <xdr:col>4</xdr:col>
                    <xdr:colOff>38100</xdr:colOff>
                    <xdr:row>4</xdr:row>
                    <xdr:rowOff>266700</xdr:rowOff>
                  </to>
                </anchor>
              </controlPr>
            </control>
          </mc:Choice>
        </mc:AlternateContent>
        <mc:AlternateContent xmlns:mc="http://schemas.openxmlformats.org/markup-compatibility/2006">
          <mc:Choice Requires="x14">
            <control shapeId="36867" r:id="rId6" name="Option Button 3">
              <controlPr defaultSize="0" autoFill="0" autoLine="0" autoPict="0">
                <anchor moveWithCells="1" sizeWithCells="1">
                  <from>
                    <xdr:col>2</xdr:col>
                    <xdr:colOff>57150</xdr:colOff>
                    <xdr:row>5</xdr:row>
                    <xdr:rowOff>76200</xdr:rowOff>
                  </from>
                  <to>
                    <xdr:col>4</xdr:col>
                    <xdr:colOff>38100</xdr:colOff>
                    <xdr:row>5</xdr:row>
                    <xdr:rowOff>295275</xdr:rowOff>
                  </to>
                </anchor>
              </controlPr>
            </control>
          </mc:Choice>
        </mc:AlternateContent>
        <mc:AlternateContent xmlns:mc="http://schemas.openxmlformats.org/markup-compatibility/2006">
          <mc:Choice Requires="x14">
            <control shapeId="36868" r:id="rId7" name="Option Button 4">
              <controlPr defaultSize="0" autoFill="0" autoLine="0" autoPict="0">
                <anchor moveWithCells="1" sizeWithCells="1">
                  <from>
                    <xdr:col>2</xdr:col>
                    <xdr:colOff>57150</xdr:colOff>
                    <xdr:row>6</xdr:row>
                    <xdr:rowOff>85725</xdr:rowOff>
                  </from>
                  <to>
                    <xdr:col>4</xdr:col>
                    <xdr:colOff>38100</xdr:colOff>
                    <xdr:row>6</xdr:row>
                    <xdr:rowOff>304800</xdr:rowOff>
                  </to>
                </anchor>
              </controlPr>
            </control>
          </mc:Choice>
        </mc:AlternateContent>
        <mc:AlternateContent xmlns:mc="http://schemas.openxmlformats.org/markup-compatibility/2006">
          <mc:Choice Requires="x14">
            <control shapeId="36869" r:id="rId8" name="Option Button 5">
              <controlPr defaultSize="0" autoFill="0" autoLine="0" autoPict="0">
                <anchor moveWithCells="1" sizeWithCells="1">
                  <from>
                    <xdr:col>2</xdr:col>
                    <xdr:colOff>57150</xdr:colOff>
                    <xdr:row>7</xdr:row>
                    <xdr:rowOff>95250</xdr:rowOff>
                  </from>
                  <to>
                    <xdr:col>4</xdr:col>
                    <xdr:colOff>38100</xdr:colOff>
                    <xdr:row>7</xdr:row>
                    <xdr:rowOff>314325</xdr:rowOff>
                  </to>
                </anchor>
              </controlPr>
            </control>
          </mc:Choice>
        </mc:AlternateContent>
        <mc:AlternateContent xmlns:mc="http://schemas.openxmlformats.org/markup-compatibility/2006">
          <mc:Choice Requires="x14">
            <control shapeId="36870" r:id="rId9" name="Option Button 6">
              <controlPr defaultSize="0" autoFill="0" autoLine="0" autoPict="0">
                <anchor moveWithCells="1" sizeWithCells="1">
                  <from>
                    <xdr:col>2</xdr:col>
                    <xdr:colOff>57150</xdr:colOff>
                    <xdr:row>8</xdr:row>
                    <xdr:rowOff>95250</xdr:rowOff>
                  </from>
                  <to>
                    <xdr:col>4</xdr:col>
                    <xdr:colOff>38100</xdr:colOff>
                    <xdr:row>8</xdr:row>
                    <xdr:rowOff>314325</xdr:rowOff>
                  </to>
                </anchor>
              </controlPr>
            </control>
          </mc:Choice>
        </mc:AlternateContent>
        <mc:AlternateContent xmlns:mc="http://schemas.openxmlformats.org/markup-compatibility/2006">
          <mc:Choice Requires="x14">
            <control shapeId="36871" r:id="rId10" name="Option Button 7">
              <controlPr defaultSize="0" autoFill="0" autoLine="0" autoPict="0">
                <anchor moveWithCells="1" sizeWithCells="1">
                  <from>
                    <xdr:col>2</xdr:col>
                    <xdr:colOff>57150</xdr:colOff>
                    <xdr:row>9</xdr:row>
                    <xdr:rowOff>76200</xdr:rowOff>
                  </from>
                  <to>
                    <xdr:col>4</xdr:col>
                    <xdr:colOff>38100</xdr:colOff>
                    <xdr:row>9</xdr:row>
                    <xdr:rowOff>295275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FN24"/>
  <sheetViews>
    <sheetView showGridLines="0" zoomScale="120" zoomScaleNormal="120" workbookViewId="0"/>
  </sheetViews>
  <sheetFormatPr defaultColWidth="1.5703125" defaultRowHeight="12.75" x14ac:dyDescent="0.2"/>
  <cols>
    <col min="1" max="1" width="1.42578125" style="35" customWidth="1"/>
    <col min="2" max="2" width="18" style="35" customWidth="1"/>
    <col min="3" max="3" width="2.5703125" style="35" customWidth="1"/>
    <col min="4" max="4" width="2.28515625" style="35" customWidth="1"/>
    <col min="5" max="11" width="3.85546875" style="35" customWidth="1"/>
    <col min="12" max="12" width="8.5703125" style="35" customWidth="1"/>
    <col min="13" max="13" width="5" style="35" customWidth="1"/>
    <col min="14" max="14" width="4.5703125" style="35" customWidth="1"/>
    <col min="15" max="15" width="8.85546875" style="35" customWidth="1"/>
    <col min="16" max="16" width="9.5703125" style="35" customWidth="1"/>
    <col min="17" max="17" width="1.28515625" style="35" customWidth="1"/>
    <col min="18" max="18" width="17.85546875" style="35" hidden="1" customWidth="1"/>
    <col min="19" max="24" width="12.7109375" style="35" hidden="1" customWidth="1"/>
    <col min="25" max="130" width="1.5703125" style="35" hidden="1" customWidth="1"/>
    <col min="131" max="255" width="1.5703125" style="35" customWidth="1"/>
    <col min="256" max="16384" width="1.5703125" style="35"/>
  </cols>
  <sheetData>
    <row r="1" spans="2:170" ht="15" customHeight="1" x14ac:dyDescent="0.2">
      <c r="B1" s="14" t="s">
        <v>1733</v>
      </c>
      <c r="E1" s="1347" t="str">
        <f>IF('Start here'!A6="","",'Start here'!A6)</f>
        <v/>
      </c>
      <c r="F1" s="1351"/>
      <c r="G1" s="1351"/>
      <c r="H1" s="1351"/>
      <c r="I1" s="1351"/>
      <c r="J1" s="1351"/>
      <c r="K1" s="1352"/>
      <c r="M1" s="1347" t="str">
        <f>IF('Start here'!A7="","",'Start here'!A7)</f>
        <v/>
      </c>
      <c r="N1" s="1351"/>
      <c r="O1" s="1351"/>
      <c r="P1" s="1352"/>
      <c r="R1" s="694">
        <v>38353</v>
      </c>
      <c r="S1" s="196">
        <f>'Start here'!A8</f>
        <v>0</v>
      </c>
      <c r="T1" s="1207" t="str">
        <f>IF(S1&gt;=R1,"Go to PPD Worksheet","")</f>
        <v/>
      </c>
      <c r="U1" s="1207"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170" ht="6" customHeight="1" x14ac:dyDescent="0.2">
      <c r="B2" s="1395"/>
      <c r="C2" s="1395"/>
      <c r="D2" s="1395"/>
      <c r="E2" s="1395"/>
      <c r="F2" s="1395"/>
      <c r="G2" s="1395"/>
      <c r="H2" s="1395"/>
      <c r="I2" s="1395"/>
      <c r="J2" s="1395"/>
      <c r="K2" s="1395"/>
      <c r="L2" s="1395"/>
      <c r="M2" s="1395"/>
      <c r="N2" s="1395"/>
      <c r="O2" s="1395"/>
      <c r="P2" s="1395"/>
    </row>
    <row r="3" spans="2:170" ht="18.75" x14ac:dyDescent="0.3">
      <c r="B3" s="1529" t="s">
        <v>1070</v>
      </c>
      <c r="C3" s="1529"/>
      <c r="D3" s="1529"/>
      <c r="E3" s="1529"/>
      <c r="F3" s="1529"/>
      <c r="G3" s="1529"/>
      <c r="H3" s="1529"/>
      <c r="I3" s="1529"/>
      <c r="J3" s="1529"/>
      <c r="K3" s="1529"/>
      <c r="L3" s="1529"/>
      <c r="M3" s="1529"/>
      <c r="N3" s="1529"/>
      <c r="O3" s="1529"/>
      <c r="P3" s="1529"/>
    </row>
    <row r="4" spans="2:170" ht="27" customHeight="1" x14ac:dyDescent="0.2">
      <c r="B4" s="459" t="s">
        <v>1968</v>
      </c>
      <c r="C4" s="460"/>
      <c r="D4" s="460"/>
      <c r="E4" s="460"/>
      <c r="F4" s="460"/>
      <c r="G4" s="460"/>
      <c r="H4" s="460"/>
      <c r="I4" s="460"/>
      <c r="J4" s="460"/>
      <c r="K4" s="460"/>
      <c r="L4" s="460"/>
      <c r="M4" s="1764" t="s">
        <v>1525</v>
      </c>
      <c r="N4" s="1764"/>
      <c r="O4" s="1798"/>
      <c r="P4" s="2433">
        <f>IF(AND(S6&gt;0,S6&lt;0.01),0.01,ROUND(S6,2))</f>
        <v>0</v>
      </c>
      <c r="R4" s="1231" t="s">
        <v>2300</v>
      </c>
      <c r="S4" s="1230">
        <v>1</v>
      </c>
      <c r="T4" s="698"/>
      <c r="U4" s="1233"/>
    </row>
    <row r="5" spans="2:170" ht="20.100000000000001" customHeight="1" x14ac:dyDescent="0.2">
      <c r="B5" s="316" t="s">
        <v>1969</v>
      </c>
      <c r="C5" s="321"/>
      <c r="D5" s="322"/>
      <c r="E5" s="322"/>
      <c r="F5" s="322"/>
      <c r="G5" s="322"/>
      <c r="H5" s="322"/>
      <c r="I5" s="322"/>
      <c r="J5" s="322"/>
      <c r="K5" s="322"/>
      <c r="L5" s="323"/>
      <c r="M5" s="2437"/>
      <c r="N5" s="2437"/>
      <c r="O5" s="314"/>
      <c r="P5" s="2434"/>
      <c r="R5" s="1233"/>
      <c r="S5" s="1234"/>
      <c r="T5" s="698"/>
      <c r="U5" s="1233"/>
    </row>
    <row r="6" spans="2:170" ht="20.100000000000001" customHeight="1" x14ac:dyDescent="0.2">
      <c r="B6" s="312" t="s">
        <v>1970</v>
      </c>
      <c r="C6" s="311"/>
      <c r="D6" s="313"/>
      <c r="E6" s="313"/>
      <c r="F6" s="313"/>
      <c r="G6" s="313"/>
      <c r="H6" s="313"/>
      <c r="I6" s="313"/>
      <c r="J6" s="313"/>
      <c r="K6" s="313"/>
      <c r="L6" s="313"/>
      <c r="M6" s="2435">
        <f>IF(S4=2,0,IF(S4=3,0.06,IF(S4=4,0.11,IF(S4=5,0.2,IF(S4=6,0.29,IF(S4=7,0.38,0))))))</f>
        <v>0</v>
      </c>
      <c r="N6" s="2436"/>
      <c r="O6" s="261"/>
      <c r="P6" s="2091"/>
      <c r="R6" s="1231" t="s">
        <v>2301</v>
      </c>
      <c r="S6" s="1227">
        <f>IF(O6&gt;0,M6*O6,M6)</f>
        <v>0</v>
      </c>
      <c r="T6" s="1233"/>
      <c r="U6" s="1233"/>
      <c r="V6" s="1233"/>
    </row>
    <row r="7" spans="2:170" ht="27" customHeight="1" x14ac:dyDescent="0.2">
      <c r="B7" s="1659" t="s">
        <v>1971</v>
      </c>
      <c r="C7" s="1660"/>
      <c r="D7" s="1660"/>
      <c r="E7" s="1660"/>
      <c r="F7" s="1660"/>
      <c r="G7" s="1660"/>
      <c r="H7" s="1660"/>
      <c r="I7" s="1660"/>
      <c r="J7" s="1660"/>
      <c r="K7" s="1660"/>
      <c r="L7" s="1661"/>
      <c r="M7" s="530"/>
      <c r="N7" s="530"/>
      <c r="O7" s="532"/>
      <c r="P7" s="2433">
        <f>IF(AND(S10&gt;0,S10&lt;0.01),0.01,ROUND(S10,2))</f>
        <v>0</v>
      </c>
    </row>
    <row r="8" spans="2:170" ht="20.100000000000001" customHeight="1" x14ac:dyDescent="0.25">
      <c r="B8" s="316" t="s">
        <v>1969</v>
      </c>
      <c r="C8" s="533"/>
      <c r="D8" s="534"/>
      <c r="E8" s="534"/>
      <c r="F8" s="534"/>
      <c r="G8" s="534"/>
      <c r="H8" s="534"/>
      <c r="I8" s="534"/>
      <c r="J8" s="534"/>
      <c r="K8" s="534"/>
      <c r="L8" s="535"/>
      <c r="M8" s="536"/>
      <c r="N8" s="537"/>
      <c r="O8" s="538"/>
      <c r="P8" s="2434"/>
      <c r="R8" s="1231" t="s">
        <v>2300</v>
      </c>
      <c r="S8" s="1230">
        <v>1</v>
      </c>
      <c r="T8" s="698"/>
      <c r="U8" s="1233"/>
      <c r="V8" s="1233"/>
    </row>
    <row r="9" spans="2:170" ht="20.100000000000001" customHeight="1" x14ac:dyDescent="0.2">
      <c r="B9" s="316" t="s">
        <v>1970</v>
      </c>
      <c r="C9" s="321"/>
      <c r="D9" s="322"/>
      <c r="E9" s="322"/>
      <c r="F9" s="322"/>
      <c r="G9" s="322"/>
      <c r="H9" s="322"/>
      <c r="I9" s="322"/>
      <c r="J9" s="322"/>
      <c r="K9" s="322"/>
      <c r="L9" s="323"/>
      <c r="M9" s="315"/>
      <c r="N9" s="315"/>
      <c r="O9" s="320"/>
      <c r="P9" s="2434"/>
      <c r="R9" s="1233"/>
      <c r="S9" s="1234"/>
      <c r="T9" s="698"/>
      <c r="U9" s="1233"/>
      <c r="V9" s="1233"/>
    </row>
    <row r="10" spans="2:170" ht="20.100000000000001" customHeight="1" x14ac:dyDescent="0.2">
      <c r="B10" s="312" t="s">
        <v>1972</v>
      </c>
      <c r="C10" s="321"/>
      <c r="D10" s="322"/>
      <c r="E10" s="322"/>
      <c r="F10" s="322"/>
      <c r="G10" s="322"/>
      <c r="H10" s="322"/>
      <c r="I10" s="322"/>
      <c r="J10" s="322"/>
      <c r="K10" s="322"/>
      <c r="L10" s="323"/>
      <c r="M10" s="1353">
        <f>IF(S8=2,0.06,IF(S8=3,0.23,IF(S8=4,0.35,IF(S8=5,0.5,IF(S8=6,0.66,IF(S8=7,0.81,0))))))</f>
        <v>0</v>
      </c>
      <c r="N10" s="1355"/>
      <c r="O10" s="260"/>
      <c r="P10" s="2091"/>
      <c r="R10" s="1231" t="s">
        <v>2301</v>
      </c>
      <c r="S10" s="1227">
        <f>IF(O10&gt;0,M10*O10,M10)</f>
        <v>0</v>
      </c>
      <c r="T10" s="1233"/>
      <c r="U10" s="1233"/>
      <c r="V10" s="1233"/>
    </row>
    <row r="11" spans="2:170" ht="27" customHeight="1" x14ac:dyDescent="0.2">
      <c r="B11" s="459" t="s">
        <v>944</v>
      </c>
      <c r="C11" s="530"/>
      <c r="D11" s="530"/>
      <c r="E11" s="530"/>
      <c r="F11" s="530"/>
      <c r="G11" s="530"/>
      <c r="H11" s="530"/>
      <c r="I11" s="530"/>
      <c r="J11" s="530"/>
      <c r="K11" s="530"/>
      <c r="L11" s="530"/>
      <c r="M11" s="529"/>
      <c r="N11" s="529"/>
      <c r="O11" s="539"/>
      <c r="P11" s="1612">
        <f>IF(AND(S14&gt;0,S14&lt;0.01),0.01,ROUND(S14,2))</f>
        <v>0</v>
      </c>
      <c r="R11" s="1233"/>
      <c r="S11" s="1233"/>
      <c r="T11" s="1233"/>
      <c r="U11" s="1233"/>
      <c r="V11" s="1233"/>
    </row>
    <row r="12" spans="2:170" ht="20.100000000000001" customHeight="1" x14ac:dyDescent="0.2">
      <c r="B12" s="316" t="s">
        <v>1969</v>
      </c>
      <c r="C12" s="321"/>
      <c r="D12" s="322"/>
      <c r="E12" s="322"/>
      <c r="F12" s="322"/>
      <c r="G12" s="322"/>
      <c r="H12" s="322"/>
      <c r="I12" s="322"/>
      <c r="J12" s="322"/>
      <c r="K12" s="322"/>
      <c r="L12" s="323"/>
      <c r="M12" s="329"/>
      <c r="N12" s="326"/>
      <c r="O12" s="330"/>
      <c r="P12" s="1732"/>
      <c r="R12" s="1231" t="s">
        <v>2300</v>
      </c>
      <c r="S12" s="1230">
        <v>1</v>
      </c>
      <c r="T12" s="698"/>
      <c r="U12" s="1792" t="s">
        <v>2302</v>
      </c>
      <c r="V12" s="452">
        <f>IF(S12=3,0.06,IF(S12=4,0.11,IF(S12=5,0.2,IF(S12=6,0.29,IF(S12=7,0.38,0)))))</f>
        <v>0</v>
      </c>
    </row>
    <row r="13" spans="2:170" ht="20.100000000000001" customHeight="1" x14ac:dyDescent="0.2">
      <c r="B13" s="316" t="s">
        <v>1970</v>
      </c>
      <c r="C13" s="321"/>
      <c r="D13" s="322"/>
      <c r="E13" s="322"/>
      <c r="F13" s="322"/>
      <c r="G13" s="322"/>
      <c r="H13" s="322"/>
      <c r="I13" s="322"/>
      <c r="J13" s="322"/>
      <c r="K13" s="322"/>
      <c r="L13" s="323"/>
      <c r="M13" s="329"/>
      <c r="N13" s="326"/>
      <c r="O13" s="330"/>
      <c r="P13" s="1732"/>
      <c r="R13" s="1233"/>
      <c r="S13" s="1234"/>
      <c r="T13" s="698"/>
      <c r="U13" s="1792"/>
      <c r="V13" s="452">
        <f>IF(S12=8,0.5,IF(S12=9,0.63,IF(S12=10,0.75,IF(S12=11,0.9,0))))</f>
        <v>0</v>
      </c>
    </row>
    <row r="14" spans="2:170" ht="20.100000000000001" customHeight="1" x14ac:dyDescent="0.2">
      <c r="B14" s="316" t="s">
        <v>1972</v>
      </c>
      <c r="C14" s="321"/>
      <c r="D14" s="322"/>
      <c r="E14" s="322"/>
      <c r="F14" s="322"/>
      <c r="G14" s="322"/>
      <c r="H14" s="322"/>
      <c r="I14" s="322"/>
      <c r="J14" s="322"/>
      <c r="K14" s="322"/>
      <c r="L14" s="323"/>
      <c r="M14" s="271"/>
      <c r="N14" s="324"/>
      <c r="O14" s="325"/>
      <c r="P14" s="1732"/>
      <c r="R14" s="1231" t="s">
        <v>2301</v>
      </c>
      <c r="S14" s="1227">
        <f>IF(O15&gt;0,M15*O15,M15)</f>
        <v>0</v>
      </c>
      <c r="T14" s="1233"/>
      <c r="U14" s="1792"/>
      <c r="V14" s="479">
        <f>V12+V13</f>
        <v>0</v>
      </c>
    </row>
    <row r="15" spans="2:170" ht="20.100000000000001" customHeight="1" x14ac:dyDescent="0.2">
      <c r="B15" s="316" t="s">
        <v>945</v>
      </c>
      <c r="C15" s="321"/>
      <c r="D15" s="322"/>
      <c r="E15" s="322"/>
      <c r="F15" s="322"/>
      <c r="G15" s="322"/>
      <c r="H15" s="322"/>
      <c r="I15" s="322"/>
      <c r="J15" s="322"/>
      <c r="K15" s="322"/>
      <c r="L15" s="323"/>
      <c r="M15" s="1353">
        <f>V14</f>
        <v>0</v>
      </c>
      <c r="N15" s="1355"/>
      <c r="O15" s="260"/>
      <c r="P15" s="1733"/>
    </row>
    <row r="16" spans="2:170" ht="16.5" customHeight="1" x14ac:dyDescent="0.2">
      <c r="B16" s="1710" t="s">
        <v>2061</v>
      </c>
      <c r="C16" s="1638"/>
      <c r="D16" s="1638"/>
      <c r="E16" s="1638"/>
      <c r="F16" s="1638"/>
      <c r="G16" s="1638"/>
      <c r="H16" s="1638"/>
      <c r="I16" s="1638"/>
      <c r="J16" s="1638"/>
      <c r="K16" s="1638"/>
      <c r="L16" s="1638"/>
      <c r="M16" s="1638"/>
      <c r="N16" s="1638"/>
      <c r="O16" s="2438"/>
      <c r="P16" s="2440">
        <f>V18</f>
        <v>0</v>
      </c>
      <c r="S16" s="1222" t="s">
        <v>1304</v>
      </c>
      <c r="T16" s="1220" t="s">
        <v>1305</v>
      </c>
      <c r="U16" s="1221" t="s">
        <v>1306</v>
      </c>
      <c r="V16" s="1220" t="s">
        <v>1307</v>
      </c>
    </row>
    <row r="17" spans="2:22" ht="12.75" customHeight="1" x14ac:dyDescent="0.2">
      <c r="B17" s="1907"/>
      <c r="C17" s="1638"/>
      <c r="D17" s="1638"/>
      <c r="E17" s="1638"/>
      <c r="F17" s="1638"/>
      <c r="G17" s="1638"/>
      <c r="H17" s="1638"/>
      <c r="I17" s="1638"/>
      <c r="J17" s="1638"/>
      <c r="K17" s="1638"/>
      <c r="L17" s="1638"/>
      <c r="M17" s="1638"/>
      <c r="N17" s="1638"/>
      <c r="O17" s="2438"/>
      <c r="P17" s="2440"/>
      <c r="S17" s="479">
        <f>P4</f>
        <v>0</v>
      </c>
      <c r="T17" s="452">
        <f>LARGE($S$17:$S$19,1)</f>
        <v>0</v>
      </c>
      <c r="U17" s="495">
        <f>T17+T18*(1-T17)</f>
        <v>0</v>
      </c>
      <c r="V17" s="479">
        <f>ROUND(U17,2)</f>
        <v>0</v>
      </c>
    </row>
    <row r="18" spans="2:22" ht="14.25" customHeight="1" x14ac:dyDescent="0.2">
      <c r="B18" s="1907"/>
      <c r="C18" s="1638"/>
      <c r="D18" s="1638"/>
      <c r="E18" s="1638"/>
      <c r="F18" s="1638"/>
      <c r="G18" s="1638"/>
      <c r="H18" s="1638"/>
      <c r="I18" s="1638"/>
      <c r="J18" s="1691"/>
      <c r="K18" s="1691"/>
      <c r="L18" s="1691"/>
      <c r="M18" s="1691"/>
      <c r="N18" s="1691"/>
      <c r="O18" s="2439"/>
      <c r="P18" s="2440"/>
      <c r="S18" s="479">
        <f>P7</f>
        <v>0</v>
      </c>
      <c r="T18" s="452">
        <f>LARGE($S$17:$S$19,2)</f>
        <v>0</v>
      </c>
      <c r="U18" s="495">
        <f>V17+T19*(1-V17)</f>
        <v>0</v>
      </c>
      <c r="V18" s="479">
        <f>ROUND(U18,2)</f>
        <v>0</v>
      </c>
    </row>
    <row r="19" spans="2:22" ht="20.100000000000001" customHeight="1" x14ac:dyDescent="0.2">
      <c r="B19" s="1907"/>
      <c r="C19" s="1638"/>
      <c r="D19" s="1638"/>
      <c r="E19" s="1638"/>
      <c r="F19" s="1638"/>
      <c r="G19" s="1638"/>
      <c r="H19" s="1638"/>
      <c r="I19" s="1638"/>
      <c r="J19" s="2442" t="s">
        <v>946</v>
      </c>
      <c r="K19" s="2443"/>
      <c r="L19" s="2443"/>
      <c r="M19" s="2443"/>
      <c r="N19" s="2443"/>
      <c r="O19" s="2444"/>
      <c r="P19" s="2441"/>
      <c r="S19" s="479">
        <f>P11</f>
        <v>0</v>
      </c>
      <c r="T19" s="452">
        <f>LARGE($S$17:$S$19,3)</f>
        <v>0</v>
      </c>
    </row>
    <row r="20" spans="2:22" ht="30" customHeight="1" x14ac:dyDescent="0.25">
      <c r="B20" s="1682" t="s">
        <v>947</v>
      </c>
      <c r="C20" s="1682"/>
      <c r="D20" s="1682"/>
      <c r="E20" s="1682"/>
      <c r="F20" s="1682"/>
      <c r="G20" s="1682"/>
      <c r="H20" s="1682"/>
      <c r="I20" s="1682"/>
      <c r="J20" s="1682"/>
      <c r="K20" s="1682"/>
      <c r="L20" s="1682"/>
      <c r="M20" s="1682"/>
      <c r="N20" s="1682"/>
      <c r="O20" s="1682"/>
      <c r="P20" s="1682"/>
    </row>
    <row r="21" spans="2:22" ht="15" customHeight="1" x14ac:dyDescent="0.2">
      <c r="B21" s="302"/>
      <c r="C21" s="2028" t="str">
        <f>IF(U1&lt;&gt;"",U1,"")</f>
        <v>Go to PPD Worksheet</v>
      </c>
      <c r="D21" s="2028"/>
      <c r="E21" s="2028"/>
      <c r="F21" s="2028"/>
      <c r="G21" s="2028"/>
      <c r="H21" s="2028"/>
      <c r="I21" s="2267" t="str">
        <f>IF(T1&lt;&gt;"",T1,"")</f>
        <v/>
      </c>
      <c r="J21" s="2267"/>
      <c r="K21" s="2267"/>
      <c r="L21" s="2267"/>
      <c r="M21" s="2267"/>
      <c r="N21" s="2267"/>
    </row>
    <row r="24" spans="2:22" hidden="1" x14ac:dyDescent="0.2">
      <c r="B24" s="35">
        <v>0.01</v>
      </c>
      <c r="C24" s="35">
        <v>0.99</v>
      </c>
    </row>
  </sheetData>
  <sheetProtection sheet="1" objects="1" scenarios="1"/>
  <mergeCells count="22">
    <mergeCell ref="M15:N15"/>
    <mergeCell ref="P11:P15"/>
    <mergeCell ref="C21:H21"/>
    <mergeCell ref="I21:N21"/>
    <mergeCell ref="B20:P20"/>
    <mergeCell ref="B16:B19"/>
    <mergeCell ref="C16:I19"/>
    <mergeCell ref="J16:O18"/>
    <mergeCell ref="P16:P19"/>
    <mergeCell ref="J19:O19"/>
    <mergeCell ref="U12:U14"/>
    <mergeCell ref="E1:K1"/>
    <mergeCell ref="M1:P1"/>
    <mergeCell ref="B2:P2"/>
    <mergeCell ref="B3:P3"/>
    <mergeCell ref="M10:N10"/>
    <mergeCell ref="P4:P6"/>
    <mergeCell ref="M6:N6"/>
    <mergeCell ref="M4:O4"/>
    <mergeCell ref="M5:N5"/>
    <mergeCell ref="B7:L7"/>
    <mergeCell ref="P7:P10"/>
  </mergeCells>
  <phoneticPr fontId="0" type="noConversion"/>
  <dataValidations xWindow="618" yWindow="120" count="1">
    <dataValidation type="decimal" allowBlank="1" showInputMessage="1" showErrorMessage="1" promptTitle="Apportionment (if any)" prompt="Enter percentage of impairment caused by the injury or illness. See OAR 436-035-0013." sqref="O6 O10 O15" xr:uid="{00000000-0002-0000-1600-000000000000}">
      <formula1>$B$24</formula1>
      <formula2>$C$24</formula2>
    </dataValidation>
  </dataValidations>
  <hyperlinks>
    <hyperlink ref="I21:N21" location="'PPD DOI on or after 2005'!A1" display="'PPD DOI on or after 2005'!A1" xr:uid="{00000000-0004-0000-1600-000000000000}"/>
    <hyperlink ref="C21:H21" location="'PPD DOI before 2005'!A1" display="'PPD DOI before 2005'!A1" xr:uid="{00000000-0004-0000-1600-000001000000}"/>
  </hyperlinks>
  <pageMargins left="0.75" right="0.75" top="1" bottom="1" header="0.5" footer="0.5"/>
  <pageSetup orientation="portrait" horizontalDpi="300" verticalDpi="300" r:id="rId1"/>
  <headerFooter alignWithMargins="0"/>
  <drawing r:id="rId2"/>
  <legacyDrawing r:id="rId3"/>
  <oleObjects>
    <mc:AlternateContent xmlns:mc="http://schemas.openxmlformats.org/markup-compatibility/2006">
      <mc:Choice Requires="x14">
        <oleObject progId="Document" dvAspect="DVASPECT_ICON" shapeId="32800" r:id="rId4">
          <objectPr locked="0" defaultSize="0" autoPict="0" r:id="rId5">
            <anchor moveWithCells="1">
              <from>
                <xdr:col>2</xdr:col>
                <xdr:colOff>19050</xdr:colOff>
                <xdr:row>15</xdr:row>
                <xdr:rowOff>9525</xdr:rowOff>
              </from>
              <to>
                <xdr:col>6</xdr:col>
                <xdr:colOff>161925</xdr:colOff>
                <xdr:row>18</xdr:row>
                <xdr:rowOff>200025</xdr:rowOff>
              </to>
            </anchor>
          </objectPr>
        </oleObject>
      </mc:Choice>
      <mc:Fallback>
        <oleObject progId="Document" dvAspect="DVASPECT_ICON" shapeId="32800" r:id="rId4"/>
      </mc:Fallback>
    </mc:AlternateContent>
  </oleObjects>
  <mc:AlternateContent xmlns:mc="http://schemas.openxmlformats.org/markup-compatibility/2006">
    <mc:Choice Requires="x14">
      <controls>
        <mc:AlternateContent xmlns:mc="http://schemas.openxmlformats.org/markup-compatibility/2006">
          <mc:Choice Requires="x14">
            <control shapeId="32787" r:id="rId6" name="Option Button 19">
              <controlPr defaultSize="0" autoFill="0" autoLine="0" autoPict="0">
                <anchor moveWithCells="1" sizeWithCells="1">
                  <from>
                    <xdr:col>11</xdr:col>
                    <xdr:colOff>152400</xdr:colOff>
                    <xdr:row>10</xdr:row>
                    <xdr:rowOff>19050</xdr:rowOff>
                  </from>
                  <to>
                    <xdr:col>11</xdr:col>
                    <xdr:colOff>504825</xdr:colOff>
                    <xdr:row>10</xdr:row>
                    <xdr:rowOff>257175</xdr:rowOff>
                  </to>
                </anchor>
              </controlPr>
            </control>
          </mc:Choice>
        </mc:AlternateContent>
        <mc:AlternateContent xmlns:mc="http://schemas.openxmlformats.org/markup-compatibility/2006">
          <mc:Choice Requires="x14">
            <control shapeId="32789" r:id="rId7" name="Group Box 21">
              <controlPr defaultSize="0" autoFill="0" autoPict="0">
                <anchor moveWithCells="1" sizeWithCells="1">
                  <from>
                    <xdr:col>1</xdr:col>
                    <xdr:colOff>0</xdr:colOff>
                    <xdr:row>10</xdr:row>
                    <xdr:rowOff>0</xdr:rowOff>
                  </from>
                  <to>
                    <xdr:col>12</xdr:col>
                    <xdr:colOff>0</xdr:colOff>
                    <xdr:row>15</xdr:row>
                    <xdr:rowOff>0</xdr:rowOff>
                  </to>
                </anchor>
              </controlPr>
            </control>
          </mc:Choice>
        </mc:AlternateContent>
        <mc:AlternateContent xmlns:mc="http://schemas.openxmlformats.org/markup-compatibility/2006">
          <mc:Choice Requires="x14">
            <control shapeId="32790" r:id="rId8" name="Option Button 22">
              <controlPr defaultSize="0" autoFill="0" autoLine="0" autoPict="0">
                <anchor moveWithCells="1" sizeWithCells="1">
                  <from>
                    <xdr:col>2</xdr:col>
                    <xdr:colOff>38100</xdr:colOff>
                    <xdr:row>10</xdr:row>
                    <xdr:rowOff>304800</xdr:rowOff>
                  </from>
                  <to>
                    <xdr:col>5</xdr:col>
                    <xdr:colOff>66675</xdr:colOff>
                    <xdr:row>11</xdr:row>
                    <xdr:rowOff>200025</xdr:rowOff>
                  </to>
                </anchor>
              </controlPr>
            </control>
          </mc:Choice>
        </mc:AlternateContent>
        <mc:AlternateContent xmlns:mc="http://schemas.openxmlformats.org/markup-compatibility/2006">
          <mc:Choice Requires="x14">
            <control shapeId="32791" r:id="rId9" name="Option Button 23">
              <controlPr defaultSize="0" autoFill="0" autoLine="0" autoPict="0">
                <anchor moveWithCells="1" sizeWithCells="1">
                  <from>
                    <xdr:col>5</xdr:col>
                    <xdr:colOff>238125</xdr:colOff>
                    <xdr:row>10</xdr:row>
                    <xdr:rowOff>304800</xdr:rowOff>
                  </from>
                  <to>
                    <xdr:col>8</xdr:col>
                    <xdr:colOff>85725</xdr:colOff>
                    <xdr:row>11</xdr:row>
                    <xdr:rowOff>200025</xdr:rowOff>
                  </to>
                </anchor>
              </controlPr>
            </control>
          </mc:Choice>
        </mc:AlternateContent>
        <mc:AlternateContent xmlns:mc="http://schemas.openxmlformats.org/markup-compatibility/2006">
          <mc:Choice Requires="x14">
            <control shapeId="32792" r:id="rId10" name="Option Button 24">
              <controlPr defaultSize="0" autoFill="0" autoLine="0" autoPict="0">
                <anchor moveWithCells="1" sizeWithCells="1">
                  <from>
                    <xdr:col>9</xdr:col>
                    <xdr:colOff>9525</xdr:colOff>
                    <xdr:row>10</xdr:row>
                    <xdr:rowOff>304800</xdr:rowOff>
                  </from>
                  <to>
                    <xdr:col>11</xdr:col>
                    <xdr:colOff>228600</xdr:colOff>
                    <xdr:row>11</xdr:row>
                    <xdr:rowOff>200025</xdr:rowOff>
                  </to>
                </anchor>
              </controlPr>
            </control>
          </mc:Choice>
        </mc:AlternateContent>
        <mc:AlternateContent xmlns:mc="http://schemas.openxmlformats.org/markup-compatibility/2006">
          <mc:Choice Requires="x14">
            <control shapeId="32793" r:id="rId11" name="Option Button 25">
              <controlPr defaultSize="0" autoFill="0" autoLine="0" autoPict="0">
                <anchor moveWithCells="1" sizeWithCells="1">
                  <from>
                    <xdr:col>2</xdr:col>
                    <xdr:colOff>38100</xdr:colOff>
                    <xdr:row>11</xdr:row>
                    <xdr:rowOff>209550</xdr:rowOff>
                  </from>
                  <to>
                    <xdr:col>5</xdr:col>
                    <xdr:colOff>66675</xdr:colOff>
                    <xdr:row>12</xdr:row>
                    <xdr:rowOff>200025</xdr:rowOff>
                  </to>
                </anchor>
              </controlPr>
            </control>
          </mc:Choice>
        </mc:AlternateContent>
        <mc:AlternateContent xmlns:mc="http://schemas.openxmlformats.org/markup-compatibility/2006">
          <mc:Choice Requires="x14">
            <control shapeId="32794" r:id="rId12" name="Option Button 26">
              <controlPr defaultSize="0" autoFill="0" autoLine="0" autoPict="0">
                <anchor moveWithCells="1" sizeWithCells="1">
                  <from>
                    <xdr:col>5</xdr:col>
                    <xdr:colOff>238125</xdr:colOff>
                    <xdr:row>11</xdr:row>
                    <xdr:rowOff>209550</xdr:rowOff>
                  </from>
                  <to>
                    <xdr:col>8</xdr:col>
                    <xdr:colOff>85725</xdr:colOff>
                    <xdr:row>12</xdr:row>
                    <xdr:rowOff>200025</xdr:rowOff>
                  </to>
                </anchor>
              </controlPr>
            </control>
          </mc:Choice>
        </mc:AlternateContent>
        <mc:AlternateContent xmlns:mc="http://schemas.openxmlformats.org/markup-compatibility/2006">
          <mc:Choice Requires="x14">
            <control shapeId="32795" r:id="rId13" name="Option Button 27">
              <controlPr defaultSize="0" autoFill="0" autoLine="0" autoPict="0">
                <anchor moveWithCells="1" sizeWithCells="1">
                  <from>
                    <xdr:col>9</xdr:col>
                    <xdr:colOff>9525</xdr:colOff>
                    <xdr:row>11</xdr:row>
                    <xdr:rowOff>209550</xdr:rowOff>
                  </from>
                  <to>
                    <xdr:col>11</xdr:col>
                    <xdr:colOff>228600</xdr:colOff>
                    <xdr:row>12</xdr:row>
                    <xdr:rowOff>200025</xdr:rowOff>
                  </to>
                </anchor>
              </controlPr>
            </control>
          </mc:Choice>
        </mc:AlternateContent>
        <mc:AlternateContent xmlns:mc="http://schemas.openxmlformats.org/markup-compatibility/2006">
          <mc:Choice Requires="x14">
            <control shapeId="32796" r:id="rId14" name="Option Button 28">
              <controlPr defaultSize="0" autoFill="0" autoLine="0" autoPict="0">
                <anchor moveWithCells="1" sizeWithCells="1">
                  <from>
                    <xdr:col>2</xdr:col>
                    <xdr:colOff>38100</xdr:colOff>
                    <xdr:row>12</xdr:row>
                    <xdr:rowOff>228600</xdr:rowOff>
                  </from>
                  <to>
                    <xdr:col>5</xdr:col>
                    <xdr:colOff>66675</xdr:colOff>
                    <xdr:row>13</xdr:row>
                    <xdr:rowOff>219075</xdr:rowOff>
                  </to>
                </anchor>
              </controlPr>
            </control>
          </mc:Choice>
        </mc:AlternateContent>
        <mc:AlternateContent xmlns:mc="http://schemas.openxmlformats.org/markup-compatibility/2006">
          <mc:Choice Requires="x14">
            <control shapeId="32797" r:id="rId15" name="Option Button 29">
              <controlPr defaultSize="0" autoFill="0" autoLine="0" autoPict="0">
                <anchor moveWithCells="1" sizeWithCells="1">
                  <from>
                    <xdr:col>5</xdr:col>
                    <xdr:colOff>238125</xdr:colOff>
                    <xdr:row>12</xdr:row>
                    <xdr:rowOff>228600</xdr:rowOff>
                  </from>
                  <to>
                    <xdr:col>8</xdr:col>
                    <xdr:colOff>85725</xdr:colOff>
                    <xdr:row>13</xdr:row>
                    <xdr:rowOff>219075</xdr:rowOff>
                  </to>
                </anchor>
              </controlPr>
            </control>
          </mc:Choice>
        </mc:AlternateContent>
        <mc:AlternateContent xmlns:mc="http://schemas.openxmlformats.org/markup-compatibility/2006">
          <mc:Choice Requires="x14">
            <control shapeId="32798" r:id="rId16" name="Option Button 30">
              <controlPr defaultSize="0" autoFill="0" autoLine="0" autoPict="0">
                <anchor moveWithCells="1" sizeWithCells="1">
                  <from>
                    <xdr:col>9</xdr:col>
                    <xdr:colOff>9525</xdr:colOff>
                    <xdr:row>12</xdr:row>
                    <xdr:rowOff>228600</xdr:rowOff>
                  </from>
                  <to>
                    <xdr:col>11</xdr:col>
                    <xdr:colOff>228600</xdr:colOff>
                    <xdr:row>13</xdr:row>
                    <xdr:rowOff>219075</xdr:rowOff>
                  </to>
                </anchor>
              </controlPr>
            </control>
          </mc:Choice>
        </mc:AlternateContent>
        <mc:AlternateContent xmlns:mc="http://schemas.openxmlformats.org/markup-compatibility/2006">
          <mc:Choice Requires="x14">
            <control shapeId="32799" r:id="rId17" name="Option Button 31">
              <controlPr defaultSize="0" autoFill="0" autoLine="0" autoPict="0">
                <anchor moveWithCells="1" sizeWithCells="1">
                  <from>
                    <xdr:col>2</xdr:col>
                    <xdr:colOff>38100</xdr:colOff>
                    <xdr:row>14</xdr:row>
                    <xdr:rowOff>0</xdr:rowOff>
                  </from>
                  <to>
                    <xdr:col>8</xdr:col>
                    <xdr:colOff>9525</xdr:colOff>
                    <xdr:row>14</xdr:row>
                    <xdr:rowOff>238125</xdr:rowOff>
                  </to>
                </anchor>
              </controlPr>
            </control>
          </mc:Choice>
        </mc:AlternateContent>
        <mc:AlternateContent xmlns:mc="http://schemas.openxmlformats.org/markup-compatibility/2006">
          <mc:Choice Requires="x14">
            <control shapeId="32778" r:id="rId18" name="Option Button 10">
              <controlPr defaultSize="0" autoFill="0" autoLine="0" autoPict="0">
                <anchor moveWithCells="1" sizeWithCells="1">
                  <from>
                    <xdr:col>11</xdr:col>
                    <xdr:colOff>161925</xdr:colOff>
                    <xdr:row>6</xdr:row>
                    <xdr:rowOff>19050</xdr:rowOff>
                  </from>
                  <to>
                    <xdr:col>11</xdr:col>
                    <xdr:colOff>523875</xdr:colOff>
                    <xdr:row>6</xdr:row>
                    <xdr:rowOff>257175</xdr:rowOff>
                  </to>
                </anchor>
              </controlPr>
            </control>
          </mc:Choice>
        </mc:AlternateContent>
        <mc:AlternateContent xmlns:mc="http://schemas.openxmlformats.org/markup-compatibility/2006">
          <mc:Choice Requires="x14">
            <control shapeId="32780" r:id="rId19" name="Group Box 12">
              <controlPr defaultSize="0" autoFill="0" autoPict="0">
                <anchor moveWithCells="1" sizeWithCells="1">
                  <from>
                    <xdr:col>1</xdr:col>
                    <xdr:colOff>0</xdr:colOff>
                    <xdr:row>6</xdr:row>
                    <xdr:rowOff>0</xdr:rowOff>
                  </from>
                  <to>
                    <xdr:col>12</xdr:col>
                    <xdr:colOff>0</xdr:colOff>
                    <xdr:row>10</xdr:row>
                    <xdr:rowOff>0</xdr:rowOff>
                  </to>
                </anchor>
              </controlPr>
            </control>
          </mc:Choice>
        </mc:AlternateContent>
        <mc:AlternateContent xmlns:mc="http://schemas.openxmlformats.org/markup-compatibility/2006">
          <mc:Choice Requires="x14">
            <control shapeId="32781" r:id="rId20" name="Option Button 13">
              <controlPr defaultSize="0" autoFill="0" autoLine="0" autoPict="0">
                <anchor moveWithCells="1" sizeWithCells="1">
                  <from>
                    <xdr:col>2</xdr:col>
                    <xdr:colOff>38100</xdr:colOff>
                    <xdr:row>7</xdr:row>
                    <xdr:rowOff>219075</xdr:rowOff>
                  </from>
                  <to>
                    <xdr:col>5</xdr:col>
                    <xdr:colOff>66675</xdr:colOff>
                    <xdr:row>8</xdr:row>
                    <xdr:rowOff>209550</xdr:rowOff>
                  </to>
                </anchor>
              </controlPr>
            </control>
          </mc:Choice>
        </mc:AlternateContent>
        <mc:AlternateContent xmlns:mc="http://schemas.openxmlformats.org/markup-compatibility/2006">
          <mc:Choice Requires="x14">
            <control shapeId="32782" r:id="rId21" name="Option Button 14">
              <controlPr defaultSize="0" autoFill="0" autoLine="0" autoPict="0">
                <anchor moveWithCells="1" sizeWithCells="1">
                  <from>
                    <xdr:col>5</xdr:col>
                    <xdr:colOff>238125</xdr:colOff>
                    <xdr:row>7</xdr:row>
                    <xdr:rowOff>219075</xdr:rowOff>
                  </from>
                  <to>
                    <xdr:col>8</xdr:col>
                    <xdr:colOff>85725</xdr:colOff>
                    <xdr:row>8</xdr:row>
                    <xdr:rowOff>209550</xdr:rowOff>
                  </to>
                </anchor>
              </controlPr>
            </control>
          </mc:Choice>
        </mc:AlternateContent>
        <mc:AlternateContent xmlns:mc="http://schemas.openxmlformats.org/markup-compatibility/2006">
          <mc:Choice Requires="x14">
            <control shapeId="32783" r:id="rId22" name="Option Button 15">
              <controlPr defaultSize="0" autoFill="0" autoLine="0" autoPict="0">
                <anchor moveWithCells="1" sizeWithCells="1">
                  <from>
                    <xdr:col>9</xdr:col>
                    <xdr:colOff>9525</xdr:colOff>
                    <xdr:row>7</xdr:row>
                    <xdr:rowOff>219075</xdr:rowOff>
                  </from>
                  <to>
                    <xdr:col>11</xdr:col>
                    <xdr:colOff>228600</xdr:colOff>
                    <xdr:row>8</xdr:row>
                    <xdr:rowOff>209550</xdr:rowOff>
                  </to>
                </anchor>
              </controlPr>
            </control>
          </mc:Choice>
        </mc:AlternateContent>
        <mc:AlternateContent xmlns:mc="http://schemas.openxmlformats.org/markup-compatibility/2006">
          <mc:Choice Requires="x14">
            <control shapeId="32784" r:id="rId23" name="Option Button 16">
              <controlPr defaultSize="0" autoFill="0" autoLine="0" autoPict="0">
                <anchor moveWithCells="1" sizeWithCells="1">
                  <from>
                    <xdr:col>2</xdr:col>
                    <xdr:colOff>38100</xdr:colOff>
                    <xdr:row>8</xdr:row>
                    <xdr:rowOff>247650</xdr:rowOff>
                  </from>
                  <to>
                    <xdr:col>5</xdr:col>
                    <xdr:colOff>66675</xdr:colOff>
                    <xdr:row>9</xdr:row>
                    <xdr:rowOff>238125</xdr:rowOff>
                  </to>
                </anchor>
              </controlPr>
            </control>
          </mc:Choice>
        </mc:AlternateContent>
        <mc:AlternateContent xmlns:mc="http://schemas.openxmlformats.org/markup-compatibility/2006">
          <mc:Choice Requires="x14">
            <control shapeId="32785" r:id="rId24" name="Option Button 17">
              <controlPr defaultSize="0" autoFill="0" autoLine="0" autoPict="0">
                <anchor moveWithCells="1" sizeWithCells="1">
                  <from>
                    <xdr:col>5</xdr:col>
                    <xdr:colOff>238125</xdr:colOff>
                    <xdr:row>8</xdr:row>
                    <xdr:rowOff>247650</xdr:rowOff>
                  </from>
                  <to>
                    <xdr:col>8</xdr:col>
                    <xdr:colOff>85725</xdr:colOff>
                    <xdr:row>9</xdr:row>
                    <xdr:rowOff>238125</xdr:rowOff>
                  </to>
                </anchor>
              </controlPr>
            </control>
          </mc:Choice>
        </mc:AlternateContent>
        <mc:AlternateContent xmlns:mc="http://schemas.openxmlformats.org/markup-compatibility/2006">
          <mc:Choice Requires="x14">
            <control shapeId="32786" r:id="rId25" name="Option Button 18">
              <controlPr defaultSize="0" autoFill="0" autoLine="0" autoPict="0">
                <anchor moveWithCells="1" sizeWithCells="1">
                  <from>
                    <xdr:col>9</xdr:col>
                    <xdr:colOff>9525</xdr:colOff>
                    <xdr:row>8</xdr:row>
                    <xdr:rowOff>247650</xdr:rowOff>
                  </from>
                  <to>
                    <xdr:col>11</xdr:col>
                    <xdr:colOff>228600</xdr:colOff>
                    <xdr:row>9</xdr:row>
                    <xdr:rowOff>238125</xdr:rowOff>
                  </to>
                </anchor>
              </controlPr>
            </control>
          </mc:Choice>
        </mc:AlternateContent>
        <mc:AlternateContent xmlns:mc="http://schemas.openxmlformats.org/markup-compatibility/2006">
          <mc:Choice Requires="x14">
            <control shapeId="32801" r:id="rId26" name="Option Button 33">
              <controlPr defaultSize="0" autoFill="0" autoLine="0" autoPict="0">
                <anchor moveWithCells="1" sizeWithCells="1">
                  <from>
                    <xdr:col>2</xdr:col>
                    <xdr:colOff>38100</xdr:colOff>
                    <xdr:row>6</xdr:row>
                    <xdr:rowOff>304800</xdr:rowOff>
                  </from>
                  <to>
                    <xdr:col>9</xdr:col>
                    <xdr:colOff>47625</xdr:colOff>
                    <xdr:row>7</xdr:row>
                    <xdr:rowOff>200025</xdr:rowOff>
                  </to>
                </anchor>
              </controlPr>
            </control>
          </mc:Choice>
        </mc:AlternateContent>
        <mc:AlternateContent xmlns:mc="http://schemas.openxmlformats.org/markup-compatibility/2006">
          <mc:Choice Requires="x14">
            <control shapeId="32769" r:id="rId27" name="Option Button 1">
              <controlPr defaultSize="0" autoFill="0" autoLine="0" autoPict="0">
                <anchor moveWithCells="1" sizeWithCells="1">
                  <from>
                    <xdr:col>11</xdr:col>
                    <xdr:colOff>133350</xdr:colOff>
                    <xdr:row>3</xdr:row>
                    <xdr:rowOff>28575</xdr:rowOff>
                  </from>
                  <to>
                    <xdr:col>11</xdr:col>
                    <xdr:colOff>504825</xdr:colOff>
                    <xdr:row>3</xdr:row>
                    <xdr:rowOff>247650</xdr:rowOff>
                  </to>
                </anchor>
              </controlPr>
            </control>
          </mc:Choice>
        </mc:AlternateContent>
        <mc:AlternateContent xmlns:mc="http://schemas.openxmlformats.org/markup-compatibility/2006">
          <mc:Choice Requires="x14">
            <control shapeId="32771" r:id="rId28" name="Group Box 3">
              <controlPr defaultSize="0" autoFill="0" autoPict="0">
                <anchor moveWithCells="1" sizeWithCells="1">
                  <from>
                    <xdr:col>1</xdr:col>
                    <xdr:colOff>0</xdr:colOff>
                    <xdr:row>3</xdr:row>
                    <xdr:rowOff>0</xdr:rowOff>
                  </from>
                  <to>
                    <xdr:col>12</xdr:col>
                    <xdr:colOff>0</xdr:colOff>
                    <xdr:row>6</xdr:row>
                    <xdr:rowOff>0</xdr:rowOff>
                  </to>
                </anchor>
              </controlPr>
            </control>
          </mc:Choice>
        </mc:AlternateContent>
        <mc:AlternateContent xmlns:mc="http://schemas.openxmlformats.org/markup-compatibility/2006">
          <mc:Choice Requires="x14">
            <control shapeId="32772" r:id="rId29" name="Option Button 4">
              <controlPr defaultSize="0" autoFill="0" autoLine="0" autoPict="0">
                <anchor moveWithCells="1" sizeWithCells="1">
                  <from>
                    <xdr:col>2</xdr:col>
                    <xdr:colOff>38100</xdr:colOff>
                    <xdr:row>4</xdr:row>
                    <xdr:rowOff>19050</xdr:rowOff>
                  </from>
                  <to>
                    <xdr:col>5</xdr:col>
                    <xdr:colOff>66675</xdr:colOff>
                    <xdr:row>4</xdr:row>
                    <xdr:rowOff>238125</xdr:rowOff>
                  </to>
                </anchor>
              </controlPr>
            </control>
          </mc:Choice>
        </mc:AlternateContent>
        <mc:AlternateContent xmlns:mc="http://schemas.openxmlformats.org/markup-compatibility/2006">
          <mc:Choice Requires="x14">
            <control shapeId="32773" r:id="rId30" name="Option Button 5">
              <controlPr defaultSize="0" autoFill="0" autoLine="0" autoPict="0">
                <anchor moveWithCells="1" sizeWithCells="1">
                  <from>
                    <xdr:col>5</xdr:col>
                    <xdr:colOff>238125</xdr:colOff>
                    <xdr:row>4</xdr:row>
                    <xdr:rowOff>19050</xdr:rowOff>
                  </from>
                  <to>
                    <xdr:col>8</xdr:col>
                    <xdr:colOff>76200</xdr:colOff>
                    <xdr:row>4</xdr:row>
                    <xdr:rowOff>238125</xdr:rowOff>
                  </to>
                </anchor>
              </controlPr>
            </control>
          </mc:Choice>
        </mc:AlternateContent>
        <mc:AlternateContent xmlns:mc="http://schemas.openxmlformats.org/markup-compatibility/2006">
          <mc:Choice Requires="x14">
            <control shapeId="32774" r:id="rId31" name="Option Button 6">
              <controlPr defaultSize="0" autoFill="0" autoLine="0" autoPict="0">
                <anchor moveWithCells="1" sizeWithCells="1">
                  <from>
                    <xdr:col>9</xdr:col>
                    <xdr:colOff>0</xdr:colOff>
                    <xdr:row>4</xdr:row>
                    <xdr:rowOff>19050</xdr:rowOff>
                  </from>
                  <to>
                    <xdr:col>11</xdr:col>
                    <xdr:colOff>219075</xdr:colOff>
                    <xdr:row>4</xdr:row>
                    <xdr:rowOff>238125</xdr:rowOff>
                  </to>
                </anchor>
              </controlPr>
            </control>
          </mc:Choice>
        </mc:AlternateContent>
        <mc:AlternateContent xmlns:mc="http://schemas.openxmlformats.org/markup-compatibility/2006">
          <mc:Choice Requires="x14">
            <control shapeId="32775" r:id="rId32" name="Option Button 7">
              <controlPr defaultSize="0" autoFill="0" autoLine="0" autoPict="0">
                <anchor moveWithCells="1" sizeWithCells="1">
                  <from>
                    <xdr:col>2</xdr:col>
                    <xdr:colOff>38100</xdr:colOff>
                    <xdr:row>5</xdr:row>
                    <xdr:rowOff>19050</xdr:rowOff>
                  </from>
                  <to>
                    <xdr:col>5</xdr:col>
                    <xdr:colOff>66675</xdr:colOff>
                    <xdr:row>5</xdr:row>
                    <xdr:rowOff>238125</xdr:rowOff>
                  </to>
                </anchor>
              </controlPr>
            </control>
          </mc:Choice>
        </mc:AlternateContent>
        <mc:AlternateContent xmlns:mc="http://schemas.openxmlformats.org/markup-compatibility/2006">
          <mc:Choice Requires="x14">
            <control shapeId="32776" r:id="rId33" name="Option Button 8">
              <controlPr defaultSize="0" autoFill="0" autoLine="0" autoPict="0">
                <anchor moveWithCells="1" sizeWithCells="1">
                  <from>
                    <xdr:col>5</xdr:col>
                    <xdr:colOff>238125</xdr:colOff>
                    <xdr:row>5</xdr:row>
                    <xdr:rowOff>19050</xdr:rowOff>
                  </from>
                  <to>
                    <xdr:col>8</xdr:col>
                    <xdr:colOff>76200</xdr:colOff>
                    <xdr:row>5</xdr:row>
                    <xdr:rowOff>238125</xdr:rowOff>
                  </to>
                </anchor>
              </controlPr>
            </control>
          </mc:Choice>
        </mc:AlternateContent>
        <mc:AlternateContent xmlns:mc="http://schemas.openxmlformats.org/markup-compatibility/2006">
          <mc:Choice Requires="x14">
            <control shapeId="32777" r:id="rId34" name="Option Button 9">
              <controlPr defaultSize="0" autoFill="0" autoLine="0" autoPict="0">
                <anchor moveWithCells="1" sizeWithCells="1">
                  <from>
                    <xdr:col>9</xdr:col>
                    <xdr:colOff>0</xdr:colOff>
                    <xdr:row>5</xdr:row>
                    <xdr:rowOff>19050</xdr:rowOff>
                  </from>
                  <to>
                    <xdr:col>11</xdr:col>
                    <xdr:colOff>219075</xdr:colOff>
                    <xdr:row>5</xdr:row>
                    <xdr:rowOff>238125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FN26"/>
  <sheetViews>
    <sheetView showGridLines="0" zoomScale="120" zoomScaleNormal="120" workbookViewId="0">
      <selection activeCell="B1" sqref="B1"/>
    </sheetView>
  </sheetViews>
  <sheetFormatPr defaultColWidth="2.28515625" defaultRowHeight="12.75" x14ac:dyDescent="0.2"/>
  <cols>
    <col min="1" max="1" width="1.42578125" style="35" customWidth="1"/>
    <col min="2" max="2" width="18" style="35" customWidth="1"/>
    <col min="3" max="3" width="2.5703125" style="35" customWidth="1"/>
    <col min="4" max="4" width="2.28515625" style="35" customWidth="1"/>
    <col min="5" max="13" width="3.85546875" style="35" customWidth="1"/>
    <col min="14" max="14" width="4.85546875" style="35" customWidth="1"/>
    <col min="15" max="15" width="14.85546875" style="35" customWidth="1"/>
    <col min="16" max="16" width="9.5703125" style="35" customWidth="1"/>
    <col min="17" max="17" width="1.28515625" style="35" customWidth="1"/>
    <col min="18" max="18" width="18.5703125" style="35" hidden="1" customWidth="1"/>
    <col min="19" max="19" width="9" style="35" hidden="1" customWidth="1"/>
    <col min="20" max="20" width="11" style="35" hidden="1" customWidth="1"/>
    <col min="21" max="21" width="10.140625" style="35" hidden="1" customWidth="1"/>
    <col min="22" max="22" width="8.42578125" style="35" hidden="1" customWidth="1"/>
    <col min="23" max="23" width="8.7109375" style="35" hidden="1" customWidth="1"/>
    <col min="24" max="24" width="8.140625" style="35" hidden="1" customWidth="1"/>
    <col min="25" max="130" width="2.28515625" style="35" hidden="1" customWidth="1"/>
    <col min="131" max="255" width="2.28515625" style="35" customWidth="1"/>
    <col min="256" max="16384" width="2.28515625" style="35"/>
  </cols>
  <sheetData>
    <row r="1" spans="2:170" ht="15" customHeight="1" x14ac:dyDescent="0.2">
      <c r="B1" s="14" t="s">
        <v>1733</v>
      </c>
      <c r="E1" s="1347" t="str">
        <f>IF('Start here'!A6="","",'Start here'!A6)</f>
        <v/>
      </c>
      <c r="F1" s="1351"/>
      <c r="G1" s="1351"/>
      <c r="H1" s="1351"/>
      <c r="I1" s="1351"/>
      <c r="J1" s="1351"/>
      <c r="K1" s="1352"/>
      <c r="M1" s="1347" t="str">
        <f>IF('Start here'!A7="","",'Start here'!A7)</f>
        <v/>
      </c>
      <c r="N1" s="1351"/>
      <c r="O1" s="1351"/>
      <c r="P1" s="1352"/>
      <c r="R1" s="694">
        <v>38353</v>
      </c>
      <c r="S1" s="196">
        <f>'Start here'!A8</f>
        <v>0</v>
      </c>
      <c r="T1" s="1226" t="str">
        <f>IF(S1&gt;=R1,"Go to PPD Worksheet","")</f>
        <v/>
      </c>
      <c r="U1" s="1226"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170" x14ac:dyDescent="0.2">
      <c r="B2" s="1395"/>
      <c r="C2" s="1395"/>
      <c r="D2" s="1395"/>
      <c r="E2" s="1395"/>
      <c r="F2" s="1395"/>
      <c r="G2" s="1395"/>
      <c r="H2" s="1395"/>
      <c r="I2" s="1395"/>
      <c r="J2" s="1395"/>
      <c r="K2" s="1395"/>
      <c r="L2" s="1395"/>
      <c r="M2" s="1395"/>
      <c r="N2" s="1395"/>
      <c r="O2" s="1395"/>
      <c r="P2" s="1395"/>
    </row>
    <row r="3" spans="2:170" ht="24" customHeight="1" x14ac:dyDescent="0.3">
      <c r="B3" s="1529" t="s">
        <v>1331</v>
      </c>
      <c r="C3" s="1529"/>
      <c r="D3" s="1529"/>
      <c r="E3" s="1529"/>
      <c r="F3" s="1529"/>
      <c r="G3" s="1529"/>
      <c r="H3" s="1529"/>
      <c r="I3" s="1529"/>
      <c r="J3" s="1529"/>
      <c r="K3" s="1529"/>
      <c r="L3" s="1529"/>
      <c r="M3" s="1529"/>
      <c r="N3" s="1529"/>
      <c r="O3" s="1529"/>
      <c r="P3" s="1529"/>
    </row>
    <row r="4" spans="2:170" ht="21" customHeight="1" x14ac:dyDescent="0.2">
      <c r="B4" s="523" t="s">
        <v>123</v>
      </c>
      <c r="C4" s="2455"/>
      <c r="D4" s="2456"/>
      <c r="E4" s="1379" t="s">
        <v>1282</v>
      </c>
      <c r="F4" s="1379"/>
      <c r="G4" s="1379"/>
      <c r="H4" s="1379"/>
      <c r="I4" s="1379"/>
      <c r="J4" s="1379"/>
      <c r="K4" s="1379"/>
      <c r="L4" s="1379"/>
      <c r="M4" s="1379"/>
      <c r="N4" s="1379"/>
      <c r="O4" s="1379"/>
      <c r="P4" s="1612">
        <f>IF(S5=3,0.3,IF(S5=4,0.7,IF(S5=5,0.85,0)))</f>
        <v>0</v>
      </c>
    </row>
    <row r="5" spans="2:170" ht="45.75" customHeight="1" x14ac:dyDescent="0.2">
      <c r="B5" s="525"/>
      <c r="C5" s="2457"/>
      <c r="D5" s="2458"/>
      <c r="E5" s="1374" t="s">
        <v>2063</v>
      </c>
      <c r="F5" s="1375"/>
      <c r="G5" s="1375"/>
      <c r="H5" s="1375"/>
      <c r="I5" s="1375"/>
      <c r="J5" s="1375"/>
      <c r="K5" s="1375"/>
      <c r="L5" s="1375"/>
      <c r="M5" s="1375"/>
      <c r="N5" s="1375"/>
      <c r="O5" s="1376"/>
      <c r="P5" s="1732"/>
      <c r="R5" s="1231" t="s">
        <v>2300</v>
      </c>
      <c r="S5" s="1230">
        <v>1</v>
      </c>
    </row>
    <row r="6" spans="2:170" ht="40.5" customHeight="1" x14ac:dyDescent="0.2">
      <c r="B6" s="525"/>
      <c r="C6" s="2457"/>
      <c r="D6" s="2458"/>
      <c r="E6" s="1374" t="s">
        <v>2062</v>
      </c>
      <c r="F6" s="1375"/>
      <c r="G6" s="1375"/>
      <c r="H6" s="1375"/>
      <c r="I6" s="1375"/>
      <c r="J6" s="1375"/>
      <c r="K6" s="1375"/>
      <c r="L6" s="1375"/>
      <c r="M6" s="1375"/>
      <c r="N6" s="1375"/>
      <c r="O6" s="1376"/>
      <c r="P6" s="1732"/>
    </row>
    <row r="7" spans="2:170" ht="65.25" customHeight="1" x14ac:dyDescent="0.2">
      <c r="B7" s="525"/>
      <c r="C7" s="2457"/>
      <c r="D7" s="2458"/>
      <c r="E7" s="1374" t="s">
        <v>2065</v>
      </c>
      <c r="F7" s="1375"/>
      <c r="G7" s="1375"/>
      <c r="H7" s="1375"/>
      <c r="I7" s="1375"/>
      <c r="J7" s="1375"/>
      <c r="K7" s="1375"/>
      <c r="L7" s="1375"/>
      <c r="M7" s="1375"/>
      <c r="N7" s="1375"/>
      <c r="O7" s="1376"/>
      <c r="P7" s="1732"/>
    </row>
    <row r="8" spans="2:170" ht="66" customHeight="1" x14ac:dyDescent="0.2">
      <c r="B8" s="528"/>
      <c r="C8" s="2459"/>
      <c r="D8" s="2460"/>
      <c r="E8" s="1374" t="s">
        <v>2064</v>
      </c>
      <c r="F8" s="1375"/>
      <c r="G8" s="1375"/>
      <c r="H8" s="1375"/>
      <c r="I8" s="1375"/>
      <c r="J8" s="1375"/>
      <c r="K8" s="1375"/>
      <c r="L8" s="1375"/>
      <c r="M8" s="1375"/>
      <c r="N8" s="1375"/>
      <c r="O8" s="1376"/>
      <c r="P8" s="1733"/>
    </row>
    <row r="9" spans="2:170" ht="21" customHeight="1" x14ac:dyDescent="0.2">
      <c r="B9" s="2445" t="s">
        <v>1</v>
      </c>
      <c r="C9" s="2447"/>
      <c r="D9" s="2448"/>
      <c r="E9" s="1374" t="s">
        <v>1282</v>
      </c>
      <c r="F9" s="1375"/>
      <c r="G9" s="1375"/>
      <c r="H9" s="1375"/>
      <c r="I9" s="1375"/>
      <c r="J9" s="1375"/>
      <c r="K9" s="1375"/>
      <c r="L9" s="1375"/>
      <c r="M9" s="1375"/>
      <c r="N9" s="1375"/>
      <c r="O9" s="1376"/>
      <c r="P9" s="1612">
        <f>IF(S9=2,0.05,IF(S9=3,0.2,IF(S9=4,0.4,IF(S9=5,0.73,0))))</f>
        <v>0</v>
      </c>
      <c r="R9" s="1231" t="s">
        <v>2300</v>
      </c>
      <c r="S9" s="1230">
        <v>1</v>
      </c>
    </row>
    <row r="10" spans="2:170" ht="44.1" customHeight="1" x14ac:dyDescent="0.2">
      <c r="B10" s="2446"/>
      <c r="C10" s="2449"/>
      <c r="D10" s="2450"/>
      <c r="E10" s="1379" t="s">
        <v>2066</v>
      </c>
      <c r="F10" s="1379"/>
      <c r="G10" s="1379"/>
      <c r="H10" s="1379"/>
      <c r="I10" s="1379"/>
      <c r="J10" s="1379"/>
      <c r="K10" s="1379"/>
      <c r="L10" s="1379"/>
      <c r="M10" s="1379"/>
      <c r="N10" s="1379"/>
      <c r="O10" s="1379"/>
      <c r="P10" s="1732"/>
      <c r="R10" s="1246"/>
      <c r="S10" s="1233"/>
    </row>
    <row r="11" spans="2:170" ht="44.1" customHeight="1" x14ac:dyDescent="0.2">
      <c r="B11" s="540"/>
      <c r="C11" s="2449"/>
      <c r="D11" s="2450"/>
      <c r="E11" s="1379" t="s">
        <v>2067</v>
      </c>
      <c r="F11" s="1379"/>
      <c r="G11" s="1379"/>
      <c r="H11" s="1379"/>
      <c r="I11" s="1379"/>
      <c r="J11" s="1379"/>
      <c r="K11" s="1379"/>
      <c r="L11" s="1379"/>
      <c r="M11" s="1379"/>
      <c r="N11" s="1379"/>
      <c r="O11" s="1379"/>
      <c r="P11" s="1732"/>
    </row>
    <row r="12" spans="2:170" ht="44.1" customHeight="1" x14ac:dyDescent="0.2">
      <c r="B12" s="540"/>
      <c r="C12" s="2449"/>
      <c r="D12" s="2450"/>
      <c r="E12" s="1379" t="s">
        <v>2068</v>
      </c>
      <c r="F12" s="1379"/>
      <c r="G12" s="1379"/>
      <c r="H12" s="1379"/>
      <c r="I12" s="1379"/>
      <c r="J12" s="1379"/>
      <c r="K12" s="1379"/>
      <c r="L12" s="1379"/>
      <c r="M12" s="1379"/>
      <c r="N12" s="1379"/>
      <c r="O12" s="1379"/>
      <c r="P12" s="1732"/>
    </row>
    <row r="13" spans="2:170" ht="44.1" customHeight="1" x14ac:dyDescent="0.2">
      <c r="B13" s="541"/>
      <c r="C13" s="2451"/>
      <c r="D13" s="2452"/>
      <c r="E13" s="1379" t="s">
        <v>2069</v>
      </c>
      <c r="F13" s="1379"/>
      <c r="G13" s="1379"/>
      <c r="H13" s="1379"/>
      <c r="I13" s="1379"/>
      <c r="J13" s="1379"/>
      <c r="K13" s="1379"/>
      <c r="L13" s="1379"/>
      <c r="M13" s="1379"/>
      <c r="N13" s="1379"/>
      <c r="O13" s="1379"/>
      <c r="P13" s="1733"/>
    </row>
    <row r="14" spans="2:170" ht="24" customHeight="1" x14ac:dyDescent="0.2">
      <c r="B14" s="523" t="s">
        <v>125</v>
      </c>
      <c r="C14" s="2454"/>
      <c r="D14" s="2454"/>
      <c r="E14" s="1379" t="s">
        <v>1282</v>
      </c>
      <c r="F14" s="1379"/>
      <c r="G14" s="1379"/>
      <c r="H14" s="1379"/>
      <c r="I14" s="1379"/>
      <c r="J14" s="1379"/>
      <c r="K14" s="1379"/>
      <c r="L14" s="1379"/>
      <c r="M14" s="1379"/>
      <c r="N14" s="1379"/>
      <c r="O14" s="1379"/>
      <c r="P14" s="1612">
        <f>IF(S14=2,0.05,0)</f>
        <v>0</v>
      </c>
      <c r="R14" s="1231" t="s">
        <v>2300</v>
      </c>
      <c r="S14" s="1230">
        <v>1</v>
      </c>
    </row>
    <row r="15" spans="2:170" ht="82.5" customHeight="1" x14ac:dyDescent="0.2">
      <c r="B15" s="528"/>
      <c r="C15" s="2454"/>
      <c r="D15" s="2454"/>
      <c r="E15" s="1374" t="s">
        <v>1592</v>
      </c>
      <c r="F15" s="1375"/>
      <c r="G15" s="1375"/>
      <c r="H15" s="1375"/>
      <c r="I15" s="1375"/>
      <c r="J15" s="1375"/>
      <c r="K15" s="1375"/>
      <c r="L15" s="1375"/>
      <c r="M15" s="1375"/>
      <c r="N15" s="1375"/>
      <c r="O15" s="1376"/>
      <c r="P15" s="1733"/>
      <c r="R15" s="1246"/>
      <c r="S15" s="1233"/>
    </row>
    <row r="16" spans="2:170" ht="19.5" customHeight="1" x14ac:dyDescent="0.2">
      <c r="B16" s="3"/>
      <c r="C16" s="2453"/>
      <c r="D16" s="2453"/>
      <c r="E16" s="2453"/>
      <c r="F16" s="2453"/>
      <c r="G16" s="2453"/>
      <c r="H16" s="2453"/>
      <c r="I16" s="2453"/>
      <c r="J16" s="2453"/>
      <c r="K16" s="2453"/>
      <c r="L16" s="2453"/>
      <c r="M16" s="2453"/>
      <c r="N16" s="2453"/>
      <c r="O16" s="2453"/>
      <c r="P16" s="3"/>
    </row>
    <row r="17" spans="2:23" ht="19.5" customHeight="1" x14ac:dyDescent="0.2">
      <c r="B17" s="3"/>
      <c r="C17" s="223"/>
      <c r="D17" s="223"/>
      <c r="E17" s="223"/>
      <c r="F17" s="223"/>
      <c r="G17" s="223"/>
      <c r="H17" s="223"/>
      <c r="I17" s="223"/>
      <c r="J17" s="223"/>
      <c r="K17" s="223"/>
      <c r="L17" s="223"/>
      <c r="M17" s="223"/>
      <c r="N17" s="223"/>
      <c r="O17" s="223"/>
      <c r="P17" s="3"/>
    </row>
    <row r="18" spans="2:23" ht="30" customHeight="1" x14ac:dyDescent="0.2">
      <c r="B18" s="1632" t="s">
        <v>1818</v>
      </c>
      <c r="C18" s="1633"/>
      <c r="D18" s="1633"/>
      <c r="E18" s="1633"/>
      <c r="F18" s="1633"/>
      <c r="G18" s="1633"/>
      <c r="H18" s="1633"/>
      <c r="I18" s="1633"/>
      <c r="J18" s="1633"/>
      <c r="K18" s="1633"/>
      <c r="L18" s="1633"/>
      <c r="M18" s="1633"/>
      <c r="N18" s="1634"/>
      <c r="O18" s="215" t="s">
        <v>1525</v>
      </c>
      <c r="P18" s="392" t="s">
        <v>1304</v>
      </c>
      <c r="R18" s="1026" t="s">
        <v>2298</v>
      </c>
      <c r="T18" s="1231" t="s">
        <v>1304</v>
      </c>
      <c r="U18" s="1228" t="s">
        <v>1305</v>
      </c>
      <c r="V18" s="1232" t="s">
        <v>1306</v>
      </c>
      <c r="W18" s="1228" t="s">
        <v>1307</v>
      </c>
    </row>
    <row r="19" spans="2:23" ht="19.5" customHeight="1" x14ac:dyDescent="0.2">
      <c r="B19" s="2428" t="s">
        <v>123</v>
      </c>
      <c r="C19" s="2428"/>
      <c r="D19" s="2428"/>
      <c r="E19" s="2428"/>
      <c r="F19" s="2428"/>
      <c r="G19" s="2428"/>
      <c r="H19" s="2428"/>
      <c r="I19" s="2428"/>
      <c r="J19" s="2428"/>
      <c r="K19" s="2428"/>
      <c r="L19" s="1545">
        <f>P4</f>
        <v>0</v>
      </c>
      <c r="M19" s="1545"/>
      <c r="N19" s="1545"/>
      <c r="O19" s="266"/>
      <c r="P19" s="303">
        <f>IF(AND(R19&gt;0,R19&lt;0.01),0.01,ROUND(R19,2))</f>
        <v>0</v>
      </c>
      <c r="R19" s="690">
        <f>IF(O19&gt;0,L19*O19,L19)</f>
        <v>0</v>
      </c>
      <c r="S19" s="524"/>
      <c r="T19" s="479">
        <f>P19</f>
        <v>0</v>
      </c>
      <c r="U19" s="452">
        <f>LARGE($T$19:$T$21,1)</f>
        <v>0</v>
      </c>
      <c r="V19" s="495">
        <f>U19+U20*(1-U19)</f>
        <v>0</v>
      </c>
      <c r="W19" s="479">
        <f>ROUND(V19,2)</f>
        <v>0</v>
      </c>
    </row>
    <row r="20" spans="2:23" ht="19.5" customHeight="1" x14ac:dyDescent="0.2">
      <c r="B20" s="2429" t="s">
        <v>124</v>
      </c>
      <c r="C20" s="2429"/>
      <c r="D20" s="2429"/>
      <c r="E20" s="2429"/>
      <c r="F20" s="2429"/>
      <c r="G20" s="2429"/>
      <c r="H20" s="2429"/>
      <c r="I20" s="2429"/>
      <c r="J20" s="2429"/>
      <c r="K20" s="2429"/>
      <c r="L20" s="1545">
        <f>P9</f>
        <v>0</v>
      </c>
      <c r="M20" s="1545"/>
      <c r="N20" s="1545"/>
      <c r="O20" s="266"/>
      <c r="P20" s="303">
        <f>IF(AND(R20&gt;0,R20&lt;0.01),0.01,ROUND(R20,2))</f>
        <v>0</v>
      </c>
      <c r="R20" s="690">
        <f>IF(O20&gt;0,L20*O20,L20)</f>
        <v>0</v>
      </c>
      <c r="S20" s="524"/>
      <c r="T20" s="479">
        <f>P20</f>
        <v>0</v>
      </c>
      <c r="U20" s="452">
        <f>LARGE($T$19:$T$21,2)</f>
        <v>0</v>
      </c>
      <c r="V20" s="495">
        <f>W19+U21*(1-W19)</f>
        <v>0</v>
      </c>
      <c r="W20" s="1245">
        <f>ROUND(V20,2)</f>
        <v>0</v>
      </c>
    </row>
    <row r="21" spans="2:23" ht="19.5" customHeight="1" x14ac:dyDescent="0.2">
      <c r="B21" s="2335" t="s">
        <v>125</v>
      </c>
      <c r="C21" s="2414"/>
      <c r="D21" s="2414"/>
      <c r="E21" s="2414"/>
      <c r="F21" s="2414"/>
      <c r="G21" s="2414"/>
      <c r="H21" s="2414"/>
      <c r="I21" s="2414"/>
      <c r="J21" s="2414"/>
      <c r="K21" s="2336"/>
      <c r="L21" s="1545">
        <f>P14</f>
        <v>0</v>
      </c>
      <c r="M21" s="1545"/>
      <c r="N21" s="1545"/>
      <c r="O21" s="266"/>
      <c r="P21" s="303">
        <f>IF(AND(R21&gt;0,R21&lt;0.01),0.01,ROUND(R21,2))</f>
        <v>0</v>
      </c>
      <c r="R21" s="690">
        <f>IF(O21&gt;0,L21*O21,L21)</f>
        <v>0</v>
      </c>
      <c r="S21" s="524"/>
      <c r="T21" s="479">
        <f>P21</f>
        <v>0</v>
      </c>
      <c r="U21" s="452">
        <f>LARGE($T$19:$T$21,3)</f>
        <v>0</v>
      </c>
    </row>
    <row r="22" spans="2:23" ht="21" customHeight="1" x14ac:dyDescent="0.2">
      <c r="B22" s="2175" t="s">
        <v>126</v>
      </c>
      <c r="C22" s="2176"/>
      <c r="D22" s="2176"/>
      <c r="E22" s="2176"/>
      <c r="F22" s="2176"/>
      <c r="G22" s="2176"/>
      <c r="H22" s="2176"/>
      <c r="I22" s="2176"/>
      <c r="J22" s="2176"/>
      <c r="K22" s="2176"/>
      <c r="L22" s="2176"/>
      <c r="M22" s="2176"/>
      <c r="N22" s="2176"/>
      <c r="O22" s="2177"/>
      <c r="P22" s="305">
        <f>W20</f>
        <v>0</v>
      </c>
    </row>
    <row r="23" spans="2:23" ht="30" customHeight="1" x14ac:dyDescent="0.25">
      <c r="B23" s="1682" t="s">
        <v>947</v>
      </c>
      <c r="C23" s="1682"/>
      <c r="D23" s="1682"/>
      <c r="E23" s="1682"/>
      <c r="F23" s="1682"/>
      <c r="G23" s="1682"/>
      <c r="H23" s="1682"/>
      <c r="I23" s="1682"/>
      <c r="J23" s="1682"/>
      <c r="K23" s="1682"/>
      <c r="L23" s="1682"/>
      <c r="M23" s="1682"/>
      <c r="N23" s="1682"/>
      <c r="O23" s="1682"/>
      <c r="P23" s="1682"/>
    </row>
    <row r="24" spans="2:23" x14ac:dyDescent="0.2">
      <c r="B24" s="302" t="s">
        <v>790</v>
      </c>
      <c r="C24" s="2028" t="str">
        <f>IF(U1&lt;&gt;"",U1,"")</f>
        <v>Go to PPD Worksheet</v>
      </c>
      <c r="D24" s="2028"/>
      <c r="E24" s="2028"/>
      <c r="F24" s="2028"/>
      <c r="G24" s="2028"/>
      <c r="H24" s="2028"/>
      <c r="I24" s="2267" t="str">
        <f>IF(T1&lt;&gt;"",T1,"")</f>
        <v/>
      </c>
      <c r="J24" s="2267"/>
      <c r="K24" s="2267"/>
      <c r="L24" s="2267"/>
      <c r="M24" s="2267"/>
      <c r="N24" s="2267"/>
    </row>
    <row r="26" spans="2:23" hidden="1" x14ac:dyDescent="0.2">
      <c r="B26" s="35">
        <v>0.01</v>
      </c>
      <c r="C26" s="35">
        <v>0.99</v>
      </c>
    </row>
  </sheetData>
  <sheetProtection sheet="1" objects="1" scenarios="1"/>
  <mergeCells count="35">
    <mergeCell ref="E1:K1"/>
    <mergeCell ref="M1:P1"/>
    <mergeCell ref="B2:P2"/>
    <mergeCell ref="B3:P3"/>
    <mergeCell ref="C14:D15"/>
    <mergeCell ref="E12:O12"/>
    <mergeCell ref="P4:P8"/>
    <mergeCell ref="P9:P13"/>
    <mergeCell ref="E15:O15"/>
    <mergeCell ref="E14:O14"/>
    <mergeCell ref="P14:P15"/>
    <mergeCell ref="E9:O9"/>
    <mergeCell ref="E10:O10"/>
    <mergeCell ref="C4:D8"/>
    <mergeCell ref="E4:O4"/>
    <mergeCell ref="E5:O5"/>
    <mergeCell ref="C24:H24"/>
    <mergeCell ref="I24:N24"/>
    <mergeCell ref="B19:K19"/>
    <mergeCell ref="L19:N19"/>
    <mergeCell ref="B20:K20"/>
    <mergeCell ref="L20:N20"/>
    <mergeCell ref="B23:P23"/>
    <mergeCell ref="B22:O22"/>
    <mergeCell ref="B21:K21"/>
    <mergeCell ref="L21:N21"/>
    <mergeCell ref="B18:N18"/>
    <mergeCell ref="E6:O6"/>
    <mergeCell ref="E7:O7"/>
    <mergeCell ref="E8:O8"/>
    <mergeCell ref="B9:B10"/>
    <mergeCell ref="C9:D13"/>
    <mergeCell ref="C16:O16"/>
    <mergeCell ref="E11:O11"/>
    <mergeCell ref="E13:O13"/>
  </mergeCells>
  <phoneticPr fontId="0" type="noConversion"/>
  <dataValidations xWindow="289" yWindow="167" count="1">
    <dataValidation type="decimal" allowBlank="1" showInputMessage="1" showErrorMessage="1" promptTitle="Apportionment (if any)" prompt="Enter percentage of impairment caused by the injury or illness. See OAR 436-035-0013." sqref="O19:O21" xr:uid="{00000000-0002-0000-1700-000000000000}">
      <formula1>$B$26</formula1>
      <formula2>$C$26</formula2>
    </dataValidation>
  </dataValidations>
  <hyperlinks>
    <hyperlink ref="B24" location="Hematopoietic!A1" display="Return to top of sheet" xr:uid="{00000000-0004-0000-1700-000000000000}"/>
    <hyperlink ref="I24:N24" location="'PPD DOI on or after 2005'!A1" display="'PPD DOI on or after 2005'!A1" xr:uid="{00000000-0004-0000-1700-000001000000}"/>
    <hyperlink ref="C24:H24" location="'PPD DOI before 2005'!A1" display="'PPD DOI before 2005'!A1" xr:uid="{00000000-0004-0000-1700-000002000000}"/>
  </hyperlinks>
  <pageMargins left="0.75" right="0.75" top="0.87" bottom="1.02" header="0.5" footer="0.5"/>
  <pageSetup orientation="portrait" horizontalDpi="300" verticalDpi="300" r:id="rId1"/>
  <headerFooter alignWithMargins="0">
    <oddFooter>&amp;LHematopoietic System&amp;CPage &amp;P</oddFooter>
  </headerFooter>
  <rowBreaks count="1" manualBreakCount="1">
    <brk id="1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Group Box 1">
              <controlPr defaultSize="0" autoFill="0" autoPict="0">
                <anchor moveWithCells="1">
                  <from>
                    <xdr:col>2</xdr:col>
                    <xdr:colOff>0</xdr:colOff>
                    <xdr:row>2</xdr:row>
                    <xdr:rowOff>295275</xdr:rowOff>
                  </from>
                  <to>
                    <xdr:col>14</xdr:col>
                    <xdr:colOff>962025</xdr:colOff>
                    <xdr:row>8</xdr:row>
                    <xdr:rowOff>0</xdr:rowOff>
                  </to>
                </anchor>
              </controlPr>
            </control>
          </mc:Choice>
        </mc:AlternateContent>
        <mc:AlternateContent xmlns:mc="http://schemas.openxmlformats.org/markup-compatibility/2006">
          <mc:Choice Requires="x14">
            <control shapeId="29698" r:id="rId5" name="Option Button 2">
              <controlPr defaultSize="0" autoFill="0" autoLine="0" autoPict="0">
                <anchor moveWithCells="1">
                  <from>
                    <xdr:col>2</xdr:col>
                    <xdr:colOff>76200</xdr:colOff>
                    <xdr:row>3</xdr:row>
                    <xdr:rowOff>47625</xdr:rowOff>
                  </from>
                  <to>
                    <xdr:col>4</xdr:col>
                    <xdr:colOff>57150</xdr:colOff>
                    <xdr:row>4</xdr:row>
                    <xdr:rowOff>9525</xdr:rowOff>
                  </to>
                </anchor>
              </controlPr>
            </control>
          </mc:Choice>
        </mc:AlternateContent>
        <mc:AlternateContent xmlns:mc="http://schemas.openxmlformats.org/markup-compatibility/2006">
          <mc:Choice Requires="x14">
            <control shapeId="29699" r:id="rId6" name="Option Button 3">
              <controlPr defaultSize="0" autoFill="0" autoLine="0" autoPict="0">
                <anchor moveWithCells="1">
                  <from>
                    <xdr:col>2</xdr:col>
                    <xdr:colOff>76200</xdr:colOff>
                    <xdr:row>4</xdr:row>
                    <xdr:rowOff>180975</xdr:rowOff>
                  </from>
                  <to>
                    <xdr:col>4</xdr:col>
                    <xdr:colOff>57150</xdr:colOff>
                    <xdr:row>4</xdr:row>
                    <xdr:rowOff>400050</xdr:rowOff>
                  </to>
                </anchor>
              </controlPr>
            </control>
          </mc:Choice>
        </mc:AlternateContent>
        <mc:AlternateContent xmlns:mc="http://schemas.openxmlformats.org/markup-compatibility/2006">
          <mc:Choice Requires="x14">
            <control shapeId="29700" r:id="rId7" name="Option Button 4">
              <controlPr defaultSize="0" autoFill="0" autoLine="0" autoPict="0">
                <anchor moveWithCells="1">
                  <from>
                    <xdr:col>2</xdr:col>
                    <xdr:colOff>76200</xdr:colOff>
                    <xdr:row>5</xdr:row>
                    <xdr:rowOff>142875</xdr:rowOff>
                  </from>
                  <to>
                    <xdr:col>4</xdr:col>
                    <xdr:colOff>57150</xdr:colOff>
                    <xdr:row>5</xdr:row>
                    <xdr:rowOff>390525</xdr:rowOff>
                  </to>
                </anchor>
              </controlPr>
            </control>
          </mc:Choice>
        </mc:AlternateContent>
        <mc:AlternateContent xmlns:mc="http://schemas.openxmlformats.org/markup-compatibility/2006">
          <mc:Choice Requires="x14">
            <control shapeId="29701" r:id="rId8" name="Option Button 5">
              <controlPr defaultSize="0" autoFill="0" autoLine="0" autoPict="0">
                <anchor moveWithCells="1">
                  <from>
                    <xdr:col>2</xdr:col>
                    <xdr:colOff>76200</xdr:colOff>
                    <xdr:row>6</xdr:row>
                    <xdr:rowOff>333375</xdr:rowOff>
                  </from>
                  <to>
                    <xdr:col>4</xdr:col>
                    <xdr:colOff>57150</xdr:colOff>
                    <xdr:row>6</xdr:row>
                    <xdr:rowOff>552450</xdr:rowOff>
                  </to>
                </anchor>
              </controlPr>
            </control>
          </mc:Choice>
        </mc:AlternateContent>
        <mc:AlternateContent xmlns:mc="http://schemas.openxmlformats.org/markup-compatibility/2006">
          <mc:Choice Requires="x14">
            <control shapeId="29702" r:id="rId9" name="Group Box 6">
              <controlPr defaultSize="0" autoFill="0" autoPict="0">
                <anchor moveWithCells="1">
                  <from>
                    <xdr:col>2</xdr:col>
                    <xdr:colOff>0</xdr:colOff>
                    <xdr:row>8</xdr:row>
                    <xdr:rowOff>0</xdr:rowOff>
                  </from>
                  <to>
                    <xdr:col>14</xdr:col>
                    <xdr:colOff>962025</xdr:colOff>
                    <xdr:row>13</xdr:row>
                    <xdr:rowOff>9525</xdr:rowOff>
                  </to>
                </anchor>
              </controlPr>
            </control>
          </mc:Choice>
        </mc:AlternateContent>
        <mc:AlternateContent xmlns:mc="http://schemas.openxmlformats.org/markup-compatibility/2006">
          <mc:Choice Requires="x14">
            <control shapeId="29703" r:id="rId10" name="Option Button 7">
              <controlPr defaultSize="0" autoFill="0" autoLine="0" autoPict="0">
                <anchor moveWithCells="1">
                  <from>
                    <xdr:col>2</xdr:col>
                    <xdr:colOff>57150</xdr:colOff>
                    <xdr:row>8</xdr:row>
                    <xdr:rowOff>28575</xdr:rowOff>
                  </from>
                  <to>
                    <xdr:col>4</xdr:col>
                    <xdr:colOff>38100</xdr:colOff>
                    <xdr:row>8</xdr:row>
                    <xdr:rowOff>247650</xdr:rowOff>
                  </to>
                </anchor>
              </controlPr>
            </control>
          </mc:Choice>
        </mc:AlternateContent>
        <mc:AlternateContent xmlns:mc="http://schemas.openxmlformats.org/markup-compatibility/2006">
          <mc:Choice Requires="x14">
            <control shapeId="29704" r:id="rId11" name="Option Button 8">
              <controlPr defaultSize="0" autoFill="0" autoLine="0" autoPict="0">
                <anchor moveWithCells="1">
                  <from>
                    <xdr:col>2</xdr:col>
                    <xdr:colOff>66675</xdr:colOff>
                    <xdr:row>9</xdr:row>
                    <xdr:rowOff>161925</xdr:rowOff>
                  </from>
                  <to>
                    <xdr:col>4</xdr:col>
                    <xdr:colOff>47625</xdr:colOff>
                    <xdr:row>10</xdr:row>
                    <xdr:rowOff>0</xdr:rowOff>
                  </to>
                </anchor>
              </controlPr>
            </control>
          </mc:Choice>
        </mc:AlternateContent>
        <mc:AlternateContent xmlns:mc="http://schemas.openxmlformats.org/markup-compatibility/2006">
          <mc:Choice Requires="x14">
            <control shapeId="29705" r:id="rId12" name="Option Button 9">
              <controlPr defaultSize="0" autoFill="0" autoLine="0" autoPict="0">
                <anchor moveWithCells="1">
                  <from>
                    <xdr:col>2</xdr:col>
                    <xdr:colOff>66675</xdr:colOff>
                    <xdr:row>10</xdr:row>
                    <xdr:rowOff>161925</xdr:rowOff>
                  </from>
                  <to>
                    <xdr:col>4</xdr:col>
                    <xdr:colOff>47625</xdr:colOff>
                    <xdr:row>10</xdr:row>
                    <xdr:rowOff>381000</xdr:rowOff>
                  </to>
                </anchor>
              </controlPr>
            </control>
          </mc:Choice>
        </mc:AlternateContent>
        <mc:AlternateContent xmlns:mc="http://schemas.openxmlformats.org/markup-compatibility/2006">
          <mc:Choice Requires="x14">
            <control shapeId="29706" r:id="rId13" name="Option Button 10">
              <controlPr defaultSize="0" autoFill="0" autoLine="0" autoPict="0">
                <anchor moveWithCells="1">
                  <from>
                    <xdr:col>2</xdr:col>
                    <xdr:colOff>66675</xdr:colOff>
                    <xdr:row>11</xdr:row>
                    <xdr:rowOff>171450</xdr:rowOff>
                  </from>
                  <to>
                    <xdr:col>4</xdr:col>
                    <xdr:colOff>47625</xdr:colOff>
                    <xdr:row>11</xdr:row>
                    <xdr:rowOff>390525</xdr:rowOff>
                  </to>
                </anchor>
              </controlPr>
            </control>
          </mc:Choice>
        </mc:AlternateContent>
        <mc:AlternateContent xmlns:mc="http://schemas.openxmlformats.org/markup-compatibility/2006">
          <mc:Choice Requires="x14">
            <control shapeId="29707" r:id="rId14" name="Option Button 11">
              <controlPr defaultSize="0" autoFill="0" autoLine="0" autoPict="0">
                <anchor moveWithCells="1">
                  <from>
                    <xdr:col>2</xdr:col>
                    <xdr:colOff>66675</xdr:colOff>
                    <xdr:row>12</xdr:row>
                    <xdr:rowOff>180975</xdr:rowOff>
                  </from>
                  <to>
                    <xdr:col>4</xdr:col>
                    <xdr:colOff>47625</xdr:colOff>
                    <xdr:row>12</xdr:row>
                    <xdr:rowOff>400050</xdr:rowOff>
                  </to>
                </anchor>
              </controlPr>
            </control>
          </mc:Choice>
        </mc:AlternateContent>
        <mc:AlternateContent xmlns:mc="http://schemas.openxmlformats.org/markup-compatibility/2006">
          <mc:Choice Requires="x14">
            <control shapeId="29708" r:id="rId15" name="Group Box 12">
              <controlPr defaultSize="0" autoFill="0" autoPict="0">
                <anchor moveWithCells="1">
                  <from>
                    <xdr:col>2</xdr:col>
                    <xdr:colOff>0</xdr:colOff>
                    <xdr:row>13</xdr:row>
                    <xdr:rowOff>9525</xdr:rowOff>
                  </from>
                  <to>
                    <xdr:col>14</xdr:col>
                    <xdr:colOff>962025</xdr:colOff>
                    <xdr:row>15</xdr:row>
                    <xdr:rowOff>9525</xdr:rowOff>
                  </to>
                </anchor>
              </controlPr>
            </control>
          </mc:Choice>
        </mc:AlternateContent>
        <mc:AlternateContent xmlns:mc="http://schemas.openxmlformats.org/markup-compatibility/2006">
          <mc:Choice Requires="x14">
            <control shapeId="29709" r:id="rId16" name="Option Button 13">
              <controlPr defaultSize="0" autoFill="0" autoLine="0" autoPict="0">
                <anchor moveWithCells="1">
                  <from>
                    <xdr:col>2</xdr:col>
                    <xdr:colOff>57150</xdr:colOff>
                    <xdr:row>13</xdr:row>
                    <xdr:rowOff>57150</xdr:rowOff>
                  </from>
                  <to>
                    <xdr:col>4</xdr:col>
                    <xdr:colOff>38100</xdr:colOff>
                    <xdr:row>13</xdr:row>
                    <xdr:rowOff>276225</xdr:rowOff>
                  </to>
                </anchor>
              </controlPr>
            </control>
          </mc:Choice>
        </mc:AlternateContent>
        <mc:AlternateContent xmlns:mc="http://schemas.openxmlformats.org/markup-compatibility/2006">
          <mc:Choice Requires="x14">
            <control shapeId="29710" r:id="rId17" name="Option Button 14">
              <controlPr defaultSize="0" autoFill="0" autoLine="0" autoPict="0">
                <anchor moveWithCells="1">
                  <from>
                    <xdr:col>2</xdr:col>
                    <xdr:colOff>57150</xdr:colOff>
                    <xdr:row>14</xdr:row>
                    <xdr:rowOff>400050</xdr:rowOff>
                  </from>
                  <to>
                    <xdr:col>4</xdr:col>
                    <xdr:colOff>38100</xdr:colOff>
                    <xdr:row>15</xdr:row>
                    <xdr:rowOff>9525</xdr:rowOff>
                  </to>
                </anchor>
              </controlPr>
            </control>
          </mc:Choice>
        </mc:AlternateContent>
        <mc:AlternateContent xmlns:mc="http://schemas.openxmlformats.org/markup-compatibility/2006">
          <mc:Choice Requires="x14">
            <control shapeId="29711" r:id="rId18" name="Option Button 15">
              <controlPr defaultSize="0" autoFill="0" autoLine="0" autoPict="0">
                <anchor moveWithCells="1">
                  <from>
                    <xdr:col>2</xdr:col>
                    <xdr:colOff>76200</xdr:colOff>
                    <xdr:row>7</xdr:row>
                    <xdr:rowOff>333375</xdr:rowOff>
                  </from>
                  <to>
                    <xdr:col>4</xdr:col>
                    <xdr:colOff>57150</xdr:colOff>
                    <xdr:row>7</xdr:row>
                    <xdr:rowOff>552450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N84"/>
  <sheetViews>
    <sheetView showGridLines="0" zoomScale="120" zoomScaleNormal="120" workbookViewId="0"/>
  </sheetViews>
  <sheetFormatPr defaultColWidth="3" defaultRowHeight="12.75" x14ac:dyDescent="0.2"/>
  <cols>
    <col min="1" max="1" width="1.42578125" style="35" customWidth="1"/>
    <col min="2" max="2" width="18" style="35" customWidth="1"/>
    <col min="3" max="3" width="2.5703125" style="35" customWidth="1"/>
    <col min="4" max="4" width="2.28515625" style="35" customWidth="1"/>
    <col min="5" max="13" width="3.85546875" style="35" customWidth="1"/>
    <col min="14" max="14" width="4" style="35" customWidth="1"/>
    <col min="15" max="15" width="12.42578125" style="35" customWidth="1"/>
    <col min="16" max="16" width="11.28515625" style="35" customWidth="1"/>
    <col min="17" max="17" width="4" style="35" customWidth="1"/>
    <col min="18" max="18" width="18.42578125" style="35" hidden="1" customWidth="1"/>
    <col min="19" max="19" width="10.85546875" style="35" hidden="1" customWidth="1"/>
    <col min="20" max="20" width="14" style="35" hidden="1" customWidth="1"/>
    <col min="21" max="21" width="17.42578125" style="35" hidden="1" customWidth="1"/>
    <col min="22" max="22" width="11.140625" style="35" hidden="1" customWidth="1"/>
    <col min="23" max="23" width="10.5703125" style="35" hidden="1" customWidth="1"/>
    <col min="24" max="130" width="3" style="35" hidden="1" customWidth="1"/>
    <col min="131" max="255" width="3" style="35" customWidth="1"/>
    <col min="256" max="16384" width="3" style="35"/>
  </cols>
  <sheetData>
    <row r="1" spans="1:170" ht="15" customHeight="1" x14ac:dyDescent="0.2">
      <c r="B1" s="14" t="s">
        <v>1733</v>
      </c>
      <c r="E1" s="1347" t="str">
        <f>IF('Start here'!A6="","",'Start here'!A6)</f>
        <v/>
      </c>
      <c r="F1" s="1351"/>
      <c r="G1" s="1351"/>
      <c r="H1" s="1351"/>
      <c r="I1" s="1351"/>
      <c r="J1" s="1351"/>
      <c r="K1" s="1352"/>
      <c r="M1" s="1347" t="str">
        <f>IF('Start here'!A7="","",'Start here'!A7)</f>
        <v/>
      </c>
      <c r="N1" s="1351"/>
      <c r="O1" s="1351"/>
      <c r="P1" s="1352"/>
      <c r="R1" s="694">
        <v>38353</v>
      </c>
      <c r="S1" s="196">
        <f>'Start here'!A8</f>
        <v>0</v>
      </c>
      <c r="T1" s="1226" t="str">
        <f>IF(S1&gt;=R1,"Go to PPD Worksheet","")</f>
        <v/>
      </c>
      <c r="U1" s="1226"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x14ac:dyDescent="0.2">
      <c r="A2" s="189"/>
      <c r="B2" s="1395"/>
      <c r="C2" s="1395"/>
      <c r="D2" s="1395"/>
      <c r="E2" s="1395"/>
      <c r="F2" s="1395"/>
      <c r="G2" s="1395"/>
      <c r="H2" s="1395"/>
      <c r="I2" s="1395"/>
      <c r="J2" s="1395"/>
      <c r="K2" s="1395"/>
      <c r="L2" s="1395"/>
      <c r="M2" s="1395"/>
      <c r="N2" s="1395"/>
      <c r="O2" s="1395"/>
      <c r="P2" s="1395"/>
    </row>
    <row r="3" spans="1:170" ht="24" customHeight="1" x14ac:dyDescent="0.3">
      <c r="B3" s="1529" t="s">
        <v>1459</v>
      </c>
      <c r="C3" s="1529"/>
      <c r="D3" s="1529"/>
      <c r="E3" s="1529"/>
      <c r="F3" s="1529"/>
      <c r="G3" s="1529"/>
      <c r="H3" s="1529"/>
      <c r="I3" s="1529"/>
      <c r="J3" s="1529"/>
      <c r="K3" s="1529"/>
      <c r="L3" s="1529"/>
      <c r="M3" s="1529"/>
      <c r="N3" s="1529"/>
      <c r="O3" s="1529"/>
      <c r="P3" s="1529"/>
    </row>
    <row r="4" spans="1:170" ht="21" customHeight="1" x14ac:dyDescent="0.2">
      <c r="B4" s="2390" t="s">
        <v>1460</v>
      </c>
      <c r="C4" s="2455"/>
      <c r="D4" s="2456"/>
      <c r="E4" s="1379" t="s">
        <v>1282</v>
      </c>
      <c r="F4" s="1379"/>
      <c r="G4" s="1379"/>
      <c r="H4" s="1379"/>
      <c r="I4" s="1379"/>
      <c r="J4" s="1379"/>
      <c r="K4" s="1379"/>
      <c r="L4" s="1379"/>
      <c r="M4" s="1379"/>
      <c r="N4" s="1379"/>
      <c r="O4" s="1379"/>
      <c r="P4" s="1612">
        <f>IF(S4=2,0.08,IF(S4=3,0.25,IF(S4=4,0.5,0)))</f>
        <v>0</v>
      </c>
      <c r="R4" s="1231" t="s">
        <v>2300</v>
      </c>
      <c r="S4" s="1230">
        <v>1</v>
      </c>
    </row>
    <row r="5" spans="1:170" ht="21" customHeight="1" x14ac:dyDescent="0.2">
      <c r="B5" s="2391"/>
      <c r="C5" s="2457"/>
      <c r="D5" s="2458"/>
      <c r="E5" s="1374" t="s">
        <v>121</v>
      </c>
      <c r="F5" s="1375"/>
      <c r="G5" s="1375"/>
      <c r="H5" s="1375"/>
      <c r="I5" s="1375"/>
      <c r="J5" s="1375"/>
      <c r="K5" s="1375"/>
      <c r="L5" s="1375"/>
      <c r="M5" s="1375"/>
      <c r="N5" s="1375"/>
      <c r="O5" s="1376"/>
      <c r="P5" s="1732"/>
      <c r="R5" s="698"/>
      <c r="S5" s="1233"/>
    </row>
    <row r="6" spans="1:170" ht="21" customHeight="1" x14ac:dyDescent="0.2">
      <c r="B6" s="2391"/>
      <c r="C6" s="2457"/>
      <c r="D6" s="2458"/>
      <c r="E6" s="1374" t="s">
        <v>122</v>
      </c>
      <c r="F6" s="1375"/>
      <c r="G6" s="1375"/>
      <c r="H6" s="1375"/>
      <c r="I6" s="1375"/>
      <c r="J6" s="1375"/>
      <c r="K6" s="1375"/>
      <c r="L6" s="1375"/>
      <c r="M6" s="1375"/>
      <c r="N6" s="1375"/>
      <c r="O6" s="1376"/>
      <c r="P6" s="1732"/>
    </row>
    <row r="7" spans="1:170" ht="28.5" customHeight="1" x14ac:dyDescent="0.2">
      <c r="B7" s="2413"/>
      <c r="C7" s="2457"/>
      <c r="D7" s="2458"/>
      <c r="E7" s="1374" t="s">
        <v>1770</v>
      </c>
      <c r="F7" s="1375"/>
      <c r="G7" s="1375"/>
      <c r="H7" s="1375"/>
      <c r="I7" s="1375"/>
      <c r="J7" s="1375"/>
      <c r="K7" s="1375"/>
      <c r="L7" s="1375"/>
      <c r="M7" s="1375"/>
      <c r="N7" s="1375"/>
      <c r="O7" s="1376"/>
      <c r="P7" s="1733"/>
    </row>
    <row r="8" spans="1:170" ht="21.75" customHeight="1" x14ac:dyDescent="0.2">
      <c r="B8" s="2445" t="s">
        <v>106</v>
      </c>
      <c r="C8" s="2447"/>
      <c r="D8" s="2448"/>
      <c r="E8" s="1379" t="s">
        <v>1282</v>
      </c>
      <c r="F8" s="1379"/>
      <c r="G8" s="1379"/>
      <c r="H8" s="1379"/>
      <c r="I8" s="1379"/>
      <c r="J8" s="1379"/>
      <c r="K8" s="1379"/>
      <c r="L8" s="1379"/>
      <c r="M8" s="1379"/>
      <c r="N8" s="1379"/>
      <c r="O8" s="1379"/>
      <c r="P8" s="1612">
        <f>IF(S8=2,0.03,IF(S8=3,0.15,IF(S8=4,0.35,IF(S8=5,0.63,0))))</f>
        <v>0</v>
      </c>
      <c r="R8" s="1231" t="s">
        <v>2300</v>
      </c>
      <c r="S8" s="1230">
        <v>1</v>
      </c>
    </row>
    <row r="9" spans="1:170" ht="69" customHeight="1" x14ac:dyDescent="0.2">
      <c r="B9" s="2446"/>
      <c r="C9" s="2449"/>
      <c r="D9" s="2450"/>
      <c r="E9" s="1379" t="s">
        <v>2070</v>
      </c>
      <c r="F9" s="1379"/>
      <c r="G9" s="1379"/>
      <c r="H9" s="1379"/>
      <c r="I9" s="1379"/>
      <c r="J9" s="1379"/>
      <c r="K9" s="1379"/>
      <c r="L9" s="1379"/>
      <c r="M9" s="1379"/>
      <c r="N9" s="1379"/>
      <c r="O9" s="1379"/>
      <c r="P9" s="1732"/>
      <c r="R9" s="1246"/>
      <c r="S9" s="1233"/>
      <c r="U9" s="1233"/>
    </row>
    <row r="10" spans="1:170" ht="79.5" customHeight="1" x14ac:dyDescent="0.2">
      <c r="B10" s="2446"/>
      <c r="C10" s="2449"/>
      <c r="D10" s="2450"/>
      <c r="E10" s="1379" t="s">
        <v>2138</v>
      </c>
      <c r="F10" s="1379"/>
      <c r="G10" s="1379"/>
      <c r="H10" s="1379"/>
      <c r="I10" s="1379"/>
      <c r="J10" s="1379"/>
      <c r="K10" s="1379"/>
      <c r="L10" s="1379"/>
      <c r="M10" s="1379"/>
      <c r="N10" s="1379"/>
      <c r="O10" s="1379"/>
      <c r="P10" s="1732"/>
    </row>
    <row r="11" spans="1:170" ht="80.25" customHeight="1" x14ac:dyDescent="0.2">
      <c r="B11" s="542"/>
      <c r="C11" s="2449"/>
      <c r="D11" s="2450"/>
      <c r="E11" s="1379" t="s">
        <v>2139</v>
      </c>
      <c r="F11" s="1379"/>
      <c r="G11" s="1379"/>
      <c r="H11" s="1379"/>
      <c r="I11" s="1379"/>
      <c r="J11" s="1379"/>
      <c r="K11" s="1379"/>
      <c r="L11" s="1379"/>
      <c r="M11" s="1379"/>
      <c r="N11" s="1379"/>
      <c r="O11" s="1379"/>
      <c r="P11" s="1732"/>
    </row>
    <row r="12" spans="1:170" ht="82.5" customHeight="1" x14ac:dyDescent="0.2">
      <c r="B12" s="543"/>
      <c r="C12" s="2451"/>
      <c r="D12" s="2452"/>
      <c r="E12" s="1379" t="s">
        <v>2071</v>
      </c>
      <c r="F12" s="1379"/>
      <c r="G12" s="1379"/>
      <c r="H12" s="1379"/>
      <c r="I12" s="1379"/>
      <c r="J12" s="1379"/>
      <c r="K12" s="1379"/>
      <c r="L12" s="1379"/>
      <c r="M12" s="1379"/>
      <c r="N12" s="1379"/>
      <c r="O12" s="1379"/>
      <c r="P12" s="1733"/>
    </row>
    <row r="13" spans="1:170" ht="21" customHeight="1" x14ac:dyDescent="0.2">
      <c r="B13" s="2390" t="s">
        <v>297</v>
      </c>
      <c r="C13" s="2447"/>
      <c r="D13" s="2448"/>
      <c r="E13" s="1379" t="s">
        <v>1282</v>
      </c>
      <c r="F13" s="1379"/>
      <c r="G13" s="1379"/>
      <c r="H13" s="1379"/>
      <c r="I13" s="1379"/>
      <c r="J13" s="1379"/>
      <c r="K13" s="1379"/>
      <c r="L13" s="1379"/>
      <c r="M13" s="1379"/>
      <c r="N13" s="1379"/>
      <c r="O13" s="1379"/>
      <c r="P13" s="1612">
        <f>IF(S13=2,0.03,IF(S13=3,0.15,IF(S13=4,0.3,IF(S13=5,0.5,0))))</f>
        <v>0</v>
      </c>
      <c r="R13" s="1231" t="s">
        <v>2300</v>
      </c>
      <c r="S13" s="1230">
        <v>1</v>
      </c>
    </row>
    <row r="14" spans="1:170" ht="81" customHeight="1" x14ac:dyDescent="0.2">
      <c r="B14" s="2446"/>
      <c r="C14" s="2449"/>
      <c r="D14" s="2450"/>
      <c r="E14" s="1374" t="s">
        <v>1626</v>
      </c>
      <c r="F14" s="1375"/>
      <c r="G14" s="1375"/>
      <c r="H14" s="1375"/>
      <c r="I14" s="1375"/>
      <c r="J14" s="1375"/>
      <c r="K14" s="1375"/>
      <c r="L14" s="1375"/>
      <c r="M14" s="1375"/>
      <c r="N14" s="1375"/>
      <c r="O14" s="1376"/>
      <c r="P14" s="1451"/>
      <c r="R14" s="1246"/>
      <c r="S14" s="1233"/>
    </row>
    <row r="15" spans="1:170" ht="79.5" customHeight="1" x14ac:dyDescent="0.2">
      <c r="B15" s="525"/>
      <c r="C15" s="2449"/>
      <c r="D15" s="2450"/>
      <c r="E15" s="1374" t="s">
        <v>1784</v>
      </c>
      <c r="F15" s="1375"/>
      <c r="G15" s="1375"/>
      <c r="H15" s="1375"/>
      <c r="I15" s="1375"/>
      <c r="J15" s="1375"/>
      <c r="K15" s="1375"/>
      <c r="L15" s="1375"/>
      <c r="M15" s="1375"/>
      <c r="N15" s="1375"/>
      <c r="O15" s="1376"/>
      <c r="P15" s="1451"/>
    </row>
    <row r="16" spans="1:170" ht="93" customHeight="1" x14ac:dyDescent="0.2">
      <c r="B16" s="525"/>
      <c r="C16" s="2449"/>
      <c r="D16" s="2450"/>
      <c r="E16" s="1374" t="s">
        <v>173</v>
      </c>
      <c r="F16" s="1375"/>
      <c r="G16" s="1375"/>
      <c r="H16" s="1375"/>
      <c r="I16" s="1375"/>
      <c r="J16" s="1375"/>
      <c r="K16" s="1375"/>
      <c r="L16" s="1375"/>
      <c r="M16" s="1375"/>
      <c r="N16" s="1375"/>
      <c r="O16" s="1376"/>
      <c r="P16" s="1451"/>
    </row>
    <row r="17" spans="2:20" ht="106.5" customHeight="1" x14ac:dyDescent="0.2">
      <c r="B17" s="528"/>
      <c r="C17" s="2451"/>
      <c r="D17" s="2452"/>
      <c r="E17" s="1374" t="s">
        <v>2085</v>
      </c>
      <c r="F17" s="1375"/>
      <c r="G17" s="1375"/>
      <c r="H17" s="1375"/>
      <c r="I17" s="1375"/>
      <c r="J17" s="1375"/>
      <c r="K17" s="1375"/>
      <c r="L17" s="1375"/>
      <c r="M17" s="1375"/>
      <c r="N17" s="1375"/>
      <c r="O17" s="1376"/>
      <c r="P17" s="1452"/>
    </row>
    <row r="18" spans="2:20" ht="21" customHeight="1" x14ac:dyDescent="0.2">
      <c r="B18" s="2390" t="s">
        <v>1580</v>
      </c>
      <c r="C18" s="2447"/>
      <c r="D18" s="2448"/>
      <c r="E18" s="1379" t="s">
        <v>1282</v>
      </c>
      <c r="F18" s="1379"/>
      <c r="G18" s="1379"/>
      <c r="H18" s="1379"/>
      <c r="I18" s="1379"/>
      <c r="J18" s="1379"/>
      <c r="K18" s="1379"/>
      <c r="L18" s="1379"/>
      <c r="M18" s="1379"/>
      <c r="N18" s="1379"/>
      <c r="O18" s="1379"/>
      <c r="P18" s="1612">
        <f>IF(S18=2,0.03,IF(S18=3,0.13,IF(S18=4,0.23,0)))</f>
        <v>0</v>
      </c>
      <c r="R18" s="1231" t="s">
        <v>2300</v>
      </c>
      <c r="S18" s="1230">
        <v>1</v>
      </c>
    </row>
    <row r="19" spans="2:20" ht="57" customHeight="1" x14ac:dyDescent="0.2">
      <c r="B19" s="2446"/>
      <c r="C19" s="2449"/>
      <c r="D19" s="2450"/>
      <c r="E19" s="1374" t="s">
        <v>2140</v>
      </c>
      <c r="F19" s="1375"/>
      <c r="G19" s="1375"/>
      <c r="H19" s="1375"/>
      <c r="I19" s="1375"/>
      <c r="J19" s="1375"/>
      <c r="K19" s="1375"/>
      <c r="L19" s="1375"/>
      <c r="M19" s="1375"/>
      <c r="N19" s="1375"/>
      <c r="O19" s="1376"/>
      <c r="P19" s="1732"/>
      <c r="R19" s="1246"/>
      <c r="S19" s="1233"/>
    </row>
    <row r="20" spans="2:20" ht="78" customHeight="1" x14ac:dyDescent="0.2">
      <c r="B20" s="544"/>
      <c r="C20" s="2449"/>
      <c r="D20" s="2450"/>
      <c r="E20" s="1374" t="s">
        <v>1659</v>
      </c>
      <c r="F20" s="1858"/>
      <c r="G20" s="1858"/>
      <c r="H20" s="1858"/>
      <c r="I20" s="1858"/>
      <c r="J20" s="1858"/>
      <c r="K20" s="1858"/>
      <c r="L20" s="1858"/>
      <c r="M20" s="1858"/>
      <c r="N20" s="1858"/>
      <c r="O20" s="1859"/>
      <c r="P20" s="1732"/>
    </row>
    <row r="21" spans="2:20" ht="69.75" customHeight="1" x14ac:dyDescent="0.2">
      <c r="B21" s="545"/>
      <c r="C21" s="2451"/>
      <c r="D21" s="2452"/>
      <c r="E21" s="1374" t="s">
        <v>471</v>
      </c>
      <c r="F21" s="1375"/>
      <c r="G21" s="1375"/>
      <c r="H21" s="1375"/>
      <c r="I21" s="1375"/>
      <c r="J21" s="1375"/>
      <c r="K21" s="1375"/>
      <c r="L21" s="1375"/>
      <c r="M21" s="1375"/>
      <c r="N21" s="1375"/>
      <c r="O21" s="1376"/>
      <c r="P21" s="1733"/>
    </row>
    <row r="22" spans="2:20" ht="21" customHeight="1" x14ac:dyDescent="0.2">
      <c r="B22" s="2390" t="s">
        <v>1581</v>
      </c>
      <c r="C22" s="2447"/>
      <c r="D22" s="2448"/>
      <c r="E22" s="1379" t="s">
        <v>1282</v>
      </c>
      <c r="F22" s="1379"/>
      <c r="G22" s="1379"/>
      <c r="H22" s="1379"/>
      <c r="I22" s="1379"/>
      <c r="J22" s="1379"/>
      <c r="K22" s="1379"/>
      <c r="L22" s="1379"/>
      <c r="M22" s="1379"/>
      <c r="N22" s="1379"/>
      <c r="O22" s="1379"/>
      <c r="P22" s="1612">
        <f>IF(S22=2,0.05,IF(S22=3,0.2,IF(S22=4,0.4,IF(S22=5,0.75,0))))</f>
        <v>0</v>
      </c>
      <c r="R22" s="1231" t="s">
        <v>2300</v>
      </c>
      <c r="S22" s="1230">
        <v>1</v>
      </c>
    </row>
    <row r="23" spans="2:20" ht="93" customHeight="1" x14ac:dyDescent="0.2">
      <c r="B23" s="2446"/>
      <c r="C23" s="2449"/>
      <c r="D23" s="2450"/>
      <c r="E23" s="1374" t="s">
        <v>2072</v>
      </c>
      <c r="F23" s="1375"/>
      <c r="G23" s="1375"/>
      <c r="H23" s="1375"/>
      <c r="I23" s="1375"/>
      <c r="J23" s="1375"/>
      <c r="K23" s="1375"/>
      <c r="L23" s="1375"/>
      <c r="M23" s="1375"/>
      <c r="N23" s="1375"/>
      <c r="O23" s="1376"/>
      <c r="P23" s="1732"/>
      <c r="R23" s="1246"/>
      <c r="S23" s="1233"/>
    </row>
    <row r="24" spans="2:20" ht="78" customHeight="1" x14ac:dyDescent="0.2">
      <c r="B24" s="525"/>
      <c r="C24" s="2449"/>
      <c r="D24" s="2450"/>
      <c r="E24" s="1374" t="s">
        <v>2212</v>
      </c>
      <c r="F24" s="1375"/>
      <c r="G24" s="1375"/>
      <c r="H24" s="1375"/>
      <c r="I24" s="1375"/>
      <c r="J24" s="1375"/>
      <c r="K24" s="1375"/>
      <c r="L24" s="1375"/>
      <c r="M24" s="1375"/>
      <c r="N24" s="1375"/>
      <c r="O24" s="1376"/>
      <c r="P24" s="1732"/>
    </row>
    <row r="25" spans="2:20" ht="68.25" customHeight="1" x14ac:dyDescent="0.2">
      <c r="B25" s="525"/>
      <c r="C25" s="2449"/>
      <c r="D25" s="2450"/>
      <c r="E25" s="1374" t="s">
        <v>2073</v>
      </c>
      <c r="F25" s="1375"/>
      <c r="G25" s="1375"/>
      <c r="H25" s="1375"/>
      <c r="I25" s="1375"/>
      <c r="J25" s="1375"/>
      <c r="K25" s="1375"/>
      <c r="L25" s="1375"/>
      <c r="M25" s="1375"/>
      <c r="N25" s="1375"/>
      <c r="O25" s="1376"/>
      <c r="P25" s="1732"/>
    </row>
    <row r="26" spans="2:20" ht="70.5" customHeight="1" x14ac:dyDescent="0.2">
      <c r="B26" s="528"/>
      <c r="C26" s="2451"/>
      <c r="D26" s="2452"/>
      <c r="E26" s="1374" t="s">
        <v>2074</v>
      </c>
      <c r="F26" s="1375"/>
      <c r="G26" s="1375"/>
      <c r="H26" s="1375"/>
      <c r="I26" s="1375"/>
      <c r="J26" s="1375"/>
      <c r="K26" s="1375"/>
      <c r="L26" s="1375"/>
      <c r="M26" s="1375"/>
      <c r="N26" s="1375"/>
      <c r="O26" s="1376"/>
      <c r="P26" s="1733"/>
    </row>
    <row r="27" spans="2:20" ht="21" customHeight="1" x14ac:dyDescent="0.2">
      <c r="B27" s="328" t="s">
        <v>622</v>
      </c>
      <c r="C27" s="2462"/>
      <c r="D27" s="2463"/>
      <c r="E27" s="1374" t="s">
        <v>623</v>
      </c>
      <c r="F27" s="1375"/>
      <c r="G27" s="1375"/>
      <c r="H27" s="1375"/>
      <c r="I27" s="1375"/>
      <c r="J27" s="1375"/>
      <c r="K27" s="1375"/>
      <c r="L27" s="1375"/>
      <c r="M27" s="1375"/>
      <c r="N27" s="1375"/>
      <c r="O27" s="1376"/>
      <c r="P27" s="26">
        <f>IF(T27=1,0.5,0)</f>
        <v>0</v>
      </c>
      <c r="R27" s="1026" t="s">
        <v>2299</v>
      </c>
      <c r="S27" s="1230" t="b">
        <v>0</v>
      </c>
      <c r="T27" s="1229">
        <f>IF(S27=TRUE,1,0)</f>
        <v>0</v>
      </c>
    </row>
    <row r="28" spans="2:20" ht="21" customHeight="1" x14ac:dyDescent="0.2">
      <c r="B28" s="2390" t="s">
        <v>1874</v>
      </c>
      <c r="C28" s="2447"/>
      <c r="D28" s="2448"/>
      <c r="E28" s="1379" t="s">
        <v>1282</v>
      </c>
      <c r="F28" s="1379"/>
      <c r="G28" s="1379"/>
      <c r="H28" s="1379"/>
      <c r="I28" s="1379"/>
      <c r="J28" s="1379"/>
      <c r="K28" s="1379"/>
      <c r="L28" s="1379"/>
      <c r="M28" s="1379"/>
      <c r="N28" s="1379"/>
      <c r="O28" s="1379"/>
      <c r="P28" s="1612">
        <f>IF(S28=2,0.05,IF(S28=3,0.2,IF(S28=4,0.4,IF(S28=5,0.75,0))))</f>
        <v>0</v>
      </c>
      <c r="R28" s="1231" t="s">
        <v>2300</v>
      </c>
      <c r="S28" s="1230">
        <v>1</v>
      </c>
      <c r="T28" s="1233"/>
    </row>
    <row r="29" spans="2:20" ht="21" customHeight="1" x14ac:dyDescent="0.2">
      <c r="B29" s="2446"/>
      <c r="C29" s="2449"/>
      <c r="D29" s="2450"/>
      <c r="E29" s="1374" t="s">
        <v>2086</v>
      </c>
      <c r="F29" s="1375"/>
      <c r="G29" s="1375"/>
      <c r="H29" s="1375"/>
      <c r="I29" s="1375"/>
      <c r="J29" s="1375"/>
      <c r="K29" s="1375"/>
      <c r="L29" s="1375"/>
      <c r="M29" s="1375"/>
      <c r="N29" s="1375"/>
      <c r="O29" s="1376"/>
      <c r="P29" s="1732"/>
      <c r="R29" s="1246"/>
      <c r="S29" s="1233"/>
    </row>
    <row r="30" spans="2:20" ht="27" customHeight="1" x14ac:dyDescent="0.2">
      <c r="B30" s="2446"/>
      <c r="C30" s="2449"/>
      <c r="D30" s="2450"/>
      <c r="E30" s="1374" t="s">
        <v>2087</v>
      </c>
      <c r="F30" s="1375"/>
      <c r="G30" s="1375"/>
      <c r="H30" s="1375"/>
      <c r="I30" s="1375"/>
      <c r="J30" s="1375"/>
      <c r="K30" s="1375"/>
      <c r="L30" s="1375"/>
      <c r="M30" s="1375"/>
      <c r="N30" s="1375"/>
      <c r="O30" s="1376"/>
      <c r="P30" s="1732"/>
    </row>
    <row r="31" spans="2:20" ht="27" customHeight="1" x14ac:dyDescent="0.2">
      <c r="B31" s="525"/>
      <c r="C31" s="2449"/>
      <c r="D31" s="2450"/>
      <c r="E31" s="1374" t="s">
        <v>2088</v>
      </c>
      <c r="F31" s="1375"/>
      <c r="G31" s="1375"/>
      <c r="H31" s="1375"/>
      <c r="I31" s="1375"/>
      <c r="J31" s="1375"/>
      <c r="K31" s="1375"/>
      <c r="L31" s="1375"/>
      <c r="M31" s="1375"/>
      <c r="N31" s="1375"/>
      <c r="O31" s="1376"/>
      <c r="P31" s="1732"/>
    </row>
    <row r="32" spans="2:20" ht="27" customHeight="1" x14ac:dyDescent="0.2">
      <c r="B32" s="528"/>
      <c r="C32" s="2451"/>
      <c r="D32" s="2452"/>
      <c r="E32" s="1374" t="s">
        <v>2089</v>
      </c>
      <c r="F32" s="1375"/>
      <c r="G32" s="1375"/>
      <c r="H32" s="1375"/>
      <c r="I32" s="1375"/>
      <c r="J32" s="1375"/>
      <c r="K32" s="1375"/>
      <c r="L32" s="1375"/>
      <c r="M32" s="1375"/>
      <c r="N32" s="1375"/>
      <c r="O32" s="1376"/>
      <c r="P32" s="1733"/>
    </row>
    <row r="33" spans="2:29" ht="21" customHeight="1" x14ac:dyDescent="0.2">
      <c r="B33" s="2390" t="s">
        <v>1582</v>
      </c>
      <c r="C33" s="2447"/>
      <c r="D33" s="2448"/>
      <c r="E33" s="1379" t="s">
        <v>1282</v>
      </c>
      <c r="F33" s="1379"/>
      <c r="G33" s="1379"/>
      <c r="H33" s="1379"/>
      <c r="I33" s="1379"/>
      <c r="J33" s="1379"/>
      <c r="K33" s="1379"/>
      <c r="L33" s="1379"/>
      <c r="M33" s="1379"/>
      <c r="N33" s="1379"/>
      <c r="O33" s="1379"/>
      <c r="P33" s="1612">
        <f>IF(S33=2,0.05,IF(S33=3,0.23,IF(S33=4,0.48,IF(S33=5,0.78,0))))</f>
        <v>0</v>
      </c>
      <c r="R33" s="1231" t="s">
        <v>2300</v>
      </c>
      <c r="S33" s="1230">
        <v>1</v>
      </c>
    </row>
    <row r="34" spans="2:29" ht="69.75" customHeight="1" x14ac:dyDescent="0.2">
      <c r="B34" s="2446"/>
      <c r="C34" s="2449"/>
      <c r="D34" s="2450"/>
      <c r="E34" s="1374" t="s">
        <v>2075</v>
      </c>
      <c r="F34" s="1375"/>
      <c r="G34" s="1375"/>
      <c r="H34" s="1375"/>
      <c r="I34" s="1375"/>
      <c r="J34" s="1375"/>
      <c r="K34" s="1375"/>
      <c r="L34" s="1375"/>
      <c r="M34" s="1375"/>
      <c r="N34" s="1375"/>
      <c r="O34" s="1376"/>
      <c r="P34" s="1732"/>
      <c r="R34" s="1246"/>
      <c r="S34" s="1233"/>
    </row>
    <row r="35" spans="2:29" ht="94.5" customHeight="1" x14ac:dyDescent="0.2">
      <c r="B35" s="525"/>
      <c r="C35" s="2449"/>
      <c r="D35" s="2450"/>
      <c r="E35" s="1374" t="s">
        <v>2076</v>
      </c>
      <c r="F35" s="1375"/>
      <c r="G35" s="1375"/>
      <c r="H35" s="1375"/>
      <c r="I35" s="1375"/>
      <c r="J35" s="1375"/>
      <c r="K35" s="1375"/>
      <c r="L35" s="1375"/>
      <c r="M35" s="1375"/>
      <c r="N35" s="1375"/>
      <c r="O35" s="1376"/>
      <c r="P35" s="1732"/>
    </row>
    <row r="36" spans="2:29" ht="93.75" customHeight="1" x14ac:dyDescent="0.2">
      <c r="B36" s="525"/>
      <c r="C36" s="2449"/>
      <c r="D36" s="2450"/>
      <c r="E36" s="1374" t="s">
        <v>2077</v>
      </c>
      <c r="F36" s="1375"/>
      <c r="G36" s="1375"/>
      <c r="H36" s="1375"/>
      <c r="I36" s="1375"/>
      <c r="J36" s="1375"/>
      <c r="K36" s="1375"/>
      <c r="L36" s="1375"/>
      <c r="M36" s="1375"/>
      <c r="N36" s="1375"/>
      <c r="O36" s="1376"/>
      <c r="P36" s="1732"/>
    </row>
    <row r="37" spans="2:29" ht="93" customHeight="1" x14ac:dyDescent="0.2">
      <c r="B37" s="528"/>
      <c r="C37" s="2451"/>
      <c r="D37" s="2452"/>
      <c r="E37" s="1374" t="s">
        <v>2078</v>
      </c>
      <c r="F37" s="1375"/>
      <c r="G37" s="1375"/>
      <c r="H37" s="1375"/>
      <c r="I37" s="1375"/>
      <c r="J37" s="1375"/>
      <c r="K37" s="1375"/>
      <c r="L37" s="1375"/>
      <c r="M37" s="1375"/>
      <c r="N37" s="1375"/>
      <c r="O37" s="1376"/>
      <c r="P37" s="1733"/>
    </row>
    <row r="38" spans="2:29" ht="21" customHeight="1" x14ac:dyDescent="0.2">
      <c r="B38" s="328" t="s">
        <v>1949</v>
      </c>
      <c r="C38" s="2462"/>
      <c r="D38" s="2463"/>
      <c r="E38" s="1374" t="s">
        <v>1949</v>
      </c>
      <c r="F38" s="1375"/>
      <c r="G38" s="1375"/>
      <c r="H38" s="1375"/>
      <c r="I38" s="1375"/>
      <c r="J38" s="1375"/>
      <c r="K38" s="1375"/>
      <c r="L38" s="1375"/>
      <c r="M38" s="1375"/>
      <c r="N38" s="1375"/>
      <c r="O38" s="1376"/>
      <c r="P38" s="26">
        <f>IF(T38=1,0.1,0)</f>
        <v>0</v>
      </c>
      <c r="R38" s="1026" t="s">
        <v>2299</v>
      </c>
      <c r="S38" s="1230" t="b">
        <v>0</v>
      </c>
      <c r="T38" s="1229">
        <f>IF(S38=TRUE,1,0)</f>
        <v>0</v>
      </c>
    </row>
    <row r="39" spans="2:29" ht="21" customHeight="1" x14ac:dyDescent="0.2">
      <c r="B39" s="2390" t="s">
        <v>1950</v>
      </c>
      <c r="C39" s="2447"/>
      <c r="D39" s="2448"/>
      <c r="E39" s="1374" t="s">
        <v>1282</v>
      </c>
      <c r="F39" s="1375"/>
      <c r="G39" s="1375"/>
      <c r="H39" s="1375"/>
      <c r="I39" s="1375"/>
      <c r="J39" s="1375"/>
      <c r="K39" s="1375"/>
      <c r="L39" s="1375"/>
      <c r="M39" s="1375"/>
      <c r="N39" s="1375"/>
      <c r="O39" s="1376"/>
      <c r="P39" s="1612">
        <f>IF(S39=2,0.1,IF(S39=3,0.1,IF(S39=4,0.15,0)))</f>
        <v>0</v>
      </c>
      <c r="R39" s="1231" t="s">
        <v>2300</v>
      </c>
      <c r="S39" s="1230">
        <v>1</v>
      </c>
    </row>
    <row r="40" spans="2:29" ht="21" customHeight="1" x14ac:dyDescent="0.2">
      <c r="B40" s="2446"/>
      <c r="C40" s="2449"/>
      <c r="D40" s="2450"/>
      <c r="E40" s="1374" t="s">
        <v>1951</v>
      </c>
      <c r="F40" s="1375"/>
      <c r="G40" s="1375"/>
      <c r="H40" s="1375"/>
      <c r="I40" s="1375"/>
      <c r="J40" s="1375"/>
      <c r="K40" s="1375"/>
      <c r="L40" s="1375"/>
      <c r="M40" s="1375"/>
      <c r="N40" s="1375"/>
      <c r="O40" s="1376"/>
      <c r="P40" s="1732"/>
      <c r="R40" s="1246"/>
      <c r="S40" s="1233"/>
    </row>
    <row r="41" spans="2:29" ht="21" customHeight="1" x14ac:dyDescent="0.2">
      <c r="B41" s="525"/>
      <c r="C41" s="2449"/>
      <c r="D41" s="2450"/>
      <c r="E41" s="1374" t="s">
        <v>1952</v>
      </c>
      <c r="F41" s="1375"/>
      <c r="G41" s="1375"/>
      <c r="H41" s="1375"/>
      <c r="I41" s="1375"/>
      <c r="J41" s="1375"/>
      <c r="K41" s="1375"/>
      <c r="L41" s="1375"/>
      <c r="M41" s="1375"/>
      <c r="N41" s="1375"/>
      <c r="O41" s="1376"/>
      <c r="P41" s="1732"/>
    </row>
    <row r="42" spans="2:29" ht="21" customHeight="1" x14ac:dyDescent="0.2">
      <c r="B42" s="528"/>
      <c r="C42" s="2451"/>
      <c r="D42" s="2452"/>
      <c r="E42" s="1374" t="s">
        <v>1953</v>
      </c>
      <c r="F42" s="1375"/>
      <c r="G42" s="1375"/>
      <c r="H42" s="1375"/>
      <c r="I42" s="1375"/>
      <c r="J42" s="1375"/>
      <c r="K42" s="1375"/>
      <c r="L42" s="1375"/>
      <c r="M42" s="1375"/>
      <c r="N42" s="1375"/>
      <c r="O42" s="1376"/>
      <c r="P42" s="1733"/>
    </row>
    <row r="43" spans="2:29" ht="21" customHeight="1" x14ac:dyDescent="0.2">
      <c r="B43" s="2390" t="s">
        <v>837</v>
      </c>
      <c r="C43" s="2447"/>
      <c r="D43" s="2448"/>
      <c r="E43" s="1379" t="s">
        <v>1282</v>
      </c>
      <c r="F43" s="1379"/>
      <c r="G43" s="1379"/>
      <c r="H43" s="1379"/>
      <c r="I43" s="1379"/>
      <c r="J43" s="1379"/>
      <c r="K43" s="1379"/>
      <c r="L43" s="1379"/>
      <c r="M43" s="1379"/>
      <c r="N43" s="1379"/>
      <c r="O43" s="1379"/>
      <c r="P43" s="1612">
        <f>IF(S43=2,0.05,IF(S43=3,0.18,IF(S43=4,0.3,IF(S43=5,0.5,0))))</f>
        <v>0</v>
      </c>
      <c r="R43" s="1231" t="s">
        <v>2300</v>
      </c>
      <c r="S43" s="1230">
        <v>1</v>
      </c>
    </row>
    <row r="44" spans="2:29" ht="42" customHeight="1" x14ac:dyDescent="0.2">
      <c r="B44" s="2446"/>
      <c r="C44" s="2449"/>
      <c r="D44" s="2450"/>
      <c r="E44" s="1374" t="s">
        <v>2090</v>
      </c>
      <c r="F44" s="1375"/>
      <c r="G44" s="1375"/>
      <c r="H44" s="1375"/>
      <c r="I44" s="1375"/>
      <c r="J44" s="1375"/>
      <c r="K44" s="1375"/>
      <c r="L44" s="1375"/>
      <c r="M44" s="1375"/>
      <c r="N44" s="1375"/>
      <c r="O44" s="1376"/>
      <c r="P44" s="1732"/>
      <c r="R44" s="1246"/>
      <c r="S44" s="1233"/>
    </row>
    <row r="45" spans="2:29" ht="39.75" customHeight="1" x14ac:dyDescent="0.2">
      <c r="B45" s="525"/>
      <c r="C45" s="2449"/>
      <c r="D45" s="2450"/>
      <c r="E45" s="1374" t="s">
        <v>2091</v>
      </c>
      <c r="F45" s="1375"/>
      <c r="G45" s="1375"/>
      <c r="H45" s="1375"/>
      <c r="I45" s="1375"/>
      <c r="J45" s="1375"/>
      <c r="K45" s="1375"/>
      <c r="L45" s="1375"/>
      <c r="M45" s="1375"/>
      <c r="N45" s="1375"/>
      <c r="O45" s="1376"/>
      <c r="P45" s="1732"/>
    </row>
    <row r="46" spans="2:29" ht="32.25" customHeight="1" x14ac:dyDescent="0.2">
      <c r="B46" s="525"/>
      <c r="C46" s="2449"/>
      <c r="D46" s="2450"/>
      <c r="E46" s="1374" t="s">
        <v>2092</v>
      </c>
      <c r="F46" s="1375"/>
      <c r="G46" s="1375"/>
      <c r="H46" s="1375"/>
      <c r="I46" s="1375"/>
      <c r="J46" s="1375"/>
      <c r="K46" s="1375"/>
      <c r="L46" s="1375"/>
      <c r="M46" s="1375"/>
      <c r="N46" s="1375"/>
      <c r="O46" s="1376"/>
      <c r="P46" s="1732"/>
      <c r="Y46" s="3"/>
      <c r="Z46" s="3"/>
      <c r="AA46" s="3"/>
      <c r="AB46" s="3"/>
      <c r="AC46" s="3"/>
    </row>
    <row r="47" spans="2:29" ht="30" customHeight="1" x14ac:dyDescent="0.2">
      <c r="B47" s="528"/>
      <c r="C47" s="2451"/>
      <c r="D47" s="2452"/>
      <c r="E47" s="1374" t="s">
        <v>2093</v>
      </c>
      <c r="F47" s="1375"/>
      <c r="G47" s="1375"/>
      <c r="H47" s="1375"/>
      <c r="I47" s="1375"/>
      <c r="J47" s="1375"/>
      <c r="K47" s="1375"/>
      <c r="L47" s="1375"/>
      <c r="M47" s="1375"/>
      <c r="N47" s="1375"/>
      <c r="O47" s="1376"/>
      <c r="P47" s="1733"/>
      <c r="Y47" s="499"/>
      <c r="Z47" s="37"/>
      <c r="AA47" s="524"/>
      <c r="AB47" s="499"/>
      <c r="AC47" s="3"/>
    </row>
    <row r="48" spans="2:29" ht="21" customHeight="1" x14ac:dyDescent="0.2">
      <c r="B48" s="2390" t="s">
        <v>1583</v>
      </c>
      <c r="C48" s="2447"/>
      <c r="D48" s="2448"/>
      <c r="E48" s="1379" t="s">
        <v>1282</v>
      </c>
      <c r="F48" s="1379"/>
      <c r="G48" s="1379"/>
      <c r="H48" s="1379"/>
      <c r="I48" s="1379"/>
      <c r="J48" s="1379"/>
      <c r="K48" s="1379"/>
      <c r="L48" s="1379"/>
      <c r="M48" s="1379"/>
      <c r="N48" s="1379"/>
      <c r="O48" s="1379"/>
      <c r="P48" s="1612">
        <f>IF(S48=2,0.03,IF(S48=3,0.15,0))</f>
        <v>0</v>
      </c>
      <c r="R48" s="1231" t="s">
        <v>2300</v>
      </c>
      <c r="S48" s="1230">
        <v>1</v>
      </c>
      <c r="Y48" s="499"/>
      <c r="Z48" s="37"/>
      <c r="AA48" s="524"/>
      <c r="AB48" s="499"/>
      <c r="AC48" s="3"/>
    </row>
    <row r="49" spans="2:29" ht="27" customHeight="1" x14ac:dyDescent="0.2">
      <c r="B49" s="2391"/>
      <c r="C49" s="2449"/>
      <c r="D49" s="2450"/>
      <c r="E49" s="1374" t="s">
        <v>2094</v>
      </c>
      <c r="F49" s="1375"/>
      <c r="G49" s="1375"/>
      <c r="H49" s="1375"/>
      <c r="I49" s="1375"/>
      <c r="J49" s="1375"/>
      <c r="K49" s="1375"/>
      <c r="L49" s="1375"/>
      <c r="M49" s="1375"/>
      <c r="N49" s="1375"/>
      <c r="O49" s="1376"/>
      <c r="P49" s="1732"/>
      <c r="S49" s="1233"/>
      <c r="Y49" s="499"/>
      <c r="Z49" s="37"/>
      <c r="AA49" s="524"/>
      <c r="AB49" s="499"/>
      <c r="AC49" s="3"/>
    </row>
    <row r="50" spans="2:29" ht="27" customHeight="1" x14ac:dyDescent="0.2">
      <c r="B50" s="2413"/>
      <c r="C50" s="2451"/>
      <c r="D50" s="2452"/>
      <c r="E50" s="1367" t="s">
        <v>2095</v>
      </c>
      <c r="F50" s="1368"/>
      <c r="G50" s="1368"/>
      <c r="H50" s="1368"/>
      <c r="I50" s="1368"/>
      <c r="J50" s="1368"/>
      <c r="K50" s="1368"/>
      <c r="L50" s="1368"/>
      <c r="M50" s="1368"/>
      <c r="N50" s="1368"/>
      <c r="O50" s="1369"/>
      <c r="P50" s="1733"/>
      <c r="Y50" s="499"/>
      <c r="Z50" s="37"/>
      <c r="AA50" s="524"/>
      <c r="AB50" s="499"/>
      <c r="AC50" s="3"/>
    </row>
    <row r="51" spans="2:29" ht="21" customHeight="1" x14ac:dyDescent="0.2">
      <c r="B51" s="2390" t="s">
        <v>1584</v>
      </c>
      <c r="C51" s="2462"/>
      <c r="D51" s="2463"/>
      <c r="E51" s="1379" t="s">
        <v>1282</v>
      </c>
      <c r="F51" s="1379"/>
      <c r="G51" s="1379"/>
      <c r="H51" s="1379"/>
      <c r="I51" s="1379"/>
      <c r="J51" s="1379"/>
      <c r="K51" s="1379"/>
      <c r="L51" s="1379"/>
      <c r="M51" s="1379"/>
      <c r="N51" s="1379"/>
      <c r="O51" s="1379"/>
      <c r="P51" s="1612">
        <f>S53+S54+S55</f>
        <v>0</v>
      </c>
      <c r="R51" s="1231" t="s">
        <v>2300</v>
      </c>
      <c r="S51" s="1230">
        <v>1</v>
      </c>
      <c r="Y51" s="499"/>
      <c r="Z51" s="37"/>
      <c r="AA51" s="524"/>
      <c r="AB51" s="499"/>
      <c r="AC51" s="3"/>
    </row>
    <row r="52" spans="2:29" ht="27" customHeight="1" x14ac:dyDescent="0.2">
      <c r="B52" s="2391"/>
      <c r="C52" s="307"/>
      <c r="D52" s="308"/>
      <c r="E52" s="1367" t="s">
        <v>2079</v>
      </c>
      <c r="F52" s="1368"/>
      <c r="G52" s="1368"/>
      <c r="H52" s="1368"/>
      <c r="I52" s="1368"/>
      <c r="J52" s="1368"/>
      <c r="K52" s="1368"/>
      <c r="L52" s="1368"/>
      <c r="M52" s="1368"/>
      <c r="N52" s="1368"/>
      <c r="O52" s="1369"/>
      <c r="P52" s="1732"/>
      <c r="R52" s="1246"/>
      <c r="S52" s="1233"/>
      <c r="Y52" s="499"/>
      <c r="Z52" s="37"/>
      <c r="AA52" s="524"/>
      <c r="AB52" s="499"/>
      <c r="AC52" s="3"/>
    </row>
    <row r="53" spans="2:29" ht="21" customHeight="1" x14ac:dyDescent="0.2">
      <c r="B53" s="2391"/>
      <c r="C53" s="307"/>
      <c r="D53" s="308"/>
      <c r="E53" s="2466" t="s">
        <v>1944</v>
      </c>
      <c r="F53" s="2467"/>
      <c r="G53" s="2467"/>
      <c r="H53" s="2467"/>
      <c r="I53" s="2467"/>
      <c r="J53" s="2467"/>
      <c r="K53" s="2467"/>
      <c r="L53" s="2467"/>
      <c r="M53" s="2467"/>
      <c r="N53" s="2467"/>
      <c r="O53" s="2468"/>
      <c r="P53" s="1732"/>
      <c r="R53" s="2461" t="s">
        <v>2302</v>
      </c>
      <c r="S53" s="452">
        <f>IF(S51=2,0.12,IF(S51=3,0.08,IF(S51=4,0.04,0)))</f>
        <v>0</v>
      </c>
      <c r="W53" s="191"/>
      <c r="Y53" s="499"/>
      <c r="Z53" s="37"/>
      <c r="AA53" s="524"/>
      <c r="AB53" s="499"/>
      <c r="AC53" s="3"/>
    </row>
    <row r="54" spans="2:29" ht="27" customHeight="1" x14ac:dyDescent="0.2">
      <c r="B54" s="2391"/>
      <c r="C54" s="307"/>
      <c r="D54" s="308"/>
      <c r="E54" s="1367" t="s">
        <v>2080</v>
      </c>
      <c r="F54" s="1368"/>
      <c r="G54" s="1368"/>
      <c r="H54" s="1368"/>
      <c r="I54" s="1368"/>
      <c r="J54" s="1368"/>
      <c r="K54" s="1368"/>
      <c r="L54" s="1368"/>
      <c r="M54" s="1368"/>
      <c r="N54" s="1368"/>
      <c r="O54" s="1369"/>
      <c r="P54" s="1732"/>
      <c r="R54" s="2461"/>
      <c r="S54" s="452">
        <f>IF(S51=5,0.21,IF(S51=6,0.14,IF(S51=7,0.07,0)))</f>
        <v>0</v>
      </c>
      <c r="Y54" s="499"/>
      <c r="Z54" s="37"/>
      <c r="AA54" s="524"/>
      <c r="AB54" s="499"/>
      <c r="AC54" s="3"/>
    </row>
    <row r="55" spans="2:29" ht="21" customHeight="1" x14ac:dyDescent="0.2">
      <c r="B55" s="525"/>
      <c r="C55" s="307"/>
      <c r="D55" s="308"/>
      <c r="E55" s="2466" t="s">
        <v>1944</v>
      </c>
      <c r="F55" s="2467"/>
      <c r="G55" s="2467"/>
      <c r="H55" s="2467"/>
      <c r="I55" s="2467"/>
      <c r="J55" s="2467"/>
      <c r="K55" s="2467"/>
      <c r="L55" s="2467"/>
      <c r="M55" s="2467"/>
      <c r="N55" s="2467"/>
      <c r="O55" s="2468"/>
      <c r="P55" s="1732"/>
      <c r="R55" s="2461"/>
      <c r="S55" s="452">
        <f>IF(S51=8,0.3,IF(S51=9,0.2,IF(S51=10,0.1,0)))</f>
        <v>0</v>
      </c>
      <c r="W55" s="191"/>
      <c r="Y55" s="499"/>
      <c r="Z55" s="37"/>
      <c r="AA55" s="524"/>
      <c r="AB55" s="499"/>
      <c r="AC55" s="3"/>
    </row>
    <row r="56" spans="2:29" ht="27" customHeight="1" x14ac:dyDescent="0.2">
      <c r="B56" s="525"/>
      <c r="C56" s="307"/>
      <c r="D56" s="308"/>
      <c r="E56" s="1367" t="s">
        <v>2081</v>
      </c>
      <c r="F56" s="1368"/>
      <c r="G56" s="1368"/>
      <c r="H56" s="1368"/>
      <c r="I56" s="1368"/>
      <c r="J56" s="1368"/>
      <c r="K56" s="1368"/>
      <c r="L56" s="1368"/>
      <c r="M56" s="1368"/>
      <c r="N56" s="1368"/>
      <c r="O56" s="1369"/>
      <c r="P56" s="1732"/>
      <c r="Y56" s="499"/>
      <c r="Z56" s="37"/>
      <c r="AA56" s="524"/>
      <c r="AB56" s="499"/>
      <c r="AC56" s="3"/>
    </row>
    <row r="57" spans="2:29" ht="21" customHeight="1" x14ac:dyDescent="0.2">
      <c r="B57" s="528"/>
      <c r="C57" s="309"/>
      <c r="D57" s="310"/>
      <c r="E57" s="2466" t="s">
        <v>1944</v>
      </c>
      <c r="F57" s="2467"/>
      <c r="G57" s="2467"/>
      <c r="H57" s="2467"/>
      <c r="I57" s="2467"/>
      <c r="J57" s="2467"/>
      <c r="K57" s="2467"/>
      <c r="L57" s="2467"/>
      <c r="M57" s="2467"/>
      <c r="N57" s="2467"/>
      <c r="O57" s="2468"/>
      <c r="P57" s="1733"/>
      <c r="Y57" s="499"/>
      <c r="Z57" s="37"/>
      <c r="AA57" s="524"/>
      <c r="AB57" s="499"/>
      <c r="AC57" s="3"/>
    </row>
    <row r="58" spans="2:29" ht="21" customHeight="1" x14ac:dyDescent="0.2">
      <c r="B58" s="2390" t="s">
        <v>564</v>
      </c>
      <c r="C58" s="2447"/>
      <c r="D58" s="2448"/>
      <c r="E58" s="1379" t="s">
        <v>1282</v>
      </c>
      <c r="F58" s="1379"/>
      <c r="G58" s="1379"/>
      <c r="H58" s="1379"/>
      <c r="I58" s="1379"/>
      <c r="J58" s="1379"/>
      <c r="K58" s="1379"/>
      <c r="L58" s="1379"/>
      <c r="M58" s="1379"/>
      <c r="N58" s="1379"/>
      <c r="O58" s="1379"/>
      <c r="P58" s="1612">
        <f>IF(S58=2,0.08,IF(S58=3,0.2,IF(S58=4,0.32,0)))</f>
        <v>0</v>
      </c>
      <c r="R58" s="1231" t="s">
        <v>2300</v>
      </c>
      <c r="S58" s="1230">
        <v>1</v>
      </c>
      <c r="Y58" s="499"/>
      <c r="Z58" s="37"/>
      <c r="AA58" s="524"/>
      <c r="AB58" s="499"/>
      <c r="AC58" s="3"/>
    </row>
    <row r="59" spans="2:29" ht="78" customHeight="1" x14ac:dyDescent="0.2">
      <c r="B59" s="2446"/>
      <c r="C59" s="2449"/>
      <c r="D59" s="2450"/>
      <c r="E59" s="1374" t="s">
        <v>2082</v>
      </c>
      <c r="F59" s="1375"/>
      <c r="G59" s="1375"/>
      <c r="H59" s="1375"/>
      <c r="I59" s="1375"/>
      <c r="J59" s="1375"/>
      <c r="K59" s="1375"/>
      <c r="L59" s="1375"/>
      <c r="M59" s="1375"/>
      <c r="N59" s="1375"/>
      <c r="O59" s="1376"/>
      <c r="P59" s="1732"/>
      <c r="R59" s="1246"/>
      <c r="S59" s="1233"/>
      <c r="Y59" s="499"/>
      <c r="Z59" s="37"/>
      <c r="AA59" s="524"/>
      <c r="AB59" s="499"/>
      <c r="AC59" s="3"/>
    </row>
    <row r="60" spans="2:29" ht="43.5" customHeight="1" x14ac:dyDescent="0.2">
      <c r="B60" s="525"/>
      <c r="C60" s="2449"/>
      <c r="D60" s="2450"/>
      <c r="E60" s="1374" t="s">
        <v>2083</v>
      </c>
      <c r="F60" s="1375"/>
      <c r="G60" s="1375"/>
      <c r="H60" s="1375"/>
      <c r="I60" s="1375"/>
      <c r="J60" s="1375"/>
      <c r="K60" s="1375"/>
      <c r="L60" s="1375"/>
      <c r="M60" s="1375"/>
      <c r="N60" s="1375"/>
      <c r="O60" s="1376"/>
      <c r="P60" s="1732"/>
      <c r="Y60" s="499"/>
      <c r="Z60" s="37"/>
      <c r="AA60" s="3"/>
      <c r="AB60" s="3"/>
      <c r="AC60" s="3"/>
    </row>
    <row r="61" spans="2:29" ht="70.5" customHeight="1" x14ac:dyDescent="0.2">
      <c r="B61" s="528"/>
      <c r="C61" s="2451"/>
      <c r="D61" s="2452"/>
      <c r="E61" s="1374" t="s">
        <v>2084</v>
      </c>
      <c r="F61" s="1375"/>
      <c r="G61" s="1375"/>
      <c r="H61" s="1375"/>
      <c r="I61" s="1375"/>
      <c r="J61" s="1375"/>
      <c r="K61" s="1375"/>
      <c r="L61" s="1375"/>
      <c r="M61" s="1375"/>
      <c r="N61" s="1375"/>
      <c r="O61" s="1376"/>
      <c r="P61" s="1733"/>
    </row>
    <row r="62" spans="2:29" s="408" customFormat="1" ht="12" customHeight="1" x14ac:dyDescent="0.2">
      <c r="B62" s="529"/>
      <c r="C62" s="49"/>
      <c r="D62" s="49"/>
      <c r="E62" s="167"/>
      <c r="F62" s="167"/>
      <c r="G62" s="167"/>
      <c r="H62" s="167"/>
      <c r="I62" s="167"/>
      <c r="J62" s="167"/>
      <c r="K62" s="167"/>
      <c r="L62" s="167"/>
      <c r="M62" s="167"/>
      <c r="N62" s="167"/>
      <c r="O62" s="167"/>
      <c r="P62" s="273"/>
    </row>
    <row r="63" spans="2:29" s="8" customFormat="1" ht="12" customHeight="1" x14ac:dyDescent="0.25">
      <c r="B63" s="2465"/>
      <c r="C63" s="2465"/>
      <c r="D63" s="2465"/>
      <c r="E63" s="2465"/>
      <c r="F63" s="2465"/>
      <c r="G63" s="2465"/>
      <c r="H63" s="2465"/>
      <c r="I63" s="2465"/>
      <c r="J63" s="2465"/>
      <c r="K63" s="2465"/>
      <c r="L63" s="2465"/>
      <c r="M63" s="2465"/>
      <c r="N63" s="2465"/>
      <c r="O63" s="2465"/>
      <c r="P63" s="2465"/>
    </row>
    <row r="64" spans="2:29" ht="30" customHeight="1" x14ac:dyDescent="0.2">
      <c r="B64" s="1632" t="s">
        <v>1818</v>
      </c>
      <c r="C64" s="1633"/>
      <c r="D64" s="1633"/>
      <c r="E64" s="1633"/>
      <c r="F64" s="1633"/>
      <c r="G64" s="1633"/>
      <c r="H64" s="1633"/>
      <c r="I64" s="1633"/>
      <c r="J64" s="1633"/>
      <c r="K64" s="1633"/>
      <c r="L64" s="1633"/>
      <c r="M64" s="1633"/>
      <c r="N64" s="1634"/>
      <c r="O64" s="215" t="s">
        <v>1525</v>
      </c>
      <c r="P64" s="392" t="s">
        <v>1304</v>
      </c>
      <c r="R64" s="1026" t="s">
        <v>2298</v>
      </c>
      <c r="S64" s="1231" t="s">
        <v>1304</v>
      </c>
      <c r="T64" s="1228" t="s">
        <v>1305</v>
      </c>
      <c r="U64" s="1228" t="s">
        <v>1306</v>
      </c>
      <c r="V64" s="1228" t="s">
        <v>1307</v>
      </c>
    </row>
    <row r="65" spans="2:22" ht="19.5" customHeight="1" x14ac:dyDescent="0.2">
      <c r="B65" s="2428" t="s">
        <v>1136</v>
      </c>
      <c r="C65" s="2428"/>
      <c r="D65" s="2428"/>
      <c r="E65" s="2428"/>
      <c r="F65" s="2428"/>
      <c r="G65" s="2428"/>
      <c r="H65" s="2428"/>
      <c r="I65" s="2428"/>
      <c r="J65" s="2428"/>
      <c r="K65" s="2428"/>
      <c r="L65" s="1373">
        <f>P4</f>
        <v>0</v>
      </c>
      <c r="M65" s="1373"/>
      <c r="N65" s="1373"/>
      <c r="O65" s="261"/>
      <c r="P65" s="303">
        <f>IF(AND(R65&gt;0,R65&lt;0.01),0.01,ROUND(R65,2))</f>
        <v>0</v>
      </c>
      <c r="R65" s="690">
        <f>IF(O65&gt;0,L65*O65,L65)</f>
        <v>0</v>
      </c>
      <c r="S65" s="479">
        <f>P65</f>
        <v>0</v>
      </c>
      <c r="T65" s="452">
        <f>LARGE($S$65:$S$78,1)</f>
        <v>0</v>
      </c>
      <c r="U65" s="495">
        <f>T65+T66*(1-T65)</f>
        <v>0</v>
      </c>
      <c r="V65" s="479">
        <f t="shared" ref="V65:V77" si="0">ROUND(U65,2)</f>
        <v>0</v>
      </c>
    </row>
    <row r="66" spans="2:22" ht="19.5" customHeight="1" x14ac:dyDescent="0.2">
      <c r="B66" s="2429" t="s">
        <v>1137</v>
      </c>
      <c r="C66" s="2429"/>
      <c r="D66" s="2429"/>
      <c r="E66" s="2429"/>
      <c r="F66" s="2429"/>
      <c r="G66" s="2429"/>
      <c r="H66" s="2429"/>
      <c r="I66" s="2429"/>
      <c r="J66" s="2429"/>
      <c r="K66" s="2429"/>
      <c r="L66" s="1373">
        <f>P8</f>
        <v>0</v>
      </c>
      <c r="M66" s="1373"/>
      <c r="N66" s="1373"/>
      <c r="O66" s="261"/>
      <c r="P66" s="303">
        <f t="shared" ref="P66:P78" si="1">IF(AND(R66&gt;0,R66&lt;0.01),0.01,ROUND(R66,2))</f>
        <v>0</v>
      </c>
      <c r="R66" s="690">
        <f t="shared" ref="R66:R78" si="2">IF(O66&gt;0,L66*O66,L66)</f>
        <v>0</v>
      </c>
      <c r="S66" s="479">
        <f t="shared" ref="S66:S78" si="3">P66</f>
        <v>0</v>
      </c>
      <c r="T66" s="452">
        <f>LARGE($S$65:$S$78,2)</f>
        <v>0</v>
      </c>
      <c r="U66" s="495">
        <f t="shared" ref="U66:U77" si="4">V65+T67*(1-V65)</f>
        <v>0</v>
      </c>
      <c r="V66" s="479">
        <f t="shared" si="0"/>
        <v>0</v>
      </c>
    </row>
    <row r="67" spans="2:22" ht="19.5" customHeight="1" x14ac:dyDescent="0.2">
      <c r="B67" s="2335" t="s">
        <v>1829</v>
      </c>
      <c r="C67" s="2414"/>
      <c r="D67" s="2414"/>
      <c r="E67" s="2414"/>
      <c r="F67" s="2414"/>
      <c r="G67" s="2414"/>
      <c r="H67" s="2414"/>
      <c r="I67" s="2414"/>
      <c r="J67" s="2414"/>
      <c r="K67" s="2336"/>
      <c r="L67" s="1373">
        <f>P13</f>
        <v>0</v>
      </c>
      <c r="M67" s="1373"/>
      <c r="N67" s="1373"/>
      <c r="O67" s="261"/>
      <c r="P67" s="303">
        <f t="shared" si="1"/>
        <v>0</v>
      </c>
      <c r="R67" s="690">
        <f t="shared" si="2"/>
        <v>0</v>
      </c>
      <c r="S67" s="479">
        <f t="shared" si="3"/>
        <v>0</v>
      </c>
      <c r="T67" s="452">
        <f>LARGE($S$65:$S$78,3)</f>
        <v>0</v>
      </c>
      <c r="U67" s="495">
        <f t="shared" si="4"/>
        <v>0</v>
      </c>
      <c r="V67" s="479">
        <f t="shared" si="0"/>
        <v>0</v>
      </c>
    </row>
    <row r="68" spans="2:22" ht="19.5" customHeight="1" x14ac:dyDescent="0.2">
      <c r="B68" s="2335" t="s">
        <v>1830</v>
      </c>
      <c r="C68" s="2414"/>
      <c r="D68" s="2414"/>
      <c r="E68" s="2414"/>
      <c r="F68" s="2414"/>
      <c r="G68" s="2414"/>
      <c r="H68" s="2414"/>
      <c r="I68" s="2414"/>
      <c r="J68" s="2414"/>
      <c r="K68" s="2336"/>
      <c r="L68" s="1373">
        <f>P18</f>
        <v>0</v>
      </c>
      <c r="M68" s="1373"/>
      <c r="N68" s="1373"/>
      <c r="O68" s="261"/>
      <c r="P68" s="303">
        <f t="shared" si="1"/>
        <v>0</v>
      </c>
      <c r="R68" s="690">
        <f t="shared" si="2"/>
        <v>0</v>
      </c>
      <c r="S68" s="479">
        <f t="shared" si="3"/>
        <v>0</v>
      </c>
      <c r="T68" s="452">
        <f>LARGE($S$65:$S$78,4)</f>
        <v>0</v>
      </c>
      <c r="U68" s="495">
        <f t="shared" si="4"/>
        <v>0</v>
      </c>
      <c r="V68" s="479">
        <f t="shared" si="0"/>
        <v>0</v>
      </c>
    </row>
    <row r="69" spans="2:22" ht="19.5" customHeight="1" x14ac:dyDescent="0.2">
      <c r="B69" s="2335" t="s">
        <v>1831</v>
      </c>
      <c r="C69" s="2414"/>
      <c r="D69" s="2414"/>
      <c r="E69" s="2414"/>
      <c r="F69" s="2414"/>
      <c r="G69" s="2414"/>
      <c r="H69" s="2414"/>
      <c r="I69" s="2414"/>
      <c r="J69" s="2414"/>
      <c r="K69" s="2336"/>
      <c r="L69" s="1373">
        <f>P22</f>
        <v>0</v>
      </c>
      <c r="M69" s="1373"/>
      <c r="N69" s="1373"/>
      <c r="O69" s="261"/>
      <c r="P69" s="303">
        <f t="shared" si="1"/>
        <v>0</v>
      </c>
      <c r="R69" s="690">
        <f t="shared" si="2"/>
        <v>0</v>
      </c>
      <c r="S69" s="479">
        <f t="shared" si="3"/>
        <v>0</v>
      </c>
      <c r="T69" s="452">
        <f>LARGE($S$65:$S$78,5)</f>
        <v>0</v>
      </c>
      <c r="U69" s="495">
        <f t="shared" si="4"/>
        <v>0</v>
      </c>
      <c r="V69" s="479">
        <f t="shared" si="0"/>
        <v>0</v>
      </c>
    </row>
    <row r="70" spans="2:22" ht="19.5" customHeight="1" x14ac:dyDescent="0.2">
      <c r="B70" s="2335" t="s">
        <v>622</v>
      </c>
      <c r="C70" s="2414"/>
      <c r="D70" s="2414"/>
      <c r="E70" s="2414"/>
      <c r="F70" s="2414"/>
      <c r="G70" s="2414"/>
      <c r="H70" s="2414"/>
      <c r="I70" s="2414"/>
      <c r="J70" s="2414"/>
      <c r="K70" s="2336"/>
      <c r="L70" s="1373">
        <f>P27</f>
        <v>0</v>
      </c>
      <c r="M70" s="1373"/>
      <c r="N70" s="1373"/>
      <c r="O70" s="386" t="s">
        <v>1942</v>
      </c>
      <c r="P70" s="303">
        <f>L70</f>
        <v>0</v>
      </c>
      <c r="R70" s="690"/>
      <c r="S70" s="479">
        <f t="shared" si="3"/>
        <v>0</v>
      </c>
      <c r="T70" s="452">
        <f>LARGE($S$65:$S$78,6)</f>
        <v>0</v>
      </c>
      <c r="U70" s="495">
        <f t="shared" si="4"/>
        <v>0</v>
      </c>
      <c r="V70" s="479">
        <f t="shared" si="0"/>
        <v>0</v>
      </c>
    </row>
    <row r="71" spans="2:22" ht="19.5" customHeight="1" x14ac:dyDescent="0.2">
      <c r="B71" s="2335" t="s">
        <v>1832</v>
      </c>
      <c r="C71" s="2414"/>
      <c r="D71" s="2414"/>
      <c r="E71" s="2414"/>
      <c r="F71" s="2414"/>
      <c r="G71" s="2414"/>
      <c r="H71" s="2414"/>
      <c r="I71" s="2414"/>
      <c r="J71" s="2414"/>
      <c r="K71" s="2336"/>
      <c r="L71" s="1373">
        <f>P28</f>
        <v>0</v>
      </c>
      <c r="M71" s="1373"/>
      <c r="N71" s="1373"/>
      <c r="O71" s="261"/>
      <c r="P71" s="303">
        <f t="shared" si="1"/>
        <v>0</v>
      </c>
      <c r="R71" s="690">
        <f t="shared" si="2"/>
        <v>0</v>
      </c>
      <c r="S71" s="479">
        <f t="shared" si="3"/>
        <v>0</v>
      </c>
      <c r="T71" s="452">
        <f>LARGE($S$65:$S$78,7)</f>
        <v>0</v>
      </c>
      <c r="U71" s="495">
        <f t="shared" si="4"/>
        <v>0</v>
      </c>
      <c r="V71" s="479">
        <f t="shared" si="0"/>
        <v>0</v>
      </c>
    </row>
    <row r="72" spans="2:22" ht="19.5" customHeight="1" x14ac:dyDescent="0.2">
      <c r="B72" s="2335" t="s">
        <v>1833</v>
      </c>
      <c r="C72" s="2414"/>
      <c r="D72" s="2414"/>
      <c r="E72" s="2414"/>
      <c r="F72" s="2414"/>
      <c r="G72" s="2414"/>
      <c r="H72" s="2414"/>
      <c r="I72" s="2414"/>
      <c r="J72" s="2414"/>
      <c r="K72" s="2336"/>
      <c r="L72" s="1373">
        <f>P33</f>
        <v>0</v>
      </c>
      <c r="M72" s="1373"/>
      <c r="N72" s="1373"/>
      <c r="O72" s="261"/>
      <c r="P72" s="303">
        <f t="shared" si="1"/>
        <v>0</v>
      </c>
      <c r="R72" s="690">
        <f t="shared" si="2"/>
        <v>0</v>
      </c>
      <c r="S72" s="479">
        <f t="shared" si="3"/>
        <v>0</v>
      </c>
      <c r="T72" s="452">
        <f>LARGE($S$65:$S$78,8)</f>
        <v>0</v>
      </c>
      <c r="U72" s="495">
        <f t="shared" si="4"/>
        <v>0</v>
      </c>
      <c r="V72" s="479">
        <f t="shared" si="0"/>
        <v>0</v>
      </c>
    </row>
    <row r="73" spans="2:22" ht="19.5" customHeight="1" x14ac:dyDescent="0.2">
      <c r="B73" s="2335" t="s">
        <v>1949</v>
      </c>
      <c r="C73" s="2414"/>
      <c r="D73" s="2414"/>
      <c r="E73" s="2414"/>
      <c r="F73" s="2414"/>
      <c r="G73" s="2414"/>
      <c r="H73" s="2414"/>
      <c r="I73" s="2414"/>
      <c r="J73" s="2414"/>
      <c r="K73" s="2336"/>
      <c r="L73" s="1373">
        <f>P38</f>
        <v>0</v>
      </c>
      <c r="M73" s="1373"/>
      <c r="N73" s="1373"/>
      <c r="O73" s="387" t="s">
        <v>1942</v>
      </c>
      <c r="P73" s="303">
        <f>L73</f>
        <v>0</v>
      </c>
      <c r="R73" s="690"/>
      <c r="S73" s="479">
        <f t="shared" si="3"/>
        <v>0</v>
      </c>
      <c r="T73" s="452">
        <f>LARGE($S$65:$S$78,9)</f>
        <v>0</v>
      </c>
      <c r="U73" s="495">
        <f t="shared" si="4"/>
        <v>0</v>
      </c>
      <c r="V73" s="479">
        <f t="shared" si="0"/>
        <v>0</v>
      </c>
    </row>
    <row r="74" spans="2:22" ht="19.5" customHeight="1" x14ac:dyDescent="0.2">
      <c r="B74" s="2335" t="s">
        <v>1838</v>
      </c>
      <c r="C74" s="2414"/>
      <c r="D74" s="2414"/>
      <c r="E74" s="2414"/>
      <c r="F74" s="2414"/>
      <c r="G74" s="2414"/>
      <c r="H74" s="2414"/>
      <c r="I74" s="2414"/>
      <c r="J74" s="2414"/>
      <c r="K74" s="2336"/>
      <c r="L74" s="1373">
        <f>P39</f>
        <v>0</v>
      </c>
      <c r="M74" s="1373"/>
      <c r="N74" s="1373"/>
      <c r="O74" s="387" t="s">
        <v>1942</v>
      </c>
      <c r="P74" s="303">
        <f>L74</f>
        <v>0</v>
      </c>
      <c r="R74" s="690"/>
      <c r="S74" s="479">
        <f t="shared" si="3"/>
        <v>0</v>
      </c>
      <c r="T74" s="452">
        <f>LARGE($S$65:$S$78,10)</f>
        <v>0</v>
      </c>
      <c r="U74" s="495">
        <f t="shared" si="4"/>
        <v>0</v>
      </c>
      <c r="V74" s="479">
        <f t="shared" si="0"/>
        <v>0</v>
      </c>
    </row>
    <row r="75" spans="2:22" ht="19.5" customHeight="1" x14ac:dyDescent="0.2">
      <c r="B75" s="2335" t="s">
        <v>1834</v>
      </c>
      <c r="C75" s="2414"/>
      <c r="D75" s="2414"/>
      <c r="E75" s="2414"/>
      <c r="F75" s="2414"/>
      <c r="G75" s="2414"/>
      <c r="H75" s="2414"/>
      <c r="I75" s="2414"/>
      <c r="J75" s="2414"/>
      <c r="K75" s="2336"/>
      <c r="L75" s="1373">
        <f>P43</f>
        <v>0</v>
      </c>
      <c r="M75" s="1373"/>
      <c r="N75" s="1373"/>
      <c r="O75" s="261"/>
      <c r="P75" s="303">
        <f t="shared" si="1"/>
        <v>0</v>
      </c>
      <c r="R75" s="690">
        <f t="shared" si="2"/>
        <v>0</v>
      </c>
      <c r="S75" s="479">
        <f t="shared" si="3"/>
        <v>0</v>
      </c>
      <c r="T75" s="452">
        <f>LARGE($S$65:$S$78,11)</f>
        <v>0</v>
      </c>
      <c r="U75" s="495">
        <f t="shared" si="4"/>
        <v>0</v>
      </c>
      <c r="V75" s="479">
        <f t="shared" si="0"/>
        <v>0</v>
      </c>
    </row>
    <row r="76" spans="2:22" ht="19.5" customHeight="1" x14ac:dyDescent="0.2">
      <c r="B76" s="2335" t="s">
        <v>1835</v>
      </c>
      <c r="C76" s="2414"/>
      <c r="D76" s="2414"/>
      <c r="E76" s="2414"/>
      <c r="F76" s="2414"/>
      <c r="G76" s="2414"/>
      <c r="H76" s="2414"/>
      <c r="I76" s="2414"/>
      <c r="J76" s="2414"/>
      <c r="K76" s="2336"/>
      <c r="L76" s="1373">
        <f>P48</f>
        <v>0</v>
      </c>
      <c r="M76" s="1373"/>
      <c r="N76" s="1373"/>
      <c r="O76" s="261"/>
      <c r="P76" s="303">
        <f t="shared" si="1"/>
        <v>0</v>
      </c>
      <c r="R76" s="690">
        <f t="shared" si="2"/>
        <v>0</v>
      </c>
      <c r="S76" s="479">
        <f t="shared" si="3"/>
        <v>0</v>
      </c>
      <c r="T76" s="452">
        <f>LARGE($S$65:$S$78,12)</f>
        <v>0</v>
      </c>
      <c r="U76" s="495">
        <f t="shared" si="4"/>
        <v>0</v>
      </c>
      <c r="V76" s="479">
        <f t="shared" si="0"/>
        <v>0</v>
      </c>
    </row>
    <row r="77" spans="2:22" ht="19.5" customHeight="1" x14ac:dyDescent="0.2">
      <c r="B77" s="2335" t="s">
        <v>1836</v>
      </c>
      <c r="C77" s="2414"/>
      <c r="D77" s="2414"/>
      <c r="E77" s="2414"/>
      <c r="F77" s="2414"/>
      <c r="G77" s="2414"/>
      <c r="H77" s="2414"/>
      <c r="I77" s="2414"/>
      <c r="J77" s="2414"/>
      <c r="K77" s="2336"/>
      <c r="L77" s="1373">
        <f>P51</f>
        <v>0</v>
      </c>
      <c r="M77" s="1373"/>
      <c r="N77" s="1373"/>
      <c r="O77" s="261"/>
      <c r="P77" s="303">
        <f t="shared" si="1"/>
        <v>0</v>
      </c>
      <c r="R77" s="690">
        <f t="shared" si="2"/>
        <v>0</v>
      </c>
      <c r="S77" s="479">
        <f t="shared" si="3"/>
        <v>0</v>
      </c>
      <c r="T77" s="452">
        <f>LARGE($S$65:$S$78,13)</f>
        <v>0</v>
      </c>
      <c r="U77" s="495">
        <f t="shared" si="4"/>
        <v>0</v>
      </c>
      <c r="V77" s="479">
        <f t="shared" si="0"/>
        <v>0</v>
      </c>
    </row>
    <row r="78" spans="2:22" ht="19.5" customHeight="1" x14ac:dyDescent="0.2">
      <c r="B78" s="2335" t="s">
        <v>1837</v>
      </c>
      <c r="C78" s="2414"/>
      <c r="D78" s="2414"/>
      <c r="E78" s="2414"/>
      <c r="F78" s="2414"/>
      <c r="G78" s="2414"/>
      <c r="H78" s="2414"/>
      <c r="I78" s="2414"/>
      <c r="J78" s="2414"/>
      <c r="K78" s="2336"/>
      <c r="L78" s="1373">
        <f>P58</f>
        <v>0</v>
      </c>
      <c r="M78" s="1373"/>
      <c r="N78" s="1373"/>
      <c r="O78" s="261"/>
      <c r="P78" s="303">
        <f t="shared" si="1"/>
        <v>0</v>
      </c>
      <c r="R78" s="690">
        <f t="shared" si="2"/>
        <v>0</v>
      </c>
      <c r="S78" s="479">
        <f t="shared" si="3"/>
        <v>0</v>
      </c>
      <c r="T78" s="452">
        <f>LARGE($S$65:$S$78,14)</f>
        <v>0</v>
      </c>
      <c r="U78" s="3"/>
      <c r="V78" s="3"/>
    </row>
    <row r="79" spans="2:22" ht="19.5" customHeight="1" x14ac:dyDescent="0.2">
      <c r="B79" s="2425" t="s">
        <v>1521</v>
      </c>
      <c r="C79" s="2426"/>
      <c r="D79" s="2426"/>
      <c r="E79" s="2426"/>
      <c r="F79" s="2426"/>
      <c r="G79" s="2426"/>
      <c r="H79" s="2426"/>
      <c r="I79" s="2426"/>
      <c r="J79" s="2426"/>
      <c r="K79" s="2426"/>
      <c r="L79" s="2426"/>
      <c r="M79" s="2426"/>
      <c r="N79" s="2426"/>
      <c r="O79" s="2427"/>
      <c r="P79" s="305">
        <f>V77</f>
        <v>0</v>
      </c>
    </row>
    <row r="80" spans="2:22" ht="30.75" customHeight="1" x14ac:dyDescent="0.25">
      <c r="B80" s="1682" t="s">
        <v>947</v>
      </c>
      <c r="C80" s="1682"/>
      <c r="D80" s="1682"/>
      <c r="E80" s="1682"/>
      <c r="F80" s="1682"/>
      <c r="G80" s="1682"/>
      <c r="H80" s="1682"/>
      <c r="I80" s="1682"/>
      <c r="J80" s="1682"/>
      <c r="K80" s="1682"/>
      <c r="L80" s="1682"/>
      <c r="M80" s="1682"/>
      <c r="N80" s="1682"/>
      <c r="O80" s="1682"/>
      <c r="P80" s="1682"/>
    </row>
    <row r="81" spans="2:16" x14ac:dyDescent="0.2">
      <c r="B81" s="768" t="s">
        <v>790</v>
      </c>
      <c r="C81" s="2464" t="str">
        <f>IF(U1&lt;&gt;"",U1,"")</f>
        <v>Go to PPD Worksheet</v>
      </c>
      <c r="D81" s="2464"/>
      <c r="E81" s="2464"/>
      <c r="F81" s="2464"/>
      <c r="G81" s="2464"/>
      <c r="H81" s="2464"/>
      <c r="I81" s="2267" t="str">
        <f>IF(T1&lt;&gt;"",T1,"")</f>
        <v/>
      </c>
      <c r="J81" s="2267"/>
      <c r="K81" s="2267"/>
      <c r="L81" s="2267"/>
      <c r="M81" s="2267"/>
      <c r="N81" s="2267"/>
      <c r="P81" s="189"/>
    </row>
    <row r="84" spans="2:16" hidden="1" x14ac:dyDescent="0.2">
      <c r="B84" s="35">
        <v>0.01</v>
      </c>
      <c r="C84" s="35">
        <v>0.99</v>
      </c>
    </row>
  </sheetData>
  <sheetProtection sheet="1" objects="1" scenarios="1"/>
  <mergeCells count="135">
    <mergeCell ref="B68:K68"/>
    <mergeCell ref="L68:N68"/>
    <mergeCell ref="B64:N64"/>
    <mergeCell ref="P48:P50"/>
    <mergeCell ref="E48:O48"/>
    <mergeCell ref="E49:O49"/>
    <mergeCell ref="E55:O55"/>
    <mergeCell ref="E52:O52"/>
    <mergeCell ref="E51:O51"/>
    <mergeCell ref="B66:K66"/>
    <mergeCell ref="L66:N66"/>
    <mergeCell ref="B48:B50"/>
    <mergeCell ref="E54:O54"/>
    <mergeCell ref="E53:O53"/>
    <mergeCell ref="C48:D50"/>
    <mergeCell ref="L77:N77"/>
    <mergeCell ref="B72:K72"/>
    <mergeCell ref="B76:K76"/>
    <mergeCell ref="B78:K78"/>
    <mergeCell ref="L78:N78"/>
    <mergeCell ref="B77:K77"/>
    <mergeCell ref="L70:N70"/>
    <mergeCell ref="B71:K71"/>
    <mergeCell ref="L71:N71"/>
    <mergeCell ref="E1:K1"/>
    <mergeCell ref="M1:P1"/>
    <mergeCell ref="B67:K67"/>
    <mergeCell ref="L67:N67"/>
    <mergeCell ref="P33:P37"/>
    <mergeCell ref="P51:P57"/>
    <mergeCell ref="E35:O35"/>
    <mergeCell ref="P39:P42"/>
    <mergeCell ref="P43:P47"/>
    <mergeCell ref="C38:D38"/>
    <mergeCell ref="P28:P32"/>
    <mergeCell ref="C28:D32"/>
    <mergeCell ref="E32:O32"/>
    <mergeCell ref="E30:O30"/>
    <mergeCell ref="E31:O31"/>
    <mergeCell ref="E29:O29"/>
    <mergeCell ref="C27:D27"/>
    <mergeCell ref="B33:B34"/>
    <mergeCell ref="L65:N65"/>
    <mergeCell ref="C58:D61"/>
    <mergeCell ref="E39:O39"/>
    <mergeCell ref="E50:O50"/>
    <mergeCell ref="C39:D42"/>
    <mergeCell ref="E45:O45"/>
    <mergeCell ref="B2:P2"/>
    <mergeCell ref="B3:P3"/>
    <mergeCell ref="C4:D7"/>
    <mergeCell ref="E4:O4"/>
    <mergeCell ref="E5:O5"/>
    <mergeCell ref="E6:O6"/>
    <mergeCell ref="E7:O7"/>
    <mergeCell ref="B4:B7"/>
    <mergeCell ref="P4:P7"/>
    <mergeCell ref="B8:B10"/>
    <mergeCell ref="E15:O15"/>
    <mergeCell ref="E16:O16"/>
    <mergeCell ref="E17:O17"/>
    <mergeCell ref="C13:D17"/>
    <mergeCell ref="E8:O8"/>
    <mergeCell ref="E13:O13"/>
    <mergeCell ref="C8:D12"/>
    <mergeCell ref="E9:O9"/>
    <mergeCell ref="E14:O14"/>
    <mergeCell ref="B13:B14"/>
    <mergeCell ref="P8:P12"/>
    <mergeCell ref="E10:O10"/>
    <mergeCell ref="E11:O11"/>
    <mergeCell ref="E12:O12"/>
    <mergeCell ref="E33:O33"/>
    <mergeCell ref="E34:O34"/>
    <mergeCell ref="E21:O21"/>
    <mergeCell ref="P13:P17"/>
    <mergeCell ref="E27:O27"/>
    <mergeCell ref="P22:P26"/>
    <mergeCell ref="P18:P21"/>
    <mergeCell ref="E18:O18"/>
    <mergeCell ref="E19:O19"/>
    <mergeCell ref="E20:O20"/>
    <mergeCell ref="E22:O22"/>
    <mergeCell ref="E23:O23"/>
    <mergeCell ref="E25:O25"/>
    <mergeCell ref="E26:O26"/>
    <mergeCell ref="E28:O28"/>
    <mergeCell ref="E24:O24"/>
    <mergeCell ref="C81:H81"/>
    <mergeCell ref="I81:N81"/>
    <mergeCell ref="E56:O56"/>
    <mergeCell ref="E58:O58"/>
    <mergeCell ref="E59:O59"/>
    <mergeCell ref="E60:O60"/>
    <mergeCell ref="E61:O61"/>
    <mergeCell ref="B63:P63"/>
    <mergeCell ref="B75:K75"/>
    <mergeCell ref="B73:K73"/>
    <mergeCell ref="P58:P61"/>
    <mergeCell ref="E57:O57"/>
    <mergeCell ref="B74:K74"/>
    <mergeCell ref="L73:N73"/>
    <mergeCell ref="L74:N74"/>
    <mergeCell ref="B69:K69"/>
    <mergeCell ref="L69:N69"/>
    <mergeCell ref="B70:K70"/>
    <mergeCell ref="B65:K65"/>
    <mergeCell ref="B79:O79"/>
    <mergeCell ref="B80:P80"/>
    <mergeCell ref="L72:N72"/>
    <mergeCell ref="L75:N75"/>
    <mergeCell ref="L76:N76"/>
    <mergeCell ref="R53:R55"/>
    <mergeCell ref="C18:D21"/>
    <mergeCell ref="C22:D26"/>
    <mergeCell ref="E44:O44"/>
    <mergeCell ref="E40:O40"/>
    <mergeCell ref="E41:O41"/>
    <mergeCell ref="B43:B44"/>
    <mergeCell ref="B51:B54"/>
    <mergeCell ref="B58:B59"/>
    <mergeCell ref="E36:O36"/>
    <mergeCell ref="E42:O42"/>
    <mergeCell ref="C43:D47"/>
    <mergeCell ref="E46:O46"/>
    <mergeCell ref="E47:O47"/>
    <mergeCell ref="E37:O37"/>
    <mergeCell ref="E38:O38"/>
    <mergeCell ref="C33:D37"/>
    <mergeCell ref="B18:B19"/>
    <mergeCell ref="B22:B23"/>
    <mergeCell ref="B28:B30"/>
    <mergeCell ref="B39:B40"/>
    <mergeCell ref="C51:D51"/>
    <mergeCell ref="E43:O43"/>
  </mergeCells>
  <phoneticPr fontId="0" type="noConversion"/>
  <dataValidations xWindow="373" yWindow="254" count="4">
    <dataValidation type="decimal" allowBlank="1" showInputMessage="1" showErrorMessage="1" promptTitle="Apportionment (if any)" prompt="Enter percentage of impairment caused by the injury or illness. See OAR 436-035-0013." sqref="O75:O78 O65:O69 O71:O72" xr:uid="{00000000-0002-0000-1800-000000000000}">
      <formula1>$B$84</formula1>
      <formula2>$C$84</formula2>
    </dataValidation>
    <dataValidation type="decimal" operator="equal" allowBlank="1" showInputMessage="1" showErrorMessage="1" promptTitle="TAB" prompt="To return to the top of the worksheet." sqref="P81" xr:uid="{00000000-0002-0000-1800-000001000000}">
      <formula1>R81</formula1>
    </dataValidation>
    <dataValidation type="decimal" operator="equal" allowBlank="1" showInputMessage="1" showErrorMessage="1" sqref="A2" xr:uid="{00000000-0002-0000-1800-000002000000}">
      <formula1>R81</formula1>
    </dataValidation>
    <dataValidation type="decimal" operator="equal" allowBlank="1" showInputMessage="1" showErrorMessage="1" sqref="A3" xr:uid="{00000000-0002-0000-1800-000003000000}">
      <formula1>R81</formula1>
    </dataValidation>
  </dataValidations>
  <hyperlinks>
    <hyperlink ref="B81" location="'GI &amp; GU'!A1" display="Return to top of sheet" xr:uid="{00000000-0004-0000-1800-000000000000}"/>
    <hyperlink ref="I81:N81" location="'PPD DOI on or after 2005'!A1" display="'PPD DOI on or after 2005'!A1" xr:uid="{00000000-0004-0000-1800-000001000000}"/>
    <hyperlink ref="C81:H81" location="'PPD DOI before 2005'!A1" display="'PPD DOI before 2005'!A1" xr:uid="{00000000-0004-0000-1800-000002000000}"/>
  </hyperlinks>
  <pageMargins left="0.75" right="0.75" top="1" bottom="1" header="0.5" footer="0.5"/>
  <pageSetup orientation="portrait" horizontalDpi="300" verticalDpi="300" r:id="rId1"/>
  <headerFooter alignWithMargins="0">
    <oddFooter>&amp;LGastrointestinal and Genitourinary Systems&amp;CPage &amp;P</oddFooter>
  </headerFooter>
  <rowBreaks count="5" manualBreakCount="5">
    <brk id="12" max="16383" man="1"/>
    <brk id="21" max="16383" man="1"/>
    <brk id="32" max="16383" man="1"/>
    <brk id="47" max="16383" man="1"/>
    <brk id="62" max="16383" man="1"/>
  </rowBreaks>
  <drawing r:id="rId2"/>
  <legacyDrawing r:id="rId3"/>
  <oleObjects>
    <mc:AlternateContent xmlns:mc="http://schemas.openxmlformats.org/markup-compatibility/2006">
      <mc:Choice Requires="x14">
        <oleObject progId="Document" dvAspect="DVASPECT_ICON" shapeId="28678" r:id="rId4">
          <objectPr locked="0" defaultSize="0" r:id="rId5">
            <anchor moveWithCells="1">
              <from>
                <xdr:col>1</xdr:col>
                <xdr:colOff>114300</xdr:colOff>
                <xdr:row>10</xdr:row>
                <xdr:rowOff>114300</xdr:rowOff>
              </from>
              <to>
                <xdr:col>1</xdr:col>
                <xdr:colOff>1028700</xdr:colOff>
                <xdr:row>10</xdr:row>
                <xdr:rowOff>800100</xdr:rowOff>
              </to>
            </anchor>
          </objectPr>
        </oleObject>
      </mc:Choice>
      <mc:Fallback>
        <oleObject progId="Document" dvAspect="DVASPECT_ICON" shapeId="28678" r:id="rId4"/>
      </mc:Fallback>
    </mc:AlternateContent>
  </oleObjects>
  <mc:AlternateContent xmlns:mc="http://schemas.openxmlformats.org/markup-compatibility/2006">
    <mc:Choice Requires="x14">
      <controls>
        <mc:AlternateContent xmlns:mc="http://schemas.openxmlformats.org/markup-compatibility/2006">
          <mc:Choice Requires="x14">
            <control shapeId="28673" r:id="rId6" name="Group Box 1">
              <controlPr defaultSize="0" autoFill="0" autoPict="0">
                <anchor moveWithCells="1">
                  <from>
                    <xdr:col>2</xdr:col>
                    <xdr:colOff>0</xdr:colOff>
                    <xdr:row>2</xdr:row>
                    <xdr:rowOff>295275</xdr:rowOff>
                  </from>
                  <to>
                    <xdr:col>14</xdr:col>
                    <xdr:colOff>800100</xdr:colOff>
                    <xdr:row>6</xdr:row>
                    <xdr:rowOff>352425</xdr:rowOff>
                  </to>
                </anchor>
              </controlPr>
            </control>
          </mc:Choice>
        </mc:AlternateContent>
        <mc:AlternateContent xmlns:mc="http://schemas.openxmlformats.org/markup-compatibility/2006">
          <mc:Choice Requires="x14">
            <control shapeId="28674" r:id="rId7" name="Option Button 2">
              <controlPr defaultSize="0" autoFill="0" autoLine="0" autoPict="0">
                <anchor moveWithCells="1">
                  <from>
                    <xdr:col>2</xdr:col>
                    <xdr:colOff>47625</xdr:colOff>
                    <xdr:row>3</xdr:row>
                    <xdr:rowOff>28575</xdr:rowOff>
                  </from>
                  <to>
                    <xdr:col>4</xdr:col>
                    <xdr:colOff>28575</xdr:colOff>
                    <xdr:row>3</xdr:row>
                    <xdr:rowOff>247650</xdr:rowOff>
                  </to>
                </anchor>
              </controlPr>
            </control>
          </mc:Choice>
        </mc:AlternateContent>
        <mc:AlternateContent xmlns:mc="http://schemas.openxmlformats.org/markup-compatibility/2006">
          <mc:Choice Requires="x14">
            <control shapeId="28675" r:id="rId8" name="Option Button 3">
              <controlPr defaultSize="0" autoFill="0" autoLine="0" autoPict="0">
                <anchor moveWithCells="1">
                  <from>
                    <xdr:col>2</xdr:col>
                    <xdr:colOff>47625</xdr:colOff>
                    <xdr:row>4</xdr:row>
                    <xdr:rowOff>19050</xdr:rowOff>
                  </from>
                  <to>
                    <xdr:col>4</xdr:col>
                    <xdr:colOff>28575</xdr:colOff>
                    <xdr:row>4</xdr:row>
                    <xdr:rowOff>238125</xdr:rowOff>
                  </to>
                </anchor>
              </controlPr>
            </control>
          </mc:Choice>
        </mc:AlternateContent>
        <mc:AlternateContent xmlns:mc="http://schemas.openxmlformats.org/markup-compatibility/2006">
          <mc:Choice Requires="x14">
            <control shapeId="28676" r:id="rId9" name="Option Button 4">
              <controlPr defaultSize="0" autoFill="0" autoLine="0" autoPict="0">
                <anchor moveWithCells="1">
                  <from>
                    <xdr:col>2</xdr:col>
                    <xdr:colOff>47625</xdr:colOff>
                    <xdr:row>5</xdr:row>
                    <xdr:rowOff>19050</xdr:rowOff>
                  </from>
                  <to>
                    <xdr:col>4</xdr:col>
                    <xdr:colOff>28575</xdr:colOff>
                    <xdr:row>5</xdr:row>
                    <xdr:rowOff>238125</xdr:rowOff>
                  </to>
                </anchor>
              </controlPr>
            </control>
          </mc:Choice>
        </mc:AlternateContent>
        <mc:AlternateContent xmlns:mc="http://schemas.openxmlformats.org/markup-compatibility/2006">
          <mc:Choice Requires="x14">
            <control shapeId="28677" r:id="rId10" name="Option Button 5">
              <controlPr defaultSize="0" autoFill="0" autoLine="0" autoPict="0">
                <anchor moveWithCells="1">
                  <from>
                    <xdr:col>2</xdr:col>
                    <xdr:colOff>57150</xdr:colOff>
                    <xdr:row>6</xdr:row>
                    <xdr:rowOff>66675</xdr:rowOff>
                  </from>
                  <to>
                    <xdr:col>4</xdr:col>
                    <xdr:colOff>38100</xdr:colOff>
                    <xdr:row>6</xdr:row>
                    <xdr:rowOff>285750</xdr:rowOff>
                  </to>
                </anchor>
              </controlPr>
            </control>
          </mc:Choice>
        </mc:AlternateContent>
        <mc:AlternateContent xmlns:mc="http://schemas.openxmlformats.org/markup-compatibility/2006">
          <mc:Choice Requires="x14">
            <control shapeId="28679" r:id="rId11" name="Check Box 7">
              <controlPr defaultSize="0" autoFill="0" autoLine="0" autoPict="0">
                <anchor moveWithCells="1">
                  <from>
                    <xdr:col>2</xdr:col>
                    <xdr:colOff>66675</xdr:colOff>
                    <xdr:row>26</xdr:row>
                    <xdr:rowOff>38100</xdr:rowOff>
                  </from>
                  <to>
                    <xdr:col>4</xdr:col>
                    <xdr:colOff>47625</xdr:colOff>
                    <xdr:row>26</xdr:row>
                    <xdr:rowOff>257175</xdr:rowOff>
                  </to>
                </anchor>
              </controlPr>
            </control>
          </mc:Choice>
        </mc:AlternateContent>
        <mc:AlternateContent xmlns:mc="http://schemas.openxmlformats.org/markup-compatibility/2006">
          <mc:Choice Requires="x14">
            <control shapeId="28680" r:id="rId12" name="Check Box 8">
              <controlPr defaultSize="0" autoFill="0" autoLine="0" autoPict="0">
                <anchor moveWithCells="1">
                  <from>
                    <xdr:col>2</xdr:col>
                    <xdr:colOff>57150</xdr:colOff>
                    <xdr:row>37</xdr:row>
                    <xdr:rowOff>57150</xdr:rowOff>
                  </from>
                  <to>
                    <xdr:col>4</xdr:col>
                    <xdr:colOff>38100</xdr:colOff>
                    <xdr:row>38</xdr:row>
                    <xdr:rowOff>9525</xdr:rowOff>
                  </to>
                </anchor>
              </controlPr>
            </control>
          </mc:Choice>
        </mc:AlternateContent>
        <mc:AlternateContent xmlns:mc="http://schemas.openxmlformats.org/markup-compatibility/2006">
          <mc:Choice Requires="x14">
            <control shapeId="28681" r:id="rId13" name="Group Box 9">
              <controlPr defaultSize="0" autoFill="0" autoPict="0">
                <anchor moveWithCells="1">
                  <from>
                    <xdr:col>2</xdr:col>
                    <xdr:colOff>0</xdr:colOff>
                    <xdr:row>7</xdr:row>
                    <xdr:rowOff>9525</xdr:rowOff>
                  </from>
                  <to>
                    <xdr:col>14</xdr:col>
                    <xdr:colOff>800100</xdr:colOff>
                    <xdr:row>11</xdr:row>
                    <xdr:rowOff>1038225</xdr:rowOff>
                  </to>
                </anchor>
              </controlPr>
            </control>
          </mc:Choice>
        </mc:AlternateContent>
        <mc:AlternateContent xmlns:mc="http://schemas.openxmlformats.org/markup-compatibility/2006">
          <mc:Choice Requires="x14">
            <control shapeId="28682" r:id="rId14" name="Option Button 10">
              <controlPr defaultSize="0" autoFill="0" autoLine="0" autoPict="0">
                <anchor moveWithCells="1">
                  <from>
                    <xdr:col>2</xdr:col>
                    <xdr:colOff>57150</xdr:colOff>
                    <xdr:row>7</xdr:row>
                    <xdr:rowOff>47625</xdr:rowOff>
                  </from>
                  <to>
                    <xdr:col>4</xdr:col>
                    <xdr:colOff>38100</xdr:colOff>
                    <xdr:row>7</xdr:row>
                    <xdr:rowOff>266700</xdr:rowOff>
                  </to>
                </anchor>
              </controlPr>
            </control>
          </mc:Choice>
        </mc:AlternateContent>
        <mc:AlternateContent xmlns:mc="http://schemas.openxmlformats.org/markup-compatibility/2006">
          <mc:Choice Requires="x14">
            <control shapeId="28683" r:id="rId15" name="Option Button 11">
              <controlPr defaultSize="0" autoFill="0" autoLine="0" autoPict="0">
                <anchor moveWithCells="1">
                  <from>
                    <xdr:col>2</xdr:col>
                    <xdr:colOff>57150</xdr:colOff>
                    <xdr:row>8</xdr:row>
                    <xdr:rowOff>323850</xdr:rowOff>
                  </from>
                  <to>
                    <xdr:col>4</xdr:col>
                    <xdr:colOff>38100</xdr:colOff>
                    <xdr:row>8</xdr:row>
                    <xdr:rowOff>542925</xdr:rowOff>
                  </to>
                </anchor>
              </controlPr>
            </control>
          </mc:Choice>
        </mc:AlternateContent>
        <mc:AlternateContent xmlns:mc="http://schemas.openxmlformats.org/markup-compatibility/2006">
          <mc:Choice Requires="x14">
            <control shapeId="28684" r:id="rId16" name="Option Button 12">
              <controlPr defaultSize="0" autoFill="0" autoLine="0" autoPict="0">
                <anchor moveWithCells="1">
                  <from>
                    <xdr:col>2</xdr:col>
                    <xdr:colOff>57150</xdr:colOff>
                    <xdr:row>9</xdr:row>
                    <xdr:rowOff>361950</xdr:rowOff>
                  </from>
                  <to>
                    <xdr:col>4</xdr:col>
                    <xdr:colOff>38100</xdr:colOff>
                    <xdr:row>9</xdr:row>
                    <xdr:rowOff>581025</xdr:rowOff>
                  </to>
                </anchor>
              </controlPr>
            </control>
          </mc:Choice>
        </mc:AlternateContent>
        <mc:AlternateContent xmlns:mc="http://schemas.openxmlformats.org/markup-compatibility/2006">
          <mc:Choice Requires="x14">
            <control shapeId="28685" r:id="rId17" name="Option Button 13">
              <controlPr defaultSize="0" autoFill="0" autoLine="0" autoPict="0">
                <anchor moveWithCells="1">
                  <from>
                    <xdr:col>2</xdr:col>
                    <xdr:colOff>57150</xdr:colOff>
                    <xdr:row>10</xdr:row>
                    <xdr:rowOff>428625</xdr:rowOff>
                  </from>
                  <to>
                    <xdr:col>4</xdr:col>
                    <xdr:colOff>38100</xdr:colOff>
                    <xdr:row>10</xdr:row>
                    <xdr:rowOff>647700</xdr:rowOff>
                  </to>
                </anchor>
              </controlPr>
            </control>
          </mc:Choice>
        </mc:AlternateContent>
        <mc:AlternateContent xmlns:mc="http://schemas.openxmlformats.org/markup-compatibility/2006">
          <mc:Choice Requires="x14">
            <control shapeId="28686" r:id="rId18" name="Option Button 14">
              <controlPr defaultSize="0" autoFill="0" autoLine="0" autoPict="0">
                <anchor moveWithCells="1">
                  <from>
                    <xdr:col>2</xdr:col>
                    <xdr:colOff>57150</xdr:colOff>
                    <xdr:row>11</xdr:row>
                    <xdr:rowOff>428625</xdr:rowOff>
                  </from>
                  <to>
                    <xdr:col>4</xdr:col>
                    <xdr:colOff>38100</xdr:colOff>
                    <xdr:row>11</xdr:row>
                    <xdr:rowOff>647700</xdr:rowOff>
                  </to>
                </anchor>
              </controlPr>
            </control>
          </mc:Choice>
        </mc:AlternateContent>
        <mc:AlternateContent xmlns:mc="http://schemas.openxmlformats.org/markup-compatibility/2006">
          <mc:Choice Requires="x14">
            <control shapeId="28687" r:id="rId19" name="Group Box 15">
              <controlPr defaultSize="0" autoFill="0" autoPict="0">
                <anchor moveWithCells="1">
                  <from>
                    <xdr:col>2</xdr:col>
                    <xdr:colOff>0</xdr:colOff>
                    <xdr:row>12</xdr:row>
                    <xdr:rowOff>9525</xdr:rowOff>
                  </from>
                  <to>
                    <xdr:col>14</xdr:col>
                    <xdr:colOff>800100</xdr:colOff>
                    <xdr:row>17</xdr:row>
                    <xdr:rowOff>9525</xdr:rowOff>
                  </to>
                </anchor>
              </controlPr>
            </control>
          </mc:Choice>
        </mc:AlternateContent>
        <mc:AlternateContent xmlns:mc="http://schemas.openxmlformats.org/markup-compatibility/2006">
          <mc:Choice Requires="x14">
            <control shapeId="28688" r:id="rId20" name="Option Button 16">
              <controlPr defaultSize="0" autoFill="0" autoLine="0" autoPict="0">
                <anchor moveWithCells="1">
                  <from>
                    <xdr:col>2</xdr:col>
                    <xdr:colOff>57150</xdr:colOff>
                    <xdr:row>12</xdr:row>
                    <xdr:rowOff>47625</xdr:rowOff>
                  </from>
                  <to>
                    <xdr:col>4</xdr:col>
                    <xdr:colOff>38100</xdr:colOff>
                    <xdr:row>13</xdr:row>
                    <xdr:rowOff>0</xdr:rowOff>
                  </to>
                </anchor>
              </controlPr>
            </control>
          </mc:Choice>
        </mc:AlternateContent>
        <mc:AlternateContent xmlns:mc="http://schemas.openxmlformats.org/markup-compatibility/2006">
          <mc:Choice Requires="x14">
            <control shapeId="28689" r:id="rId21" name="Option Button 17">
              <controlPr defaultSize="0" autoFill="0" autoLine="0" autoPict="0">
                <anchor moveWithCells="1">
                  <from>
                    <xdr:col>2</xdr:col>
                    <xdr:colOff>57150</xdr:colOff>
                    <xdr:row>13</xdr:row>
                    <xdr:rowOff>428625</xdr:rowOff>
                  </from>
                  <to>
                    <xdr:col>4</xdr:col>
                    <xdr:colOff>38100</xdr:colOff>
                    <xdr:row>13</xdr:row>
                    <xdr:rowOff>647700</xdr:rowOff>
                  </to>
                </anchor>
              </controlPr>
            </control>
          </mc:Choice>
        </mc:AlternateContent>
        <mc:AlternateContent xmlns:mc="http://schemas.openxmlformats.org/markup-compatibility/2006">
          <mc:Choice Requires="x14">
            <control shapeId="28690" r:id="rId22" name="Option Button 18">
              <controlPr defaultSize="0" autoFill="0" autoLine="0" autoPict="0">
                <anchor moveWithCells="1">
                  <from>
                    <xdr:col>2</xdr:col>
                    <xdr:colOff>57150</xdr:colOff>
                    <xdr:row>14</xdr:row>
                    <xdr:rowOff>390525</xdr:rowOff>
                  </from>
                  <to>
                    <xdr:col>4</xdr:col>
                    <xdr:colOff>38100</xdr:colOff>
                    <xdr:row>14</xdr:row>
                    <xdr:rowOff>609600</xdr:rowOff>
                  </to>
                </anchor>
              </controlPr>
            </control>
          </mc:Choice>
        </mc:AlternateContent>
        <mc:AlternateContent xmlns:mc="http://schemas.openxmlformats.org/markup-compatibility/2006">
          <mc:Choice Requires="x14">
            <control shapeId="28691" r:id="rId23" name="Option Button 19">
              <controlPr defaultSize="0" autoFill="0" autoLine="0" autoPict="0">
                <anchor moveWithCells="1">
                  <from>
                    <xdr:col>2</xdr:col>
                    <xdr:colOff>57150</xdr:colOff>
                    <xdr:row>15</xdr:row>
                    <xdr:rowOff>466725</xdr:rowOff>
                  </from>
                  <to>
                    <xdr:col>4</xdr:col>
                    <xdr:colOff>38100</xdr:colOff>
                    <xdr:row>15</xdr:row>
                    <xdr:rowOff>685800</xdr:rowOff>
                  </to>
                </anchor>
              </controlPr>
            </control>
          </mc:Choice>
        </mc:AlternateContent>
        <mc:AlternateContent xmlns:mc="http://schemas.openxmlformats.org/markup-compatibility/2006">
          <mc:Choice Requires="x14">
            <control shapeId="28692" r:id="rId24" name="Option Button 20">
              <controlPr defaultSize="0" autoFill="0" autoLine="0" autoPict="0">
                <anchor moveWithCells="1">
                  <from>
                    <xdr:col>2</xdr:col>
                    <xdr:colOff>57150</xdr:colOff>
                    <xdr:row>16</xdr:row>
                    <xdr:rowOff>600075</xdr:rowOff>
                  </from>
                  <to>
                    <xdr:col>4</xdr:col>
                    <xdr:colOff>38100</xdr:colOff>
                    <xdr:row>16</xdr:row>
                    <xdr:rowOff>819150</xdr:rowOff>
                  </to>
                </anchor>
              </controlPr>
            </control>
          </mc:Choice>
        </mc:AlternateContent>
        <mc:AlternateContent xmlns:mc="http://schemas.openxmlformats.org/markup-compatibility/2006">
          <mc:Choice Requires="x14">
            <control shapeId="28693" r:id="rId25" name="Group Box 21">
              <controlPr defaultSize="0" autoFill="0" autoPict="0">
                <anchor moveWithCells="1">
                  <from>
                    <xdr:col>2</xdr:col>
                    <xdr:colOff>0</xdr:colOff>
                    <xdr:row>17</xdr:row>
                    <xdr:rowOff>9525</xdr:rowOff>
                  </from>
                  <to>
                    <xdr:col>14</xdr:col>
                    <xdr:colOff>800100</xdr:colOff>
                    <xdr:row>21</xdr:row>
                    <xdr:rowOff>19050</xdr:rowOff>
                  </to>
                </anchor>
              </controlPr>
            </control>
          </mc:Choice>
        </mc:AlternateContent>
        <mc:AlternateContent xmlns:mc="http://schemas.openxmlformats.org/markup-compatibility/2006">
          <mc:Choice Requires="x14">
            <control shapeId="28694" r:id="rId26" name="Option Button 22">
              <controlPr defaultSize="0" autoFill="0" autoLine="0" autoPict="0">
                <anchor moveWithCells="1">
                  <from>
                    <xdr:col>2</xdr:col>
                    <xdr:colOff>57150</xdr:colOff>
                    <xdr:row>17</xdr:row>
                    <xdr:rowOff>47625</xdr:rowOff>
                  </from>
                  <to>
                    <xdr:col>4</xdr:col>
                    <xdr:colOff>38100</xdr:colOff>
                    <xdr:row>18</xdr:row>
                    <xdr:rowOff>0</xdr:rowOff>
                  </to>
                </anchor>
              </controlPr>
            </control>
          </mc:Choice>
        </mc:AlternateContent>
        <mc:AlternateContent xmlns:mc="http://schemas.openxmlformats.org/markup-compatibility/2006">
          <mc:Choice Requires="x14">
            <control shapeId="28695" r:id="rId27" name="Option Button 23">
              <controlPr defaultSize="0" autoFill="0" autoLine="0" autoPict="0">
                <anchor moveWithCells="1">
                  <from>
                    <xdr:col>2</xdr:col>
                    <xdr:colOff>57150</xdr:colOff>
                    <xdr:row>18</xdr:row>
                    <xdr:rowOff>276225</xdr:rowOff>
                  </from>
                  <to>
                    <xdr:col>4</xdr:col>
                    <xdr:colOff>38100</xdr:colOff>
                    <xdr:row>18</xdr:row>
                    <xdr:rowOff>495300</xdr:rowOff>
                  </to>
                </anchor>
              </controlPr>
            </control>
          </mc:Choice>
        </mc:AlternateContent>
        <mc:AlternateContent xmlns:mc="http://schemas.openxmlformats.org/markup-compatibility/2006">
          <mc:Choice Requires="x14">
            <control shapeId="28696" r:id="rId28" name="Option Button 24">
              <controlPr defaultSize="0" autoFill="0" autoLine="0" autoPict="0">
                <anchor moveWithCells="1">
                  <from>
                    <xdr:col>2</xdr:col>
                    <xdr:colOff>57150</xdr:colOff>
                    <xdr:row>19</xdr:row>
                    <xdr:rowOff>390525</xdr:rowOff>
                  </from>
                  <to>
                    <xdr:col>4</xdr:col>
                    <xdr:colOff>38100</xdr:colOff>
                    <xdr:row>19</xdr:row>
                    <xdr:rowOff>609600</xdr:rowOff>
                  </to>
                </anchor>
              </controlPr>
            </control>
          </mc:Choice>
        </mc:AlternateContent>
        <mc:AlternateContent xmlns:mc="http://schemas.openxmlformats.org/markup-compatibility/2006">
          <mc:Choice Requires="x14">
            <control shapeId="28697" r:id="rId29" name="Option Button 25">
              <controlPr defaultSize="0" autoFill="0" autoLine="0" autoPict="0">
                <anchor moveWithCells="1">
                  <from>
                    <xdr:col>2</xdr:col>
                    <xdr:colOff>57150</xdr:colOff>
                    <xdr:row>20</xdr:row>
                    <xdr:rowOff>333375</xdr:rowOff>
                  </from>
                  <to>
                    <xdr:col>4</xdr:col>
                    <xdr:colOff>38100</xdr:colOff>
                    <xdr:row>20</xdr:row>
                    <xdr:rowOff>552450</xdr:rowOff>
                  </to>
                </anchor>
              </controlPr>
            </control>
          </mc:Choice>
        </mc:AlternateContent>
        <mc:AlternateContent xmlns:mc="http://schemas.openxmlformats.org/markup-compatibility/2006">
          <mc:Choice Requires="x14">
            <control shapeId="28698" r:id="rId30" name="Group Box 26">
              <controlPr defaultSize="0" autoFill="0" autoPict="0">
                <anchor moveWithCells="1">
                  <from>
                    <xdr:col>2</xdr:col>
                    <xdr:colOff>0</xdr:colOff>
                    <xdr:row>21</xdr:row>
                    <xdr:rowOff>19050</xdr:rowOff>
                  </from>
                  <to>
                    <xdr:col>14</xdr:col>
                    <xdr:colOff>800100</xdr:colOff>
                    <xdr:row>26</xdr:row>
                    <xdr:rowOff>0</xdr:rowOff>
                  </to>
                </anchor>
              </controlPr>
            </control>
          </mc:Choice>
        </mc:AlternateContent>
        <mc:AlternateContent xmlns:mc="http://schemas.openxmlformats.org/markup-compatibility/2006">
          <mc:Choice Requires="x14">
            <control shapeId="28699" r:id="rId31" name="Option Button 27">
              <controlPr defaultSize="0" autoFill="0" autoLine="0" autoPict="0">
                <anchor moveWithCells="1">
                  <from>
                    <xdr:col>2</xdr:col>
                    <xdr:colOff>57150</xdr:colOff>
                    <xdr:row>21</xdr:row>
                    <xdr:rowOff>57150</xdr:rowOff>
                  </from>
                  <to>
                    <xdr:col>4</xdr:col>
                    <xdr:colOff>38100</xdr:colOff>
                    <xdr:row>22</xdr:row>
                    <xdr:rowOff>9525</xdr:rowOff>
                  </to>
                </anchor>
              </controlPr>
            </control>
          </mc:Choice>
        </mc:AlternateContent>
        <mc:AlternateContent xmlns:mc="http://schemas.openxmlformats.org/markup-compatibility/2006">
          <mc:Choice Requires="x14">
            <control shapeId="28700" r:id="rId32" name="Option Button 28">
              <controlPr defaultSize="0" autoFill="0" autoLine="0" autoPict="0">
                <anchor moveWithCells="1">
                  <from>
                    <xdr:col>2</xdr:col>
                    <xdr:colOff>57150</xdr:colOff>
                    <xdr:row>22</xdr:row>
                    <xdr:rowOff>504825</xdr:rowOff>
                  </from>
                  <to>
                    <xdr:col>4</xdr:col>
                    <xdr:colOff>38100</xdr:colOff>
                    <xdr:row>22</xdr:row>
                    <xdr:rowOff>723900</xdr:rowOff>
                  </to>
                </anchor>
              </controlPr>
            </control>
          </mc:Choice>
        </mc:AlternateContent>
        <mc:AlternateContent xmlns:mc="http://schemas.openxmlformats.org/markup-compatibility/2006">
          <mc:Choice Requires="x14">
            <control shapeId="28701" r:id="rId33" name="Option Button 29">
              <controlPr defaultSize="0" autoFill="0" autoLine="0" autoPict="0">
                <anchor moveWithCells="1">
                  <from>
                    <xdr:col>2</xdr:col>
                    <xdr:colOff>57150</xdr:colOff>
                    <xdr:row>23</xdr:row>
                    <xdr:rowOff>323850</xdr:rowOff>
                  </from>
                  <to>
                    <xdr:col>4</xdr:col>
                    <xdr:colOff>38100</xdr:colOff>
                    <xdr:row>23</xdr:row>
                    <xdr:rowOff>542925</xdr:rowOff>
                  </to>
                </anchor>
              </controlPr>
            </control>
          </mc:Choice>
        </mc:AlternateContent>
        <mc:AlternateContent xmlns:mc="http://schemas.openxmlformats.org/markup-compatibility/2006">
          <mc:Choice Requires="x14">
            <control shapeId="28702" r:id="rId34" name="Option Button 30">
              <controlPr defaultSize="0" autoFill="0" autoLine="0" autoPict="0">
                <anchor moveWithCells="1">
                  <from>
                    <xdr:col>2</xdr:col>
                    <xdr:colOff>57150</xdr:colOff>
                    <xdr:row>24</xdr:row>
                    <xdr:rowOff>342900</xdr:rowOff>
                  </from>
                  <to>
                    <xdr:col>4</xdr:col>
                    <xdr:colOff>38100</xdr:colOff>
                    <xdr:row>24</xdr:row>
                    <xdr:rowOff>561975</xdr:rowOff>
                  </to>
                </anchor>
              </controlPr>
            </control>
          </mc:Choice>
        </mc:AlternateContent>
        <mc:AlternateContent xmlns:mc="http://schemas.openxmlformats.org/markup-compatibility/2006">
          <mc:Choice Requires="x14">
            <control shapeId="28703" r:id="rId35" name="Option Button 31">
              <controlPr defaultSize="0" autoFill="0" autoLine="0" autoPict="0">
                <anchor moveWithCells="1">
                  <from>
                    <xdr:col>2</xdr:col>
                    <xdr:colOff>57150</xdr:colOff>
                    <xdr:row>25</xdr:row>
                    <xdr:rowOff>361950</xdr:rowOff>
                  </from>
                  <to>
                    <xdr:col>4</xdr:col>
                    <xdr:colOff>38100</xdr:colOff>
                    <xdr:row>25</xdr:row>
                    <xdr:rowOff>581025</xdr:rowOff>
                  </to>
                </anchor>
              </controlPr>
            </control>
          </mc:Choice>
        </mc:AlternateContent>
        <mc:AlternateContent xmlns:mc="http://schemas.openxmlformats.org/markup-compatibility/2006">
          <mc:Choice Requires="x14">
            <control shapeId="28704" r:id="rId36" name="Group Box 32">
              <controlPr defaultSize="0" autoFill="0" autoPict="0">
                <anchor moveWithCells="1">
                  <from>
                    <xdr:col>2</xdr:col>
                    <xdr:colOff>0</xdr:colOff>
                    <xdr:row>27</xdr:row>
                    <xdr:rowOff>19050</xdr:rowOff>
                  </from>
                  <to>
                    <xdr:col>14</xdr:col>
                    <xdr:colOff>800100</xdr:colOff>
                    <xdr:row>32</xdr:row>
                    <xdr:rowOff>19050</xdr:rowOff>
                  </to>
                </anchor>
              </controlPr>
            </control>
          </mc:Choice>
        </mc:AlternateContent>
        <mc:AlternateContent xmlns:mc="http://schemas.openxmlformats.org/markup-compatibility/2006">
          <mc:Choice Requires="x14">
            <control shapeId="28705" r:id="rId37" name="Option Button 33">
              <controlPr defaultSize="0" autoFill="0" autoLine="0" autoPict="0">
                <anchor moveWithCells="1">
                  <from>
                    <xdr:col>2</xdr:col>
                    <xdr:colOff>66675</xdr:colOff>
                    <xdr:row>27</xdr:row>
                    <xdr:rowOff>66675</xdr:rowOff>
                  </from>
                  <to>
                    <xdr:col>4</xdr:col>
                    <xdr:colOff>47625</xdr:colOff>
                    <xdr:row>28</xdr:row>
                    <xdr:rowOff>28575</xdr:rowOff>
                  </to>
                </anchor>
              </controlPr>
            </control>
          </mc:Choice>
        </mc:AlternateContent>
        <mc:AlternateContent xmlns:mc="http://schemas.openxmlformats.org/markup-compatibility/2006">
          <mc:Choice Requires="x14">
            <control shapeId="28706" r:id="rId38" name="Option Button 34">
              <controlPr defaultSize="0" autoFill="0" autoLine="0" autoPict="0">
                <anchor moveWithCells="1">
                  <from>
                    <xdr:col>2</xdr:col>
                    <xdr:colOff>66675</xdr:colOff>
                    <xdr:row>28</xdr:row>
                    <xdr:rowOff>47625</xdr:rowOff>
                  </from>
                  <to>
                    <xdr:col>4</xdr:col>
                    <xdr:colOff>47625</xdr:colOff>
                    <xdr:row>29</xdr:row>
                    <xdr:rowOff>0</xdr:rowOff>
                  </to>
                </anchor>
              </controlPr>
            </control>
          </mc:Choice>
        </mc:AlternateContent>
        <mc:AlternateContent xmlns:mc="http://schemas.openxmlformats.org/markup-compatibility/2006">
          <mc:Choice Requires="x14">
            <control shapeId="28707" r:id="rId39" name="Option Button 35">
              <controlPr defaultSize="0" autoFill="0" autoLine="0" autoPict="0">
                <anchor moveWithCells="1">
                  <from>
                    <xdr:col>2</xdr:col>
                    <xdr:colOff>66675</xdr:colOff>
                    <xdr:row>29</xdr:row>
                    <xdr:rowOff>76200</xdr:rowOff>
                  </from>
                  <to>
                    <xdr:col>4</xdr:col>
                    <xdr:colOff>47625</xdr:colOff>
                    <xdr:row>29</xdr:row>
                    <xdr:rowOff>295275</xdr:rowOff>
                  </to>
                </anchor>
              </controlPr>
            </control>
          </mc:Choice>
        </mc:AlternateContent>
        <mc:AlternateContent xmlns:mc="http://schemas.openxmlformats.org/markup-compatibility/2006">
          <mc:Choice Requires="x14">
            <control shapeId="28708" r:id="rId40" name="Option Button 36">
              <controlPr defaultSize="0" autoFill="0" autoLine="0" autoPict="0">
                <anchor moveWithCells="1">
                  <from>
                    <xdr:col>2</xdr:col>
                    <xdr:colOff>66675</xdr:colOff>
                    <xdr:row>30</xdr:row>
                    <xdr:rowOff>76200</xdr:rowOff>
                  </from>
                  <to>
                    <xdr:col>4</xdr:col>
                    <xdr:colOff>47625</xdr:colOff>
                    <xdr:row>30</xdr:row>
                    <xdr:rowOff>295275</xdr:rowOff>
                  </to>
                </anchor>
              </controlPr>
            </control>
          </mc:Choice>
        </mc:AlternateContent>
        <mc:AlternateContent xmlns:mc="http://schemas.openxmlformats.org/markup-compatibility/2006">
          <mc:Choice Requires="x14">
            <control shapeId="28709" r:id="rId41" name="Option Button 37">
              <controlPr defaultSize="0" autoFill="0" autoLine="0" autoPict="0">
                <anchor moveWithCells="1">
                  <from>
                    <xdr:col>2</xdr:col>
                    <xdr:colOff>66675</xdr:colOff>
                    <xdr:row>31</xdr:row>
                    <xdr:rowOff>85725</xdr:rowOff>
                  </from>
                  <to>
                    <xdr:col>4</xdr:col>
                    <xdr:colOff>47625</xdr:colOff>
                    <xdr:row>31</xdr:row>
                    <xdr:rowOff>304800</xdr:rowOff>
                  </to>
                </anchor>
              </controlPr>
            </control>
          </mc:Choice>
        </mc:AlternateContent>
        <mc:AlternateContent xmlns:mc="http://schemas.openxmlformats.org/markup-compatibility/2006">
          <mc:Choice Requires="x14">
            <control shapeId="28710" r:id="rId42" name="Group Box 38">
              <controlPr defaultSize="0" autoFill="0" autoPict="0">
                <anchor moveWithCells="1">
                  <from>
                    <xdr:col>2</xdr:col>
                    <xdr:colOff>0</xdr:colOff>
                    <xdr:row>32</xdr:row>
                    <xdr:rowOff>19050</xdr:rowOff>
                  </from>
                  <to>
                    <xdr:col>14</xdr:col>
                    <xdr:colOff>800100</xdr:colOff>
                    <xdr:row>37</xdr:row>
                    <xdr:rowOff>28575</xdr:rowOff>
                  </to>
                </anchor>
              </controlPr>
            </control>
          </mc:Choice>
        </mc:AlternateContent>
        <mc:AlternateContent xmlns:mc="http://schemas.openxmlformats.org/markup-compatibility/2006">
          <mc:Choice Requires="x14">
            <control shapeId="28711" r:id="rId43" name="Option Button 39">
              <controlPr defaultSize="0" autoFill="0" autoLine="0" autoPict="0">
                <anchor moveWithCells="1">
                  <from>
                    <xdr:col>2</xdr:col>
                    <xdr:colOff>66675</xdr:colOff>
                    <xdr:row>32</xdr:row>
                    <xdr:rowOff>66675</xdr:rowOff>
                  </from>
                  <to>
                    <xdr:col>4</xdr:col>
                    <xdr:colOff>47625</xdr:colOff>
                    <xdr:row>33</xdr:row>
                    <xdr:rowOff>28575</xdr:rowOff>
                  </to>
                </anchor>
              </controlPr>
            </control>
          </mc:Choice>
        </mc:AlternateContent>
        <mc:AlternateContent xmlns:mc="http://schemas.openxmlformats.org/markup-compatibility/2006">
          <mc:Choice Requires="x14">
            <control shapeId="28712" r:id="rId44" name="Option Button 40">
              <controlPr defaultSize="0" autoFill="0" autoLine="0" autoPict="0">
                <anchor moveWithCells="1">
                  <from>
                    <xdr:col>2</xdr:col>
                    <xdr:colOff>66675</xdr:colOff>
                    <xdr:row>33</xdr:row>
                    <xdr:rowOff>352425</xdr:rowOff>
                  </from>
                  <to>
                    <xdr:col>4</xdr:col>
                    <xdr:colOff>47625</xdr:colOff>
                    <xdr:row>33</xdr:row>
                    <xdr:rowOff>571500</xdr:rowOff>
                  </to>
                </anchor>
              </controlPr>
            </control>
          </mc:Choice>
        </mc:AlternateContent>
        <mc:AlternateContent xmlns:mc="http://schemas.openxmlformats.org/markup-compatibility/2006">
          <mc:Choice Requires="x14">
            <control shapeId="28713" r:id="rId45" name="Option Button 41">
              <controlPr defaultSize="0" autoFill="0" autoLine="0" autoPict="0">
                <anchor moveWithCells="1">
                  <from>
                    <xdr:col>2</xdr:col>
                    <xdr:colOff>66675</xdr:colOff>
                    <xdr:row>34</xdr:row>
                    <xdr:rowOff>514350</xdr:rowOff>
                  </from>
                  <to>
                    <xdr:col>4</xdr:col>
                    <xdr:colOff>47625</xdr:colOff>
                    <xdr:row>34</xdr:row>
                    <xdr:rowOff>733425</xdr:rowOff>
                  </to>
                </anchor>
              </controlPr>
            </control>
          </mc:Choice>
        </mc:AlternateContent>
        <mc:AlternateContent xmlns:mc="http://schemas.openxmlformats.org/markup-compatibility/2006">
          <mc:Choice Requires="x14">
            <control shapeId="28714" r:id="rId46" name="Option Button 42">
              <controlPr defaultSize="0" autoFill="0" autoLine="0" autoPict="0">
                <anchor moveWithCells="1">
                  <from>
                    <xdr:col>2</xdr:col>
                    <xdr:colOff>66675</xdr:colOff>
                    <xdr:row>35</xdr:row>
                    <xdr:rowOff>514350</xdr:rowOff>
                  </from>
                  <to>
                    <xdr:col>4</xdr:col>
                    <xdr:colOff>47625</xdr:colOff>
                    <xdr:row>35</xdr:row>
                    <xdr:rowOff>733425</xdr:rowOff>
                  </to>
                </anchor>
              </controlPr>
            </control>
          </mc:Choice>
        </mc:AlternateContent>
        <mc:AlternateContent xmlns:mc="http://schemas.openxmlformats.org/markup-compatibility/2006">
          <mc:Choice Requires="x14">
            <control shapeId="28715" r:id="rId47" name="Option Button 43">
              <controlPr defaultSize="0" autoFill="0" autoLine="0" autoPict="0">
                <anchor moveWithCells="1">
                  <from>
                    <xdr:col>2</xdr:col>
                    <xdr:colOff>66675</xdr:colOff>
                    <xdr:row>36</xdr:row>
                    <xdr:rowOff>514350</xdr:rowOff>
                  </from>
                  <to>
                    <xdr:col>4</xdr:col>
                    <xdr:colOff>47625</xdr:colOff>
                    <xdr:row>36</xdr:row>
                    <xdr:rowOff>733425</xdr:rowOff>
                  </to>
                </anchor>
              </controlPr>
            </control>
          </mc:Choice>
        </mc:AlternateContent>
        <mc:AlternateContent xmlns:mc="http://schemas.openxmlformats.org/markup-compatibility/2006">
          <mc:Choice Requires="x14">
            <control shapeId="28716" r:id="rId48" name="Group Box 44">
              <controlPr defaultSize="0" autoFill="0" autoPict="0">
                <anchor moveWithCells="1">
                  <from>
                    <xdr:col>2</xdr:col>
                    <xdr:colOff>0</xdr:colOff>
                    <xdr:row>38</xdr:row>
                    <xdr:rowOff>28575</xdr:rowOff>
                  </from>
                  <to>
                    <xdr:col>14</xdr:col>
                    <xdr:colOff>800100</xdr:colOff>
                    <xdr:row>42</xdr:row>
                    <xdr:rowOff>47625</xdr:rowOff>
                  </to>
                </anchor>
              </controlPr>
            </control>
          </mc:Choice>
        </mc:AlternateContent>
        <mc:AlternateContent xmlns:mc="http://schemas.openxmlformats.org/markup-compatibility/2006">
          <mc:Choice Requires="x14">
            <control shapeId="28717" r:id="rId49" name="Option Button 45">
              <controlPr defaultSize="0" autoFill="0" autoLine="0" autoPict="0">
                <anchor moveWithCells="1">
                  <from>
                    <xdr:col>2</xdr:col>
                    <xdr:colOff>66675</xdr:colOff>
                    <xdr:row>38</xdr:row>
                    <xdr:rowOff>76200</xdr:rowOff>
                  </from>
                  <to>
                    <xdr:col>4</xdr:col>
                    <xdr:colOff>47625</xdr:colOff>
                    <xdr:row>39</xdr:row>
                    <xdr:rowOff>38100</xdr:rowOff>
                  </to>
                </anchor>
              </controlPr>
            </control>
          </mc:Choice>
        </mc:AlternateContent>
        <mc:AlternateContent xmlns:mc="http://schemas.openxmlformats.org/markup-compatibility/2006">
          <mc:Choice Requires="x14">
            <control shapeId="28718" r:id="rId50" name="Option Button 46">
              <controlPr defaultSize="0" autoFill="0" autoLine="0" autoPict="0">
                <anchor moveWithCells="1">
                  <from>
                    <xdr:col>2</xdr:col>
                    <xdr:colOff>66675</xdr:colOff>
                    <xdr:row>39</xdr:row>
                    <xdr:rowOff>57150</xdr:rowOff>
                  </from>
                  <to>
                    <xdr:col>4</xdr:col>
                    <xdr:colOff>47625</xdr:colOff>
                    <xdr:row>40</xdr:row>
                    <xdr:rowOff>9525</xdr:rowOff>
                  </to>
                </anchor>
              </controlPr>
            </control>
          </mc:Choice>
        </mc:AlternateContent>
        <mc:AlternateContent xmlns:mc="http://schemas.openxmlformats.org/markup-compatibility/2006">
          <mc:Choice Requires="x14">
            <control shapeId="28719" r:id="rId51" name="Option Button 47">
              <controlPr defaultSize="0" autoFill="0" autoLine="0" autoPict="0">
                <anchor moveWithCells="1">
                  <from>
                    <xdr:col>2</xdr:col>
                    <xdr:colOff>66675</xdr:colOff>
                    <xdr:row>40</xdr:row>
                    <xdr:rowOff>57150</xdr:rowOff>
                  </from>
                  <to>
                    <xdr:col>4</xdr:col>
                    <xdr:colOff>47625</xdr:colOff>
                    <xdr:row>41</xdr:row>
                    <xdr:rowOff>9525</xdr:rowOff>
                  </to>
                </anchor>
              </controlPr>
            </control>
          </mc:Choice>
        </mc:AlternateContent>
        <mc:AlternateContent xmlns:mc="http://schemas.openxmlformats.org/markup-compatibility/2006">
          <mc:Choice Requires="x14">
            <control shapeId="28720" r:id="rId52" name="Option Button 48">
              <controlPr defaultSize="0" autoFill="0" autoLine="0" autoPict="0">
                <anchor moveWithCells="1">
                  <from>
                    <xdr:col>2</xdr:col>
                    <xdr:colOff>66675</xdr:colOff>
                    <xdr:row>41</xdr:row>
                    <xdr:rowOff>57150</xdr:rowOff>
                  </from>
                  <to>
                    <xdr:col>4</xdr:col>
                    <xdr:colOff>47625</xdr:colOff>
                    <xdr:row>42</xdr:row>
                    <xdr:rowOff>9525</xdr:rowOff>
                  </to>
                </anchor>
              </controlPr>
            </control>
          </mc:Choice>
        </mc:AlternateContent>
        <mc:AlternateContent xmlns:mc="http://schemas.openxmlformats.org/markup-compatibility/2006">
          <mc:Choice Requires="x14">
            <control shapeId="28721" r:id="rId53" name="Group Box 49">
              <controlPr defaultSize="0" autoFill="0" autoPict="0">
                <anchor moveWithCells="1">
                  <from>
                    <xdr:col>2</xdr:col>
                    <xdr:colOff>0</xdr:colOff>
                    <xdr:row>42</xdr:row>
                    <xdr:rowOff>47625</xdr:rowOff>
                  </from>
                  <to>
                    <xdr:col>14</xdr:col>
                    <xdr:colOff>800100</xdr:colOff>
                    <xdr:row>47</xdr:row>
                    <xdr:rowOff>57150</xdr:rowOff>
                  </to>
                </anchor>
              </controlPr>
            </control>
          </mc:Choice>
        </mc:AlternateContent>
        <mc:AlternateContent xmlns:mc="http://schemas.openxmlformats.org/markup-compatibility/2006">
          <mc:Choice Requires="x14">
            <control shapeId="28722" r:id="rId54" name="Option Button 50">
              <controlPr defaultSize="0" autoFill="0" autoLine="0" autoPict="0">
                <anchor moveWithCells="1">
                  <from>
                    <xdr:col>2</xdr:col>
                    <xdr:colOff>66675</xdr:colOff>
                    <xdr:row>42</xdr:row>
                    <xdr:rowOff>95250</xdr:rowOff>
                  </from>
                  <to>
                    <xdr:col>4</xdr:col>
                    <xdr:colOff>47625</xdr:colOff>
                    <xdr:row>43</xdr:row>
                    <xdr:rowOff>47625</xdr:rowOff>
                  </to>
                </anchor>
              </controlPr>
            </control>
          </mc:Choice>
        </mc:AlternateContent>
        <mc:AlternateContent xmlns:mc="http://schemas.openxmlformats.org/markup-compatibility/2006">
          <mc:Choice Requires="x14">
            <control shapeId="28723" r:id="rId55" name="Option Button 51">
              <controlPr defaultSize="0" autoFill="0" autoLine="0" autoPict="0">
                <anchor moveWithCells="1">
                  <from>
                    <xdr:col>2</xdr:col>
                    <xdr:colOff>66675</xdr:colOff>
                    <xdr:row>43</xdr:row>
                    <xdr:rowOff>209550</xdr:rowOff>
                  </from>
                  <to>
                    <xdr:col>4</xdr:col>
                    <xdr:colOff>47625</xdr:colOff>
                    <xdr:row>43</xdr:row>
                    <xdr:rowOff>428625</xdr:rowOff>
                  </to>
                </anchor>
              </controlPr>
            </control>
          </mc:Choice>
        </mc:AlternateContent>
        <mc:AlternateContent xmlns:mc="http://schemas.openxmlformats.org/markup-compatibility/2006">
          <mc:Choice Requires="x14">
            <control shapeId="28724" r:id="rId56" name="Option Button 52">
              <controlPr defaultSize="0" autoFill="0" autoLine="0" autoPict="0">
                <anchor moveWithCells="1">
                  <from>
                    <xdr:col>2</xdr:col>
                    <xdr:colOff>66675</xdr:colOff>
                    <xdr:row>44</xdr:row>
                    <xdr:rowOff>190500</xdr:rowOff>
                  </from>
                  <to>
                    <xdr:col>4</xdr:col>
                    <xdr:colOff>47625</xdr:colOff>
                    <xdr:row>44</xdr:row>
                    <xdr:rowOff>409575</xdr:rowOff>
                  </to>
                </anchor>
              </controlPr>
            </control>
          </mc:Choice>
        </mc:AlternateContent>
        <mc:AlternateContent xmlns:mc="http://schemas.openxmlformats.org/markup-compatibility/2006">
          <mc:Choice Requires="x14">
            <control shapeId="28725" r:id="rId57" name="Option Button 53">
              <controlPr defaultSize="0" autoFill="0" autoLine="0" autoPict="0">
                <anchor moveWithCells="1">
                  <from>
                    <xdr:col>2</xdr:col>
                    <xdr:colOff>66675</xdr:colOff>
                    <xdr:row>45</xdr:row>
                    <xdr:rowOff>142875</xdr:rowOff>
                  </from>
                  <to>
                    <xdr:col>4</xdr:col>
                    <xdr:colOff>47625</xdr:colOff>
                    <xdr:row>45</xdr:row>
                    <xdr:rowOff>361950</xdr:rowOff>
                  </to>
                </anchor>
              </controlPr>
            </control>
          </mc:Choice>
        </mc:AlternateContent>
        <mc:AlternateContent xmlns:mc="http://schemas.openxmlformats.org/markup-compatibility/2006">
          <mc:Choice Requires="x14">
            <control shapeId="28726" r:id="rId58" name="Option Button 54">
              <controlPr defaultSize="0" autoFill="0" autoLine="0" autoPict="0">
                <anchor moveWithCells="1">
                  <from>
                    <xdr:col>2</xdr:col>
                    <xdr:colOff>66675</xdr:colOff>
                    <xdr:row>46</xdr:row>
                    <xdr:rowOff>133350</xdr:rowOff>
                  </from>
                  <to>
                    <xdr:col>4</xdr:col>
                    <xdr:colOff>47625</xdr:colOff>
                    <xdr:row>46</xdr:row>
                    <xdr:rowOff>352425</xdr:rowOff>
                  </to>
                </anchor>
              </controlPr>
            </control>
          </mc:Choice>
        </mc:AlternateContent>
        <mc:AlternateContent xmlns:mc="http://schemas.openxmlformats.org/markup-compatibility/2006">
          <mc:Choice Requires="x14">
            <control shapeId="28727" r:id="rId59" name="Group Box 55">
              <controlPr defaultSize="0" autoFill="0" autoPict="0">
                <anchor moveWithCells="1">
                  <from>
                    <xdr:col>2</xdr:col>
                    <xdr:colOff>0</xdr:colOff>
                    <xdr:row>47</xdr:row>
                    <xdr:rowOff>57150</xdr:rowOff>
                  </from>
                  <to>
                    <xdr:col>14</xdr:col>
                    <xdr:colOff>800100</xdr:colOff>
                    <xdr:row>50</xdr:row>
                    <xdr:rowOff>57150</xdr:rowOff>
                  </to>
                </anchor>
              </controlPr>
            </control>
          </mc:Choice>
        </mc:AlternateContent>
        <mc:AlternateContent xmlns:mc="http://schemas.openxmlformats.org/markup-compatibility/2006">
          <mc:Choice Requires="x14">
            <control shapeId="28728" r:id="rId60" name="Option Button 56">
              <controlPr defaultSize="0" autoFill="0" autoLine="0" autoPict="0">
                <anchor moveWithCells="1">
                  <from>
                    <xdr:col>2</xdr:col>
                    <xdr:colOff>57150</xdr:colOff>
                    <xdr:row>47</xdr:row>
                    <xdr:rowOff>95250</xdr:rowOff>
                  </from>
                  <to>
                    <xdr:col>4</xdr:col>
                    <xdr:colOff>38100</xdr:colOff>
                    <xdr:row>48</xdr:row>
                    <xdr:rowOff>47625</xdr:rowOff>
                  </to>
                </anchor>
              </controlPr>
            </control>
          </mc:Choice>
        </mc:AlternateContent>
        <mc:AlternateContent xmlns:mc="http://schemas.openxmlformats.org/markup-compatibility/2006">
          <mc:Choice Requires="x14">
            <control shapeId="28729" r:id="rId61" name="Option Button 57">
              <controlPr defaultSize="0" autoFill="0" autoLine="0" autoPict="0">
                <anchor moveWithCells="1">
                  <from>
                    <xdr:col>2</xdr:col>
                    <xdr:colOff>57150</xdr:colOff>
                    <xdr:row>48</xdr:row>
                    <xdr:rowOff>133350</xdr:rowOff>
                  </from>
                  <to>
                    <xdr:col>4</xdr:col>
                    <xdr:colOff>38100</xdr:colOff>
                    <xdr:row>49</xdr:row>
                    <xdr:rowOff>9525</xdr:rowOff>
                  </to>
                </anchor>
              </controlPr>
            </control>
          </mc:Choice>
        </mc:AlternateContent>
        <mc:AlternateContent xmlns:mc="http://schemas.openxmlformats.org/markup-compatibility/2006">
          <mc:Choice Requires="x14">
            <control shapeId="28730" r:id="rId62" name="Option Button 58">
              <controlPr defaultSize="0" autoFill="0" autoLine="0" autoPict="0">
                <anchor moveWithCells="1">
                  <from>
                    <xdr:col>2</xdr:col>
                    <xdr:colOff>57150</xdr:colOff>
                    <xdr:row>49</xdr:row>
                    <xdr:rowOff>104775</xdr:rowOff>
                  </from>
                  <to>
                    <xdr:col>4</xdr:col>
                    <xdr:colOff>38100</xdr:colOff>
                    <xdr:row>49</xdr:row>
                    <xdr:rowOff>323850</xdr:rowOff>
                  </to>
                </anchor>
              </controlPr>
            </control>
          </mc:Choice>
        </mc:AlternateContent>
        <mc:AlternateContent xmlns:mc="http://schemas.openxmlformats.org/markup-compatibility/2006">
          <mc:Choice Requires="x14">
            <control shapeId="28731" r:id="rId63" name="Group Box 59">
              <controlPr defaultSize="0" autoFill="0" autoPict="0">
                <anchor moveWithCells="1">
                  <from>
                    <xdr:col>2</xdr:col>
                    <xdr:colOff>0</xdr:colOff>
                    <xdr:row>50</xdr:row>
                    <xdr:rowOff>57150</xdr:rowOff>
                  </from>
                  <to>
                    <xdr:col>14</xdr:col>
                    <xdr:colOff>800100</xdr:colOff>
                    <xdr:row>57</xdr:row>
                    <xdr:rowOff>57150</xdr:rowOff>
                  </to>
                </anchor>
              </controlPr>
            </control>
          </mc:Choice>
        </mc:AlternateContent>
        <mc:AlternateContent xmlns:mc="http://schemas.openxmlformats.org/markup-compatibility/2006">
          <mc:Choice Requires="x14">
            <control shapeId="28732" r:id="rId64" name="Option Button 60">
              <controlPr defaultSize="0" autoFill="0" autoLine="0" autoPict="0">
                <anchor moveWithCells="1">
                  <from>
                    <xdr:col>2</xdr:col>
                    <xdr:colOff>47625</xdr:colOff>
                    <xdr:row>50</xdr:row>
                    <xdr:rowOff>95250</xdr:rowOff>
                  </from>
                  <to>
                    <xdr:col>4</xdr:col>
                    <xdr:colOff>28575</xdr:colOff>
                    <xdr:row>51</xdr:row>
                    <xdr:rowOff>47625</xdr:rowOff>
                  </to>
                </anchor>
              </controlPr>
            </control>
          </mc:Choice>
        </mc:AlternateContent>
        <mc:AlternateContent xmlns:mc="http://schemas.openxmlformats.org/markup-compatibility/2006">
          <mc:Choice Requires="x14">
            <control shapeId="28733" r:id="rId65" name="Option Button 61">
              <controlPr defaultSize="0" autoFill="0" autoLine="0" autoPict="0">
                <anchor moveWithCells="1">
                  <from>
                    <xdr:col>5</xdr:col>
                    <xdr:colOff>200025</xdr:colOff>
                    <xdr:row>52</xdr:row>
                    <xdr:rowOff>76200</xdr:rowOff>
                  </from>
                  <to>
                    <xdr:col>6</xdr:col>
                    <xdr:colOff>238125</xdr:colOff>
                    <xdr:row>53</xdr:row>
                    <xdr:rowOff>28575</xdr:rowOff>
                  </to>
                </anchor>
              </controlPr>
            </control>
          </mc:Choice>
        </mc:AlternateContent>
        <mc:AlternateContent xmlns:mc="http://schemas.openxmlformats.org/markup-compatibility/2006">
          <mc:Choice Requires="x14">
            <control shapeId="28734" r:id="rId66" name="Option Button 62">
              <controlPr defaultSize="0" autoFill="0" autoLine="0" autoPict="0">
                <anchor moveWithCells="1">
                  <from>
                    <xdr:col>9</xdr:col>
                    <xdr:colOff>114300</xdr:colOff>
                    <xdr:row>52</xdr:row>
                    <xdr:rowOff>76200</xdr:rowOff>
                  </from>
                  <to>
                    <xdr:col>10</xdr:col>
                    <xdr:colOff>161925</xdr:colOff>
                    <xdr:row>53</xdr:row>
                    <xdr:rowOff>28575</xdr:rowOff>
                  </to>
                </anchor>
              </controlPr>
            </control>
          </mc:Choice>
        </mc:AlternateContent>
        <mc:AlternateContent xmlns:mc="http://schemas.openxmlformats.org/markup-compatibility/2006">
          <mc:Choice Requires="x14">
            <control shapeId="28735" r:id="rId67" name="Option Button 63">
              <controlPr defaultSize="0" autoFill="0" autoLine="0" autoPict="0">
                <anchor moveWithCells="1">
                  <from>
                    <xdr:col>12</xdr:col>
                    <xdr:colOff>238125</xdr:colOff>
                    <xdr:row>52</xdr:row>
                    <xdr:rowOff>76200</xdr:rowOff>
                  </from>
                  <to>
                    <xdr:col>14</xdr:col>
                    <xdr:colOff>19050</xdr:colOff>
                    <xdr:row>53</xdr:row>
                    <xdr:rowOff>28575</xdr:rowOff>
                  </to>
                </anchor>
              </controlPr>
            </control>
          </mc:Choice>
        </mc:AlternateContent>
        <mc:AlternateContent xmlns:mc="http://schemas.openxmlformats.org/markup-compatibility/2006">
          <mc:Choice Requires="x14">
            <control shapeId="28736" r:id="rId68" name="Option Button 64">
              <controlPr defaultSize="0" autoFill="0" autoLine="0" autoPict="0">
                <anchor moveWithCells="1">
                  <from>
                    <xdr:col>5</xdr:col>
                    <xdr:colOff>200025</xdr:colOff>
                    <xdr:row>54</xdr:row>
                    <xdr:rowOff>76200</xdr:rowOff>
                  </from>
                  <to>
                    <xdr:col>6</xdr:col>
                    <xdr:colOff>238125</xdr:colOff>
                    <xdr:row>55</xdr:row>
                    <xdr:rowOff>28575</xdr:rowOff>
                  </to>
                </anchor>
              </controlPr>
            </control>
          </mc:Choice>
        </mc:AlternateContent>
        <mc:AlternateContent xmlns:mc="http://schemas.openxmlformats.org/markup-compatibility/2006">
          <mc:Choice Requires="x14">
            <control shapeId="28737" r:id="rId69" name="Option Button 65">
              <controlPr defaultSize="0" autoFill="0" autoLine="0" autoPict="0">
                <anchor moveWithCells="1">
                  <from>
                    <xdr:col>9</xdr:col>
                    <xdr:colOff>114300</xdr:colOff>
                    <xdr:row>54</xdr:row>
                    <xdr:rowOff>76200</xdr:rowOff>
                  </from>
                  <to>
                    <xdr:col>10</xdr:col>
                    <xdr:colOff>161925</xdr:colOff>
                    <xdr:row>55</xdr:row>
                    <xdr:rowOff>28575</xdr:rowOff>
                  </to>
                </anchor>
              </controlPr>
            </control>
          </mc:Choice>
        </mc:AlternateContent>
        <mc:AlternateContent xmlns:mc="http://schemas.openxmlformats.org/markup-compatibility/2006">
          <mc:Choice Requires="x14">
            <control shapeId="28738" r:id="rId70" name="Option Button 66">
              <controlPr defaultSize="0" autoFill="0" autoLine="0" autoPict="0">
                <anchor moveWithCells="1">
                  <from>
                    <xdr:col>12</xdr:col>
                    <xdr:colOff>238125</xdr:colOff>
                    <xdr:row>54</xdr:row>
                    <xdr:rowOff>76200</xdr:rowOff>
                  </from>
                  <to>
                    <xdr:col>14</xdr:col>
                    <xdr:colOff>19050</xdr:colOff>
                    <xdr:row>55</xdr:row>
                    <xdr:rowOff>28575</xdr:rowOff>
                  </to>
                </anchor>
              </controlPr>
            </control>
          </mc:Choice>
        </mc:AlternateContent>
        <mc:AlternateContent xmlns:mc="http://schemas.openxmlformats.org/markup-compatibility/2006">
          <mc:Choice Requires="x14">
            <control shapeId="28739" r:id="rId71" name="Option Button 67">
              <controlPr defaultSize="0" autoFill="0" autoLine="0" autoPict="0">
                <anchor moveWithCells="1">
                  <from>
                    <xdr:col>5</xdr:col>
                    <xdr:colOff>200025</xdr:colOff>
                    <xdr:row>56</xdr:row>
                    <xdr:rowOff>66675</xdr:rowOff>
                  </from>
                  <to>
                    <xdr:col>6</xdr:col>
                    <xdr:colOff>238125</xdr:colOff>
                    <xdr:row>57</xdr:row>
                    <xdr:rowOff>19050</xdr:rowOff>
                  </to>
                </anchor>
              </controlPr>
            </control>
          </mc:Choice>
        </mc:AlternateContent>
        <mc:AlternateContent xmlns:mc="http://schemas.openxmlformats.org/markup-compatibility/2006">
          <mc:Choice Requires="x14">
            <control shapeId="28740" r:id="rId72" name="Option Button 68">
              <controlPr defaultSize="0" autoFill="0" autoLine="0" autoPict="0">
                <anchor moveWithCells="1">
                  <from>
                    <xdr:col>9</xdr:col>
                    <xdr:colOff>114300</xdr:colOff>
                    <xdr:row>56</xdr:row>
                    <xdr:rowOff>66675</xdr:rowOff>
                  </from>
                  <to>
                    <xdr:col>10</xdr:col>
                    <xdr:colOff>161925</xdr:colOff>
                    <xdr:row>57</xdr:row>
                    <xdr:rowOff>19050</xdr:rowOff>
                  </to>
                </anchor>
              </controlPr>
            </control>
          </mc:Choice>
        </mc:AlternateContent>
        <mc:AlternateContent xmlns:mc="http://schemas.openxmlformats.org/markup-compatibility/2006">
          <mc:Choice Requires="x14">
            <control shapeId="28741" r:id="rId73" name="Option Button 69">
              <controlPr defaultSize="0" autoFill="0" autoLine="0" autoPict="0">
                <anchor moveWithCells="1">
                  <from>
                    <xdr:col>12</xdr:col>
                    <xdr:colOff>238125</xdr:colOff>
                    <xdr:row>56</xdr:row>
                    <xdr:rowOff>66675</xdr:rowOff>
                  </from>
                  <to>
                    <xdr:col>14</xdr:col>
                    <xdr:colOff>19050</xdr:colOff>
                    <xdr:row>57</xdr:row>
                    <xdr:rowOff>19050</xdr:rowOff>
                  </to>
                </anchor>
              </controlPr>
            </control>
          </mc:Choice>
        </mc:AlternateContent>
        <mc:AlternateContent xmlns:mc="http://schemas.openxmlformats.org/markup-compatibility/2006">
          <mc:Choice Requires="x14">
            <control shapeId="28742" r:id="rId74" name="Group Box 70">
              <controlPr defaultSize="0" autoFill="0" autoPict="0">
                <anchor moveWithCells="1">
                  <from>
                    <xdr:col>2</xdr:col>
                    <xdr:colOff>0</xdr:colOff>
                    <xdr:row>57</xdr:row>
                    <xdr:rowOff>19050</xdr:rowOff>
                  </from>
                  <to>
                    <xdr:col>14</xdr:col>
                    <xdr:colOff>800100</xdr:colOff>
                    <xdr:row>61</xdr:row>
                    <xdr:rowOff>9525</xdr:rowOff>
                  </to>
                </anchor>
              </controlPr>
            </control>
          </mc:Choice>
        </mc:AlternateContent>
        <mc:AlternateContent xmlns:mc="http://schemas.openxmlformats.org/markup-compatibility/2006">
          <mc:Choice Requires="x14">
            <control shapeId="28743" r:id="rId75" name="Option Button 71">
              <controlPr defaultSize="0" autoFill="0" autoLine="0" autoPict="0">
                <anchor moveWithCells="1">
                  <from>
                    <xdr:col>2</xdr:col>
                    <xdr:colOff>57150</xdr:colOff>
                    <xdr:row>57</xdr:row>
                    <xdr:rowOff>104775</xdr:rowOff>
                  </from>
                  <to>
                    <xdr:col>4</xdr:col>
                    <xdr:colOff>38100</xdr:colOff>
                    <xdr:row>58</xdr:row>
                    <xdr:rowOff>66675</xdr:rowOff>
                  </to>
                </anchor>
              </controlPr>
            </control>
          </mc:Choice>
        </mc:AlternateContent>
        <mc:AlternateContent xmlns:mc="http://schemas.openxmlformats.org/markup-compatibility/2006">
          <mc:Choice Requires="x14">
            <control shapeId="28744" r:id="rId76" name="Option Button 72">
              <controlPr defaultSize="0" autoFill="0" autoLine="0" autoPict="0">
                <anchor moveWithCells="1">
                  <from>
                    <xdr:col>2</xdr:col>
                    <xdr:colOff>57150</xdr:colOff>
                    <xdr:row>58</xdr:row>
                    <xdr:rowOff>466725</xdr:rowOff>
                  </from>
                  <to>
                    <xdr:col>4</xdr:col>
                    <xdr:colOff>38100</xdr:colOff>
                    <xdr:row>58</xdr:row>
                    <xdr:rowOff>685800</xdr:rowOff>
                  </to>
                </anchor>
              </controlPr>
            </control>
          </mc:Choice>
        </mc:AlternateContent>
        <mc:AlternateContent xmlns:mc="http://schemas.openxmlformats.org/markup-compatibility/2006">
          <mc:Choice Requires="x14">
            <control shapeId="28745" r:id="rId77" name="Option Button 73">
              <controlPr defaultSize="0" autoFill="0" autoLine="0" autoPict="0">
                <anchor moveWithCells="1">
                  <from>
                    <xdr:col>2</xdr:col>
                    <xdr:colOff>57150</xdr:colOff>
                    <xdr:row>59</xdr:row>
                    <xdr:rowOff>247650</xdr:rowOff>
                  </from>
                  <to>
                    <xdr:col>4</xdr:col>
                    <xdr:colOff>38100</xdr:colOff>
                    <xdr:row>59</xdr:row>
                    <xdr:rowOff>466725</xdr:rowOff>
                  </to>
                </anchor>
              </controlPr>
            </control>
          </mc:Choice>
        </mc:AlternateContent>
        <mc:AlternateContent xmlns:mc="http://schemas.openxmlformats.org/markup-compatibility/2006">
          <mc:Choice Requires="x14">
            <control shapeId="28746" r:id="rId78" name="Option Button 74">
              <controlPr defaultSize="0" autoFill="0" autoLine="0" autoPict="0">
                <anchor moveWithCells="1">
                  <from>
                    <xdr:col>2</xdr:col>
                    <xdr:colOff>57150</xdr:colOff>
                    <xdr:row>60</xdr:row>
                    <xdr:rowOff>400050</xdr:rowOff>
                  </from>
                  <to>
                    <xdr:col>4</xdr:col>
                    <xdr:colOff>38100</xdr:colOff>
                    <xdr:row>60</xdr:row>
                    <xdr:rowOff>619125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N59"/>
  <sheetViews>
    <sheetView showGridLines="0" zoomScale="120" zoomScaleNormal="120" workbookViewId="0">
      <selection activeCell="M1" sqref="M1:P1"/>
    </sheetView>
  </sheetViews>
  <sheetFormatPr defaultColWidth="2.28515625" defaultRowHeight="12.75" x14ac:dyDescent="0.2"/>
  <cols>
    <col min="1" max="1" width="1.42578125" style="35" customWidth="1"/>
    <col min="2" max="2" width="18" style="35" customWidth="1"/>
    <col min="3" max="3" width="2.5703125" style="35" customWidth="1"/>
    <col min="4" max="4" width="2.28515625" style="35" customWidth="1"/>
    <col min="5" max="10" width="3.85546875" style="35" customWidth="1"/>
    <col min="11" max="11" width="6.42578125" style="35" customWidth="1"/>
    <col min="12" max="13" width="3.85546875" style="35" customWidth="1"/>
    <col min="14" max="14" width="4.42578125" style="35" customWidth="1"/>
    <col min="15" max="15" width="12.7109375" style="35" customWidth="1"/>
    <col min="16" max="16" width="11" style="35" customWidth="1"/>
    <col min="17" max="17" width="0.42578125" style="35" customWidth="1"/>
    <col min="18" max="18" width="17.42578125" style="35" hidden="1" customWidth="1"/>
    <col min="19" max="19" width="11.42578125" style="35" hidden="1" customWidth="1"/>
    <col min="20" max="20" width="15" style="35" hidden="1" customWidth="1"/>
    <col min="21" max="21" width="17.5703125" style="35" hidden="1" customWidth="1"/>
    <col min="22" max="22" width="11.85546875" style="35" hidden="1" customWidth="1"/>
    <col min="23" max="23" width="10.42578125" style="35" hidden="1" customWidth="1"/>
    <col min="24" max="130" width="2.28515625" style="35" hidden="1" customWidth="1"/>
    <col min="131" max="255" width="2.28515625" style="35" customWidth="1"/>
    <col min="256" max="16384" width="2.28515625" style="35"/>
  </cols>
  <sheetData>
    <row r="1" spans="2:170" ht="15" customHeight="1" x14ac:dyDescent="0.2">
      <c r="B1" s="14" t="s">
        <v>1733</v>
      </c>
      <c r="E1" s="1347" t="str">
        <f>IF('Start here'!A6="","",'Start here'!A6)</f>
        <v/>
      </c>
      <c r="F1" s="1351"/>
      <c r="G1" s="1351"/>
      <c r="H1" s="1351"/>
      <c r="I1" s="1351"/>
      <c r="J1" s="1351"/>
      <c r="K1" s="1352"/>
      <c r="M1" s="1347" t="str">
        <f>IF('Start here'!A7="","",'Start here'!A7)</f>
        <v/>
      </c>
      <c r="N1" s="1351"/>
      <c r="O1" s="1351"/>
      <c r="P1" s="1352"/>
      <c r="R1" s="694">
        <v>38353</v>
      </c>
      <c r="S1" s="196">
        <f>'Start here'!A8</f>
        <v>0</v>
      </c>
      <c r="T1" s="1226" t="str">
        <f>IF(S1&gt;=R1,"Go to PPD Worksheet","")</f>
        <v/>
      </c>
      <c r="U1" s="1226"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170" ht="11.25" customHeight="1" x14ac:dyDescent="0.2">
      <c r="B2" s="1395"/>
      <c r="C2" s="1395"/>
      <c r="D2" s="1395"/>
      <c r="E2" s="1395"/>
      <c r="F2" s="1395"/>
      <c r="G2" s="1395"/>
      <c r="H2" s="1395"/>
      <c r="I2" s="1395"/>
      <c r="J2" s="1395"/>
      <c r="K2" s="1395"/>
      <c r="L2" s="1395"/>
      <c r="M2" s="1395"/>
      <c r="N2" s="1395"/>
      <c r="O2" s="1395"/>
      <c r="P2" s="1395"/>
    </row>
    <row r="3" spans="2:170" ht="24" customHeight="1" x14ac:dyDescent="0.3">
      <c r="B3" s="1529" t="s">
        <v>1928</v>
      </c>
      <c r="C3" s="1529"/>
      <c r="D3" s="1529"/>
      <c r="E3" s="1529"/>
      <c r="F3" s="1529"/>
      <c r="G3" s="1529"/>
      <c r="H3" s="1529"/>
      <c r="I3" s="1529"/>
      <c r="J3" s="1529"/>
      <c r="K3" s="1529"/>
      <c r="L3" s="1529"/>
      <c r="M3" s="1529"/>
      <c r="N3" s="1529"/>
      <c r="O3" s="1529"/>
      <c r="P3" s="1529"/>
    </row>
    <row r="4" spans="2:170" ht="21" customHeight="1" x14ac:dyDescent="0.2">
      <c r="B4" s="2390" t="s">
        <v>1585</v>
      </c>
      <c r="C4" s="2455"/>
      <c r="D4" s="2456"/>
      <c r="E4" s="1379" t="s">
        <v>1282</v>
      </c>
      <c r="F4" s="1379"/>
      <c r="G4" s="1379"/>
      <c r="H4" s="1379"/>
      <c r="I4" s="1379"/>
      <c r="J4" s="1379"/>
      <c r="K4" s="1379"/>
      <c r="L4" s="1379"/>
      <c r="M4" s="1379"/>
      <c r="N4" s="1379"/>
      <c r="O4" s="1379"/>
      <c r="P4" s="1612">
        <f>IF(S4=2,0.05,IF(S4=3,0.18,IF(S4=4,0.38,0)))</f>
        <v>0</v>
      </c>
      <c r="R4" s="1231" t="s">
        <v>2300</v>
      </c>
      <c r="S4" s="1230">
        <v>1</v>
      </c>
    </row>
    <row r="5" spans="2:170" ht="27" customHeight="1" x14ac:dyDescent="0.2">
      <c r="B5" s="2391"/>
      <c r="C5" s="2457"/>
      <c r="D5" s="2458"/>
      <c r="E5" s="1374" t="s">
        <v>2096</v>
      </c>
      <c r="F5" s="1375"/>
      <c r="G5" s="1375"/>
      <c r="H5" s="1375"/>
      <c r="I5" s="1375"/>
      <c r="J5" s="1375"/>
      <c r="K5" s="1375"/>
      <c r="L5" s="1375"/>
      <c r="M5" s="1375"/>
      <c r="N5" s="1375"/>
      <c r="O5" s="1376"/>
      <c r="P5" s="1732"/>
    </row>
    <row r="6" spans="2:170" ht="27" customHeight="1" x14ac:dyDescent="0.2">
      <c r="B6" s="2391"/>
      <c r="C6" s="2457"/>
      <c r="D6" s="2458"/>
      <c r="E6" s="1374" t="s">
        <v>2097</v>
      </c>
      <c r="F6" s="1375"/>
      <c r="G6" s="1375"/>
      <c r="H6" s="1375"/>
      <c r="I6" s="1375"/>
      <c r="J6" s="1375"/>
      <c r="K6" s="1375"/>
      <c r="L6" s="1375"/>
      <c r="M6" s="1375"/>
      <c r="N6" s="1375"/>
      <c r="O6" s="1376"/>
      <c r="P6" s="1732"/>
    </row>
    <row r="7" spans="2:170" ht="27" customHeight="1" x14ac:dyDescent="0.2">
      <c r="B7" s="2413"/>
      <c r="C7" s="2457"/>
      <c r="D7" s="2458"/>
      <c r="E7" s="1374" t="s">
        <v>2098</v>
      </c>
      <c r="F7" s="1375"/>
      <c r="G7" s="1375"/>
      <c r="H7" s="1375"/>
      <c r="I7" s="1375"/>
      <c r="J7" s="1375"/>
      <c r="K7" s="1375"/>
      <c r="L7" s="1375"/>
      <c r="M7" s="1375"/>
      <c r="N7" s="1375"/>
      <c r="O7" s="1376"/>
      <c r="P7" s="1733"/>
    </row>
    <row r="8" spans="2:170" ht="21" customHeight="1" x14ac:dyDescent="0.2">
      <c r="B8" s="2472" t="s">
        <v>2214</v>
      </c>
      <c r="C8" s="2447"/>
      <c r="D8" s="2448"/>
      <c r="E8" s="1379" t="s">
        <v>1282</v>
      </c>
      <c r="F8" s="1379"/>
      <c r="G8" s="1379"/>
      <c r="H8" s="1379"/>
      <c r="I8" s="1379"/>
      <c r="J8" s="1379"/>
      <c r="K8" s="1379"/>
      <c r="L8" s="1379"/>
      <c r="M8" s="1379"/>
      <c r="N8" s="1379"/>
      <c r="O8" s="1379"/>
      <c r="P8" s="1612">
        <f>IF(S8=2,0.05,IF(S8=3,0.18,0))</f>
        <v>0</v>
      </c>
      <c r="R8" s="1231" t="s">
        <v>2300</v>
      </c>
      <c r="S8" s="1230">
        <v>1</v>
      </c>
    </row>
    <row r="9" spans="2:170" ht="66.75" customHeight="1" x14ac:dyDescent="0.2">
      <c r="B9" s="2473"/>
      <c r="C9" s="2449"/>
      <c r="D9" s="2450"/>
      <c r="E9" s="1379" t="s">
        <v>2099</v>
      </c>
      <c r="F9" s="1379"/>
      <c r="G9" s="1379"/>
      <c r="H9" s="1379"/>
      <c r="I9" s="1379"/>
      <c r="J9" s="1379"/>
      <c r="K9" s="1379"/>
      <c r="L9" s="1379"/>
      <c r="M9" s="1379"/>
      <c r="N9" s="1379"/>
      <c r="O9" s="1379"/>
      <c r="P9" s="1732"/>
    </row>
    <row r="10" spans="2:170" ht="81" customHeight="1" x14ac:dyDescent="0.2">
      <c r="B10" s="542"/>
      <c r="C10" s="2449"/>
      <c r="D10" s="2450"/>
      <c r="E10" s="1379" t="s">
        <v>2100</v>
      </c>
      <c r="F10" s="1379"/>
      <c r="G10" s="1379"/>
      <c r="H10" s="1379"/>
      <c r="I10" s="1379"/>
      <c r="J10" s="1379"/>
      <c r="K10" s="1379"/>
      <c r="L10" s="1379"/>
      <c r="M10" s="1379"/>
      <c r="N10" s="1379"/>
      <c r="O10" s="1379"/>
      <c r="P10" s="1732"/>
    </row>
    <row r="11" spans="2:170" ht="21" customHeight="1" x14ac:dyDescent="0.2">
      <c r="B11" s="2390" t="s">
        <v>2</v>
      </c>
      <c r="C11" s="2447"/>
      <c r="D11" s="2448"/>
      <c r="E11" s="1379" t="s">
        <v>1282</v>
      </c>
      <c r="F11" s="1379"/>
      <c r="G11" s="1379"/>
      <c r="H11" s="1379"/>
      <c r="I11" s="1379"/>
      <c r="J11" s="1379"/>
      <c r="K11" s="1379"/>
      <c r="L11" s="1379"/>
      <c r="M11" s="1379"/>
      <c r="N11" s="1379"/>
      <c r="O11" s="1379"/>
      <c r="P11" s="1612">
        <f>IF(S11=2,0.05,IF(S11=3,0.18,IF(S11=4,0.78,0)))</f>
        <v>0</v>
      </c>
      <c r="R11" s="1231" t="s">
        <v>2300</v>
      </c>
      <c r="S11" s="1230">
        <v>1</v>
      </c>
    </row>
    <row r="12" spans="2:170" ht="28.5" customHeight="1" x14ac:dyDescent="0.2">
      <c r="B12" s="2391"/>
      <c r="C12" s="2449"/>
      <c r="D12" s="2450"/>
      <c r="E12" s="1374" t="s">
        <v>2101</v>
      </c>
      <c r="F12" s="1375"/>
      <c r="G12" s="1375"/>
      <c r="H12" s="1375"/>
      <c r="I12" s="1375"/>
      <c r="J12" s="1375"/>
      <c r="K12" s="1375"/>
      <c r="L12" s="1375"/>
      <c r="M12" s="1375"/>
      <c r="N12" s="1375"/>
      <c r="O12" s="1376"/>
      <c r="P12" s="1732"/>
    </row>
    <row r="13" spans="2:170" ht="27" customHeight="1" x14ac:dyDescent="0.2">
      <c r="B13" s="2391"/>
      <c r="C13" s="2449"/>
      <c r="D13" s="2450"/>
      <c r="E13" s="1374" t="s">
        <v>2102</v>
      </c>
      <c r="F13" s="1375"/>
      <c r="G13" s="1375"/>
      <c r="H13" s="1375"/>
      <c r="I13" s="1375"/>
      <c r="J13" s="1375"/>
      <c r="K13" s="1375"/>
      <c r="L13" s="1375"/>
      <c r="M13" s="1375"/>
      <c r="N13" s="1375"/>
      <c r="O13" s="1376"/>
      <c r="P13" s="1732"/>
    </row>
    <row r="14" spans="2:170" ht="27" customHeight="1" x14ac:dyDescent="0.2">
      <c r="B14" s="2413"/>
      <c r="C14" s="2449"/>
      <c r="D14" s="2450"/>
      <c r="E14" s="1374" t="s">
        <v>2103</v>
      </c>
      <c r="F14" s="1375"/>
      <c r="G14" s="1375"/>
      <c r="H14" s="1375"/>
      <c r="I14" s="1375"/>
      <c r="J14" s="1375"/>
      <c r="K14" s="1375"/>
      <c r="L14" s="1375"/>
      <c r="M14" s="1375"/>
      <c r="N14" s="1375"/>
      <c r="O14" s="1376"/>
      <c r="P14" s="1733"/>
    </row>
    <row r="15" spans="2:170" ht="21" customHeight="1" x14ac:dyDescent="0.2">
      <c r="B15" s="2390" t="s">
        <v>1586</v>
      </c>
      <c r="C15" s="2449"/>
      <c r="D15" s="2450"/>
      <c r="E15" s="1374" t="s">
        <v>1282</v>
      </c>
      <c r="F15" s="1375"/>
      <c r="G15" s="1375"/>
      <c r="H15" s="1375"/>
      <c r="I15" s="1375"/>
      <c r="J15" s="1375"/>
      <c r="K15" s="1375"/>
      <c r="L15" s="1375"/>
      <c r="M15" s="1375"/>
      <c r="N15" s="1375"/>
      <c r="O15" s="1376"/>
      <c r="P15" s="1732">
        <f>IF(S15=2,0.03,IF(S15=3,0.15,0))</f>
        <v>0</v>
      </c>
      <c r="R15" s="1231" t="s">
        <v>2300</v>
      </c>
      <c r="S15" s="1230">
        <v>1</v>
      </c>
    </row>
    <row r="16" spans="2:170" ht="21" customHeight="1" x14ac:dyDescent="0.2">
      <c r="B16" s="2391"/>
      <c r="C16" s="2449"/>
      <c r="D16" s="2450"/>
      <c r="E16" s="1379" t="s">
        <v>2105</v>
      </c>
      <c r="F16" s="1379"/>
      <c r="G16" s="1379"/>
      <c r="H16" s="1379"/>
      <c r="I16" s="1379"/>
      <c r="J16" s="1379"/>
      <c r="K16" s="1379"/>
      <c r="L16" s="1379"/>
      <c r="M16" s="1379"/>
      <c r="N16" s="1379"/>
      <c r="O16" s="1379"/>
      <c r="P16" s="1732"/>
    </row>
    <row r="17" spans="2:19" ht="27" customHeight="1" x14ac:dyDescent="0.2">
      <c r="B17" s="2391"/>
      <c r="C17" s="2449"/>
      <c r="D17" s="2450"/>
      <c r="E17" s="1374" t="s">
        <v>2104</v>
      </c>
      <c r="F17" s="1375"/>
      <c r="G17" s="1375"/>
      <c r="H17" s="1375"/>
      <c r="I17" s="1375"/>
      <c r="J17" s="1375"/>
      <c r="K17" s="1375"/>
      <c r="L17" s="1375"/>
      <c r="M17" s="1375"/>
      <c r="N17" s="1375"/>
      <c r="O17" s="1376"/>
      <c r="P17" s="1732"/>
    </row>
    <row r="18" spans="2:19" ht="21" customHeight="1" x14ac:dyDescent="0.2">
      <c r="B18" s="2390" t="s">
        <v>3</v>
      </c>
      <c r="C18" s="2447"/>
      <c r="D18" s="2448"/>
      <c r="E18" s="1379" t="s">
        <v>1282</v>
      </c>
      <c r="F18" s="1379"/>
      <c r="G18" s="1379"/>
      <c r="H18" s="1379"/>
      <c r="I18" s="1379"/>
      <c r="J18" s="1379"/>
      <c r="K18" s="1379"/>
      <c r="L18" s="1379"/>
      <c r="M18" s="1379"/>
      <c r="N18" s="1379"/>
      <c r="O18" s="1379"/>
      <c r="P18" s="1612">
        <f>IF(S18=2,0.05,IF(S18=3,0.33,IF(S18=4,0.78,0)))</f>
        <v>0</v>
      </c>
      <c r="R18" s="1231" t="s">
        <v>2300</v>
      </c>
      <c r="S18" s="1230">
        <v>1</v>
      </c>
    </row>
    <row r="19" spans="2:19" ht="26.25" customHeight="1" x14ac:dyDescent="0.2">
      <c r="B19" s="2391"/>
      <c r="C19" s="2449"/>
      <c r="D19" s="2450"/>
      <c r="E19" s="1374" t="s">
        <v>2101</v>
      </c>
      <c r="F19" s="1375"/>
      <c r="G19" s="1375"/>
      <c r="H19" s="1375"/>
      <c r="I19" s="1375"/>
      <c r="J19" s="1375"/>
      <c r="K19" s="1375"/>
      <c r="L19" s="1375"/>
      <c r="M19" s="1375"/>
      <c r="N19" s="1375"/>
      <c r="O19" s="1376"/>
      <c r="P19" s="1732"/>
    </row>
    <row r="20" spans="2:19" ht="27" customHeight="1" x14ac:dyDescent="0.2">
      <c r="B20" s="2391"/>
      <c r="C20" s="2449"/>
      <c r="D20" s="2450"/>
      <c r="E20" s="1374" t="s">
        <v>2106</v>
      </c>
      <c r="F20" s="1375"/>
      <c r="G20" s="1375"/>
      <c r="H20" s="1375"/>
      <c r="I20" s="1375"/>
      <c r="J20" s="1375"/>
      <c r="K20" s="1375"/>
      <c r="L20" s="1375"/>
      <c r="M20" s="1375"/>
      <c r="N20" s="1375"/>
      <c r="O20" s="1376"/>
      <c r="P20" s="1732"/>
    </row>
    <row r="21" spans="2:19" ht="27" customHeight="1" x14ac:dyDescent="0.2">
      <c r="B21" s="2391"/>
      <c r="C21" s="2449"/>
      <c r="D21" s="2450"/>
      <c r="E21" s="1374" t="s">
        <v>2107</v>
      </c>
      <c r="F21" s="1375"/>
      <c r="G21" s="1375"/>
      <c r="H21" s="1375"/>
      <c r="I21" s="1375"/>
      <c r="J21" s="1375"/>
      <c r="K21" s="1375"/>
      <c r="L21" s="1375"/>
      <c r="M21" s="1375"/>
      <c r="N21" s="1375"/>
      <c r="O21" s="1376"/>
      <c r="P21" s="1732"/>
    </row>
    <row r="22" spans="2:19" ht="21" customHeight="1" x14ac:dyDescent="0.2">
      <c r="B22" s="2390" t="s">
        <v>4</v>
      </c>
      <c r="C22" s="2447"/>
      <c r="D22" s="2448"/>
      <c r="E22" s="1379" t="s">
        <v>1282</v>
      </c>
      <c r="F22" s="1379"/>
      <c r="G22" s="1379"/>
      <c r="H22" s="1379"/>
      <c r="I22" s="1379"/>
      <c r="J22" s="1379"/>
      <c r="K22" s="1379"/>
      <c r="L22" s="1379"/>
      <c r="M22" s="1379"/>
      <c r="N22" s="1379"/>
      <c r="O22" s="1379"/>
      <c r="P22" s="1612">
        <f>IF(S22=2,0.05,IF(S22=3,0.33,IF(S22=4,0.78,0)))</f>
        <v>0</v>
      </c>
      <c r="R22" s="1231" t="s">
        <v>2300</v>
      </c>
      <c r="S22" s="1230">
        <v>1</v>
      </c>
    </row>
    <row r="23" spans="2:19" ht="27" customHeight="1" x14ac:dyDescent="0.2">
      <c r="B23" s="2391"/>
      <c r="C23" s="2449"/>
      <c r="D23" s="2450"/>
      <c r="E23" s="1374" t="s">
        <v>2108</v>
      </c>
      <c r="F23" s="1375"/>
      <c r="G23" s="1375"/>
      <c r="H23" s="1375"/>
      <c r="I23" s="1375"/>
      <c r="J23" s="1375"/>
      <c r="K23" s="1375"/>
      <c r="L23" s="1375"/>
      <c r="M23" s="1375"/>
      <c r="N23" s="1375"/>
      <c r="O23" s="1376"/>
      <c r="P23" s="1732"/>
    </row>
    <row r="24" spans="2:19" ht="27" customHeight="1" x14ac:dyDescent="0.2">
      <c r="B24" s="2391"/>
      <c r="C24" s="2449"/>
      <c r="D24" s="2450"/>
      <c r="E24" s="1374" t="s">
        <v>2109</v>
      </c>
      <c r="F24" s="1375"/>
      <c r="G24" s="1375"/>
      <c r="H24" s="1375"/>
      <c r="I24" s="1375"/>
      <c r="J24" s="1375"/>
      <c r="K24" s="1375"/>
      <c r="L24" s="1375"/>
      <c r="M24" s="1375"/>
      <c r="N24" s="1375"/>
      <c r="O24" s="1376"/>
      <c r="P24" s="1732"/>
    </row>
    <row r="25" spans="2:19" ht="26.25" customHeight="1" x14ac:dyDescent="0.2">
      <c r="B25" s="2413"/>
      <c r="C25" s="2451"/>
      <c r="D25" s="2452"/>
      <c r="E25" s="1374" t="s">
        <v>2110</v>
      </c>
      <c r="F25" s="1375"/>
      <c r="G25" s="1375"/>
      <c r="H25" s="1375"/>
      <c r="I25" s="1375"/>
      <c r="J25" s="1375"/>
      <c r="K25" s="1375"/>
      <c r="L25" s="1375"/>
      <c r="M25" s="1375"/>
      <c r="N25" s="1375"/>
      <c r="O25" s="1376"/>
      <c r="P25" s="1733"/>
    </row>
    <row r="26" spans="2:19" ht="21" customHeight="1" x14ac:dyDescent="0.2">
      <c r="B26" s="2390" t="s">
        <v>1587</v>
      </c>
      <c r="C26" s="2447"/>
      <c r="D26" s="2448"/>
      <c r="E26" s="1379" t="s">
        <v>1282</v>
      </c>
      <c r="F26" s="1379"/>
      <c r="G26" s="1379"/>
      <c r="H26" s="1379"/>
      <c r="I26" s="1379"/>
      <c r="J26" s="1379"/>
      <c r="K26" s="1379"/>
      <c r="L26" s="1379"/>
      <c r="M26" s="1379"/>
      <c r="N26" s="1379"/>
      <c r="O26" s="1379"/>
      <c r="P26" s="1612">
        <f>IF(S26=2,0.05,IF(S26=3,0.33,IF(S26=4,0.78,0)))</f>
        <v>0</v>
      </c>
      <c r="R26" s="1231" t="s">
        <v>2300</v>
      </c>
      <c r="S26" s="1230">
        <v>1</v>
      </c>
    </row>
    <row r="27" spans="2:19" ht="27" customHeight="1" x14ac:dyDescent="0.2">
      <c r="B27" s="2391"/>
      <c r="C27" s="2449"/>
      <c r="D27" s="2450"/>
      <c r="E27" s="1374" t="s">
        <v>2111</v>
      </c>
      <c r="F27" s="1375"/>
      <c r="G27" s="1375"/>
      <c r="H27" s="1375"/>
      <c r="I27" s="1375"/>
      <c r="J27" s="1375"/>
      <c r="K27" s="1375"/>
      <c r="L27" s="1375"/>
      <c r="M27" s="1375"/>
      <c r="N27" s="1375"/>
      <c r="O27" s="1376"/>
      <c r="P27" s="1732"/>
    </row>
    <row r="28" spans="2:19" ht="40.5" customHeight="1" x14ac:dyDescent="0.2">
      <c r="B28" s="2391"/>
      <c r="C28" s="2449"/>
      <c r="D28" s="2450"/>
      <c r="E28" s="1374" t="s">
        <v>2112</v>
      </c>
      <c r="F28" s="1375"/>
      <c r="G28" s="1375"/>
      <c r="H28" s="1375"/>
      <c r="I28" s="1375"/>
      <c r="J28" s="1375"/>
      <c r="K28" s="1375"/>
      <c r="L28" s="1375"/>
      <c r="M28" s="1375"/>
      <c r="N28" s="1375"/>
      <c r="O28" s="1376"/>
      <c r="P28" s="1732"/>
    </row>
    <row r="29" spans="2:19" ht="39.75" customHeight="1" x14ac:dyDescent="0.2">
      <c r="B29" s="2391"/>
      <c r="C29" s="2449"/>
      <c r="D29" s="2450"/>
      <c r="E29" s="1374" t="s">
        <v>2113</v>
      </c>
      <c r="F29" s="1375"/>
      <c r="G29" s="1375"/>
      <c r="H29" s="1375"/>
      <c r="I29" s="1375"/>
      <c r="J29" s="1375"/>
      <c r="K29" s="1375"/>
      <c r="L29" s="1375"/>
      <c r="M29" s="1375"/>
      <c r="N29" s="1375"/>
      <c r="O29" s="1376"/>
      <c r="P29" s="1732"/>
    </row>
    <row r="30" spans="2:19" ht="21" customHeight="1" x14ac:dyDescent="0.2">
      <c r="B30" s="2470" t="s">
        <v>2213</v>
      </c>
      <c r="C30" s="2447"/>
      <c r="D30" s="2448"/>
      <c r="E30" s="1374" t="s">
        <v>1282</v>
      </c>
      <c r="F30" s="1375"/>
      <c r="G30" s="1375"/>
      <c r="H30" s="1375"/>
      <c r="I30" s="1375"/>
      <c r="J30" s="1375"/>
      <c r="K30" s="1375"/>
      <c r="L30" s="1375"/>
      <c r="M30" s="1375"/>
      <c r="N30" s="1375"/>
      <c r="O30" s="1376"/>
      <c r="P30" s="1612">
        <f>IF(S30=2,0.03,IF(S30=3,0.08,IF(S30=4,0.18,IF(S30=5,0.33,0))))</f>
        <v>0</v>
      </c>
      <c r="R30" s="1231" t="s">
        <v>2300</v>
      </c>
      <c r="S30" s="1230">
        <v>1</v>
      </c>
    </row>
    <row r="31" spans="2:19" ht="52.5" customHeight="1" x14ac:dyDescent="0.2">
      <c r="B31" s="2471"/>
      <c r="C31" s="2449"/>
      <c r="D31" s="2450"/>
      <c r="E31" s="1379" t="s">
        <v>2114</v>
      </c>
      <c r="F31" s="1379"/>
      <c r="G31" s="1379"/>
      <c r="H31" s="1379"/>
      <c r="I31" s="1379"/>
      <c r="J31" s="1379"/>
      <c r="K31" s="1379"/>
      <c r="L31" s="1379"/>
      <c r="M31" s="1379"/>
      <c r="N31" s="1379"/>
      <c r="O31" s="1379"/>
      <c r="P31" s="1732"/>
    </row>
    <row r="32" spans="2:19" ht="70.5" customHeight="1" x14ac:dyDescent="0.2">
      <c r="B32" s="2471"/>
      <c r="C32" s="2449"/>
      <c r="D32" s="2450"/>
      <c r="E32" s="1374" t="s">
        <v>2115</v>
      </c>
      <c r="F32" s="1375"/>
      <c r="G32" s="1375"/>
      <c r="H32" s="1375"/>
      <c r="I32" s="1375"/>
      <c r="J32" s="1375"/>
      <c r="K32" s="1375"/>
      <c r="L32" s="1375"/>
      <c r="M32" s="1375"/>
      <c r="N32" s="1375"/>
      <c r="O32" s="1376"/>
      <c r="P32" s="1732"/>
    </row>
    <row r="33" spans="1:23" ht="34.5" customHeight="1" x14ac:dyDescent="0.2">
      <c r="B33" s="525"/>
      <c r="C33" s="2449"/>
      <c r="D33" s="2450"/>
      <c r="E33" s="1374" t="s">
        <v>2116</v>
      </c>
      <c r="F33" s="1375"/>
      <c r="G33" s="1375"/>
      <c r="H33" s="1375"/>
      <c r="I33" s="1375"/>
      <c r="J33" s="1375"/>
      <c r="K33" s="1375"/>
      <c r="L33" s="1375"/>
      <c r="M33" s="1375"/>
      <c r="N33" s="1375"/>
      <c r="O33" s="1376"/>
      <c r="P33" s="1732"/>
    </row>
    <row r="34" spans="1:23" ht="55.5" customHeight="1" x14ac:dyDescent="0.2">
      <c r="B34" s="528"/>
      <c r="C34" s="2451"/>
      <c r="D34" s="2452"/>
      <c r="E34" s="1374" t="s">
        <v>2117</v>
      </c>
      <c r="F34" s="1375"/>
      <c r="G34" s="1375"/>
      <c r="H34" s="1375"/>
      <c r="I34" s="1375"/>
      <c r="J34" s="1375"/>
      <c r="K34" s="1375"/>
      <c r="L34" s="1375"/>
      <c r="M34" s="1375"/>
      <c r="N34" s="1375"/>
      <c r="O34" s="1376"/>
      <c r="P34" s="1733"/>
    </row>
    <row r="35" spans="1:23" ht="21" customHeight="1" x14ac:dyDescent="0.2">
      <c r="B35" s="2390" t="s">
        <v>941</v>
      </c>
      <c r="C35" s="2447"/>
      <c r="D35" s="2448"/>
      <c r="E35" s="1379" t="s">
        <v>1282</v>
      </c>
      <c r="F35" s="1379"/>
      <c r="G35" s="1379"/>
      <c r="H35" s="1379"/>
      <c r="I35" s="1379"/>
      <c r="J35" s="1379"/>
      <c r="K35" s="1379"/>
      <c r="L35" s="1379"/>
      <c r="M35" s="1379"/>
      <c r="N35" s="1379"/>
      <c r="O35" s="1379"/>
      <c r="P35" s="1612">
        <f>IF(S35=3,0.28,0)</f>
        <v>0</v>
      </c>
      <c r="R35" s="1231" t="s">
        <v>2300</v>
      </c>
      <c r="S35" s="1230">
        <v>1</v>
      </c>
    </row>
    <row r="36" spans="1:23" ht="39" customHeight="1" x14ac:dyDescent="0.2">
      <c r="B36" s="2446"/>
      <c r="C36" s="2449"/>
      <c r="D36" s="2450"/>
      <c r="E36" s="1374" t="s">
        <v>2118</v>
      </c>
      <c r="F36" s="1375"/>
      <c r="G36" s="1375"/>
      <c r="H36" s="1375"/>
      <c r="I36" s="1375"/>
      <c r="J36" s="1375"/>
      <c r="K36" s="1375"/>
      <c r="L36" s="1375"/>
      <c r="M36" s="1375"/>
      <c r="N36" s="1375"/>
      <c r="O36" s="1376"/>
      <c r="P36" s="1732"/>
    </row>
    <row r="37" spans="1:23" ht="43.5" customHeight="1" x14ac:dyDescent="0.2">
      <c r="B37" s="525"/>
      <c r="C37" s="2449"/>
      <c r="D37" s="2450"/>
      <c r="E37" s="1374" t="s">
        <v>2119</v>
      </c>
      <c r="F37" s="1375"/>
      <c r="G37" s="1375"/>
      <c r="H37" s="1375"/>
      <c r="I37" s="1375"/>
      <c r="J37" s="1375"/>
      <c r="K37" s="1375"/>
      <c r="L37" s="1375"/>
      <c r="M37" s="1375"/>
      <c r="N37" s="1375"/>
      <c r="O37" s="1376"/>
      <c r="P37" s="1732"/>
    </row>
    <row r="38" spans="1:23" ht="21" customHeight="1" x14ac:dyDescent="0.2">
      <c r="B38" s="2390" t="s">
        <v>1588</v>
      </c>
      <c r="C38" s="2447"/>
      <c r="D38" s="2448"/>
      <c r="E38" s="1379" t="s">
        <v>1282</v>
      </c>
      <c r="F38" s="1379"/>
      <c r="G38" s="1379"/>
      <c r="H38" s="1379"/>
      <c r="I38" s="1379"/>
      <c r="J38" s="1379"/>
      <c r="K38" s="1379"/>
      <c r="L38" s="1379"/>
      <c r="M38" s="1379"/>
      <c r="N38" s="1379"/>
      <c r="O38" s="1379"/>
      <c r="P38" s="1612">
        <f>IF(S38=2,0.03,IF(S38=3,0.05,0))</f>
        <v>0</v>
      </c>
      <c r="R38" s="1231" t="s">
        <v>2300</v>
      </c>
      <c r="S38" s="1230">
        <v>1</v>
      </c>
    </row>
    <row r="39" spans="1:23" ht="27" customHeight="1" x14ac:dyDescent="0.2">
      <c r="B39" s="2446"/>
      <c r="C39" s="2449"/>
      <c r="D39" s="2450"/>
      <c r="E39" s="1374" t="s">
        <v>2120</v>
      </c>
      <c r="F39" s="1375"/>
      <c r="G39" s="1375"/>
      <c r="H39" s="1375"/>
      <c r="I39" s="1375"/>
      <c r="J39" s="1375"/>
      <c r="K39" s="1375"/>
      <c r="L39" s="1375"/>
      <c r="M39" s="1375"/>
      <c r="N39" s="1375"/>
      <c r="O39" s="1376"/>
      <c r="P39" s="1732"/>
    </row>
    <row r="40" spans="1:23" ht="27" customHeight="1" x14ac:dyDescent="0.2">
      <c r="B40" s="528"/>
      <c r="C40" s="2451"/>
      <c r="D40" s="2452"/>
      <c r="E40" s="1374" t="s">
        <v>2121</v>
      </c>
      <c r="F40" s="1375"/>
      <c r="G40" s="1375"/>
      <c r="H40" s="1375"/>
      <c r="I40" s="1375"/>
      <c r="J40" s="1375"/>
      <c r="K40" s="1375"/>
      <c r="L40" s="1375"/>
      <c r="M40" s="1375"/>
      <c r="N40" s="1375"/>
      <c r="O40" s="1376"/>
      <c r="P40" s="1733"/>
    </row>
    <row r="41" spans="1:23" ht="18" customHeight="1" x14ac:dyDescent="0.2">
      <c r="A41" s="2469"/>
      <c r="B41" s="2469"/>
      <c r="C41" s="2469"/>
      <c r="D41" s="2469"/>
      <c r="E41" s="2469"/>
      <c r="F41" s="2469"/>
      <c r="G41" s="2469"/>
      <c r="H41" s="2469"/>
      <c r="I41" s="2469"/>
      <c r="J41" s="2469"/>
      <c r="K41" s="2469"/>
      <c r="L41" s="2469"/>
      <c r="M41" s="2469"/>
      <c r="N41" s="2469"/>
      <c r="O41" s="2469"/>
      <c r="P41" s="1469"/>
      <c r="Q41" s="3"/>
      <c r="T41" s="500"/>
      <c r="U41" s="191"/>
    </row>
    <row r="42" spans="1:23" ht="27" customHeight="1" x14ac:dyDescent="0.2">
      <c r="B42" s="1632" t="s">
        <v>1818</v>
      </c>
      <c r="C42" s="1633"/>
      <c r="D42" s="1633"/>
      <c r="E42" s="1633"/>
      <c r="F42" s="1633"/>
      <c r="G42" s="1633"/>
      <c r="H42" s="1633"/>
      <c r="I42" s="1633"/>
      <c r="J42" s="1633"/>
      <c r="K42" s="1633"/>
      <c r="L42" s="1633"/>
      <c r="M42" s="1633"/>
      <c r="N42" s="1634"/>
      <c r="O42" s="329" t="s">
        <v>1525</v>
      </c>
      <c r="P42" s="392" t="s">
        <v>1304</v>
      </c>
      <c r="R42" s="1026" t="s">
        <v>2298</v>
      </c>
      <c r="T42" s="1231" t="s">
        <v>1304</v>
      </c>
      <c r="U42" s="1228" t="s">
        <v>1305</v>
      </c>
      <c r="V42" s="1228" t="s">
        <v>1306</v>
      </c>
      <c r="W42" s="1228" t="s">
        <v>1307</v>
      </c>
    </row>
    <row r="43" spans="1:23" ht="19.5" customHeight="1" x14ac:dyDescent="0.2">
      <c r="B43" s="2428" t="s">
        <v>314</v>
      </c>
      <c r="C43" s="2428"/>
      <c r="D43" s="2428"/>
      <c r="E43" s="2428"/>
      <c r="F43" s="2428"/>
      <c r="G43" s="2428"/>
      <c r="H43" s="2428"/>
      <c r="I43" s="2428"/>
      <c r="J43" s="2428"/>
      <c r="K43" s="2428"/>
      <c r="L43" s="1373">
        <f>P4</f>
        <v>0</v>
      </c>
      <c r="M43" s="1373"/>
      <c r="N43" s="1373"/>
      <c r="O43" s="260"/>
      <c r="P43" s="303">
        <f>IF(AND(R43&gt;0,R43&lt;0.01),0.01,ROUND(R43,2))</f>
        <v>0</v>
      </c>
      <c r="R43" s="690">
        <f>IF(O43&gt;0,L43*O43,L43)</f>
        <v>0</v>
      </c>
      <c r="S43" s="499"/>
      <c r="T43" s="479">
        <f>P43</f>
        <v>0</v>
      </c>
      <c r="U43" s="452">
        <f>LARGE($T$43:$T$52,1)</f>
        <v>0</v>
      </c>
      <c r="V43" s="495">
        <f>U43+U44*(1-U43)</f>
        <v>0</v>
      </c>
      <c r="W43" s="479">
        <f t="shared" ref="W43:W51" si="0">ROUND(V43,2)</f>
        <v>0</v>
      </c>
    </row>
    <row r="44" spans="1:23" ht="19.5" customHeight="1" x14ac:dyDescent="0.2">
      <c r="B44" s="2429" t="s">
        <v>322</v>
      </c>
      <c r="C44" s="2429"/>
      <c r="D44" s="2429"/>
      <c r="E44" s="2429"/>
      <c r="F44" s="2429"/>
      <c r="G44" s="2429"/>
      <c r="H44" s="2429"/>
      <c r="I44" s="2429"/>
      <c r="J44" s="2429"/>
      <c r="K44" s="2429"/>
      <c r="L44" s="1373">
        <f>P8</f>
        <v>0</v>
      </c>
      <c r="M44" s="1373"/>
      <c r="N44" s="1373"/>
      <c r="O44" s="260"/>
      <c r="P44" s="303">
        <f t="shared" ref="P44:P52" si="1">IF(AND(R44&gt;0,R44&lt;0.01),0.01,ROUND(R44,2))</f>
        <v>0</v>
      </c>
      <c r="R44" s="690">
        <f t="shared" ref="R44:R52" si="2">IF(O44&gt;0,L44*O44,L44)</f>
        <v>0</v>
      </c>
      <c r="S44" s="499"/>
      <c r="T44" s="479">
        <f t="shared" ref="T44:T52" si="3">P44</f>
        <v>0</v>
      </c>
      <c r="U44" s="452">
        <f>LARGE($T$43:$T$52,2)</f>
        <v>0</v>
      </c>
      <c r="V44" s="495">
        <f t="shared" ref="V44:V51" si="4">W43+U45*(1-W43)</f>
        <v>0</v>
      </c>
      <c r="W44" s="479">
        <f t="shared" si="0"/>
        <v>0</v>
      </c>
    </row>
    <row r="45" spans="1:23" ht="19.5" customHeight="1" x14ac:dyDescent="0.2">
      <c r="B45" s="2429" t="s">
        <v>315</v>
      </c>
      <c r="C45" s="2429"/>
      <c r="D45" s="2429"/>
      <c r="E45" s="2429"/>
      <c r="F45" s="2429"/>
      <c r="G45" s="2429"/>
      <c r="H45" s="2429"/>
      <c r="I45" s="2429"/>
      <c r="J45" s="2429"/>
      <c r="K45" s="2429"/>
      <c r="L45" s="1373">
        <f>P11</f>
        <v>0</v>
      </c>
      <c r="M45" s="1373"/>
      <c r="N45" s="1373"/>
      <c r="O45" s="260"/>
      <c r="P45" s="303">
        <f t="shared" si="1"/>
        <v>0</v>
      </c>
      <c r="R45" s="690">
        <f t="shared" si="2"/>
        <v>0</v>
      </c>
      <c r="S45" s="499"/>
      <c r="T45" s="479">
        <f t="shared" si="3"/>
        <v>0</v>
      </c>
      <c r="U45" s="452">
        <f>LARGE($T$43:$T$52,3)</f>
        <v>0</v>
      </c>
      <c r="V45" s="495">
        <f t="shared" si="4"/>
        <v>0</v>
      </c>
      <c r="W45" s="479">
        <f t="shared" si="0"/>
        <v>0</v>
      </c>
    </row>
    <row r="46" spans="1:23" ht="19.5" customHeight="1" x14ac:dyDescent="0.2">
      <c r="B46" s="2429" t="s">
        <v>316</v>
      </c>
      <c r="C46" s="2429"/>
      <c r="D46" s="2429"/>
      <c r="E46" s="2429"/>
      <c r="F46" s="2429"/>
      <c r="G46" s="2429"/>
      <c r="H46" s="2429"/>
      <c r="I46" s="2429"/>
      <c r="J46" s="2429"/>
      <c r="K46" s="2429"/>
      <c r="L46" s="1373">
        <f>P15</f>
        <v>0</v>
      </c>
      <c r="M46" s="1373"/>
      <c r="N46" s="1373"/>
      <c r="O46" s="260"/>
      <c r="P46" s="303">
        <f t="shared" si="1"/>
        <v>0</v>
      </c>
      <c r="R46" s="690">
        <f t="shared" si="2"/>
        <v>0</v>
      </c>
      <c r="S46" s="499"/>
      <c r="T46" s="479">
        <f t="shared" si="3"/>
        <v>0</v>
      </c>
      <c r="U46" s="452">
        <f>LARGE($T$43:$T$52,4)</f>
        <v>0</v>
      </c>
      <c r="V46" s="495">
        <f t="shared" si="4"/>
        <v>0</v>
      </c>
      <c r="W46" s="479">
        <f t="shared" si="0"/>
        <v>0</v>
      </c>
    </row>
    <row r="47" spans="1:23" ht="19.5" customHeight="1" x14ac:dyDescent="0.2">
      <c r="B47" s="2429" t="s">
        <v>317</v>
      </c>
      <c r="C47" s="2429"/>
      <c r="D47" s="2429"/>
      <c r="E47" s="2429"/>
      <c r="F47" s="2429"/>
      <c r="G47" s="2429"/>
      <c r="H47" s="2429"/>
      <c r="I47" s="2429"/>
      <c r="J47" s="2429"/>
      <c r="K47" s="2429"/>
      <c r="L47" s="1373">
        <f>P18</f>
        <v>0</v>
      </c>
      <c r="M47" s="1373"/>
      <c r="N47" s="1373"/>
      <c r="O47" s="260"/>
      <c r="P47" s="303">
        <f t="shared" si="1"/>
        <v>0</v>
      </c>
      <c r="R47" s="690">
        <f t="shared" si="2"/>
        <v>0</v>
      </c>
      <c r="S47" s="499"/>
      <c r="T47" s="479">
        <f t="shared" si="3"/>
        <v>0</v>
      </c>
      <c r="U47" s="452">
        <f>LARGE($T$43:$T$52,5)</f>
        <v>0</v>
      </c>
      <c r="V47" s="495">
        <f t="shared" si="4"/>
        <v>0</v>
      </c>
      <c r="W47" s="479">
        <f t="shared" si="0"/>
        <v>0</v>
      </c>
    </row>
    <row r="48" spans="1:23" ht="19.5" customHeight="1" x14ac:dyDescent="0.2">
      <c r="B48" s="2429" t="s">
        <v>318</v>
      </c>
      <c r="C48" s="2429"/>
      <c r="D48" s="2429"/>
      <c r="E48" s="2429"/>
      <c r="F48" s="2429"/>
      <c r="G48" s="2429"/>
      <c r="H48" s="2429"/>
      <c r="I48" s="2429"/>
      <c r="J48" s="2429"/>
      <c r="K48" s="2429"/>
      <c r="L48" s="1373">
        <f>P22</f>
        <v>0</v>
      </c>
      <c r="M48" s="1373"/>
      <c r="N48" s="1373"/>
      <c r="O48" s="260"/>
      <c r="P48" s="303">
        <f t="shared" si="1"/>
        <v>0</v>
      </c>
      <c r="R48" s="690">
        <f t="shared" si="2"/>
        <v>0</v>
      </c>
      <c r="S48" s="499"/>
      <c r="T48" s="479">
        <f t="shared" si="3"/>
        <v>0</v>
      </c>
      <c r="U48" s="452">
        <f>LARGE($T$43:$T$52,6)</f>
        <v>0</v>
      </c>
      <c r="V48" s="495">
        <f t="shared" si="4"/>
        <v>0</v>
      </c>
      <c r="W48" s="479">
        <f t="shared" si="0"/>
        <v>0</v>
      </c>
    </row>
    <row r="49" spans="2:23" ht="19.5" customHeight="1" x14ac:dyDescent="0.2">
      <c r="B49" s="2429" t="s">
        <v>319</v>
      </c>
      <c r="C49" s="2429"/>
      <c r="D49" s="2429"/>
      <c r="E49" s="2429"/>
      <c r="F49" s="2429"/>
      <c r="G49" s="2429"/>
      <c r="H49" s="2429"/>
      <c r="I49" s="2429"/>
      <c r="J49" s="2429"/>
      <c r="K49" s="2429"/>
      <c r="L49" s="1373">
        <f>P26</f>
        <v>0</v>
      </c>
      <c r="M49" s="1373"/>
      <c r="N49" s="1373"/>
      <c r="O49" s="260"/>
      <c r="P49" s="303">
        <f t="shared" si="1"/>
        <v>0</v>
      </c>
      <c r="R49" s="690">
        <f t="shared" si="2"/>
        <v>0</v>
      </c>
      <c r="S49" s="499"/>
      <c r="T49" s="479">
        <f t="shared" si="3"/>
        <v>0</v>
      </c>
      <c r="U49" s="452">
        <f>LARGE($T$43:$T$52,7)</f>
        <v>0</v>
      </c>
      <c r="V49" s="495">
        <f t="shared" si="4"/>
        <v>0</v>
      </c>
      <c r="W49" s="479">
        <f t="shared" si="0"/>
        <v>0</v>
      </c>
    </row>
    <row r="50" spans="2:23" ht="19.5" customHeight="1" x14ac:dyDescent="0.2">
      <c r="B50" s="2429" t="s">
        <v>320</v>
      </c>
      <c r="C50" s="2429"/>
      <c r="D50" s="2429"/>
      <c r="E50" s="2429"/>
      <c r="F50" s="2429"/>
      <c r="G50" s="2429"/>
      <c r="H50" s="2429"/>
      <c r="I50" s="2429"/>
      <c r="J50" s="2429"/>
      <c r="K50" s="2429"/>
      <c r="L50" s="1373">
        <f>P30</f>
        <v>0</v>
      </c>
      <c r="M50" s="1373"/>
      <c r="N50" s="1373"/>
      <c r="O50" s="260"/>
      <c r="P50" s="303">
        <f t="shared" si="1"/>
        <v>0</v>
      </c>
      <c r="R50" s="690">
        <f t="shared" si="2"/>
        <v>0</v>
      </c>
      <c r="S50" s="499"/>
      <c r="T50" s="479">
        <f t="shared" si="3"/>
        <v>0</v>
      </c>
      <c r="U50" s="452">
        <f>LARGE($T$43:$T$52,8)</f>
        <v>0</v>
      </c>
      <c r="V50" s="495">
        <f t="shared" si="4"/>
        <v>0</v>
      </c>
      <c r="W50" s="479">
        <f t="shared" si="0"/>
        <v>0</v>
      </c>
    </row>
    <row r="51" spans="2:23" ht="19.5" customHeight="1" x14ac:dyDescent="0.2">
      <c r="B51" s="2429" t="s">
        <v>321</v>
      </c>
      <c r="C51" s="2429"/>
      <c r="D51" s="2429"/>
      <c r="E51" s="2429"/>
      <c r="F51" s="2429"/>
      <c r="G51" s="2429"/>
      <c r="H51" s="2429"/>
      <c r="I51" s="2429"/>
      <c r="J51" s="2429"/>
      <c r="K51" s="2429"/>
      <c r="L51" s="1373">
        <f>P35</f>
        <v>0</v>
      </c>
      <c r="M51" s="1373"/>
      <c r="N51" s="1373"/>
      <c r="O51" s="260"/>
      <c r="P51" s="303">
        <f t="shared" si="1"/>
        <v>0</v>
      </c>
      <c r="R51" s="690">
        <f t="shared" si="2"/>
        <v>0</v>
      </c>
      <c r="S51" s="499"/>
      <c r="T51" s="479">
        <f t="shared" si="3"/>
        <v>0</v>
      </c>
      <c r="U51" s="452">
        <f>LARGE($T$43:$T$52,9)</f>
        <v>0</v>
      </c>
      <c r="V51" s="495">
        <f t="shared" si="4"/>
        <v>0</v>
      </c>
      <c r="W51" s="479">
        <f t="shared" si="0"/>
        <v>0</v>
      </c>
    </row>
    <row r="52" spans="2:23" ht="19.5" customHeight="1" x14ac:dyDescent="0.2">
      <c r="B52" s="2429" t="s">
        <v>323</v>
      </c>
      <c r="C52" s="2429"/>
      <c r="D52" s="2429"/>
      <c r="E52" s="2429"/>
      <c r="F52" s="2429"/>
      <c r="G52" s="2429"/>
      <c r="H52" s="2429"/>
      <c r="I52" s="2429"/>
      <c r="J52" s="2429"/>
      <c r="K52" s="2429"/>
      <c r="L52" s="1373">
        <f>P38</f>
        <v>0</v>
      </c>
      <c r="M52" s="1373"/>
      <c r="N52" s="1373"/>
      <c r="O52" s="260"/>
      <c r="P52" s="303">
        <f t="shared" si="1"/>
        <v>0</v>
      </c>
      <c r="R52" s="690">
        <f t="shared" si="2"/>
        <v>0</v>
      </c>
      <c r="S52" s="499"/>
      <c r="T52" s="479">
        <f t="shared" si="3"/>
        <v>0</v>
      </c>
      <c r="U52" s="452">
        <f>LARGE($T$43:$T$52,10)</f>
        <v>0</v>
      </c>
      <c r="V52" s="3"/>
      <c r="W52" s="3"/>
    </row>
    <row r="53" spans="2:23" ht="21" customHeight="1" x14ac:dyDescent="0.2">
      <c r="B53" s="437"/>
      <c r="C53" s="274"/>
      <c r="D53" s="274"/>
      <c r="E53" s="274"/>
      <c r="F53" s="274"/>
      <c r="G53" s="274"/>
      <c r="H53" s="274"/>
      <c r="I53" s="274"/>
      <c r="J53" s="396"/>
      <c r="K53" s="304" t="s">
        <v>1538</v>
      </c>
      <c r="L53" s="274"/>
      <c r="M53" s="274"/>
      <c r="N53" s="274"/>
      <c r="O53" s="275"/>
      <c r="P53" s="305">
        <f>W51</f>
        <v>0</v>
      </c>
    </row>
    <row r="54" spans="2:23" ht="30.75" customHeight="1" x14ac:dyDescent="0.25">
      <c r="B54" s="1682" t="s">
        <v>947</v>
      </c>
      <c r="C54" s="1682"/>
      <c r="D54" s="1682"/>
      <c r="E54" s="1682"/>
      <c r="F54" s="1682"/>
      <c r="G54" s="1682"/>
      <c r="H54" s="1682"/>
      <c r="I54" s="1682"/>
      <c r="J54" s="1682"/>
      <c r="K54" s="1682"/>
      <c r="L54" s="1682"/>
      <c r="M54" s="1682"/>
      <c r="N54" s="1682"/>
      <c r="O54" s="1682"/>
      <c r="P54" s="1682"/>
    </row>
    <row r="55" spans="2:23" x14ac:dyDescent="0.2">
      <c r="B55" s="768" t="s">
        <v>790</v>
      </c>
      <c r="C55" s="2464" t="str">
        <f>IF(U1&lt;&gt;"",U1,"")</f>
        <v>Go to PPD Worksheet</v>
      </c>
      <c r="D55" s="2464"/>
      <c r="E55" s="2464"/>
      <c r="F55" s="2464"/>
      <c r="G55" s="2464"/>
      <c r="H55" s="2464"/>
      <c r="I55" s="2267" t="str">
        <f>IF(T1&lt;&gt;"",T1,"")</f>
        <v/>
      </c>
      <c r="J55" s="2267"/>
      <c r="K55" s="2267"/>
      <c r="L55" s="2267"/>
      <c r="M55" s="2267"/>
      <c r="N55" s="2267"/>
    </row>
    <row r="59" spans="2:23" hidden="1" x14ac:dyDescent="0.2">
      <c r="B59" s="35">
        <v>0.01</v>
      </c>
      <c r="C59" s="35">
        <v>0.99</v>
      </c>
    </row>
  </sheetData>
  <sheetProtection sheet="1" objects="1" scenarios="1"/>
  <mergeCells count="96">
    <mergeCell ref="E1:K1"/>
    <mergeCell ref="M1:P1"/>
    <mergeCell ref="B54:P54"/>
    <mergeCell ref="C38:D40"/>
    <mergeCell ref="E38:O38"/>
    <mergeCell ref="P38:P40"/>
    <mergeCell ref="E39:O39"/>
    <mergeCell ref="E40:O40"/>
    <mergeCell ref="B43:K43"/>
    <mergeCell ref="L43:N43"/>
    <mergeCell ref="P35:P37"/>
    <mergeCell ref="E36:O36"/>
    <mergeCell ref="E37:O37"/>
    <mergeCell ref="B42:N42"/>
    <mergeCell ref="L44:N44"/>
    <mergeCell ref="B26:B29"/>
    <mergeCell ref="C26:D29"/>
    <mergeCell ref="E26:O26"/>
    <mergeCell ref="P26:P29"/>
    <mergeCell ref="E27:O27"/>
    <mergeCell ref="E28:O28"/>
    <mergeCell ref="E29:O29"/>
    <mergeCell ref="P22:P25"/>
    <mergeCell ref="E23:O23"/>
    <mergeCell ref="E24:O24"/>
    <mergeCell ref="E25:O25"/>
    <mergeCell ref="P18:P21"/>
    <mergeCell ref="E19:O19"/>
    <mergeCell ref="E20:O20"/>
    <mergeCell ref="E21:O21"/>
    <mergeCell ref="B18:B21"/>
    <mergeCell ref="C18:D21"/>
    <mergeCell ref="E18:O18"/>
    <mergeCell ref="B22:B25"/>
    <mergeCell ref="C22:D25"/>
    <mergeCell ref="E22:O22"/>
    <mergeCell ref="B2:P2"/>
    <mergeCell ref="B3:P3"/>
    <mergeCell ref="B4:B7"/>
    <mergeCell ref="C4:D7"/>
    <mergeCell ref="E4:O4"/>
    <mergeCell ref="P4:P7"/>
    <mergeCell ref="E5:O5"/>
    <mergeCell ref="E6:O6"/>
    <mergeCell ref="E7:O7"/>
    <mergeCell ref="B15:B17"/>
    <mergeCell ref="C15:D17"/>
    <mergeCell ref="P15:P17"/>
    <mergeCell ref="E11:O11"/>
    <mergeCell ref="E12:O12"/>
    <mergeCell ref="E13:O13"/>
    <mergeCell ref="E14:O14"/>
    <mergeCell ref="E16:O16"/>
    <mergeCell ref="E17:O17"/>
    <mergeCell ref="E15:O15"/>
    <mergeCell ref="B11:B14"/>
    <mergeCell ref="P8:P10"/>
    <mergeCell ref="E9:O9"/>
    <mergeCell ref="E10:O10"/>
    <mergeCell ref="B8:B9"/>
    <mergeCell ref="C11:D14"/>
    <mergeCell ref="P11:P14"/>
    <mergeCell ref="C8:D10"/>
    <mergeCell ref="E8:O8"/>
    <mergeCell ref="B46:K46"/>
    <mergeCell ref="L46:N46"/>
    <mergeCell ref="B47:K47"/>
    <mergeCell ref="L47:N47"/>
    <mergeCell ref="B48:K48"/>
    <mergeCell ref="L48:N48"/>
    <mergeCell ref="C55:H55"/>
    <mergeCell ref="I55:N55"/>
    <mergeCell ref="B49:K49"/>
    <mergeCell ref="L49:N49"/>
    <mergeCell ref="B52:K52"/>
    <mergeCell ref="L52:N52"/>
    <mergeCell ref="B50:K50"/>
    <mergeCell ref="L50:N50"/>
    <mergeCell ref="B51:K51"/>
    <mergeCell ref="L51:N51"/>
    <mergeCell ref="E33:O33"/>
    <mergeCell ref="B45:K45"/>
    <mergeCell ref="L45:N45"/>
    <mergeCell ref="B35:B36"/>
    <mergeCell ref="B38:B39"/>
    <mergeCell ref="A41:P41"/>
    <mergeCell ref="C30:D34"/>
    <mergeCell ref="E30:O30"/>
    <mergeCell ref="E31:O31"/>
    <mergeCell ref="E32:O32"/>
    <mergeCell ref="B44:K44"/>
    <mergeCell ref="E34:O34"/>
    <mergeCell ref="P30:P34"/>
    <mergeCell ref="C35:D37"/>
    <mergeCell ref="E35:O35"/>
    <mergeCell ref="B30:B32"/>
  </mergeCells>
  <phoneticPr fontId="0" type="noConversion"/>
  <dataValidations xWindow="910" yWindow="577" count="2">
    <dataValidation type="decimal" allowBlank="1" showInputMessage="1" showErrorMessage="1" promptTitle="Apportionment (if any)" prompt="Enter percentage of impairment caused by the injury or illness. See OAR 436-035-0013." sqref="O43:O51" xr:uid="{00000000-0002-0000-1900-000000000000}">
      <formula1>$B$59</formula1>
      <formula2>$C$59</formula2>
    </dataValidation>
    <dataValidation type="decimal" allowBlank="1" showInputMessage="1" showErrorMessage="1" promptTitle="Apportionment (if any)" prompt="Loss of gonad(s) cannot be apportioned, only alteration of function. Enter percentage of impairment caused by the injury or illness. See OAR 436-035-0013." sqref="O52" xr:uid="{00000000-0002-0000-1900-000001000000}">
      <formula1>$B$59</formula1>
      <formula2>$C$59</formula2>
    </dataValidation>
  </dataValidations>
  <hyperlinks>
    <hyperlink ref="B55" location="Endocrine!A1" display="Return to top of sheet" xr:uid="{00000000-0004-0000-1900-000000000000}"/>
    <hyperlink ref="I55:N55" location="'PPD DOI on or after 2005'!A1" display="'PPD DOI on or after 2005'!A1" xr:uid="{00000000-0004-0000-1900-000001000000}"/>
    <hyperlink ref="C55:H55" location="'PPD DOI before 2005'!A1" display="'PPD DOI before 2005'!A1" xr:uid="{00000000-0004-0000-1900-000002000000}"/>
  </hyperlinks>
  <pageMargins left="0.75" right="0.75" top="0.8" bottom="0.91" header="0.5" footer="0.5"/>
  <pageSetup orientation="portrait" horizontalDpi="300" verticalDpi="300" r:id="rId1"/>
  <headerFooter alignWithMargins="0">
    <oddFooter>&amp;LEndocrine impairment&amp;CPage &amp;P</oddFooter>
  </headerFooter>
  <rowBreaks count="1" manualBreakCount="1">
    <brk id="4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Group Box 1">
              <controlPr defaultSize="0" autoFill="0" autoPict="0">
                <anchor moveWithCells="1">
                  <from>
                    <xdr:col>2</xdr:col>
                    <xdr:colOff>0</xdr:colOff>
                    <xdr:row>3</xdr:row>
                    <xdr:rowOff>0</xdr:rowOff>
                  </from>
                  <to>
                    <xdr:col>14</xdr:col>
                    <xdr:colOff>819150</xdr:colOff>
                    <xdr:row>7</xdr:row>
                    <xdr:rowOff>0</xdr:rowOff>
                  </to>
                </anchor>
              </controlPr>
            </control>
          </mc:Choice>
        </mc:AlternateContent>
        <mc:AlternateContent xmlns:mc="http://schemas.openxmlformats.org/markup-compatibility/2006">
          <mc:Choice Requires="x14">
            <control shapeId="27650" r:id="rId5" name="Option Button 2">
              <controlPr defaultSize="0" autoFill="0" autoLine="0" autoPict="0">
                <anchor moveWithCells="1">
                  <from>
                    <xdr:col>2</xdr:col>
                    <xdr:colOff>47625</xdr:colOff>
                    <xdr:row>3</xdr:row>
                    <xdr:rowOff>38100</xdr:rowOff>
                  </from>
                  <to>
                    <xdr:col>4</xdr:col>
                    <xdr:colOff>28575</xdr:colOff>
                    <xdr:row>3</xdr:row>
                    <xdr:rowOff>257175</xdr:rowOff>
                  </to>
                </anchor>
              </controlPr>
            </control>
          </mc:Choice>
        </mc:AlternateContent>
        <mc:AlternateContent xmlns:mc="http://schemas.openxmlformats.org/markup-compatibility/2006">
          <mc:Choice Requires="x14">
            <control shapeId="27651" r:id="rId6" name="Option Button 3">
              <controlPr defaultSize="0" autoFill="0" autoLine="0" autoPict="0">
                <anchor moveWithCells="1">
                  <from>
                    <xdr:col>2</xdr:col>
                    <xdr:colOff>47625</xdr:colOff>
                    <xdr:row>4</xdr:row>
                    <xdr:rowOff>47625</xdr:rowOff>
                  </from>
                  <to>
                    <xdr:col>4</xdr:col>
                    <xdr:colOff>28575</xdr:colOff>
                    <xdr:row>4</xdr:row>
                    <xdr:rowOff>266700</xdr:rowOff>
                  </to>
                </anchor>
              </controlPr>
            </control>
          </mc:Choice>
        </mc:AlternateContent>
        <mc:AlternateContent xmlns:mc="http://schemas.openxmlformats.org/markup-compatibility/2006">
          <mc:Choice Requires="x14">
            <control shapeId="27652" r:id="rId7" name="Option Button 4">
              <controlPr defaultSize="0" autoFill="0" autoLine="0" autoPict="0">
                <anchor moveWithCells="1">
                  <from>
                    <xdr:col>2</xdr:col>
                    <xdr:colOff>47625</xdr:colOff>
                    <xdr:row>5</xdr:row>
                    <xdr:rowOff>47625</xdr:rowOff>
                  </from>
                  <to>
                    <xdr:col>4</xdr:col>
                    <xdr:colOff>28575</xdr:colOff>
                    <xdr:row>5</xdr:row>
                    <xdr:rowOff>266700</xdr:rowOff>
                  </to>
                </anchor>
              </controlPr>
            </control>
          </mc:Choice>
        </mc:AlternateContent>
        <mc:AlternateContent xmlns:mc="http://schemas.openxmlformats.org/markup-compatibility/2006">
          <mc:Choice Requires="x14">
            <control shapeId="27653" r:id="rId8" name="Option Button 5">
              <controlPr defaultSize="0" autoFill="0" autoLine="0" autoPict="0">
                <anchor moveWithCells="1">
                  <from>
                    <xdr:col>2</xdr:col>
                    <xdr:colOff>47625</xdr:colOff>
                    <xdr:row>6</xdr:row>
                    <xdr:rowOff>47625</xdr:rowOff>
                  </from>
                  <to>
                    <xdr:col>4</xdr:col>
                    <xdr:colOff>28575</xdr:colOff>
                    <xdr:row>6</xdr:row>
                    <xdr:rowOff>266700</xdr:rowOff>
                  </to>
                </anchor>
              </controlPr>
            </control>
          </mc:Choice>
        </mc:AlternateContent>
        <mc:AlternateContent xmlns:mc="http://schemas.openxmlformats.org/markup-compatibility/2006">
          <mc:Choice Requires="x14">
            <control shapeId="27654" r:id="rId9" name="Group Box 6">
              <controlPr defaultSize="0" autoFill="0" autoPict="0">
                <anchor moveWithCells="1">
                  <from>
                    <xdr:col>2</xdr:col>
                    <xdr:colOff>0</xdr:colOff>
                    <xdr:row>7</xdr:row>
                    <xdr:rowOff>0</xdr:rowOff>
                  </from>
                  <to>
                    <xdr:col>14</xdr:col>
                    <xdr:colOff>819150</xdr:colOff>
                    <xdr:row>10</xdr:row>
                    <xdr:rowOff>0</xdr:rowOff>
                  </to>
                </anchor>
              </controlPr>
            </control>
          </mc:Choice>
        </mc:AlternateContent>
        <mc:AlternateContent xmlns:mc="http://schemas.openxmlformats.org/markup-compatibility/2006">
          <mc:Choice Requires="x14">
            <control shapeId="27655" r:id="rId10" name="Option Button 7">
              <controlPr defaultSize="0" autoFill="0" autoLine="0" autoPict="0">
                <anchor moveWithCells="1">
                  <from>
                    <xdr:col>2</xdr:col>
                    <xdr:colOff>57150</xdr:colOff>
                    <xdr:row>7</xdr:row>
                    <xdr:rowOff>47625</xdr:rowOff>
                  </from>
                  <to>
                    <xdr:col>4</xdr:col>
                    <xdr:colOff>38100</xdr:colOff>
                    <xdr:row>8</xdr:row>
                    <xdr:rowOff>0</xdr:rowOff>
                  </to>
                </anchor>
              </controlPr>
            </control>
          </mc:Choice>
        </mc:AlternateContent>
        <mc:AlternateContent xmlns:mc="http://schemas.openxmlformats.org/markup-compatibility/2006">
          <mc:Choice Requires="x14">
            <control shapeId="27656" r:id="rId11" name="Option Button 8">
              <controlPr defaultSize="0" autoFill="0" autoLine="0" autoPict="0">
                <anchor moveWithCells="1">
                  <from>
                    <xdr:col>2</xdr:col>
                    <xdr:colOff>57150</xdr:colOff>
                    <xdr:row>8</xdr:row>
                    <xdr:rowOff>323850</xdr:rowOff>
                  </from>
                  <to>
                    <xdr:col>4</xdr:col>
                    <xdr:colOff>38100</xdr:colOff>
                    <xdr:row>8</xdr:row>
                    <xdr:rowOff>542925</xdr:rowOff>
                  </to>
                </anchor>
              </controlPr>
            </control>
          </mc:Choice>
        </mc:AlternateContent>
        <mc:AlternateContent xmlns:mc="http://schemas.openxmlformats.org/markup-compatibility/2006">
          <mc:Choice Requires="x14">
            <control shapeId="27657" r:id="rId12" name="Option Button 9">
              <controlPr defaultSize="0" autoFill="0" autoLine="0" autoPict="0">
                <anchor moveWithCells="1">
                  <from>
                    <xdr:col>2</xdr:col>
                    <xdr:colOff>57150</xdr:colOff>
                    <xdr:row>9</xdr:row>
                    <xdr:rowOff>400050</xdr:rowOff>
                  </from>
                  <to>
                    <xdr:col>4</xdr:col>
                    <xdr:colOff>38100</xdr:colOff>
                    <xdr:row>9</xdr:row>
                    <xdr:rowOff>619125</xdr:rowOff>
                  </to>
                </anchor>
              </controlPr>
            </control>
          </mc:Choice>
        </mc:AlternateContent>
        <mc:AlternateContent xmlns:mc="http://schemas.openxmlformats.org/markup-compatibility/2006">
          <mc:Choice Requires="x14">
            <control shapeId="27658" r:id="rId13" name="Group Box 10">
              <controlPr defaultSize="0" autoFill="0" autoPict="0">
                <anchor moveWithCells="1">
                  <from>
                    <xdr:col>2</xdr:col>
                    <xdr:colOff>0</xdr:colOff>
                    <xdr:row>10</xdr:row>
                    <xdr:rowOff>0</xdr:rowOff>
                  </from>
                  <to>
                    <xdr:col>14</xdr:col>
                    <xdr:colOff>819150</xdr:colOff>
                    <xdr:row>13</xdr:row>
                    <xdr:rowOff>333375</xdr:rowOff>
                  </to>
                </anchor>
              </controlPr>
            </control>
          </mc:Choice>
        </mc:AlternateContent>
        <mc:AlternateContent xmlns:mc="http://schemas.openxmlformats.org/markup-compatibility/2006">
          <mc:Choice Requires="x14">
            <control shapeId="27659" r:id="rId14" name="Option Button 11">
              <controlPr defaultSize="0" autoFill="0" autoLine="0" autoPict="0">
                <anchor moveWithCells="1">
                  <from>
                    <xdr:col>2</xdr:col>
                    <xdr:colOff>66675</xdr:colOff>
                    <xdr:row>10</xdr:row>
                    <xdr:rowOff>38100</xdr:rowOff>
                  </from>
                  <to>
                    <xdr:col>4</xdr:col>
                    <xdr:colOff>47625</xdr:colOff>
                    <xdr:row>10</xdr:row>
                    <xdr:rowOff>257175</xdr:rowOff>
                  </to>
                </anchor>
              </controlPr>
            </control>
          </mc:Choice>
        </mc:AlternateContent>
        <mc:AlternateContent xmlns:mc="http://schemas.openxmlformats.org/markup-compatibility/2006">
          <mc:Choice Requires="x14">
            <control shapeId="27660" r:id="rId15" name="Option Button 12">
              <controlPr defaultSize="0" autoFill="0" autoLine="0" autoPict="0">
                <anchor moveWithCells="1">
                  <from>
                    <xdr:col>2</xdr:col>
                    <xdr:colOff>66675</xdr:colOff>
                    <xdr:row>11</xdr:row>
                    <xdr:rowOff>28575</xdr:rowOff>
                  </from>
                  <to>
                    <xdr:col>4</xdr:col>
                    <xdr:colOff>47625</xdr:colOff>
                    <xdr:row>11</xdr:row>
                    <xdr:rowOff>247650</xdr:rowOff>
                  </to>
                </anchor>
              </controlPr>
            </control>
          </mc:Choice>
        </mc:AlternateContent>
        <mc:AlternateContent xmlns:mc="http://schemas.openxmlformats.org/markup-compatibility/2006">
          <mc:Choice Requires="x14">
            <control shapeId="27661" r:id="rId16" name="Option Button 13">
              <controlPr defaultSize="0" autoFill="0" autoLine="0" autoPict="0">
                <anchor moveWithCells="1">
                  <from>
                    <xdr:col>2</xdr:col>
                    <xdr:colOff>66675</xdr:colOff>
                    <xdr:row>12</xdr:row>
                    <xdr:rowOff>66675</xdr:rowOff>
                  </from>
                  <to>
                    <xdr:col>4</xdr:col>
                    <xdr:colOff>47625</xdr:colOff>
                    <xdr:row>12</xdr:row>
                    <xdr:rowOff>285750</xdr:rowOff>
                  </to>
                </anchor>
              </controlPr>
            </control>
          </mc:Choice>
        </mc:AlternateContent>
        <mc:AlternateContent xmlns:mc="http://schemas.openxmlformats.org/markup-compatibility/2006">
          <mc:Choice Requires="x14">
            <control shapeId="27662" r:id="rId17" name="Option Button 14">
              <controlPr defaultSize="0" autoFill="0" autoLine="0" autoPict="0">
                <anchor moveWithCells="1">
                  <from>
                    <xdr:col>2</xdr:col>
                    <xdr:colOff>66675</xdr:colOff>
                    <xdr:row>13</xdr:row>
                    <xdr:rowOff>9525</xdr:rowOff>
                  </from>
                  <to>
                    <xdr:col>4</xdr:col>
                    <xdr:colOff>47625</xdr:colOff>
                    <xdr:row>13</xdr:row>
                    <xdr:rowOff>228600</xdr:rowOff>
                  </to>
                </anchor>
              </controlPr>
            </control>
          </mc:Choice>
        </mc:AlternateContent>
        <mc:AlternateContent xmlns:mc="http://schemas.openxmlformats.org/markup-compatibility/2006">
          <mc:Choice Requires="x14">
            <control shapeId="27663" r:id="rId18" name="Group Box 15">
              <controlPr defaultSize="0" autoFill="0" autoPict="0">
                <anchor moveWithCells="1">
                  <from>
                    <xdr:col>2</xdr:col>
                    <xdr:colOff>0</xdr:colOff>
                    <xdr:row>14</xdr:row>
                    <xdr:rowOff>9525</xdr:rowOff>
                  </from>
                  <to>
                    <xdr:col>14</xdr:col>
                    <xdr:colOff>819150</xdr:colOff>
                    <xdr:row>17</xdr:row>
                    <xdr:rowOff>9525</xdr:rowOff>
                  </to>
                </anchor>
              </controlPr>
            </control>
          </mc:Choice>
        </mc:AlternateContent>
        <mc:AlternateContent xmlns:mc="http://schemas.openxmlformats.org/markup-compatibility/2006">
          <mc:Choice Requires="x14">
            <control shapeId="27664" r:id="rId19" name="Option Button 16">
              <controlPr defaultSize="0" autoFill="0" autoLine="0" autoPict="0">
                <anchor moveWithCells="1">
                  <from>
                    <xdr:col>2</xdr:col>
                    <xdr:colOff>57150</xdr:colOff>
                    <xdr:row>14</xdr:row>
                    <xdr:rowOff>57150</xdr:rowOff>
                  </from>
                  <to>
                    <xdr:col>4</xdr:col>
                    <xdr:colOff>38100</xdr:colOff>
                    <xdr:row>15</xdr:row>
                    <xdr:rowOff>9525</xdr:rowOff>
                  </to>
                </anchor>
              </controlPr>
            </control>
          </mc:Choice>
        </mc:AlternateContent>
        <mc:AlternateContent xmlns:mc="http://schemas.openxmlformats.org/markup-compatibility/2006">
          <mc:Choice Requires="x14">
            <control shapeId="27665" r:id="rId20" name="Option Button 17">
              <controlPr defaultSize="0" autoFill="0" autoLine="0" autoPict="0">
                <anchor moveWithCells="1">
                  <from>
                    <xdr:col>2</xdr:col>
                    <xdr:colOff>57150</xdr:colOff>
                    <xdr:row>15</xdr:row>
                    <xdr:rowOff>47625</xdr:rowOff>
                  </from>
                  <to>
                    <xdr:col>4</xdr:col>
                    <xdr:colOff>38100</xdr:colOff>
                    <xdr:row>16</xdr:row>
                    <xdr:rowOff>0</xdr:rowOff>
                  </to>
                </anchor>
              </controlPr>
            </control>
          </mc:Choice>
        </mc:AlternateContent>
        <mc:AlternateContent xmlns:mc="http://schemas.openxmlformats.org/markup-compatibility/2006">
          <mc:Choice Requires="x14">
            <control shapeId="27666" r:id="rId21" name="Option Button 18">
              <controlPr defaultSize="0" autoFill="0" autoLine="0" autoPict="0">
                <anchor moveWithCells="1">
                  <from>
                    <xdr:col>2</xdr:col>
                    <xdr:colOff>57150</xdr:colOff>
                    <xdr:row>16</xdr:row>
                    <xdr:rowOff>38100</xdr:rowOff>
                  </from>
                  <to>
                    <xdr:col>4</xdr:col>
                    <xdr:colOff>38100</xdr:colOff>
                    <xdr:row>16</xdr:row>
                    <xdr:rowOff>257175</xdr:rowOff>
                  </to>
                </anchor>
              </controlPr>
            </control>
          </mc:Choice>
        </mc:AlternateContent>
        <mc:AlternateContent xmlns:mc="http://schemas.openxmlformats.org/markup-compatibility/2006">
          <mc:Choice Requires="x14">
            <control shapeId="27667" r:id="rId22" name="Group Box 19">
              <controlPr defaultSize="0" autoFill="0" autoPict="0">
                <anchor moveWithCells="1">
                  <from>
                    <xdr:col>2</xdr:col>
                    <xdr:colOff>0</xdr:colOff>
                    <xdr:row>17</xdr:row>
                    <xdr:rowOff>9525</xdr:rowOff>
                  </from>
                  <to>
                    <xdr:col>14</xdr:col>
                    <xdr:colOff>819150</xdr:colOff>
                    <xdr:row>20</xdr:row>
                    <xdr:rowOff>333375</xdr:rowOff>
                  </to>
                </anchor>
              </controlPr>
            </control>
          </mc:Choice>
        </mc:AlternateContent>
        <mc:AlternateContent xmlns:mc="http://schemas.openxmlformats.org/markup-compatibility/2006">
          <mc:Choice Requires="x14">
            <control shapeId="27668" r:id="rId23" name="Option Button 20">
              <controlPr defaultSize="0" autoFill="0" autoLine="0" autoPict="0">
                <anchor moveWithCells="1">
                  <from>
                    <xdr:col>2</xdr:col>
                    <xdr:colOff>47625</xdr:colOff>
                    <xdr:row>17</xdr:row>
                    <xdr:rowOff>57150</xdr:rowOff>
                  </from>
                  <to>
                    <xdr:col>4</xdr:col>
                    <xdr:colOff>28575</xdr:colOff>
                    <xdr:row>18</xdr:row>
                    <xdr:rowOff>19050</xdr:rowOff>
                  </to>
                </anchor>
              </controlPr>
            </control>
          </mc:Choice>
        </mc:AlternateContent>
        <mc:AlternateContent xmlns:mc="http://schemas.openxmlformats.org/markup-compatibility/2006">
          <mc:Choice Requires="x14">
            <control shapeId="27669" r:id="rId24" name="Option Button 21">
              <controlPr defaultSize="0" autoFill="0" autoLine="0" autoPict="0">
                <anchor moveWithCells="1">
                  <from>
                    <xdr:col>2</xdr:col>
                    <xdr:colOff>47625</xdr:colOff>
                    <xdr:row>18</xdr:row>
                    <xdr:rowOff>47625</xdr:rowOff>
                  </from>
                  <to>
                    <xdr:col>4</xdr:col>
                    <xdr:colOff>28575</xdr:colOff>
                    <xdr:row>18</xdr:row>
                    <xdr:rowOff>266700</xdr:rowOff>
                  </to>
                </anchor>
              </controlPr>
            </control>
          </mc:Choice>
        </mc:AlternateContent>
        <mc:AlternateContent xmlns:mc="http://schemas.openxmlformats.org/markup-compatibility/2006">
          <mc:Choice Requires="x14">
            <control shapeId="27670" r:id="rId25" name="Option Button 22">
              <controlPr defaultSize="0" autoFill="0" autoLine="0" autoPict="0">
                <anchor moveWithCells="1">
                  <from>
                    <xdr:col>2</xdr:col>
                    <xdr:colOff>47625</xdr:colOff>
                    <xdr:row>19</xdr:row>
                    <xdr:rowOff>76200</xdr:rowOff>
                  </from>
                  <to>
                    <xdr:col>4</xdr:col>
                    <xdr:colOff>28575</xdr:colOff>
                    <xdr:row>19</xdr:row>
                    <xdr:rowOff>295275</xdr:rowOff>
                  </to>
                </anchor>
              </controlPr>
            </control>
          </mc:Choice>
        </mc:AlternateContent>
        <mc:AlternateContent xmlns:mc="http://schemas.openxmlformats.org/markup-compatibility/2006">
          <mc:Choice Requires="x14">
            <control shapeId="27671" r:id="rId26" name="Option Button 23">
              <controlPr defaultSize="0" autoFill="0" autoLine="0" autoPict="0">
                <anchor moveWithCells="1">
                  <from>
                    <xdr:col>2</xdr:col>
                    <xdr:colOff>47625</xdr:colOff>
                    <xdr:row>20</xdr:row>
                    <xdr:rowOff>76200</xdr:rowOff>
                  </from>
                  <to>
                    <xdr:col>4</xdr:col>
                    <xdr:colOff>28575</xdr:colOff>
                    <xdr:row>20</xdr:row>
                    <xdr:rowOff>295275</xdr:rowOff>
                  </to>
                </anchor>
              </controlPr>
            </control>
          </mc:Choice>
        </mc:AlternateContent>
        <mc:AlternateContent xmlns:mc="http://schemas.openxmlformats.org/markup-compatibility/2006">
          <mc:Choice Requires="x14">
            <control shapeId="27672" r:id="rId27" name="Group Box 24">
              <controlPr defaultSize="0" autoFill="0" autoPict="0">
                <anchor moveWithCells="1">
                  <from>
                    <xdr:col>2</xdr:col>
                    <xdr:colOff>0</xdr:colOff>
                    <xdr:row>21</xdr:row>
                    <xdr:rowOff>19050</xdr:rowOff>
                  </from>
                  <to>
                    <xdr:col>14</xdr:col>
                    <xdr:colOff>819150</xdr:colOff>
                    <xdr:row>25</xdr:row>
                    <xdr:rowOff>19050</xdr:rowOff>
                  </to>
                </anchor>
              </controlPr>
            </control>
          </mc:Choice>
        </mc:AlternateContent>
        <mc:AlternateContent xmlns:mc="http://schemas.openxmlformats.org/markup-compatibility/2006">
          <mc:Choice Requires="x14">
            <control shapeId="27673" r:id="rId28" name="Option Button 25">
              <controlPr defaultSize="0" autoFill="0" autoLine="0" autoPict="0">
                <anchor moveWithCells="1">
                  <from>
                    <xdr:col>2</xdr:col>
                    <xdr:colOff>57150</xdr:colOff>
                    <xdr:row>21</xdr:row>
                    <xdr:rowOff>66675</xdr:rowOff>
                  </from>
                  <to>
                    <xdr:col>4</xdr:col>
                    <xdr:colOff>38100</xdr:colOff>
                    <xdr:row>22</xdr:row>
                    <xdr:rowOff>19050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57150</xdr:colOff>
                    <xdr:row>22</xdr:row>
                    <xdr:rowOff>76200</xdr:rowOff>
                  </from>
                  <to>
                    <xdr:col>4</xdr:col>
                    <xdr:colOff>38100</xdr:colOff>
                    <xdr:row>22</xdr:row>
                    <xdr:rowOff>295275</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57150</xdr:colOff>
                    <xdr:row>23</xdr:row>
                    <xdr:rowOff>57150</xdr:rowOff>
                  </from>
                  <to>
                    <xdr:col>4</xdr:col>
                    <xdr:colOff>38100</xdr:colOff>
                    <xdr:row>23</xdr:row>
                    <xdr:rowOff>276225</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57150</xdr:colOff>
                    <xdr:row>24</xdr:row>
                    <xdr:rowOff>28575</xdr:rowOff>
                  </from>
                  <to>
                    <xdr:col>4</xdr:col>
                    <xdr:colOff>38100</xdr:colOff>
                    <xdr:row>24</xdr:row>
                    <xdr:rowOff>247650</xdr:rowOff>
                  </to>
                </anchor>
              </controlPr>
            </control>
          </mc:Choice>
        </mc:AlternateContent>
        <mc:AlternateContent xmlns:mc="http://schemas.openxmlformats.org/markup-compatibility/2006">
          <mc:Choice Requires="x14">
            <control shapeId="27677" r:id="rId32" name="Group Box 29">
              <controlPr defaultSize="0" autoFill="0" autoPict="0">
                <anchor moveWithCells="1">
                  <from>
                    <xdr:col>2</xdr:col>
                    <xdr:colOff>0</xdr:colOff>
                    <xdr:row>25</xdr:row>
                    <xdr:rowOff>19050</xdr:rowOff>
                  </from>
                  <to>
                    <xdr:col>14</xdr:col>
                    <xdr:colOff>819150</xdr:colOff>
                    <xdr:row>29</xdr:row>
                    <xdr:rowOff>19050</xdr:rowOff>
                  </to>
                </anchor>
              </controlPr>
            </control>
          </mc:Choice>
        </mc:AlternateContent>
        <mc:AlternateContent xmlns:mc="http://schemas.openxmlformats.org/markup-compatibility/2006">
          <mc:Choice Requires="x14">
            <control shapeId="27678" r:id="rId33" name="Option Button 30">
              <controlPr defaultSize="0" autoFill="0" autoLine="0" autoPict="0">
                <anchor moveWithCells="1">
                  <from>
                    <xdr:col>2</xdr:col>
                    <xdr:colOff>57150</xdr:colOff>
                    <xdr:row>25</xdr:row>
                    <xdr:rowOff>57150</xdr:rowOff>
                  </from>
                  <to>
                    <xdr:col>4</xdr:col>
                    <xdr:colOff>38100</xdr:colOff>
                    <xdr:row>26</xdr:row>
                    <xdr:rowOff>9525</xdr:rowOff>
                  </to>
                </anchor>
              </controlPr>
            </control>
          </mc:Choice>
        </mc:AlternateContent>
        <mc:AlternateContent xmlns:mc="http://schemas.openxmlformats.org/markup-compatibility/2006">
          <mc:Choice Requires="x14">
            <control shapeId="27679" r:id="rId34" name="Option Button 31">
              <controlPr defaultSize="0" autoFill="0" autoLine="0" autoPict="0">
                <anchor moveWithCells="1">
                  <from>
                    <xdr:col>2</xdr:col>
                    <xdr:colOff>57150</xdr:colOff>
                    <xdr:row>26</xdr:row>
                    <xdr:rowOff>66675</xdr:rowOff>
                  </from>
                  <to>
                    <xdr:col>4</xdr:col>
                    <xdr:colOff>38100</xdr:colOff>
                    <xdr:row>26</xdr:row>
                    <xdr:rowOff>285750</xdr:rowOff>
                  </to>
                </anchor>
              </controlPr>
            </control>
          </mc:Choice>
        </mc:AlternateContent>
        <mc:AlternateContent xmlns:mc="http://schemas.openxmlformats.org/markup-compatibility/2006">
          <mc:Choice Requires="x14">
            <control shapeId="27680" r:id="rId35" name="Option Button 32">
              <controlPr defaultSize="0" autoFill="0" autoLine="0" autoPict="0">
                <anchor moveWithCells="1">
                  <from>
                    <xdr:col>2</xdr:col>
                    <xdr:colOff>57150</xdr:colOff>
                    <xdr:row>27</xdr:row>
                    <xdr:rowOff>66675</xdr:rowOff>
                  </from>
                  <to>
                    <xdr:col>4</xdr:col>
                    <xdr:colOff>38100</xdr:colOff>
                    <xdr:row>27</xdr:row>
                    <xdr:rowOff>285750</xdr:rowOff>
                  </to>
                </anchor>
              </controlPr>
            </control>
          </mc:Choice>
        </mc:AlternateContent>
        <mc:AlternateContent xmlns:mc="http://schemas.openxmlformats.org/markup-compatibility/2006">
          <mc:Choice Requires="x14">
            <control shapeId="27681" r:id="rId36" name="Option Button 33">
              <controlPr defaultSize="0" autoFill="0" autoLine="0" autoPict="0">
                <anchor moveWithCells="1">
                  <from>
                    <xdr:col>2</xdr:col>
                    <xdr:colOff>57150</xdr:colOff>
                    <xdr:row>28</xdr:row>
                    <xdr:rowOff>47625</xdr:rowOff>
                  </from>
                  <to>
                    <xdr:col>4</xdr:col>
                    <xdr:colOff>38100</xdr:colOff>
                    <xdr:row>28</xdr:row>
                    <xdr:rowOff>266700</xdr:rowOff>
                  </to>
                </anchor>
              </controlPr>
            </control>
          </mc:Choice>
        </mc:AlternateContent>
        <mc:AlternateContent xmlns:mc="http://schemas.openxmlformats.org/markup-compatibility/2006">
          <mc:Choice Requires="x14">
            <control shapeId="27682" r:id="rId37" name="Group Box 34">
              <controlPr defaultSize="0" autoFill="0" autoPict="0">
                <anchor moveWithCells="1">
                  <from>
                    <xdr:col>2</xdr:col>
                    <xdr:colOff>0</xdr:colOff>
                    <xdr:row>29</xdr:row>
                    <xdr:rowOff>19050</xdr:rowOff>
                  </from>
                  <to>
                    <xdr:col>14</xdr:col>
                    <xdr:colOff>819150</xdr:colOff>
                    <xdr:row>34</xdr:row>
                    <xdr:rowOff>9525</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57150</xdr:colOff>
                    <xdr:row>29</xdr:row>
                    <xdr:rowOff>57150</xdr:rowOff>
                  </from>
                  <to>
                    <xdr:col>4</xdr:col>
                    <xdr:colOff>38100</xdr:colOff>
                    <xdr:row>30</xdr:row>
                    <xdr:rowOff>9525</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57150</xdr:colOff>
                    <xdr:row>30</xdr:row>
                    <xdr:rowOff>247650</xdr:rowOff>
                  </from>
                  <to>
                    <xdr:col>4</xdr:col>
                    <xdr:colOff>38100</xdr:colOff>
                    <xdr:row>30</xdr:row>
                    <xdr:rowOff>466725</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57150</xdr:colOff>
                    <xdr:row>31</xdr:row>
                    <xdr:rowOff>200025</xdr:rowOff>
                  </from>
                  <to>
                    <xdr:col>4</xdr:col>
                    <xdr:colOff>38100</xdr:colOff>
                    <xdr:row>31</xdr:row>
                    <xdr:rowOff>419100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57150</xdr:colOff>
                    <xdr:row>32</xdr:row>
                    <xdr:rowOff>66675</xdr:rowOff>
                  </from>
                  <to>
                    <xdr:col>4</xdr:col>
                    <xdr:colOff>38100</xdr:colOff>
                    <xdr:row>32</xdr:row>
                    <xdr:rowOff>285750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57150</xdr:colOff>
                    <xdr:row>33</xdr:row>
                    <xdr:rowOff>266700</xdr:rowOff>
                  </from>
                  <to>
                    <xdr:col>4</xdr:col>
                    <xdr:colOff>38100</xdr:colOff>
                    <xdr:row>33</xdr:row>
                    <xdr:rowOff>485775</xdr:rowOff>
                  </to>
                </anchor>
              </controlPr>
            </control>
          </mc:Choice>
        </mc:AlternateContent>
        <mc:AlternateContent xmlns:mc="http://schemas.openxmlformats.org/markup-compatibility/2006">
          <mc:Choice Requires="x14">
            <control shapeId="27688" r:id="rId43" name="Group Box 40">
              <controlPr defaultSize="0" autoFill="0" autoPict="0">
                <anchor moveWithCells="1">
                  <from>
                    <xdr:col>2</xdr:col>
                    <xdr:colOff>0</xdr:colOff>
                    <xdr:row>37</xdr:row>
                    <xdr:rowOff>28575</xdr:rowOff>
                  </from>
                  <to>
                    <xdr:col>14</xdr:col>
                    <xdr:colOff>819150</xdr:colOff>
                    <xdr:row>40</xdr:row>
                    <xdr:rowOff>28575</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57150</xdr:colOff>
                    <xdr:row>37</xdr:row>
                    <xdr:rowOff>76200</xdr:rowOff>
                  </from>
                  <to>
                    <xdr:col>4</xdr:col>
                    <xdr:colOff>38100</xdr:colOff>
                    <xdr:row>38</xdr:row>
                    <xdr:rowOff>28575</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57150</xdr:colOff>
                    <xdr:row>38</xdr:row>
                    <xdr:rowOff>95250</xdr:rowOff>
                  </from>
                  <to>
                    <xdr:col>4</xdr:col>
                    <xdr:colOff>38100</xdr:colOff>
                    <xdr:row>38</xdr:row>
                    <xdr:rowOff>314325</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57150</xdr:colOff>
                    <xdr:row>39</xdr:row>
                    <xdr:rowOff>95250</xdr:rowOff>
                  </from>
                  <to>
                    <xdr:col>4</xdr:col>
                    <xdr:colOff>38100</xdr:colOff>
                    <xdr:row>39</xdr:row>
                    <xdr:rowOff>314325</xdr:rowOff>
                  </to>
                </anchor>
              </controlPr>
            </control>
          </mc:Choice>
        </mc:AlternateContent>
        <mc:AlternateContent xmlns:mc="http://schemas.openxmlformats.org/markup-compatibility/2006">
          <mc:Choice Requires="x14">
            <control shapeId="27692" r:id="rId47" name="Group Box 44">
              <controlPr defaultSize="0" autoFill="0" autoPict="0">
                <anchor moveWithCells="1">
                  <from>
                    <xdr:col>2</xdr:col>
                    <xdr:colOff>0</xdr:colOff>
                    <xdr:row>34</xdr:row>
                    <xdr:rowOff>28575</xdr:rowOff>
                  </from>
                  <to>
                    <xdr:col>14</xdr:col>
                    <xdr:colOff>819150</xdr:colOff>
                    <xdr:row>37</xdr:row>
                    <xdr:rowOff>28575</xdr:rowOff>
                  </to>
                </anchor>
              </controlPr>
            </control>
          </mc:Choice>
        </mc:AlternateContent>
        <mc:AlternateContent xmlns:mc="http://schemas.openxmlformats.org/markup-compatibility/2006">
          <mc:Choice Requires="x14">
            <control shapeId="27693" r:id="rId48" name="Option Button 45">
              <controlPr defaultSize="0" autoFill="0" autoLine="0" autoPict="0">
                <anchor moveWithCells="1">
                  <from>
                    <xdr:col>2</xdr:col>
                    <xdr:colOff>57150</xdr:colOff>
                    <xdr:row>34</xdr:row>
                    <xdr:rowOff>66675</xdr:rowOff>
                  </from>
                  <to>
                    <xdr:col>4</xdr:col>
                    <xdr:colOff>38100</xdr:colOff>
                    <xdr:row>35</xdr:row>
                    <xdr:rowOff>19050</xdr:rowOff>
                  </to>
                </anchor>
              </controlPr>
            </control>
          </mc:Choice>
        </mc:AlternateContent>
        <mc:AlternateContent xmlns:mc="http://schemas.openxmlformats.org/markup-compatibility/2006">
          <mc:Choice Requires="x14">
            <control shapeId="27694" r:id="rId49" name="Option Button 46">
              <controlPr defaultSize="0" autoFill="0" autoLine="0" autoPict="0">
                <anchor moveWithCells="1">
                  <from>
                    <xdr:col>2</xdr:col>
                    <xdr:colOff>57150</xdr:colOff>
                    <xdr:row>35</xdr:row>
                    <xdr:rowOff>180975</xdr:rowOff>
                  </from>
                  <to>
                    <xdr:col>4</xdr:col>
                    <xdr:colOff>38100</xdr:colOff>
                    <xdr:row>35</xdr:row>
                    <xdr:rowOff>400050</xdr:rowOff>
                  </to>
                </anchor>
              </controlPr>
            </control>
          </mc:Choice>
        </mc:AlternateContent>
        <mc:AlternateContent xmlns:mc="http://schemas.openxmlformats.org/markup-compatibility/2006">
          <mc:Choice Requires="x14">
            <control shapeId="27695" r:id="rId50" name="Option Button 47">
              <controlPr defaultSize="0" autoFill="0" autoLine="0" autoPict="0">
                <anchor moveWithCells="1">
                  <from>
                    <xdr:col>2</xdr:col>
                    <xdr:colOff>57150</xdr:colOff>
                    <xdr:row>36</xdr:row>
                    <xdr:rowOff>200025</xdr:rowOff>
                  </from>
                  <to>
                    <xdr:col>4</xdr:col>
                    <xdr:colOff>38100</xdr:colOff>
                    <xdr:row>36</xdr:row>
                    <xdr:rowOff>419100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FN35"/>
  <sheetViews>
    <sheetView showGridLines="0" zoomScale="120" zoomScaleNormal="120" workbookViewId="0"/>
  </sheetViews>
  <sheetFormatPr defaultColWidth="2.7109375" defaultRowHeight="12.75" x14ac:dyDescent="0.2"/>
  <cols>
    <col min="1" max="1" width="1.42578125" style="35" customWidth="1"/>
    <col min="2" max="2" width="18" style="35" customWidth="1"/>
    <col min="3" max="3" width="2.5703125" style="35" customWidth="1"/>
    <col min="4" max="4" width="2.28515625" style="35" customWidth="1"/>
    <col min="5" max="13" width="3.85546875" style="35" customWidth="1"/>
    <col min="14" max="14" width="4.85546875" style="35" customWidth="1"/>
    <col min="15" max="15" width="14.85546875" style="35" customWidth="1"/>
    <col min="16" max="16" width="9.5703125" style="35" customWidth="1"/>
    <col min="17" max="17" width="1.28515625" style="35" customWidth="1"/>
    <col min="18" max="18" width="17.85546875" style="35" hidden="1" customWidth="1"/>
    <col min="19" max="19" width="10.7109375" style="35" hidden="1" customWidth="1"/>
    <col min="20" max="20" width="20.42578125" style="35" hidden="1" customWidth="1"/>
    <col min="21" max="21" width="20.28515625" style="35" hidden="1" customWidth="1"/>
    <col min="22" max="22" width="15.140625" style="35" hidden="1" customWidth="1"/>
    <col min="23" max="23" width="12.140625" style="35" hidden="1" customWidth="1"/>
    <col min="24" max="130" width="2.7109375" style="35" hidden="1" customWidth="1"/>
    <col min="131" max="255" width="2.7109375" style="35" customWidth="1"/>
    <col min="256" max="16384" width="2.7109375" style="35"/>
  </cols>
  <sheetData>
    <row r="1" spans="2:170" ht="15" customHeight="1" x14ac:dyDescent="0.2">
      <c r="B1" s="14" t="s">
        <v>1733</v>
      </c>
      <c r="E1" s="1347" t="str">
        <f>IF('Start here'!A6="","",'Start here'!A6)</f>
        <v/>
      </c>
      <c r="F1" s="1351"/>
      <c r="G1" s="1351"/>
      <c r="H1" s="1351"/>
      <c r="I1" s="1351"/>
      <c r="J1" s="1351"/>
      <c r="K1" s="1352"/>
      <c r="M1" s="1347" t="str">
        <f>IF('Start here'!A7="","",'Start here'!A7)</f>
        <v/>
      </c>
      <c r="N1" s="1351"/>
      <c r="O1" s="1351"/>
      <c r="P1" s="1352"/>
      <c r="R1" s="694">
        <v>38353</v>
      </c>
      <c r="S1" s="196">
        <f>'Start here'!A8</f>
        <v>0</v>
      </c>
      <c r="T1" s="1235" t="str">
        <f>IF(S1&gt;=R1,"Go to PPD Worksheet","")</f>
        <v/>
      </c>
      <c r="U1" s="1235" t="str">
        <f>IF(S1&lt;R1,"Go to PPD Worksheet","")</f>
        <v>Go to PPD Worksheet</v>
      </c>
      <c r="V1" s="1236"/>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170" x14ac:dyDescent="0.2">
      <c r="B2" s="1395"/>
      <c r="C2" s="1395"/>
      <c r="D2" s="1395"/>
      <c r="E2" s="1395"/>
      <c r="F2" s="1395"/>
      <c r="G2" s="1395"/>
      <c r="H2" s="1395"/>
      <c r="I2" s="1395"/>
      <c r="J2" s="1395"/>
      <c r="K2" s="1395"/>
      <c r="L2" s="1395"/>
      <c r="M2" s="1395"/>
      <c r="N2" s="1395"/>
      <c r="O2" s="1395"/>
      <c r="P2" s="1395"/>
    </row>
    <row r="3" spans="2:170" ht="24" customHeight="1" x14ac:dyDescent="0.3">
      <c r="B3" s="1530" t="s">
        <v>1060</v>
      </c>
      <c r="C3" s="1530"/>
      <c r="D3" s="1530"/>
      <c r="E3" s="1530"/>
      <c r="F3" s="1530"/>
      <c r="G3" s="1530"/>
      <c r="H3" s="1530"/>
      <c r="I3" s="1530"/>
      <c r="J3" s="1530"/>
      <c r="K3" s="1530"/>
      <c r="L3" s="1530"/>
      <c r="M3" s="1530"/>
      <c r="N3" s="1530"/>
      <c r="O3" s="1530"/>
      <c r="P3" s="1530"/>
    </row>
    <row r="4" spans="2:170" ht="26.25" customHeight="1" x14ac:dyDescent="0.2">
      <c r="B4" s="2326" t="s">
        <v>431</v>
      </c>
      <c r="C4" s="2327"/>
      <c r="D4" s="2327"/>
      <c r="E4" s="2327"/>
      <c r="F4" s="2327"/>
      <c r="G4" s="2327"/>
      <c r="H4" s="2327"/>
      <c r="I4" s="2327"/>
      <c r="J4" s="2327"/>
      <c r="K4" s="2327"/>
      <c r="L4" s="2327"/>
      <c r="M4" s="2327"/>
      <c r="N4" s="2327"/>
      <c r="O4" s="2327"/>
      <c r="P4" s="2328"/>
    </row>
    <row r="5" spans="2:170" ht="27.75" customHeight="1" x14ac:dyDescent="0.2">
      <c r="B5" s="1712" t="s">
        <v>430</v>
      </c>
      <c r="C5" s="1908"/>
      <c r="D5" s="1908"/>
      <c r="E5" s="1908"/>
      <c r="F5" s="1908"/>
      <c r="G5" s="1908"/>
      <c r="H5" s="1908"/>
      <c r="I5" s="1908"/>
      <c r="J5" s="1908"/>
      <c r="K5" s="1908"/>
      <c r="L5" s="1908"/>
      <c r="M5" s="1908"/>
      <c r="N5" s="1908"/>
      <c r="O5" s="1908"/>
      <c r="P5" s="1713"/>
      <c r="Q5" s="8"/>
    </row>
    <row r="6" spans="2:170" ht="21" customHeight="1" x14ac:dyDescent="0.2">
      <c r="B6" s="2390" t="s">
        <v>1215</v>
      </c>
      <c r="C6" s="2408"/>
      <c r="D6" s="2409"/>
      <c r="E6" s="1374" t="s">
        <v>1282</v>
      </c>
      <c r="F6" s="1375"/>
      <c r="G6" s="1375"/>
      <c r="H6" s="1375"/>
      <c r="I6" s="1375"/>
      <c r="J6" s="1375"/>
      <c r="K6" s="1375"/>
      <c r="L6" s="1375"/>
      <c r="M6" s="1375"/>
      <c r="N6" s="1375"/>
      <c r="O6" s="1376"/>
      <c r="P6" s="1612">
        <f>IF(S6=2,0.03,IF(S6=3,0.15,IF(S6=4,0.38,IF(S6=5,0.68,IF(S6=6,0.9,0)))))</f>
        <v>0</v>
      </c>
      <c r="R6" s="1239" t="s">
        <v>2300</v>
      </c>
      <c r="S6" s="1241">
        <v>1</v>
      </c>
    </row>
    <row r="7" spans="2:170" ht="42" customHeight="1" x14ac:dyDescent="0.2">
      <c r="B7" s="2446"/>
      <c r="C7" s="2410"/>
      <c r="D7" s="2411"/>
      <c r="E7" s="1374" t="s">
        <v>2122</v>
      </c>
      <c r="F7" s="1375"/>
      <c r="G7" s="1375"/>
      <c r="H7" s="1375"/>
      <c r="I7" s="1375"/>
      <c r="J7" s="1375"/>
      <c r="K7" s="1375"/>
      <c r="L7" s="1375"/>
      <c r="M7" s="1375"/>
      <c r="N7" s="1375"/>
      <c r="O7" s="1376"/>
      <c r="P7" s="1732"/>
    </row>
    <row r="8" spans="2:170" ht="42" customHeight="1" x14ac:dyDescent="0.2">
      <c r="B8" s="546"/>
      <c r="C8" s="2410"/>
      <c r="D8" s="2411"/>
      <c r="E8" s="1374" t="s">
        <v>2123</v>
      </c>
      <c r="F8" s="1375"/>
      <c r="G8" s="1375"/>
      <c r="H8" s="1375"/>
      <c r="I8" s="1375"/>
      <c r="J8" s="1375"/>
      <c r="K8" s="1375"/>
      <c r="L8" s="1375"/>
      <c r="M8" s="1375"/>
      <c r="N8" s="1375"/>
      <c r="O8" s="1376"/>
      <c r="P8" s="1732"/>
    </row>
    <row r="9" spans="2:170" ht="42" customHeight="1" x14ac:dyDescent="0.2">
      <c r="B9" s="546"/>
      <c r="C9" s="2410"/>
      <c r="D9" s="2411"/>
      <c r="E9" s="1374" t="s">
        <v>2124</v>
      </c>
      <c r="F9" s="1375"/>
      <c r="G9" s="1375"/>
      <c r="H9" s="1375"/>
      <c r="I9" s="1375"/>
      <c r="J9" s="1375"/>
      <c r="K9" s="1375"/>
      <c r="L9" s="1375"/>
      <c r="M9" s="1375"/>
      <c r="N9" s="1375"/>
      <c r="O9" s="1376"/>
      <c r="P9" s="1732"/>
    </row>
    <row r="10" spans="2:170" ht="42" customHeight="1" x14ac:dyDescent="0.2">
      <c r="B10" s="546"/>
      <c r="C10" s="2410"/>
      <c r="D10" s="2411"/>
      <c r="E10" s="1374" t="s">
        <v>2125</v>
      </c>
      <c r="F10" s="1375"/>
      <c r="G10" s="1375"/>
      <c r="H10" s="1375"/>
      <c r="I10" s="1375"/>
      <c r="J10" s="1375"/>
      <c r="K10" s="1375"/>
      <c r="L10" s="1375"/>
      <c r="M10" s="1375"/>
      <c r="N10" s="1375"/>
      <c r="O10" s="1376"/>
      <c r="P10" s="1732"/>
    </row>
    <row r="11" spans="2:170" ht="42" customHeight="1" x14ac:dyDescent="0.2">
      <c r="B11" s="230"/>
      <c r="C11" s="1650"/>
      <c r="D11" s="2412"/>
      <c r="E11" s="1374" t="s">
        <v>2126</v>
      </c>
      <c r="F11" s="1375"/>
      <c r="G11" s="1375"/>
      <c r="H11" s="1375"/>
      <c r="I11" s="1375"/>
      <c r="J11" s="1375"/>
      <c r="K11" s="1375"/>
      <c r="L11" s="1375"/>
      <c r="M11" s="1375"/>
      <c r="N11" s="1375"/>
      <c r="O11" s="1376"/>
      <c r="P11" s="1733"/>
    </row>
    <row r="12" spans="2:170" ht="29.25" customHeight="1" x14ac:dyDescent="0.2">
      <c r="B12" s="1374" t="s">
        <v>633</v>
      </c>
      <c r="C12" s="1375"/>
      <c r="D12" s="1375"/>
      <c r="E12" s="1375"/>
      <c r="F12" s="1375"/>
      <c r="G12" s="1375"/>
      <c r="H12" s="1375"/>
      <c r="I12" s="1375"/>
      <c r="J12" s="1375"/>
      <c r="K12" s="1375"/>
      <c r="L12" s="1375"/>
      <c r="M12" s="1375"/>
      <c r="N12" s="1375"/>
      <c r="O12" s="1375"/>
      <c r="P12" s="2475">
        <f>IF(S12=2,0.03,IF(S12=3,0.08,IF(S12=4,0.13,0)))</f>
        <v>0</v>
      </c>
      <c r="R12" s="1239" t="s">
        <v>2300</v>
      </c>
      <c r="S12" s="1241">
        <v>1</v>
      </c>
    </row>
    <row r="13" spans="2:170" ht="21" customHeight="1" x14ac:dyDescent="0.2">
      <c r="B13" s="523" t="s">
        <v>1216</v>
      </c>
      <c r="C13" s="2408"/>
      <c r="D13" s="2409"/>
      <c r="E13" s="2478" t="s">
        <v>1282</v>
      </c>
      <c r="F13" s="2137"/>
      <c r="G13" s="2137"/>
      <c r="H13" s="2137"/>
      <c r="I13" s="2137"/>
      <c r="J13" s="2137"/>
      <c r="K13" s="2137"/>
      <c r="L13" s="2137"/>
      <c r="M13" s="2137"/>
      <c r="N13" s="2137"/>
      <c r="O13" s="2138"/>
      <c r="P13" s="2476"/>
    </row>
    <row r="14" spans="2:170" ht="27" customHeight="1" x14ac:dyDescent="0.2">
      <c r="B14" s="525"/>
      <c r="C14" s="2410"/>
      <c r="D14" s="2411"/>
      <c r="E14" s="2478" t="s">
        <v>2127</v>
      </c>
      <c r="F14" s="2137"/>
      <c r="G14" s="2137"/>
      <c r="H14" s="2137"/>
      <c r="I14" s="2137"/>
      <c r="J14" s="2137"/>
      <c r="K14" s="2137"/>
      <c r="L14" s="2137"/>
      <c r="M14" s="2137"/>
      <c r="N14" s="2137"/>
      <c r="O14" s="2138"/>
      <c r="P14" s="2476"/>
    </row>
    <row r="15" spans="2:170" ht="26.25" customHeight="1" x14ac:dyDescent="0.2">
      <c r="B15" s="525"/>
      <c r="C15" s="2410"/>
      <c r="D15" s="2411"/>
      <c r="E15" s="2478" t="s">
        <v>2128</v>
      </c>
      <c r="F15" s="2137"/>
      <c r="G15" s="2137"/>
      <c r="H15" s="2137"/>
      <c r="I15" s="2137"/>
      <c r="J15" s="2137"/>
      <c r="K15" s="2137"/>
      <c r="L15" s="2137"/>
      <c r="M15" s="2137"/>
      <c r="N15" s="2137"/>
      <c r="O15" s="2138"/>
      <c r="P15" s="2476"/>
    </row>
    <row r="16" spans="2:170" ht="24.75" customHeight="1" x14ac:dyDescent="0.2">
      <c r="B16" s="528"/>
      <c r="C16" s="1650"/>
      <c r="D16" s="2412"/>
      <c r="E16" s="2478" t="s">
        <v>2129</v>
      </c>
      <c r="F16" s="2137"/>
      <c r="G16" s="2137"/>
      <c r="H16" s="2137"/>
      <c r="I16" s="2137"/>
      <c r="J16" s="2137"/>
      <c r="K16" s="2137"/>
      <c r="L16" s="2137"/>
      <c r="M16" s="2137"/>
      <c r="N16" s="2137"/>
      <c r="O16" s="2138"/>
      <c r="P16" s="2477"/>
    </row>
    <row r="18" spans="2:26" ht="27" customHeight="1" x14ac:dyDescent="0.2">
      <c r="B18" s="1632" t="s">
        <v>1818</v>
      </c>
      <c r="C18" s="1633"/>
      <c r="D18" s="1633"/>
      <c r="E18" s="1633"/>
      <c r="F18" s="1633"/>
      <c r="G18" s="1633"/>
      <c r="H18" s="1633"/>
      <c r="I18" s="1633"/>
      <c r="J18" s="1633"/>
      <c r="K18" s="1633"/>
      <c r="L18" s="1633"/>
      <c r="M18" s="1633"/>
      <c r="N18" s="1634"/>
      <c r="O18" s="329" t="s">
        <v>1525</v>
      </c>
      <c r="P18" s="392" t="s">
        <v>1304</v>
      </c>
      <c r="R18" s="1026" t="s">
        <v>2298</v>
      </c>
      <c r="S18" s="1239" t="s">
        <v>1304</v>
      </c>
      <c r="T18" s="1238" t="s">
        <v>1305</v>
      </c>
      <c r="U18" s="1238" t="s">
        <v>1306</v>
      </c>
      <c r="V18" s="1238" t="s">
        <v>1307</v>
      </c>
      <c r="W18" s="3"/>
    </row>
    <row r="19" spans="2:26" ht="19.5" customHeight="1" x14ac:dyDescent="0.2">
      <c r="B19" s="2429" t="s">
        <v>1376</v>
      </c>
      <c r="C19" s="2429"/>
      <c r="D19" s="2429"/>
      <c r="E19" s="2429"/>
      <c r="F19" s="2429"/>
      <c r="G19" s="2429"/>
      <c r="H19" s="2429"/>
      <c r="I19" s="2429"/>
      <c r="J19" s="2429"/>
      <c r="K19" s="2429"/>
      <c r="L19" s="1373">
        <f>P6</f>
        <v>0</v>
      </c>
      <c r="M19" s="1373"/>
      <c r="N19" s="1373"/>
      <c r="O19" s="260"/>
      <c r="P19" s="26">
        <f>IF(AND(R19&gt;0,R19&lt;0.01),0.01,ROUND(R19,2))</f>
        <v>0</v>
      </c>
      <c r="R19" s="690">
        <f>IF(O19&gt;0,L19*O19,L19)</f>
        <v>0</v>
      </c>
      <c r="S19" s="479">
        <f>P19</f>
        <v>0</v>
      </c>
      <c r="T19" s="452">
        <f>LARGE(S19:S20,1)</f>
        <v>0</v>
      </c>
      <c r="U19" s="690">
        <f>T19+T20*(1-T19)</f>
        <v>0</v>
      </c>
      <c r="V19" s="479">
        <f>ROUND(U19,2)</f>
        <v>0</v>
      </c>
      <c r="Z19" s="35" t="s">
        <v>2306</v>
      </c>
    </row>
    <row r="20" spans="2:26" ht="19.5" customHeight="1" x14ac:dyDescent="0.2">
      <c r="B20" s="2429" t="s">
        <v>1377</v>
      </c>
      <c r="C20" s="2429"/>
      <c r="D20" s="2429"/>
      <c r="E20" s="2429"/>
      <c r="F20" s="2429"/>
      <c r="G20" s="2429"/>
      <c r="H20" s="2429"/>
      <c r="I20" s="2429"/>
      <c r="J20" s="2429"/>
      <c r="K20" s="2429"/>
      <c r="L20" s="1373">
        <f>P12</f>
        <v>0</v>
      </c>
      <c r="M20" s="1373"/>
      <c r="N20" s="1373"/>
      <c r="O20" s="260"/>
      <c r="P20" s="26">
        <f>IF(AND(R20&gt;0,R20&lt;0.01),0.01,ROUND(R20,2))</f>
        <v>0</v>
      </c>
      <c r="R20" s="690">
        <f>IF(O20&gt;0,L20*O20,L20)</f>
        <v>0</v>
      </c>
      <c r="S20" s="479">
        <f>P20</f>
        <v>0</v>
      </c>
      <c r="T20" s="452">
        <f>LARGE(S19:S20,2)</f>
        <v>0</v>
      </c>
    </row>
    <row r="21" spans="2:26" ht="20.25" customHeight="1" x14ac:dyDescent="0.2">
      <c r="B21" s="1604"/>
      <c r="C21" s="1605"/>
      <c r="D21" s="1605"/>
      <c r="E21" s="2112" t="s">
        <v>611</v>
      </c>
      <c r="F21" s="2112"/>
      <c r="G21" s="2112"/>
      <c r="H21" s="2112"/>
      <c r="I21" s="2112"/>
      <c r="J21" s="2112"/>
      <c r="K21" s="2112"/>
      <c r="L21" s="2112"/>
      <c r="M21" s="2112"/>
      <c r="N21" s="2112"/>
      <c r="O21" s="2474"/>
      <c r="P21" s="306">
        <f>V19</f>
        <v>0</v>
      </c>
    </row>
    <row r="22" spans="2:26" ht="33.75" customHeight="1" x14ac:dyDescent="0.25">
      <c r="B22" s="1682" t="s">
        <v>947</v>
      </c>
      <c r="C22" s="1682"/>
      <c r="D22" s="1682"/>
      <c r="E22" s="1682"/>
      <c r="F22" s="1682"/>
      <c r="G22" s="1682"/>
      <c r="H22" s="1682"/>
      <c r="I22" s="1682"/>
      <c r="J22" s="1682"/>
      <c r="K22" s="1682"/>
      <c r="L22" s="1682"/>
      <c r="M22" s="1682"/>
      <c r="N22" s="1682"/>
      <c r="O22" s="1682"/>
      <c r="P22" s="1682"/>
    </row>
    <row r="23" spans="2:26" x14ac:dyDescent="0.2">
      <c r="B23" s="768" t="s">
        <v>790</v>
      </c>
      <c r="C23" s="2464" t="str">
        <f>IF(U1&lt;&gt;"",U1,"")</f>
        <v>Go to PPD Worksheet</v>
      </c>
      <c r="D23" s="2464"/>
      <c r="E23" s="2464"/>
      <c r="F23" s="2464"/>
      <c r="G23" s="2464"/>
      <c r="H23" s="2464"/>
      <c r="I23" s="2267" t="str">
        <f>IF(T1&lt;&gt;"",T1,"")</f>
        <v/>
      </c>
      <c r="J23" s="2267"/>
      <c r="K23" s="2267"/>
      <c r="L23" s="2267"/>
      <c r="M23" s="2267"/>
      <c r="N23" s="2267"/>
    </row>
    <row r="24" spans="2:26" hidden="1" x14ac:dyDescent="0.2"/>
    <row r="25" spans="2:26" hidden="1" x14ac:dyDescent="0.2"/>
    <row r="26" spans="2:26" hidden="1" x14ac:dyDescent="0.2"/>
    <row r="27" spans="2:26" hidden="1" x14ac:dyDescent="0.2"/>
    <row r="28" spans="2:26" hidden="1" x14ac:dyDescent="0.2">
      <c r="B28" s="35">
        <v>0.01</v>
      </c>
      <c r="C28" s="35">
        <v>0.99</v>
      </c>
    </row>
    <row r="29" spans="2:26" hidden="1" x14ac:dyDescent="0.2"/>
    <row r="30" spans="2:26" hidden="1" x14ac:dyDescent="0.2"/>
    <row r="31" spans="2:26" hidden="1" x14ac:dyDescent="0.2"/>
    <row r="32" spans="2:26" hidden="1" x14ac:dyDescent="0.2"/>
    <row r="33" hidden="1" x14ac:dyDescent="0.2"/>
    <row r="34" hidden="1" x14ac:dyDescent="0.2"/>
    <row r="35" hidden="1" x14ac:dyDescent="0.2"/>
  </sheetData>
  <sheetProtection sheet="1" objects="1" scenarios="1"/>
  <mergeCells count="32">
    <mergeCell ref="B5:P5"/>
    <mergeCell ref="B4:P4"/>
    <mergeCell ref="E1:K1"/>
    <mergeCell ref="M1:P1"/>
    <mergeCell ref="B2:P2"/>
    <mergeCell ref="B3:P3"/>
    <mergeCell ref="P6:P11"/>
    <mergeCell ref="E10:O10"/>
    <mergeCell ref="B6:B7"/>
    <mergeCell ref="P12:P16"/>
    <mergeCell ref="B18:N18"/>
    <mergeCell ref="E16:O16"/>
    <mergeCell ref="C13:D16"/>
    <mergeCell ref="E13:O13"/>
    <mergeCell ref="E14:O14"/>
    <mergeCell ref="C6:D11"/>
    <mergeCell ref="E6:O6"/>
    <mergeCell ref="E7:O7"/>
    <mergeCell ref="E8:O8"/>
    <mergeCell ref="E9:O9"/>
    <mergeCell ref="E11:O11"/>
    <mergeCell ref="E15:O15"/>
    <mergeCell ref="B12:O12"/>
    <mergeCell ref="C23:H23"/>
    <mergeCell ref="I23:N23"/>
    <mergeCell ref="B21:D21"/>
    <mergeCell ref="B19:K19"/>
    <mergeCell ref="L19:N19"/>
    <mergeCell ref="B20:K20"/>
    <mergeCell ref="B22:P22"/>
    <mergeCell ref="E21:O21"/>
    <mergeCell ref="L20:N20"/>
  </mergeCells>
  <phoneticPr fontId="0" type="noConversion"/>
  <dataValidations xWindow="802" yWindow="256" count="1">
    <dataValidation type="decimal" allowBlank="1" showInputMessage="1" showErrorMessage="1" promptTitle="Apportionment (if any)" prompt="Enter percentage of impairment caused by the injury or illness. See OAR 436-035-0013." sqref="O19:O20" xr:uid="{00000000-0002-0000-1A00-000000000000}">
      <formula1>$B$28</formula1>
      <formula2>$C$28</formula2>
    </dataValidation>
  </dataValidations>
  <hyperlinks>
    <hyperlink ref="B23" location="'Integument &amp; Lacrimal'!A1" display="Return to top of sheet" xr:uid="{00000000-0004-0000-1A00-000000000000}"/>
    <hyperlink ref="I23:N23" location="'PPD DOI on or after 2005'!A1" display="'PPD DOI on or after 2005'!A1" xr:uid="{00000000-0004-0000-1A00-000001000000}"/>
    <hyperlink ref="C23:H23" location="'PPD DOI before 2005'!A1" display="'PPD DOI before 2005'!A1" xr:uid="{00000000-0004-0000-1A00-000002000000}"/>
    <hyperlink ref="B4:P4" location="'Immune system'!A1" display="If the worker has developed an immunologic reaction to physical, chemical or biological agents, impairment is also valued under OAR 436-035-0450." xr:uid="{00000000-0004-0000-1A00-000003000000}"/>
  </hyperlinks>
  <pageMargins left="0.75" right="0.75" top="0.91" bottom="0.84"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754" r:id="rId4" name="Group Box 10">
              <controlPr defaultSize="0" autoFill="0" autoPict="0">
                <anchor moveWithCells="1" sizeWithCells="1">
                  <from>
                    <xdr:col>2</xdr:col>
                    <xdr:colOff>0</xdr:colOff>
                    <xdr:row>12</xdr:row>
                    <xdr:rowOff>0</xdr:rowOff>
                  </from>
                  <to>
                    <xdr:col>15</xdr:col>
                    <xdr:colOff>0</xdr:colOff>
                    <xdr:row>16</xdr:row>
                    <xdr:rowOff>0</xdr:rowOff>
                  </to>
                </anchor>
              </controlPr>
            </control>
          </mc:Choice>
        </mc:AlternateContent>
        <mc:AlternateContent xmlns:mc="http://schemas.openxmlformats.org/markup-compatibility/2006">
          <mc:Choice Requires="x14">
            <control shapeId="31755" r:id="rId5" name="Option Button 11">
              <controlPr defaultSize="0" autoFill="0" autoLine="0" autoPict="0">
                <anchor moveWithCells="1" sizeWithCells="1">
                  <from>
                    <xdr:col>2</xdr:col>
                    <xdr:colOff>66675</xdr:colOff>
                    <xdr:row>12</xdr:row>
                    <xdr:rowOff>57150</xdr:rowOff>
                  </from>
                  <to>
                    <xdr:col>4</xdr:col>
                    <xdr:colOff>47625</xdr:colOff>
                    <xdr:row>13</xdr:row>
                    <xdr:rowOff>0</xdr:rowOff>
                  </to>
                </anchor>
              </controlPr>
            </control>
          </mc:Choice>
        </mc:AlternateContent>
        <mc:AlternateContent xmlns:mc="http://schemas.openxmlformats.org/markup-compatibility/2006">
          <mc:Choice Requires="x14">
            <control shapeId="31756" r:id="rId6" name="Option Button 12">
              <controlPr defaultSize="0" autoFill="0" autoLine="0" autoPict="0">
                <anchor moveWithCells="1" sizeWithCells="1">
                  <from>
                    <xdr:col>2</xdr:col>
                    <xdr:colOff>66675</xdr:colOff>
                    <xdr:row>13</xdr:row>
                    <xdr:rowOff>57150</xdr:rowOff>
                  </from>
                  <to>
                    <xdr:col>4</xdr:col>
                    <xdr:colOff>47625</xdr:colOff>
                    <xdr:row>13</xdr:row>
                    <xdr:rowOff>276225</xdr:rowOff>
                  </to>
                </anchor>
              </controlPr>
            </control>
          </mc:Choice>
        </mc:AlternateContent>
        <mc:AlternateContent xmlns:mc="http://schemas.openxmlformats.org/markup-compatibility/2006">
          <mc:Choice Requires="x14">
            <control shapeId="31757" r:id="rId7" name="Option Button 13">
              <controlPr defaultSize="0" autoFill="0" autoLine="0" autoPict="0">
                <anchor moveWithCells="1" sizeWithCells="1">
                  <from>
                    <xdr:col>2</xdr:col>
                    <xdr:colOff>66675</xdr:colOff>
                    <xdr:row>14</xdr:row>
                    <xdr:rowOff>38100</xdr:rowOff>
                  </from>
                  <to>
                    <xdr:col>4</xdr:col>
                    <xdr:colOff>47625</xdr:colOff>
                    <xdr:row>14</xdr:row>
                    <xdr:rowOff>257175</xdr:rowOff>
                  </to>
                </anchor>
              </controlPr>
            </control>
          </mc:Choice>
        </mc:AlternateContent>
        <mc:AlternateContent xmlns:mc="http://schemas.openxmlformats.org/markup-compatibility/2006">
          <mc:Choice Requires="x14">
            <control shapeId="31758" r:id="rId8" name="Option Button 14">
              <controlPr defaultSize="0" autoFill="0" autoLine="0" autoPict="0">
                <anchor moveWithCells="1" sizeWithCells="1">
                  <from>
                    <xdr:col>2</xdr:col>
                    <xdr:colOff>66675</xdr:colOff>
                    <xdr:row>14</xdr:row>
                    <xdr:rowOff>304800</xdr:rowOff>
                  </from>
                  <to>
                    <xdr:col>4</xdr:col>
                    <xdr:colOff>47625</xdr:colOff>
                    <xdr:row>15</xdr:row>
                    <xdr:rowOff>190500</xdr:rowOff>
                  </to>
                </anchor>
              </controlPr>
            </control>
          </mc:Choice>
        </mc:AlternateContent>
        <mc:AlternateContent xmlns:mc="http://schemas.openxmlformats.org/markup-compatibility/2006">
          <mc:Choice Requires="x14">
            <control shapeId="31746" r:id="rId9" name="Group Box 2">
              <controlPr defaultSize="0" autoFill="0" autoPict="0">
                <anchor moveWithCells="1" sizeWithCells="1">
                  <from>
                    <xdr:col>2</xdr:col>
                    <xdr:colOff>0</xdr:colOff>
                    <xdr:row>5</xdr:row>
                    <xdr:rowOff>0</xdr:rowOff>
                  </from>
                  <to>
                    <xdr:col>15</xdr:col>
                    <xdr:colOff>0</xdr:colOff>
                    <xdr:row>11</xdr:row>
                    <xdr:rowOff>0</xdr:rowOff>
                  </to>
                </anchor>
              </controlPr>
            </control>
          </mc:Choice>
        </mc:AlternateContent>
        <mc:AlternateContent xmlns:mc="http://schemas.openxmlformats.org/markup-compatibility/2006">
          <mc:Choice Requires="x14">
            <control shapeId="31747" r:id="rId10" name="Option Button 3">
              <controlPr defaultSize="0" autoFill="0" autoLine="0" autoPict="0">
                <anchor moveWithCells="1" sizeWithCells="1">
                  <from>
                    <xdr:col>2</xdr:col>
                    <xdr:colOff>57150</xdr:colOff>
                    <xdr:row>5</xdr:row>
                    <xdr:rowOff>28575</xdr:rowOff>
                  </from>
                  <to>
                    <xdr:col>4</xdr:col>
                    <xdr:colOff>38100</xdr:colOff>
                    <xdr:row>5</xdr:row>
                    <xdr:rowOff>190500</xdr:rowOff>
                  </to>
                </anchor>
              </controlPr>
            </control>
          </mc:Choice>
        </mc:AlternateContent>
        <mc:AlternateContent xmlns:mc="http://schemas.openxmlformats.org/markup-compatibility/2006">
          <mc:Choice Requires="x14">
            <control shapeId="31748" r:id="rId11" name="Option Button 4">
              <controlPr defaultSize="0" autoFill="0" autoLine="0" autoPict="0">
                <anchor moveWithCells="1" sizeWithCells="1">
                  <from>
                    <xdr:col>2</xdr:col>
                    <xdr:colOff>57150</xdr:colOff>
                    <xdr:row>6</xdr:row>
                    <xdr:rowOff>85725</xdr:rowOff>
                  </from>
                  <to>
                    <xdr:col>4</xdr:col>
                    <xdr:colOff>38100</xdr:colOff>
                    <xdr:row>6</xdr:row>
                    <xdr:rowOff>247650</xdr:rowOff>
                  </to>
                </anchor>
              </controlPr>
            </control>
          </mc:Choice>
        </mc:AlternateContent>
        <mc:AlternateContent xmlns:mc="http://schemas.openxmlformats.org/markup-compatibility/2006">
          <mc:Choice Requires="x14">
            <control shapeId="31749" r:id="rId12" name="Option Button 5">
              <controlPr defaultSize="0" autoFill="0" autoLine="0" autoPict="0">
                <anchor moveWithCells="1" sizeWithCells="1">
                  <from>
                    <xdr:col>2</xdr:col>
                    <xdr:colOff>57150</xdr:colOff>
                    <xdr:row>7</xdr:row>
                    <xdr:rowOff>57150</xdr:rowOff>
                  </from>
                  <to>
                    <xdr:col>4</xdr:col>
                    <xdr:colOff>38100</xdr:colOff>
                    <xdr:row>7</xdr:row>
                    <xdr:rowOff>219075</xdr:rowOff>
                  </to>
                </anchor>
              </controlPr>
            </control>
          </mc:Choice>
        </mc:AlternateContent>
        <mc:AlternateContent xmlns:mc="http://schemas.openxmlformats.org/markup-compatibility/2006">
          <mc:Choice Requires="x14">
            <control shapeId="31750" r:id="rId13" name="Option Button 6">
              <controlPr defaultSize="0" autoFill="0" autoLine="0" autoPict="0">
                <anchor moveWithCells="1" sizeWithCells="1">
                  <from>
                    <xdr:col>2</xdr:col>
                    <xdr:colOff>57150</xdr:colOff>
                    <xdr:row>8</xdr:row>
                    <xdr:rowOff>28575</xdr:rowOff>
                  </from>
                  <to>
                    <xdr:col>4</xdr:col>
                    <xdr:colOff>38100</xdr:colOff>
                    <xdr:row>8</xdr:row>
                    <xdr:rowOff>190500</xdr:rowOff>
                  </to>
                </anchor>
              </controlPr>
            </control>
          </mc:Choice>
        </mc:AlternateContent>
        <mc:AlternateContent xmlns:mc="http://schemas.openxmlformats.org/markup-compatibility/2006">
          <mc:Choice Requires="x14">
            <control shapeId="31751" r:id="rId14" name="Option Button 7">
              <controlPr defaultSize="0" autoFill="0" autoLine="0" autoPict="0">
                <anchor moveWithCells="1" sizeWithCells="1">
                  <from>
                    <xdr:col>2</xdr:col>
                    <xdr:colOff>57150</xdr:colOff>
                    <xdr:row>9</xdr:row>
                    <xdr:rowOff>76200</xdr:rowOff>
                  </from>
                  <to>
                    <xdr:col>4</xdr:col>
                    <xdr:colOff>38100</xdr:colOff>
                    <xdr:row>9</xdr:row>
                    <xdr:rowOff>238125</xdr:rowOff>
                  </to>
                </anchor>
              </controlPr>
            </control>
          </mc:Choice>
        </mc:AlternateContent>
        <mc:AlternateContent xmlns:mc="http://schemas.openxmlformats.org/markup-compatibility/2006">
          <mc:Choice Requires="x14">
            <control shapeId="31752" r:id="rId15" name="Option Button 8">
              <controlPr defaultSize="0" autoFill="0" autoLine="0" autoPict="0">
                <anchor moveWithCells="1" sizeWithCells="1">
                  <from>
                    <xdr:col>2</xdr:col>
                    <xdr:colOff>57150</xdr:colOff>
                    <xdr:row>10</xdr:row>
                    <xdr:rowOff>142875</xdr:rowOff>
                  </from>
                  <to>
                    <xdr:col>4</xdr:col>
                    <xdr:colOff>38100</xdr:colOff>
                    <xdr:row>10</xdr:row>
                    <xdr:rowOff>314325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N19"/>
  <sheetViews>
    <sheetView showGridLines="0" zoomScale="120" zoomScaleNormal="120" workbookViewId="0"/>
  </sheetViews>
  <sheetFormatPr defaultColWidth="2.7109375" defaultRowHeight="12.75" x14ac:dyDescent="0.2"/>
  <cols>
    <col min="1" max="1" width="1.42578125" style="35" customWidth="1"/>
    <col min="2" max="2" width="18" style="35" customWidth="1"/>
    <col min="3" max="3" width="2.5703125" style="35" customWidth="1"/>
    <col min="4" max="4" width="2.28515625" style="35" customWidth="1"/>
    <col min="5" max="11" width="3.85546875" style="35" customWidth="1"/>
    <col min="12" max="12" width="2" style="35" customWidth="1"/>
    <col min="13" max="13" width="7.140625" style="35" customWidth="1"/>
    <col min="14" max="14" width="5.85546875" style="35" customWidth="1"/>
    <col min="15" max="15" width="12.42578125" style="35" customWidth="1"/>
    <col min="16" max="16" width="9.28515625" style="35" customWidth="1"/>
    <col min="17" max="17" width="1.28515625" style="35" customWidth="1"/>
    <col min="18" max="18" width="18.140625" style="35" hidden="1" customWidth="1"/>
    <col min="19" max="19" width="11" style="35" hidden="1" customWidth="1"/>
    <col min="20" max="20" width="18.7109375" style="35" hidden="1" customWidth="1"/>
    <col min="21" max="21" width="18.5703125" style="35" hidden="1" customWidth="1"/>
    <col min="22" max="130" width="2.7109375" style="35" hidden="1" customWidth="1"/>
    <col min="131" max="255" width="2.7109375" style="35" customWidth="1"/>
    <col min="256" max="16384" width="2.7109375" style="35"/>
  </cols>
  <sheetData>
    <row r="1" spans="1:170" ht="15" customHeight="1" x14ac:dyDescent="0.2">
      <c r="B1" s="14" t="s">
        <v>1733</v>
      </c>
      <c r="E1" s="1347" t="str">
        <f>IF('Start here'!A6="","",'Start here'!A6)</f>
        <v/>
      </c>
      <c r="F1" s="1351"/>
      <c r="G1" s="1351"/>
      <c r="H1" s="1351"/>
      <c r="I1" s="1351"/>
      <c r="J1" s="1351"/>
      <c r="K1" s="1352"/>
      <c r="M1" s="1347" t="str">
        <f>IF('Start here'!A7="","",'Start here'!A7)</f>
        <v/>
      </c>
      <c r="N1" s="1351"/>
      <c r="O1" s="1351"/>
      <c r="P1" s="1352"/>
      <c r="R1" s="694">
        <v>38353</v>
      </c>
      <c r="S1" s="196">
        <f>'Start here'!A8</f>
        <v>0</v>
      </c>
      <c r="T1" s="1235" t="str">
        <f>IF(S1&gt;=R1,"Go to PPD Worksheet","")</f>
        <v/>
      </c>
      <c r="U1" s="1235" t="str">
        <f>IF(S1&lt;R1,"Go to PPD Worksheet","")</f>
        <v>Go to PPD Worksheet</v>
      </c>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x14ac:dyDescent="0.2">
      <c r="A2" s="189"/>
      <c r="B2" s="1395"/>
      <c r="C2" s="1395"/>
      <c r="D2" s="1395"/>
      <c r="E2" s="1395"/>
      <c r="F2" s="1395"/>
      <c r="G2" s="1395"/>
      <c r="H2" s="1395"/>
      <c r="I2" s="1395"/>
      <c r="J2" s="1395"/>
      <c r="K2" s="1395"/>
      <c r="L2" s="1395"/>
      <c r="M2" s="1395"/>
      <c r="N2" s="1395"/>
      <c r="O2" s="1395"/>
      <c r="P2" s="1395"/>
    </row>
    <row r="3" spans="1:170" ht="24" customHeight="1" x14ac:dyDescent="0.3">
      <c r="B3" s="1529" t="s">
        <v>102</v>
      </c>
      <c r="C3" s="1529"/>
      <c r="D3" s="1529"/>
      <c r="E3" s="1529"/>
      <c r="F3" s="1529"/>
      <c r="G3" s="1529"/>
      <c r="H3" s="1529"/>
      <c r="I3" s="1529"/>
      <c r="J3" s="1529"/>
      <c r="K3" s="1529"/>
      <c r="L3" s="1529"/>
      <c r="M3" s="1529"/>
      <c r="N3" s="1529"/>
      <c r="O3" s="1529"/>
      <c r="P3" s="1529"/>
    </row>
    <row r="4" spans="1:170" ht="32.1" customHeight="1" x14ac:dyDescent="0.2">
      <c r="B4" s="1561" t="s">
        <v>1915</v>
      </c>
      <c r="C4" s="1639"/>
      <c r="D4" s="1639"/>
      <c r="E4" s="1379" t="s">
        <v>1282</v>
      </c>
      <c r="F4" s="1379"/>
      <c r="G4" s="1379"/>
      <c r="H4" s="1379"/>
      <c r="I4" s="1379"/>
      <c r="J4" s="1379"/>
      <c r="K4" s="1379"/>
      <c r="L4" s="1379"/>
      <c r="M4" s="1379"/>
      <c r="N4" s="1379"/>
      <c r="O4" s="1379"/>
      <c r="P4" s="2440">
        <f>IF(AND(R8&gt;0,R8&lt;0.01),0.01,ROUND(R8,2))</f>
        <v>0</v>
      </c>
      <c r="R4" s="1239" t="s">
        <v>2300</v>
      </c>
      <c r="S4" s="1241">
        <v>1</v>
      </c>
    </row>
    <row r="5" spans="1:170" ht="32.1" customHeight="1" x14ac:dyDescent="0.2">
      <c r="B5" s="1561"/>
      <c r="C5" s="1639"/>
      <c r="D5" s="1639"/>
      <c r="E5" s="1379" t="s">
        <v>2130</v>
      </c>
      <c r="F5" s="1379"/>
      <c r="G5" s="1379"/>
      <c r="H5" s="1379"/>
      <c r="I5" s="1379"/>
      <c r="J5" s="1379"/>
      <c r="K5" s="1379"/>
      <c r="L5" s="1379"/>
      <c r="M5" s="1379"/>
      <c r="N5" s="1379"/>
      <c r="O5" s="1379"/>
      <c r="P5" s="2440"/>
    </row>
    <row r="6" spans="1:170" ht="32.1" customHeight="1" x14ac:dyDescent="0.2">
      <c r="B6" s="1561"/>
      <c r="C6" s="1639"/>
      <c r="D6" s="1639"/>
      <c r="E6" s="1379" t="s">
        <v>2131</v>
      </c>
      <c r="F6" s="1379"/>
      <c r="G6" s="1379"/>
      <c r="H6" s="1379"/>
      <c r="I6" s="1379"/>
      <c r="J6" s="1379"/>
      <c r="K6" s="1379"/>
      <c r="L6" s="1379"/>
      <c r="M6" s="1379"/>
      <c r="N6" s="1379"/>
      <c r="O6" s="1379"/>
      <c r="P6" s="2440"/>
    </row>
    <row r="7" spans="1:170" ht="43.5" customHeight="1" x14ac:dyDescent="0.2">
      <c r="B7" s="1561"/>
      <c r="C7" s="1639"/>
      <c r="D7" s="1639"/>
      <c r="E7" s="1379" t="s">
        <v>2132</v>
      </c>
      <c r="F7" s="1379"/>
      <c r="G7" s="1379"/>
      <c r="H7" s="1379"/>
      <c r="I7" s="1379"/>
      <c r="J7" s="1379"/>
      <c r="K7" s="1379"/>
      <c r="L7" s="1379"/>
      <c r="M7" s="1536"/>
      <c r="N7" s="1536"/>
      <c r="O7" s="24" t="s">
        <v>1525</v>
      </c>
      <c r="P7" s="2440"/>
      <c r="R7" s="1026" t="s">
        <v>2298</v>
      </c>
    </row>
    <row r="8" spans="1:170" ht="21" customHeight="1" x14ac:dyDescent="0.2">
      <c r="B8" s="1561" t="s">
        <v>1125</v>
      </c>
      <c r="C8" s="1561"/>
      <c r="D8" s="1561"/>
      <c r="E8" s="1561"/>
      <c r="F8" s="1561"/>
      <c r="G8" s="1561"/>
      <c r="H8" s="1561"/>
      <c r="I8" s="1561"/>
      <c r="J8" s="1561"/>
      <c r="K8" s="1561"/>
      <c r="L8" s="1561"/>
      <c r="M8" s="2440">
        <f>IF(S4=2,0.03,IF(S4=3,0.08,IF(S4=4,0.13,0)))</f>
        <v>0</v>
      </c>
      <c r="N8" s="2440"/>
      <c r="O8" s="260"/>
      <c r="P8" s="2440"/>
      <c r="R8" s="690">
        <f>IF(O8&gt;0,M8*O8,M8)</f>
        <v>0</v>
      </c>
    </row>
    <row r="9" spans="1:170" ht="32.25" customHeight="1" x14ac:dyDescent="0.25">
      <c r="B9" s="1682" t="s">
        <v>947</v>
      </c>
      <c r="C9" s="1682"/>
      <c r="D9" s="1682"/>
      <c r="E9" s="1682"/>
      <c r="F9" s="1682"/>
      <c r="G9" s="1682"/>
      <c r="H9" s="1682"/>
      <c r="I9" s="1682"/>
      <c r="J9" s="1682"/>
      <c r="K9" s="1682"/>
      <c r="L9" s="1682"/>
      <c r="M9" s="1682"/>
      <c r="N9" s="1682"/>
      <c r="O9" s="1682"/>
      <c r="P9" s="1682"/>
    </row>
    <row r="10" spans="1:170" x14ac:dyDescent="0.2">
      <c r="C10" s="2028" t="str">
        <f>IF(U1&lt;&gt;"",U1,"")</f>
        <v>Go to PPD Worksheet</v>
      </c>
      <c r="D10" s="2028"/>
      <c r="E10" s="2028"/>
      <c r="F10" s="2028"/>
      <c r="G10" s="2028"/>
      <c r="H10" s="2028"/>
      <c r="I10" s="2267" t="str">
        <f>IF(T1&lt;&gt;"",T1,"")</f>
        <v/>
      </c>
      <c r="J10" s="2267"/>
      <c r="K10" s="2267"/>
      <c r="L10" s="2267"/>
      <c r="M10" s="2267"/>
      <c r="N10" s="2267"/>
    </row>
    <row r="12" spans="1:170" hidden="1" x14ac:dyDescent="0.2">
      <c r="B12" s="35">
        <v>0.01</v>
      </c>
      <c r="C12" s="2">
        <v>0.99</v>
      </c>
      <c r="D12" s="2"/>
      <c r="E12" s="2"/>
      <c r="F12" s="2"/>
      <c r="G12" s="2"/>
      <c r="H12" s="2"/>
      <c r="I12" s="2"/>
      <c r="J12" s="2"/>
      <c r="K12" s="2"/>
      <c r="L12" s="2"/>
      <c r="M12" s="2"/>
      <c r="N12" s="2"/>
    </row>
    <row r="13" spans="1:170" x14ac:dyDescent="0.2">
      <c r="C13" s="2"/>
      <c r="D13" s="2"/>
      <c r="E13" s="2"/>
      <c r="F13" s="2"/>
      <c r="G13" s="2"/>
      <c r="H13" s="2"/>
      <c r="I13" s="2"/>
      <c r="J13" s="2"/>
    </row>
    <row r="14" spans="1:170" x14ac:dyDescent="0.2">
      <c r="C14" s="2"/>
      <c r="D14" s="2"/>
      <c r="E14" s="2"/>
      <c r="F14" s="2"/>
      <c r="G14" s="2"/>
      <c r="H14" s="2"/>
      <c r="I14" s="2"/>
      <c r="J14" s="2"/>
    </row>
    <row r="15" spans="1:170" x14ac:dyDescent="0.2">
      <c r="C15" s="2"/>
      <c r="D15" s="2"/>
      <c r="E15" s="2"/>
      <c r="F15" s="2"/>
      <c r="G15" s="2"/>
      <c r="H15" s="2"/>
      <c r="I15" s="2"/>
      <c r="J15" s="2"/>
    </row>
    <row r="16" spans="1:170" x14ac:dyDescent="0.2">
      <c r="C16" s="2"/>
      <c r="D16" s="2"/>
      <c r="E16" s="2"/>
      <c r="F16" s="2"/>
      <c r="G16" s="2"/>
      <c r="H16" s="2"/>
      <c r="I16" s="2"/>
      <c r="J16" s="2"/>
    </row>
    <row r="17" spans="3:14" x14ac:dyDescent="0.2">
      <c r="C17" s="2"/>
      <c r="D17" s="2"/>
      <c r="E17" s="2"/>
      <c r="F17" s="2"/>
      <c r="G17" s="2"/>
      <c r="H17" s="2"/>
      <c r="I17" s="2"/>
      <c r="J17" s="2"/>
    </row>
    <row r="18" spans="3:14" x14ac:dyDescent="0.2">
      <c r="C18" s="2"/>
      <c r="D18" s="2"/>
      <c r="E18" s="2"/>
      <c r="F18" s="2"/>
      <c r="G18" s="2"/>
      <c r="H18" s="2"/>
      <c r="I18" s="2"/>
      <c r="J18" s="2"/>
    </row>
    <row r="19" spans="3:14" x14ac:dyDescent="0.2">
      <c r="C19" s="2"/>
      <c r="D19" s="2"/>
      <c r="E19" s="2"/>
      <c r="F19" s="2"/>
      <c r="G19" s="2"/>
      <c r="H19" s="2"/>
      <c r="I19" s="2"/>
      <c r="J19" s="2"/>
      <c r="K19" s="2"/>
      <c r="L19" s="2"/>
      <c r="M19" s="2"/>
      <c r="N19" s="2"/>
    </row>
  </sheetData>
  <sheetProtection sheet="1" objects="1" scenarios="1"/>
  <mergeCells count="17">
    <mergeCell ref="M7:N7"/>
    <mergeCell ref="E1:K1"/>
    <mergeCell ref="M1:P1"/>
    <mergeCell ref="B2:P2"/>
    <mergeCell ref="B3:P3"/>
    <mergeCell ref="C10:H10"/>
    <mergeCell ref="I10:N10"/>
    <mergeCell ref="B9:P9"/>
    <mergeCell ref="B4:B7"/>
    <mergeCell ref="C4:D7"/>
    <mergeCell ref="E4:O4"/>
    <mergeCell ref="P4:P8"/>
    <mergeCell ref="E5:O5"/>
    <mergeCell ref="E6:O6"/>
    <mergeCell ref="M8:N8"/>
    <mergeCell ref="B8:L8"/>
    <mergeCell ref="E7:L7"/>
  </mergeCells>
  <phoneticPr fontId="0" type="noConversion"/>
  <dataValidations xWindow="858" yWindow="121" count="2">
    <dataValidation type="decimal" allowBlank="1" showInputMessage="1" showErrorMessage="1" promptTitle="Apportionment (if any)" prompt="Enter percentage of impairment caused by the injury or illness. See OAR 436-035-0013." sqref="O8" xr:uid="{00000000-0002-0000-1B00-000000000000}">
      <formula1>$B$12</formula1>
      <formula2>$C$12</formula2>
    </dataValidation>
    <dataValidation allowBlank="1" showInputMessage="1" showErrorMessage="1" promptTitle="Start of worksheet" prompt="Press &quot;Tab&quot; to continue." sqref="A2" xr:uid="{00000000-0002-0000-1B00-000001000000}"/>
  </dataValidations>
  <hyperlinks>
    <hyperlink ref="I10:N10" location="'PPD DOI on or after 2005'!A1" display="'PPD DOI on or after 2005'!A1" xr:uid="{00000000-0004-0000-1B00-000000000000}"/>
    <hyperlink ref="C10:H10" location="'PPD DOI before 2005'!A1" display="'PPD DOI before 2005'!A1" xr:uid="{00000000-0004-0000-1B00-000001000000}"/>
  </hyperlinks>
  <pageMargins left="0.75" right="0.75" top="1" bottom="1" header="0.5" footer="0.5"/>
  <pageSetup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0722" r:id="rId4" name="Option Button 2">
              <controlPr defaultSize="0" autoFill="0" autoLine="0" autoPict="0">
                <anchor moveWithCells="1" sizeWithCells="1">
                  <from>
                    <xdr:col>2</xdr:col>
                    <xdr:colOff>57150</xdr:colOff>
                    <xdr:row>3</xdr:row>
                    <xdr:rowOff>95250</xdr:rowOff>
                  </from>
                  <to>
                    <xdr:col>4</xdr:col>
                    <xdr:colOff>38100</xdr:colOff>
                    <xdr:row>3</xdr:row>
                    <xdr:rowOff>333375</xdr:rowOff>
                  </to>
                </anchor>
              </controlPr>
            </control>
          </mc:Choice>
        </mc:AlternateContent>
        <mc:AlternateContent xmlns:mc="http://schemas.openxmlformats.org/markup-compatibility/2006">
          <mc:Choice Requires="x14">
            <control shapeId="30723" r:id="rId5" name="Option Button 3">
              <controlPr defaultSize="0" autoFill="0" autoLine="0" autoPict="0">
                <anchor moveWithCells="1" sizeWithCells="1">
                  <from>
                    <xdr:col>2</xdr:col>
                    <xdr:colOff>57150</xdr:colOff>
                    <xdr:row>4</xdr:row>
                    <xdr:rowOff>123825</xdr:rowOff>
                  </from>
                  <to>
                    <xdr:col>4</xdr:col>
                    <xdr:colOff>38100</xdr:colOff>
                    <xdr:row>4</xdr:row>
                    <xdr:rowOff>361950</xdr:rowOff>
                  </to>
                </anchor>
              </controlPr>
            </control>
          </mc:Choice>
        </mc:AlternateContent>
        <mc:AlternateContent xmlns:mc="http://schemas.openxmlformats.org/markup-compatibility/2006">
          <mc:Choice Requires="x14">
            <control shapeId="30724" r:id="rId6" name="Option Button 4">
              <controlPr defaultSize="0" autoFill="0" autoLine="0" autoPict="0">
                <anchor moveWithCells="1" sizeWithCells="1">
                  <from>
                    <xdr:col>2</xdr:col>
                    <xdr:colOff>57150</xdr:colOff>
                    <xdr:row>5</xdr:row>
                    <xdr:rowOff>180975</xdr:rowOff>
                  </from>
                  <to>
                    <xdr:col>4</xdr:col>
                    <xdr:colOff>38100</xdr:colOff>
                    <xdr:row>6</xdr:row>
                    <xdr:rowOff>28575</xdr:rowOff>
                  </to>
                </anchor>
              </controlPr>
            </control>
          </mc:Choice>
        </mc:AlternateContent>
        <mc:AlternateContent xmlns:mc="http://schemas.openxmlformats.org/markup-compatibility/2006">
          <mc:Choice Requires="x14">
            <control shapeId="30725" r:id="rId7" name="Option Button 5">
              <controlPr defaultSize="0" autoFill="0" autoLine="0" autoPict="0">
                <anchor moveWithCells="1" sizeWithCells="1">
                  <from>
                    <xdr:col>2</xdr:col>
                    <xdr:colOff>57150</xdr:colOff>
                    <xdr:row>6</xdr:row>
                    <xdr:rowOff>200025</xdr:rowOff>
                  </from>
                  <to>
                    <xdr:col>4</xdr:col>
                    <xdr:colOff>38100</xdr:colOff>
                    <xdr:row>6</xdr:row>
                    <xdr:rowOff>438150</xdr:rowOff>
                  </to>
                </anchor>
              </controlPr>
            </control>
          </mc:Choice>
        </mc:AlternateContent>
        <mc:AlternateContent xmlns:mc="http://schemas.openxmlformats.org/markup-compatibility/2006">
          <mc:Choice Requires="x14">
            <control shapeId="30726" r:id="rId8" name="Group Box 6">
              <controlPr defaultSize="0" autoFill="0" autoPict="0">
                <anchor moveWithCells="1" sizeWithCells="1">
                  <from>
                    <xdr:col>2</xdr:col>
                    <xdr:colOff>0</xdr:colOff>
                    <xdr:row>3</xdr:row>
                    <xdr:rowOff>0</xdr:rowOff>
                  </from>
                  <to>
                    <xdr:col>15</xdr:col>
                    <xdr:colOff>0</xdr:colOff>
                    <xdr:row>7</xdr:row>
                    <xdr:rowOff>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DU555"/>
  <sheetViews>
    <sheetView zoomScaleNormal="100" zoomScaleSheetLayoutView="50" workbookViewId="0">
      <pane ySplit="2" topLeftCell="A3" activePane="bottomLeft" state="frozen"/>
      <selection pane="bottomLeft"/>
    </sheetView>
  </sheetViews>
  <sheetFormatPr defaultColWidth="9.140625" defaultRowHeight="12.75" x14ac:dyDescent="0.2"/>
  <cols>
    <col min="1" max="1" width="15.42578125" style="18" bestFit="1" customWidth="1"/>
    <col min="2" max="2" width="8" style="18" bestFit="1" customWidth="1"/>
    <col min="3" max="3" width="7.7109375" style="18" bestFit="1" customWidth="1"/>
    <col min="4" max="4" width="9.140625" style="18"/>
    <col min="5" max="5" width="8" style="18" bestFit="1" customWidth="1"/>
    <col min="6" max="6" width="7.7109375" style="18" bestFit="1" customWidth="1"/>
    <col min="7" max="7" width="8.85546875" style="18" customWidth="1"/>
    <col min="8" max="10" width="8.140625" style="18" bestFit="1" customWidth="1"/>
    <col min="11" max="13" width="8.140625" style="111" bestFit="1" customWidth="1"/>
    <col min="14" max="14" width="8" style="18" bestFit="1" customWidth="1"/>
    <col min="15" max="16" width="8.28515625" style="18" bestFit="1" customWidth="1"/>
    <col min="17" max="21" width="8" style="19" bestFit="1" customWidth="1"/>
    <col min="22" max="23" width="8.140625" style="111" bestFit="1" customWidth="1"/>
    <col min="24" max="24" width="10.5703125" style="19" bestFit="1" customWidth="1"/>
    <col min="25" max="25" width="10.5703125" style="111" bestFit="1" customWidth="1"/>
    <col min="26" max="26" width="7.7109375" style="111" bestFit="1" customWidth="1"/>
    <col min="27" max="27" width="8" style="111" bestFit="1" customWidth="1"/>
    <col min="28" max="29" width="7.7109375" style="111" bestFit="1" customWidth="1"/>
    <col min="30" max="30" width="6.85546875" style="111" bestFit="1" customWidth="1"/>
    <col min="31" max="31" width="5.7109375" style="112" bestFit="1" customWidth="1"/>
    <col min="32" max="32" width="6.85546875" style="111" bestFit="1" customWidth="1"/>
    <col min="33" max="33" width="8" style="111" bestFit="1" customWidth="1"/>
    <col min="34" max="34" width="8" style="19" bestFit="1" customWidth="1"/>
    <col min="35" max="36" width="7.7109375" style="111" bestFit="1" customWidth="1"/>
    <col min="37" max="37" width="10.5703125" style="111" bestFit="1" customWidth="1"/>
    <col min="38" max="38" width="11.28515625" style="111" customWidth="1"/>
    <col min="39" max="39" width="10.5703125" style="111" bestFit="1" customWidth="1"/>
    <col min="40" max="44" width="3.7109375" style="111" customWidth="1"/>
    <col min="45" max="45" width="26.28515625" style="19" bestFit="1" customWidth="1"/>
    <col min="46" max="46" width="7.7109375" style="74" customWidth="1"/>
    <col min="47" max="47" width="7.5703125" style="74" customWidth="1"/>
    <col min="48" max="48" width="7.85546875" style="19" customWidth="1"/>
    <col min="49" max="49" width="5.7109375" style="74" customWidth="1"/>
    <col min="50" max="50" width="31.5703125" style="19" bestFit="1" customWidth="1"/>
    <col min="51" max="53" width="7.7109375" style="19" customWidth="1"/>
    <col min="54" max="54" width="9.140625" style="19"/>
    <col min="55" max="55" width="26.28515625" style="19" bestFit="1" customWidth="1"/>
    <col min="56" max="58" width="7.7109375" style="19" customWidth="1"/>
    <col min="59" max="59" width="8" style="19" bestFit="1" customWidth="1"/>
    <col min="60" max="60" width="31.5703125" style="116" bestFit="1" customWidth="1"/>
    <col min="61" max="63" width="7.7109375" style="19" customWidth="1"/>
    <col min="64" max="97" width="9.140625" style="19"/>
    <col min="98" max="16384" width="9.140625" style="18"/>
  </cols>
  <sheetData>
    <row r="1" spans="1:125" ht="41.25" customHeight="1" x14ac:dyDescent="0.2">
      <c r="A1" s="1249" t="s">
        <v>2307</v>
      </c>
      <c r="B1" s="1235" t="s">
        <v>1574</v>
      </c>
      <c r="C1" s="1235" t="s">
        <v>1574</v>
      </c>
      <c r="D1" s="1235" t="s">
        <v>1574</v>
      </c>
      <c r="E1" s="1235" t="s">
        <v>1574</v>
      </c>
      <c r="F1" s="1235" t="s">
        <v>1574</v>
      </c>
      <c r="G1" s="1235" t="s">
        <v>1574</v>
      </c>
      <c r="H1" s="1237" t="s">
        <v>410</v>
      </c>
      <c r="I1" s="1237" t="s">
        <v>410</v>
      </c>
      <c r="J1" s="1237" t="s">
        <v>410</v>
      </c>
      <c r="K1" s="1237" t="s">
        <v>410</v>
      </c>
      <c r="L1" s="1237" t="s">
        <v>410</v>
      </c>
      <c r="M1" s="1237" t="s">
        <v>410</v>
      </c>
      <c r="N1" s="1237" t="s">
        <v>410</v>
      </c>
      <c r="O1" s="1237" t="s">
        <v>410</v>
      </c>
      <c r="P1" s="1237" t="s">
        <v>410</v>
      </c>
      <c r="Q1" s="1240" t="s">
        <v>1725</v>
      </c>
      <c r="R1" s="1240" t="s">
        <v>1725</v>
      </c>
      <c r="S1" s="1240" t="s">
        <v>1725</v>
      </c>
      <c r="T1" s="1240" t="s">
        <v>1725</v>
      </c>
      <c r="U1" s="1240" t="s">
        <v>1725</v>
      </c>
      <c r="V1" s="1244" t="s">
        <v>1656</v>
      </c>
      <c r="W1" s="1244" t="s">
        <v>1656</v>
      </c>
      <c r="X1" s="1240" t="s">
        <v>1656</v>
      </c>
      <c r="Y1" s="1240" t="s">
        <v>1656</v>
      </c>
      <c r="Z1" s="1244" t="s">
        <v>411</v>
      </c>
      <c r="AA1" s="1244" t="s">
        <v>411</v>
      </c>
      <c r="AB1" s="1244" t="s">
        <v>411</v>
      </c>
      <c r="AC1" s="1244" t="s">
        <v>411</v>
      </c>
      <c r="AD1" s="1244" t="s">
        <v>411</v>
      </c>
      <c r="AE1" s="749" t="s">
        <v>411</v>
      </c>
      <c r="AF1" s="749" t="s">
        <v>411</v>
      </c>
      <c r="AG1" s="1244" t="s">
        <v>411</v>
      </c>
      <c r="AH1" s="1240" t="s">
        <v>1725</v>
      </c>
      <c r="AI1" s="1244" t="s">
        <v>412</v>
      </c>
      <c r="AJ1" s="1244" t="s">
        <v>412</v>
      </c>
      <c r="AK1" s="1244" t="s">
        <v>412</v>
      </c>
      <c r="AL1" s="1256" t="s">
        <v>413</v>
      </c>
      <c r="AM1" s="1244" t="s">
        <v>412</v>
      </c>
      <c r="AO1" s="117"/>
      <c r="AP1" s="117"/>
      <c r="AQ1" s="117"/>
      <c r="AR1" s="117"/>
      <c r="AS1" s="1254" t="s">
        <v>544</v>
      </c>
      <c r="AX1" s="1254" t="s">
        <v>544</v>
      </c>
      <c r="BC1" s="1240" t="s">
        <v>545</v>
      </c>
      <c r="BH1" s="1254" t="s">
        <v>545</v>
      </c>
    </row>
    <row r="2" spans="1:125" ht="100.5" customHeight="1" x14ac:dyDescent="0.2">
      <c r="A2" s="1237" t="s">
        <v>1964</v>
      </c>
      <c r="B2" s="1258" t="s">
        <v>418</v>
      </c>
      <c r="C2" s="1258" t="s">
        <v>419</v>
      </c>
      <c r="D2" s="1258" t="s">
        <v>420</v>
      </c>
      <c r="E2" s="1258" t="s">
        <v>333</v>
      </c>
      <c r="F2" s="1258" t="s">
        <v>334</v>
      </c>
      <c r="G2" s="1258" t="s">
        <v>335</v>
      </c>
      <c r="H2" s="1258" t="s">
        <v>336</v>
      </c>
      <c r="I2" s="1258" t="s">
        <v>337</v>
      </c>
      <c r="J2" s="1258" t="s">
        <v>338</v>
      </c>
      <c r="K2" s="1258" t="s">
        <v>339</v>
      </c>
      <c r="L2" s="1258" t="s">
        <v>340</v>
      </c>
      <c r="M2" s="1258" t="s">
        <v>341</v>
      </c>
      <c r="N2" s="1258" t="s">
        <v>333</v>
      </c>
      <c r="O2" s="1258" t="s">
        <v>334</v>
      </c>
      <c r="P2" s="1258" t="s">
        <v>335</v>
      </c>
      <c r="Q2" s="1258" t="s">
        <v>342</v>
      </c>
      <c r="R2" s="1258" t="s">
        <v>1458</v>
      </c>
      <c r="S2" s="1258" t="s">
        <v>621</v>
      </c>
      <c r="T2" s="1258" t="s">
        <v>881</v>
      </c>
      <c r="U2" s="1258" t="s">
        <v>882</v>
      </c>
      <c r="V2" s="1258" t="s">
        <v>883</v>
      </c>
      <c r="W2" s="1258" t="s">
        <v>884</v>
      </c>
      <c r="X2" s="1258" t="s">
        <v>885</v>
      </c>
      <c r="Y2" s="1258" t="s">
        <v>1673</v>
      </c>
      <c r="Z2" s="1258" t="s">
        <v>853</v>
      </c>
      <c r="AA2" s="1258" t="s">
        <v>1674</v>
      </c>
      <c r="AB2" s="1258" t="s">
        <v>852</v>
      </c>
      <c r="AC2" s="1258" t="s">
        <v>1473</v>
      </c>
      <c r="AD2" s="1258" t="s">
        <v>1474</v>
      </c>
      <c r="AE2" s="1258" t="s">
        <v>1475</v>
      </c>
      <c r="AF2" s="1259" t="s">
        <v>911</v>
      </c>
      <c r="AG2" s="1259" t="s">
        <v>912</v>
      </c>
      <c r="AH2" s="1260" t="s">
        <v>1647</v>
      </c>
      <c r="AI2" s="1259" t="s">
        <v>1648</v>
      </c>
      <c r="AJ2" s="1259" t="s">
        <v>1649</v>
      </c>
      <c r="AK2" s="1259" t="s">
        <v>263</v>
      </c>
      <c r="AL2" s="1259" t="s">
        <v>264</v>
      </c>
      <c r="AM2" s="1259" t="s">
        <v>188</v>
      </c>
      <c r="AN2" s="400"/>
      <c r="AO2" s="400"/>
      <c r="AP2" s="400"/>
      <c r="AQ2" s="400"/>
      <c r="AR2" s="400"/>
      <c r="AS2" s="1253" t="s">
        <v>1574</v>
      </c>
      <c r="AT2" s="1280" t="s">
        <v>2308</v>
      </c>
      <c r="AU2" s="1257" t="s">
        <v>1307</v>
      </c>
      <c r="AV2" s="1257" t="s">
        <v>2309</v>
      </c>
      <c r="AW2" s="402"/>
      <c r="AX2" s="1253"/>
      <c r="AY2" s="1280" t="s">
        <v>2308</v>
      </c>
      <c r="AZ2" s="1257" t="s">
        <v>1307</v>
      </c>
      <c r="BA2" s="1257" t="s">
        <v>2309</v>
      </c>
      <c r="BB2" s="401"/>
      <c r="BC2" s="1242" t="s">
        <v>1574</v>
      </c>
      <c r="BD2" s="1280" t="s">
        <v>2310</v>
      </c>
      <c r="BE2" s="1257" t="s">
        <v>1307</v>
      </c>
      <c r="BF2" s="1257" t="s">
        <v>2311</v>
      </c>
      <c r="BG2" s="402"/>
      <c r="BH2" s="1253"/>
      <c r="BI2" s="1280" t="s">
        <v>2310</v>
      </c>
      <c r="BJ2" s="1257" t="s">
        <v>1307</v>
      </c>
      <c r="BK2" s="1257" t="s">
        <v>2311</v>
      </c>
      <c r="BL2" s="401"/>
      <c r="BM2" s="401"/>
      <c r="BN2" s="401"/>
      <c r="BO2" s="401"/>
      <c r="BP2" s="401"/>
      <c r="BQ2" s="401"/>
      <c r="BR2" s="401"/>
      <c r="BS2" s="401"/>
      <c r="BT2" s="401"/>
      <c r="BU2" s="401"/>
      <c r="BV2" s="401"/>
      <c r="BW2" s="401"/>
      <c r="BX2" s="401"/>
      <c r="BY2" s="401"/>
      <c r="BZ2" s="401"/>
      <c r="CA2" s="401"/>
      <c r="CB2" s="401"/>
      <c r="CC2" s="401"/>
      <c r="CD2" s="401"/>
      <c r="CE2" s="401"/>
      <c r="CF2" s="401"/>
      <c r="CG2" s="401"/>
      <c r="CH2" s="401"/>
      <c r="CI2" s="401"/>
      <c r="CJ2" s="401"/>
      <c r="CK2" s="401"/>
      <c r="CL2" s="401"/>
      <c r="CM2" s="401"/>
      <c r="CN2" s="401"/>
      <c r="CO2" s="401"/>
      <c r="CP2" s="401"/>
      <c r="CQ2" s="401"/>
      <c r="CR2" s="401"/>
      <c r="CS2" s="401"/>
      <c r="CT2" s="403"/>
      <c r="CU2" s="403"/>
      <c r="CV2" s="403"/>
      <c r="CW2" s="403"/>
      <c r="CX2" s="403"/>
      <c r="CY2" s="403"/>
      <c r="CZ2" s="403"/>
      <c r="DA2" s="403"/>
      <c r="DB2" s="403"/>
      <c r="DC2" s="403"/>
      <c r="DD2" s="403"/>
      <c r="DE2" s="403"/>
      <c r="DF2" s="403"/>
      <c r="DG2" s="403"/>
      <c r="DH2" s="403"/>
      <c r="DI2" s="403"/>
      <c r="DJ2" s="403"/>
      <c r="DK2" s="403"/>
      <c r="DL2" s="403"/>
      <c r="DM2" s="403"/>
      <c r="DN2" s="403"/>
      <c r="DO2" s="403"/>
      <c r="DP2" s="403"/>
      <c r="DQ2" s="403"/>
      <c r="DR2" s="403"/>
      <c r="DS2" s="403"/>
      <c r="DT2" s="403"/>
      <c r="DU2" s="403"/>
    </row>
    <row r="3" spans="1:125" ht="15" customHeight="1" x14ac:dyDescent="0.2">
      <c r="A3" s="1235">
        <v>0</v>
      </c>
      <c r="B3" s="684">
        <v>0.45</v>
      </c>
      <c r="C3" s="684">
        <v>0</v>
      </c>
      <c r="D3" s="684">
        <v>0.45</v>
      </c>
      <c r="E3" s="684">
        <v>0.55000000000000004</v>
      </c>
      <c r="F3" s="684">
        <v>0</v>
      </c>
      <c r="G3" s="684">
        <v>0.55000000000000004</v>
      </c>
      <c r="H3" s="684">
        <v>0.45</v>
      </c>
      <c r="I3" s="684">
        <v>0</v>
      </c>
      <c r="J3" s="684">
        <v>0.45</v>
      </c>
      <c r="K3" s="1244">
        <v>0.6</v>
      </c>
      <c r="L3" s="1244">
        <v>0</v>
      </c>
      <c r="M3" s="1244">
        <v>0.6</v>
      </c>
      <c r="N3" s="684">
        <v>0.55000000000000004</v>
      </c>
      <c r="O3" s="684">
        <v>0</v>
      </c>
      <c r="P3" s="684">
        <v>0.55000000000000004</v>
      </c>
      <c r="Q3" s="1240">
        <v>0</v>
      </c>
      <c r="R3" s="646">
        <v>0</v>
      </c>
      <c r="S3" s="646">
        <v>0</v>
      </c>
      <c r="T3" s="1240">
        <v>0</v>
      </c>
      <c r="U3" s="1240">
        <v>0</v>
      </c>
      <c r="V3" s="1244">
        <v>0.06</v>
      </c>
      <c r="W3" s="1244">
        <v>0.06</v>
      </c>
      <c r="X3" s="1244">
        <v>0.12</v>
      </c>
      <c r="Y3" s="1244">
        <v>0.12</v>
      </c>
      <c r="Z3" s="1244">
        <v>0.1</v>
      </c>
      <c r="AA3" s="1244">
        <v>0.3</v>
      </c>
      <c r="AB3" s="1244">
        <v>0.11</v>
      </c>
      <c r="AC3" s="1244">
        <v>0.3</v>
      </c>
      <c r="AD3" s="1244">
        <v>0.04</v>
      </c>
      <c r="AE3" s="749">
        <v>0.3</v>
      </c>
      <c r="AF3" s="1244">
        <v>0.05</v>
      </c>
      <c r="AG3" s="1244">
        <v>0.3</v>
      </c>
      <c r="AH3" s="1240">
        <v>0</v>
      </c>
      <c r="AI3" s="1244">
        <v>0.39</v>
      </c>
      <c r="AJ3" s="1244">
        <v>0</v>
      </c>
      <c r="AK3" s="1244">
        <v>0.65</v>
      </c>
      <c r="AL3" s="1244">
        <v>0.13</v>
      </c>
      <c r="AM3" s="1244">
        <v>0.65</v>
      </c>
      <c r="AS3" s="1251" t="s">
        <v>1514</v>
      </c>
      <c r="AT3" s="1252" t="str">
        <f>IF('Upper Extremity-Right'!T18="","",'Upper Extremity-Right'!T18)</f>
        <v/>
      </c>
      <c r="AU3" s="1252" t="str">
        <f>IF(AT3="","",ROUND(AT3,0))</f>
        <v/>
      </c>
      <c r="AV3" s="1255">
        <f>IF(AU3="",0,VLOOKUP(AU3,$A$3:$AM$153,2))</f>
        <v>0</v>
      </c>
      <c r="AX3" s="1254" t="s">
        <v>1197</v>
      </c>
      <c r="AY3" s="1252" t="str">
        <f>IF('Upper Extremity-Right'!V18="","",'Upper Extremity-Right'!V18)</f>
        <v/>
      </c>
      <c r="AZ3" s="1252" t="str">
        <f>IF(AY3="","",ROUND(AY3,0))</f>
        <v/>
      </c>
      <c r="BA3" s="243">
        <f>IF(AZ3="",0,VLOOKUP(AZ3,$A$3:$AM$153,2))</f>
        <v>0</v>
      </c>
      <c r="BC3" s="1240" t="s">
        <v>1514</v>
      </c>
      <c r="BD3" s="821" t="str">
        <f>IF('Upper Extremity-Left'!T18="","",'Upper Extremity-Left'!T18)</f>
        <v/>
      </c>
      <c r="BE3" s="1243" t="str">
        <f>IF(BD3="","",ROUND(BD3,0))</f>
        <v/>
      </c>
      <c r="BF3" s="243">
        <f>IF(BE3="",0,VLOOKUP(BE3,$A$3:$AM$153,2))</f>
        <v>0</v>
      </c>
      <c r="BG3" s="74"/>
      <c r="BH3" s="1240" t="s">
        <v>1197</v>
      </c>
      <c r="BI3" s="1243" t="str">
        <f>IF('Upper Extremity-Left'!V18="","",'Upper Extremity-Left'!V18)</f>
        <v/>
      </c>
      <c r="BJ3" s="1243" t="str">
        <f>IF(BI3="","",ROUND(BI3,0))</f>
        <v/>
      </c>
      <c r="BK3" s="243">
        <f>IF(BJ3="",0,VLOOKUP(BJ3,$A$3:$AM$153,2))</f>
        <v>0</v>
      </c>
    </row>
    <row r="4" spans="1:125" ht="15" customHeight="1" x14ac:dyDescent="0.2">
      <c r="A4" s="1235">
        <v>1</v>
      </c>
      <c r="B4" s="684">
        <v>0.44400000000000001</v>
      </c>
      <c r="C4" s="684">
        <v>4.0000000000000001E-3</v>
      </c>
      <c r="D4" s="684">
        <v>0.44800000000000001</v>
      </c>
      <c r="E4" s="684">
        <v>0.54100000000000004</v>
      </c>
      <c r="F4" s="684">
        <v>3.0000000000000001E-3</v>
      </c>
      <c r="G4" s="684">
        <v>0.54400000000000004</v>
      </c>
      <c r="H4" s="684">
        <v>0.443</v>
      </c>
      <c r="I4" s="684">
        <v>3.0000000000000001E-3</v>
      </c>
      <c r="J4" s="684">
        <v>0.44600000000000001</v>
      </c>
      <c r="K4" s="1244">
        <v>0.59399999999999997</v>
      </c>
      <c r="L4" s="1244">
        <v>3.0000000000000001E-3</v>
      </c>
      <c r="M4" s="1244">
        <v>0.59699999999999998</v>
      </c>
      <c r="N4" s="684">
        <v>0.54400000000000004</v>
      </c>
      <c r="O4" s="684">
        <v>3.0000000000000001E-3</v>
      </c>
      <c r="P4" s="684">
        <v>0.54700000000000004</v>
      </c>
      <c r="Q4" s="1240">
        <v>0.01</v>
      </c>
      <c r="R4" s="646">
        <v>0.01</v>
      </c>
      <c r="S4" s="646">
        <v>0.01</v>
      </c>
      <c r="T4" s="1240">
        <v>0.01</v>
      </c>
      <c r="U4" s="1240">
        <v>0.01</v>
      </c>
      <c r="V4" s="1244">
        <v>5.6000000000000001E-2</v>
      </c>
      <c r="W4" s="1244">
        <v>5.8000000000000003E-2</v>
      </c>
      <c r="X4" s="1244">
        <v>0.13</v>
      </c>
      <c r="Y4" s="1244">
        <v>0.127</v>
      </c>
      <c r="Z4" s="1244">
        <v>9.8000000000000004E-2</v>
      </c>
      <c r="AA4" s="1244">
        <v>0.29799999999999999</v>
      </c>
      <c r="AB4" s="1244">
        <v>0.109</v>
      </c>
      <c r="AC4" s="1244">
        <v>0.309</v>
      </c>
      <c r="AD4" s="1244">
        <v>3.7999999999999999E-2</v>
      </c>
      <c r="AE4" s="749">
        <v>0.33</v>
      </c>
      <c r="AF4" s="1244">
        <v>4.9000000000000002E-2</v>
      </c>
      <c r="AG4" s="1244">
        <v>0.32</v>
      </c>
      <c r="AH4" s="1240">
        <v>0.01</v>
      </c>
      <c r="AI4" s="1244">
        <v>0.38700000000000001</v>
      </c>
      <c r="AJ4" s="1244">
        <v>2E-3</v>
      </c>
      <c r="AK4" s="1244">
        <v>0.64900000000000002</v>
      </c>
      <c r="AL4" s="1244">
        <v>0.128</v>
      </c>
      <c r="AM4" s="1244">
        <v>0.65400000000000003</v>
      </c>
      <c r="AS4" s="1251" t="s">
        <v>1515</v>
      </c>
      <c r="AT4" s="1252" t="str">
        <f>IF('Upper Extremity-Right'!T19="","",'Upper Extremity-Right'!T19)</f>
        <v/>
      </c>
      <c r="AU4" s="1252" t="str">
        <f t="shared" ref="AU4:AU67" si="0">IF(AT4="","",ROUND(AT4,0))</f>
        <v/>
      </c>
      <c r="AV4" s="243">
        <f>IF(AU4="",0,VLOOKUP(AU4,$A$3:$AM$153,3))</f>
        <v>0</v>
      </c>
      <c r="AX4" s="1254" t="s">
        <v>1197</v>
      </c>
      <c r="AY4" s="1252" t="str">
        <f>IF('Upper Extremity-Right'!V19="","",'Upper Extremity-Right'!V19)</f>
        <v/>
      </c>
      <c r="AZ4" s="1252" t="str">
        <f>IF(AY4="","",ROUND(AY4,0))</f>
        <v/>
      </c>
      <c r="BA4" s="243">
        <f>IF(AZ4="",0,VLOOKUP(AZ4,$A$3:$AM$153,3))</f>
        <v>0</v>
      </c>
      <c r="BC4" s="1240" t="s">
        <v>1515</v>
      </c>
      <c r="BD4" s="821" t="str">
        <f>IF('Upper Extremity-Left'!T19="","",'Upper Extremity-Left'!T19)</f>
        <v/>
      </c>
      <c r="BE4" s="1243" t="str">
        <f>IF(BD4="","",ROUND(BD4,0))</f>
        <v/>
      </c>
      <c r="BF4" s="243">
        <f>IF(BE4="",0,VLOOKUP(BE4,$A$3:$AM$153,3))</f>
        <v>0</v>
      </c>
      <c r="BG4" s="74"/>
      <c r="BH4" s="1240" t="s">
        <v>1197</v>
      </c>
      <c r="BI4" s="1243" t="str">
        <f>IF('Upper Extremity-Left'!V19="","",'Upper Extremity-Left'!V19)</f>
        <v/>
      </c>
      <c r="BJ4" s="1243" t="str">
        <f>IF(BI4="","",ROUND(BI4,0))</f>
        <v/>
      </c>
      <c r="BK4" s="243">
        <f>IF(BJ4="",0,VLOOKUP(BJ4,$A$3:$AM$153,3))</f>
        <v>0</v>
      </c>
    </row>
    <row r="5" spans="1:125" ht="15" customHeight="1" x14ac:dyDescent="0.2">
      <c r="A5" s="1235">
        <v>2</v>
      </c>
      <c r="B5" s="684">
        <v>0.438</v>
      </c>
      <c r="C5" s="684">
        <v>8.0000000000000002E-3</v>
      </c>
      <c r="D5" s="684">
        <v>0.44600000000000001</v>
      </c>
      <c r="E5" s="684">
        <v>0.53200000000000003</v>
      </c>
      <c r="F5" s="684">
        <v>6.0000000000000001E-3</v>
      </c>
      <c r="G5" s="684">
        <v>0.53800000000000003</v>
      </c>
      <c r="H5" s="684">
        <v>0.436</v>
      </c>
      <c r="I5" s="684">
        <v>6.0000000000000001E-3</v>
      </c>
      <c r="J5" s="684">
        <v>0.442</v>
      </c>
      <c r="K5" s="1244">
        <v>0.58799999999999997</v>
      </c>
      <c r="L5" s="1244">
        <v>6.0000000000000001E-3</v>
      </c>
      <c r="M5" s="1244">
        <v>0.59399999999999997</v>
      </c>
      <c r="N5" s="684">
        <v>0.53800000000000003</v>
      </c>
      <c r="O5" s="684">
        <v>6.0000000000000001E-3</v>
      </c>
      <c r="P5" s="684">
        <v>0.54400000000000004</v>
      </c>
      <c r="Q5" s="1240">
        <v>0.01</v>
      </c>
      <c r="R5" s="646">
        <v>0.01</v>
      </c>
      <c r="S5" s="646">
        <v>0.01</v>
      </c>
      <c r="T5" s="1240">
        <v>0.01</v>
      </c>
      <c r="U5" s="1240">
        <v>0.01</v>
      </c>
      <c r="V5" s="1244">
        <v>5.1999999999999998E-2</v>
      </c>
      <c r="W5" s="1244">
        <v>5.6000000000000001E-2</v>
      </c>
      <c r="X5" s="1244">
        <v>0.14000000000000001</v>
      </c>
      <c r="Y5" s="1244">
        <v>0.13400000000000001</v>
      </c>
      <c r="Z5" s="1244">
        <v>9.6000000000000002E-2</v>
      </c>
      <c r="AA5" s="1244">
        <v>0.29599999999999999</v>
      </c>
      <c r="AB5" s="1244">
        <v>0.108</v>
      </c>
      <c r="AC5" s="1244">
        <v>0.318</v>
      </c>
      <c r="AD5" s="1244">
        <v>3.5999999999999997E-2</v>
      </c>
      <c r="AE5" s="749">
        <v>0.36</v>
      </c>
      <c r="AF5" s="1244">
        <v>4.8000000000000001E-2</v>
      </c>
      <c r="AG5" s="1244">
        <v>0.34</v>
      </c>
      <c r="AH5" s="1240">
        <v>0.02</v>
      </c>
      <c r="AI5" s="1244">
        <v>0.38400000000000001</v>
      </c>
      <c r="AJ5" s="1244">
        <v>4.0000000000000001E-3</v>
      </c>
      <c r="AK5" s="1244">
        <v>0.64800000000000002</v>
      </c>
      <c r="AL5" s="1244">
        <v>0.126</v>
      </c>
      <c r="AM5" s="1244">
        <v>0.65800000000000003</v>
      </c>
      <c r="AS5" s="1254" t="s">
        <v>1516</v>
      </c>
      <c r="AT5" s="1252" t="str">
        <f>IF('Upper Extremity-Right'!T20="","",'Upper Extremity-Right'!T20)</f>
        <v/>
      </c>
      <c r="AU5" s="1252" t="str">
        <f t="shared" si="0"/>
        <v/>
      </c>
      <c r="AV5" s="243">
        <f>IF(AU5="",0,VLOOKUP(AU5,$A$3:$AM$153,4))</f>
        <v>0</v>
      </c>
      <c r="BC5" s="1240" t="s">
        <v>1516</v>
      </c>
      <c r="BD5" s="821" t="str">
        <f>IF('Upper Extremity-Left'!T20="","",'Upper Extremity-Left'!T20)</f>
        <v/>
      </c>
      <c r="BE5" s="1243" t="str">
        <f>IF(BD5="","",ROUND(BD5,0))</f>
        <v/>
      </c>
      <c r="BF5" s="243">
        <f>IF(BE5="",0,VLOOKUP(BE5,$A$3:$AM$153,4))</f>
        <v>0</v>
      </c>
      <c r="BG5" s="74"/>
      <c r="BH5" s="19"/>
    </row>
    <row r="6" spans="1:125" ht="15" customHeight="1" x14ac:dyDescent="0.2">
      <c r="A6" s="1235">
        <v>3</v>
      </c>
      <c r="B6" s="684">
        <v>0.432</v>
      </c>
      <c r="C6" s="684">
        <v>1.2E-2</v>
      </c>
      <c r="D6" s="684">
        <v>0.44400000000000001</v>
      </c>
      <c r="E6" s="684">
        <v>0.52300000000000002</v>
      </c>
      <c r="F6" s="684">
        <v>8.9999999999999993E-3</v>
      </c>
      <c r="G6" s="684">
        <v>0.53200000000000003</v>
      </c>
      <c r="H6" s="684">
        <v>0.42899999999999999</v>
      </c>
      <c r="I6" s="684">
        <v>8.9999999999999993E-3</v>
      </c>
      <c r="J6" s="684">
        <v>0.438</v>
      </c>
      <c r="K6" s="1244">
        <v>0.58199999999999996</v>
      </c>
      <c r="L6" s="1244">
        <v>8.9999999999999993E-3</v>
      </c>
      <c r="M6" s="1244">
        <v>0.59099999999999997</v>
      </c>
      <c r="N6" s="684">
        <v>0.53200000000000003</v>
      </c>
      <c r="O6" s="684">
        <v>8.9999999999999993E-3</v>
      </c>
      <c r="P6" s="684">
        <v>0.54100000000000004</v>
      </c>
      <c r="Q6" s="1240">
        <v>0.01</v>
      </c>
      <c r="R6" s="646">
        <v>0.01</v>
      </c>
      <c r="S6" s="646">
        <v>0.01</v>
      </c>
      <c r="T6" s="1240">
        <v>0.01</v>
      </c>
      <c r="U6" s="1240">
        <v>0.01</v>
      </c>
      <c r="V6" s="1244">
        <v>4.8000000000000001E-2</v>
      </c>
      <c r="W6" s="1244">
        <v>5.3999999999999999E-2</v>
      </c>
      <c r="X6" s="1244">
        <v>0.15</v>
      </c>
      <c r="Y6" s="1244">
        <v>0.14099999999999999</v>
      </c>
      <c r="Z6" s="1244">
        <v>9.4E-2</v>
      </c>
      <c r="AA6" s="1244">
        <v>0.29399999999999998</v>
      </c>
      <c r="AB6" s="1244">
        <v>0.107</v>
      </c>
      <c r="AC6" s="1244">
        <v>0.32700000000000001</v>
      </c>
      <c r="AD6" s="1244">
        <v>3.4000000000000002E-2</v>
      </c>
      <c r="AE6" s="749">
        <v>0.39</v>
      </c>
      <c r="AF6" s="1244">
        <v>4.7E-2</v>
      </c>
      <c r="AG6" s="1244">
        <v>0.36</v>
      </c>
      <c r="AH6" s="1240">
        <v>0.03</v>
      </c>
      <c r="AI6" s="1244">
        <v>0.38100000000000001</v>
      </c>
      <c r="AJ6" s="1244">
        <v>6.0000000000000001E-3</v>
      </c>
      <c r="AK6" s="1244">
        <v>0.64700000000000002</v>
      </c>
      <c r="AL6" s="1244">
        <v>0.124</v>
      </c>
      <c r="AM6" s="1244">
        <v>0.66200000000000003</v>
      </c>
      <c r="BC6" s="1240"/>
      <c r="BD6" s="74"/>
      <c r="BE6" s="74"/>
      <c r="BG6" s="74"/>
      <c r="BH6" s="19"/>
    </row>
    <row r="7" spans="1:125" ht="15" customHeight="1" x14ac:dyDescent="0.2">
      <c r="A7" s="1235">
        <v>4</v>
      </c>
      <c r="B7" s="684">
        <v>0.42599999999999999</v>
      </c>
      <c r="C7" s="684">
        <v>1.6E-2</v>
      </c>
      <c r="D7" s="684">
        <v>0.442</v>
      </c>
      <c r="E7" s="684">
        <v>0.51400000000000001</v>
      </c>
      <c r="F7" s="684">
        <v>1.2E-2</v>
      </c>
      <c r="G7" s="684">
        <v>0.52600000000000002</v>
      </c>
      <c r="H7" s="684">
        <v>0.42199999999999999</v>
      </c>
      <c r="I7" s="684">
        <v>1.2E-2</v>
      </c>
      <c r="J7" s="684">
        <v>0.434</v>
      </c>
      <c r="K7" s="1244">
        <v>0.57599999999999996</v>
      </c>
      <c r="L7" s="1244">
        <v>1.2E-2</v>
      </c>
      <c r="M7" s="1244">
        <v>0.58799999999999997</v>
      </c>
      <c r="N7" s="684">
        <v>0.52600000000000002</v>
      </c>
      <c r="O7" s="684">
        <v>1.2E-2</v>
      </c>
      <c r="P7" s="684">
        <v>0.53800000000000003</v>
      </c>
      <c r="Q7" s="1240">
        <v>0.02</v>
      </c>
      <c r="R7" s="646">
        <v>0.01</v>
      </c>
      <c r="S7" s="646">
        <v>0.01</v>
      </c>
      <c r="T7" s="1240">
        <v>0.01</v>
      </c>
      <c r="U7" s="1240">
        <v>0.01</v>
      </c>
      <c r="V7" s="1244">
        <v>4.3999999999999997E-2</v>
      </c>
      <c r="W7" s="1244">
        <v>5.1999999999999998E-2</v>
      </c>
      <c r="X7" s="1261">
        <v>0.16</v>
      </c>
      <c r="Y7" s="1244">
        <v>0.14799999999999999</v>
      </c>
      <c r="Z7" s="1244">
        <v>9.1999999999999998E-2</v>
      </c>
      <c r="AA7" s="1244">
        <v>0.29199999999999998</v>
      </c>
      <c r="AB7" s="1244">
        <v>0.106</v>
      </c>
      <c r="AC7" s="1244">
        <v>0.33600000000000002</v>
      </c>
      <c r="AD7" s="1244">
        <v>3.2000000000000001E-2</v>
      </c>
      <c r="AE7" s="749">
        <v>0.42</v>
      </c>
      <c r="AF7" s="1244">
        <v>4.5999999999999999E-2</v>
      </c>
      <c r="AG7" s="1244">
        <v>0.38</v>
      </c>
      <c r="AH7" s="1240">
        <v>0.04</v>
      </c>
      <c r="AI7" s="1244">
        <v>0.378</v>
      </c>
      <c r="AJ7" s="1244">
        <v>8.0000000000000002E-3</v>
      </c>
      <c r="AK7" s="1244">
        <v>0.64600000000000002</v>
      </c>
      <c r="AL7" s="1244">
        <v>0.122</v>
      </c>
      <c r="AM7" s="1244">
        <v>0.66600000000000004</v>
      </c>
      <c r="AS7" s="1254" t="s">
        <v>1517</v>
      </c>
      <c r="AT7" s="1252" t="str">
        <f>IF('Upper Extremity-Right'!T23="","",'Upper Extremity-Right'!T23)</f>
        <v/>
      </c>
      <c r="AU7" s="1252" t="str">
        <f t="shared" si="0"/>
        <v/>
      </c>
      <c r="AV7" s="243">
        <f>IF(AU7="",0,VLOOKUP(AU7,$A$3:$AM$153,5))</f>
        <v>0</v>
      </c>
      <c r="AX7" s="1254" t="s">
        <v>1422</v>
      </c>
      <c r="AY7" s="1252" t="str">
        <f>IF('Upper Extremity-Right'!V23="","",'Upper Extremity-Right'!V23)</f>
        <v/>
      </c>
      <c r="AZ7" s="1252" t="str">
        <f>IF(AY7="","",ROUND(AY7,0))</f>
        <v/>
      </c>
      <c r="BA7" s="243">
        <f>IF(AZ7="",0,VLOOKUP(AZ7,$A$3:$AM$153,5))</f>
        <v>0</v>
      </c>
      <c r="BC7" s="1240" t="s">
        <v>1517</v>
      </c>
      <c r="BD7" s="821" t="str">
        <f>IF('Upper Extremity-Left'!T23="","",'Upper Extremity-Left'!T23)</f>
        <v/>
      </c>
      <c r="BE7" s="1243" t="str">
        <f>IF(BD7="","",ROUND(BD7,0))</f>
        <v/>
      </c>
      <c r="BF7" s="243">
        <f>IF(BE7="",0,VLOOKUP(BE7,$A$3:$AM$153,5))</f>
        <v>0</v>
      </c>
      <c r="BG7" s="74"/>
      <c r="BH7" s="1240" t="s">
        <v>1422</v>
      </c>
      <c r="BI7" s="1243" t="str">
        <f>IF('Upper Extremity-Left'!V23="","",'Upper Extremity-Left'!V23)</f>
        <v/>
      </c>
      <c r="BJ7" s="1243" t="str">
        <f>IF(BI7="","",ROUND(BI7,0))</f>
        <v/>
      </c>
      <c r="BK7" s="243">
        <f>IF(BJ7="",0,VLOOKUP(BJ7,$A$3:$AM$153,5))</f>
        <v>0</v>
      </c>
    </row>
    <row r="8" spans="1:125" ht="15" customHeight="1" x14ac:dyDescent="0.2">
      <c r="A8" s="1235">
        <v>5</v>
      </c>
      <c r="B8" s="684">
        <v>0.42</v>
      </c>
      <c r="C8" s="684">
        <v>0.02</v>
      </c>
      <c r="D8" s="684">
        <v>0.44</v>
      </c>
      <c r="E8" s="684">
        <v>0.505</v>
      </c>
      <c r="F8" s="684">
        <v>1.4999999999999999E-2</v>
      </c>
      <c r="G8" s="684">
        <v>0.52</v>
      </c>
      <c r="H8" s="684">
        <v>0.41499999999999998</v>
      </c>
      <c r="I8" s="684">
        <v>1.4999999999999999E-2</v>
      </c>
      <c r="J8" s="684">
        <v>0.43</v>
      </c>
      <c r="K8" s="1244">
        <v>0.56999999999999995</v>
      </c>
      <c r="L8" s="1244">
        <v>1.4999999999999999E-2</v>
      </c>
      <c r="M8" s="1244">
        <v>0.58499999999999996</v>
      </c>
      <c r="N8" s="684">
        <v>0.52</v>
      </c>
      <c r="O8" s="684">
        <v>1.4999999999999999E-2</v>
      </c>
      <c r="P8" s="684">
        <v>0.53500000000000003</v>
      </c>
      <c r="Q8" s="1240">
        <v>0.02</v>
      </c>
      <c r="R8" s="646">
        <v>0.01</v>
      </c>
      <c r="S8" s="646">
        <v>0.01</v>
      </c>
      <c r="T8" s="1240">
        <v>0.01</v>
      </c>
      <c r="U8" s="1240">
        <v>0.01</v>
      </c>
      <c r="V8" s="1244">
        <v>0.04</v>
      </c>
      <c r="W8" s="1244">
        <v>0.05</v>
      </c>
      <c r="X8" s="1261">
        <v>0.17</v>
      </c>
      <c r="Y8" s="1244">
        <v>0.155</v>
      </c>
      <c r="Z8" s="1244">
        <v>0.09</v>
      </c>
      <c r="AA8" s="1244">
        <v>0.28999999999999998</v>
      </c>
      <c r="AB8" s="1244">
        <v>0.105</v>
      </c>
      <c r="AC8" s="1244">
        <v>0.34499999999999997</v>
      </c>
      <c r="AD8" s="1261">
        <v>0.03</v>
      </c>
      <c r="AE8" s="1262">
        <v>0.45</v>
      </c>
      <c r="AF8" s="1244">
        <v>4.4999999999999998E-2</v>
      </c>
      <c r="AG8" s="1244">
        <v>0.4</v>
      </c>
      <c r="AH8" s="1240">
        <v>0.04</v>
      </c>
      <c r="AI8" s="1244">
        <v>0.375</v>
      </c>
      <c r="AJ8" s="1244">
        <v>0.01</v>
      </c>
      <c r="AK8" s="1244">
        <v>0.64500000000000002</v>
      </c>
      <c r="AL8" s="1244">
        <v>0.12</v>
      </c>
      <c r="AM8" s="1244">
        <v>0.67</v>
      </c>
      <c r="AS8" s="1254" t="s">
        <v>1518</v>
      </c>
      <c r="AT8" s="1252" t="str">
        <f>IF('Upper Extremity-Right'!T24="","",'Upper Extremity-Right'!T24)</f>
        <v/>
      </c>
      <c r="AU8" s="1252" t="str">
        <f t="shared" si="0"/>
        <v/>
      </c>
      <c r="AV8" s="243">
        <f>IF(AU8="",0,VLOOKUP(AU8,$A$3:$AM$153,6))</f>
        <v>0</v>
      </c>
      <c r="AX8" s="1254" t="s">
        <v>1422</v>
      </c>
      <c r="AY8" s="1252" t="str">
        <f>IF('Upper Extremity-Right'!V24="","",'Upper Extremity-Right'!V24)</f>
        <v/>
      </c>
      <c r="AZ8" s="1252" t="str">
        <f>IF(AY8="","",ROUND(AY8,0))</f>
        <v/>
      </c>
      <c r="BA8" s="243">
        <f>IF(AZ8="",0,VLOOKUP(AZ8,$A$3:$AM$153,6))</f>
        <v>0</v>
      </c>
      <c r="BC8" s="1240" t="s">
        <v>1518</v>
      </c>
      <c r="BD8" s="821" t="str">
        <f>IF('Upper Extremity-Left'!T24="","",'Upper Extremity-Left'!T24)</f>
        <v/>
      </c>
      <c r="BE8" s="1243" t="str">
        <f>IF(BD8="","",ROUND(BD8,0))</f>
        <v/>
      </c>
      <c r="BF8" s="243">
        <f>IF(BE8="",0,VLOOKUP(BE8,$A$3:$AM$153,6))</f>
        <v>0</v>
      </c>
      <c r="BG8" s="74"/>
      <c r="BH8" s="1240" t="s">
        <v>1422</v>
      </c>
      <c r="BI8" s="1243" t="str">
        <f>IF('Upper Extremity-Left'!V24="","",'Upper Extremity-Left'!V24)</f>
        <v/>
      </c>
      <c r="BJ8" s="1243" t="str">
        <f>IF(BI8="","",ROUND(BI8,0))</f>
        <v/>
      </c>
      <c r="BK8" s="243">
        <f>IF(BJ8="",0,VLOOKUP(BJ8,$A$3:$AM$153,6))</f>
        <v>0</v>
      </c>
    </row>
    <row r="9" spans="1:125" ht="15" customHeight="1" x14ac:dyDescent="0.2">
      <c r="A9" s="1235">
        <v>6</v>
      </c>
      <c r="B9" s="684">
        <v>0.41399999999999998</v>
      </c>
      <c r="C9" s="684">
        <v>2.4E-2</v>
      </c>
      <c r="D9" s="684">
        <v>0.438</v>
      </c>
      <c r="E9" s="684">
        <v>0.496</v>
      </c>
      <c r="F9" s="684">
        <v>1.7999999999999999E-2</v>
      </c>
      <c r="G9" s="684">
        <v>0.51400000000000001</v>
      </c>
      <c r="H9" s="684">
        <v>0.40799999999999997</v>
      </c>
      <c r="I9" s="684">
        <v>1.7999999999999999E-2</v>
      </c>
      <c r="J9" s="684">
        <v>0.42599999999999999</v>
      </c>
      <c r="K9" s="1244">
        <v>0.56399999999999995</v>
      </c>
      <c r="L9" s="1244">
        <v>1.7999999999999999E-2</v>
      </c>
      <c r="M9" s="1244">
        <v>0.58199999999999996</v>
      </c>
      <c r="N9" s="684">
        <v>0.51400000000000001</v>
      </c>
      <c r="O9" s="684">
        <v>1.7999999999999999E-2</v>
      </c>
      <c r="P9" s="684">
        <v>0.53200000000000003</v>
      </c>
      <c r="Q9" s="1240">
        <v>0.02</v>
      </c>
      <c r="R9" s="646">
        <v>0.01</v>
      </c>
      <c r="S9" s="646">
        <v>0.01</v>
      </c>
      <c r="T9" s="1240">
        <v>0.01</v>
      </c>
      <c r="U9" s="1240">
        <v>0.01</v>
      </c>
      <c r="V9" s="1244">
        <v>3.5999999999999997E-2</v>
      </c>
      <c r="W9" s="1261">
        <v>4.8000000000000001E-2</v>
      </c>
      <c r="X9" s="1261">
        <v>0.18</v>
      </c>
      <c r="Y9" s="1261">
        <v>0.16200000000000001</v>
      </c>
      <c r="Z9" s="1244">
        <v>8.7999999999999995E-2</v>
      </c>
      <c r="AA9" s="1244">
        <v>0.28799999999999998</v>
      </c>
      <c r="AB9" s="1244">
        <v>0.104</v>
      </c>
      <c r="AC9" s="1244">
        <v>0.35399999999999998</v>
      </c>
      <c r="AD9" s="1244">
        <v>2.8000000000000001E-2</v>
      </c>
      <c r="AE9" s="749">
        <v>0.48</v>
      </c>
      <c r="AF9" s="1261">
        <v>4.3999999999999997E-2</v>
      </c>
      <c r="AG9" s="1244">
        <v>0.42</v>
      </c>
      <c r="AH9" s="1240">
        <v>0.05</v>
      </c>
      <c r="AI9" s="1244">
        <v>0.372</v>
      </c>
      <c r="AJ9" s="1244">
        <v>1.2E-2</v>
      </c>
      <c r="AK9" s="1244">
        <v>0.64400000000000002</v>
      </c>
      <c r="AL9" s="1244">
        <v>0.11799999999999999</v>
      </c>
      <c r="AM9" s="1244">
        <v>0.67400000000000004</v>
      </c>
      <c r="AS9" s="1254" t="s">
        <v>1519</v>
      </c>
      <c r="AT9" s="1252" t="str">
        <f>IF('Upper Extremity-Right'!T25="","",'Upper Extremity-Right'!T25)</f>
        <v/>
      </c>
      <c r="AU9" s="1252" t="str">
        <f t="shared" si="0"/>
        <v/>
      </c>
      <c r="AV9" s="243">
        <f>IF(AU9="",0,VLOOKUP(AU9,$A$3:$AM$153,7))</f>
        <v>0</v>
      </c>
      <c r="BC9" s="1254" t="s">
        <v>1519</v>
      </c>
      <c r="BD9" s="821" t="str">
        <f>IF('Upper Extremity-Left'!T25="","",'Upper Extremity-Left'!T25)</f>
        <v/>
      </c>
      <c r="BE9" s="1243" t="str">
        <f>IF(BD9="","",ROUND(BD9,0))</f>
        <v/>
      </c>
      <c r="BF9" s="243">
        <f>IF(BE9="",0,VLOOKUP(BE9,$A$3:$AM$153,7))</f>
        <v>0</v>
      </c>
      <c r="BG9" s="74"/>
      <c r="BH9" s="19"/>
    </row>
    <row r="10" spans="1:125" ht="15" customHeight="1" x14ac:dyDescent="0.2">
      <c r="A10" s="1235">
        <v>7</v>
      </c>
      <c r="B10" s="684">
        <v>0.40799999999999997</v>
      </c>
      <c r="C10" s="684">
        <v>2.8000000000000001E-2</v>
      </c>
      <c r="D10" s="684">
        <v>0.436</v>
      </c>
      <c r="E10" s="684">
        <v>0.48699999999999999</v>
      </c>
      <c r="F10" s="684">
        <v>2.1000000000000001E-2</v>
      </c>
      <c r="G10" s="684">
        <v>0.50800000000000001</v>
      </c>
      <c r="H10" s="684">
        <v>0.40100000000000002</v>
      </c>
      <c r="I10" s="684">
        <v>2.1000000000000001E-2</v>
      </c>
      <c r="J10" s="684">
        <v>0.42199999999999999</v>
      </c>
      <c r="K10" s="1244">
        <v>0.55800000000000005</v>
      </c>
      <c r="L10" s="1244">
        <v>2.1000000000000001E-2</v>
      </c>
      <c r="M10" s="1244">
        <v>0.57899999999999996</v>
      </c>
      <c r="N10" s="684">
        <v>0.50800000000000001</v>
      </c>
      <c r="O10" s="684">
        <v>2.1000000000000001E-2</v>
      </c>
      <c r="P10" s="684">
        <v>0.52900000000000003</v>
      </c>
      <c r="Q10" s="1240">
        <v>0.03</v>
      </c>
      <c r="R10" s="646">
        <v>0.02</v>
      </c>
      <c r="S10" s="646">
        <v>0.02</v>
      </c>
      <c r="T10" s="1240">
        <v>0.01</v>
      </c>
      <c r="U10" s="1240">
        <v>0.01</v>
      </c>
      <c r="V10" s="1244">
        <v>3.2000000000000001E-2</v>
      </c>
      <c r="W10" s="1244">
        <v>4.5999999999999999E-2</v>
      </c>
      <c r="X10" s="1244">
        <v>0.19</v>
      </c>
      <c r="Y10" s="1244">
        <v>0.16900000000000001</v>
      </c>
      <c r="Z10" s="1244">
        <v>8.5999999999999993E-2</v>
      </c>
      <c r="AA10" s="1244">
        <v>0.28599999999999998</v>
      </c>
      <c r="AB10" s="1244">
        <v>0.10299999999999999</v>
      </c>
      <c r="AC10" s="1244">
        <v>0.36299999999999999</v>
      </c>
      <c r="AD10" s="1244">
        <v>2.5999999999999999E-2</v>
      </c>
      <c r="AE10" s="749">
        <v>0.51</v>
      </c>
      <c r="AF10" s="1244">
        <v>4.2999999999999997E-2</v>
      </c>
      <c r="AG10" s="1244">
        <v>0.44</v>
      </c>
      <c r="AH10" s="1240">
        <v>0.06</v>
      </c>
      <c r="AI10" s="1244">
        <v>0.36899999999999999</v>
      </c>
      <c r="AJ10" s="1244">
        <v>1.4E-2</v>
      </c>
      <c r="AK10" s="1244">
        <v>0.64300000000000002</v>
      </c>
      <c r="AL10" s="1244">
        <v>0.11600000000000001</v>
      </c>
      <c r="AM10" s="1244">
        <v>0.67800000000000005</v>
      </c>
      <c r="BC10" s="729"/>
      <c r="BD10" s="74"/>
      <c r="BE10" s="74"/>
      <c r="BG10" s="74"/>
      <c r="BH10" s="19"/>
    </row>
    <row r="11" spans="1:125" ht="15" customHeight="1" x14ac:dyDescent="0.2">
      <c r="A11" s="1235">
        <v>8</v>
      </c>
      <c r="B11" s="684">
        <v>0.40200000000000002</v>
      </c>
      <c r="C11" s="684">
        <v>3.2000000000000001E-2</v>
      </c>
      <c r="D11" s="684">
        <v>0.434</v>
      </c>
      <c r="E11" s="684">
        <v>0.47799999999999998</v>
      </c>
      <c r="F11" s="684">
        <v>2.4E-2</v>
      </c>
      <c r="G11" s="684">
        <v>0.502</v>
      </c>
      <c r="H11" s="684">
        <v>0.39400000000000002</v>
      </c>
      <c r="I11" s="684">
        <v>2.4E-2</v>
      </c>
      <c r="J11" s="684">
        <v>0.41799999999999998</v>
      </c>
      <c r="K11" s="1244">
        <v>0.55200000000000005</v>
      </c>
      <c r="L11" s="1244">
        <v>2.4E-2</v>
      </c>
      <c r="M11" s="1244">
        <v>0.57599999999999996</v>
      </c>
      <c r="N11" s="684">
        <v>0.502</v>
      </c>
      <c r="O11" s="684">
        <v>2.4E-2</v>
      </c>
      <c r="P11" s="684">
        <v>0.52600000000000002</v>
      </c>
      <c r="Q11" s="1240">
        <v>0.03</v>
      </c>
      <c r="R11" s="646">
        <v>0.02</v>
      </c>
      <c r="S11" s="1242">
        <v>0.02</v>
      </c>
      <c r="T11" s="1240">
        <v>0.01</v>
      </c>
      <c r="U11" s="1240">
        <v>0.01</v>
      </c>
      <c r="V11" s="1244">
        <v>2.8000000000000001E-2</v>
      </c>
      <c r="W11" s="1244">
        <v>4.3999999999999997E-2</v>
      </c>
      <c r="X11" s="1244">
        <v>0.2</v>
      </c>
      <c r="Y11" s="1244">
        <v>0.17599999999999999</v>
      </c>
      <c r="Z11" s="1244">
        <v>8.4000000000000005E-2</v>
      </c>
      <c r="AA11" s="1244">
        <v>0.28399999999999997</v>
      </c>
      <c r="AB11" s="1244">
        <v>0.10199999999999999</v>
      </c>
      <c r="AC11" s="1244">
        <v>0.372</v>
      </c>
      <c r="AD11" s="1244">
        <v>2.4E-2</v>
      </c>
      <c r="AE11" s="749">
        <v>0.54</v>
      </c>
      <c r="AF11" s="1244">
        <v>4.2000000000000003E-2</v>
      </c>
      <c r="AG11" s="1244">
        <v>0.46</v>
      </c>
      <c r="AH11" s="1240">
        <v>7.0000000000000007E-2</v>
      </c>
      <c r="AI11" s="1244">
        <v>0.36599999999999999</v>
      </c>
      <c r="AJ11" s="1244">
        <v>1.6E-2</v>
      </c>
      <c r="AK11" s="1244">
        <v>0.64200000000000002</v>
      </c>
      <c r="AL11" s="1244">
        <v>0.114</v>
      </c>
      <c r="AM11" s="1244">
        <v>0.68200000000000005</v>
      </c>
      <c r="AS11" s="1254" t="s">
        <v>146</v>
      </c>
      <c r="BC11" s="1254" t="s">
        <v>146</v>
      </c>
      <c r="BD11" s="74"/>
      <c r="BE11" s="74"/>
      <c r="BG11" s="74"/>
      <c r="BH11" s="19"/>
    </row>
    <row r="12" spans="1:125" ht="15" customHeight="1" x14ac:dyDescent="0.2">
      <c r="A12" s="1235">
        <v>9</v>
      </c>
      <c r="B12" s="684">
        <v>0.39600000000000002</v>
      </c>
      <c r="C12" s="684">
        <v>3.5999999999999997E-2</v>
      </c>
      <c r="D12" s="684">
        <v>0.432</v>
      </c>
      <c r="E12" s="684">
        <v>0.46899999999999997</v>
      </c>
      <c r="F12" s="684">
        <v>2.7E-2</v>
      </c>
      <c r="G12" s="684">
        <v>0.496</v>
      </c>
      <c r="H12" s="684">
        <v>0.38700000000000001</v>
      </c>
      <c r="I12" s="684">
        <v>2.7E-2</v>
      </c>
      <c r="J12" s="684">
        <v>0.41399999999999998</v>
      </c>
      <c r="K12" s="1244">
        <v>0.54600000000000004</v>
      </c>
      <c r="L12" s="1244">
        <v>2.7E-2</v>
      </c>
      <c r="M12" s="1244">
        <v>0.57299999999999995</v>
      </c>
      <c r="N12" s="684">
        <v>0.496</v>
      </c>
      <c r="O12" s="684">
        <v>2.7E-2</v>
      </c>
      <c r="P12" s="684">
        <v>0.52300000000000002</v>
      </c>
      <c r="Q12" s="1240">
        <v>0.03</v>
      </c>
      <c r="R12" s="646">
        <v>0.02</v>
      </c>
      <c r="S12" s="1242">
        <v>0.02</v>
      </c>
      <c r="T12" s="1240">
        <v>0.01</v>
      </c>
      <c r="U12" s="1240">
        <v>0.01</v>
      </c>
      <c r="V12" s="1244">
        <v>2.4E-2</v>
      </c>
      <c r="W12" s="1244">
        <v>4.2000000000000003E-2</v>
      </c>
      <c r="X12" s="1244">
        <v>0.21</v>
      </c>
      <c r="Y12" s="1244">
        <v>0.183</v>
      </c>
      <c r="Z12" s="1244">
        <v>8.2000000000000003E-2</v>
      </c>
      <c r="AA12" s="1244">
        <v>0.28199999999999997</v>
      </c>
      <c r="AB12" s="1244">
        <v>0.10100000000000001</v>
      </c>
      <c r="AC12" s="1244">
        <v>0.38100000000000001</v>
      </c>
      <c r="AD12" s="1244">
        <v>2.1999999999999999E-2</v>
      </c>
      <c r="AE12" s="749">
        <v>0.56999999999999995</v>
      </c>
      <c r="AF12" s="1244">
        <v>4.1000000000000002E-2</v>
      </c>
      <c r="AG12" s="1244">
        <v>0.48</v>
      </c>
      <c r="AH12" s="1240">
        <v>0.08</v>
      </c>
      <c r="AI12" s="1244">
        <v>0.36299999999999999</v>
      </c>
      <c r="AJ12" s="1244">
        <v>1.7999999999999999E-2</v>
      </c>
      <c r="AK12" s="1244">
        <v>0.64100000000000001</v>
      </c>
      <c r="AL12" s="1244">
        <v>0.112</v>
      </c>
      <c r="AM12" s="1244">
        <v>0.68600000000000005</v>
      </c>
      <c r="AS12" s="1254" t="s">
        <v>1520</v>
      </c>
      <c r="AT12" s="1252" t="str">
        <f>IF('Upper Extremity-Right'!T91="","",'Upper Extremity-Right'!T91)</f>
        <v/>
      </c>
      <c r="AU12" s="1252" t="str">
        <f t="shared" si="0"/>
        <v/>
      </c>
      <c r="AV12" s="243">
        <f>IF(AU12="",0,VLOOKUP(AU12,$A$3:$AM$153,8))</f>
        <v>0</v>
      </c>
      <c r="AX12" s="1254" t="s">
        <v>163</v>
      </c>
      <c r="AY12" s="1252" t="str">
        <f>IF('Upper Extremity-Right'!V91="","",'Upper Extremity-Right'!V91)</f>
        <v/>
      </c>
      <c r="AZ12" s="1252" t="str">
        <f>IF(AY12="","",ROUND(AY12,0))</f>
        <v/>
      </c>
      <c r="BA12" s="243">
        <f>IF(AZ12="",0,VLOOKUP(AZ12,$A$3:$AM$153,8))</f>
        <v>0</v>
      </c>
      <c r="BC12" s="1240" t="s">
        <v>1520</v>
      </c>
      <c r="BD12" s="821" t="str">
        <f>IF('Upper Extremity-Left'!T91="","",'Upper Extremity-Left'!T91)</f>
        <v/>
      </c>
      <c r="BE12" s="1243" t="str">
        <f>IF(BD12="","",ROUND(BD12,0))</f>
        <v/>
      </c>
      <c r="BF12" s="243">
        <f>IF(BE12="",0,VLOOKUP(BE12,$A$3:$AM$153,8))</f>
        <v>0</v>
      </c>
      <c r="BG12" s="74"/>
      <c r="BH12" s="1240" t="s">
        <v>163</v>
      </c>
      <c r="BI12" s="1243" t="str">
        <f>IF('Upper Extremity-Left'!V91="","",'Upper Extremity-Left'!V91)</f>
        <v/>
      </c>
      <c r="BJ12" s="1243" t="str">
        <f>IF(BI12="","",ROUND(BI12,0))</f>
        <v/>
      </c>
      <c r="BK12" s="243">
        <f>IF(BJ12="",0,VLOOKUP(BJ12,$A$3:$AM$153,8))</f>
        <v>0</v>
      </c>
    </row>
    <row r="13" spans="1:125" ht="15" customHeight="1" x14ac:dyDescent="0.2">
      <c r="A13" s="1235">
        <v>10</v>
      </c>
      <c r="B13" s="684">
        <v>0.39</v>
      </c>
      <c r="C13" s="684">
        <v>0.04</v>
      </c>
      <c r="D13" s="684">
        <v>0.43</v>
      </c>
      <c r="E13" s="684">
        <v>0.46</v>
      </c>
      <c r="F13" s="684">
        <v>0.03</v>
      </c>
      <c r="G13" s="684">
        <v>0.49</v>
      </c>
      <c r="H13" s="684">
        <v>0.38</v>
      </c>
      <c r="I13" s="684">
        <v>0.03</v>
      </c>
      <c r="J13" s="684">
        <v>0.41</v>
      </c>
      <c r="K13" s="1244">
        <v>0.54</v>
      </c>
      <c r="L13" s="1244">
        <f xml:space="preserve"> 3%</f>
        <v>0.03</v>
      </c>
      <c r="M13" s="1244">
        <f xml:space="preserve"> 57%</f>
        <v>0.56999999999999995</v>
      </c>
      <c r="N13" s="684">
        <v>0.49</v>
      </c>
      <c r="O13" s="684">
        <v>0.03</v>
      </c>
      <c r="P13" s="684">
        <v>0.52</v>
      </c>
      <c r="Q13" s="1240">
        <v>0.04</v>
      </c>
      <c r="R13" s="646">
        <v>0.02</v>
      </c>
      <c r="S13" s="1242">
        <v>0.02</v>
      </c>
      <c r="T13" s="1240">
        <v>0.01</v>
      </c>
      <c r="U13" s="1240">
        <v>0.01</v>
      </c>
      <c r="V13" s="1244">
        <v>0.02</v>
      </c>
      <c r="W13" s="1244">
        <v>0.04</v>
      </c>
      <c r="X13" s="1244">
        <v>0.22</v>
      </c>
      <c r="Y13" s="1244">
        <v>0.19</v>
      </c>
      <c r="Z13" s="1244">
        <v>0.08</v>
      </c>
      <c r="AA13" s="1244">
        <v>0.28000000000000003</v>
      </c>
      <c r="AB13" s="1244">
        <v>0.1</v>
      </c>
      <c r="AC13" s="1244">
        <v>0.39</v>
      </c>
      <c r="AD13" s="1244">
        <v>0.02</v>
      </c>
      <c r="AE13" s="749">
        <v>0.6</v>
      </c>
      <c r="AF13" s="1244">
        <v>0.04</v>
      </c>
      <c r="AG13" s="1244">
        <v>0.5</v>
      </c>
      <c r="AH13" s="1240">
        <v>0.08</v>
      </c>
      <c r="AI13" s="1244">
        <v>0.36</v>
      </c>
      <c r="AJ13" s="1244">
        <v>0.02</v>
      </c>
      <c r="AK13" s="1244">
        <v>0.64</v>
      </c>
      <c r="AL13" s="1244">
        <v>0.11</v>
      </c>
      <c r="AM13" s="1244">
        <v>0.69</v>
      </c>
      <c r="AS13" s="1254" t="s">
        <v>164</v>
      </c>
      <c r="AT13" s="1252" t="str">
        <f>IF('Upper Extremity-Right'!T92="","",'Upper Extremity-Right'!T92)</f>
        <v/>
      </c>
      <c r="AU13" s="1252" t="str">
        <f t="shared" si="0"/>
        <v/>
      </c>
      <c r="AV13" s="243">
        <f>IF(AU13="",0,VLOOKUP(AU13,$A$3:$AM$153,9))</f>
        <v>0</v>
      </c>
      <c r="AX13" s="1254" t="s">
        <v>163</v>
      </c>
      <c r="AY13" s="1252" t="str">
        <f>IF('Upper Extremity-Right'!V92="","",'Upper Extremity-Right'!V92)</f>
        <v/>
      </c>
      <c r="AZ13" s="1252" t="str">
        <f>IF(AY13="","",ROUND(AY13,0))</f>
        <v/>
      </c>
      <c r="BA13" s="243">
        <f>IF(AZ13="",0,VLOOKUP(AZ13,$A$3:$AM$153,9))</f>
        <v>0</v>
      </c>
      <c r="BC13" s="1240" t="s">
        <v>164</v>
      </c>
      <c r="BD13" s="821" t="str">
        <f>IF('Upper Extremity-Left'!T92="","",'Upper Extremity-Left'!T92)</f>
        <v/>
      </c>
      <c r="BE13" s="1243" t="str">
        <f>IF(BD13="","",ROUND(BD13,0))</f>
        <v/>
      </c>
      <c r="BF13" s="243">
        <f>IF(BE13="",0,VLOOKUP(BE13,$A$3:$AM$153,9))</f>
        <v>0</v>
      </c>
      <c r="BG13" s="74"/>
      <c r="BH13" s="1240" t="s">
        <v>163</v>
      </c>
      <c r="BI13" s="1243" t="str">
        <f>IF('Upper Extremity-Left'!V92="","",'Upper Extremity-Left'!V92)</f>
        <v/>
      </c>
      <c r="BJ13" s="1243" t="str">
        <f>IF(BI13="","",ROUND(BI13,0))</f>
        <v/>
      </c>
      <c r="BK13" s="243">
        <f>IF(BJ13="",0,VLOOKUP(BJ13,$A$3:$AM$153,9))</f>
        <v>0</v>
      </c>
    </row>
    <row r="14" spans="1:125" ht="15" customHeight="1" x14ac:dyDescent="0.2">
      <c r="A14" s="1235">
        <v>11</v>
      </c>
      <c r="B14" s="684">
        <v>0.38500000000000001</v>
      </c>
      <c r="C14" s="684">
        <v>4.2000000000000003E-2</v>
      </c>
      <c r="D14" s="684">
        <v>0.42699999999999999</v>
      </c>
      <c r="E14" s="684">
        <v>0.45100000000000001</v>
      </c>
      <c r="F14" s="684">
        <v>3.3000000000000002E-2</v>
      </c>
      <c r="G14" s="684">
        <v>0.48399999999999999</v>
      </c>
      <c r="H14" s="684">
        <v>0.374</v>
      </c>
      <c r="I14" s="684">
        <v>3.3000000000000002E-2</v>
      </c>
      <c r="J14" s="684">
        <v>0.40699999999999997</v>
      </c>
      <c r="K14" s="1244">
        <v>0.53400000000000003</v>
      </c>
      <c r="L14" s="1244">
        <f xml:space="preserve"> 3.4%</f>
        <v>3.4000000000000002E-2</v>
      </c>
      <c r="M14" s="1244">
        <f xml:space="preserve"> 56.8%</f>
        <v>0.56799999999999995</v>
      </c>
      <c r="N14" s="684">
        <v>0.48399999999999999</v>
      </c>
      <c r="O14" s="684">
        <v>3.2000000000000001E-2</v>
      </c>
      <c r="P14" s="684">
        <v>0.51600000000000001</v>
      </c>
      <c r="Q14" s="1240">
        <v>0.04</v>
      </c>
      <c r="R14" s="646">
        <v>0.02</v>
      </c>
      <c r="S14" s="1242">
        <v>0.02</v>
      </c>
      <c r="T14" s="1240">
        <v>0.01</v>
      </c>
      <c r="U14" s="1240">
        <v>0.01</v>
      </c>
      <c r="V14" s="1244">
        <v>1.6E-2</v>
      </c>
      <c r="W14" s="1244">
        <v>3.7999999999999999E-2</v>
      </c>
      <c r="X14" s="1244">
        <v>0.24</v>
      </c>
      <c r="Y14" s="1244">
        <v>0.19600000000000001</v>
      </c>
      <c r="Z14" s="1244">
        <v>7.8E-2</v>
      </c>
      <c r="AA14" s="1244">
        <v>0.27900000000000003</v>
      </c>
      <c r="AB14" s="1244">
        <v>9.8000000000000004E-2</v>
      </c>
      <c r="AC14" s="1244">
        <v>0.39800000000000002</v>
      </c>
      <c r="AD14" s="1244">
        <v>1.7999999999999999E-2</v>
      </c>
      <c r="AE14" s="749">
        <v>0.63</v>
      </c>
      <c r="AF14" s="1244">
        <v>3.7999999999999999E-2</v>
      </c>
      <c r="AG14" s="1244">
        <v>0.52</v>
      </c>
      <c r="AH14" s="1240">
        <v>0.09</v>
      </c>
      <c r="AI14" s="1244">
        <v>0.35799999999999998</v>
      </c>
      <c r="AJ14" s="1244">
        <v>2.1999999999999999E-2</v>
      </c>
      <c r="AK14" s="1244">
        <v>0.63800000000000001</v>
      </c>
      <c r="AL14" s="1244">
        <v>0.109</v>
      </c>
      <c r="AM14" s="1244">
        <v>0.69399999999999995</v>
      </c>
      <c r="AS14" s="1254" t="s">
        <v>165</v>
      </c>
      <c r="AT14" s="1252" t="str">
        <f>IF('Upper Extremity-Right'!T93="","",'Upper Extremity-Right'!T93)</f>
        <v/>
      </c>
      <c r="AU14" s="1252" t="str">
        <f t="shared" si="0"/>
        <v/>
      </c>
      <c r="AV14" s="243">
        <f>IF(AU14="",0,VLOOKUP(AU14,$A$3:$AM$153,10))</f>
        <v>0</v>
      </c>
      <c r="BC14" s="1240" t="s">
        <v>165</v>
      </c>
      <c r="BD14" s="821" t="str">
        <f>IF('Upper Extremity-Left'!T93="","",'Upper Extremity-Left'!T93)</f>
        <v/>
      </c>
      <c r="BE14" s="1243" t="str">
        <f>IF(BD14="","",ROUND(BD14,0))</f>
        <v/>
      </c>
      <c r="BF14" s="243">
        <f>IF(BE14="",0,VLOOKUP(BE14,$A$3:$AM$153,10))</f>
        <v>0</v>
      </c>
      <c r="BG14" s="74"/>
      <c r="BH14" s="19"/>
    </row>
    <row r="15" spans="1:125" ht="15" customHeight="1" x14ac:dyDescent="0.2">
      <c r="A15" s="1235">
        <v>12</v>
      </c>
      <c r="B15" s="684">
        <v>0.38</v>
      </c>
      <c r="C15" s="684">
        <v>4.3999999999999997E-2</v>
      </c>
      <c r="D15" s="684">
        <v>0.42399999999999999</v>
      </c>
      <c r="E15" s="1261">
        <v>0.442</v>
      </c>
      <c r="F15" s="1261">
        <v>3.5999999999999997E-2</v>
      </c>
      <c r="G15" s="1261">
        <v>0.47799999999999998</v>
      </c>
      <c r="H15" s="684">
        <v>0.36799999999999999</v>
      </c>
      <c r="I15" s="684">
        <v>3.5999999999999997E-2</v>
      </c>
      <c r="J15" s="684">
        <v>0.40400000000000003</v>
      </c>
      <c r="K15" s="1244">
        <v>0.52800000000000002</v>
      </c>
      <c r="L15" s="1244">
        <f xml:space="preserve"> 3.8%</f>
        <v>3.7999999999999999E-2</v>
      </c>
      <c r="M15" s="1244">
        <f xml:space="preserve"> 56.6%</f>
        <v>0.56600000000000006</v>
      </c>
      <c r="N15" s="684">
        <v>0.47799999999999998</v>
      </c>
      <c r="O15" s="684">
        <v>3.4000000000000002E-2</v>
      </c>
      <c r="P15" s="684">
        <v>0.51200000000000001</v>
      </c>
      <c r="Q15" s="1240">
        <v>0.04</v>
      </c>
      <c r="R15" s="646">
        <v>0.02</v>
      </c>
      <c r="S15" s="1242">
        <v>0.02</v>
      </c>
      <c r="T15" s="1240">
        <v>0.01</v>
      </c>
      <c r="U15" s="1240">
        <v>0.01</v>
      </c>
      <c r="V15" s="1244">
        <v>1.2E-2</v>
      </c>
      <c r="W15" s="1244">
        <v>3.5999999999999997E-2</v>
      </c>
      <c r="X15" s="1244">
        <v>0.26</v>
      </c>
      <c r="Y15" s="1244">
        <v>0.20200000000000001</v>
      </c>
      <c r="Z15" s="1261">
        <v>7.5999999999999998E-2</v>
      </c>
      <c r="AA15" s="1261">
        <v>0.27800000000000002</v>
      </c>
      <c r="AB15" s="1244">
        <v>9.6000000000000002E-2</v>
      </c>
      <c r="AC15" s="1244">
        <v>0.40600000000000003</v>
      </c>
      <c r="AD15" s="1244">
        <v>1.6E-2</v>
      </c>
      <c r="AE15" s="749">
        <v>0.66</v>
      </c>
      <c r="AF15" s="1244">
        <v>3.5999999999999997E-2</v>
      </c>
      <c r="AG15" s="1261">
        <v>0.54</v>
      </c>
      <c r="AH15" s="1240">
        <v>0.1</v>
      </c>
      <c r="AI15" s="1244">
        <v>0.35599999999999998</v>
      </c>
      <c r="AJ15" s="1244">
        <v>2.4E-2</v>
      </c>
      <c r="AK15" s="1244">
        <v>0.63600000000000001</v>
      </c>
      <c r="AL15" s="1244">
        <v>0.108</v>
      </c>
      <c r="AM15" s="1244">
        <v>0.69799999999999995</v>
      </c>
      <c r="BC15" s="1240"/>
      <c r="BD15" s="74"/>
      <c r="BE15" s="74"/>
      <c r="BG15" s="74"/>
      <c r="BH15" s="19"/>
    </row>
    <row r="16" spans="1:125" ht="15" customHeight="1" x14ac:dyDescent="0.2">
      <c r="A16" s="1235">
        <v>13</v>
      </c>
      <c r="B16" s="684">
        <v>0.375</v>
      </c>
      <c r="C16" s="684">
        <v>4.5999999999999999E-2</v>
      </c>
      <c r="D16" s="684">
        <v>0.42099999999999999</v>
      </c>
      <c r="E16" s="684">
        <v>0.433</v>
      </c>
      <c r="F16" s="684">
        <v>3.9E-2</v>
      </c>
      <c r="G16" s="684">
        <v>0.47199999999999998</v>
      </c>
      <c r="H16" s="684">
        <v>0.36199999999999999</v>
      </c>
      <c r="I16" s="684">
        <v>3.9E-2</v>
      </c>
      <c r="J16" s="684">
        <v>0.40100000000000002</v>
      </c>
      <c r="K16" s="1244">
        <v>0.52200000000000002</v>
      </c>
      <c r="L16" s="1244">
        <f xml:space="preserve"> 4.2%</f>
        <v>4.2000000000000003E-2</v>
      </c>
      <c r="M16" s="1244">
        <f xml:space="preserve"> 56.4%</f>
        <v>0.56399999999999995</v>
      </c>
      <c r="N16" s="684">
        <v>0.47199999999999998</v>
      </c>
      <c r="O16" s="684">
        <v>3.5999999999999997E-2</v>
      </c>
      <c r="P16" s="684">
        <v>0.50800000000000001</v>
      </c>
      <c r="Q16" s="1240">
        <v>0.05</v>
      </c>
      <c r="R16" s="646">
        <v>0.03</v>
      </c>
      <c r="S16" s="1242">
        <v>0.02</v>
      </c>
      <c r="T16" s="1240">
        <v>0.01</v>
      </c>
      <c r="U16" s="1240">
        <v>0.01</v>
      </c>
      <c r="V16" s="1244">
        <v>8.0000000000000002E-3</v>
      </c>
      <c r="W16" s="1244">
        <v>3.4000000000000002E-2</v>
      </c>
      <c r="X16" s="1244">
        <v>0.28000000000000003</v>
      </c>
      <c r="Y16" s="1244">
        <v>0.20799999999999999</v>
      </c>
      <c r="Z16" s="1244">
        <v>7.3999999999999996E-2</v>
      </c>
      <c r="AA16" s="1244">
        <v>0.27700000000000002</v>
      </c>
      <c r="AB16" s="1244">
        <v>9.4E-2</v>
      </c>
      <c r="AC16" s="1244">
        <v>0.41399999999999998</v>
      </c>
      <c r="AD16" s="1244">
        <v>1.4E-2</v>
      </c>
      <c r="AE16" s="749">
        <v>0.69</v>
      </c>
      <c r="AF16" s="1244">
        <v>3.4000000000000002E-2</v>
      </c>
      <c r="AG16" s="1244">
        <v>0.56000000000000005</v>
      </c>
      <c r="AH16" s="1240">
        <v>0.11</v>
      </c>
      <c r="AI16" s="1244">
        <v>0.35399999999999998</v>
      </c>
      <c r="AJ16" s="1244">
        <v>2.5999999999999999E-2</v>
      </c>
      <c r="AK16" s="1244">
        <v>0.63400000000000001</v>
      </c>
      <c r="AL16" s="1244">
        <v>0.107</v>
      </c>
      <c r="AM16" s="1244">
        <v>0.70199999999999996</v>
      </c>
      <c r="AS16" s="1254" t="s">
        <v>641</v>
      </c>
      <c r="AT16" s="1252" t="str">
        <f>IF('Upper Extremity-Right'!T95="","",'Upper Extremity-Right'!T95)</f>
        <v/>
      </c>
      <c r="AU16" s="1252" t="str">
        <f t="shared" si="0"/>
        <v/>
      </c>
      <c r="AV16" s="243">
        <f>IF(AU16="",0,VLOOKUP(AU16,$A$3:$AM$153,11))</f>
        <v>0</v>
      </c>
      <c r="AX16" s="1254" t="s">
        <v>642</v>
      </c>
      <c r="AY16" s="1252" t="str">
        <f>IF('Upper Extremity-Right'!V95="","",'Upper Extremity-Right'!V95)</f>
        <v/>
      </c>
      <c r="AZ16" s="1252" t="str">
        <f>IF(AY16="","",ROUND(AY16,0))</f>
        <v/>
      </c>
      <c r="BA16" s="243">
        <f>IF(AZ16="",0,VLOOKUP(AZ16,$A$3:$AM$153,11))</f>
        <v>0</v>
      </c>
      <c r="BC16" s="1240" t="s">
        <v>641</v>
      </c>
      <c r="BD16" s="1243" t="str">
        <f>IF('Upper Extremity-Left'!T95="","",'Upper Extremity-Left'!T95)</f>
        <v/>
      </c>
      <c r="BE16" s="1243" t="str">
        <f>IF(BD16="","",ROUND(BD16,0))</f>
        <v/>
      </c>
      <c r="BF16" s="243">
        <f>IF(BE16="",0,VLOOKUP(BE16,$A$3:$AM$153,11))</f>
        <v>0</v>
      </c>
      <c r="BG16" s="74"/>
      <c r="BH16" s="1240" t="s">
        <v>642</v>
      </c>
      <c r="BI16" s="1243" t="str">
        <f>IF('Upper Extremity-Left'!V95="","",'Upper Extremity-Left'!V95)</f>
        <v/>
      </c>
      <c r="BJ16" s="1243" t="str">
        <f>IF(BI16="","",ROUND(BI16,0))</f>
        <v/>
      </c>
      <c r="BK16" s="243">
        <f>IF(BJ16="",0,VLOOKUP(BJ16,$A$3:$AM$153,11))</f>
        <v>0</v>
      </c>
    </row>
    <row r="17" spans="1:63" ht="15" customHeight="1" x14ac:dyDescent="0.2">
      <c r="A17" s="1235">
        <v>14</v>
      </c>
      <c r="B17" s="684">
        <v>0.37</v>
      </c>
      <c r="C17" s="684">
        <v>4.8000000000000001E-2</v>
      </c>
      <c r="D17" s="684">
        <v>0.41799999999999998</v>
      </c>
      <c r="E17" s="684">
        <v>0.42399999999999999</v>
      </c>
      <c r="F17" s="684">
        <v>4.2000000000000003E-2</v>
      </c>
      <c r="G17" s="684">
        <v>0.46600000000000003</v>
      </c>
      <c r="H17" s="1261">
        <v>0.35599999999999998</v>
      </c>
      <c r="I17" s="684">
        <v>4.2000000000000003E-2</v>
      </c>
      <c r="J17" s="1261">
        <v>0.39800000000000002</v>
      </c>
      <c r="K17" s="1244">
        <v>0.51600000000000001</v>
      </c>
      <c r="L17" s="1244">
        <f xml:space="preserve"> 4.6%</f>
        <v>4.5999999999999999E-2</v>
      </c>
      <c r="M17" s="1244">
        <f xml:space="preserve"> 56.2%</f>
        <v>0.56200000000000006</v>
      </c>
      <c r="N17" s="684">
        <v>0.46600000000000003</v>
      </c>
      <c r="O17" s="684">
        <v>3.7999999999999999E-2</v>
      </c>
      <c r="P17" s="684">
        <v>0.504</v>
      </c>
      <c r="Q17" s="1240">
        <v>0.05</v>
      </c>
      <c r="R17" s="646">
        <v>0.03</v>
      </c>
      <c r="S17" s="1242">
        <v>0.03</v>
      </c>
      <c r="T17" s="1240">
        <v>0.01</v>
      </c>
      <c r="U17" s="1240">
        <v>0.01</v>
      </c>
      <c r="V17" s="1244">
        <v>4.0000000000000001E-3</v>
      </c>
      <c r="W17" s="1244">
        <v>3.2000000000000001E-2</v>
      </c>
      <c r="X17" s="1244">
        <v>0.3</v>
      </c>
      <c r="Y17" s="1244">
        <v>0.214</v>
      </c>
      <c r="Z17" s="1244">
        <v>7.1999999999999995E-2</v>
      </c>
      <c r="AA17" s="1244">
        <v>0.27600000000000002</v>
      </c>
      <c r="AB17" s="1244">
        <v>9.1999999999999998E-2</v>
      </c>
      <c r="AC17" s="1244">
        <v>0.42199999999999999</v>
      </c>
      <c r="AD17" s="1244">
        <v>1.2E-2</v>
      </c>
      <c r="AE17" s="749">
        <v>0.72</v>
      </c>
      <c r="AF17" s="1244">
        <v>3.2000000000000001E-2</v>
      </c>
      <c r="AG17" s="1244">
        <v>0.57999999999999996</v>
      </c>
      <c r="AH17" s="1240">
        <v>0.12</v>
      </c>
      <c r="AI17" s="1244">
        <v>0.35199999999999998</v>
      </c>
      <c r="AJ17" s="1244">
        <v>2.8000000000000001E-2</v>
      </c>
      <c r="AK17" s="1244">
        <v>0.63200000000000001</v>
      </c>
      <c r="AL17" s="1244">
        <v>0.106</v>
      </c>
      <c r="AM17" s="1244">
        <v>0.70599999999999996</v>
      </c>
      <c r="AS17" s="1254" t="s">
        <v>455</v>
      </c>
      <c r="AT17" s="1252" t="str">
        <f>IF('Upper Extremity-Right'!T96="","",'Upper Extremity-Right'!T96)</f>
        <v/>
      </c>
      <c r="AU17" s="1252" t="str">
        <f t="shared" si="0"/>
        <v/>
      </c>
      <c r="AV17" s="243">
        <f>IF(AU17="",0,VLOOKUP(AU17,$A$3:$AM$153,12))</f>
        <v>0</v>
      </c>
      <c r="AX17" s="1254" t="s">
        <v>642</v>
      </c>
      <c r="AY17" s="1252" t="str">
        <f>IF('Upper Extremity-Right'!V96="","",'Upper Extremity-Right'!V96)</f>
        <v/>
      </c>
      <c r="AZ17" s="1252" t="str">
        <f>IF(AY17="","",ROUND(AY17,0))</f>
        <v/>
      </c>
      <c r="BA17" s="243">
        <f>IF(AZ17="",0,VLOOKUP(AZ17,$A$3:$AM$153,12))</f>
        <v>0</v>
      </c>
      <c r="BC17" s="1240" t="s">
        <v>455</v>
      </c>
      <c r="BD17" s="1243" t="str">
        <f>IF('Upper Extremity-Left'!T96="","",'Upper Extremity-Left'!T96)</f>
        <v/>
      </c>
      <c r="BE17" s="1243" t="str">
        <f>IF(BD17="","",ROUND(BD17,0))</f>
        <v/>
      </c>
      <c r="BF17" s="243">
        <f>IF(BE17="",0,VLOOKUP(BE17,$A$3:$AM$153,12))</f>
        <v>0</v>
      </c>
      <c r="BG17" s="74"/>
      <c r="BH17" s="1240" t="s">
        <v>642</v>
      </c>
      <c r="BI17" s="1243" t="str">
        <f>IF('Upper Extremity-Left'!V96="","",'Upper Extremity-Left'!V96)</f>
        <v/>
      </c>
      <c r="BJ17" s="1243" t="str">
        <f>IF(BI17="","",ROUND(BI17,0))</f>
        <v/>
      </c>
      <c r="BK17" s="243">
        <f>IF(BJ17="",0,VLOOKUP(BJ17,$A$3:$AM$153,12))</f>
        <v>0</v>
      </c>
    </row>
    <row r="18" spans="1:63" ht="15" customHeight="1" x14ac:dyDescent="0.2">
      <c r="A18" s="1235">
        <v>15</v>
      </c>
      <c r="B18" s="684">
        <v>0.36499999999999999</v>
      </c>
      <c r="C18" s="684">
        <v>0.05</v>
      </c>
      <c r="D18" s="684">
        <v>0.41499999999999998</v>
      </c>
      <c r="E18" s="684">
        <v>0.41499999999999998</v>
      </c>
      <c r="F18" s="684">
        <v>4.4999999999999998E-2</v>
      </c>
      <c r="G18" s="684">
        <v>0.46</v>
      </c>
      <c r="H18" s="684">
        <v>0.35</v>
      </c>
      <c r="I18" s="684">
        <v>4.4999999999999998E-2</v>
      </c>
      <c r="J18" s="684">
        <v>0.39500000000000002</v>
      </c>
      <c r="K18" s="1244">
        <v>0.51</v>
      </c>
      <c r="L18" s="1244">
        <f xml:space="preserve"> 5%</f>
        <v>0.05</v>
      </c>
      <c r="M18" s="1244">
        <f xml:space="preserve"> 56%</f>
        <v>0.56000000000000005</v>
      </c>
      <c r="N18" s="684">
        <v>0.46</v>
      </c>
      <c r="O18" s="684">
        <v>0.04</v>
      </c>
      <c r="P18" s="684">
        <v>0.5</v>
      </c>
      <c r="Q18" s="1240">
        <v>0.05</v>
      </c>
      <c r="R18" s="646">
        <v>0.03</v>
      </c>
      <c r="S18" s="1242">
        <v>0.03</v>
      </c>
      <c r="T18" s="1240">
        <v>0.01</v>
      </c>
      <c r="U18" s="1240">
        <v>0.01</v>
      </c>
      <c r="V18" s="1244">
        <v>0</v>
      </c>
      <c r="W18" s="1244">
        <v>0.03</v>
      </c>
      <c r="X18" s="1244">
        <v>0.32</v>
      </c>
      <c r="Y18" s="1244">
        <v>0.22</v>
      </c>
      <c r="Z18" s="1244">
        <v>7.0000000000000007E-2</v>
      </c>
      <c r="AA18" s="1244">
        <v>0.27500000000000002</v>
      </c>
      <c r="AB18" s="1244">
        <v>0.09</v>
      </c>
      <c r="AC18" s="1244">
        <v>0.43</v>
      </c>
      <c r="AD18" s="1244">
        <v>0.01</v>
      </c>
      <c r="AE18" s="749">
        <v>0.75</v>
      </c>
      <c r="AF18" s="1244">
        <v>0.03</v>
      </c>
      <c r="AG18" s="1244">
        <v>0.6</v>
      </c>
      <c r="AH18" s="1240">
        <v>0.12</v>
      </c>
      <c r="AI18" s="1244">
        <v>0.35</v>
      </c>
      <c r="AJ18" s="1244">
        <v>0.03</v>
      </c>
      <c r="AK18" s="1244">
        <v>0.63</v>
      </c>
      <c r="AL18" s="1244">
        <v>0.105</v>
      </c>
      <c r="AM18" s="1244">
        <v>0.71</v>
      </c>
      <c r="AS18" s="1254" t="s">
        <v>456</v>
      </c>
      <c r="AT18" s="1252" t="str">
        <f>IF('Upper Extremity-Right'!T97="","",'Upper Extremity-Right'!T97)</f>
        <v/>
      </c>
      <c r="AU18" s="1252" t="str">
        <f t="shared" si="0"/>
        <v/>
      </c>
      <c r="AV18" s="243">
        <f>IF(AU18="",0,VLOOKUP(AU18,$A$3:$AM$153,13))</f>
        <v>0</v>
      </c>
      <c r="BC18" s="1240" t="s">
        <v>456</v>
      </c>
      <c r="BD18" s="1243" t="str">
        <f>IF('Upper Extremity-Left'!T97="","",'Upper Extremity-Left'!T97)</f>
        <v/>
      </c>
      <c r="BE18" s="1243" t="str">
        <f>IF(BD18="","",ROUND(BD18,0))</f>
        <v/>
      </c>
      <c r="BF18" s="243">
        <f>IF(BE18="",0,VLOOKUP(BE18,$A$3:$AM$153,13))</f>
        <v>0</v>
      </c>
      <c r="BG18" s="74"/>
      <c r="BH18" s="19"/>
    </row>
    <row r="19" spans="1:63" ht="15" customHeight="1" x14ac:dyDescent="0.2">
      <c r="A19" s="1235">
        <v>16</v>
      </c>
      <c r="B19" s="1261">
        <v>0.36</v>
      </c>
      <c r="C19" s="1261">
        <v>5.1999999999999998E-2</v>
      </c>
      <c r="D19" s="1261">
        <v>0.41199999999999998</v>
      </c>
      <c r="E19" s="1261">
        <v>0.40600000000000003</v>
      </c>
      <c r="F19" s="684">
        <v>4.8000000000000001E-2</v>
      </c>
      <c r="G19" s="684">
        <v>0.45400000000000001</v>
      </c>
      <c r="H19" s="684">
        <v>0.34399999999999997</v>
      </c>
      <c r="I19" s="684">
        <v>4.8000000000000001E-2</v>
      </c>
      <c r="J19" s="684">
        <v>0.39200000000000002</v>
      </c>
      <c r="K19" s="1244">
        <v>0.504</v>
      </c>
      <c r="L19" s="1244">
        <f xml:space="preserve"> 5.4%</f>
        <v>5.4000000000000006E-2</v>
      </c>
      <c r="M19" s="1244">
        <f xml:space="preserve"> 55.8%</f>
        <v>0.55799999999999994</v>
      </c>
      <c r="N19" s="684">
        <v>0.45400000000000001</v>
      </c>
      <c r="O19" s="684">
        <v>4.2000000000000003E-2</v>
      </c>
      <c r="P19" s="684">
        <v>0.496</v>
      </c>
      <c r="Q19" s="1240">
        <v>0.06</v>
      </c>
      <c r="R19" s="646">
        <v>0.03</v>
      </c>
      <c r="S19" s="1242">
        <v>0.03</v>
      </c>
      <c r="T19" s="1240">
        <v>0.02</v>
      </c>
      <c r="U19" s="1240">
        <v>0.01</v>
      </c>
      <c r="V19" s="1244"/>
      <c r="W19" s="1244">
        <v>2.8000000000000001E-2</v>
      </c>
      <c r="X19" s="1240"/>
      <c r="Y19" s="1244">
        <v>0.22600000000000001</v>
      </c>
      <c r="Z19" s="1244">
        <v>6.8000000000000005E-2</v>
      </c>
      <c r="AA19" s="1244">
        <v>0.27400000000000002</v>
      </c>
      <c r="AB19" s="1244">
        <v>8.7999999999999995E-2</v>
      </c>
      <c r="AC19" s="1244">
        <v>0.438</v>
      </c>
      <c r="AD19" s="1244">
        <v>8.0000000000000002E-3</v>
      </c>
      <c r="AE19" s="749">
        <v>0.78</v>
      </c>
      <c r="AF19" s="1244">
        <v>2.8000000000000001E-2</v>
      </c>
      <c r="AG19" s="1244">
        <v>0.62</v>
      </c>
      <c r="AH19" s="1240">
        <v>0.13</v>
      </c>
      <c r="AI19" s="1244">
        <v>0.34799999999999998</v>
      </c>
      <c r="AJ19" s="1244">
        <v>3.2000000000000001E-2</v>
      </c>
      <c r="AK19" s="1244">
        <v>0.628</v>
      </c>
      <c r="AL19" s="1244">
        <v>0.104</v>
      </c>
      <c r="AM19" s="1244">
        <v>0.71399999999999997</v>
      </c>
      <c r="BC19" s="1240"/>
      <c r="BD19" s="74"/>
      <c r="BE19" s="74"/>
      <c r="BG19" s="74"/>
      <c r="BH19" s="19"/>
    </row>
    <row r="20" spans="1:63" ht="15" customHeight="1" x14ac:dyDescent="0.2">
      <c r="A20" s="1235">
        <v>17</v>
      </c>
      <c r="B20" s="684">
        <v>0.35499999999999998</v>
      </c>
      <c r="C20" s="684">
        <v>5.3999999999999999E-2</v>
      </c>
      <c r="D20" s="684">
        <v>0.40899999999999997</v>
      </c>
      <c r="E20" s="684">
        <v>0.39700000000000002</v>
      </c>
      <c r="F20" s="684">
        <v>5.0999999999999997E-2</v>
      </c>
      <c r="G20" s="684">
        <v>0.44800000000000001</v>
      </c>
      <c r="H20" s="684">
        <v>0.33800000000000002</v>
      </c>
      <c r="I20" s="684">
        <v>5.0999999999999997E-2</v>
      </c>
      <c r="J20" s="1261">
        <v>0.38900000000000001</v>
      </c>
      <c r="K20" s="1244">
        <v>0.498</v>
      </c>
      <c r="L20" s="1244">
        <f xml:space="preserve"> 5.8%</f>
        <v>5.7999999999999996E-2</v>
      </c>
      <c r="M20" s="1244">
        <f xml:space="preserve"> 55.6%</f>
        <v>0.55600000000000005</v>
      </c>
      <c r="N20" s="684">
        <v>0.44800000000000001</v>
      </c>
      <c r="O20" s="684">
        <v>4.3999999999999997E-2</v>
      </c>
      <c r="P20" s="684">
        <v>0.49199999999999999</v>
      </c>
      <c r="Q20" s="1240">
        <v>0.06</v>
      </c>
      <c r="R20" s="646">
        <v>0.03</v>
      </c>
      <c r="S20" s="1242">
        <v>0.03</v>
      </c>
      <c r="T20" s="1240">
        <v>0.02</v>
      </c>
      <c r="U20" s="1240">
        <v>0.01</v>
      </c>
      <c r="V20" s="1244"/>
      <c r="W20" s="1244">
        <v>2.5999999999999999E-2</v>
      </c>
      <c r="X20" s="1240"/>
      <c r="Y20" s="1244">
        <v>0.23200000000000001</v>
      </c>
      <c r="Z20" s="1244">
        <v>6.6000000000000003E-2</v>
      </c>
      <c r="AA20" s="1244">
        <v>0.27300000000000002</v>
      </c>
      <c r="AB20" s="1244">
        <v>8.5999999999999993E-2</v>
      </c>
      <c r="AC20" s="1244">
        <v>0.44600000000000001</v>
      </c>
      <c r="AD20" s="1244">
        <v>6.0000000000000001E-3</v>
      </c>
      <c r="AE20" s="749">
        <v>0.81</v>
      </c>
      <c r="AF20" s="1244">
        <v>2.5999999999999999E-2</v>
      </c>
      <c r="AG20" s="1244">
        <v>0.64</v>
      </c>
      <c r="AH20" s="1240">
        <v>0.14000000000000001</v>
      </c>
      <c r="AI20" s="1244">
        <v>0.34599999999999997</v>
      </c>
      <c r="AJ20" s="1244">
        <v>3.4000000000000002E-2</v>
      </c>
      <c r="AK20" s="1244">
        <v>0.626</v>
      </c>
      <c r="AL20" s="1244">
        <v>0.10299999999999999</v>
      </c>
      <c r="AM20" s="1244">
        <v>0.71799999999999997</v>
      </c>
      <c r="AS20" s="1254" t="s">
        <v>457</v>
      </c>
      <c r="AT20" s="1252" t="str">
        <f>IF('Upper Extremity-Right'!T99="","",'Upper Extremity-Right'!T99)</f>
        <v/>
      </c>
      <c r="AU20" s="1252" t="str">
        <f t="shared" si="0"/>
        <v/>
      </c>
      <c r="AV20" s="243">
        <f>IF(AU20="",0,VLOOKUP(AU20,$A$3:$AM$153,14))</f>
        <v>0</v>
      </c>
      <c r="AX20" s="1254" t="s">
        <v>458</v>
      </c>
      <c r="AY20" s="1252" t="str">
        <f>IF('Upper Extremity-Right'!V99="","",'Upper Extremity-Right'!V99)</f>
        <v/>
      </c>
      <c r="AZ20" s="1252" t="str">
        <f>IF(AY20="","",ROUND(AY20,0))</f>
        <v/>
      </c>
      <c r="BA20" s="243">
        <f>IF(AZ20="",0,VLOOKUP(AZ20,$A$3:$AM$153,14))</f>
        <v>0</v>
      </c>
      <c r="BC20" s="1240" t="s">
        <v>457</v>
      </c>
      <c r="BD20" s="1243" t="str">
        <f>IF('Upper Extremity-Left'!T99="","",'Upper Extremity-Left'!T99)</f>
        <v/>
      </c>
      <c r="BE20" s="1243" t="str">
        <f>IF(BD20="","",ROUND(BD20,0))</f>
        <v/>
      </c>
      <c r="BF20" s="243">
        <f>IF(BE20="",0,VLOOKUP(BE20,$A$3:$AM$153,14))</f>
        <v>0</v>
      </c>
      <c r="BG20" s="74"/>
      <c r="BH20" s="1240" t="s">
        <v>458</v>
      </c>
      <c r="BI20" s="1243" t="str">
        <f>IF('Upper Extremity-Left'!V99="","",'Upper Extremity-Left'!V99)</f>
        <v/>
      </c>
      <c r="BJ20" s="1243" t="str">
        <f>IF(BI20="","",ROUND(BI20,0))</f>
        <v/>
      </c>
      <c r="BK20" s="243">
        <f>IF(BJ20="",0,VLOOKUP(BJ20,$A$3:$AM$153,14))</f>
        <v>0</v>
      </c>
    </row>
    <row r="21" spans="1:63" ht="15.75" customHeight="1" x14ac:dyDescent="0.2">
      <c r="A21" s="1235">
        <v>18</v>
      </c>
      <c r="B21" s="684">
        <v>0.35</v>
      </c>
      <c r="C21" s="684">
        <v>5.6000000000000001E-2</v>
      </c>
      <c r="D21" s="684">
        <v>0.40600000000000003</v>
      </c>
      <c r="E21" s="684">
        <v>0.38800000000000001</v>
      </c>
      <c r="F21" s="684">
        <v>5.3999999999999999E-2</v>
      </c>
      <c r="G21" s="684">
        <v>0.442</v>
      </c>
      <c r="H21" s="684">
        <v>0.33200000000000002</v>
      </c>
      <c r="I21" s="684">
        <v>5.3999999999999999E-2</v>
      </c>
      <c r="J21" s="684">
        <v>0.38600000000000001</v>
      </c>
      <c r="K21" s="1244">
        <v>0.49199999999999999</v>
      </c>
      <c r="L21" s="1244">
        <f xml:space="preserve"> 6.2%</f>
        <v>6.2E-2</v>
      </c>
      <c r="M21" s="1244">
        <f xml:space="preserve"> 55.4%</f>
        <v>0.55399999999999994</v>
      </c>
      <c r="N21" s="1261">
        <v>0.442</v>
      </c>
      <c r="O21" s="1261">
        <v>4.5999999999999999E-2</v>
      </c>
      <c r="P21" s="1261">
        <v>0.48799999999999999</v>
      </c>
      <c r="Q21" s="1263">
        <v>0.06</v>
      </c>
      <c r="R21" s="646">
        <v>0.03</v>
      </c>
      <c r="S21" s="1263">
        <v>0.03</v>
      </c>
      <c r="T21" s="1240">
        <v>0.02</v>
      </c>
      <c r="U21" s="1240">
        <v>0.01</v>
      </c>
      <c r="V21" s="1244"/>
      <c r="W21" s="1244">
        <v>2.4E-2</v>
      </c>
      <c r="X21" s="1240"/>
      <c r="Y21" s="1244">
        <v>0.23799999999999999</v>
      </c>
      <c r="Z21" s="1244">
        <v>6.4000000000000001E-2</v>
      </c>
      <c r="AA21" s="1244">
        <v>0.27200000000000002</v>
      </c>
      <c r="AB21" s="1244">
        <v>8.4000000000000005E-2</v>
      </c>
      <c r="AC21" s="1244">
        <v>0.45400000000000001</v>
      </c>
      <c r="AD21" s="1244">
        <v>4.0000000000000001E-3</v>
      </c>
      <c r="AE21" s="749">
        <v>0.84</v>
      </c>
      <c r="AF21" s="1244">
        <v>2.4E-2</v>
      </c>
      <c r="AG21" s="1244">
        <v>0.66</v>
      </c>
      <c r="AH21" s="1240">
        <v>0.15</v>
      </c>
      <c r="AI21" s="1244">
        <v>0.34399999999999997</v>
      </c>
      <c r="AJ21" s="1244">
        <v>3.5999999999999997E-2</v>
      </c>
      <c r="AK21" s="1244">
        <v>0.624</v>
      </c>
      <c r="AL21" s="1244">
        <v>0.10199999999999999</v>
      </c>
      <c r="AM21" s="1244">
        <v>0.72199999999999998</v>
      </c>
      <c r="AS21" s="1254" t="s">
        <v>459</v>
      </c>
      <c r="AT21" s="1252" t="str">
        <f>IF('Upper Extremity-Right'!T100="","",'Upper Extremity-Right'!T100)</f>
        <v/>
      </c>
      <c r="AU21" s="1252" t="str">
        <f t="shared" si="0"/>
        <v/>
      </c>
      <c r="AV21" s="243">
        <f>IF(AU21="",0,VLOOKUP(AU21,$A$3:$AM$153,15))</f>
        <v>0</v>
      </c>
      <c r="AX21" s="1254" t="s">
        <v>458</v>
      </c>
      <c r="AY21" s="1252" t="str">
        <f>IF('Upper Extremity-Right'!V100="","",'Upper Extremity-Right'!V100)</f>
        <v/>
      </c>
      <c r="AZ21" s="1252" t="str">
        <f>IF(AY21="","",ROUND(AY21,0))</f>
        <v/>
      </c>
      <c r="BA21" s="243">
        <f>IF(AZ21="",0,VLOOKUP(AZ21,$A$3:$AM$153,15))</f>
        <v>0</v>
      </c>
      <c r="BC21" s="1240" t="s">
        <v>459</v>
      </c>
      <c r="BD21" s="1243" t="str">
        <f>IF('Upper Extremity-Left'!T100="","",'Upper Extremity-Left'!T100)</f>
        <v/>
      </c>
      <c r="BE21" s="1243" t="str">
        <f>IF(BD21="","",ROUND(BD21,0))</f>
        <v/>
      </c>
      <c r="BF21" s="243">
        <f>IF(BE21="",0,VLOOKUP(BE21,$A$3:$AM$153,15))</f>
        <v>0</v>
      </c>
      <c r="BG21" s="74"/>
      <c r="BH21" s="1240" t="s">
        <v>458</v>
      </c>
      <c r="BI21" s="1243" t="str">
        <f>IF('Upper Extremity-Left'!V100="","",'Upper Extremity-Left'!V100)</f>
        <v/>
      </c>
      <c r="BJ21" s="1243" t="str">
        <f>IF(BI21="","",ROUND(BI21,0))</f>
        <v/>
      </c>
      <c r="BK21" s="243">
        <f>IF(BJ21="",0,VLOOKUP(BJ21,$A$3:$AM$153,15))</f>
        <v>0</v>
      </c>
    </row>
    <row r="22" spans="1:63" ht="15" customHeight="1" x14ac:dyDescent="0.2">
      <c r="A22" s="1235">
        <v>19</v>
      </c>
      <c r="B22" s="684">
        <v>0.34499999999999997</v>
      </c>
      <c r="C22" s="684">
        <v>5.8000000000000003E-2</v>
      </c>
      <c r="D22" s="684">
        <v>0.40300000000000002</v>
      </c>
      <c r="E22" s="684">
        <v>0.379</v>
      </c>
      <c r="F22" s="684">
        <v>5.7000000000000002E-2</v>
      </c>
      <c r="G22" s="684">
        <v>0.436</v>
      </c>
      <c r="H22" s="684">
        <v>0.32600000000000001</v>
      </c>
      <c r="I22" s="684">
        <v>5.7000000000000002E-2</v>
      </c>
      <c r="J22" s="684">
        <v>0.38300000000000001</v>
      </c>
      <c r="K22" s="1244">
        <v>0.48599999999999999</v>
      </c>
      <c r="L22" s="1244">
        <f xml:space="preserve"> 6.6%</f>
        <v>6.6000000000000003E-2</v>
      </c>
      <c r="M22" s="1244">
        <f xml:space="preserve"> 55.2%</f>
        <v>0.55200000000000005</v>
      </c>
      <c r="N22" s="684">
        <v>0.436</v>
      </c>
      <c r="O22" s="684">
        <v>4.8000000000000001E-2</v>
      </c>
      <c r="P22" s="684">
        <v>0.48399999999999999</v>
      </c>
      <c r="Q22" s="1240">
        <v>7.0000000000000007E-2</v>
      </c>
      <c r="R22" s="646">
        <v>0.04</v>
      </c>
      <c r="S22" s="1240">
        <v>0.03</v>
      </c>
      <c r="T22" s="1240">
        <v>0.02</v>
      </c>
      <c r="U22" s="1240">
        <v>0.01</v>
      </c>
      <c r="V22" s="1244"/>
      <c r="W22" s="1244">
        <v>2.1999999999999999E-2</v>
      </c>
      <c r="X22" s="1240"/>
      <c r="Y22" s="1244">
        <v>0.24399999999999999</v>
      </c>
      <c r="Z22" s="1244">
        <v>6.2E-2</v>
      </c>
      <c r="AA22" s="1244">
        <v>0.27100000000000002</v>
      </c>
      <c r="AB22" s="1244">
        <v>8.2000000000000003E-2</v>
      </c>
      <c r="AC22" s="1244">
        <v>0.46200000000000002</v>
      </c>
      <c r="AD22" s="1244">
        <v>2E-3</v>
      </c>
      <c r="AE22" s="749">
        <v>0.87</v>
      </c>
      <c r="AF22" s="1244">
        <v>2.1999999999999999E-2</v>
      </c>
      <c r="AG22" s="1244">
        <v>0.68</v>
      </c>
      <c r="AH22" s="1240">
        <v>0.16</v>
      </c>
      <c r="AI22" s="1244">
        <v>0.34200000000000003</v>
      </c>
      <c r="AJ22" s="1244">
        <v>3.7999999999999999E-2</v>
      </c>
      <c r="AK22" s="1244">
        <v>0.622</v>
      </c>
      <c r="AL22" s="1244">
        <v>0.10100000000000001</v>
      </c>
      <c r="AM22" s="1244">
        <v>0.72599999999999998</v>
      </c>
      <c r="AS22" s="1254" t="s">
        <v>460</v>
      </c>
      <c r="AT22" s="1252" t="str">
        <f>IF('Upper Extremity-Right'!T101="","",'Upper Extremity-Right'!T101)</f>
        <v/>
      </c>
      <c r="AU22" s="1252" t="str">
        <f t="shared" si="0"/>
        <v/>
      </c>
      <c r="AV22" s="243">
        <f>IF(AU22="",0,VLOOKUP(AU22,$A$3:$AM$153,16))</f>
        <v>0</v>
      </c>
      <c r="BC22" s="1240" t="s">
        <v>460</v>
      </c>
      <c r="BD22" s="1243" t="str">
        <f>IF('Upper Extremity-Left'!T101="","",'Upper Extremity-Left'!T101)</f>
        <v/>
      </c>
      <c r="BE22" s="1243" t="str">
        <f>IF(BD22="","",ROUND(BD22,0))</f>
        <v/>
      </c>
      <c r="BF22" s="243">
        <f>IF(BE22="",0,VLOOKUP(BE22,$A$3:$AM$153,16))</f>
        <v>0</v>
      </c>
      <c r="BG22" s="74"/>
      <c r="BH22" s="19"/>
    </row>
    <row r="23" spans="1:63" ht="15" customHeight="1" x14ac:dyDescent="0.2">
      <c r="A23" s="1235">
        <v>20</v>
      </c>
      <c r="B23" s="684">
        <v>0.34</v>
      </c>
      <c r="C23" s="684">
        <v>0.06</v>
      </c>
      <c r="D23" s="684">
        <v>0.4</v>
      </c>
      <c r="E23" s="684">
        <v>0.37</v>
      </c>
      <c r="F23" s="684">
        <v>0.06</v>
      </c>
      <c r="G23" s="684">
        <v>0.43</v>
      </c>
      <c r="H23" s="684">
        <v>0.32</v>
      </c>
      <c r="I23" s="684">
        <v>0.06</v>
      </c>
      <c r="J23" s="684">
        <v>0.38</v>
      </c>
      <c r="K23" s="1264">
        <v>0.48</v>
      </c>
      <c r="L23" s="1264">
        <f xml:space="preserve"> 7%</f>
        <v>7.0000000000000007E-2</v>
      </c>
      <c r="M23" s="1264">
        <f xml:space="preserve"> 55%</f>
        <v>0.55000000000000004</v>
      </c>
      <c r="N23" s="684">
        <v>0.43</v>
      </c>
      <c r="O23" s="684">
        <v>0.05</v>
      </c>
      <c r="P23" s="684">
        <v>0.48</v>
      </c>
      <c r="Q23" s="1240">
        <v>7.0000000000000007E-2</v>
      </c>
      <c r="R23" s="646">
        <v>0.04</v>
      </c>
      <c r="S23" s="1240">
        <v>0.03</v>
      </c>
      <c r="T23" s="1240">
        <v>0.02</v>
      </c>
      <c r="U23" s="1240">
        <v>0.01</v>
      </c>
      <c r="V23" s="1244"/>
      <c r="W23" s="1244">
        <v>0.02</v>
      </c>
      <c r="X23" s="1240"/>
      <c r="Y23" s="1244">
        <v>0.25</v>
      </c>
      <c r="Z23" s="1244">
        <v>0.06</v>
      </c>
      <c r="AA23" s="1244">
        <v>0.27</v>
      </c>
      <c r="AB23" s="1244">
        <v>0.08</v>
      </c>
      <c r="AC23" s="1244">
        <v>0.47</v>
      </c>
      <c r="AD23" s="1244">
        <v>0</v>
      </c>
      <c r="AE23" s="749">
        <v>0.9</v>
      </c>
      <c r="AF23" s="1244">
        <v>0.02</v>
      </c>
      <c r="AG23" s="1244">
        <v>0.7</v>
      </c>
      <c r="AH23" s="1240">
        <v>0.16</v>
      </c>
      <c r="AI23" s="1244">
        <v>0.34</v>
      </c>
      <c r="AJ23" s="1244">
        <v>0.04</v>
      </c>
      <c r="AK23" s="1244">
        <v>0.62</v>
      </c>
      <c r="AL23" s="1244">
        <v>0.1</v>
      </c>
      <c r="AM23" s="1244">
        <v>0.73</v>
      </c>
      <c r="BC23" s="1240"/>
      <c r="BD23" s="74"/>
      <c r="BE23" s="74"/>
      <c r="BG23" s="74"/>
      <c r="BH23" s="19"/>
    </row>
    <row r="24" spans="1:63" ht="15" customHeight="1" x14ac:dyDescent="0.2">
      <c r="A24" s="1235">
        <v>21</v>
      </c>
      <c r="B24" s="684">
        <v>0.33400000000000002</v>
      </c>
      <c r="C24" s="684">
        <v>6.4000000000000001E-2</v>
      </c>
      <c r="D24" s="684">
        <v>0.39800000000000002</v>
      </c>
      <c r="E24" s="684">
        <v>0.36</v>
      </c>
      <c r="F24" s="684">
        <v>7.9000000000000001E-2</v>
      </c>
      <c r="G24" s="684">
        <v>0.439</v>
      </c>
      <c r="H24" s="684">
        <v>0.314</v>
      </c>
      <c r="I24" s="684">
        <v>6.2E-2</v>
      </c>
      <c r="J24" s="684">
        <v>0.376</v>
      </c>
      <c r="K24" s="1244">
        <v>0.47399999999999998</v>
      </c>
      <c r="L24" s="1244">
        <f xml:space="preserve"> 7.4%</f>
        <v>7.400000000000001E-2</v>
      </c>
      <c r="M24" s="1244">
        <f xml:space="preserve"> 54.8%</f>
        <v>0.54799999999999993</v>
      </c>
      <c r="N24" s="684">
        <v>0.42399999999999999</v>
      </c>
      <c r="O24" s="684">
        <v>5.2999999999999999E-2</v>
      </c>
      <c r="P24" s="684">
        <v>0.47699999999999998</v>
      </c>
      <c r="Q24" s="1240">
        <v>7.0000000000000007E-2</v>
      </c>
      <c r="R24" s="646">
        <v>0.04</v>
      </c>
      <c r="S24" s="1240">
        <v>0.04</v>
      </c>
      <c r="T24" s="1240">
        <v>0.02</v>
      </c>
      <c r="U24" s="1240">
        <v>0.01</v>
      </c>
      <c r="V24" s="1244"/>
      <c r="W24" s="1244">
        <v>1.7999999999999999E-2</v>
      </c>
      <c r="X24" s="1240"/>
      <c r="Y24" s="1244">
        <v>0.25700000000000001</v>
      </c>
      <c r="Z24" s="1244">
        <v>5.8999999999999997E-2</v>
      </c>
      <c r="AA24" s="1244">
        <v>0.26800000000000002</v>
      </c>
      <c r="AB24" s="1244">
        <v>7.8E-2</v>
      </c>
      <c r="AC24" s="1244">
        <v>0.47899999999999998</v>
      </c>
      <c r="AD24" s="1244"/>
      <c r="AE24" s="749"/>
      <c r="AF24" s="1244">
        <v>1.7999999999999999E-2</v>
      </c>
      <c r="AG24" s="1244">
        <v>0.72</v>
      </c>
      <c r="AH24" s="1240">
        <v>0.17</v>
      </c>
      <c r="AI24" s="1244">
        <v>0.33700000000000002</v>
      </c>
      <c r="AJ24" s="1244">
        <v>4.2000000000000003E-2</v>
      </c>
      <c r="AK24" s="1244">
        <v>0.61899999999999999</v>
      </c>
      <c r="AL24" s="1244">
        <v>9.8000000000000004E-2</v>
      </c>
      <c r="AM24" s="1244">
        <v>0.73299999999999998</v>
      </c>
      <c r="AS24" s="1254" t="s">
        <v>1567</v>
      </c>
      <c r="BC24" s="1240" t="s">
        <v>1567</v>
      </c>
      <c r="BD24" s="74"/>
      <c r="BE24" s="74"/>
      <c r="BG24" s="74"/>
      <c r="BH24" s="19"/>
    </row>
    <row r="25" spans="1:63" ht="15" customHeight="1" x14ac:dyDescent="0.2">
      <c r="A25" s="1235">
        <v>22</v>
      </c>
      <c r="B25" s="684">
        <v>0.32800000000000001</v>
      </c>
      <c r="C25" s="684">
        <v>6.8000000000000005E-2</v>
      </c>
      <c r="D25" s="684">
        <v>0.39600000000000002</v>
      </c>
      <c r="E25" s="684">
        <v>0.35</v>
      </c>
      <c r="F25" s="684">
        <v>9.8000000000000004E-2</v>
      </c>
      <c r="G25" s="684">
        <v>0.44800000000000001</v>
      </c>
      <c r="H25" s="684">
        <v>0.308</v>
      </c>
      <c r="I25" s="684">
        <v>6.4000000000000001E-2</v>
      </c>
      <c r="J25" s="684">
        <v>0.372</v>
      </c>
      <c r="K25" s="1244">
        <v>0.46800000000000003</v>
      </c>
      <c r="L25" s="1244">
        <f xml:space="preserve"> 7.8%</f>
        <v>7.8E-2</v>
      </c>
      <c r="M25" s="1244">
        <f xml:space="preserve"> 54.6%</f>
        <v>0.54600000000000004</v>
      </c>
      <c r="N25" s="684">
        <v>0.41799999999999998</v>
      </c>
      <c r="O25" s="684">
        <v>5.6000000000000001E-2</v>
      </c>
      <c r="P25" s="684">
        <v>0.47399999999999998</v>
      </c>
      <c r="Q25" s="1240">
        <v>0.08</v>
      </c>
      <c r="R25" s="646">
        <v>0.04</v>
      </c>
      <c r="S25" s="1240">
        <v>0.04</v>
      </c>
      <c r="T25" s="1240">
        <v>0.02</v>
      </c>
      <c r="U25" s="1240">
        <v>0.01</v>
      </c>
      <c r="V25" s="1244"/>
      <c r="W25" s="1244">
        <v>1.6E-2</v>
      </c>
      <c r="X25" s="1240"/>
      <c r="Y25" s="1244">
        <v>0.26400000000000001</v>
      </c>
      <c r="Z25" s="1244">
        <v>5.8000000000000003E-2</v>
      </c>
      <c r="AA25" s="1244">
        <v>0.26600000000000001</v>
      </c>
      <c r="AB25" s="1244">
        <v>7.5999999999999998E-2</v>
      </c>
      <c r="AC25" s="1244">
        <v>0.48799999999999999</v>
      </c>
      <c r="AD25" s="1244"/>
      <c r="AE25" s="749"/>
      <c r="AF25" s="1244">
        <v>1.6E-2</v>
      </c>
      <c r="AG25" s="1244">
        <v>0.74</v>
      </c>
      <c r="AH25" s="1240">
        <v>0.18</v>
      </c>
      <c r="AI25" s="1244">
        <v>0.33400000000000002</v>
      </c>
      <c r="AJ25" s="1244">
        <v>4.3999999999999997E-2</v>
      </c>
      <c r="AK25" s="1244">
        <v>0.61799999999999999</v>
      </c>
      <c r="AL25" s="1244">
        <v>9.6000000000000002E-2</v>
      </c>
      <c r="AM25" s="1244">
        <v>0.73599999999999999</v>
      </c>
      <c r="AS25" s="1254" t="s">
        <v>1520</v>
      </c>
      <c r="AT25" s="1252" t="str">
        <f>IF('Upper Extremity-Right'!T168="","",'Upper Extremity-Right'!T168)</f>
        <v/>
      </c>
      <c r="AU25" s="1252" t="str">
        <f t="shared" si="0"/>
        <v/>
      </c>
      <c r="AV25" s="243">
        <f>IF(AU25="",0,VLOOKUP(AU25,$A$3:$AM$153,8))</f>
        <v>0</v>
      </c>
      <c r="AX25" s="1254" t="s">
        <v>163</v>
      </c>
      <c r="AY25" s="1252" t="str">
        <f>IF('Upper Extremity-Right'!V168="","",'Upper Extremity-Right'!V168)</f>
        <v/>
      </c>
      <c r="AZ25" s="1252" t="str">
        <f>IF(AY25="","",ROUND(AY25,0))</f>
        <v/>
      </c>
      <c r="BA25" s="243">
        <f>IF(AZ25="",0,VLOOKUP(AZ25,$A$3:$AM$153,8))</f>
        <v>0</v>
      </c>
      <c r="BC25" s="1240" t="s">
        <v>1520</v>
      </c>
      <c r="BD25" s="1243" t="str">
        <f>IF('Upper Extremity-Left'!T168="","",'Upper Extremity-Left'!T168)</f>
        <v/>
      </c>
      <c r="BE25" s="1243" t="str">
        <f>IF(BD25="","",ROUND(BD25,0))</f>
        <v/>
      </c>
      <c r="BF25" s="243">
        <f>IF(BE25="",0,VLOOKUP(BE25,$A$3:$AM$153,8))</f>
        <v>0</v>
      </c>
      <c r="BG25" s="74"/>
      <c r="BH25" s="1240" t="s">
        <v>163</v>
      </c>
      <c r="BI25" s="1243" t="str">
        <f>IF('Upper Extremity-Left'!V168="","",'Upper Extremity-Left'!V168)</f>
        <v/>
      </c>
      <c r="BJ25" s="1243" t="str">
        <f>IF(BI25="","",ROUND(BI25,0))</f>
        <v/>
      </c>
      <c r="BK25" s="243">
        <f>IF(BJ25="",0,VLOOKUP(BJ25,$A$3:$AM$153,8))</f>
        <v>0</v>
      </c>
    </row>
    <row r="26" spans="1:63" ht="15" customHeight="1" x14ac:dyDescent="0.2">
      <c r="A26" s="1235">
        <v>23</v>
      </c>
      <c r="B26" s="684">
        <v>0.32200000000000001</v>
      </c>
      <c r="C26" s="684">
        <v>7.1999999999999995E-2</v>
      </c>
      <c r="D26" s="684">
        <v>0.39400000000000002</v>
      </c>
      <c r="E26" s="684">
        <v>0.34</v>
      </c>
      <c r="F26" s="684">
        <v>0.11700000000000001</v>
      </c>
      <c r="G26" s="684">
        <v>0.45700000000000002</v>
      </c>
      <c r="H26" s="684">
        <v>0.30199999999999999</v>
      </c>
      <c r="I26" s="684">
        <v>6.6000000000000003E-2</v>
      </c>
      <c r="J26" s="684">
        <v>0.36799999999999999</v>
      </c>
      <c r="K26" s="1244">
        <v>0.46200000000000002</v>
      </c>
      <c r="L26" s="1244">
        <f xml:space="preserve"> 8.2%</f>
        <v>8.199999999999999E-2</v>
      </c>
      <c r="M26" s="1244">
        <f xml:space="preserve"> 54.4%</f>
        <v>0.54400000000000004</v>
      </c>
      <c r="N26" s="684">
        <v>0.41199999999999998</v>
      </c>
      <c r="O26" s="684">
        <v>5.8999999999999997E-2</v>
      </c>
      <c r="P26" s="684">
        <v>0.47099999999999997</v>
      </c>
      <c r="Q26" s="1240">
        <v>0.08</v>
      </c>
      <c r="R26" s="646">
        <v>0.04</v>
      </c>
      <c r="S26" s="1240">
        <v>0.04</v>
      </c>
      <c r="T26" s="1240">
        <v>0.02</v>
      </c>
      <c r="U26" s="1240">
        <v>0.01</v>
      </c>
      <c r="V26" s="1244"/>
      <c r="W26" s="1244">
        <v>1.4E-2</v>
      </c>
      <c r="X26" s="1240"/>
      <c r="Y26" s="1244">
        <v>0.27100000000000002</v>
      </c>
      <c r="Z26" s="1244">
        <v>5.7000000000000002E-2</v>
      </c>
      <c r="AA26" s="1244">
        <v>0.26400000000000001</v>
      </c>
      <c r="AB26" s="1244">
        <v>7.3999999999999996E-2</v>
      </c>
      <c r="AC26" s="1244">
        <v>0.497</v>
      </c>
      <c r="AD26" s="1244"/>
      <c r="AE26" s="749"/>
      <c r="AF26" s="1244">
        <v>1.4E-2</v>
      </c>
      <c r="AG26" s="1244">
        <v>0.76</v>
      </c>
      <c r="AH26" s="1240">
        <v>0.19</v>
      </c>
      <c r="AI26" s="1244">
        <v>0.33100000000000002</v>
      </c>
      <c r="AJ26" s="1244">
        <v>4.5999999999999999E-2</v>
      </c>
      <c r="AK26" s="1244">
        <v>0.61699999999999999</v>
      </c>
      <c r="AL26" s="1244">
        <v>9.4E-2</v>
      </c>
      <c r="AM26" s="1244">
        <v>0.73899999999999999</v>
      </c>
      <c r="AS26" s="1254" t="s">
        <v>164</v>
      </c>
      <c r="AT26" s="1252" t="str">
        <f>IF('Upper Extremity-Right'!T169="","",'Upper Extremity-Right'!T169)</f>
        <v/>
      </c>
      <c r="AU26" s="1252" t="str">
        <f t="shared" si="0"/>
        <v/>
      </c>
      <c r="AV26" s="243">
        <f>IF(AU26="",0,VLOOKUP(AU26,$A$3:$AM$153,9))</f>
        <v>0</v>
      </c>
      <c r="AX26" s="1254" t="s">
        <v>163</v>
      </c>
      <c r="AY26" s="1252" t="str">
        <f>IF('Upper Extremity-Right'!V169="","",'Upper Extremity-Right'!V169)</f>
        <v/>
      </c>
      <c r="AZ26" s="1252" t="str">
        <f>IF(AY26="","",ROUND(AY26,0))</f>
        <v/>
      </c>
      <c r="BA26" s="243">
        <f>IF(AZ26="",0,VLOOKUP(AZ26,$A$3:$AM$153,9))</f>
        <v>0</v>
      </c>
      <c r="BC26" s="1240" t="s">
        <v>164</v>
      </c>
      <c r="BD26" s="1243" t="str">
        <f>IF('Upper Extremity-Left'!T169="","",'Upper Extremity-Left'!T169)</f>
        <v/>
      </c>
      <c r="BE26" s="1243" t="str">
        <f>IF(BD26="","",ROUND(BD26,0))</f>
        <v/>
      </c>
      <c r="BF26" s="243">
        <f>IF(BE26="",0,VLOOKUP(BE26,$A$3:$AM$153,9))</f>
        <v>0</v>
      </c>
      <c r="BG26" s="74"/>
      <c r="BH26" s="1240" t="s">
        <v>163</v>
      </c>
      <c r="BI26" s="1243" t="str">
        <f>IF('Upper Extremity-Left'!V169="","",'Upper Extremity-Left'!V169)</f>
        <v/>
      </c>
      <c r="BJ26" s="1243" t="str">
        <f>IF(BI26="","",ROUND(BI26,0))</f>
        <v/>
      </c>
      <c r="BK26" s="243">
        <f>IF(BJ26="",0,VLOOKUP(BJ26,$A$3:$AM$153,9))</f>
        <v>0</v>
      </c>
    </row>
    <row r="27" spans="1:63" ht="15" customHeight="1" x14ac:dyDescent="0.2">
      <c r="A27" s="1235">
        <v>24</v>
      </c>
      <c r="B27" s="684">
        <v>0.316</v>
      </c>
      <c r="C27" s="684">
        <v>7.5999999999999998E-2</v>
      </c>
      <c r="D27" s="684">
        <v>0.39200000000000002</v>
      </c>
      <c r="E27" s="684">
        <v>0.33</v>
      </c>
      <c r="F27" s="684">
        <v>0.13600000000000001</v>
      </c>
      <c r="G27" s="684">
        <v>0.46600000000000003</v>
      </c>
      <c r="H27" s="684">
        <v>0.29599999999999999</v>
      </c>
      <c r="I27" s="684">
        <v>6.8000000000000005E-2</v>
      </c>
      <c r="J27" s="684">
        <v>0.36399999999999999</v>
      </c>
      <c r="K27" s="1244">
        <v>0.45600000000000002</v>
      </c>
      <c r="L27" s="1244">
        <f xml:space="preserve"> 8.6%</f>
        <v>8.5999999999999993E-2</v>
      </c>
      <c r="M27" s="1244">
        <f xml:space="preserve"> 54.2%</f>
        <v>0.54200000000000004</v>
      </c>
      <c r="N27" s="684">
        <v>0.40600000000000003</v>
      </c>
      <c r="O27" s="684">
        <v>6.2E-2</v>
      </c>
      <c r="P27" s="684">
        <v>0.46800000000000003</v>
      </c>
      <c r="Q27" s="1240">
        <v>0.08</v>
      </c>
      <c r="R27" s="646">
        <v>0.04</v>
      </c>
      <c r="S27" s="1240">
        <v>0.04</v>
      </c>
      <c r="T27" s="1240">
        <v>0.02</v>
      </c>
      <c r="U27" s="1240">
        <v>0.01</v>
      </c>
      <c r="V27" s="1244"/>
      <c r="W27" s="1244">
        <v>1.2E-2</v>
      </c>
      <c r="X27" s="1240"/>
      <c r="Y27" s="1244">
        <v>0.27800000000000002</v>
      </c>
      <c r="Z27" s="1244">
        <v>5.6000000000000001E-2</v>
      </c>
      <c r="AA27" s="1244">
        <v>0.26200000000000001</v>
      </c>
      <c r="AB27" s="1244">
        <v>7.1999999999999995E-2</v>
      </c>
      <c r="AC27" s="1244">
        <v>0.50600000000000001</v>
      </c>
      <c r="AD27" s="1244"/>
      <c r="AE27" s="749"/>
      <c r="AF27" s="1244">
        <v>1.2E-2</v>
      </c>
      <c r="AG27" s="1244">
        <v>0.78</v>
      </c>
      <c r="AH27" s="1240">
        <v>0.2</v>
      </c>
      <c r="AI27" s="1244">
        <v>0.32800000000000001</v>
      </c>
      <c r="AJ27" s="1244">
        <v>4.8000000000000001E-2</v>
      </c>
      <c r="AK27" s="1244">
        <v>0.61599999999999999</v>
      </c>
      <c r="AL27" s="1244">
        <v>9.1999999999999998E-2</v>
      </c>
      <c r="AM27" s="1244">
        <v>0.74199999999999999</v>
      </c>
      <c r="AS27" s="1254" t="s">
        <v>165</v>
      </c>
      <c r="AT27" s="1252" t="str">
        <f>IF('Upper Extremity-Right'!T170="","",'Upper Extremity-Right'!T170)</f>
        <v/>
      </c>
      <c r="AU27" s="1252" t="str">
        <f t="shared" si="0"/>
        <v/>
      </c>
      <c r="AV27" s="243">
        <f>IF(AU27="",0,VLOOKUP(AU27,$A$3:$AM$153,10))</f>
        <v>0</v>
      </c>
      <c r="BC27" s="1240" t="s">
        <v>165</v>
      </c>
      <c r="BD27" s="1243" t="str">
        <f>IF('Upper Extremity-Left'!T170="","",'Upper Extremity-Left'!T170)</f>
        <v/>
      </c>
      <c r="BE27" s="1243" t="str">
        <f>IF(BD27="","",ROUND(BD27,0))</f>
        <v/>
      </c>
      <c r="BF27" s="243">
        <f>IF(BE27="",0,VLOOKUP(BE27,$A$3:$AM$153,10))</f>
        <v>0</v>
      </c>
      <c r="BG27" s="74"/>
      <c r="BH27" s="19"/>
    </row>
    <row r="28" spans="1:63" ht="15" customHeight="1" x14ac:dyDescent="0.2">
      <c r="A28" s="1235">
        <v>25</v>
      </c>
      <c r="B28" s="684">
        <v>0.31</v>
      </c>
      <c r="C28" s="684">
        <v>0.08</v>
      </c>
      <c r="D28" s="684">
        <v>0.39</v>
      </c>
      <c r="E28" s="684">
        <v>0.32</v>
      </c>
      <c r="F28" s="684">
        <v>0.155</v>
      </c>
      <c r="G28" s="684">
        <v>0.47499999999999998</v>
      </c>
      <c r="H28" s="684">
        <v>0.28999999999999998</v>
      </c>
      <c r="I28" s="684">
        <v>7.0000000000000007E-2</v>
      </c>
      <c r="J28" s="684">
        <v>0.36</v>
      </c>
      <c r="K28" s="1244">
        <v>0.45</v>
      </c>
      <c r="L28" s="1244">
        <f xml:space="preserve"> 9%</f>
        <v>0.09</v>
      </c>
      <c r="M28" s="1244">
        <f xml:space="preserve"> 54%</f>
        <v>0.54</v>
      </c>
      <c r="N28" s="684">
        <v>0.4</v>
      </c>
      <c r="O28" s="684">
        <v>6.5000000000000002E-2</v>
      </c>
      <c r="P28" s="684">
        <v>0.46500000000000002</v>
      </c>
      <c r="Q28" s="1240">
        <v>0.08</v>
      </c>
      <c r="R28" s="646">
        <v>0.04</v>
      </c>
      <c r="S28" s="1240">
        <v>0.04</v>
      </c>
      <c r="T28" s="1240">
        <v>0.02</v>
      </c>
      <c r="U28" s="1240">
        <v>0.01</v>
      </c>
      <c r="V28" s="1244"/>
      <c r="W28" s="1244">
        <v>0.01</v>
      </c>
      <c r="X28" s="1240"/>
      <c r="Y28" s="1244">
        <v>0.28499999999999998</v>
      </c>
      <c r="Z28" s="1244">
        <v>5.5E-2</v>
      </c>
      <c r="AA28" s="1244">
        <v>0.26</v>
      </c>
      <c r="AB28" s="1244">
        <v>7.0000000000000007E-2</v>
      </c>
      <c r="AC28" s="1244">
        <v>0.51500000000000001</v>
      </c>
      <c r="AD28" s="1244"/>
      <c r="AE28" s="749"/>
      <c r="AF28" s="1244">
        <v>0.01</v>
      </c>
      <c r="AG28" s="1244">
        <v>0.8</v>
      </c>
      <c r="AH28" s="1240">
        <v>0.2</v>
      </c>
      <c r="AI28" s="1244">
        <v>0.32500000000000001</v>
      </c>
      <c r="AJ28" s="1244">
        <v>0.05</v>
      </c>
      <c r="AK28" s="1244">
        <v>0.61499999999999999</v>
      </c>
      <c r="AL28" s="1244">
        <v>0.09</v>
      </c>
      <c r="AM28" s="1244">
        <v>0.745</v>
      </c>
      <c r="BC28" s="1240"/>
      <c r="BD28" s="74"/>
      <c r="BE28" s="74"/>
      <c r="BG28" s="74"/>
      <c r="BH28" s="19"/>
    </row>
    <row r="29" spans="1:63" ht="15" customHeight="1" x14ac:dyDescent="0.2">
      <c r="A29" s="1235">
        <v>26</v>
      </c>
      <c r="B29" s="684">
        <v>0.30399999999999999</v>
      </c>
      <c r="C29" s="684">
        <v>8.4000000000000005E-2</v>
      </c>
      <c r="D29" s="684">
        <v>0.38800000000000001</v>
      </c>
      <c r="E29" s="684">
        <v>0.31</v>
      </c>
      <c r="F29" s="684">
        <v>0.17399999999999999</v>
      </c>
      <c r="G29" s="684">
        <v>0.48399999999999999</v>
      </c>
      <c r="H29" s="684">
        <v>0.28399999999999997</v>
      </c>
      <c r="I29" s="684">
        <v>7.1999999999999995E-2</v>
      </c>
      <c r="J29" s="684">
        <v>0.35599999999999998</v>
      </c>
      <c r="K29" s="1244">
        <v>0.44400000000000001</v>
      </c>
      <c r="L29" s="1244">
        <f xml:space="preserve"> 9.4%</f>
        <v>9.4E-2</v>
      </c>
      <c r="M29" s="1244">
        <f xml:space="preserve"> 53.8%</f>
        <v>0.53799999999999992</v>
      </c>
      <c r="N29" s="684">
        <v>0.39400000000000002</v>
      </c>
      <c r="O29" s="684">
        <v>6.8000000000000005E-2</v>
      </c>
      <c r="P29" s="684">
        <v>0.46200000000000002</v>
      </c>
      <c r="Q29" s="1240">
        <v>0.09</v>
      </c>
      <c r="R29" s="646">
        <v>0.05</v>
      </c>
      <c r="S29" s="1240">
        <v>0.04</v>
      </c>
      <c r="T29" s="1240">
        <v>0.02</v>
      </c>
      <c r="U29" s="1240">
        <v>0.02</v>
      </c>
      <c r="V29" s="1244"/>
      <c r="W29" s="1244">
        <v>8.0000000000000002E-3</v>
      </c>
      <c r="X29" s="1240"/>
      <c r="Y29" s="1244">
        <v>0.29199999999999998</v>
      </c>
      <c r="Z29" s="1244">
        <v>5.3999999999999999E-2</v>
      </c>
      <c r="AA29" s="1244">
        <v>0.25800000000000001</v>
      </c>
      <c r="AB29" s="1244">
        <v>6.8000000000000005E-2</v>
      </c>
      <c r="AC29" s="1244">
        <v>0.52400000000000002</v>
      </c>
      <c r="AD29" s="1244"/>
      <c r="AE29" s="749"/>
      <c r="AF29" s="1244">
        <v>8.0000000000000002E-3</v>
      </c>
      <c r="AG29" s="1244">
        <v>0.82</v>
      </c>
      <c r="AH29" s="1240">
        <v>0.21</v>
      </c>
      <c r="AI29" s="1244">
        <v>0.32200000000000001</v>
      </c>
      <c r="AJ29" s="1244">
        <v>5.1999999999999998E-2</v>
      </c>
      <c r="AK29" s="1244">
        <v>0.61399999999999999</v>
      </c>
      <c r="AL29" s="1244">
        <v>8.7999999999999995E-2</v>
      </c>
      <c r="AM29" s="1244">
        <v>0.748</v>
      </c>
      <c r="AS29" s="1254" t="s">
        <v>641</v>
      </c>
      <c r="AT29" s="1252" t="str">
        <f>IF('Upper Extremity-Right'!T172="","",'Upper Extremity-Right'!T172)</f>
        <v/>
      </c>
      <c r="AU29" s="1252" t="str">
        <f t="shared" si="0"/>
        <v/>
      </c>
      <c r="AV29" s="243">
        <f>IF(AU29="",0,VLOOKUP(AU29,$A$3:$AM$153,11))</f>
        <v>0</v>
      </c>
      <c r="AX29" s="1254" t="s">
        <v>642</v>
      </c>
      <c r="AY29" s="1252" t="str">
        <f>IF('Upper Extremity-Right'!V172="","",'Upper Extremity-Right'!V172)</f>
        <v/>
      </c>
      <c r="AZ29" s="1252" t="str">
        <f>IF(AY29="","",ROUND(AY29,0))</f>
        <v/>
      </c>
      <c r="BA29" s="243">
        <f>IF(AZ29="",0,VLOOKUP(AZ29,$A$3:$AM$153,11))</f>
        <v>0</v>
      </c>
      <c r="BC29" s="1240" t="s">
        <v>641</v>
      </c>
      <c r="BD29" s="1243" t="str">
        <f>IF('Upper Extremity-Left'!T172="","",'Upper Extremity-Left'!T172)</f>
        <v/>
      </c>
      <c r="BE29" s="1243" t="str">
        <f>IF(BD29="","",ROUND(BD29,0))</f>
        <v/>
      </c>
      <c r="BF29" s="243">
        <f>IF(BE29="",0,VLOOKUP(BE29,$A$3:$AM$153,11))</f>
        <v>0</v>
      </c>
      <c r="BG29" s="74"/>
      <c r="BH29" s="1240" t="s">
        <v>642</v>
      </c>
      <c r="BI29" s="1243" t="str">
        <f>IF('Upper Extremity-Left'!V172="","",'Upper Extremity-Left'!V172)</f>
        <v/>
      </c>
      <c r="BJ29" s="1243" t="str">
        <f>IF(BI29="","",ROUND(BI29,0))</f>
        <v/>
      </c>
      <c r="BK29" s="243">
        <f>IF(BJ29="",0,VLOOKUP(BJ29,$A$3:$AM$153,11))</f>
        <v>0</v>
      </c>
    </row>
    <row r="30" spans="1:63" ht="15" customHeight="1" x14ac:dyDescent="0.2">
      <c r="A30" s="1235">
        <v>27</v>
      </c>
      <c r="B30" s="684">
        <v>0.29799999999999999</v>
      </c>
      <c r="C30" s="684">
        <v>8.7999999999999995E-2</v>
      </c>
      <c r="D30" s="684">
        <v>0.38600000000000001</v>
      </c>
      <c r="E30" s="684">
        <v>0.3</v>
      </c>
      <c r="F30" s="684">
        <v>0.193</v>
      </c>
      <c r="G30" s="684">
        <v>0.49299999999999999</v>
      </c>
      <c r="H30" s="684">
        <v>0.27800000000000002</v>
      </c>
      <c r="I30" s="684">
        <v>7.3999999999999996E-2</v>
      </c>
      <c r="J30" s="684">
        <v>0.35199999999999998</v>
      </c>
      <c r="K30" s="1244">
        <v>0.438</v>
      </c>
      <c r="L30" s="1244">
        <f xml:space="preserve"> 9.8%</f>
        <v>9.8000000000000004E-2</v>
      </c>
      <c r="M30" s="1244">
        <f xml:space="preserve"> 53.6%</f>
        <v>0.53600000000000003</v>
      </c>
      <c r="N30" s="684">
        <v>0.38800000000000001</v>
      </c>
      <c r="O30" s="684">
        <v>7.0999999999999994E-2</v>
      </c>
      <c r="P30" s="684">
        <v>0.45900000000000002</v>
      </c>
      <c r="Q30" s="1240">
        <v>0.09</v>
      </c>
      <c r="R30" s="646">
        <v>0.05</v>
      </c>
      <c r="S30" s="1240">
        <v>0.04</v>
      </c>
      <c r="T30" s="1240">
        <v>0.02</v>
      </c>
      <c r="U30" s="1240">
        <v>0.02</v>
      </c>
      <c r="V30" s="1244"/>
      <c r="W30" s="1244">
        <v>6.0000000000000001E-3</v>
      </c>
      <c r="X30" s="1240"/>
      <c r="Y30" s="1244">
        <v>0.29899999999999999</v>
      </c>
      <c r="Z30" s="1244">
        <v>5.2999999999999999E-2</v>
      </c>
      <c r="AA30" s="1244">
        <v>0.25600000000000001</v>
      </c>
      <c r="AB30" s="1244">
        <v>6.6000000000000003E-2</v>
      </c>
      <c r="AC30" s="1244">
        <v>0.53300000000000003</v>
      </c>
      <c r="AD30" s="1244"/>
      <c r="AE30" s="749"/>
      <c r="AF30" s="1244">
        <v>6.0000000000000001E-3</v>
      </c>
      <c r="AG30" s="1244">
        <v>0.84</v>
      </c>
      <c r="AH30" s="1240">
        <v>0.22</v>
      </c>
      <c r="AI30" s="1244">
        <v>0.31900000000000001</v>
      </c>
      <c r="AJ30" s="1244">
        <v>5.3999999999999999E-2</v>
      </c>
      <c r="AK30" s="1244">
        <v>0.61299999999999999</v>
      </c>
      <c r="AL30" s="1244">
        <v>8.5999999999999993E-2</v>
      </c>
      <c r="AM30" s="1244">
        <v>0.751</v>
      </c>
      <c r="AS30" s="1254" t="s">
        <v>455</v>
      </c>
      <c r="AT30" s="1252" t="str">
        <f>IF('Upper Extremity-Right'!T173="","",'Upper Extremity-Right'!T173)</f>
        <v/>
      </c>
      <c r="AU30" s="1252" t="str">
        <f t="shared" si="0"/>
        <v/>
      </c>
      <c r="AV30" s="243">
        <f>IF(AU30="",0,VLOOKUP(AU30,$A$3:$AM$153,12))</f>
        <v>0</v>
      </c>
      <c r="AX30" s="1254" t="s">
        <v>642</v>
      </c>
      <c r="AY30" s="1252" t="str">
        <f>IF('Upper Extremity-Right'!V173="","",'Upper Extremity-Right'!V173)</f>
        <v/>
      </c>
      <c r="AZ30" s="1252" t="str">
        <f>IF(AY30="","",ROUND(AY30,0))</f>
        <v/>
      </c>
      <c r="BA30" s="243">
        <f>IF(AZ30="",0,VLOOKUP(AZ30,$A$3:$AM$153,12))</f>
        <v>0</v>
      </c>
      <c r="BC30" s="1240" t="s">
        <v>455</v>
      </c>
      <c r="BD30" s="1243" t="str">
        <f>IF('Upper Extremity-Left'!T173="","",'Upper Extremity-Left'!T173)</f>
        <v/>
      </c>
      <c r="BE30" s="1243" t="str">
        <f>IF(BD30="","",ROUND(BD30,0))</f>
        <v/>
      </c>
      <c r="BF30" s="243">
        <f>IF(BE30="",0,VLOOKUP(BE30,$A$3:$AM$153,12))</f>
        <v>0</v>
      </c>
      <c r="BG30" s="74"/>
      <c r="BH30" s="1240" t="s">
        <v>642</v>
      </c>
      <c r="BI30" s="1243" t="str">
        <f>IF('Upper Extremity-Left'!V173="","",'Upper Extremity-Left'!V173)</f>
        <v/>
      </c>
      <c r="BJ30" s="1243" t="str">
        <f>IF(BI30="","",ROUND(BI30,0))</f>
        <v/>
      </c>
      <c r="BK30" s="243">
        <f>IF(BJ30="",0,VLOOKUP(BJ30,$A$3:$AM$153,12))</f>
        <v>0</v>
      </c>
    </row>
    <row r="31" spans="1:63" ht="15" customHeight="1" x14ac:dyDescent="0.2">
      <c r="A31" s="1235">
        <v>28</v>
      </c>
      <c r="B31" s="684">
        <v>0.29199999999999998</v>
      </c>
      <c r="C31" s="684">
        <v>9.1999999999999998E-2</v>
      </c>
      <c r="D31" s="684">
        <v>0.38400000000000001</v>
      </c>
      <c r="E31" s="684">
        <v>0.28999999999999998</v>
      </c>
      <c r="F31" s="684">
        <v>0.21199999999999999</v>
      </c>
      <c r="G31" s="684">
        <v>0.502</v>
      </c>
      <c r="H31" s="684">
        <v>0.27200000000000002</v>
      </c>
      <c r="I31" s="684">
        <v>7.5999999999999998E-2</v>
      </c>
      <c r="J31" s="684">
        <v>0.34799999999999998</v>
      </c>
      <c r="K31" s="1244">
        <v>0.432</v>
      </c>
      <c r="L31" s="1244">
        <f xml:space="preserve"> 10.2%</f>
        <v>0.10199999999999999</v>
      </c>
      <c r="M31" s="1244">
        <f xml:space="preserve"> 53.4%</f>
        <v>0.53400000000000003</v>
      </c>
      <c r="N31" s="684">
        <v>0.38200000000000001</v>
      </c>
      <c r="O31" s="684">
        <v>7.3999999999999996E-2</v>
      </c>
      <c r="P31" s="684">
        <v>0.45600000000000002</v>
      </c>
      <c r="Q31" s="1240">
        <v>0.09</v>
      </c>
      <c r="R31" s="646">
        <v>0.05</v>
      </c>
      <c r="S31" s="1240">
        <v>0.05</v>
      </c>
      <c r="T31" s="1240">
        <v>0.02</v>
      </c>
      <c r="U31" s="1240">
        <v>0.02</v>
      </c>
      <c r="V31" s="1244"/>
      <c r="W31" s="1244">
        <v>4.0000000000000001E-3</v>
      </c>
      <c r="X31" s="1240"/>
      <c r="Y31" s="1244">
        <v>0.30599999999999999</v>
      </c>
      <c r="Z31" s="1244">
        <v>5.1999999999999998E-2</v>
      </c>
      <c r="AA31" s="1244">
        <v>0.254</v>
      </c>
      <c r="AB31" s="1244">
        <v>6.4000000000000001E-2</v>
      </c>
      <c r="AC31" s="1244">
        <v>0.54200000000000004</v>
      </c>
      <c r="AD31" s="1244"/>
      <c r="AE31" s="749"/>
      <c r="AF31" s="1244">
        <v>4.0000000000000001E-3</v>
      </c>
      <c r="AG31" s="1244">
        <v>0.86</v>
      </c>
      <c r="AH31" s="1240">
        <v>0.23</v>
      </c>
      <c r="AI31" s="1244">
        <v>0.316</v>
      </c>
      <c r="AJ31" s="1244">
        <v>5.6000000000000001E-2</v>
      </c>
      <c r="AK31" s="1244">
        <v>0.61199999999999999</v>
      </c>
      <c r="AL31" s="1244">
        <v>8.4000000000000005E-2</v>
      </c>
      <c r="AM31" s="1244">
        <v>0.754</v>
      </c>
      <c r="AS31" s="1254" t="s">
        <v>456</v>
      </c>
      <c r="AT31" s="1252" t="str">
        <f>IF('Upper Extremity-Right'!T174="","",'Upper Extremity-Right'!T174)</f>
        <v/>
      </c>
      <c r="AU31" s="1252" t="str">
        <f t="shared" si="0"/>
        <v/>
      </c>
      <c r="AV31" s="243">
        <f>IF(AU31="",0,VLOOKUP(AU31,$A$3:$AM$153,13))</f>
        <v>0</v>
      </c>
      <c r="BC31" s="1240" t="s">
        <v>456</v>
      </c>
      <c r="BD31" s="1243" t="str">
        <f>IF('Upper Extremity-Left'!T174="","",'Upper Extremity-Left'!T174)</f>
        <v/>
      </c>
      <c r="BE31" s="1243" t="str">
        <f>IF(BD31="","",ROUND(BD31,0))</f>
        <v/>
      </c>
      <c r="BF31" s="243">
        <f>IF(BE31="",0,VLOOKUP(BE31,$A$3:$AM$153,13))</f>
        <v>0</v>
      </c>
      <c r="BG31" s="74"/>
      <c r="BH31" s="19"/>
    </row>
    <row r="32" spans="1:63" ht="15" customHeight="1" x14ac:dyDescent="0.2">
      <c r="A32" s="1235">
        <v>29</v>
      </c>
      <c r="B32" s="684">
        <v>0.28599999999999998</v>
      </c>
      <c r="C32" s="684">
        <v>9.6000000000000002E-2</v>
      </c>
      <c r="D32" s="684">
        <v>0.38200000000000001</v>
      </c>
      <c r="E32" s="684">
        <v>0.28000000000000003</v>
      </c>
      <c r="F32" s="684">
        <v>0.23100000000000001</v>
      </c>
      <c r="G32" s="684">
        <v>0.51100000000000001</v>
      </c>
      <c r="H32" s="684">
        <v>0.26600000000000001</v>
      </c>
      <c r="I32" s="684">
        <v>7.8E-2</v>
      </c>
      <c r="J32" s="684">
        <v>0.34399999999999997</v>
      </c>
      <c r="K32" s="1244">
        <v>0.42599999999999999</v>
      </c>
      <c r="L32" s="1244">
        <f xml:space="preserve"> 10.6%</f>
        <v>0.106</v>
      </c>
      <c r="M32" s="1244">
        <f xml:space="preserve"> 53.2%</f>
        <v>0.53200000000000003</v>
      </c>
      <c r="N32" s="684">
        <v>0.376</v>
      </c>
      <c r="O32" s="684">
        <v>7.6999999999999999E-2</v>
      </c>
      <c r="P32" s="684">
        <v>0.45300000000000001</v>
      </c>
      <c r="Q32" s="1240">
        <v>0.1</v>
      </c>
      <c r="R32" s="646">
        <v>0.05</v>
      </c>
      <c r="S32" s="1240">
        <v>0.05</v>
      </c>
      <c r="T32" s="1240">
        <v>0.02</v>
      </c>
      <c r="U32" s="1240">
        <v>0.02</v>
      </c>
      <c r="V32" s="1244"/>
      <c r="W32" s="1244">
        <v>2E-3</v>
      </c>
      <c r="X32" s="1240"/>
      <c r="Y32" s="1244">
        <v>0.313</v>
      </c>
      <c r="Z32" s="1244">
        <v>5.0999999999999997E-2</v>
      </c>
      <c r="AA32" s="1244">
        <v>0.252</v>
      </c>
      <c r="AB32" s="1244">
        <v>6.2E-2</v>
      </c>
      <c r="AC32" s="1244">
        <v>0.55100000000000005</v>
      </c>
      <c r="AD32" s="1244"/>
      <c r="AE32" s="749"/>
      <c r="AF32" s="1244">
        <v>2E-3</v>
      </c>
      <c r="AG32" s="1244">
        <v>0.88</v>
      </c>
      <c r="AH32" s="1240">
        <v>0.23</v>
      </c>
      <c r="AI32" s="1244">
        <v>0.313</v>
      </c>
      <c r="AJ32" s="1244">
        <v>5.8000000000000003E-2</v>
      </c>
      <c r="AK32" s="1244">
        <v>0.61099999999999999</v>
      </c>
      <c r="AL32" s="1244">
        <v>8.2000000000000003E-2</v>
      </c>
      <c r="AM32" s="1244">
        <v>0.75700000000000001</v>
      </c>
      <c r="BC32" s="1240"/>
      <c r="BD32" s="74"/>
      <c r="BE32" s="74"/>
      <c r="BG32" s="74"/>
      <c r="BH32" s="19"/>
    </row>
    <row r="33" spans="1:63" ht="15" customHeight="1" x14ac:dyDescent="0.2">
      <c r="A33" s="1235">
        <v>30</v>
      </c>
      <c r="B33" s="684">
        <v>0.28000000000000003</v>
      </c>
      <c r="C33" s="684">
        <v>0.1</v>
      </c>
      <c r="D33" s="684">
        <v>0.38</v>
      </c>
      <c r="E33" s="684">
        <v>0.27</v>
      </c>
      <c r="F33" s="684">
        <v>0.25</v>
      </c>
      <c r="G33" s="684">
        <v>0.52</v>
      </c>
      <c r="H33" s="684">
        <v>0.26</v>
      </c>
      <c r="I33" s="684">
        <v>0.08</v>
      </c>
      <c r="J33" s="684">
        <v>0.34</v>
      </c>
      <c r="K33" s="1244">
        <v>0.42</v>
      </c>
      <c r="L33" s="1244">
        <f xml:space="preserve"> 11%</f>
        <v>0.11</v>
      </c>
      <c r="M33" s="1244">
        <f xml:space="preserve"> 53%</f>
        <v>0.53</v>
      </c>
      <c r="N33" s="684">
        <v>0.37</v>
      </c>
      <c r="O33" s="684">
        <v>0.08</v>
      </c>
      <c r="P33" s="684">
        <v>0.45</v>
      </c>
      <c r="Q33" s="1240">
        <v>0.1</v>
      </c>
      <c r="R33" s="646">
        <v>0.05</v>
      </c>
      <c r="S33" s="1240">
        <v>0.05</v>
      </c>
      <c r="T33" s="1240">
        <v>0.02</v>
      </c>
      <c r="U33" s="1240">
        <v>0.02</v>
      </c>
      <c r="V33" s="1244"/>
      <c r="W33" s="1244">
        <v>0</v>
      </c>
      <c r="X33" s="1240"/>
      <c r="Y33" s="1244">
        <v>0.32</v>
      </c>
      <c r="Z33" s="1244">
        <v>0.05</v>
      </c>
      <c r="AA33" s="1244">
        <v>0.25</v>
      </c>
      <c r="AB33" s="1244">
        <v>0.06</v>
      </c>
      <c r="AC33" s="1244">
        <v>0.56000000000000005</v>
      </c>
      <c r="AD33" s="1244"/>
      <c r="AE33" s="749"/>
      <c r="AF33" s="1244">
        <v>0</v>
      </c>
      <c r="AG33" s="1244">
        <v>0.9</v>
      </c>
      <c r="AH33" s="1240">
        <v>0.24</v>
      </c>
      <c r="AI33" s="1244">
        <v>0.31</v>
      </c>
      <c r="AJ33" s="1244">
        <v>0.06</v>
      </c>
      <c r="AK33" s="1244">
        <v>0.61</v>
      </c>
      <c r="AL33" s="1244">
        <v>0.08</v>
      </c>
      <c r="AM33" s="1244">
        <v>0.76</v>
      </c>
      <c r="AS33" s="1254" t="s">
        <v>457</v>
      </c>
      <c r="AT33" s="1252" t="str">
        <f>IF('Upper Extremity-Right'!T176="","",'Upper Extremity-Right'!T176)</f>
        <v/>
      </c>
      <c r="AU33" s="1252" t="str">
        <f t="shared" si="0"/>
        <v/>
      </c>
      <c r="AV33" s="243">
        <f>IF(AU33="",0,VLOOKUP(AU33,$A$3:$AM$153,14))</f>
        <v>0</v>
      </c>
      <c r="AX33" s="1254" t="s">
        <v>458</v>
      </c>
      <c r="AY33" s="1252" t="str">
        <f>IF('Upper Extremity-Right'!V176="","",'Upper Extremity-Right'!V176)</f>
        <v/>
      </c>
      <c r="AZ33" s="1252" t="str">
        <f>IF(AY33="","",ROUND(AY33,0))</f>
        <v/>
      </c>
      <c r="BA33" s="243">
        <f>IF(AZ33="",0,VLOOKUP(AZ33,$A$3:$AM$153,14))</f>
        <v>0</v>
      </c>
      <c r="BC33" s="1240" t="s">
        <v>457</v>
      </c>
      <c r="BD33" s="1243" t="str">
        <f>IF('Upper Extremity-Left'!T176="","",'Upper Extremity-Left'!T176)</f>
        <v/>
      </c>
      <c r="BE33" s="1243" t="str">
        <f>IF(BD33="","",ROUND(BD33,0))</f>
        <v/>
      </c>
      <c r="BF33" s="243">
        <f>IF(BE33="",0,VLOOKUP(BE33,$A$3:$AM$153,14))</f>
        <v>0</v>
      </c>
      <c r="BG33" s="74"/>
      <c r="BH33" s="1240" t="s">
        <v>458</v>
      </c>
      <c r="BI33" s="1243" t="str">
        <f>IF('Upper Extremity-Left'!V176="","",'Upper Extremity-Left'!V176)</f>
        <v/>
      </c>
      <c r="BJ33" s="1243" t="str">
        <f>IF(BI33="","",ROUND(BI33,0))</f>
        <v/>
      </c>
      <c r="BK33" s="243">
        <f>IF(BJ33="",0,VLOOKUP(BJ33,$A$3:$AM$153,14))</f>
        <v>0</v>
      </c>
    </row>
    <row r="34" spans="1:63" ht="15" customHeight="1" x14ac:dyDescent="0.2">
      <c r="A34" s="1235">
        <v>31</v>
      </c>
      <c r="B34" s="684">
        <v>0.27500000000000002</v>
      </c>
      <c r="C34" s="684">
        <v>0.10199999999999999</v>
      </c>
      <c r="D34" s="684">
        <v>0.377</v>
      </c>
      <c r="E34" s="684">
        <v>0.26100000000000001</v>
      </c>
      <c r="F34" s="684">
        <v>0.26800000000000002</v>
      </c>
      <c r="G34" s="684">
        <v>0.52900000000000003</v>
      </c>
      <c r="H34" s="684">
        <v>0.253</v>
      </c>
      <c r="I34" s="684">
        <v>8.3000000000000004E-2</v>
      </c>
      <c r="J34" s="684">
        <v>0.33600000000000002</v>
      </c>
      <c r="K34" s="1244">
        <v>0.41399999999999998</v>
      </c>
      <c r="L34" s="1244">
        <f xml:space="preserve"> 11.3%</f>
        <v>0.113</v>
      </c>
      <c r="M34" s="1244">
        <f xml:space="preserve"> 52.7%</f>
        <v>0.52700000000000002</v>
      </c>
      <c r="N34" s="684">
        <v>0.36399999999999999</v>
      </c>
      <c r="O34" s="684">
        <v>9.5000000000000001E-2</v>
      </c>
      <c r="P34" s="684">
        <v>0.45900000000000002</v>
      </c>
      <c r="Q34" s="1240">
        <v>0.1</v>
      </c>
      <c r="R34" s="646">
        <v>0.05</v>
      </c>
      <c r="S34" s="1240">
        <v>0.05</v>
      </c>
      <c r="T34" s="1240">
        <v>0.03</v>
      </c>
      <c r="U34" s="1240">
        <v>0.02</v>
      </c>
      <c r="V34" s="1244"/>
      <c r="W34" s="1244"/>
      <c r="X34" s="1240"/>
      <c r="Y34" s="1244"/>
      <c r="Z34" s="1244">
        <v>4.8000000000000001E-2</v>
      </c>
      <c r="AA34" s="1244">
        <v>0.27200000000000002</v>
      </c>
      <c r="AB34" s="1244">
        <v>5.8999999999999997E-2</v>
      </c>
      <c r="AC34" s="1244">
        <v>0.56799999999999995</v>
      </c>
      <c r="AD34" s="1244"/>
      <c r="AE34" s="749"/>
      <c r="AF34" s="1244"/>
      <c r="AG34" s="1244"/>
      <c r="AH34" s="1240">
        <v>0.25</v>
      </c>
      <c r="AI34" s="1244">
        <v>0.308</v>
      </c>
      <c r="AJ34" s="1244">
        <v>6.2E-2</v>
      </c>
      <c r="AK34" s="1244">
        <v>0.60799999999999998</v>
      </c>
      <c r="AL34" s="1244">
        <v>7.9000000000000001E-2</v>
      </c>
      <c r="AM34" s="1244">
        <v>0.76400000000000001</v>
      </c>
      <c r="AS34" s="1254" t="s">
        <v>459</v>
      </c>
      <c r="AT34" s="1252" t="str">
        <f>IF('Upper Extremity-Right'!T177="","",'Upper Extremity-Right'!T177)</f>
        <v/>
      </c>
      <c r="AU34" s="1252" t="str">
        <f t="shared" si="0"/>
        <v/>
      </c>
      <c r="AV34" s="243">
        <f>IF(AU34="",0,VLOOKUP(AU34,$A$3:$AM$153,15))</f>
        <v>0</v>
      </c>
      <c r="AX34" s="1254" t="s">
        <v>458</v>
      </c>
      <c r="AY34" s="1252" t="str">
        <f>IF('Upper Extremity-Right'!V177="","",'Upper Extremity-Right'!V177)</f>
        <v/>
      </c>
      <c r="AZ34" s="1252" t="str">
        <f>IF(AY34="","",ROUND(AY34,0))</f>
        <v/>
      </c>
      <c r="BA34" s="243">
        <f>IF(AZ34="",0,VLOOKUP(AZ34,$A$3:$AM$153,15))</f>
        <v>0</v>
      </c>
      <c r="BC34" s="1240" t="s">
        <v>459</v>
      </c>
      <c r="BD34" s="1243" t="str">
        <f>IF('Upper Extremity-Left'!T177="","",'Upper Extremity-Left'!T177)</f>
        <v/>
      </c>
      <c r="BE34" s="1243" t="str">
        <f>IF(BD34="","",ROUND(BD34,0))</f>
        <v/>
      </c>
      <c r="BF34" s="243">
        <f>IF(BE34="",0,VLOOKUP(BE34,$A$3:$AM$153,15))</f>
        <v>0</v>
      </c>
      <c r="BG34" s="74"/>
      <c r="BH34" s="1240" t="s">
        <v>458</v>
      </c>
      <c r="BI34" s="1243" t="str">
        <f>IF('Upper Extremity-Left'!V177="","",'Upper Extremity-Left'!V177)</f>
        <v/>
      </c>
      <c r="BJ34" s="1243" t="str">
        <f>IF(BI34="","",ROUND(BI34,0))</f>
        <v/>
      </c>
      <c r="BK34" s="243">
        <f>IF(BJ34="",0,VLOOKUP(BJ34,$A$3:$AM$153,15))</f>
        <v>0</v>
      </c>
    </row>
    <row r="35" spans="1:63" ht="15" customHeight="1" x14ac:dyDescent="0.2">
      <c r="A35" s="1235">
        <v>32</v>
      </c>
      <c r="B35" s="684">
        <v>0.27</v>
      </c>
      <c r="C35" s="684">
        <v>0.104</v>
      </c>
      <c r="D35" s="684">
        <v>0.374</v>
      </c>
      <c r="E35" s="684">
        <v>0.252</v>
      </c>
      <c r="F35" s="684">
        <v>0.28599999999999998</v>
      </c>
      <c r="G35" s="684">
        <v>0.53800000000000003</v>
      </c>
      <c r="H35" s="684">
        <v>0.246</v>
      </c>
      <c r="I35" s="684">
        <v>8.5999999999999993E-2</v>
      </c>
      <c r="J35" s="684">
        <v>0.33200000000000002</v>
      </c>
      <c r="K35" s="1244">
        <v>0.40799999999999997</v>
      </c>
      <c r="L35" s="1244">
        <f xml:space="preserve"> 11.6%</f>
        <v>0.11599999999999999</v>
      </c>
      <c r="M35" s="1244">
        <f xml:space="preserve"> 52.4%</f>
        <v>0.52400000000000002</v>
      </c>
      <c r="N35" s="684">
        <v>0.35799999999999998</v>
      </c>
      <c r="O35" s="684">
        <v>0.11</v>
      </c>
      <c r="P35" s="684">
        <v>0.46800000000000003</v>
      </c>
      <c r="Q35" s="1240">
        <v>0.11</v>
      </c>
      <c r="R35" s="646">
        <v>0.06</v>
      </c>
      <c r="S35" s="1240">
        <v>0.05</v>
      </c>
      <c r="T35" s="1240">
        <v>0.03</v>
      </c>
      <c r="U35" s="1240">
        <v>0.02</v>
      </c>
      <c r="V35" s="1244"/>
      <c r="W35" s="1244"/>
      <c r="X35" s="1240"/>
      <c r="Y35" s="1244"/>
      <c r="Z35" s="1244">
        <v>4.5999999999999999E-2</v>
      </c>
      <c r="AA35" s="1244">
        <v>0.29399999999999998</v>
      </c>
      <c r="AB35" s="1244">
        <v>5.8000000000000003E-2</v>
      </c>
      <c r="AC35" s="1244">
        <v>0.57599999999999996</v>
      </c>
      <c r="AD35" s="1244"/>
      <c r="AE35" s="749"/>
      <c r="AF35" s="1244"/>
      <c r="AG35" s="1244"/>
      <c r="AH35" s="1240">
        <v>0.26</v>
      </c>
      <c r="AI35" s="1244">
        <v>0.30599999999999999</v>
      </c>
      <c r="AJ35" s="1244">
        <v>6.4000000000000001E-2</v>
      </c>
      <c r="AK35" s="1244">
        <v>0.60599999999999998</v>
      </c>
      <c r="AL35" s="1244">
        <v>7.8E-2</v>
      </c>
      <c r="AM35" s="1244">
        <v>0.76800000000000002</v>
      </c>
      <c r="AS35" s="1254" t="s">
        <v>460</v>
      </c>
      <c r="AT35" s="1252" t="str">
        <f>IF('Upper Extremity-Right'!T178="","",'Upper Extremity-Right'!T178)</f>
        <v/>
      </c>
      <c r="AU35" s="1252" t="str">
        <f t="shared" si="0"/>
        <v/>
      </c>
      <c r="AV35" s="243">
        <f>IF(AU35="",0,VLOOKUP(AU35,$A$3:$AM$153,16))</f>
        <v>0</v>
      </c>
      <c r="BC35" s="1240" t="s">
        <v>460</v>
      </c>
      <c r="BD35" s="1243" t="str">
        <f>IF('Upper Extremity-Left'!T178="","",'Upper Extremity-Left'!T178)</f>
        <v/>
      </c>
      <c r="BE35" s="1243" t="str">
        <f>IF(BD35="","",ROUND(BD35,0))</f>
        <v/>
      </c>
      <c r="BF35" s="243">
        <f>IF(BE35="",0,VLOOKUP(BE35,$A$3:$AM$153,16))</f>
        <v>0</v>
      </c>
      <c r="BG35" s="74"/>
      <c r="BH35" s="19"/>
    </row>
    <row r="36" spans="1:63" ht="15" customHeight="1" x14ac:dyDescent="0.2">
      <c r="A36" s="1235">
        <v>33</v>
      </c>
      <c r="B36" s="684">
        <v>0.26500000000000001</v>
      </c>
      <c r="C36" s="684">
        <v>0.106</v>
      </c>
      <c r="D36" s="684">
        <v>0.371</v>
      </c>
      <c r="E36" s="684">
        <v>0.24299999999999999</v>
      </c>
      <c r="F36" s="684">
        <v>0.30399999999999999</v>
      </c>
      <c r="G36" s="684">
        <v>0.54700000000000004</v>
      </c>
      <c r="H36" s="684">
        <v>0.23899999999999999</v>
      </c>
      <c r="I36" s="684">
        <v>8.8999999999999996E-2</v>
      </c>
      <c r="J36" s="684">
        <v>0.32800000000000001</v>
      </c>
      <c r="K36" s="1244">
        <v>0.40200000000000002</v>
      </c>
      <c r="L36" s="1244">
        <f xml:space="preserve"> 11.9%</f>
        <v>0.11900000000000001</v>
      </c>
      <c r="M36" s="1244">
        <f xml:space="preserve"> 52.1%</f>
        <v>0.52100000000000002</v>
      </c>
      <c r="N36" s="684">
        <v>0.35199999999999998</v>
      </c>
      <c r="O36" s="684">
        <v>0.125</v>
      </c>
      <c r="P36" s="684">
        <v>0.47699999999999998</v>
      </c>
      <c r="Q36" s="1240">
        <v>0.11</v>
      </c>
      <c r="R36" s="646">
        <v>0.06</v>
      </c>
      <c r="S36" s="1240">
        <v>0.05</v>
      </c>
      <c r="T36" s="1240">
        <v>0.03</v>
      </c>
      <c r="U36" s="1240">
        <v>0.02</v>
      </c>
      <c r="V36" s="1244"/>
      <c r="W36" s="1244"/>
      <c r="X36" s="1240"/>
      <c r="Y36" s="1244"/>
      <c r="Z36" s="1244">
        <v>4.3999999999999997E-2</v>
      </c>
      <c r="AA36" s="1244">
        <v>0.316</v>
      </c>
      <c r="AB36" s="1244">
        <v>5.7000000000000002E-2</v>
      </c>
      <c r="AC36" s="1244">
        <v>0.58399999999999996</v>
      </c>
      <c r="AD36" s="1244"/>
      <c r="AE36" s="749"/>
      <c r="AF36" s="1244"/>
      <c r="AG36" s="1244"/>
      <c r="AH36" s="1240">
        <v>0.27</v>
      </c>
      <c r="AI36" s="1244">
        <v>0.30399999999999999</v>
      </c>
      <c r="AJ36" s="1244">
        <v>6.6000000000000003E-2</v>
      </c>
      <c r="AK36" s="1244">
        <v>0.60399999999999998</v>
      </c>
      <c r="AL36" s="1244">
        <v>7.6999999999999999E-2</v>
      </c>
      <c r="AM36" s="1244">
        <v>0.77200000000000002</v>
      </c>
      <c r="BC36" s="1240"/>
      <c r="BD36" s="74"/>
      <c r="BE36" s="74"/>
      <c r="BG36" s="74"/>
      <c r="BH36" s="19"/>
    </row>
    <row r="37" spans="1:63" ht="15" customHeight="1" x14ac:dyDescent="0.2">
      <c r="A37" s="1235">
        <v>34</v>
      </c>
      <c r="B37" s="684">
        <v>0.26</v>
      </c>
      <c r="C37" s="684">
        <v>0.108</v>
      </c>
      <c r="D37" s="684">
        <v>0.36799999999999999</v>
      </c>
      <c r="E37" s="684">
        <v>0.23400000000000001</v>
      </c>
      <c r="F37" s="684">
        <v>0.32200000000000001</v>
      </c>
      <c r="G37" s="684">
        <v>0.55600000000000005</v>
      </c>
      <c r="H37" s="684">
        <v>0.23200000000000001</v>
      </c>
      <c r="I37" s="684">
        <v>9.1999999999999998E-2</v>
      </c>
      <c r="J37" s="684">
        <v>0.32400000000000001</v>
      </c>
      <c r="K37" s="1244">
        <v>0.39600000000000002</v>
      </c>
      <c r="L37" s="1244">
        <f xml:space="preserve"> 12.2%</f>
        <v>0.122</v>
      </c>
      <c r="M37" s="1244">
        <f xml:space="preserve"> 51.8%</f>
        <v>0.51800000000000002</v>
      </c>
      <c r="N37" s="684">
        <v>0.34599999999999997</v>
      </c>
      <c r="O37" s="684">
        <v>0.14000000000000001</v>
      </c>
      <c r="P37" s="684">
        <v>0.48599999999999999</v>
      </c>
      <c r="Q37" s="1240">
        <v>0.11</v>
      </c>
      <c r="R37" s="646">
        <v>0.06</v>
      </c>
      <c r="S37" s="1240">
        <v>0.05</v>
      </c>
      <c r="T37" s="1240">
        <v>0.03</v>
      </c>
      <c r="U37" s="1240">
        <v>0.02</v>
      </c>
      <c r="V37" s="1244"/>
      <c r="W37" s="1244"/>
      <c r="X37" s="1240"/>
      <c r="Y37" s="1244"/>
      <c r="Z37" s="1244">
        <v>4.2000000000000003E-2</v>
      </c>
      <c r="AA37" s="1244">
        <v>0.33800000000000002</v>
      </c>
      <c r="AB37" s="1244">
        <v>5.6000000000000001E-2</v>
      </c>
      <c r="AC37" s="1244">
        <v>0.59199999999999997</v>
      </c>
      <c r="AD37" s="1244"/>
      <c r="AE37" s="749"/>
      <c r="AF37" s="1244"/>
      <c r="AG37" s="1244"/>
      <c r="AH37" s="1240">
        <v>0.27</v>
      </c>
      <c r="AI37" s="1244">
        <v>0.30199999999999999</v>
      </c>
      <c r="AJ37" s="1244">
        <v>6.8000000000000005E-2</v>
      </c>
      <c r="AK37" s="1244">
        <v>0.60199999999999998</v>
      </c>
      <c r="AL37" s="1244">
        <v>7.5999999999999998E-2</v>
      </c>
      <c r="AM37" s="1244">
        <v>0.77600000000000002</v>
      </c>
      <c r="AS37" s="1254" t="s">
        <v>1569</v>
      </c>
      <c r="BC37" s="1240" t="s">
        <v>1569</v>
      </c>
      <c r="BD37" s="74"/>
      <c r="BE37" s="74"/>
      <c r="BG37" s="74"/>
      <c r="BH37" s="19"/>
    </row>
    <row r="38" spans="1:63" ht="15" customHeight="1" x14ac:dyDescent="0.2">
      <c r="A38" s="1235">
        <v>35</v>
      </c>
      <c r="B38" s="684">
        <v>0.255</v>
      </c>
      <c r="C38" s="684">
        <v>0.11</v>
      </c>
      <c r="D38" s="684">
        <v>0.36499999999999999</v>
      </c>
      <c r="E38" s="684">
        <v>0.22500000000000001</v>
      </c>
      <c r="F38" s="684">
        <v>0.34</v>
      </c>
      <c r="G38" s="684">
        <v>0.56499999999999995</v>
      </c>
      <c r="H38" s="684">
        <v>0.22500000000000001</v>
      </c>
      <c r="I38" s="684">
        <v>9.5000000000000001E-2</v>
      </c>
      <c r="J38" s="684">
        <v>0.32</v>
      </c>
      <c r="K38" s="1244">
        <v>0.39</v>
      </c>
      <c r="L38" s="1244">
        <f xml:space="preserve"> 12.5%</f>
        <v>0.125</v>
      </c>
      <c r="M38" s="1244">
        <f xml:space="preserve"> 51.5%</f>
        <v>0.51500000000000001</v>
      </c>
      <c r="N38" s="684">
        <v>0.34</v>
      </c>
      <c r="O38" s="684">
        <v>0.155</v>
      </c>
      <c r="P38" s="684">
        <v>0.495</v>
      </c>
      <c r="Q38" s="1240">
        <v>0.12</v>
      </c>
      <c r="R38" s="646">
        <v>0.06</v>
      </c>
      <c r="S38" s="1240">
        <v>0.06</v>
      </c>
      <c r="T38" s="1240">
        <v>0.03</v>
      </c>
      <c r="U38" s="1240">
        <v>0.02</v>
      </c>
      <c r="V38" s="1244"/>
      <c r="W38" s="1244"/>
      <c r="X38" s="1240"/>
      <c r="Y38" s="1244"/>
      <c r="Z38" s="1244">
        <v>0.04</v>
      </c>
      <c r="AA38" s="1244">
        <v>0.36</v>
      </c>
      <c r="AB38" s="1244">
        <v>5.5E-2</v>
      </c>
      <c r="AC38" s="1244">
        <v>0.6</v>
      </c>
      <c r="AD38" s="1244"/>
      <c r="AE38" s="749"/>
      <c r="AF38" s="1244"/>
      <c r="AG38" s="1244"/>
      <c r="AH38" s="1240">
        <v>0.28000000000000003</v>
      </c>
      <c r="AI38" s="1244">
        <v>0.3</v>
      </c>
      <c r="AJ38" s="1244">
        <v>7.0000000000000007E-2</v>
      </c>
      <c r="AK38" s="1244">
        <v>0.6</v>
      </c>
      <c r="AL38" s="1244">
        <v>7.4999999999999997E-2</v>
      </c>
      <c r="AM38" s="1244">
        <v>0.78</v>
      </c>
      <c r="AS38" s="1254" t="s">
        <v>1520</v>
      </c>
      <c r="AT38" s="1252" t="str">
        <f>IF('Upper Extremity-Right'!T244="","",'Upper Extremity-Right'!T244)</f>
        <v/>
      </c>
      <c r="AU38" s="1252" t="str">
        <f t="shared" si="0"/>
        <v/>
      </c>
      <c r="AV38" s="243">
        <f>IF(AU38="",0,VLOOKUP(AU38,$A$3:$AM$153,8))</f>
        <v>0</v>
      </c>
      <c r="AX38" s="1254" t="s">
        <v>163</v>
      </c>
      <c r="AY38" s="1252" t="str">
        <f>IF('Upper Extremity-Right'!V244="","",'Upper Extremity-Right'!V244)</f>
        <v/>
      </c>
      <c r="AZ38" s="1252" t="str">
        <f>IF(AY38="","",ROUND(AY38,0))</f>
        <v/>
      </c>
      <c r="BA38" s="243">
        <f>IF(AZ38="",0,VLOOKUP(AZ38,$A$3:$AM$153,8))</f>
        <v>0</v>
      </c>
      <c r="BC38" s="1240" t="s">
        <v>1520</v>
      </c>
      <c r="BD38" s="1243" t="str">
        <f>IF('Upper Extremity-Left'!T244="","",'Upper Extremity-Left'!T244)</f>
        <v/>
      </c>
      <c r="BE38" s="1243" t="str">
        <f>IF(BD38="","",ROUND(BD38,0))</f>
        <v/>
      </c>
      <c r="BF38" s="243">
        <f>IF(BE38="",0,VLOOKUP(BE38,$A$3:$AM$153,8))</f>
        <v>0</v>
      </c>
      <c r="BG38" s="74"/>
      <c r="BH38" s="1240" t="s">
        <v>163</v>
      </c>
      <c r="BI38" s="1243" t="str">
        <f>IF('Upper Extremity-Left'!V244="","",'Upper Extremity-Left'!V244)</f>
        <v/>
      </c>
      <c r="BJ38" s="1243" t="str">
        <f>IF(BI38="","",ROUND(BI38,0))</f>
        <v/>
      </c>
      <c r="BK38" s="243">
        <f>IF(BJ38="",0,VLOOKUP(BJ38,$A$3:$AM$153,8))</f>
        <v>0</v>
      </c>
    </row>
    <row r="39" spans="1:63" ht="15" customHeight="1" x14ac:dyDescent="0.2">
      <c r="A39" s="1235">
        <v>36</v>
      </c>
      <c r="B39" s="684">
        <v>0.25</v>
      </c>
      <c r="C39" s="684">
        <v>0.112</v>
      </c>
      <c r="D39" s="684">
        <v>0.36199999999999999</v>
      </c>
      <c r="E39" s="684">
        <v>0.216</v>
      </c>
      <c r="F39" s="684">
        <v>0.35799999999999998</v>
      </c>
      <c r="G39" s="684">
        <v>0.57399999999999995</v>
      </c>
      <c r="H39" s="684">
        <v>0.218</v>
      </c>
      <c r="I39" s="684">
        <v>9.8000000000000004E-2</v>
      </c>
      <c r="J39" s="684">
        <v>0.316</v>
      </c>
      <c r="K39" s="1244">
        <v>0.38400000000000001</v>
      </c>
      <c r="L39" s="1244">
        <f xml:space="preserve"> 12.8%</f>
        <v>0.128</v>
      </c>
      <c r="M39" s="1244">
        <f xml:space="preserve"> 51.2%</f>
        <v>0.51200000000000001</v>
      </c>
      <c r="N39" s="684">
        <v>0.33400000000000002</v>
      </c>
      <c r="O39" s="684">
        <v>0.17</v>
      </c>
      <c r="P39" s="684">
        <v>0.504</v>
      </c>
      <c r="Q39" s="1240">
        <v>0.12</v>
      </c>
      <c r="R39" s="646">
        <v>0.06</v>
      </c>
      <c r="S39" s="1240">
        <v>0.06</v>
      </c>
      <c r="T39" s="1240">
        <v>0.03</v>
      </c>
      <c r="U39" s="1240">
        <v>0.02</v>
      </c>
      <c r="V39" s="1244"/>
      <c r="W39" s="1244"/>
      <c r="X39" s="1240"/>
      <c r="Y39" s="1244"/>
      <c r="Z39" s="1244">
        <v>3.7999999999999999E-2</v>
      </c>
      <c r="AA39" s="1261">
        <v>0.38200000000000001</v>
      </c>
      <c r="AB39" s="1244">
        <v>5.3999999999999999E-2</v>
      </c>
      <c r="AC39" s="1244">
        <v>0.60799999999999998</v>
      </c>
      <c r="AD39" s="1244"/>
      <c r="AE39" s="749"/>
      <c r="AF39" s="1244"/>
      <c r="AG39" s="1244"/>
      <c r="AH39" s="1240">
        <v>0.28999999999999998</v>
      </c>
      <c r="AI39" s="1244">
        <v>0.29799999999999999</v>
      </c>
      <c r="AJ39" s="1244">
        <v>7.1999999999999995E-2</v>
      </c>
      <c r="AK39" s="1244">
        <v>0.59799999999999998</v>
      </c>
      <c r="AL39" s="1244">
        <v>7.3999999999999996E-2</v>
      </c>
      <c r="AM39" s="1244">
        <v>0.78400000000000003</v>
      </c>
      <c r="AS39" s="1254" t="s">
        <v>164</v>
      </c>
      <c r="AT39" s="1252" t="str">
        <f>IF('Upper Extremity-Right'!T245="","",'Upper Extremity-Right'!T245)</f>
        <v/>
      </c>
      <c r="AU39" s="1252" t="str">
        <f t="shared" si="0"/>
        <v/>
      </c>
      <c r="AV39" s="243">
        <f>IF(AU39="",0,VLOOKUP(AU39,$A$3:$AM$153,9))</f>
        <v>0</v>
      </c>
      <c r="AX39" s="1254" t="s">
        <v>163</v>
      </c>
      <c r="AY39" s="1252" t="str">
        <f>IF('Upper Extremity-Right'!V245="","",'Upper Extremity-Right'!V245)</f>
        <v/>
      </c>
      <c r="AZ39" s="1252" t="str">
        <f>IF(AY39="","",ROUND(AY39,0))</f>
        <v/>
      </c>
      <c r="BA39" s="243">
        <f>IF(AZ39="",0,VLOOKUP(AZ39,$A$3:$AM$153,9))</f>
        <v>0</v>
      </c>
      <c r="BC39" s="1240" t="s">
        <v>164</v>
      </c>
      <c r="BD39" s="1243" t="str">
        <f>IF('Upper Extremity-Left'!T245="","",'Upper Extremity-Left'!T245)</f>
        <v/>
      </c>
      <c r="BE39" s="1243" t="str">
        <f>IF(BD39="","",ROUND(BD39,0))</f>
        <v/>
      </c>
      <c r="BF39" s="243">
        <f>IF(BE39="",0,VLOOKUP(BE39,$A$3:$AM$153,9))</f>
        <v>0</v>
      </c>
      <c r="BG39" s="74"/>
      <c r="BH39" s="1240" t="s">
        <v>163</v>
      </c>
      <c r="BI39" s="1243" t="str">
        <f>IF('Upper Extremity-Left'!V245="","",'Upper Extremity-Left'!V245)</f>
        <v/>
      </c>
      <c r="BJ39" s="1243" t="str">
        <f>IF(BI39="","",ROUND(BI39,0))</f>
        <v/>
      </c>
      <c r="BK39" s="243">
        <f>IF(BJ39="",0,VLOOKUP(BJ39,$A$3:$AM$153,9))</f>
        <v>0</v>
      </c>
    </row>
    <row r="40" spans="1:63" ht="15" customHeight="1" x14ac:dyDescent="0.2">
      <c r="A40" s="1235">
        <v>37</v>
      </c>
      <c r="B40" s="684">
        <v>0.245</v>
      </c>
      <c r="C40" s="684">
        <v>0.114</v>
      </c>
      <c r="D40" s="684">
        <v>0.35899999999999999</v>
      </c>
      <c r="E40" s="684">
        <v>0.20699999999999999</v>
      </c>
      <c r="F40" s="684">
        <v>0.376</v>
      </c>
      <c r="G40" s="684">
        <v>0.58299999999999996</v>
      </c>
      <c r="H40" s="684">
        <v>0.21099999999999999</v>
      </c>
      <c r="I40" s="684">
        <v>0.10100000000000001</v>
      </c>
      <c r="J40" s="684">
        <v>0.312</v>
      </c>
      <c r="K40" s="1244">
        <v>0.378</v>
      </c>
      <c r="L40" s="1244">
        <f xml:space="preserve"> 13.1%</f>
        <v>0.13100000000000001</v>
      </c>
      <c r="M40" s="1244">
        <f xml:space="preserve"> 50.9%</f>
        <v>0.50900000000000001</v>
      </c>
      <c r="N40" s="684">
        <v>0.32800000000000001</v>
      </c>
      <c r="O40" s="684">
        <v>0.185</v>
      </c>
      <c r="P40" s="684">
        <v>0.51300000000000001</v>
      </c>
      <c r="Q40" s="1240">
        <v>0.12</v>
      </c>
      <c r="R40" s="646">
        <v>0.06</v>
      </c>
      <c r="S40" s="1240">
        <v>0.06</v>
      </c>
      <c r="T40" s="1240">
        <v>0.03</v>
      </c>
      <c r="U40" s="1240">
        <v>0.02</v>
      </c>
      <c r="V40" s="1244"/>
      <c r="W40" s="1244"/>
      <c r="X40" s="1240"/>
      <c r="Y40" s="1244"/>
      <c r="Z40" s="1244">
        <v>3.5999999999999997E-2</v>
      </c>
      <c r="AA40" s="1244">
        <v>0.40400000000000003</v>
      </c>
      <c r="AB40" s="1244">
        <v>5.2999999999999999E-2</v>
      </c>
      <c r="AC40" s="1244">
        <v>0.61599999999999999</v>
      </c>
      <c r="AD40" s="1244"/>
      <c r="AE40" s="749"/>
      <c r="AF40" s="1244"/>
      <c r="AG40" s="1244"/>
      <c r="AH40" s="1240">
        <v>0.3</v>
      </c>
      <c r="AI40" s="1244">
        <v>0.29599999999999999</v>
      </c>
      <c r="AJ40" s="1244">
        <v>7.3999999999999996E-2</v>
      </c>
      <c r="AK40" s="1244">
        <v>0.59599999999999997</v>
      </c>
      <c r="AL40" s="1244">
        <v>7.2999999999999995E-2</v>
      </c>
      <c r="AM40" s="1244">
        <v>0.78800000000000003</v>
      </c>
      <c r="AS40" s="1254" t="s">
        <v>165</v>
      </c>
      <c r="AT40" s="1252" t="str">
        <f>IF('Upper Extremity-Right'!T246="","",'Upper Extremity-Right'!T246)</f>
        <v/>
      </c>
      <c r="AU40" s="1252" t="str">
        <f t="shared" si="0"/>
        <v/>
      </c>
      <c r="AV40" s="243">
        <f>IF(AU40="",0,VLOOKUP(AU40,$A$3:$AM$153,10))</f>
        <v>0</v>
      </c>
      <c r="BC40" s="1240" t="s">
        <v>165</v>
      </c>
      <c r="BD40" s="1243" t="str">
        <f>IF('Upper Extremity-Left'!T246="","",'Upper Extremity-Left'!T246)</f>
        <v/>
      </c>
      <c r="BE40" s="1243" t="str">
        <f>IF(BD40="","",ROUND(BD40,0))</f>
        <v/>
      </c>
      <c r="BF40" s="243">
        <f>IF(BE40="",0,VLOOKUP(BE40,$A$3:$AM$153,10))</f>
        <v>0</v>
      </c>
      <c r="BG40" s="74"/>
      <c r="BH40" s="19"/>
    </row>
    <row r="41" spans="1:63" ht="15" customHeight="1" x14ac:dyDescent="0.2">
      <c r="A41" s="1235">
        <v>38</v>
      </c>
      <c r="B41" s="684">
        <v>0.24</v>
      </c>
      <c r="C41" s="684">
        <v>0.11600000000000001</v>
      </c>
      <c r="D41" s="684">
        <v>0.35599999999999998</v>
      </c>
      <c r="E41" s="684">
        <v>0.19800000000000001</v>
      </c>
      <c r="F41" s="684">
        <v>0.39400000000000002</v>
      </c>
      <c r="G41" s="684">
        <v>0.59199999999999997</v>
      </c>
      <c r="H41" s="684">
        <v>0.20399999999999999</v>
      </c>
      <c r="I41" s="684">
        <v>0.104</v>
      </c>
      <c r="J41" s="684">
        <v>0.308</v>
      </c>
      <c r="K41" s="1244">
        <v>0.372</v>
      </c>
      <c r="L41" s="1244">
        <f xml:space="preserve"> 13.4%</f>
        <v>0.13400000000000001</v>
      </c>
      <c r="M41" s="1244">
        <f xml:space="preserve"> 50.6%</f>
        <v>0.50600000000000001</v>
      </c>
      <c r="N41" s="684">
        <v>0.32200000000000001</v>
      </c>
      <c r="O41" s="684">
        <v>0.2</v>
      </c>
      <c r="P41" s="684">
        <v>0.52200000000000002</v>
      </c>
      <c r="Q41" s="1240">
        <v>0.13</v>
      </c>
      <c r="R41" s="646">
        <v>7.0000000000000007E-2</v>
      </c>
      <c r="S41" s="1240">
        <v>0.06</v>
      </c>
      <c r="T41" s="1240">
        <v>0.03</v>
      </c>
      <c r="U41" s="1240">
        <v>0.02</v>
      </c>
      <c r="V41" s="1244"/>
      <c r="W41" s="1244"/>
      <c r="X41" s="1240"/>
      <c r="Y41" s="1244"/>
      <c r="Z41" s="1244">
        <v>3.4000000000000002E-2</v>
      </c>
      <c r="AA41" s="1244">
        <v>0.42599999999999999</v>
      </c>
      <c r="AB41" s="1244">
        <v>5.1999999999999998E-2</v>
      </c>
      <c r="AC41" s="1244">
        <v>0.624</v>
      </c>
      <c r="AD41" s="1244"/>
      <c r="AE41" s="749"/>
      <c r="AF41" s="1244"/>
      <c r="AG41" s="1244"/>
      <c r="AH41" s="1240">
        <v>0.31</v>
      </c>
      <c r="AI41" s="1244">
        <v>0.29399999999999998</v>
      </c>
      <c r="AJ41" s="1244">
        <v>7.5999999999999998E-2</v>
      </c>
      <c r="AK41" s="1244">
        <v>0.59399999999999997</v>
      </c>
      <c r="AL41" s="1244">
        <v>7.1999999999999995E-2</v>
      </c>
      <c r="AM41" s="1244">
        <v>0.79200000000000004</v>
      </c>
      <c r="BC41" s="1240"/>
      <c r="BD41" s="74"/>
      <c r="BE41" s="74"/>
      <c r="BG41" s="74"/>
      <c r="BH41" s="19"/>
    </row>
    <row r="42" spans="1:63" ht="15" customHeight="1" x14ac:dyDescent="0.2">
      <c r="A42" s="1235">
        <v>39</v>
      </c>
      <c r="B42" s="684">
        <v>0.23499999999999999</v>
      </c>
      <c r="C42" s="684">
        <v>0.11799999999999999</v>
      </c>
      <c r="D42" s="684">
        <v>0.35299999999999998</v>
      </c>
      <c r="E42" s="684">
        <v>0.189</v>
      </c>
      <c r="F42" s="684">
        <v>0.41199999999999998</v>
      </c>
      <c r="G42" s="684">
        <v>0.60099999999999998</v>
      </c>
      <c r="H42" s="684">
        <v>0.19700000000000001</v>
      </c>
      <c r="I42" s="684">
        <v>0.107</v>
      </c>
      <c r="J42" s="684">
        <v>0.30399999999999999</v>
      </c>
      <c r="K42" s="1244">
        <v>0.36599999999999999</v>
      </c>
      <c r="L42" s="1244">
        <f xml:space="preserve"> 13.7%</f>
        <v>0.13699999999999998</v>
      </c>
      <c r="M42" s="1244">
        <f xml:space="preserve"> 50.3%</f>
        <v>0.503</v>
      </c>
      <c r="N42" s="684">
        <v>0.316</v>
      </c>
      <c r="O42" s="684">
        <v>0.215</v>
      </c>
      <c r="P42" s="684">
        <v>0.53100000000000003</v>
      </c>
      <c r="Q42" s="1240">
        <v>0.13</v>
      </c>
      <c r="R42" s="646">
        <v>7.0000000000000007E-2</v>
      </c>
      <c r="S42" s="1240">
        <v>0.06</v>
      </c>
      <c r="T42" s="1240">
        <v>0.03</v>
      </c>
      <c r="U42" s="1240">
        <v>0.02</v>
      </c>
      <c r="V42" s="1244"/>
      <c r="W42" s="1244"/>
      <c r="X42" s="1240"/>
      <c r="Y42" s="1244"/>
      <c r="Z42" s="1244">
        <v>3.2000000000000001E-2</v>
      </c>
      <c r="AA42" s="1244">
        <v>0.44800000000000001</v>
      </c>
      <c r="AB42" s="1244">
        <v>5.0999999999999997E-2</v>
      </c>
      <c r="AC42" s="1244">
        <v>0.63200000000000001</v>
      </c>
      <c r="AD42" s="1244"/>
      <c r="AE42" s="749"/>
      <c r="AF42" s="1244"/>
      <c r="AG42" s="1244"/>
      <c r="AH42" s="1240">
        <v>0.31</v>
      </c>
      <c r="AI42" s="1244">
        <v>0.29199999999999998</v>
      </c>
      <c r="AJ42" s="1244">
        <v>7.8E-2</v>
      </c>
      <c r="AK42" s="1244">
        <v>0.59199999999999997</v>
      </c>
      <c r="AL42" s="1244">
        <v>7.0999999999999994E-2</v>
      </c>
      <c r="AM42" s="1244">
        <v>0.79600000000000004</v>
      </c>
      <c r="AS42" s="1254" t="s">
        <v>641</v>
      </c>
      <c r="AT42" s="1252" t="str">
        <f>IF('Upper Extremity-Right'!T248="","",'Upper Extremity-Right'!T248)</f>
        <v/>
      </c>
      <c r="AU42" s="1252" t="str">
        <f t="shared" si="0"/>
        <v/>
      </c>
      <c r="AV42" s="243">
        <f>IF(AU42="",0,VLOOKUP(AU42,$A$3:$AM$153,11))</f>
        <v>0</v>
      </c>
      <c r="AX42" s="1254" t="s">
        <v>642</v>
      </c>
      <c r="AY42" s="1252" t="str">
        <f>IF('Upper Extremity-Right'!V248="","",'Upper Extremity-Right'!V248)</f>
        <v/>
      </c>
      <c r="AZ42" s="1252" t="str">
        <f>IF(AY42="","",ROUND(AY42,0))</f>
        <v/>
      </c>
      <c r="BA42" s="243">
        <f>IF(AZ42="",0,VLOOKUP(AZ42,$A$3:$AM$153,11))</f>
        <v>0</v>
      </c>
      <c r="BC42" s="1240" t="s">
        <v>641</v>
      </c>
      <c r="BD42" s="1243" t="str">
        <f>IF('Upper Extremity-Left'!T248="","",'Upper Extremity-Left'!T248)</f>
        <v/>
      </c>
      <c r="BE42" s="1243" t="str">
        <f>IF(BD42="","",ROUND(BD42,0))</f>
        <v/>
      </c>
      <c r="BF42" s="243">
        <f>IF(BE42="",0,VLOOKUP(BE42,$A$3:$AM$153,11))</f>
        <v>0</v>
      </c>
      <c r="BG42" s="74"/>
      <c r="BH42" s="1240" t="s">
        <v>642</v>
      </c>
      <c r="BI42" s="1243" t="str">
        <f>IF('Upper Extremity-Left'!V248="","",'Upper Extremity-Left'!V248)</f>
        <v/>
      </c>
      <c r="BJ42" s="1243" t="str">
        <f>IF(BI42="","",ROUND(BI42,0))</f>
        <v/>
      </c>
      <c r="BK42" s="243">
        <f>IF(BJ42="",0,VLOOKUP(BJ42,$A$3:$AM$153,11))</f>
        <v>0</v>
      </c>
    </row>
    <row r="43" spans="1:63" ht="15" customHeight="1" x14ac:dyDescent="0.2">
      <c r="A43" s="1235">
        <v>40</v>
      </c>
      <c r="B43" s="684">
        <v>0.23</v>
      </c>
      <c r="C43" s="684">
        <v>0.12</v>
      </c>
      <c r="D43" s="684">
        <v>0.35</v>
      </c>
      <c r="E43" s="684">
        <v>0.18</v>
      </c>
      <c r="F43" s="684">
        <v>0.43</v>
      </c>
      <c r="G43" s="684">
        <v>0.61</v>
      </c>
      <c r="H43" s="684">
        <v>0.19</v>
      </c>
      <c r="I43" s="684">
        <v>0.11</v>
      </c>
      <c r="J43" s="684">
        <v>0.3</v>
      </c>
      <c r="K43" s="1244">
        <v>0.36</v>
      </c>
      <c r="L43" s="1244">
        <f xml:space="preserve"> 14%</f>
        <v>0.14000000000000001</v>
      </c>
      <c r="M43" s="1244">
        <f xml:space="preserve"> 50%</f>
        <v>0.5</v>
      </c>
      <c r="N43" s="684">
        <v>0.31</v>
      </c>
      <c r="O43" s="684">
        <v>0.23</v>
      </c>
      <c r="P43" s="684">
        <v>0.54</v>
      </c>
      <c r="Q43" s="1240">
        <v>0.13</v>
      </c>
      <c r="R43" s="646">
        <v>7.0000000000000007E-2</v>
      </c>
      <c r="S43" s="1240">
        <v>0.06</v>
      </c>
      <c r="T43" s="1240">
        <v>0.03</v>
      </c>
      <c r="U43" s="1240">
        <v>0.02</v>
      </c>
      <c r="V43" s="1244"/>
      <c r="W43" s="1244"/>
      <c r="X43" s="1240"/>
      <c r="Y43" s="1244"/>
      <c r="Z43" s="1244">
        <v>0.03</v>
      </c>
      <c r="AA43" s="1244">
        <v>0.47</v>
      </c>
      <c r="AB43" s="1244">
        <v>0.05</v>
      </c>
      <c r="AC43" s="1244">
        <v>0.64</v>
      </c>
      <c r="AD43" s="1244"/>
      <c r="AE43" s="749"/>
      <c r="AF43" s="1244"/>
      <c r="AG43" s="1244"/>
      <c r="AH43" s="1240">
        <v>0.32</v>
      </c>
      <c r="AI43" s="1244">
        <v>0.28999999999999998</v>
      </c>
      <c r="AJ43" s="1244">
        <v>0.08</v>
      </c>
      <c r="AK43" s="1244">
        <v>0.59</v>
      </c>
      <c r="AL43" s="1244">
        <v>7.0000000000000007E-2</v>
      </c>
      <c r="AM43" s="1244">
        <v>0.8</v>
      </c>
      <c r="AS43" s="1254" t="s">
        <v>455</v>
      </c>
      <c r="AT43" s="1252" t="str">
        <f>IF('Upper Extremity-Right'!T249="","",'Upper Extremity-Right'!T249)</f>
        <v/>
      </c>
      <c r="AU43" s="1252" t="str">
        <f t="shared" si="0"/>
        <v/>
      </c>
      <c r="AV43" s="243">
        <f>IF(AU43="",0,VLOOKUP(AU43,$A$3:$AM$153,12))</f>
        <v>0</v>
      </c>
      <c r="AX43" s="1254" t="s">
        <v>642</v>
      </c>
      <c r="AY43" s="1252" t="str">
        <f>IF('Upper Extremity-Right'!V249="","",'Upper Extremity-Right'!V249)</f>
        <v/>
      </c>
      <c r="AZ43" s="1252" t="str">
        <f>IF(AY43="","",ROUND(AY43,0))</f>
        <v/>
      </c>
      <c r="BA43" s="243">
        <f>IF(AZ43="",0,VLOOKUP(AZ43,$A$3:$AM$153,12))</f>
        <v>0</v>
      </c>
      <c r="BC43" s="1240" t="s">
        <v>455</v>
      </c>
      <c r="BD43" s="1243" t="str">
        <f>IF('Upper Extremity-Left'!T249="","",'Upper Extremity-Left'!T249)</f>
        <v/>
      </c>
      <c r="BE43" s="1243" t="str">
        <f>IF(BD43="","",ROUND(BD43,0))</f>
        <v/>
      </c>
      <c r="BF43" s="243">
        <f>IF(BE43="",0,VLOOKUP(BE43,$A$3:$AM$153,12))</f>
        <v>0</v>
      </c>
      <c r="BG43" s="74"/>
      <c r="BH43" s="1240" t="s">
        <v>642</v>
      </c>
      <c r="BI43" s="1243" t="str">
        <f>IF('Upper Extremity-Left'!V249="","",'Upper Extremity-Left'!V249)</f>
        <v/>
      </c>
      <c r="BJ43" s="1243" t="str">
        <f>IF(BI43="","",ROUND(BI43,0))</f>
        <v/>
      </c>
      <c r="BK43" s="243">
        <f>IF(BJ43="",0,VLOOKUP(BJ43,$A$3:$AM$153,12))</f>
        <v>0</v>
      </c>
    </row>
    <row r="44" spans="1:63" ht="15" customHeight="1" x14ac:dyDescent="0.2">
      <c r="A44" s="1235">
        <v>41</v>
      </c>
      <c r="B44" s="684">
        <v>0.224</v>
      </c>
      <c r="C44" s="684">
        <v>0.129</v>
      </c>
      <c r="D44" s="684">
        <v>0.35299999999999998</v>
      </c>
      <c r="E44" s="684">
        <v>0.17100000000000001</v>
      </c>
      <c r="F44" s="684">
        <v>0.44800000000000001</v>
      </c>
      <c r="G44" s="684">
        <v>0.61899999999999999</v>
      </c>
      <c r="H44" s="684">
        <v>0.184</v>
      </c>
      <c r="I44" s="684">
        <v>0.121</v>
      </c>
      <c r="J44" s="684">
        <v>0.30499999999999999</v>
      </c>
      <c r="K44" s="1244">
        <v>0.35399999999999998</v>
      </c>
      <c r="L44" s="1244">
        <f xml:space="preserve"> 14.9%</f>
        <v>0.14899999999999999</v>
      </c>
      <c r="M44" s="1244">
        <f xml:space="preserve"> 50.3%</f>
        <v>0.503</v>
      </c>
      <c r="N44" s="684">
        <v>0.30299999999999999</v>
      </c>
      <c r="O44" s="684">
        <v>0.246</v>
      </c>
      <c r="P44" s="684">
        <v>0.54900000000000004</v>
      </c>
      <c r="Q44" s="1240">
        <v>0.14000000000000001</v>
      </c>
      <c r="R44" s="646">
        <v>7.0000000000000007E-2</v>
      </c>
      <c r="S44" s="1240">
        <v>7.0000000000000007E-2</v>
      </c>
      <c r="T44" s="1240">
        <v>0.03</v>
      </c>
      <c r="U44" s="1240">
        <v>0.02</v>
      </c>
      <c r="V44" s="1244"/>
      <c r="W44" s="1244"/>
      <c r="X44" s="1240"/>
      <c r="Y44" s="1244"/>
      <c r="Z44" s="1244">
        <v>2.9000000000000001E-2</v>
      </c>
      <c r="AA44" s="1244">
        <v>0.49099999999999999</v>
      </c>
      <c r="AB44" s="1244">
        <v>4.8000000000000001E-2</v>
      </c>
      <c r="AC44" s="1244">
        <v>0.64900000000000002</v>
      </c>
      <c r="AD44" s="1244"/>
      <c r="AE44" s="749"/>
      <c r="AF44" s="1244"/>
      <c r="AG44" s="1244"/>
      <c r="AH44" s="1240">
        <v>0.33</v>
      </c>
      <c r="AI44" s="1244">
        <v>0.28699999999999998</v>
      </c>
      <c r="AJ44" s="1244">
        <v>8.2000000000000003E-2</v>
      </c>
      <c r="AK44" s="1244">
        <v>0.58899999999999997</v>
      </c>
      <c r="AL44" s="1244">
        <v>6.8000000000000005E-2</v>
      </c>
      <c r="AM44" s="1244">
        <v>0.80400000000000005</v>
      </c>
      <c r="AS44" s="1254" t="s">
        <v>456</v>
      </c>
      <c r="AT44" s="1252" t="str">
        <f>IF('Upper Extremity-Right'!T250="","",'Upper Extremity-Right'!T250)</f>
        <v/>
      </c>
      <c r="AU44" s="1252" t="str">
        <f t="shared" si="0"/>
        <v/>
      </c>
      <c r="AV44" s="243">
        <f>IF(AU44="",0,VLOOKUP(AU44,$A$3:$AM$153,13))</f>
        <v>0</v>
      </c>
      <c r="BC44" s="1240" t="s">
        <v>456</v>
      </c>
      <c r="BD44" s="1243" t="str">
        <f>IF('Upper Extremity-Left'!T250="","",'Upper Extremity-Left'!T250)</f>
        <v/>
      </c>
      <c r="BE44" s="1243" t="str">
        <f>IF(BD44="","",ROUND(BD44,0))</f>
        <v/>
      </c>
      <c r="BF44" s="243">
        <f>IF(BE44="",0,VLOOKUP(BE44,$A$3:$AM$153,13))</f>
        <v>0</v>
      </c>
      <c r="BG44" s="74"/>
      <c r="BH44" s="19"/>
    </row>
    <row r="45" spans="1:63" ht="15" customHeight="1" x14ac:dyDescent="0.2">
      <c r="A45" s="1235">
        <v>42</v>
      </c>
      <c r="B45" s="684">
        <v>0.218</v>
      </c>
      <c r="C45" s="684">
        <v>0.13800000000000001</v>
      </c>
      <c r="D45" s="684">
        <v>0.35599999999999998</v>
      </c>
      <c r="E45" s="684">
        <v>0.16200000000000001</v>
      </c>
      <c r="F45" s="684">
        <v>0.46600000000000003</v>
      </c>
      <c r="G45" s="684">
        <v>0.628</v>
      </c>
      <c r="H45" s="684">
        <v>0.17799999999999999</v>
      </c>
      <c r="I45" s="684">
        <v>0.13200000000000001</v>
      </c>
      <c r="J45" s="684">
        <v>0.31</v>
      </c>
      <c r="K45" s="1244">
        <v>0.34799999999999998</v>
      </c>
      <c r="L45" s="1244">
        <f xml:space="preserve"> 15.8%</f>
        <v>0.158</v>
      </c>
      <c r="M45" s="1244">
        <f xml:space="preserve"> 50.6%</f>
        <v>0.50600000000000001</v>
      </c>
      <c r="N45" s="684">
        <v>0.29599999999999999</v>
      </c>
      <c r="O45" s="684">
        <v>0.26200000000000001</v>
      </c>
      <c r="P45" s="684">
        <v>0.55800000000000005</v>
      </c>
      <c r="Q45" s="1240">
        <v>0.14000000000000001</v>
      </c>
      <c r="R45" s="646">
        <v>7.0000000000000007E-2</v>
      </c>
      <c r="S45" s="1240">
        <v>7.0000000000000007E-2</v>
      </c>
      <c r="T45" s="1240">
        <v>0.03</v>
      </c>
      <c r="U45" s="1240">
        <v>0.02</v>
      </c>
      <c r="V45" s="1244"/>
      <c r="W45" s="1244"/>
      <c r="X45" s="1240"/>
      <c r="Y45" s="1244"/>
      <c r="Z45" s="1244">
        <v>2.8000000000000001E-2</v>
      </c>
      <c r="AA45" s="1244">
        <v>0.51200000000000001</v>
      </c>
      <c r="AB45" s="1244">
        <v>4.5999999999999999E-2</v>
      </c>
      <c r="AC45" s="1244">
        <v>0.65800000000000003</v>
      </c>
      <c r="AD45" s="1244"/>
      <c r="AE45" s="749"/>
      <c r="AF45" s="1244"/>
      <c r="AG45" s="1244"/>
      <c r="AH45" s="1240">
        <v>0.34</v>
      </c>
      <c r="AI45" s="1244">
        <v>0.28399999999999997</v>
      </c>
      <c r="AJ45" s="1244">
        <v>8.4000000000000005E-2</v>
      </c>
      <c r="AK45" s="1244">
        <v>0.58799999999999997</v>
      </c>
      <c r="AL45" s="1244">
        <v>6.6000000000000003E-2</v>
      </c>
      <c r="AM45" s="1244">
        <v>0.80800000000000005</v>
      </c>
      <c r="BC45" s="1240"/>
      <c r="BD45" s="74"/>
      <c r="BE45" s="74"/>
      <c r="BG45" s="74"/>
      <c r="BH45" s="19"/>
    </row>
    <row r="46" spans="1:63" ht="15" customHeight="1" x14ac:dyDescent="0.2">
      <c r="A46" s="1235">
        <v>43</v>
      </c>
      <c r="B46" s="684">
        <v>0.21199999999999999</v>
      </c>
      <c r="C46" s="684">
        <v>0.14699999999999999</v>
      </c>
      <c r="D46" s="684">
        <v>0.35899999999999999</v>
      </c>
      <c r="E46" s="684">
        <v>0.153</v>
      </c>
      <c r="F46" s="684">
        <v>0.48399999999999999</v>
      </c>
      <c r="G46" s="684">
        <v>0.63700000000000001</v>
      </c>
      <c r="H46" s="684">
        <v>0.17199999999999999</v>
      </c>
      <c r="I46" s="684">
        <v>0.14299999999999999</v>
      </c>
      <c r="J46" s="684">
        <v>0.315</v>
      </c>
      <c r="K46" s="1244">
        <v>0.34200000000000003</v>
      </c>
      <c r="L46" s="1244">
        <f xml:space="preserve"> 16.7%</f>
        <v>0.16699999999999998</v>
      </c>
      <c r="M46" s="1244">
        <f xml:space="preserve"> 50.9%</f>
        <v>0.50900000000000001</v>
      </c>
      <c r="N46" s="684">
        <v>0.28899999999999998</v>
      </c>
      <c r="O46" s="684">
        <v>0.27800000000000002</v>
      </c>
      <c r="P46" s="684">
        <v>0.56699999999999995</v>
      </c>
      <c r="Q46" s="1240">
        <v>0.14000000000000001</v>
      </c>
      <c r="R46" s="646">
        <v>7.0000000000000007E-2</v>
      </c>
      <c r="S46" s="1240">
        <v>7.0000000000000007E-2</v>
      </c>
      <c r="T46" s="1240">
        <v>0.03</v>
      </c>
      <c r="U46" s="1240">
        <v>0.02</v>
      </c>
      <c r="V46" s="1244"/>
      <c r="W46" s="1244"/>
      <c r="X46" s="1240"/>
      <c r="Y46" s="1244"/>
      <c r="Z46" s="1244">
        <v>2.7E-2</v>
      </c>
      <c r="AA46" s="1244">
        <v>0.53300000000000003</v>
      </c>
      <c r="AB46" s="1244">
        <v>4.3999999999999997E-2</v>
      </c>
      <c r="AC46" s="1244">
        <v>0.66700000000000004</v>
      </c>
      <c r="AD46" s="1244"/>
      <c r="AE46" s="749"/>
      <c r="AF46" s="1244"/>
      <c r="AG46" s="1244"/>
      <c r="AH46" s="1240">
        <v>0.34</v>
      </c>
      <c r="AI46" s="1244">
        <v>0.28100000000000003</v>
      </c>
      <c r="AJ46" s="1244">
        <v>8.5999999999999993E-2</v>
      </c>
      <c r="AK46" s="1244">
        <v>0.58699999999999997</v>
      </c>
      <c r="AL46" s="1244">
        <v>6.4000000000000001E-2</v>
      </c>
      <c r="AM46" s="1244">
        <v>0.81200000000000006</v>
      </c>
      <c r="AS46" s="1254" t="s">
        <v>457</v>
      </c>
      <c r="AT46" s="1252" t="str">
        <f>IF('Upper Extremity-Right'!T252="","",'Upper Extremity-Right'!T252)</f>
        <v/>
      </c>
      <c r="AU46" s="1252" t="str">
        <f t="shared" si="0"/>
        <v/>
      </c>
      <c r="AV46" s="243">
        <f>IF(AU46="",0,VLOOKUP(AU46,$A$3:$AM$153,14))</f>
        <v>0</v>
      </c>
      <c r="AX46" s="1254" t="s">
        <v>458</v>
      </c>
      <c r="AY46" s="1252" t="str">
        <f>IF('Upper Extremity-Right'!V252="","",'Upper Extremity-Right'!V252)</f>
        <v/>
      </c>
      <c r="AZ46" s="1252" t="str">
        <f>IF(AY46="","",ROUND(AY46,0))</f>
        <v/>
      </c>
      <c r="BA46" s="243">
        <f>IF(AZ46="",0,VLOOKUP(AZ46,$A$3:$AM$153,14))</f>
        <v>0</v>
      </c>
      <c r="BC46" s="1240" t="s">
        <v>457</v>
      </c>
      <c r="BD46" s="1243" t="str">
        <f>IF('Upper Extremity-Left'!T252="","",'Upper Extremity-Left'!T252)</f>
        <v/>
      </c>
      <c r="BE46" s="1243" t="str">
        <f>IF(BD46="","",ROUND(BD46,0))</f>
        <v/>
      </c>
      <c r="BF46" s="243">
        <f>IF(BE46="",0,VLOOKUP(BE46,$A$3:$AM$153,14))</f>
        <v>0</v>
      </c>
      <c r="BG46" s="74"/>
      <c r="BH46" s="1240" t="s">
        <v>458</v>
      </c>
      <c r="BI46" s="1243" t="str">
        <f>IF('Upper Extremity-Left'!V252="","",'Upper Extremity-Left'!V252)</f>
        <v/>
      </c>
      <c r="BJ46" s="1243" t="str">
        <f>IF(BI46="","",ROUND(BI46,0))</f>
        <v/>
      </c>
      <c r="BK46" s="243">
        <f>IF(BJ46="",0,VLOOKUP(BJ46,$A$3:$AM$153,14))</f>
        <v>0</v>
      </c>
    </row>
    <row r="47" spans="1:63" ht="15" customHeight="1" x14ac:dyDescent="0.2">
      <c r="A47" s="1235">
        <v>44</v>
      </c>
      <c r="B47" s="684">
        <v>0.20599999999999999</v>
      </c>
      <c r="C47" s="684">
        <v>0.156</v>
      </c>
      <c r="D47" s="684">
        <v>0.36199999999999999</v>
      </c>
      <c r="E47" s="684">
        <v>0.14399999999999999</v>
      </c>
      <c r="F47" s="684">
        <v>0.502</v>
      </c>
      <c r="G47" s="684">
        <v>0.64600000000000002</v>
      </c>
      <c r="H47" s="684">
        <v>0.16600000000000001</v>
      </c>
      <c r="I47" s="684">
        <v>0.154</v>
      </c>
      <c r="J47" s="684">
        <v>0.32</v>
      </c>
      <c r="K47" s="1244">
        <v>0.33600000000000002</v>
      </c>
      <c r="L47" s="1244">
        <f xml:space="preserve"> 17.6%</f>
        <v>0.17600000000000002</v>
      </c>
      <c r="M47" s="1244">
        <f xml:space="preserve"> 51.2%</f>
        <v>0.51200000000000001</v>
      </c>
      <c r="N47" s="684">
        <v>0.28199999999999997</v>
      </c>
      <c r="O47" s="684">
        <v>0.29399999999999998</v>
      </c>
      <c r="P47" s="684">
        <v>0.57599999999999996</v>
      </c>
      <c r="Q47" s="1240">
        <v>0.15</v>
      </c>
      <c r="R47" s="646">
        <v>0.08</v>
      </c>
      <c r="S47" s="1240">
        <v>7.0000000000000007E-2</v>
      </c>
      <c r="T47" s="1240">
        <v>0.03</v>
      </c>
      <c r="U47" s="1240">
        <v>0.02</v>
      </c>
      <c r="V47" s="1244"/>
      <c r="W47" s="1244"/>
      <c r="X47" s="1240"/>
      <c r="Y47" s="1244"/>
      <c r="Z47" s="1244">
        <v>2.5999999999999999E-2</v>
      </c>
      <c r="AA47" s="1244">
        <v>0.55400000000000005</v>
      </c>
      <c r="AB47" s="1244">
        <v>4.2000000000000003E-2</v>
      </c>
      <c r="AC47" s="1244">
        <v>0.67600000000000005</v>
      </c>
      <c r="AD47" s="1244"/>
      <c r="AE47" s="749"/>
      <c r="AF47" s="1244"/>
      <c r="AG47" s="1244"/>
      <c r="AH47" s="1240">
        <v>0.35</v>
      </c>
      <c r="AI47" s="1244">
        <v>0.27800000000000002</v>
      </c>
      <c r="AJ47" s="1244">
        <v>8.7999999999999995E-2</v>
      </c>
      <c r="AK47" s="1244">
        <v>0.58599999999999997</v>
      </c>
      <c r="AL47" s="1244">
        <v>6.2E-2</v>
      </c>
      <c r="AM47" s="1244">
        <v>0.81599999999999995</v>
      </c>
      <c r="AS47" s="1254" t="s">
        <v>459</v>
      </c>
      <c r="AT47" s="1252" t="str">
        <f>IF('Upper Extremity-Right'!T253="","",'Upper Extremity-Right'!T253)</f>
        <v/>
      </c>
      <c r="AU47" s="1252" t="str">
        <f t="shared" si="0"/>
        <v/>
      </c>
      <c r="AV47" s="243">
        <f>IF(AU47="",0,VLOOKUP(AU47,$A$3:$AM$153,15))</f>
        <v>0</v>
      </c>
      <c r="AX47" s="1254" t="s">
        <v>458</v>
      </c>
      <c r="AY47" s="1252" t="str">
        <f>IF('Upper Extremity-Right'!V253="","",'Upper Extremity-Right'!V253)</f>
        <v/>
      </c>
      <c r="AZ47" s="1252" t="str">
        <f>IF(AY47="","",ROUND(AY47,0))</f>
        <v/>
      </c>
      <c r="BA47" s="243">
        <f>IF(AZ47="",0,VLOOKUP(AZ47,$A$3:$AM$153,15))</f>
        <v>0</v>
      </c>
      <c r="BC47" s="1240" t="s">
        <v>459</v>
      </c>
      <c r="BD47" s="1243" t="str">
        <f>IF('Upper Extremity-Left'!T253="","",'Upper Extremity-Left'!T253)</f>
        <v/>
      </c>
      <c r="BE47" s="1243" t="str">
        <f>IF(BD47="","",ROUND(BD47,0))</f>
        <v/>
      </c>
      <c r="BF47" s="243">
        <f>IF(BE47="",0,VLOOKUP(BE47,$A$3:$AM$153,15))</f>
        <v>0</v>
      </c>
      <c r="BG47" s="74"/>
      <c r="BH47" s="1240" t="s">
        <v>458</v>
      </c>
      <c r="BI47" s="1243" t="str">
        <f>IF('Upper Extremity-Left'!V253="","",'Upper Extremity-Left'!V253)</f>
        <v/>
      </c>
      <c r="BJ47" s="1243" t="str">
        <f>IF(BI47="","",ROUND(BI47,0))</f>
        <v/>
      </c>
      <c r="BK47" s="243">
        <f>IF(BJ47="",0,VLOOKUP(BJ47,$A$3:$AM$153,15))</f>
        <v>0</v>
      </c>
    </row>
    <row r="48" spans="1:63" ht="15" customHeight="1" x14ac:dyDescent="0.2">
      <c r="A48" s="1235">
        <v>45</v>
      </c>
      <c r="B48" s="684">
        <v>0.2</v>
      </c>
      <c r="C48" s="684">
        <v>0.16500000000000001</v>
      </c>
      <c r="D48" s="684">
        <v>0.36499999999999999</v>
      </c>
      <c r="E48" s="684">
        <v>0.13500000000000001</v>
      </c>
      <c r="F48" s="684">
        <v>0.52</v>
      </c>
      <c r="G48" s="684">
        <v>0.65500000000000003</v>
      </c>
      <c r="H48" s="684">
        <v>0.16</v>
      </c>
      <c r="I48" s="684">
        <v>0.16500000000000001</v>
      </c>
      <c r="J48" s="684">
        <v>0.32500000000000001</v>
      </c>
      <c r="K48" s="1244">
        <v>0.33</v>
      </c>
      <c r="L48" s="1244">
        <f xml:space="preserve"> 18.5%</f>
        <v>0.185</v>
      </c>
      <c r="M48" s="1244">
        <f xml:space="preserve"> 51.5%</f>
        <v>0.51500000000000001</v>
      </c>
      <c r="N48" s="684">
        <v>0.27500000000000002</v>
      </c>
      <c r="O48" s="684">
        <v>0.31</v>
      </c>
      <c r="P48" s="684">
        <v>0.58499999999999996</v>
      </c>
      <c r="Q48" s="1240">
        <v>0.15</v>
      </c>
      <c r="R48" s="646">
        <v>0.08</v>
      </c>
      <c r="S48" s="1240">
        <v>7.0000000000000007E-2</v>
      </c>
      <c r="T48" s="1240">
        <v>0.03</v>
      </c>
      <c r="U48" s="1240">
        <v>0.02</v>
      </c>
      <c r="V48" s="1244"/>
      <c r="W48" s="1244"/>
      <c r="X48" s="1240"/>
      <c r="Y48" s="1244"/>
      <c r="Z48" s="1244">
        <v>2.5000000000000001E-2</v>
      </c>
      <c r="AA48" s="1244">
        <v>0.57499999999999996</v>
      </c>
      <c r="AB48" s="1244">
        <v>0.04</v>
      </c>
      <c r="AC48" s="1244">
        <v>0.68500000000000005</v>
      </c>
      <c r="AD48" s="1244"/>
      <c r="AE48" s="749"/>
      <c r="AF48" s="1244"/>
      <c r="AG48" s="1244"/>
      <c r="AH48" s="1240">
        <v>0.36</v>
      </c>
      <c r="AI48" s="1244">
        <v>0.27500000000000002</v>
      </c>
      <c r="AJ48" s="1244">
        <v>0.09</v>
      </c>
      <c r="AK48" s="1244">
        <v>0.58499999999999996</v>
      </c>
      <c r="AL48" s="1244">
        <v>0.06</v>
      </c>
      <c r="AM48" s="1244">
        <v>0.82</v>
      </c>
      <c r="AS48" s="1254" t="s">
        <v>460</v>
      </c>
      <c r="AT48" s="1252" t="str">
        <f>IF('Upper Extremity-Right'!T254="","",'Upper Extremity-Right'!T254)</f>
        <v/>
      </c>
      <c r="AU48" s="1252" t="str">
        <f t="shared" si="0"/>
        <v/>
      </c>
      <c r="AV48" s="243">
        <f>IF(AU48="",0,VLOOKUP(AU48,$A$3:$AM$153,16))</f>
        <v>0</v>
      </c>
      <c r="BC48" s="1240" t="s">
        <v>460</v>
      </c>
      <c r="BD48" s="1243" t="str">
        <f>IF('Upper Extremity-Left'!T254="","",'Upper Extremity-Left'!T254)</f>
        <v/>
      </c>
      <c r="BE48" s="1243" t="str">
        <f>IF(BD48="","",ROUND(BD48,0))</f>
        <v/>
      </c>
      <c r="BF48" s="243">
        <f>IF(BE48="",0,VLOOKUP(BE48,$A$3:$AM$153,16))</f>
        <v>0</v>
      </c>
      <c r="BG48" s="74"/>
      <c r="BH48" s="19"/>
    </row>
    <row r="49" spans="1:63" ht="15" customHeight="1" x14ac:dyDescent="0.2">
      <c r="A49" s="1235">
        <v>46</v>
      </c>
      <c r="B49" s="684">
        <v>0.19400000000000001</v>
      </c>
      <c r="C49" s="684">
        <v>0.17399999999999999</v>
      </c>
      <c r="D49" s="684">
        <v>0.36799999999999999</v>
      </c>
      <c r="E49" s="684">
        <v>0.126</v>
      </c>
      <c r="F49" s="684">
        <v>0.53800000000000003</v>
      </c>
      <c r="G49" s="684">
        <v>0.66400000000000003</v>
      </c>
      <c r="H49" s="684">
        <v>0.154</v>
      </c>
      <c r="I49" s="684">
        <v>0.17599999999999999</v>
      </c>
      <c r="J49" s="684">
        <v>0.33</v>
      </c>
      <c r="K49" s="1244">
        <v>0.32400000000000001</v>
      </c>
      <c r="L49" s="1244">
        <f xml:space="preserve"> 19.4%</f>
        <v>0.19399999999999998</v>
      </c>
      <c r="M49" s="1244">
        <f xml:space="preserve"> 51.8%</f>
        <v>0.51800000000000002</v>
      </c>
      <c r="N49" s="684">
        <v>0.26800000000000002</v>
      </c>
      <c r="O49" s="684">
        <v>0.32600000000000001</v>
      </c>
      <c r="P49" s="684">
        <v>0.59399999999999997</v>
      </c>
      <c r="Q49" s="1240">
        <v>0.15</v>
      </c>
      <c r="R49" s="646">
        <v>0.08</v>
      </c>
      <c r="S49" s="1240">
        <v>7.0000000000000007E-2</v>
      </c>
      <c r="T49" s="1240">
        <v>0.04</v>
      </c>
      <c r="U49" s="1240">
        <v>0.02</v>
      </c>
      <c r="V49" s="1244"/>
      <c r="W49" s="1244"/>
      <c r="X49" s="1240"/>
      <c r="Y49" s="1244"/>
      <c r="Z49" s="1244">
        <v>2.4E-2</v>
      </c>
      <c r="AA49" s="1244">
        <v>0.59599999999999997</v>
      </c>
      <c r="AB49" s="1244">
        <v>3.7999999999999999E-2</v>
      </c>
      <c r="AC49" s="1244">
        <v>0.69399999999999995</v>
      </c>
      <c r="AD49" s="1244"/>
      <c r="AE49" s="749"/>
      <c r="AF49" s="1244"/>
      <c r="AG49" s="1244"/>
      <c r="AH49" s="1240">
        <v>0.37</v>
      </c>
      <c r="AI49" s="1244">
        <v>0.27200000000000002</v>
      </c>
      <c r="AJ49" s="1244">
        <v>9.1999999999999998E-2</v>
      </c>
      <c r="AK49" s="1244">
        <v>0.58399999999999996</v>
      </c>
      <c r="AL49" s="1244">
        <v>5.8000000000000003E-2</v>
      </c>
      <c r="AM49" s="1244">
        <v>0.82399999999999995</v>
      </c>
      <c r="BC49" s="1240"/>
      <c r="BD49" s="74"/>
      <c r="BE49" s="74"/>
      <c r="BG49" s="74"/>
      <c r="BH49" s="19"/>
    </row>
    <row r="50" spans="1:63" ht="15" customHeight="1" x14ac:dyDescent="0.2">
      <c r="A50" s="1235">
        <v>47</v>
      </c>
      <c r="B50" s="684">
        <v>0.188</v>
      </c>
      <c r="C50" s="684">
        <v>0.183</v>
      </c>
      <c r="D50" s="684">
        <v>0.371</v>
      </c>
      <c r="E50" s="684">
        <v>0.11700000000000001</v>
      </c>
      <c r="F50" s="684">
        <v>0.55600000000000005</v>
      </c>
      <c r="G50" s="684">
        <v>0.67300000000000004</v>
      </c>
      <c r="H50" s="684">
        <v>0.14799999999999999</v>
      </c>
      <c r="I50" s="684">
        <v>0.187</v>
      </c>
      <c r="J50" s="684">
        <v>0.33500000000000002</v>
      </c>
      <c r="K50" s="1244">
        <v>0.318</v>
      </c>
      <c r="L50" s="1244">
        <f xml:space="preserve"> 20.3%</f>
        <v>0.20300000000000001</v>
      </c>
      <c r="M50" s="1244">
        <f xml:space="preserve"> 52.1%</f>
        <v>0.52100000000000002</v>
      </c>
      <c r="N50" s="684">
        <v>0.26100000000000001</v>
      </c>
      <c r="O50" s="684">
        <v>0.34200000000000003</v>
      </c>
      <c r="P50" s="684">
        <v>0.60299999999999998</v>
      </c>
      <c r="Q50" s="1240">
        <v>0.16</v>
      </c>
      <c r="R50" s="646">
        <v>0.08</v>
      </c>
      <c r="S50" s="1240">
        <v>7.0000000000000007E-2</v>
      </c>
      <c r="T50" s="1240">
        <v>0.04</v>
      </c>
      <c r="U50" s="1240">
        <v>0.02</v>
      </c>
      <c r="V50" s="1244"/>
      <c r="W50" s="1244"/>
      <c r="X50" s="1240"/>
      <c r="Y50" s="1244"/>
      <c r="Z50" s="1244">
        <v>2.3E-2</v>
      </c>
      <c r="AA50" s="1244">
        <v>0.61699999999999999</v>
      </c>
      <c r="AB50" s="1244">
        <v>3.5999999999999997E-2</v>
      </c>
      <c r="AC50" s="1244">
        <v>0.70299999999999996</v>
      </c>
      <c r="AD50" s="1244"/>
      <c r="AE50" s="749"/>
      <c r="AF50" s="1244"/>
      <c r="AG50" s="1244"/>
      <c r="AH50" s="1240">
        <v>0.38</v>
      </c>
      <c r="AI50" s="1244">
        <v>0.26900000000000002</v>
      </c>
      <c r="AJ50" s="1244">
        <v>9.4E-2</v>
      </c>
      <c r="AK50" s="1244">
        <v>0.58299999999999996</v>
      </c>
      <c r="AL50" s="1244">
        <v>5.6000000000000001E-2</v>
      </c>
      <c r="AM50" s="1244">
        <v>0.82799999999999996</v>
      </c>
      <c r="AS50" s="1254" t="s">
        <v>1571</v>
      </c>
      <c r="BC50" s="1240" t="s">
        <v>1571</v>
      </c>
      <c r="BD50" s="74"/>
      <c r="BE50" s="74"/>
      <c r="BG50" s="74"/>
      <c r="BH50" s="19"/>
    </row>
    <row r="51" spans="1:63" ht="15" customHeight="1" x14ac:dyDescent="0.2">
      <c r="A51" s="1235">
        <v>48</v>
      </c>
      <c r="B51" s="684">
        <v>0.182</v>
      </c>
      <c r="C51" s="684">
        <v>0.192</v>
      </c>
      <c r="D51" s="684">
        <v>0.374</v>
      </c>
      <c r="E51" s="684">
        <v>0.108</v>
      </c>
      <c r="F51" s="684">
        <v>0.57399999999999995</v>
      </c>
      <c r="G51" s="684">
        <v>0.68200000000000005</v>
      </c>
      <c r="H51" s="684">
        <v>0.14199999999999999</v>
      </c>
      <c r="I51" s="684">
        <v>0.19800000000000001</v>
      </c>
      <c r="J51" s="684">
        <v>0.34</v>
      </c>
      <c r="K51" s="1244">
        <v>0.312</v>
      </c>
      <c r="L51" s="1244">
        <f xml:space="preserve"> 21.2%</f>
        <v>0.21199999999999999</v>
      </c>
      <c r="M51" s="1244">
        <f xml:space="preserve"> 52.4%</f>
        <v>0.52400000000000002</v>
      </c>
      <c r="N51" s="684">
        <v>0.254</v>
      </c>
      <c r="O51" s="684">
        <v>0.35799999999999998</v>
      </c>
      <c r="P51" s="684">
        <v>0.61199999999999999</v>
      </c>
      <c r="Q51" s="1240">
        <v>0.16</v>
      </c>
      <c r="R51" s="646">
        <v>0.08</v>
      </c>
      <c r="S51" s="1240">
        <v>0.08</v>
      </c>
      <c r="T51" s="1240">
        <v>0.04</v>
      </c>
      <c r="U51" s="1240">
        <v>0.02</v>
      </c>
      <c r="V51" s="1244"/>
      <c r="W51" s="1244"/>
      <c r="X51" s="1240"/>
      <c r="Y51" s="1244"/>
      <c r="Z51" s="1244">
        <v>2.1999999999999999E-2</v>
      </c>
      <c r="AA51" s="1244">
        <v>0.63800000000000001</v>
      </c>
      <c r="AB51" s="1244">
        <v>3.4000000000000002E-2</v>
      </c>
      <c r="AC51" s="1244">
        <v>0.71199999999999997</v>
      </c>
      <c r="AD51" s="1244"/>
      <c r="AE51" s="749"/>
      <c r="AF51" s="1244"/>
      <c r="AG51" s="1244"/>
      <c r="AH51" s="1240">
        <v>0.38</v>
      </c>
      <c r="AI51" s="1244">
        <v>0.26600000000000001</v>
      </c>
      <c r="AJ51" s="1244">
        <v>9.6000000000000002E-2</v>
      </c>
      <c r="AK51" s="1244">
        <v>0.58199999999999996</v>
      </c>
      <c r="AL51" s="1244">
        <v>5.3999999999999999E-2</v>
      </c>
      <c r="AM51" s="1244">
        <v>0.83199999999999996</v>
      </c>
      <c r="AS51" s="1254" t="s">
        <v>1520</v>
      </c>
      <c r="AT51" s="1252" t="str">
        <f>IF('Upper Extremity-Right'!T319="","",'Upper Extremity-Right'!T319)</f>
        <v/>
      </c>
      <c r="AU51" s="1252" t="str">
        <f t="shared" si="0"/>
        <v/>
      </c>
      <c r="AV51" s="243">
        <f>IF(AU51="",0,VLOOKUP(AU51,$A$3:$AM$153,8))</f>
        <v>0</v>
      </c>
      <c r="AX51" s="1254" t="s">
        <v>163</v>
      </c>
      <c r="AY51" s="1252" t="str">
        <f>IF('Upper Extremity-Right'!V319="","",'Upper Extremity-Right'!V319)</f>
        <v/>
      </c>
      <c r="AZ51" s="1252" t="str">
        <f>IF(AY51="","",ROUND(AY51,0))</f>
        <v/>
      </c>
      <c r="BA51" s="243">
        <f>IF(AZ51="",0,VLOOKUP(AZ51,$A$3:$AM$153,8))</f>
        <v>0</v>
      </c>
      <c r="BC51" s="1240" t="s">
        <v>1520</v>
      </c>
      <c r="BD51" s="1243" t="str">
        <f>IF('Upper Extremity-Left'!T319="","",'Upper Extremity-Left'!T319)</f>
        <v/>
      </c>
      <c r="BE51" s="1243" t="str">
        <f>IF(BD51="","",ROUND(BD51,0))</f>
        <v/>
      </c>
      <c r="BF51" s="243">
        <f>IF(BE51="",0,VLOOKUP(BE51,$A$3:$AM$153,8))</f>
        <v>0</v>
      </c>
      <c r="BG51" s="74"/>
      <c r="BH51" s="1240" t="s">
        <v>163</v>
      </c>
      <c r="BI51" s="1243" t="str">
        <f>IF('Upper Extremity-Left'!V319="","",'Upper Extremity-Left'!V319)</f>
        <v/>
      </c>
      <c r="BJ51" s="1243" t="str">
        <f>IF(BI51="","",ROUND(BI51,0))</f>
        <v/>
      </c>
      <c r="BK51" s="243">
        <f>IF(BJ51="",0,VLOOKUP(BJ51,$A$3:$AM$153,8))</f>
        <v>0</v>
      </c>
    </row>
    <row r="52" spans="1:63" ht="15" customHeight="1" x14ac:dyDescent="0.2">
      <c r="A52" s="1235">
        <v>49</v>
      </c>
      <c r="B52" s="684">
        <v>0.17599999999999999</v>
      </c>
      <c r="C52" s="684">
        <v>0.20100000000000001</v>
      </c>
      <c r="D52" s="684">
        <v>0.377</v>
      </c>
      <c r="E52" s="684">
        <v>9.9000000000000005E-2</v>
      </c>
      <c r="F52" s="684">
        <v>0.59199999999999997</v>
      </c>
      <c r="G52" s="684">
        <v>0.69099999999999995</v>
      </c>
      <c r="H52" s="684">
        <v>0.13600000000000001</v>
      </c>
      <c r="I52" s="684">
        <v>0.20899999999999999</v>
      </c>
      <c r="J52" s="684">
        <v>0.34499999999999997</v>
      </c>
      <c r="K52" s="1244">
        <v>0.30599999999999999</v>
      </c>
      <c r="L52" s="1244">
        <f xml:space="preserve"> 22.1%</f>
        <v>0.221</v>
      </c>
      <c r="M52" s="1244">
        <f xml:space="preserve"> 52.7%</f>
        <v>0.52700000000000002</v>
      </c>
      <c r="N52" s="684">
        <v>0.247</v>
      </c>
      <c r="O52" s="684">
        <v>0.374</v>
      </c>
      <c r="P52" s="684">
        <v>0.621</v>
      </c>
      <c r="Q52" s="1240">
        <v>0.16</v>
      </c>
      <c r="R52" s="646">
        <v>0.08</v>
      </c>
      <c r="S52" s="1240">
        <v>0.08</v>
      </c>
      <c r="T52" s="1240">
        <v>0.04</v>
      </c>
      <c r="U52" s="1240">
        <v>0.02</v>
      </c>
      <c r="V52" s="1244"/>
      <c r="W52" s="1244"/>
      <c r="X52" s="1240"/>
      <c r="Y52" s="1244"/>
      <c r="Z52" s="1244">
        <v>2.1000000000000001E-2</v>
      </c>
      <c r="AA52" s="1244">
        <v>0.65900000000000003</v>
      </c>
      <c r="AB52" s="1244">
        <v>3.2000000000000001E-2</v>
      </c>
      <c r="AC52" s="1244">
        <v>0.72099999999999997</v>
      </c>
      <c r="AD52" s="1244"/>
      <c r="AE52" s="749"/>
      <c r="AF52" s="1244"/>
      <c r="AG52" s="1244"/>
      <c r="AH52" s="1240">
        <v>0.39</v>
      </c>
      <c r="AI52" s="1244">
        <v>0.26300000000000001</v>
      </c>
      <c r="AJ52" s="1244">
        <v>9.8000000000000004E-2</v>
      </c>
      <c r="AK52" s="1244">
        <v>0.58099999999999996</v>
      </c>
      <c r="AL52" s="1244">
        <v>5.1999999999999998E-2</v>
      </c>
      <c r="AM52" s="1244">
        <v>0.83599999999999997</v>
      </c>
      <c r="AS52" s="1254" t="s">
        <v>164</v>
      </c>
      <c r="AT52" s="1252" t="str">
        <f>IF('Upper Extremity-Right'!T320="","",'Upper Extremity-Right'!T320)</f>
        <v/>
      </c>
      <c r="AU52" s="1252" t="str">
        <f t="shared" si="0"/>
        <v/>
      </c>
      <c r="AV52" s="243">
        <f>IF(AU52="",0,VLOOKUP(AU52,$A$3:$AM$153,9))</f>
        <v>0</v>
      </c>
      <c r="AX52" s="1254" t="s">
        <v>163</v>
      </c>
      <c r="AY52" s="1252" t="str">
        <f>IF('Upper Extremity-Right'!V320="","",'Upper Extremity-Right'!V320)</f>
        <v/>
      </c>
      <c r="AZ52" s="1252" t="str">
        <f>IF(AY52="","",ROUND(AY52,0))</f>
        <v/>
      </c>
      <c r="BA52" s="243">
        <f>IF(AZ52="",0,VLOOKUP(AZ52,$A$3:$AM$153,9))</f>
        <v>0</v>
      </c>
      <c r="BC52" s="1240" t="s">
        <v>164</v>
      </c>
      <c r="BD52" s="1243" t="str">
        <f>IF('Upper Extremity-Left'!T320="","",'Upper Extremity-Left'!T320)</f>
        <v/>
      </c>
      <c r="BE52" s="1243" t="str">
        <f>IF(BD52="","",ROUND(BD52,0))</f>
        <v/>
      </c>
      <c r="BF52" s="243">
        <f>IF(BE52="",0,VLOOKUP(BE52,$A$3:$AM$153,9))</f>
        <v>0</v>
      </c>
      <c r="BG52" s="74"/>
      <c r="BH52" s="1240" t="s">
        <v>163</v>
      </c>
      <c r="BI52" s="1243" t="str">
        <f>IF('Upper Extremity-Left'!V320="","",'Upper Extremity-Left'!V320)</f>
        <v/>
      </c>
      <c r="BJ52" s="1243" t="str">
        <f>IF(BI52="","",ROUND(BI52,0))</f>
        <v/>
      </c>
      <c r="BK52" s="243">
        <f>IF(BJ52="",0,VLOOKUP(BJ52,$A$3:$AM$153,9))</f>
        <v>0</v>
      </c>
    </row>
    <row r="53" spans="1:63" ht="15" customHeight="1" x14ac:dyDescent="0.2">
      <c r="A53" s="1235">
        <v>50</v>
      </c>
      <c r="B53" s="684">
        <v>0.17</v>
      </c>
      <c r="C53" s="684">
        <v>0.21</v>
      </c>
      <c r="D53" s="684">
        <v>0.38</v>
      </c>
      <c r="E53" s="684">
        <v>0.09</v>
      </c>
      <c r="F53" s="684">
        <v>0.61</v>
      </c>
      <c r="G53" s="684">
        <v>0.7</v>
      </c>
      <c r="H53" s="684">
        <v>0.13</v>
      </c>
      <c r="I53" s="684">
        <v>0.22</v>
      </c>
      <c r="J53" s="684">
        <v>0.35</v>
      </c>
      <c r="K53" s="1244">
        <v>0.3</v>
      </c>
      <c r="L53" s="1244">
        <f xml:space="preserve"> 23%</f>
        <v>0.23</v>
      </c>
      <c r="M53" s="1244">
        <f xml:space="preserve"> 53%</f>
        <v>0.53</v>
      </c>
      <c r="N53" s="684">
        <v>0.24</v>
      </c>
      <c r="O53" s="684">
        <v>0.39</v>
      </c>
      <c r="P53" s="684">
        <v>0.63</v>
      </c>
      <c r="Q53" s="1240">
        <v>0.16</v>
      </c>
      <c r="R53" s="646">
        <v>0.08</v>
      </c>
      <c r="S53" s="1240">
        <v>0.08</v>
      </c>
      <c r="T53" s="1240">
        <v>0.04</v>
      </c>
      <c r="U53" s="1240">
        <v>0.02</v>
      </c>
      <c r="V53" s="1244"/>
      <c r="W53" s="1244"/>
      <c r="X53" s="1240"/>
      <c r="Y53" s="1244"/>
      <c r="Z53" s="1244">
        <v>0.02</v>
      </c>
      <c r="AA53" s="1244">
        <v>0.68</v>
      </c>
      <c r="AB53" s="1244">
        <v>0.03</v>
      </c>
      <c r="AC53" s="1244">
        <v>0.73</v>
      </c>
      <c r="AD53" s="1244"/>
      <c r="AE53" s="749"/>
      <c r="AF53" s="1244"/>
      <c r="AG53" s="1244"/>
      <c r="AH53" s="1240">
        <v>0.4</v>
      </c>
      <c r="AI53" s="1244">
        <v>0.26</v>
      </c>
      <c r="AJ53" s="1244">
        <v>0.1</v>
      </c>
      <c r="AK53" s="1244">
        <v>0.57999999999999996</v>
      </c>
      <c r="AL53" s="1244">
        <v>0.05</v>
      </c>
      <c r="AM53" s="1244">
        <v>0.84</v>
      </c>
      <c r="AS53" s="1254" t="s">
        <v>165</v>
      </c>
      <c r="AT53" s="1252" t="str">
        <f>IF('Upper Extremity-Right'!T321="","",'Upper Extremity-Right'!T321)</f>
        <v/>
      </c>
      <c r="AU53" s="1252" t="str">
        <f t="shared" si="0"/>
        <v/>
      </c>
      <c r="AV53" s="243">
        <f>IF(AU53="",0,VLOOKUP(AU53,$A$3:$AM$153,10))</f>
        <v>0</v>
      </c>
      <c r="BC53" s="1240" t="s">
        <v>165</v>
      </c>
      <c r="BD53" s="1243" t="str">
        <f>IF('Upper Extremity-Left'!T321="","",'Upper Extremity-Left'!T321)</f>
        <v/>
      </c>
      <c r="BE53" s="1243" t="str">
        <f>IF(BD53="","",ROUND(BD53,0))</f>
        <v/>
      </c>
      <c r="BF53" s="243">
        <f>IF(BE53="",0,VLOOKUP(BE53,$A$3:$AM$153,10))</f>
        <v>0</v>
      </c>
      <c r="BG53" s="74"/>
      <c r="BH53" s="19"/>
    </row>
    <row r="54" spans="1:63" ht="15" customHeight="1" x14ac:dyDescent="0.2">
      <c r="A54" s="1235">
        <v>51</v>
      </c>
      <c r="B54" s="684">
        <v>0.16400000000000001</v>
      </c>
      <c r="C54" s="684">
        <v>0.218</v>
      </c>
      <c r="D54" s="684">
        <v>0.38200000000000001</v>
      </c>
      <c r="E54" s="684">
        <v>8.1000000000000003E-2</v>
      </c>
      <c r="F54" s="684">
        <v>0.629</v>
      </c>
      <c r="G54" s="684">
        <v>0.71</v>
      </c>
      <c r="H54" s="684">
        <v>0.123</v>
      </c>
      <c r="I54" s="684">
        <v>0.23200000000000001</v>
      </c>
      <c r="J54" s="684">
        <v>0.35499999999999998</v>
      </c>
      <c r="K54" s="1244">
        <v>0.29399999999999998</v>
      </c>
      <c r="L54" s="1244">
        <f xml:space="preserve"> 24%</f>
        <v>0.24</v>
      </c>
      <c r="M54" s="1244">
        <f xml:space="preserve"> 53.4%</f>
        <v>0.53400000000000003</v>
      </c>
      <c r="N54" s="684">
        <v>0.23400000000000001</v>
      </c>
      <c r="O54" s="684">
        <v>0.40500000000000003</v>
      </c>
      <c r="P54" s="684">
        <v>0.63900000000000001</v>
      </c>
      <c r="Q54" s="1240">
        <v>0.17</v>
      </c>
      <c r="R54" s="646">
        <v>0.09</v>
      </c>
      <c r="S54" s="1240">
        <v>0.08</v>
      </c>
      <c r="T54" s="1240">
        <v>0.04</v>
      </c>
      <c r="U54" s="1240">
        <v>0.03</v>
      </c>
      <c r="V54" s="1244"/>
      <c r="W54" s="1244"/>
      <c r="X54" s="1240"/>
      <c r="Y54" s="1244"/>
      <c r="Z54" s="1244">
        <v>1.7999999999999999E-2</v>
      </c>
      <c r="AA54" s="1244">
        <v>0.70199999999999996</v>
      </c>
      <c r="AB54" s="1244">
        <v>2.9000000000000001E-2</v>
      </c>
      <c r="AC54" s="1244">
        <v>0.73799999999999999</v>
      </c>
      <c r="AD54" s="1244"/>
      <c r="AE54" s="749"/>
      <c r="AF54" s="1244"/>
      <c r="AG54" s="1244"/>
      <c r="AH54" s="1240">
        <v>0.41</v>
      </c>
      <c r="AI54" s="1244">
        <v>0.25700000000000001</v>
      </c>
      <c r="AJ54" s="1244">
        <v>0.10199999999999999</v>
      </c>
      <c r="AK54" s="1244">
        <v>0.57799999999999996</v>
      </c>
      <c r="AL54" s="1244">
        <v>4.8000000000000001E-2</v>
      </c>
      <c r="AM54" s="1244">
        <v>0.84399999999999997</v>
      </c>
      <c r="BC54" s="1240"/>
      <c r="BD54" s="74"/>
      <c r="BE54" s="74"/>
      <c r="BG54" s="74"/>
      <c r="BH54" s="19"/>
    </row>
    <row r="55" spans="1:63" ht="15" customHeight="1" x14ac:dyDescent="0.2">
      <c r="A55" s="1235">
        <v>52</v>
      </c>
      <c r="B55" s="684">
        <v>0.158</v>
      </c>
      <c r="C55" s="684">
        <v>0.22600000000000001</v>
      </c>
      <c r="D55" s="684">
        <v>0.38400000000000001</v>
      </c>
      <c r="E55" s="684">
        <v>7.1999999999999995E-2</v>
      </c>
      <c r="F55" s="684">
        <v>0.64800000000000002</v>
      </c>
      <c r="G55" s="684">
        <v>0.72</v>
      </c>
      <c r="H55" s="684">
        <v>0.11600000000000001</v>
      </c>
      <c r="I55" s="684">
        <v>0.24399999999999999</v>
      </c>
      <c r="J55" s="684">
        <v>0.36</v>
      </c>
      <c r="K55" s="1244">
        <v>0.28799999999999998</v>
      </c>
      <c r="L55" s="1244">
        <f xml:space="preserve"> 25%</f>
        <v>0.25</v>
      </c>
      <c r="M55" s="1244">
        <f xml:space="preserve"> 53.8%</f>
        <v>0.53799999999999992</v>
      </c>
      <c r="N55" s="684">
        <v>0.22800000000000001</v>
      </c>
      <c r="O55" s="684">
        <v>0.42</v>
      </c>
      <c r="P55" s="684">
        <v>0.64800000000000002</v>
      </c>
      <c r="Q55" s="1240">
        <v>0.17</v>
      </c>
      <c r="R55" s="646">
        <v>0.09</v>
      </c>
      <c r="S55" s="1240">
        <v>0.08</v>
      </c>
      <c r="T55" s="1240">
        <v>0.04</v>
      </c>
      <c r="U55" s="1240">
        <v>0.03</v>
      </c>
      <c r="V55" s="1244"/>
      <c r="W55" s="1244"/>
      <c r="X55" s="1240"/>
      <c r="Y55" s="1244"/>
      <c r="Z55" s="1244">
        <v>1.6E-2</v>
      </c>
      <c r="AA55" s="1244">
        <v>0.72399999999999998</v>
      </c>
      <c r="AB55" s="1244">
        <v>2.8000000000000001E-2</v>
      </c>
      <c r="AC55" s="1244">
        <v>0.746</v>
      </c>
      <c r="AD55" s="1244"/>
      <c r="AE55" s="749"/>
      <c r="AF55" s="1244"/>
      <c r="AG55" s="1244"/>
      <c r="AH55" s="1240">
        <v>0.42</v>
      </c>
      <c r="AI55" s="1244">
        <v>0.254</v>
      </c>
      <c r="AJ55" s="1244">
        <v>0.104</v>
      </c>
      <c r="AK55" s="1244">
        <v>0.57599999999999996</v>
      </c>
      <c r="AL55" s="1244">
        <v>4.5999999999999999E-2</v>
      </c>
      <c r="AM55" s="1244">
        <v>0.84799999999999998</v>
      </c>
      <c r="AS55" s="1254" t="s">
        <v>641</v>
      </c>
      <c r="AT55" s="1252" t="str">
        <f>IF('Upper Extremity-Right'!T323="","",'Upper Extremity-Right'!T323)</f>
        <v/>
      </c>
      <c r="AU55" s="1252" t="str">
        <f t="shared" si="0"/>
        <v/>
      </c>
      <c r="AV55" s="243">
        <f>IF(AU55="",0,VLOOKUP(AU55,$A$3:$AM$153,11))</f>
        <v>0</v>
      </c>
      <c r="AX55" s="1254" t="s">
        <v>642</v>
      </c>
      <c r="AY55" s="1252" t="str">
        <f>IF('Upper Extremity-Right'!V323="","",'Upper Extremity-Right'!V323)</f>
        <v/>
      </c>
      <c r="AZ55" s="1252" t="str">
        <f>IF(AY55="","",ROUND(AY55,0))</f>
        <v/>
      </c>
      <c r="BA55" s="243">
        <f>IF(AZ55="",0,VLOOKUP(AZ55,$A$3:$AM$153,11))</f>
        <v>0</v>
      </c>
      <c r="BC55" s="1240" t="s">
        <v>641</v>
      </c>
      <c r="BD55" s="1243" t="str">
        <f>IF('Upper Extremity-Left'!T323="","",'Upper Extremity-Left'!T323)</f>
        <v/>
      </c>
      <c r="BE55" s="1243" t="str">
        <f>IF(BD55="","",ROUND(BD55,0))</f>
        <v/>
      </c>
      <c r="BF55" s="243">
        <f>IF(BE55="",0,VLOOKUP(BE55,$A$3:$AM$153,11))</f>
        <v>0</v>
      </c>
      <c r="BG55" s="74"/>
      <c r="BH55" s="1240" t="s">
        <v>642</v>
      </c>
      <c r="BI55" s="1243" t="str">
        <f>IF('Upper Extremity-Left'!V323="","",'Upper Extremity-Left'!V323)</f>
        <v/>
      </c>
      <c r="BJ55" s="1243" t="str">
        <f>IF(BI55="","",ROUND(BI55,0))</f>
        <v/>
      </c>
      <c r="BK55" s="243">
        <f>IF(BJ55="",0,VLOOKUP(BJ55,$A$3:$AM$153,11))</f>
        <v>0</v>
      </c>
    </row>
    <row r="56" spans="1:63" ht="15" customHeight="1" x14ac:dyDescent="0.2">
      <c r="A56" s="1235">
        <v>53</v>
      </c>
      <c r="B56" s="684">
        <v>0.152</v>
      </c>
      <c r="C56" s="684">
        <v>0.23400000000000001</v>
      </c>
      <c r="D56" s="684">
        <v>0.38600000000000001</v>
      </c>
      <c r="E56" s="684">
        <v>6.3E-2</v>
      </c>
      <c r="F56" s="684">
        <v>0.66700000000000004</v>
      </c>
      <c r="G56" s="684">
        <v>0.73</v>
      </c>
      <c r="H56" s="684">
        <v>0.109</v>
      </c>
      <c r="I56" s="684">
        <v>0.25600000000000001</v>
      </c>
      <c r="J56" s="684">
        <v>0.36499999999999999</v>
      </c>
      <c r="K56" s="1244">
        <v>0.28199999999999997</v>
      </c>
      <c r="L56" s="1244">
        <f xml:space="preserve"> 26%</f>
        <v>0.26</v>
      </c>
      <c r="M56" s="1244">
        <f xml:space="preserve"> 54.2%</f>
        <v>0.54200000000000004</v>
      </c>
      <c r="N56" s="684">
        <v>0.222</v>
      </c>
      <c r="O56" s="684">
        <v>0.435</v>
      </c>
      <c r="P56" s="684">
        <v>0.65700000000000003</v>
      </c>
      <c r="Q56" s="1240">
        <v>0.17</v>
      </c>
      <c r="R56" s="646">
        <v>0.09</v>
      </c>
      <c r="S56" s="1240">
        <v>0.08</v>
      </c>
      <c r="T56" s="1240">
        <v>0.04</v>
      </c>
      <c r="U56" s="1240">
        <v>0.03</v>
      </c>
      <c r="V56" s="1244"/>
      <c r="W56" s="1244"/>
      <c r="X56" s="1240"/>
      <c r="Y56" s="1244"/>
      <c r="Z56" s="1244">
        <v>1.4E-2</v>
      </c>
      <c r="AA56" s="1244">
        <v>0.746</v>
      </c>
      <c r="AB56" s="1244">
        <v>2.7E-2</v>
      </c>
      <c r="AC56" s="1244">
        <v>0.754</v>
      </c>
      <c r="AD56" s="1244"/>
      <c r="AE56" s="749"/>
      <c r="AF56" s="1244"/>
      <c r="AG56" s="1244"/>
      <c r="AH56" s="1240">
        <v>0.42</v>
      </c>
      <c r="AI56" s="1244">
        <v>0.251</v>
      </c>
      <c r="AJ56" s="1244">
        <v>0.106</v>
      </c>
      <c r="AK56" s="1244">
        <v>0.57399999999999995</v>
      </c>
      <c r="AL56" s="1244">
        <v>4.3999999999999997E-2</v>
      </c>
      <c r="AM56" s="1244">
        <v>0.85199999999999998</v>
      </c>
      <c r="AS56" s="1254" t="s">
        <v>455</v>
      </c>
      <c r="AT56" s="1252" t="str">
        <f>IF('Upper Extremity-Right'!T324="","",'Upper Extremity-Right'!T324)</f>
        <v/>
      </c>
      <c r="AU56" s="1252" t="str">
        <f t="shared" si="0"/>
        <v/>
      </c>
      <c r="AV56" s="243">
        <f>IF(AU56="",0,VLOOKUP(AU56,$A$3:$AM$153,12))</f>
        <v>0</v>
      </c>
      <c r="AX56" s="1254" t="s">
        <v>642</v>
      </c>
      <c r="AY56" s="1252" t="str">
        <f>IF('Upper Extremity-Right'!V324="","",'Upper Extremity-Right'!V324)</f>
        <v/>
      </c>
      <c r="AZ56" s="1252" t="str">
        <f>IF(AY56="","",ROUND(AY56,0))</f>
        <v/>
      </c>
      <c r="BA56" s="243">
        <f>IF(AZ56="",0,VLOOKUP(AZ56,$A$3:$AM$153,12))</f>
        <v>0</v>
      </c>
      <c r="BC56" s="1240" t="s">
        <v>455</v>
      </c>
      <c r="BD56" s="1243" t="str">
        <f>IF('Upper Extremity-Left'!T324="","",'Upper Extremity-Left'!T324)</f>
        <v/>
      </c>
      <c r="BE56" s="1243" t="str">
        <f>IF(BD56="","",ROUND(BD56,0))</f>
        <v/>
      </c>
      <c r="BF56" s="243">
        <f>IF(BE56="",0,VLOOKUP(BE56,$A$3:$AM$153,12))</f>
        <v>0</v>
      </c>
      <c r="BG56" s="74"/>
      <c r="BH56" s="1240" t="s">
        <v>642</v>
      </c>
      <c r="BI56" s="1243" t="str">
        <f>IF('Upper Extremity-Left'!V324="","",'Upper Extremity-Left'!V324)</f>
        <v/>
      </c>
      <c r="BJ56" s="1243" t="str">
        <f>IF(BI56="","",ROUND(BI56,0))</f>
        <v/>
      </c>
      <c r="BK56" s="243">
        <f>IF(BJ56="",0,VLOOKUP(BJ56,$A$3:$AM$153,12))</f>
        <v>0</v>
      </c>
    </row>
    <row r="57" spans="1:63" ht="15" customHeight="1" x14ac:dyDescent="0.2">
      <c r="A57" s="1235">
        <v>54</v>
      </c>
      <c r="B57" s="684">
        <v>0.14599999999999999</v>
      </c>
      <c r="C57" s="684">
        <v>0.24199999999999999</v>
      </c>
      <c r="D57" s="684">
        <v>0.38800000000000001</v>
      </c>
      <c r="E57" s="684">
        <v>5.3999999999999999E-2</v>
      </c>
      <c r="F57" s="684">
        <v>0.68600000000000005</v>
      </c>
      <c r="G57" s="684">
        <v>0.74</v>
      </c>
      <c r="H57" s="684">
        <v>0.10199999999999999</v>
      </c>
      <c r="I57" s="684">
        <v>0.26800000000000002</v>
      </c>
      <c r="J57" s="684">
        <v>0.37</v>
      </c>
      <c r="K57" s="1244">
        <v>0.27600000000000002</v>
      </c>
      <c r="L57" s="1244">
        <f xml:space="preserve"> 27%</f>
        <v>0.27</v>
      </c>
      <c r="M57" s="1244">
        <f xml:space="preserve"> 54.6%</f>
        <v>0.54600000000000004</v>
      </c>
      <c r="N57" s="684">
        <v>0.216</v>
      </c>
      <c r="O57" s="684">
        <v>0.45</v>
      </c>
      <c r="P57" s="684">
        <v>0.66600000000000004</v>
      </c>
      <c r="Q57" s="1240">
        <v>0.18</v>
      </c>
      <c r="R57" s="646">
        <v>0.09</v>
      </c>
      <c r="S57" s="1240">
        <v>0.08</v>
      </c>
      <c r="T57" s="1240">
        <v>0.04</v>
      </c>
      <c r="U57" s="1240">
        <v>0.03</v>
      </c>
      <c r="V57" s="1244"/>
      <c r="W57" s="1244"/>
      <c r="X57" s="1240"/>
      <c r="Y57" s="1244"/>
      <c r="Z57" s="1244">
        <v>1.2E-2</v>
      </c>
      <c r="AA57" s="1244">
        <v>0.76800000000000002</v>
      </c>
      <c r="AB57" s="1244">
        <v>2.5999999999999999E-2</v>
      </c>
      <c r="AC57" s="1244">
        <v>0.76200000000000001</v>
      </c>
      <c r="AD57" s="1244"/>
      <c r="AE57" s="749"/>
      <c r="AF57" s="1244"/>
      <c r="AG57" s="1244"/>
      <c r="AH57" s="1240">
        <v>0.43</v>
      </c>
      <c r="AI57" s="1244">
        <v>0.248</v>
      </c>
      <c r="AJ57" s="1244">
        <v>0.108</v>
      </c>
      <c r="AK57" s="1244">
        <v>0.57199999999999995</v>
      </c>
      <c r="AL57" s="1244">
        <v>4.2000000000000003E-2</v>
      </c>
      <c r="AM57" s="1244">
        <v>0.85599999999999998</v>
      </c>
      <c r="AS57" s="1254" t="s">
        <v>456</v>
      </c>
      <c r="AT57" s="1252" t="str">
        <f>IF('Upper Extremity-Right'!T325="","",'Upper Extremity-Right'!T325)</f>
        <v/>
      </c>
      <c r="AU57" s="1252" t="str">
        <f t="shared" si="0"/>
        <v/>
      </c>
      <c r="AV57" s="243">
        <f>IF(AU57="",0,VLOOKUP(AU57,$A$3:$AM$153,13))</f>
        <v>0</v>
      </c>
      <c r="BC57" s="1240" t="s">
        <v>456</v>
      </c>
      <c r="BD57" s="1243" t="str">
        <f>IF('Upper Extremity-Left'!T325="","",'Upper Extremity-Left'!T325)</f>
        <v/>
      </c>
      <c r="BE57" s="1243" t="str">
        <f>IF(BD57="","",ROUND(BD57,0))</f>
        <v/>
      </c>
      <c r="BF57" s="243">
        <f>IF(BE57="",0,VLOOKUP(BE57,$A$3:$AM$153,13))</f>
        <v>0</v>
      </c>
      <c r="BG57" s="74"/>
      <c r="BH57" s="19"/>
    </row>
    <row r="58" spans="1:63" ht="15" customHeight="1" x14ac:dyDescent="0.2">
      <c r="A58" s="1235">
        <v>55</v>
      </c>
      <c r="B58" s="684">
        <v>0.14000000000000001</v>
      </c>
      <c r="C58" s="684">
        <v>0.25</v>
      </c>
      <c r="D58" s="684">
        <v>0.39</v>
      </c>
      <c r="E58" s="684">
        <v>4.4999999999999998E-2</v>
      </c>
      <c r="F58" s="684">
        <v>0.70499999999999996</v>
      </c>
      <c r="G58" s="684">
        <v>0.75</v>
      </c>
      <c r="H58" s="684">
        <v>9.5000000000000001E-2</v>
      </c>
      <c r="I58" s="684">
        <v>0.28000000000000003</v>
      </c>
      <c r="J58" s="684">
        <v>0.375</v>
      </c>
      <c r="K58" s="1244">
        <v>0.27</v>
      </c>
      <c r="L58" s="1244">
        <f xml:space="preserve"> 28%</f>
        <v>0.28000000000000003</v>
      </c>
      <c r="M58" s="1244">
        <f xml:space="preserve"> 55%</f>
        <v>0.55000000000000004</v>
      </c>
      <c r="N58" s="684">
        <v>0.21</v>
      </c>
      <c r="O58" s="684">
        <v>0.46500000000000002</v>
      </c>
      <c r="P58" s="684">
        <v>0.67500000000000004</v>
      </c>
      <c r="Q58" s="1240">
        <v>0.18</v>
      </c>
      <c r="R58" s="646">
        <v>0.09</v>
      </c>
      <c r="S58" s="1240">
        <v>0.09</v>
      </c>
      <c r="T58" s="1240">
        <v>0.04</v>
      </c>
      <c r="U58" s="1240">
        <v>0.03</v>
      </c>
      <c r="V58" s="1244"/>
      <c r="W58" s="1244"/>
      <c r="X58" s="1240"/>
      <c r="Y58" s="1244"/>
      <c r="Z58" s="1244">
        <v>0.01</v>
      </c>
      <c r="AA58" s="1244">
        <v>0.79</v>
      </c>
      <c r="AB58" s="1244">
        <v>2.5000000000000001E-2</v>
      </c>
      <c r="AC58" s="1244">
        <v>0.77</v>
      </c>
      <c r="AD58" s="1244"/>
      <c r="AE58" s="749"/>
      <c r="AF58" s="1244"/>
      <c r="AG58" s="1244"/>
      <c r="AH58" s="1240">
        <v>0.44</v>
      </c>
      <c r="AI58" s="1244">
        <v>0.245</v>
      </c>
      <c r="AJ58" s="1244">
        <v>0.11</v>
      </c>
      <c r="AK58" s="1244">
        <v>0.56999999999999995</v>
      </c>
      <c r="AL58" s="1244">
        <v>0.04</v>
      </c>
      <c r="AM58" s="1244">
        <v>0.86</v>
      </c>
      <c r="BC58" s="1240"/>
      <c r="BD58" s="74"/>
      <c r="BE58" s="74"/>
      <c r="BG58" s="74"/>
      <c r="BH58" s="19"/>
    </row>
    <row r="59" spans="1:63" ht="15" customHeight="1" x14ac:dyDescent="0.2">
      <c r="A59" s="1235">
        <v>56</v>
      </c>
      <c r="B59" s="684">
        <v>0.13400000000000001</v>
      </c>
      <c r="C59" s="684">
        <v>0.25800000000000001</v>
      </c>
      <c r="D59" s="684">
        <v>0.39200000000000002</v>
      </c>
      <c r="E59" s="684">
        <v>3.5999999999999997E-2</v>
      </c>
      <c r="F59" s="684">
        <v>0.72399999999999998</v>
      </c>
      <c r="G59" s="684">
        <v>0.76</v>
      </c>
      <c r="H59" s="684">
        <v>8.7999999999999995E-2</v>
      </c>
      <c r="I59" s="684">
        <v>0.29199999999999998</v>
      </c>
      <c r="J59" s="684">
        <v>0.38</v>
      </c>
      <c r="K59" s="1244">
        <v>0.26400000000000001</v>
      </c>
      <c r="L59" s="1244">
        <f xml:space="preserve"> 29%</f>
        <v>0.28999999999999998</v>
      </c>
      <c r="M59" s="1244">
        <f xml:space="preserve"> 55.4%</f>
        <v>0.55399999999999994</v>
      </c>
      <c r="N59" s="684">
        <v>0.20399999999999999</v>
      </c>
      <c r="O59" s="684">
        <v>0.48</v>
      </c>
      <c r="P59" s="684">
        <v>0.68400000000000005</v>
      </c>
      <c r="Q59" s="1240">
        <v>0.18</v>
      </c>
      <c r="R59" s="646">
        <v>0.09</v>
      </c>
      <c r="S59" s="1240">
        <v>0.09</v>
      </c>
      <c r="T59" s="1240">
        <v>0.04</v>
      </c>
      <c r="U59" s="1240">
        <v>0.03</v>
      </c>
      <c r="V59" s="1244"/>
      <c r="W59" s="1244"/>
      <c r="X59" s="1240"/>
      <c r="Y59" s="1244"/>
      <c r="Z59" s="1244">
        <v>8.0000000000000002E-3</v>
      </c>
      <c r="AA59" s="1244">
        <v>0.81200000000000006</v>
      </c>
      <c r="AB59" s="1244">
        <v>2.4E-2</v>
      </c>
      <c r="AC59" s="1244">
        <v>0.77800000000000002</v>
      </c>
      <c r="AD59" s="1244"/>
      <c r="AE59" s="749"/>
      <c r="AF59" s="1244"/>
      <c r="AG59" s="1244"/>
      <c r="AH59" s="1240">
        <v>0.45</v>
      </c>
      <c r="AI59" s="1244">
        <v>0.24199999999999999</v>
      </c>
      <c r="AJ59" s="1244">
        <v>0.112</v>
      </c>
      <c r="AK59" s="1244">
        <v>0.56799999999999995</v>
      </c>
      <c r="AL59" s="1244">
        <v>3.7999999999999999E-2</v>
      </c>
      <c r="AM59" s="1244">
        <v>0.86399999999999999</v>
      </c>
      <c r="AS59" s="1254" t="s">
        <v>457</v>
      </c>
      <c r="AT59" s="1252" t="str">
        <f>IF('Upper Extremity-Right'!T327="","",'Upper Extremity-Right'!T327)</f>
        <v/>
      </c>
      <c r="AU59" s="1252" t="str">
        <f t="shared" si="0"/>
        <v/>
      </c>
      <c r="AV59" s="243">
        <f>IF(AU59="",0,VLOOKUP(AU59,$A$3:$AM$153,14))</f>
        <v>0</v>
      </c>
      <c r="AX59" s="1254" t="s">
        <v>458</v>
      </c>
      <c r="AY59" s="1252" t="str">
        <f>IF('Upper Extremity-Right'!V327="","",'Upper Extremity-Right'!V327)</f>
        <v/>
      </c>
      <c r="AZ59" s="1252" t="str">
        <f>IF(AY59="","",ROUND(AY59,0))</f>
        <v/>
      </c>
      <c r="BA59" s="243">
        <f>IF(AZ59="",0,VLOOKUP(AZ59,$A$3:$AM$153,14))</f>
        <v>0</v>
      </c>
      <c r="BC59" s="1240" t="s">
        <v>457</v>
      </c>
      <c r="BD59" s="1243" t="str">
        <f>IF('Upper Extremity-Left'!T327="","",'Upper Extremity-Left'!T327)</f>
        <v/>
      </c>
      <c r="BE59" s="1243" t="str">
        <f>IF(BD59="","",ROUND(BD59,0))</f>
        <v/>
      </c>
      <c r="BF59" s="243">
        <f>IF(BE59="",0,VLOOKUP(BE59,$A$3:$AM$153,14))</f>
        <v>0</v>
      </c>
      <c r="BG59" s="74"/>
      <c r="BH59" s="1240" t="s">
        <v>458</v>
      </c>
      <c r="BI59" s="1243" t="str">
        <f>IF('Upper Extremity-Left'!V327="","",'Upper Extremity-Left'!V327)</f>
        <v/>
      </c>
      <c r="BJ59" s="1243" t="str">
        <f>IF(BI59="","",ROUND(BI59,0))</f>
        <v/>
      </c>
      <c r="BK59" s="243">
        <f>IF(BJ59="",0,VLOOKUP(BJ59,$A$3:$AM$153,14))</f>
        <v>0</v>
      </c>
    </row>
    <row r="60" spans="1:63" ht="15" customHeight="1" x14ac:dyDescent="0.2">
      <c r="A60" s="1235">
        <v>57</v>
      </c>
      <c r="B60" s="684">
        <v>0.128</v>
      </c>
      <c r="C60" s="684">
        <v>0.26600000000000001</v>
      </c>
      <c r="D60" s="684">
        <v>0.39400000000000002</v>
      </c>
      <c r="E60" s="684">
        <v>2.7E-2</v>
      </c>
      <c r="F60" s="684">
        <v>0.74299999999999999</v>
      </c>
      <c r="G60" s="684">
        <v>0.77</v>
      </c>
      <c r="H60" s="684">
        <v>8.1000000000000003E-2</v>
      </c>
      <c r="I60" s="684">
        <v>0.30399999999999999</v>
      </c>
      <c r="J60" s="684">
        <v>0.38500000000000001</v>
      </c>
      <c r="K60" s="1244">
        <v>0.25800000000000001</v>
      </c>
      <c r="L60" s="1244">
        <f xml:space="preserve"> 30%</f>
        <v>0.3</v>
      </c>
      <c r="M60" s="1244">
        <f xml:space="preserve"> 55.8%</f>
        <v>0.55799999999999994</v>
      </c>
      <c r="N60" s="684">
        <v>0.19800000000000001</v>
      </c>
      <c r="O60" s="684">
        <v>0.495</v>
      </c>
      <c r="P60" s="684">
        <v>0.69299999999999995</v>
      </c>
      <c r="Q60" s="1240">
        <v>0.19</v>
      </c>
      <c r="R60" s="646">
        <v>0.1</v>
      </c>
      <c r="S60" s="1240">
        <v>0.09</v>
      </c>
      <c r="T60" s="1240">
        <v>0.04</v>
      </c>
      <c r="U60" s="1240">
        <v>0.03</v>
      </c>
      <c r="V60" s="1244"/>
      <c r="W60" s="1244"/>
      <c r="X60" s="1240"/>
      <c r="Y60" s="1244"/>
      <c r="Z60" s="1244">
        <v>6.0000000000000001E-3</v>
      </c>
      <c r="AA60" s="1244">
        <v>0.83399999999999996</v>
      </c>
      <c r="AB60" s="1244">
        <v>2.3E-2</v>
      </c>
      <c r="AC60" s="1244">
        <v>0.78600000000000003</v>
      </c>
      <c r="AD60" s="1244"/>
      <c r="AE60" s="749"/>
      <c r="AF60" s="1244"/>
      <c r="AG60" s="1244"/>
      <c r="AH60" s="1240">
        <v>0.46</v>
      </c>
      <c r="AI60" s="1244">
        <v>0.23899999999999999</v>
      </c>
      <c r="AJ60" s="1244">
        <v>0.114</v>
      </c>
      <c r="AK60" s="1244">
        <v>0.56599999999999995</v>
      </c>
      <c r="AL60" s="1244">
        <v>3.5999999999999997E-2</v>
      </c>
      <c r="AM60" s="1244">
        <v>0.86799999999999999</v>
      </c>
      <c r="AS60" s="1254" t="s">
        <v>459</v>
      </c>
      <c r="AT60" s="1252" t="str">
        <f>IF('Upper Extremity-Right'!T328="","",'Upper Extremity-Right'!T328)</f>
        <v/>
      </c>
      <c r="AU60" s="1252" t="str">
        <f t="shared" si="0"/>
        <v/>
      </c>
      <c r="AV60" s="243">
        <f>IF(AU60="",0,VLOOKUP(AU60,$A$3:$AM$153,15))</f>
        <v>0</v>
      </c>
      <c r="AX60" s="1254" t="s">
        <v>458</v>
      </c>
      <c r="AY60" s="1252" t="str">
        <f>IF('Upper Extremity-Right'!V328="","",'Upper Extremity-Right'!V328)</f>
        <v/>
      </c>
      <c r="AZ60" s="1252" t="str">
        <f>IF(AY60="","",ROUND(AY60,0))</f>
        <v/>
      </c>
      <c r="BA60" s="243">
        <f>IF(AZ60="",0,VLOOKUP(AZ60,$A$3:$AM$153,15))</f>
        <v>0</v>
      </c>
      <c r="BC60" s="1240" t="s">
        <v>459</v>
      </c>
      <c r="BD60" s="1243" t="str">
        <f>IF('Upper Extremity-Left'!T328="","",'Upper Extremity-Left'!T328)</f>
        <v/>
      </c>
      <c r="BE60" s="1243" t="str">
        <f>IF(BD60="","",ROUND(BD60,0))</f>
        <v/>
      </c>
      <c r="BF60" s="243">
        <f>IF(BE60="",0,VLOOKUP(BE60,$A$3:$AM$153,15))</f>
        <v>0</v>
      </c>
      <c r="BG60" s="74"/>
      <c r="BH60" s="1240" t="s">
        <v>458</v>
      </c>
      <c r="BI60" s="1243" t="str">
        <f>IF('Upper Extremity-Left'!V328="","",'Upper Extremity-Left'!V328)</f>
        <v/>
      </c>
      <c r="BJ60" s="1243" t="str">
        <f>IF(BI60="","",ROUND(BI60,0))</f>
        <v/>
      </c>
      <c r="BK60" s="243">
        <f>IF(BJ60="",0,VLOOKUP(BJ60,$A$3:$AM$153,15))</f>
        <v>0</v>
      </c>
    </row>
    <row r="61" spans="1:63" ht="15" customHeight="1" x14ac:dyDescent="0.2">
      <c r="A61" s="1235">
        <v>58</v>
      </c>
      <c r="B61" s="684">
        <v>0.122</v>
      </c>
      <c r="C61" s="684">
        <v>0.27400000000000002</v>
      </c>
      <c r="D61" s="684">
        <v>0.39600000000000002</v>
      </c>
      <c r="E61" s="684">
        <v>1.7999999999999999E-2</v>
      </c>
      <c r="F61" s="684">
        <v>0.76200000000000001</v>
      </c>
      <c r="G61" s="684">
        <v>0.78</v>
      </c>
      <c r="H61" s="684">
        <v>7.3999999999999996E-2</v>
      </c>
      <c r="I61" s="684">
        <v>0.316</v>
      </c>
      <c r="J61" s="684">
        <v>0.39</v>
      </c>
      <c r="K61" s="1244">
        <v>0.252</v>
      </c>
      <c r="L61" s="1244">
        <f xml:space="preserve"> 31%</f>
        <v>0.31</v>
      </c>
      <c r="M61" s="1244">
        <f xml:space="preserve"> 56.2%</f>
        <v>0.56200000000000006</v>
      </c>
      <c r="N61" s="684">
        <v>0.192</v>
      </c>
      <c r="O61" s="684">
        <v>0.51</v>
      </c>
      <c r="P61" s="684">
        <v>0.70199999999999996</v>
      </c>
      <c r="Q61" s="1240">
        <v>0.19</v>
      </c>
      <c r="R61" s="646">
        <v>0.1</v>
      </c>
      <c r="S61" s="1240">
        <v>0.09</v>
      </c>
      <c r="T61" s="1240">
        <v>0.04</v>
      </c>
      <c r="U61" s="1240">
        <v>0.03</v>
      </c>
      <c r="V61" s="1244"/>
      <c r="W61" s="1244"/>
      <c r="X61" s="1240"/>
      <c r="Y61" s="1244"/>
      <c r="Z61" s="1244">
        <v>4.0000000000000001E-3</v>
      </c>
      <c r="AA61" s="1244">
        <v>0.85599999999999998</v>
      </c>
      <c r="AB61" s="1244">
        <v>2.1999999999999999E-2</v>
      </c>
      <c r="AC61" s="1244">
        <v>0.79400000000000004</v>
      </c>
      <c r="AD61" s="1244"/>
      <c r="AE61" s="749"/>
      <c r="AF61" s="1244"/>
      <c r="AG61" s="1244"/>
      <c r="AH61" s="1240">
        <v>0.46</v>
      </c>
      <c r="AI61" s="1244">
        <v>0.23599999999999999</v>
      </c>
      <c r="AJ61" s="1244">
        <v>0.11600000000000001</v>
      </c>
      <c r="AK61" s="1244">
        <v>0.56399999999999995</v>
      </c>
      <c r="AL61" s="1244">
        <v>3.4000000000000002E-2</v>
      </c>
      <c r="AM61" s="1244">
        <v>0.872</v>
      </c>
      <c r="AS61" s="1254" t="s">
        <v>460</v>
      </c>
      <c r="AT61" s="1252" t="str">
        <f>IF('Upper Extremity-Right'!T329="","",'Upper Extremity-Right'!T329)</f>
        <v/>
      </c>
      <c r="AU61" s="1252" t="str">
        <f t="shared" si="0"/>
        <v/>
      </c>
      <c r="AV61" s="243">
        <f>IF(AU61="",0,VLOOKUP(AU61,$A$3:$AM$153,16))</f>
        <v>0</v>
      </c>
      <c r="BC61" s="1240" t="s">
        <v>460</v>
      </c>
      <c r="BD61" s="1243" t="str">
        <f>IF('Upper Extremity-Left'!T329="","",'Upper Extremity-Left'!T329)</f>
        <v/>
      </c>
      <c r="BE61" s="1243" t="str">
        <f>IF(BD61="","",ROUND(BD61,0))</f>
        <v/>
      </c>
      <c r="BF61" s="243">
        <f>IF(BE61="",0,VLOOKUP(BE61,$A$3:$AM$153,16))</f>
        <v>0</v>
      </c>
      <c r="BG61" s="74"/>
      <c r="BH61" s="19"/>
    </row>
    <row r="62" spans="1:63" ht="15" customHeight="1" x14ac:dyDescent="0.2">
      <c r="A62" s="1235">
        <v>59</v>
      </c>
      <c r="B62" s="684">
        <v>0.11600000000000001</v>
      </c>
      <c r="C62" s="684">
        <v>0.28199999999999997</v>
      </c>
      <c r="D62" s="684">
        <v>0.39800000000000002</v>
      </c>
      <c r="E62" s="684">
        <v>8.9999999999999993E-3</v>
      </c>
      <c r="F62" s="684">
        <v>0.78100000000000003</v>
      </c>
      <c r="G62" s="684">
        <v>0.79</v>
      </c>
      <c r="H62" s="684">
        <v>6.7000000000000004E-2</v>
      </c>
      <c r="I62" s="684">
        <v>0.32800000000000001</v>
      </c>
      <c r="J62" s="684">
        <v>0.39500000000000002</v>
      </c>
      <c r="K62" s="1244">
        <v>0.246</v>
      </c>
      <c r="L62" s="1244">
        <f xml:space="preserve"> 32%</f>
        <v>0.32</v>
      </c>
      <c r="M62" s="1244">
        <f xml:space="preserve"> 56.6%</f>
        <v>0.56600000000000006</v>
      </c>
      <c r="N62" s="684">
        <v>0.186</v>
      </c>
      <c r="O62" s="684">
        <v>0.52500000000000002</v>
      </c>
      <c r="P62" s="684">
        <v>0.71099999999999997</v>
      </c>
      <c r="Q62" s="1240">
        <v>0.19</v>
      </c>
      <c r="R62" s="646">
        <v>0.1</v>
      </c>
      <c r="S62" s="1240">
        <v>0.09</v>
      </c>
      <c r="T62" s="1240">
        <v>0.04</v>
      </c>
      <c r="U62" s="1240">
        <v>0.03</v>
      </c>
      <c r="V62" s="1244"/>
      <c r="W62" s="1244"/>
      <c r="X62" s="1240"/>
      <c r="Y62" s="1244"/>
      <c r="Z62" s="1244">
        <v>2E-3</v>
      </c>
      <c r="AA62" s="1244">
        <v>0.878</v>
      </c>
      <c r="AB62" s="1244">
        <v>2.1000000000000001E-2</v>
      </c>
      <c r="AC62" s="1244">
        <v>0.80200000000000005</v>
      </c>
      <c r="AD62" s="1244"/>
      <c r="AE62" s="749"/>
      <c r="AF62" s="1244"/>
      <c r="AG62" s="1244"/>
      <c r="AH62" s="1240">
        <v>0.47</v>
      </c>
      <c r="AI62" s="1244">
        <v>0.23300000000000001</v>
      </c>
      <c r="AJ62" s="1244">
        <v>0.11799999999999999</v>
      </c>
      <c r="AK62" s="1244">
        <v>0.56200000000000006</v>
      </c>
      <c r="AL62" s="1244">
        <v>3.2000000000000001E-2</v>
      </c>
      <c r="AM62" s="1244">
        <v>0.876</v>
      </c>
      <c r="BC62" s="1240"/>
      <c r="BD62" s="74"/>
      <c r="BE62" s="74"/>
      <c r="BG62" s="74"/>
      <c r="BH62" s="19"/>
    </row>
    <row r="63" spans="1:63" ht="15" customHeight="1" x14ac:dyDescent="0.2">
      <c r="A63" s="1235">
        <v>60</v>
      </c>
      <c r="B63" s="684">
        <v>0.11</v>
      </c>
      <c r="C63" s="684">
        <v>0.28999999999999998</v>
      </c>
      <c r="D63" s="684">
        <v>0.4</v>
      </c>
      <c r="E63" s="684">
        <v>0</v>
      </c>
      <c r="F63" s="684">
        <v>0.8</v>
      </c>
      <c r="G63" s="684">
        <v>0.8</v>
      </c>
      <c r="H63" s="684">
        <v>0.06</v>
      </c>
      <c r="I63" s="684">
        <v>0.34</v>
      </c>
      <c r="J63" s="684">
        <v>0.4</v>
      </c>
      <c r="K63" s="1244">
        <v>0.24</v>
      </c>
      <c r="L63" s="1244">
        <f xml:space="preserve"> 33%</f>
        <v>0.33</v>
      </c>
      <c r="M63" s="1244">
        <f xml:space="preserve"> 57%</f>
        <v>0.56999999999999995</v>
      </c>
      <c r="N63" s="684">
        <v>0.18</v>
      </c>
      <c r="O63" s="684">
        <v>0.54</v>
      </c>
      <c r="P63" s="684">
        <v>0.72</v>
      </c>
      <c r="Q63" s="1240">
        <v>0.2</v>
      </c>
      <c r="R63" s="646">
        <v>0.1</v>
      </c>
      <c r="S63" s="1240">
        <v>0.09</v>
      </c>
      <c r="T63" s="1240">
        <v>0.05</v>
      </c>
      <c r="U63" s="1240">
        <v>0.03</v>
      </c>
      <c r="V63" s="1244"/>
      <c r="W63" s="1244"/>
      <c r="X63" s="1240"/>
      <c r="Y63" s="1244"/>
      <c r="Z63" s="1244">
        <v>0</v>
      </c>
      <c r="AA63" s="1244">
        <v>0.9</v>
      </c>
      <c r="AB63" s="1244">
        <v>0.02</v>
      </c>
      <c r="AC63" s="1244">
        <v>0.81</v>
      </c>
      <c r="AD63" s="1244"/>
      <c r="AE63" s="749"/>
      <c r="AF63" s="1244"/>
      <c r="AG63" s="1244"/>
      <c r="AH63" s="1240">
        <v>0.48</v>
      </c>
      <c r="AI63" s="1244">
        <v>0.23</v>
      </c>
      <c r="AJ63" s="1244">
        <v>0.12</v>
      </c>
      <c r="AK63" s="1244">
        <v>0.56000000000000005</v>
      </c>
      <c r="AL63" s="1244">
        <v>0.03</v>
      </c>
      <c r="AM63" s="1244">
        <v>0.88</v>
      </c>
      <c r="AS63" s="1254" t="s">
        <v>1656</v>
      </c>
      <c r="BC63" s="1240" t="s">
        <v>1656</v>
      </c>
      <c r="BD63" s="74"/>
      <c r="BE63" s="74"/>
      <c r="BG63" s="74"/>
      <c r="BH63" s="19"/>
    </row>
    <row r="64" spans="1:63" ht="15" customHeight="1" x14ac:dyDescent="0.2">
      <c r="A64" s="1235">
        <v>61</v>
      </c>
      <c r="B64" s="684">
        <v>0.105</v>
      </c>
      <c r="C64" s="684">
        <v>0.29799999999999999</v>
      </c>
      <c r="D64" s="684">
        <v>0.40300000000000002</v>
      </c>
      <c r="E64" s="1235"/>
      <c r="F64" s="1235"/>
      <c r="G64" s="1235"/>
      <c r="H64" s="684">
        <v>5.3999999999999999E-2</v>
      </c>
      <c r="I64" s="684">
        <v>0.35099999999999998</v>
      </c>
      <c r="J64" s="684">
        <v>0.40500000000000003</v>
      </c>
      <c r="K64" s="1244">
        <v>0.23400000000000001</v>
      </c>
      <c r="L64" s="1244">
        <f xml:space="preserve"> 33.9%</f>
        <v>0.33899999999999997</v>
      </c>
      <c r="M64" s="1244">
        <f xml:space="preserve"> 57.3%</f>
        <v>0.57299999999999995</v>
      </c>
      <c r="N64" s="684">
        <v>0.17399999999999999</v>
      </c>
      <c r="O64" s="684">
        <v>0.55600000000000005</v>
      </c>
      <c r="P64" s="684">
        <v>0.73</v>
      </c>
      <c r="Q64" s="1240">
        <v>0.2</v>
      </c>
      <c r="R64" s="646">
        <v>0.1</v>
      </c>
      <c r="S64" s="1240">
        <v>0.09</v>
      </c>
      <c r="T64" s="1240">
        <v>0.05</v>
      </c>
      <c r="U64" s="1240">
        <v>0.03</v>
      </c>
      <c r="V64" s="1244"/>
      <c r="W64" s="1244"/>
      <c r="X64" s="1240"/>
      <c r="Y64" s="1244"/>
      <c r="Z64" s="1244"/>
      <c r="AA64" s="1244"/>
      <c r="AB64" s="1244">
        <v>1.7999999999999999E-2</v>
      </c>
      <c r="AC64" s="1244">
        <v>0.81899999999999995</v>
      </c>
      <c r="AD64" s="1244"/>
      <c r="AE64" s="749"/>
      <c r="AF64" s="1244"/>
      <c r="AG64" s="1244"/>
      <c r="AH64" s="1240">
        <v>0.49</v>
      </c>
      <c r="AI64" s="1244">
        <v>0.22800000000000001</v>
      </c>
      <c r="AJ64" s="1244">
        <v>0.122</v>
      </c>
      <c r="AK64" s="1244">
        <v>0.55900000000000005</v>
      </c>
      <c r="AL64" s="1244">
        <v>2.9000000000000001E-2</v>
      </c>
      <c r="AM64" s="1244">
        <v>0.88300000000000001</v>
      </c>
      <c r="AS64" s="1254" t="s">
        <v>461</v>
      </c>
      <c r="AT64" s="1252" t="str">
        <f>IF('Upper Extremity-Right'!T394="","",'Upper Extremity-Right'!T394)</f>
        <v/>
      </c>
      <c r="AU64" s="1252" t="str">
        <f t="shared" si="0"/>
        <v/>
      </c>
      <c r="AV64" s="243">
        <f>IF(AU64="",0,VLOOKUP(AU64,$A$3:$AM$153,22))</f>
        <v>0</v>
      </c>
      <c r="AX64" s="1254" t="s">
        <v>462</v>
      </c>
      <c r="AY64" s="1252" t="str">
        <f>IF('Upper Extremity-Right'!V394="","",'Upper Extremity-Right'!V394)</f>
        <v/>
      </c>
      <c r="AZ64" s="1252" t="str">
        <f>IF(AY64="","",ROUND(AY64,0))</f>
        <v/>
      </c>
      <c r="BA64" s="243">
        <f>IF(AZ64="",0,VLOOKUP(AZ64,$A$3:$AM$153,22))</f>
        <v>0</v>
      </c>
      <c r="BC64" s="1240" t="s">
        <v>461</v>
      </c>
      <c r="BD64" s="1243" t="str">
        <f>IF('Upper Extremity-Left'!T394="","",'Upper Extremity-Left'!T394)</f>
        <v/>
      </c>
      <c r="BE64" s="1243" t="str">
        <f>IF(BD64="","",ROUND(BD64,0))</f>
        <v/>
      </c>
      <c r="BF64" s="243">
        <f>IF(BE64="",0,VLOOKUP(BE64,$A$3:$AM$153,22))</f>
        <v>0</v>
      </c>
      <c r="BG64" s="74"/>
      <c r="BH64" s="1240" t="s">
        <v>462</v>
      </c>
      <c r="BI64" s="1243" t="str">
        <f>IF('Upper Extremity-Left'!V394="","",'Upper Extremity-Left'!V394)</f>
        <v/>
      </c>
      <c r="BJ64" s="1243" t="str">
        <f>IF(BI64="","",ROUND(BI64,0))</f>
        <v/>
      </c>
      <c r="BK64" s="243">
        <f>IF(BJ64="",0,VLOOKUP(BJ64,$A$3:$AM$153,22))</f>
        <v>0</v>
      </c>
    </row>
    <row r="65" spans="1:63" ht="15" customHeight="1" x14ac:dyDescent="0.2">
      <c r="A65" s="1235">
        <v>62</v>
      </c>
      <c r="B65" s="684">
        <v>0.1</v>
      </c>
      <c r="C65" s="684">
        <v>0.30599999999999999</v>
      </c>
      <c r="D65" s="684">
        <v>0.40600000000000003</v>
      </c>
      <c r="E65" s="1235"/>
      <c r="F65" s="1235"/>
      <c r="G65" s="1235"/>
      <c r="H65" s="684">
        <v>4.8000000000000001E-2</v>
      </c>
      <c r="I65" s="684">
        <v>0.36199999999999999</v>
      </c>
      <c r="J65" s="684">
        <v>0.41</v>
      </c>
      <c r="K65" s="1244">
        <v>0.22800000000000001</v>
      </c>
      <c r="L65" s="1244">
        <f xml:space="preserve"> 34.8%</f>
        <v>0.34799999999999998</v>
      </c>
      <c r="M65" s="1244">
        <f xml:space="preserve"> 57.6%</f>
        <v>0.57600000000000007</v>
      </c>
      <c r="N65" s="684">
        <v>0.16800000000000001</v>
      </c>
      <c r="O65" s="684">
        <v>0.57199999999999995</v>
      </c>
      <c r="P65" s="684">
        <v>0.74</v>
      </c>
      <c r="Q65" s="1240">
        <v>0.2</v>
      </c>
      <c r="R65" s="646">
        <v>0.1</v>
      </c>
      <c r="S65" s="1240">
        <v>0.1</v>
      </c>
      <c r="T65" s="1240">
        <v>0.05</v>
      </c>
      <c r="U65" s="1240">
        <v>0.03</v>
      </c>
      <c r="V65" s="1244"/>
      <c r="W65" s="1244"/>
      <c r="X65" s="1240"/>
      <c r="Y65" s="1244"/>
      <c r="Z65" s="1244"/>
      <c r="AA65" s="1244"/>
      <c r="AB65" s="1244">
        <v>1.6E-2</v>
      </c>
      <c r="AC65" s="1244">
        <v>0.82799999999999996</v>
      </c>
      <c r="AD65" s="1244"/>
      <c r="AE65" s="749"/>
      <c r="AF65" s="1244"/>
      <c r="AG65" s="1244"/>
      <c r="AH65" s="1240">
        <v>0.49</v>
      </c>
      <c r="AI65" s="1244">
        <v>0.22600000000000001</v>
      </c>
      <c r="AJ65" s="1244">
        <v>0.124</v>
      </c>
      <c r="AK65" s="1244">
        <v>0.55800000000000005</v>
      </c>
      <c r="AL65" s="1244">
        <v>2.8000000000000001E-2</v>
      </c>
      <c r="AM65" s="1244">
        <v>0.88600000000000001</v>
      </c>
      <c r="AS65" s="1254" t="s">
        <v>463</v>
      </c>
      <c r="AT65" s="1252" t="str">
        <f>IF('Upper Extremity-Right'!T395="","",'Upper Extremity-Right'!T395)</f>
        <v/>
      </c>
      <c r="AU65" s="1252" t="str">
        <f t="shared" si="0"/>
        <v/>
      </c>
      <c r="AV65" s="243">
        <f>IF(AU65="",0,VLOOKUP(AU65,$A$3:$AM$153,23))</f>
        <v>0</v>
      </c>
      <c r="AX65" s="1254" t="s">
        <v>462</v>
      </c>
      <c r="AY65" s="1252" t="str">
        <f>IF('Upper Extremity-Right'!V395="","",'Upper Extremity-Right'!V395)</f>
        <v/>
      </c>
      <c r="AZ65" s="1252" t="str">
        <f>IF(AY65="","",ROUND(AY65,0))</f>
        <v/>
      </c>
      <c r="BA65" s="243">
        <f>IF(AZ65="",0,VLOOKUP(AZ65,$A$3:$AM$153,23))</f>
        <v>0</v>
      </c>
      <c r="BC65" s="1240" t="s">
        <v>463</v>
      </c>
      <c r="BD65" s="1243" t="str">
        <f>IF('Upper Extremity-Left'!T395="","",'Upper Extremity-Left'!T395)</f>
        <v/>
      </c>
      <c r="BE65" s="1243" t="str">
        <f>IF(BD65="","",ROUND(BD65,0))</f>
        <v/>
      </c>
      <c r="BF65" s="243">
        <f>IF(BE65="",0,VLOOKUP(BE65,$A$3:$AM$153,23))</f>
        <v>0</v>
      </c>
      <c r="BG65" s="74"/>
      <c r="BH65" s="1240" t="s">
        <v>462</v>
      </c>
      <c r="BI65" s="1243" t="str">
        <f>IF('Upper Extremity-Left'!V395="","",'Upper Extremity-Left'!V395)</f>
        <v/>
      </c>
      <c r="BJ65" s="1243" t="str">
        <f>IF(BI65="","",ROUND(BI65,0))</f>
        <v/>
      </c>
      <c r="BK65" s="243">
        <f>IF(BJ65="",0,VLOOKUP(BJ65,$A$3:$AM$153,23))</f>
        <v>0</v>
      </c>
    </row>
    <row r="66" spans="1:63" ht="15" customHeight="1" x14ac:dyDescent="0.2">
      <c r="A66" s="1235">
        <v>63</v>
      </c>
      <c r="B66" s="684">
        <v>9.5000000000000001E-2</v>
      </c>
      <c r="C66" s="684">
        <v>0.314</v>
      </c>
      <c r="D66" s="684">
        <v>0.40899999999999997</v>
      </c>
      <c r="E66" s="1235"/>
      <c r="F66" s="1235"/>
      <c r="G66" s="1235"/>
      <c r="H66" s="684">
        <v>4.2000000000000003E-2</v>
      </c>
      <c r="I66" s="684">
        <v>0.373</v>
      </c>
      <c r="J66" s="684">
        <v>0.41499999999999998</v>
      </c>
      <c r="K66" s="1244">
        <v>0.222</v>
      </c>
      <c r="L66" s="1244">
        <f xml:space="preserve"> 35.7%</f>
        <v>0.35700000000000004</v>
      </c>
      <c r="M66" s="1244">
        <f xml:space="preserve"> 57.9%</f>
        <v>0.57899999999999996</v>
      </c>
      <c r="N66" s="684">
        <v>0.16200000000000001</v>
      </c>
      <c r="O66" s="684">
        <v>0.58799999999999997</v>
      </c>
      <c r="P66" s="684">
        <v>0.75</v>
      </c>
      <c r="Q66" s="1240">
        <v>0.21</v>
      </c>
      <c r="R66" s="646">
        <v>0.11</v>
      </c>
      <c r="S66" s="1240">
        <v>0.1</v>
      </c>
      <c r="T66" s="1240">
        <v>0.05</v>
      </c>
      <c r="U66" s="1240">
        <v>0.03</v>
      </c>
      <c r="V66" s="1244"/>
      <c r="W66" s="1244"/>
      <c r="X66" s="1240"/>
      <c r="Y66" s="1244"/>
      <c r="Z66" s="1244"/>
      <c r="AA66" s="1244"/>
      <c r="AB66" s="1244">
        <v>1.4E-2</v>
      </c>
      <c r="AC66" s="1244">
        <v>0.83699999999999997</v>
      </c>
      <c r="AD66" s="1244"/>
      <c r="AE66" s="749"/>
      <c r="AF66" s="1244"/>
      <c r="AG66" s="1244"/>
      <c r="AH66" s="1240">
        <v>0.5</v>
      </c>
      <c r="AI66" s="1244">
        <v>0.224</v>
      </c>
      <c r="AJ66" s="1244">
        <v>0.126</v>
      </c>
      <c r="AK66" s="1244">
        <v>0.55700000000000005</v>
      </c>
      <c r="AL66" s="1244">
        <v>2.7E-2</v>
      </c>
      <c r="AM66" s="1244">
        <v>0.88900000000000001</v>
      </c>
      <c r="AS66" s="1254" t="s">
        <v>464</v>
      </c>
      <c r="AT66" s="1252" t="str">
        <f>IF('Upper Extremity-Right'!T396="","",'Upper Extremity-Right'!T396)</f>
        <v/>
      </c>
      <c r="AU66" s="1252" t="str">
        <f t="shared" si="0"/>
        <v/>
      </c>
      <c r="AV66" s="243">
        <f>IF(AU66="",0,VLOOKUP(AU66,$A$3:$AM$153,24))</f>
        <v>0</v>
      </c>
      <c r="BC66" s="1240" t="s">
        <v>464</v>
      </c>
      <c r="BD66" s="1243" t="str">
        <f>IF('Upper Extremity-Left'!T396="","",'Upper Extremity-Left'!T396)</f>
        <v/>
      </c>
      <c r="BE66" s="1243" t="str">
        <f>IF(BD66="","",ROUND(BD66,0))</f>
        <v/>
      </c>
      <c r="BF66" s="243">
        <f>IF(BE66="",0,VLOOKUP(BE66,$A$3:$AM$153,24))</f>
        <v>0</v>
      </c>
      <c r="BG66" s="74"/>
      <c r="BH66" s="19"/>
    </row>
    <row r="67" spans="1:63" ht="15" customHeight="1" x14ac:dyDescent="0.2">
      <c r="A67" s="1235">
        <v>64</v>
      </c>
      <c r="B67" s="684">
        <v>0.09</v>
      </c>
      <c r="C67" s="684">
        <v>0.32200000000000001</v>
      </c>
      <c r="D67" s="684">
        <v>0.41199999999999998</v>
      </c>
      <c r="E67" s="1235"/>
      <c r="F67" s="1235"/>
      <c r="G67" s="1235"/>
      <c r="H67" s="684">
        <v>3.5999999999999997E-2</v>
      </c>
      <c r="I67" s="684">
        <v>0.38400000000000001</v>
      </c>
      <c r="J67" s="684">
        <v>0.42</v>
      </c>
      <c r="K67" s="1244">
        <v>0.216</v>
      </c>
      <c r="L67" s="1244">
        <f xml:space="preserve"> 36.6%</f>
        <v>0.36599999999999999</v>
      </c>
      <c r="M67" s="1244">
        <f xml:space="preserve"> 58.2%</f>
        <v>0.58200000000000007</v>
      </c>
      <c r="N67" s="684">
        <v>0.156</v>
      </c>
      <c r="O67" s="684">
        <v>0.60399999999999998</v>
      </c>
      <c r="P67" s="684">
        <v>0.76</v>
      </c>
      <c r="Q67" s="1240">
        <v>0.21</v>
      </c>
      <c r="R67" s="646">
        <v>0.11</v>
      </c>
      <c r="S67" s="1240">
        <v>0.1</v>
      </c>
      <c r="T67" s="1240">
        <v>0.05</v>
      </c>
      <c r="U67" s="1240">
        <v>0.03</v>
      </c>
      <c r="V67" s="1244"/>
      <c r="W67" s="1244"/>
      <c r="X67" s="1240"/>
      <c r="Y67" s="1244"/>
      <c r="Z67" s="1244"/>
      <c r="AA67" s="1244"/>
      <c r="AB67" s="1244">
        <v>1.2E-2</v>
      </c>
      <c r="AC67" s="1244">
        <v>0.84599999999999997</v>
      </c>
      <c r="AD67" s="1244"/>
      <c r="AE67" s="749"/>
      <c r="AF67" s="1244"/>
      <c r="AG67" s="1244"/>
      <c r="AH67" s="1240">
        <v>0.51</v>
      </c>
      <c r="AI67" s="1244">
        <v>0.222</v>
      </c>
      <c r="AJ67" s="1244">
        <v>0.128</v>
      </c>
      <c r="AK67" s="1244">
        <v>0.55600000000000005</v>
      </c>
      <c r="AL67" s="1244">
        <v>2.5999999999999999E-2</v>
      </c>
      <c r="AM67" s="1244">
        <v>0.89200000000000002</v>
      </c>
      <c r="AS67" s="1254" t="s">
        <v>465</v>
      </c>
      <c r="AT67" s="1252" t="str">
        <f>IF('Upper Extremity-Right'!T397="","",'Upper Extremity-Right'!T397)</f>
        <v/>
      </c>
      <c r="AU67" s="1252" t="str">
        <f t="shared" si="0"/>
        <v/>
      </c>
      <c r="AV67" s="243">
        <f>IF(AU67="",0,VLOOKUP(AU67,$A$3:$AM$153,25))</f>
        <v>0</v>
      </c>
      <c r="BC67" s="1240" t="s">
        <v>465</v>
      </c>
      <c r="BD67" s="1243" t="str">
        <f>IF('Upper Extremity-Left'!T397="","",'Upper Extremity-Left'!T397)</f>
        <v/>
      </c>
      <c r="BE67" s="1243" t="str">
        <f>IF(BD67="","",ROUND(BD67,0))</f>
        <v/>
      </c>
      <c r="BF67" s="243">
        <f>IF(BE67="",0,VLOOKUP(BE67,$A$3:$AM$153,25))</f>
        <v>0</v>
      </c>
      <c r="BG67" s="74"/>
      <c r="BH67" s="19"/>
    </row>
    <row r="68" spans="1:63" ht="15" customHeight="1" x14ac:dyDescent="0.2">
      <c r="A68" s="1235">
        <v>65</v>
      </c>
      <c r="B68" s="684">
        <v>8.5000000000000006E-2</v>
      </c>
      <c r="C68" s="684">
        <v>0.33</v>
      </c>
      <c r="D68" s="684">
        <v>0.41499999999999998</v>
      </c>
      <c r="E68" s="1235"/>
      <c r="F68" s="1235"/>
      <c r="G68" s="1235"/>
      <c r="H68" s="684">
        <v>0.03</v>
      </c>
      <c r="I68" s="684">
        <v>0.39500000000000002</v>
      </c>
      <c r="J68" s="684">
        <v>0.42499999999999999</v>
      </c>
      <c r="K68" s="1244">
        <v>0.21</v>
      </c>
      <c r="L68" s="1244">
        <f xml:space="preserve"> 37.5%</f>
        <v>0.375</v>
      </c>
      <c r="M68" s="1244">
        <f xml:space="preserve"> 58.5%</f>
        <v>0.58499999999999996</v>
      </c>
      <c r="N68" s="684">
        <v>0.15</v>
      </c>
      <c r="O68" s="684">
        <v>0.62</v>
      </c>
      <c r="P68" s="684">
        <v>0.77</v>
      </c>
      <c r="Q68" s="1240">
        <v>0.21</v>
      </c>
      <c r="R68" s="646">
        <v>0.11</v>
      </c>
      <c r="S68" s="1240">
        <v>0.1</v>
      </c>
      <c r="T68" s="1240">
        <v>0.05</v>
      </c>
      <c r="U68" s="1240">
        <v>0.03</v>
      </c>
      <c r="V68" s="1244"/>
      <c r="W68" s="1244"/>
      <c r="X68" s="1240"/>
      <c r="Y68" s="1244"/>
      <c r="Z68" s="1244"/>
      <c r="AA68" s="1244"/>
      <c r="AB68" s="1244">
        <v>0.01</v>
      </c>
      <c r="AC68" s="1244">
        <v>0.85499999999999998</v>
      </c>
      <c r="AD68" s="1244"/>
      <c r="AE68" s="749"/>
      <c r="AF68" s="1244"/>
      <c r="AG68" s="1244"/>
      <c r="AH68" s="1240">
        <v>0.52</v>
      </c>
      <c r="AI68" s="1244">
        <v>0.22</v>
      </c>
      <c r="AJ68" s="1244">
        <v>0.13</v>
      </c>
      <c r="AK68" s="1244">
        <v>0.55500000000000005</v>
      </c>
      <c r="AL68" s="1244">
        <v>2.5000000000000001E-2</v>
      </c>
      <c r="AM68" s="1244">
        <v>0.89500000000000002</v>
      </c>
      <c r="BC68" s="1240"/>
      <c r="BD68" s="74"/>
      <c r="BE68" s="74"/>
      <c r="BG68" s="74"/>
      <c r="BH68" s="19"/>
    </row>
    <row r="69" spans="1:63" ht="15" customHeight="1" x14ac:dyDescent="0.2">
      <c r="A69" s="1235">
        <v>66</v>
      </c>
      <c r="B69" s="684">
        <v>0.08</v>
      </c>
      <c r="C69" s="684">
        <v>0.33800000000000002</v>
      </c>
      <c r="D69" s="684">
        <v>0.41799999999999998</v>
      </c>
      <c r="E69" s="1235"/>
      <c r="F69" s="1235"/>
      <c r="G69" s="1235"/>
      <c r="H69" s="684">
        <v>2.4E-2</v>
      </c>
      <c r="I69" s="684">
        <v>0.40600000000000003</v>
      </c>
      <c r="J69" s="684">
        <v>0.43</v>
      </c>
      <c r="K69" s="1244">
        <v>0.20399999999999999</v>
      </c>
      <c r="L69" s="1244">
        <f xml:space="preserve"> 38.4%</f>
        <v>0.38400000000000001</v>
      </c>
      <c r="M69" s="1244">
        <f xml:space="preserve"> 58.8%</f>
        <v>0.58799999999999997</v>
      </c>
      <c r="N69" s="684">
        <v>0.14399999999999999</v>
      </c>
      <c r="O69" s="684">
        <v>0.63600000000000001</v>
      </c>
      <c r="P69" s="684">
        <v>0.78</v>
      </c>
      <c r="Q69" s="1240">
        <v>0.22</v>
      </c>
      <c r="R69" s="646">
        <v>0.11</v>
      </c>
      <c r="S69" s="1240">
        <v>0.1</v>
      </c>
      <c r="T69" s="1240">
        <v>0.05</v>
      </c>
      <c r="U69" s="1240">
        <v>0.03</v>
      </c>
      <c r="V69" s="1244"/>
      <c r="W69" s="1244"/>
      <c r="X69" s="1240"/>
      <c r="Y69" s="1244"/>
      <c r="Z69" s="1244"/>
      <c r="AA69" s="1244"/>
      <c r="AB69" s="1244">
        <v>8.0000000000000002E-3</v>
      </c>
      <c r="AC69" s="1244">
        <v>0.86399999999999999</v>
      </c>
      <c r="AD69" s="1244"/>
      <c r="AE69" s="749"/>
      <c r="AF69" s="1244"/>
      <c r="AG69" s="1244"/>
      <c r="AH69" s="1240">
        <v>0.53</v>
      </c>
      <c r="AI69" s="1244">
        <v>0.218</v>
      </c>
      <c r="AJ69" s="1244">
        <v>0.13200000000000001</v>
      </c>
      <c r="AK69" s="1244">
        <v>0.55400000000000005</v>
      </c>
      <c r="AL69" s="1244">
        <v>2.4E-2</v>
      </c>
      <c r="AM69" s="1244">
        <v>0.89800000000000002</v>
      </c>
      <c r="AS69" s="1254" t="s">
        <v>411</v>
      </c>
      <c r="BC69" s="1240" t="s">
        <v>411</v>
      </c>
      <c r="BD69" s="74"/>
      <c r="BE69" s="74"/>
      <c r="BG69" s="74"/>
      <c r="BH69" s="19"/>
    </row>
    <row r="70" spans="1:63" ht="15" customHeight="1" x14ac:dyDescent="0.2">
      <c r="A70" s="1235">
        <v>67</v>
      </c>
      <c r="B70" s="684">
        <v>7.4999999999999997E-2</v>
      </c>
      <c r="C70" s="684">
        <v>0.34599999999999997</v>
      </c>
      <c r="D70" s="684">
        <v>0.42099999999999999</v>
      </c>
      <c r="E70" s="1235"/>
      <c r="F70" s="1235"/>
      <c r="G70" s="1235"/>
      <c r="H70" s="684">
        <v>1.7999999999999999E-2</v>
      </c>
      <c r="I70" s="684">
        <v>0.41699999999999998</v>
      </c>
      <c r="J70" s="684">
        <v>0.435</v>
      </c>
      <c r="K70" s="1244">
        <v>0.19800000000000001</v>
      </c>
      <c r="L70" s="1244">
        <f xml:space="preserve"> 39.3%</f>
        <v>0.39299999999999996</v>
      </c>
      <c r="M70" s="1244">
        <f xml:space="preserve"> 59.1%</f>
        <v>0.59099999999999997</v>
      </c>
      <c r="N70" s="684">
        <v>0.13800000000000001</v>
      </c>
      <c r="O70" s="684">
        <v>0.65200000000000002</v>
      </c>
      <c r="P70" s="684">
        <v>0.79</v>
      </c>
      <c r="Q70" s="1240">
        <v>0.22</v>
      </c>
      <c r="R70" s="646">
        <v>0.11</v>
      </c>
      <c r="S70" s="1240">
        <v>0.1</v>
      </c>
      <c r="T70" s="1240">
        <v>0.05</v>
      </c>
      <c r="U70" s="1240">
        <v>0.03</v>
      </c>
      <c r="V70" s="1244"/>
      <c r="W70" s="1244"/>
      <c r="X70" s="1240"/>
      <c r="Y70" s="1244"/>
      <c r="Z70" s="1244"/>
      <c r="AA70" s="1244"/>
      <c r="AB70" s="1244">
        <v>6.0000000000000001E-3</v>
      </c>
      <c r="AC70" s="1244">
        <v>0.873</v>
      </c>
      <c r="AD70" s="1244"/>
      <c r="AE70" s="749"/>
      <c r="AF70" s="1244"/>
      <c r="AG70" s="1244"/>
      <c r="AH70" s="1240">
        <v>0.53</v>
      </c>
      <c r="AI70" s="1244">
        <v>0.216</v>
      </c>
      <c r="AJ70" s="1244">
        <v>0.13400000000000001</v>
      </c>
      <c r="AK70" s="1244">
        <v>0.55300000000000005</v>
      </c>
      <c r="AL70" s="1244">
        <v>2.3E-2</v>
      </c>
      <c r="AM70" s="1244">
        <v>0.90100000000000002</v>
      </c>
      <c r="AS70" s="1254" t="s">
        <v>853</v>
      </c>
      <c r="AT70" s="1252" t="str">
        <f>IF('Upper Extremity-Right'!T400="","",'Upper Extremity-Right'!T400)</f>
        <v/>
      </c>
      <c r="AU70" s="1252" t="str">
        <f t="shared" ref="AU70:AU77" si="1">IF(AT70="","",ROUND(AT70,0))</f>
        <v/>
      </c>
      <c r="AV70" s="243">
        <f>IF(AU70="",0,VLOOKUP(AU70,$A$3:$AM$153,26))</f>
        <v>0</v>
      </c>
      <c r="AX70" s="1254" t="s">
        <v>466</v>
      </c>
      <c r="AY70" s="1252" t="str">
        <f>IF('Upper Extremity-Right'!V400="","",'Upper Extremity-Right'!V400)</f>
        <v/>
      </c>
      <c r="AZ70" s="1252" t="str">
        <f>IF(AY70="","",ROUND(AY70,0))</f>
        <v/>
      </c>
      <c r="BA70" s="243">
        <f>IF(AZ70="",0,VLOOKUP(AZ70,$A$3:$AM$153,26))</f>
        <v>0</v>
      </c>
      <c r="BC70" s="1240" t="s">
        <v>853</v>
      </c>
      <c r="BD70" s="1243" t="str">
        <f>IF('Upper Extremity-Left'!T400="","",'Upper Extremity-Left'!T400)</f>
        <v/>
      </c>
      <c r="BE70" s="1243" t="str">
        <f t="shared" ref="BE70:BE77" si="2">IF(BD70="","",ROUND(BD70,0))</f>
        <v/>
      </c>
      <c r="BF70" s="243">
        <f>IF(BE70="",0,VLOOKUP(BE70,$A$3:$AM$153,26))</f>
        <v>0</v>
      </c>
      <c r="BG70" s="74"/>
      <c r="BH70" s="1240" t="s">
        <v>466</v>
      </c>
      <c r="BI70" s="1243" t="str">
        <f>IF('Upper Extremity-Left'!V400="","",'Upper Extremity-Left'!V400)</f>
        <v/>
      </c>
      <c r="BJ70" s="1243" t="str">
        <f>IF(BI70="","",ROUND(BI70,0))</f>
        <v/>
      </c>
      <c r="BK70" s="243">
        <f>IF(BJ70="",0,VLOOKUP(BJ70,$A$3:$AM$153,26))</f>
        <v>0</v>
      </c>
    </row>
    <row r="71" spans="1:63" ht="15" customHeight="1" x14ac:dyDescent="0.2">
      <c r="A71" s="1235">
        <v>68</v>
      </c>
      <c r="B71" s="684">
        <v>7.0000000000000007E-2</v>
      </c>
      <c r="C71" s="684">
        <v>0.35399999999999998</v>
      </c>
      <c r="D71" s="684">
        <v>0.42399999999999999</v>
      </c>
      <c r="E71" s="1235"/>
      <c r="F71" s="1235"/>
      <c r="G71" s="1235"/>
      <c r="H71" s="684">
        <v>1.2E-2</v>
      </c>
      <c r="I71" s="684">
        <v>0.42799999999999999</v>
      </c>
      <c r="J71" s="684">
        <v>0.44</v>
      </c>
      <c r="K71" s="1244">
        <v>0.192</v>
      </c>
      <c r="L71" s="1244">
        <f xml:space="preserve"> 40.2%</f>
        <v>0.40200000000000002</v>
      </c>
      <c r="M71" s="1244">
        <f xml:space="preserve"> 59.4%</f>
        <v>0.59399999999999997</v>
      </c>
      <c r="N71" s="684">
        <v>0.13200000000000001</v>
      </c>
      <c r="O71" s="684">
        <v>0.66800000000000004</v>
      </c>
      <c r="P71" s="684">
        <v>0.8</v>
      </c>
      <c r="Q71" s="1240">
        <v>0.22</v>
      </c>
      <c r="R71" s="646">
        <v>0.11</v>
      </c>
      <c r="S71" s="1240">
        <v>0.1</v>
      </c>
      <c r="T71" s="1240">
        <v>0.05</v>
      </c>
      <c r="U71" s="1240">
        <v>0.03</v>
      </c>
      <c r="V71" s="1244"/>
      <c r="W71" s="1244"/>
      <c r="X71" s="1240"/>
      <c r="Y71" s="1244"/>
      <c r="Z71" s="1244"/>
      <c r="AA71" s="1244"/>
      <c r="AB71" s="1244">
        <v>4.0000000000000001E-3</v>
      </c>
      <c r="AC71" s="1244">
        <v>0.88200000000000001</v>
      </c>
      <c r="AD71" s="1244"/>
      <c r="AE71" s="749"/>
      <c r="AF71" s="1244"/>
      <c r="AG71" s="1244"/>
      <c r="AH71" s="1240">
        <v>0.54</v>
      </c>
      <c r="AI71" s="1244">
        <v>0.214</v>
      </c>
      <c r="AJ71" s="1244">
        <v>0.13600000000000001</v>
      </c>
      <c r="AK71" s="1244">
        <v>0.55200000000000005</v>
      </c>
      <c r="AL71" s="1244">
        <v>2.1999999999999999E-2</v>
      </c>
      <c r="AM71" s="1244">
        <v>0.90400000000000003</v>
      </c>
      <c r="AS71" s="1254" t="s">
        <v>1206</v>
      </c>
      <c r="AT71" s="1252" t="str">
        <f>IF('Upper Extremity-Right'!T401="","",'Upper Extremity-Right'!T401)</f>
        <v/>
      </c>
      <c r="AU71" s="1252" t="str">
        <f t="shared" si="1"/>
        <v/>
      </c>
      <c r="AV71" s="243">
        <f>IF(AU71="",0,VLOOKUP(AU71,$A$3:$AM$153,27))</f>
        <v>0</v>
      </c>
      <c r="BC71" s="1240" t="s">
        <v>1206</v>
      </c>
      <c r="BD71" s="1243" t="str">
        <f>IF('Upper Extremity-Left'!T401="","",'Upper Extremity-Left'!T401)</f>
        <v/>
      </c>
      <c r="BE71" s="1243" t="str">
        <f t="shared" si="2"/>
        <v/>
      </c>
      <c r="BF71" s="243">
        <f>IF(BE71="",0,VLOOKUP(BE71,$A$3:$AM$153,27))</f>
        <v>0</v>
      </c>
      <c r="BG71" s="74"/>
      <c r="BH71" s="19"/>
    </row>
    <row r="72" spans="1:63" ht="15" customHeight="1" x14ac:dyDescent="0.2">
      <c r="A72" s="1235">
        <v>69</v>
      </c>
      <c r="B72" s="684">
        <v>6.5000000000000002E-2</v>
      </c>
      <c r="C72" s="684">
        <v>0.36199999999999999</v>
      </c>
      <c r="D72" s="684">
        <v>0.42699999999999999</v>
      </c>
      <c r="E72" s="1235"/>
      <c r="F72" s="1235"/>
      <c r="G72" s="1235"/>
      <c r="H72" s="684">
        <v>6.0000000000000001E-3</v>
      </c>
      <c r="I72" s="684">
        <v>0.439</v>
      </c>
      <c r="J72" s="684">
        <v>0.44500000000000001</v>
      </c>
      <c r="K72" s="1244">
        <v>0.186</v>
      </c>
      <c r="L72" s="1244">
        <f xml:space="preserve"> 41.1%</f>
        <v>0.41100000000000003</v>
      </c>
      <c r="M72" s="1244">
        <f xml:space="preserve"> 59.7%</f>
        <v>0.59699999999999998</v>
      </c>
      <c r="N72" s="684">
        <v>0.126</v>
      </c>
      <c r="O72" s="684">
        <v>0.68400000000000005</v>
      </c>
      <c r="P72" s="684">
        <v>0.81</v>
      </c>
      <c r="Q72" s="1240">
        <v>0.23</v>
      </c>
      <c r="R72" s="646">
        <v>0.12</v>
      </c>
      <c r="S72" s="1240">
        <v>0.11</v>
      </c>
      <c r="T72" s="1240">
        <v>0.05</v>
      </c>
      <c r="U72" s="1240">
        <v>0.03</v>
      </c>
      <c r="V72" s="1244"/>
      <c r="W72" s="1244"/>
      <c r="X72" s="1240"/>
      <c r="Y72" s="1244"/>
      <c r="Z72" s="1244"/>
      <c r="AA72" s="1244"/>
      <c r="AB72" s="1244">
        <v>2E-3</v>
      </c>
      <c r="AC72" s="1244">
        <v>0.89100000000000001</v>
      </c>
      <c r="AD72" s="1244"/>
      <c r="AE72" s="749"/>
      <c r="AF72" s="1244"/>
      <c r="AG72" s="1244"/>
      <c r="AH72" s="1240">
        <v>0.55000000000000004</v>
      </c>
      <c r="AI72" s="1244">
        <v>0.21199999999999999</v>
      </c>
      <c r="AJ72" s="1244">
        <v>0.13800000000000001</v>
      </c>
      <c r="AK72" s="1244">
        <v>0.55100000000000005</v>
      </c>
      <c r="AL72" s="1244">
        <v>2.1000000000000001E-2</v>
      </c>
      <c r="AM72" s="1244">
        <v>0.90700000000000003</v>
      </c>
      <c r="AS72" s="1254" t="s">
        <v>852</v>
      </c>
      <c r="AT72" s="1252" t="str">
        <f>IF('Upper Extremity-Right'!T402="","",'Upper Extremity-Right'!T402)</f>
        <v/>
      </c>
      <c r="AU72" s="1252" t="str">
        <f t="shared" si="1"/>
        <v/>
      </c>
      <c r="AV72" s="243">
        <f>IF(AU72="",0,VLOOKUP(AU72,$A$3:$AM$153,28))</f>
        <v>0</v>
      </c>
      <c r="AX72" s="1254" t="s">
        <v>1220</v>
      </c>
      <c r="AY72" s="1252" t="str">
        <f>IF('Upper Extremity-Right'!V402="","",'Upper Extremity-Right'!V402)</f>
        <v/>
      </c>
      <c r="AZ72" s="1252" t="str">
        <f>IF(AY72="","",ROUND(AY72,0))</f>
        <v/>
      </c>
      <c r="BA72" s="243">
        <f>IF(AZ72="",0,VLOOKUP(AZ72,$A$3:$AM$153,28))</f>
        <v>0</v>
      </c>
      <c r="BC72" s="1240" t="s">
        <v>852</v>
      </c>
      <c r="BD72" s="1243" t="str">
        <f>IF('Upper Extremity-Left'!T402="","",'Upper Extremity-Left'!T402)</f>
        <v/>
      </c>
      <c r="BE72" s="1243" t="str">
        <f t="shared" si="2"/>
        <v/>
      </c>
      <c r="BF72" s="243">
        <f>IF(BE72="",0,VLOOKUP(BE72,$A$3:$AM$153,28))</f>
        <v>0</v>
      </c>
      <c r="BG72" s="74"/>
      <c r="BH72" s="1240" t="s">
        <v>1220</v>
      </c>
      <c r="BI72" s="1243" t="str">
        <f>IF('Upper Extremity-Left'!V402="","",'Upper Extremity-Left'!V402)</f>
        <v/>
      </c>
      <c r="BJ72" s="1243" t="str">
        <f>IF(BI72="","",ROUND(BI72,0))</f>
        <v/>
      </c>
      <c r="BK72" s="243">
        <f>IF(BJ72="",0,VLOOKUP(BJ72,$A$3:$AM$153,28))</f>
        <v>0</v>
      </c>
    </row>
    <row r="73" spans="1:63" ht="15" customHeight="1" x14ac:dyDescent="0.2">
      <c r="A73" s="1235">
        <v>70</v>
      </c>
      <c r="B73" s="684">
        <v>0.06</v>
      </c>
      <c r="C73" s="684">
        <v>0.37</v>
      </c>
      <c r="D73" s="684">
        <v>0.43</v>
      </c>
      <c r="E73" s="1235"/>
      <c r="F73" s="1235"/>
      <c r="G73" s="1235"/>
      <c r="H73" s="684">
        <v>0</v>
      </c>
      <c r="I73" s="684">
        <v>0.45</v>
      </c>
      <c r="J73" s="684">
        <v>0.45</v>
      </c>
      <c r="K73" s="1244">
        <v>0.18</v>
      </c>
      <c r="L73" s="1244">
        <f xml:space="preserve"> 42%</f>
        <v>0.42</v>
      </c>
      <c r="M73" s="1244">
        <f xml:space="preserve"> 60%</f>
        <v>0.6</v>
      </c>
      <c r="N73" s="684">
        <v>0.12</v>
      </c>
      <c r="O73" s="684">
        <v>0.7</v>
      </c>
      <c r="P73" s="684">
        <v>0.82</v>
      </c>
      <c r="Q73" s="1240">
        <v>0.23</v>
      </c>
      <c r="R73" s="646">
        <v>0.12</v>
      </c>
      <c r="S73" s="1240">
        <v>0.11</v>
      </c>
      <c r="T73" s="1240">
        <v>0.05</v>
      </c>
      <c r="U73" s="1240">
        <v>0.03</v>
      </c>
      <c r="V73" s="1244"/>
      <c r="W73" s="1244"/>
      <c r="X73" s="1240"/>
      <c r="Y73" s="1244"/>
      <c r="Z73" s="1244"/>
      <c r="AA73" s="1244"/>
      <c r="AB73" s="1244">
        <v>0</v>
      </c>
      <c r="AC73" s="1244">
        <v>0.9</v>
      </c>
      <c r="AD73" s="1244"/>
      <c r="AE73" s="749"/>
      <c r="AF73" s="1244"/>
      <c r="AG73" s="1244"/>
      <c r="AH73" s="1240">
        <v>0.56000000000000005</v>
      </c>
      <c r="AI73" s="1244">
        <v>0.21</v>
      </c>
      <c r="AJ73" s="1244">
        <v>0.14000000000000001</v>
      </c>
      <c r="AK73" s="1244">
        <v>0.55000000000000004</v>
      </c>
      <c r="AL73" s="1244">
        <v>0.02</v>
      </c>
      <c r="AM73" s="1244">
        <v>0.91</v>
      </c>
      <c r="AS73" s="1254" t="s">
        <v>1204</v>
      </c>
      <c r="AT73" s="1252" t="str">
        <f>IF('Upper Extremity-Right'!T403="","",'Upper Extremity-Right'!T403)</f>
        <v/>
      </c>
      <c r="AU73" s="1252" t="str">
        <f t="shared" si="1"/>
        <v/>
      </c>
      <c r="AV73" s="243">
        <f>IF(AU73="",0,VLOOKUP(AU73,$A$3:$AM$153,29))</f>
        <v>0</v>
      </c>
      <c r="BC73" s="1240" t="s">
        <v>1204</v>
      </c>
      <c r="BD73" s="1243" t="str">
        <f>IF('Upper Extremity-Left'!T403="","",'Upper Extremity-Left'!T403)</f>
        <v/>
      </c>
      <c r="BE73" s="1243" t="str">
        <f t="shared" si="2"/>
        <v/>
      </c>
      <c r="BF73" s="243">
        <f>IF(BE73="",0,VLOOKUP(BE73,$A$3:$AM$153,29))</f>
        <v>0</v>
      </c>
      <c r="BG73" s="74"/>
      <c r="BH73" s="19"/>
    </row>
    <row r="74" spans="1:63" ht="15" customHeight="1" x14ac:dyDescent="0.2">
      <c r="A74" s="1235">
        <v>71</v>
      </c>
      <c r="B74" s="684">
        <v>5.3999999999999999E-2</v>
      </c>
      <c r="C74" s="684">
        <v>0.378</v>
      </c>
      <c r="D74" s="684">
        <v>0.432</v>
      </c>
      <c r="E74" s="1235"/>
      <c r="F74" s="1235"/>
      <c r="G74" s="1235"/>
      <c r="H74" s="1235"/>
      <c r="I74" s="1235"/>
      <c r="J74" s="1235"/>
      <c r="K74" s="1244">
        <v>0.17399999999999999</v>
      </c>
      <c r="L74" s="1244">
        <f xml:space="preserve"> 42.9%</f>
        <v>0.42899999999999999</v>
      </c>
      <c r="M74" s="1244">
        <f xml:space="preserve"> 60.3%</f>
        <v>0.60299999999999998</v>
      </c>
      <c r="N74" s="684">
        <v>0.114</v>
      </c>
      <c r="O74" s="684">
        <v>0.71499999999999997</v>
      </c>
      <c r="P74" s="684">
        <v>0.82899999999999996</v>
      </c>
      <c r="Q74" s="1240">
        <v>0.23</v>
      </c>
      <c r="R74" s="646">
        <v>0.12</v>
      </c>
      <c r="S74" s="1240">
        <v>0.11</v>
      </c>
      <c r="T74" s="1240">
        <v>0.05</v>
      </c>
      <c r="U74" s="1240">
        <v>0.03</v>
      </c>
      <c r="V74" s="1244"/>
      <c r="W74" s="1244"/>
      <c r="X74" s="1240"/>
      <c r="Y74" s="1244"/>
      <c r="Z74" s="1244"/>
      <c r="AA74" s="1244"/>
      <c r="AB74" s="1244"/>
      <c r="AC74" s="1244"/>
      <c r="AD74" s="1244"/>
      <c r="AE74" s="749"/>
      <c r="AF74" s="1244"/>
      <c r="AG74" s="1244"/>
      <c r="AH74" s="1240">
        <v>0.56999999999999995</v>
      </c>
      <c r="AI74" s="1244">
        <v>0.20699999999999999</v>
      </c>
      <c r="AJ74" s="1244">
        <v>0.14199999999999999</v>
      </c>
      <c r="AK74" s="1244">
        <v>0.54800000000000004</v>
      </c>
      <c r="AL74" s="1244">
        <v>1.7999999999999999E-2</v>
      </c>
      <c r="AM74" s="1244">
        <v>0.91400000000000003</v>
      </c>
      <c r="AS74" s="1254" t="s">
        <v>909</v>
      </c>
      <c r="AT74" s="1252" t="str">
        <f>IF('Upper Extremity-Right'!T404="","",'Upper Extremity-Right'!T404)</f>
        <v/>
      </c>
      <c r="AU74" s="1252" t="str">
        <f t="shared" si="1"/>
        <v/>
      </c>
      <c r="AV74" s="243">
        <f>IF(AU74="",0,VLOOKUP(AU74,$A$3:$AM$153,30))</f>
        <v>0</v>
      </c>
      <c r="AX74" s="1254" t="s">
        <v>1221</v>
      </c>
      <c r="AY74" s="1252" t="str">
        <f>IF('Upper Extremity-Right'!V404="","",'Upper Extremity-Right'!V404)</f>
        <v/>
      </c>
      <c r="AZ74" s="1252" t="str">
        <f>IF(AY74="","",ROUND(AY74,0))</f>
        <v/>
      </c>
      <c r="BA74" s="243">
        <f>IF(AZ74="",0,VLOOKUP(AZ74,$A$3:$AM$153,30))</f>
        <v>0</v>
      </c>
      <c r="BC74" s="1240" t="s">
        <v>909</v>
      </c>
      <c r="BD74" s="1243" t="str">
        <f>IF('Upper Extremity-Left'!T404="","",'Upper Extremity-Left'!T404)</f>
        <v/>
      </c>
      <c r="BE74" s="1243" t="str">
        <f t="shared" si="2"/>
        <v/>
      </c>
      <c r="BF74" s="243">
        <f>IF(BE74="",0,VLOOKUP(BE74,$A$3:$AM$153,30))</f>
        <v>0</v>
      </c>
      <c r="BG74" s="74"/>
      <c r="BH74" s="1240" t="s">
        <v>1221</v>
      </c>
      <c r="BI74" s="1243" t="str">
        <f>IF('Upper Extremity-Left'!V404="","",'Upper Extremity-Left'!V404)</f>
        <v/>
      </c>
      <c r="BJ74" s="1243" t="str">
        <f>IF(BI74="","",ROUND(BI74,0))</f>
        <v/>
      </c>
      <c r="BK74" s="243">
        <f>IF(BJ74="",0,VLOOKUP(BJ74,$A$3:$AM$153,30))</f>
        <v>0</v>
      </c>
    </row>
    <row r="75" spans="1:63" ht="15" customHeight="1" x14ac:dyDescent="0.2">
      <c r="A75" s="1235">
        <v>72</v>
      </c>
      <c r="B75" s="684">
        <v>4.8000000000000001E-2</v>
      </c>
      <c r="C75" s="684">
        <v>0.38600000000000001</v>
      </c>
      <c r="D75" s="684">
        <v>0.434</v>
      </c>
      <c r="E75" s="1235"/>
      <c r="F75" s="1235"/>
      <c r="G75" s="1235"/>
      <c r="H75" s="1235"/>
      <c r="I75" s="1235"/>
      <c r="J75" s="1235"/>
      <c r="K75" s="1244">
        <v>0.16800000000000001</v>
      </c>
      <c r="L75" s="1244">
        <f xml:space="preserve"> 43.8%</f>
        <v>0.43799999999999994</v>
      </c>
      <c r="M75" s="1244">
        <f xml:space="preserve"> 60.6%</f>
        <v>0.60599999999999998</v>
      </c>
      <c r="N75" s="684">
        <v>0.108</v>
      </c>
      <c r="O75" s="684">
        <v>0.73</v>
      </c>
      <c r="P75" s="684">
        <v>0.83799999999999997</v>
      </c>
      <c r="Q75" s="1240">
        <v>0.24</v>
      </c>
      <c r="R75" s="646">
        <v>0.12</v>
      </c>
      <c r="S75" s="1240">
        <v>0.11</v>
      </c>
      <c r="T75" s="1240">
        <v>0.05</v>
      </c>
      <c r="U75" s="1240">
        <v>0.03</v>
      </c>
      <c r="V75" s="1244"/>
      <c r="W75" s="1244"/>
      <c r="X75" s="1240"/>
      <c r="Y75" s="1244"/>
      <c r="Z75" s="1244"/>
      <c r="AA75" s="1244"/>
      <c r="AB75" s="1244"/>
      <c r="AC75" s="1244"/>
      <c r="AD75" s="1244"/>
      <c r="AE75" s="749"/>
      <c r="AF75" s="1244"/>
      <c r="AG75" s="1244"/>
      <c r="AH75" s="1240">
        <v>0.56999999999999995</v>
      </c>
      <c r="AI75" s="1244">
        <v>0.20399999999999999</v>
      </c>
      <c r="AJ75" s="1244">
        <v>0.14399999999999999</v>
      </c>
      <c r="AK75" s="1244">
        <v>0.54600000000000004</v>
      </c>
      <c r="AL75" s="1244">
        <v>1.6E-2</v>
      </c>
      <c r="AM75" s="1244">
        <v>0.91800000000000004</v>
      </c>
      <c r="AS75" s="1254" t="s">
        <v>910</v>
      </c>
      <c r="AT75" s="1252" t="str">
        <f>IF('Upper Extremity-Right'!T405="","",'Upper Extremity-Right'!T405)</f>
        <v/>
      </c>
      <c r="AU75" s="1252" t="str">
        <f t="shared" si="1"/>
        <v/>
      </c>
      <c r="AV75" s="243">
        <f>IF(AU75="",0,VLOOKUP(AU75,$A$3:$AM$153,31))</f>
        <v>0</v>
      </c>
      <c r="BC75" s="1240" t="s">
        <v>910</v>
      </c>
      <c r="BD75" s="1243" t="str">
        <f>IF('Upper Extremity-Left'!T405="","",'Upper Extremity-Left'!T405)</f>
        <v/>
      </c>
      <c r="BE75" s="1243" t="str">
        <f t="shared" si="2"/>
        <v/>
      </c>
      <c r="BF75" s="243">
        <f>IF(BE75="",0,VLOOKUP(BE75,$A$3:$AM$153,31))</f>
        <v>0</v>
      </c>
      <c r="BG75" s="74"/>
      <c r="BH75" s="19"/>
    </row>
    <row r="76" spans="1:63" ht="15" customHeight="1" x14ac:dyDescent="0.2">
      <c r="A76" s="1235">
        <v>73</v>
      </c>
      <c r="B76" s="684">
        <v>4.2000000000000003E-2</v>
      </c>
      <c r="C76" s="684">
        <v>0.39400000000000002</v>
      </c>
      <c r="D76" s="684">
        <v>0.436</v>
      </c>
      <c r="E76" s="1235"/>
      <c r="F76" s="1235"/>
      <c r="G76" s="1235"/>
      <c r="H76" s="1235"/>
      <c r="I76" s="1235"/>
      <c r="J76" s="1235"/>
      <c r="K76" s="1244">
        <v>0.16200000000000001</v>
      </c>
      <c r="L76" s="1244">
        <f xml:space="preserve"> 44.7%</f>
        <v>0.44700000000000001</v>
      </c>
      <c r="M76" s="1244">
        <f xml:space="preserve"> 60.9%</f>
        <v>0.60899999999999999</v>
      </c>
      <c r="N76" s="684">
        <v>0.10199999999999999</v>
      </c>
      <c r="O76" s="684">
        <v>0.745</v>
      </c>
      <c r="P76" s="684">
        <v>0.84699999999999998</v>
      </c>
      <c r="Q76" s="1240">
        <v>0.24</v>
      </c>
      <c r="R76" s="646">
        <v>0.12</v>
      </c>
      <c r="S76" s="1240">
        <v>0.11</v>
      </c>
      <c r="T76" s="1240">
        <v>0.05</v>
      </c>
      <c r="U76" s="1240">
        <v>0.03</v>
      </c>
      <c r="V76" s="1244"/>
      <c r="W76" s="1244"/>
      <c r="X76" s="1240"/>
      <c r="Y76" s="1244"/>
      <c r="Z76" s="1244"/>
      <c r="AA76" s="1244"/>
      <c r="AB76" s="1244"/>
      <c r="AC76" s="1244"/>
      <c r="AD76" s="1244"/>
      <c r="AE76" s="749"/>
      <c r="AF76" s="1244"/>
      <c r="AG76" s="1244"/>
      <c r="AH76" s="1240">
        <v>0.57999999999999996</v>
      </c>
      <c r="AI76" s="1244">
        <v>0.20100000000000001</v>
      </c>
      <c r="AJ76" s="1244">
        <v>0.14599999999999999</v>
      </c>
      <c r="AK76" s="1244">
        <v>0.54400000000000004</v>
      </c>
      <c r="AL76" s="1244">
        <v>1.4E-2</v>
      </c>
      <c r="AM76" s="1244">
        <v>0.92200000000000004</v>
      </c>
      <c r="AS76" s="1254" t="s">
        <v>911</v>
      </c>
      <c r="AT76" s="1252" t="str">
        <f>IF('Upper Extremity-Right'!T406="","",'Upper Extremity-Right'!T406)</f>
        <v/>
      </c>
      <c r="AU76" s="1252" t="str">
        <f t="shared" si="1"/>
        <v/>
      </c>
      <c r="AV76" s="243">
        <f>IF(AU76="",0,VLOOKUP(AU76,$A$3:$AM$153,32))</f>
        <v>0</v>
      </c>
      <c r="AX76" s="1254" t="s">
        <v>1222</v>
      </c>
      <c r="AY76" s="1252" t="str">
        <f>IF('Upper Extremity-Right'!V406="","",'Upper Extremity-Right'!V406)</f>
        <v/>
      </c>
      <c r="AZ76" s="1252" t="str">
        <f>IF(AY76="","",ROUND(AY76,0))</f>
        <v/>
      </c>
      <c r="BA76" s="243">
        <f>IF(AZ76="",0,VLOOKUP(AZ76,$A$3:$AM$153,32))</f>
        <v>0</v>
      </c>
      <c r="BC76" s="1240" t="s">
        <v>911</v>
      </c>
      <c r="BD76" s="1243" t="str">
        <f>IF('Upper Extremity-Left'!T406="","",'Upper Extremity-Left'!T406)</f>
        <v/>
      </c>
      <c r="BE76" s="1243" t="str">
        <f t="shared" si="2"/>
        <v/>
      </c>
      <c r="BF76" s="243">
        <f>IF(BE76="",0,VLOOKUP(BE76,$A$3:$AM$153,32))</f>
        <v>0</v>
      </c>
      <c r="BG76" s="74"/>
      <c r="BH76" s="1240" t="s">
        <v>1222</v>
      </c>
      <c r="BI76" s="1243" t="str">
        <f>IF('Upper Extremity-Left'!V406="","",'Upper Extremity-Left'!V406)</f>
        <v/>
      </c>
      <c r="BJ76" s="1243" t="str">
        <f>IF(BI76="","",ROUND(BI76,0))</f>
        <v/>
      </c>
      <c r="BK76" s="243">
        <f>IF(BJ76="",0,VLOOKUP(BJ76,$A$3:$AM$153,32))</f>
        <v>0</v>
      </c>
    </row>
    <row r="77" spans="1:63" ht="15" customHeight="1" x14ac:dyDescent="0.2">
      <c r="A77" s="1235">
        <v>74</v>
      </c>
      <c r="B77" s="684">
        <v>3.5999999999999997E-2</v>
      </c>
      <c r="C77" s="684">
        <v>0.40200000000000002</v>
      </c>
      <c r="D77" s="684">
        <v>0.438</v>
      </c>
      <c r="E77" s="1235"/>
      <c r="F77" s="1235"/>
      <c r="G77" s="1235"/>
      <c r="H77" s="1235"/>
      <c r="I77" s="1235"/>
      <c r="J77" s="1235"/>
      <c r="K77" s="1244">
        <v>0.156</v>
      </c>
      <c r="L77" s="1244">
        <f xml:space="preserve"> 45.6%</f>
        <v>0.45600000000000002</v>
      </c>
      <c r="M77" s="1244">
        <f xml:space="preserve"> 61.2%</f>
        <v>0.61199999999999999</v>
      </c>
      <c r="N77" s="684">
        <v>9.6000000000000002E-2</v>
      </c>
      <c r="O77" s="684">
        <v>0.76</v>
      </c>
      <c r="P77" s="684">
        <v>0.85599999999999998</v>
      </c>
      <c r="Q77" s="1240">
        <v>0.24</v>
      </c>
      <c r="R77" s="646">
        <v>0.12</v>
      </c>
      <c r="S77" s="1240">
        <v>0.11</v>
      </c>
      <c r="T77" s="1240">
        <v>0.05</v>
      </c>
      <c r="U77" s="1240">
        <v>0.03</v>
      </c>
      <c r="V77" s="1244"/>
      <c r="W77" s="1244"/>
      <c r="X77" s="1240"/>
      <c r="Y77" s="1244"/>
      <c r="Z77" s="1244"/>
      <c r="AA77" s="1244"/>
      <c r="AB77" s="1244"/>
      <c r="AC77" s="1244"/>
      <c r="AD77" s="1244"/>
      <c r="AE77" s="749"/>
      <c r="AF77" s="1244"/>
      <c r="AG77" s="1244"/>
      <c r="AH77" s="1240">
        <v>0.59</v>
      </c>
      <c r="AI77" s="1244">
        <v>0.19800000000000001</v>
      </c>
      <c r="AJ77" s="1244">
        <v>0.14799999999999999</v>
      </c>
      <c r="AK77" s="1244">
        <v>0.54200000000000004</v>
      </c>
      <c r="AL77" s="1244">
        <v>1.2E-2</v>
      </c>
      <c r="AM77" s="1244">
        <v>0.92600000000000005</v>
      </c>
      <c r="AS77" s="1254" t="s">
        <v>912</v>
      </c>
      <c r="AT77" s="1252" t="str">
        <f>IF('Upper Extremity-Right'!T407="","",'Upper Extremity-Right'!T407)</f>
        <v/>
      </c>
      <c r="AU77" s="1252" t="str">
        <f t="shared" si="1"/>
        <v/>
      </c>
      <c r="AV77" s="243">
        <f>IF(AU77="",0,VLOOKUP(AU77,$A$3:$AM$153,33))</f>
        <v>0</v>
      </c>
      <c r="BC77" s="1240" t="s">
        <v>912</v>
      </c>
      <c r="BD77" s="1243" t="str">
        <f>IF('Upper Extremity-Left'!T407="","",'Upper Extremity-Left'!T407)</f>
        <v/>
      </c>
      <c r="BE77" s="1243" t="str">
        <f t="shared" si="2"/>
        <v/>
      </c>
      <c r="BF77" s="243">
        <f>IF(BE77="",0,VLOOKUP(BE77,$A$3:$AM$153,33))</f>
        <v>0</v>
      </c>
      <c r="BG77" s="74"/>
      <c r="BH77" s="19"/>
    </row>
    <row r="78" spans="1:63" ht="15" customHeight="1" x14ac:dyDescent="0.2">
      <c r="A78" s="1235">
        <v>75</v>
      </c>
      <c r="B78" s="684">
        <v>0.03</v>
      </c>
      <c r="C78" s="684">
        <v>0.41</v>
      </c>
      <c r="D78" s="684">
        <v>0.44</v>
      </c>
      <c r="E78" s="1235"/>
      <c r="F78" s="1235"/>
      <c r="G78" s="1235"/>
      <c r="H78" s="1235"/>
      <c r="I78" s="1235"/>
      <c r="J78" s="1235"/>
      <c r="K78" s="1244">
        <v>0.15</v>
      </c>
      <c r="L78" s="1244">
        <f xml:space="preserve"> 46.5%</f>
        <v>0.46500000000000002</v>
      </c>
      <c r="M78" s="1244">
        <f xml:space="preserve"> 61.5%</f>
        <v>0.61499999999999999</v>
      </c>
      <c r="N78" s="684">
        <v>0.09</v>
      </c>
      <c r="O78" s="684">
        <v>0.77500000000000002</v>
      </c>
      <c r="P78" s="684">
        <v>0.86499999999999999</v>
      </c>
      <c r="Q78" s="1240">
        <v>0.24</v>
      </c>
      <c r="R78" s="646">
        <v>0.12</v>
      </c>
      <c r="S78" s="1240">
        <v>0.11</v>
      </c>
      <c r="T78" s="1240">
        <v>0.06</v>
      </c>
      <c r="U78" s="1240">
        <v>0.03</v>
      </c>
      <c r="V78" s="1244"/>
      <c r="W78" s="1244"/>
      <c r="X78" s="1240"/>
      <c r="Y78" s="1244"/>
      <c r="Z78" s="1244"/>
      <c r="AA78" s="1244"/>
      <c r="AB78" s="1244"/>
      <c r="AC78" s="1244"/>
      <c r="AD78" s="1244"/>
      <c r="AE78" s="749"/>
      <c r="AF78" s="1244"/>
      <c r="AG78" s="1244"/>
      <c r="AH78" s="1240">
        <v>0.6</v>
      </c>
      <c r="AI78" s="1244">
        <v>0.19500000000000001</v>
      </c>
      <c r="AJ78" s="1244">
        <f xml:space="preserve"> 15%</f>
        <v>0.15</v>
      </c>
      <c r="AK78" s="1244">
        <v>0.54</v>
      </c>
      <c r="AL78" s="1244">
        <v>0.01</v>
      </c>
      <c r="AM78" s="1244">
        <v>0.93</v>
      </c>
      <c r="BC78" s="1240"/>
      <c r="BD78" s="74"/>
      <c r="BE78" s="74"/>
      <c r="BG78" s="74"/>
      <c r="BH78" s="19"/>
    </row>
    <row r="79" spans="1:63" ht="15" customHeight="1" x14ac:dyDescent="0.2">
      <c r="A79" s="1235">
        <v>76</v>
      </c>
      <c r="B79" s="684">
        <v>2.4E-2</v>
      </c>
      <c r="C79" s="684">
        <v>0.41799999999999998</v>
      </c>
      <c r="D79" s="684">
        <v>0.442</v>
      </c>
      <c r="E79" s="1235"/>
      <c r="F79" s="1235"/>
      <c r="G79" s="1235"/>
      <c r="H79" s="1235"/>
      <c r="I79" s="1235"/>
      <c r="J79" s="1235"/>
      <c r="K79" s="1244">
        <f xml:space="preserve"> 14.4%</f>
        <v>0.14400000000000002</v>
      </c>
      <c r="L79" s="1244">
        <f xml:space="preserve"> 47.4%</f>
        <v>0.47399999999999998</v>
      </c>
      <c r="M79" s="1244">
        <f xml:space="preserve"> 61.8%</f>
        <v>0.61799999999999999</v>
      </c>
      <c r="N79" s="684">
        <v>8.4000000000000005E-2</v>
      </c>
      <c r="O79" s="684">
        <v>0.79</v>
      </c>
      <c r="P79" s="684">
        <v>0.874</v>
      </c>
      <c r="Q79" s="1240">
        <v>0.25</v>
      </c>
      <c r="R79" s="646">
        <v>0.13</v>
      </c>
      <c r="S79" s="1240">
        <v>0.12</v>
      </c>
      <c r="T79" s="1240">
        <v>0.06</v>
      </c>
      <c r="U79" s="1240">
        <v>0.04</v>
      </c>
      <c r="V79" s="1244"/>
      <c r="W79" s="1244"/>
      <c r="X79" s="1240"/>
      <c r="Y79" s="1244"/>
      <c r="Z79" s="1244"/>
      <c r="AA79" s="1244"/>
      <c r="AB79" s="1244"/>
      <c r="AC79" s="1244"/>
      <c r="AD79" s="1244"/>
      <c r="AE79" s="749"/>
      <c r="AF79" s="1244"/>
      <c r="AG79" s="1244"/>
      <c r="AH79" s="1240">
        <v>0.61</v>
      </c>
      <c r="AI79" s="1244">
        <v>0.192</v>
      </c>
      <c r="AJ79" s="1244">
        <f xml:space="preserve"> 15.2%</f>
        <v>0.152</v>
      </c>
      <c r="AK79" s="1244">
        <f xml:space="preserve"> 53.8%</f>
        <v>0.53799999999999992</v>
      </c>
      <c r="AL79" s="1244">
        <v>8.0000000000000002E-3</v>
      </c>
      <c r="AM79" s="1244">
        <v>0.93400000000000005</v>
      </c>
      <c r="AS79" s="1254" t="s">
        <v>412</v>
      </c>
      <c r="BC79" s="1240" t="s">
        <v>412</v>
      </c>
      <c r="BD79" s="74"/>
      <c r="BE79" s="74"/>
      <c r="BG79" s="74"/>
      <c r="BH79" s="19"/>
    </row>
    <row r="80" spans="1:63" ht="15" customHeight="1" x14ac:dyDescent="0.2">
      <c r="A80" s="1235">
        <v>77</v>
      </c>
      <c r="B80" s="684">
        <v>1.7999999999999999E-2</v>
      </c>
      <c r="C80" s="684">
        <v>0.42599999999999999</v>
      </c>
      <c r="D80" s="684">
        <v>0.44400000000000001</v>
      </c>
      <c r="E80" s="1235"/>
      <c r="F80" s="1235"/>
      <c r="G80" s="1235"/>
      <c r="H80" s="1235"/>
      <c r="I80" s="1235"/>
      <c r="J80" s="1235"/>
      <c r="K80" s="1244">
        <f xml:space="preserve"> 13.8%</f>
        <v>0.13800000000000001</v>
      </c>
      <c r="L80" s="1244">
        <f xml:space="preserve"> 48.3%</f>
        <v>0.48299999999999998</v>
      </c>
      <c r="M80" s="1244">
        <f xml:space="preserve"> 62.1%</f>
        <v>0.621</v>
      </c>
      <c r="N80" s="684">
        <v>7.8E-2</v>
      </c>
      <c r="O80" s="684">
        <v>0.80500000000000005</v>
      </c>
      <c r="P80" s="684">
        <v>0.88300000000000001</v>
      </c>
      <c r="Q80" s="1240">
        <v>0.25</v>
      </c>
      <c r="R80" s="646">
        <v>0.13</v>
      </c>
      <c r="S80" s="1240">
        <v>0.12</v>
      </c>
      <c r="T80" s="1240">
        <v>0.06</v>
      </c>
      <c r="U80" s="1240">
        <v>0.04</v>
      </c>
      <c r="V80" s="1244"/>
      <c r="W80" s="1244"/>
      <c r="X80" s="1240"/>
      <c r="Y80" s="1244"/>
      <c r="Z80" s="1244"/>
      <c r="AA80" s="1244"/>
      <c r="AB80" s="1244"/>
      <c r="AC80" s="1244"/>
      <c r="AD80" s="1244"/>
      <c r="AE80" s="749"/>
      <c r="AF80" s="1244"/>
      <c r="AG80" s="1244"/>
      <c r="AH80" s="1240">
        <v>0.61</v>
      </c>
      <c r="AI80" s="1244">
        <v>0.189</v>
      </c>
      <c r="AJ80" s="1244">
        <f xml:space="preserve"> 15.4%</f>
        <v>0.154</v>
      </c>
      <c r="AK80" s="1244">
        <f xml:space="preserve"> 53.6%</f>
        <v>0.53600000000000003</v>
      </c>
      <c r="AL80" s="1244">
        <v>6.0000000000000001E-3</v>
      </c>
      <c r="AM80" s="1244">
        <v>0.93799999999999994</v>
      </c>
      <c r="AS80" s="1256" t="s">
        <v>1223</v>
      </c>
      <c r="AT80" s="1252" t="str">
        <f>IF('Upper Extremity-Right'!T562="","",'Upper Extremity-Right'!T562)</f>
        <v/>
      </c>
      <c r="AU80" s="1252" t="str">
        <f t="shared" ref="AU80:AU87" si="3">IF(AT80="","",ROUND(AT80,0))</f>
        <v/>
      </c>
      <c r="AV80" s="243">
        <f>IF(AU80="",0,VLOOKUP(AU80,$A$3:$AM$153,35))</f>
        <v>0</v>
      </c>
      <c r="AX80" s="1254" t="s">
        <v>1220</v>
      </c>
      <c r="AY80" s="1252" t="str">
        <f>IF('Upper Extremity-Right'!V562="","",'Upper Extremity-Right'!V562)</f>
        <v/>
      </c>
      <c r="AZ80" s="1252" t="str">
        <f>IF(AY80="","",ROUND(AY80,0))</f>
        <v/>
      </c>
      <c r="BA80" s="243">
        <f>IF(AZ80="",0,VLOOKUP(AZ80,$A$3:$AM$153,35))</f>
        <v>0</v>
      </c>
      <c r="BC80" s="1256" t="s">
        <v>1223</v>
      </c>
      <c r="BD80" s="1243" t="str">
        <f>IF('Upper Extremity-Left'!T562="","",'Upper Extremity-Left'!T562)</f>
        <v/>
      </c>
      <c r="BE80" s="1243" t="str">
        <f t="shared" ref="BE80:BE87" si="4">IF(BD80="","",ROUND(BD80,0))</f>
        <v/>
      </c>
      <c r="BF80" s="243">
        <f>IF(BE80="",0,VLOOKUP(BE80,$A$3:$AM$153,35))</f>
        <v>0</v>
      </c>
      <c r="BG80" s="74"/>
      <c r="BH80" s="1240" t="s">
        <v>1220</v>
      </c>
      <c r="BI80" s="1243" t="str">
        <f>IF('Upper Extremity-Left'!V562="","",'Upper Extremity-Left'!V562)</f>
        <v/>
      </c>
      <c r="BJ80" s="1243" t="str">
        <f>IF(BI80="","",ROUND(BI80,0))</f>
        <v/>
      </c>
      <c r="BK80" s="243">
        <f>IF(BJ80="",0,VLOOKUP(BJ80,$A$3:$AM$153,35))</f>
        <v>0</v>
      </c>
    </row>
    <row r="81" spans="1:63" ht="15" customHeight="1" x14ac:dyDescent="0.2">
      <c r="A81" s="1235">
        <v>78</v>
      </c>
      <c r="B81" s="684">
        <v>1.2E-2</v>
      </c>
      <c r="C81" s="684">
        <v>0.434</v>
      </c>
      <c r="D81" s="684">
        <v>0.44600000000000001</v>
      </c>
      <c r="E81" s="1235"/>
      <c r="F81" s="1235"/>
      <c r="G81" s="1235"/>
      <c r="H81" s="1235"/>
      <c r="I81" s="1235"/>
      <c r="J81" s="1235"/>
      <c r="K81" s="1244">
        <f xml:space="preserve"> 13.2%</f>
        <v>0.13200000000000001</v>
      </c>
      <c r="L81" s="1244">
        <f xml:space="preserve"> 49.2%</f>
        <v>0.49200000000000005</v>
      </c>
      <c r="M81" s="1244">
        <f xml:space="preserve"> 62.4%</f>
        <v>0.624</v>
      </c>
      <c r="N81" s="684">
        <v>7.1999999999999995E-2</v>
      </c>
      <c r="O81" s="684">
        <v>0.82</v>
      </c>
      <c r="P81" s="684">
        <v>0.89200000000000002</v>
      </c>
      <c r="Q81" s="1240">
        <v>0.25</v>
      </c>
      <c r="R81" s="646">
        <v>0.13</v>
      </c>
      <c r="S81" s="1240">
        <v>0.12</v>
      </c>
      <c r="T81" s="1240">
        <v>0.06</v>
      </c>
      <c r="U81" s="1240">
        <v>0.04</v>
      </c>
      <c r="V81" s="1244"/>
      <c r="W81" s="1244"/>
      <c r="X81" s="1240"/>
      <c r="Y81" s="1244"/>
      <c r="Z81" s="1244"/>
      <c r="AA81" s="1244"/>
      <c r="AB81" s="1244"/>
      <c r="AC81" s="1244"/>
      <c r="AD81" s="1244"/>
      <c r="AE81" s="749"/>
      <c r="AF81" s="1244"/>
      <c r="AG81" s="1244"/>
      <c r="AH81" s="1240">
        <v>0.62</v>
      </c>
      <c r="AI81" s="1244">
        <v>0.186</v>
      </c>
      <c r="AJ81" s="1244">
        <f xml:space="preserve"> 15.6%</f>
        <v>0.156</v>
      </c>
      <c r="AK81" s="1244">
        <f xml:space="preserve"> 53.4%</f>
        <v>0.53400000000000003</v>
      </c>
      <c r="AL81" s="1244">
        <v>4.0000000000000001E-3</v>
      </c>
      <c r="AM81" s="1244">
        <v>0.94199999999999995</v>
      </c>
      <c r="AS81" s="1256" t="s">
        <v>1204</v>
      </c>
      <c r="AT81" s="1252" t="str">
        <f>IF('Upper Extremity-Right'!T563="","",'Upper Extremity-Right'!T563)</f>
        <v/>
      </c>
      <c r="AU81" s="1252" t="str">
        <f t="shared" si="3"/>
        <v/>
      </c>
      <c r="AV81" s="243">
        <f>IF(AU81="",0,VLOOKUP(AU81,$A$3:$AM$153,37))</f>
        <v>0</v>
      </c>
      <c r="BC81" s="1256" t="s">
        <v>1204</v>
      </c>
      <c r="BD81" s="1243" t="str">
        <f>IF('Upper Extremity-Left'!T563="","",'Upper Extremity-Left'!T563)</f>
        <v/>
      </c>
      <c r="BE81" s="1243" t="str">
        <f t="shared" si="4"/>
        <v/>
      </c>
      <c r="BF81" s="243">
        <f>IF(BE81="",0,VLOOKUP(BE81,$A$3:$AM$153,37))</f>
        <v>0</v>
      </c>
      <c r="BG81" s="74"/>
      <c r="BH81" s="19"/>
    </row>
    <row r="82" spans="1:63" ht="15" customHeight="1" x14ac:dyDescent="0.2">
      <c r="A82" s="1235">
        <v>79</v>
      </c>
      <c r="B82" s="684">
        <v>6.0000000000000001E-3</v>
      </c>
      <c r="C82" s="684">
        <v>0.442</v>
      </c>
      <c r="D82" s="684">
        <v>0.44800000000000001</v>
      </c>
      <c r="E82" s="1235"/>
      <c r="F82" s="1235"/>
      <c r="G82" s="1235"/>
      <c r="H82" s="1235"/>
      <c r="I82" s="1235"/>
      <c r="J82" s="1235"/>
      <c r="K82" s="1244">
        <f xml:space="preserve"> 12.6%</f>
        <v>0.126</v>
      </c>
      <c r="L82" s="1244">
        <f xml:space="preserve"> 50.1%</f>
        <v>0.501</v>
      </c>
      <c r="M82" s="1244">
        <f xml:space="preserve"> 62.7%</f>
        <v>0.627</v>
      </c>
      <c r="N82" s="684">
        <v>6.6000000000000003E-2</v>
      </c>
      <c r="O82" s="684">
        <v>0.83499999999999996</v>
      </c>
      <c r="P82" s="684">
        <v>0.90100000000000002</v>
      </c>
      <c r="Q82" s="1240">
        <v>0.26</v>
      </c>
      <c r="R82" s="646">
        <v>0.13</v>
      </c>
      <c r="S82" s="1240">
        <v>0.12</v>
      </c>
      <c r="T82" s="1240">
        <v>0.06</v>
      </c>
      <c r="U82" s="1240">
        <v>0.04</v>
      </c>
      <c r="V82" s="1244"/>
      <c r="W82" s="1244"/>
      <c r="X82" s="1240"/>
      <c r="Y82" s="1244"/>
      <c r="Z82" s="1244"/>
      <c r="AA82" s="1244"/>
      <c r="AB82" s="1244"/>
      <c r="AC82" s="1244"/>
      <c r="AD82" s="1244"/>
      <c r="AE82" s="749"/>
      <c r="AF82" s="1244"/>
      <c r="AG82" s="1244"/>
      <c r="AH82" s="1240">
        <v>0.63</v>
      </c>
      <c r="AI82" s="1244">
        <v>0.183</v>
      </c>
      <c r="AJ82" s="1244">
        <f xml:space="preserve"> 15.8%</f>
        <v>0.158</v>
      </c>
      <c r="AK82" s="1244">
        <f xml:space="preserve"> 53.2%</f>
        <v>0.53200000000000003</v>
      </c>
      <c r="AL82" s="1244">
        <v>2E-3</v>
      </c>
      <c r="AM82" s="1244">
        <v>0.94599999999999995</v>
      </c>
      <c r="AS82" s="1256" t="s">
        <v>1224</v>
      </c>
      <c r="AT82" s="1252" t="str">
        <f>IF('Upper Extremity-Right'!T564="","",'Upper Extremity-Right'!T564)</f>
        <v/>
      </c>
      <c r="AU82" s="1252" t="str">
        <f t="shared" si="3"/>
        <v/>
      </c>
      <c r="AV82" s="243">
        <f>IF(AU82="",0,VLOOKUP(AU82,$A$3:$AM$153,36))</f>
        <v>0</v>
      </c>
      <c r="AX82" s="1254" t="s">
        <v>466</v>
      </c>
      <c r="AY82" s="1252" t="str">
        <f>IF('Upper Extremity-Right'!V564="","",'Upper Extremity-Right'!V564)</f>
        <v/>
      </c>
      <c r="AZ82" s="1252" t="str">
        <f>IF(AY82="","",ROUND(AY82,0))</f>
        <v/>
      </c>
      <c r="BA82" s="243">
        <f>IF(AZ82="",0,VLOOKUP(AZ82,$A$3:$AM$153,36))</f>
        <v>0</v>
      </c>
      <c r="BC82" s="1256" t="s">
        <v>1224</v>
      </c>
      <c r="BD82" s="1243" t="str">
        <f>IF('Upper Extremity-Left'!T564="","",'Upper Extremity-Left'!T564)</f>
        <v/>
      </c>
      <c r="BE82" s="1243" t="str">
        <f t="shared" si="4"/>
        <v/>
      </c>
      <c r="BF82" s="243">
        <f>IF(BE82="",0,VLOOKUP(BE82,$A$3:$AM$153,36))</f>
        <v>0</v>
      </c>
      <c r="BG82" s="74"/>
      <c r="BH82" s="1240" t="s">
        <v>466</v>
      </c>
      <c r="BI82" s="1243" t="str">
        <f>IF('Upper Extremity-Left'!V564="","",'Upper Extremity-Left'!V564)</f>
        <v/>
      </c>
      <c r="BJ82" s="1243" t="str">
        <f>IF(BI82="","",ROUND(BI82,0))</f>
        <v/>
      </c>
      <c r="BK82" s="243">
        <f>IF(BJ82="",0,VLOOKUP(BJ82,$A$3:$AM$153,36))</f>
        <v>0</v>
      </c>
    </row>
    <row r="83" spans="1:63" ht="15" customHeight="1" x14ac:dyDescent="0.2">
      <c r="A83" s="1235">
        <v>80</v>
      </c>
      <c r="B83" s="684">
        <v>0</v>
      </c>
      <c r="C83" s="684">
        <v>0.45</v>
      </c>
      <c r="D83" s="684">
        <v>0.45</v>
      </c>
      <c r="E83" s="1235"/>
      <c r="F83" s="1235"/>
      <c r="G83" s="1235"/>
      <c r="H83" s="1235"/>
      <c r="I83" s="1235"/>
      <c r="J83" s="1235"/>
      <c r="K83" s="1244">
        <f xml:space="preserve"> 12%</f>
        <v>0.12</v>
      </c>
      <c r="L83" s="1244">
        <f xml:space="preserve"> 51%</f>
        <v>0.51</v>
      </c>
      <c r="M83" s="1244">
        <f xml:space="preserve"> 63%</f>
        <v>0.63</v>
      </c>
      <c r="N83" s="684">
        <v>0.06</v>
      </c>
      <c r="O83" s="684">
        <v>0.85</v>
      </c>
      <c r="P83" s="684">
        <v>0.91</v>
      </c>
      <c r="Q83" s="1240">
        <v>0.26</v>
      </c>
      <c r="R83" s="646">
        <v>0.13</v>
      </c>
      <c r="S83" s="1240">
        <v>0.12</v>
      </c>
      <c r="T83" s="1240">
        <v>0.06</v>
      </c>
      <c r="U83" s="1240">
        <v>0.04</v>
      </c>
      <c r="V83" s="1244"/>
      <c r="W83" s="1244"/>
      <c r="X83" s="1240"/>
      <c r="Y83" s="1244"/>
      <c r="Z83" s="1244"/>
      <c r="AA83" s="1244"/>
      <c r="AB83" s="1244"/>
      <c r="AC83" s="1244"/>
      <c r="AD83" s="1244"/>
      <c r="AE83" s="749"/>
      <c r="AF83" s="1244"/>
      <c r="AG83" s="1244"/>
      <c r="AH83" s="1240">
        <v>0.64</v>
      </c>
      <c r="AI83" s="1244">
        <v>0.18</v>
      </c>
      <c r="AJ83" s="1244">
        <f xml:space="preserve"> 16%</f>
        <v>0.16</v>
      </c>
      <c r="AK83" s="1244">
        <f xml:space="preserve"> 53%</f>
        <v>0.53</v>
      </c>
      <c r="AL83" s="1244">
        <v>0</v>
      </c>
      <c r="AM83" s="1244">
        <v>0.95</v>
      </c>
      <c r="AS83" s="1256" t="s">
        <v>1206</v>
      </c>
      <c r="AT83" s="1252" t="str">
        <f>IF('Upper Extremity-Right'!T565="","",'Upper Extremity-Right'!T565)</f>
        <v/>
      </c>
      <c r="AU83" s="1252" t="str">
        <f t="shared" si="3"/>
        <v/>
      </c>
      <c r="AV83" s="243">
        <f>IF(AU83="",0,VLOOKUP(AU83,$A$3:$AM$153,37))</f>
        <v>0</v>
      </c>
      <c r="BC83" s="1256" t="s">
        <v>1206</v>
      </c>
      <c r="BD83" s="1243" t="str">
        <f>IF('Upper Extremity-Left'!T565="","",'Upper Extremity-Left'!T565)</f>
        <v/>
      </c>
      <c r="BE83" s="1243" t="str">
        <f t="shared" si="4"/>
        <v/>
      </c>
      <c r="BF83" s="243">
        <f>IF(BE83="",0,VLOOKUP(BE83,$A$3:$AM$153,37))</f>
        <v>0</v>
      </c>
      <c r="BG83" s="74"/>
      <c r="BH83" s="19"/>
    </row>
    <row r="84" spans="1:63" ht="15" customHeight="1" x14ac:dyDescent="0.2">
      <c r="A84" s="1235">
        <v>81</v>
      </c>
      <c r="B84" s="1235"/>
      <c r="C84" s="1235"/>
      <c r="D84" s="1235"/>
      <c r="E84" s="1235"/>
      <c r="F84" s="1235"/>
      <c r="G84" s="1235"/>
      <c r="H84" s="1235"/>
      <c r="I84" s="1235"/>
      <c r="J84" s="1235"/>
      <c r="K84" s="1244">
        <f xml:space="preserve"> 11.4%</f>
        <v>0.114</v>
      </c>
      <c r="L84" s="1244">
        <f xml:space="preserve"> 52%</f>
        <v>0.52</v>
      </c>
      <c r="M84" s="1244">
        <f xml:space="preserve"> 63.4%</f>
        <v>0.63400000000000001</v>
      </c>
      <c r="N84" s="684">
        <v>5.3999999999999999E-2</v>
      </c>
      <c r="O84" s="684">
        <v>0.86499999999999999</v>
      </c>
      <c r="P84" s="684">
        <v>0.91900000000000004</v>
      </c>
      <c r="Q84" s="1240">
        <v>0.26</v>
      </c>
      <c r="R84" s="646">
        <v>0.13</v>
      </c>
      <c r="S84" s="1240">
        <v>0.12</v>
      </c>
      <c r="T84" s="1240">
        <v>0.06</v>
      </c>
      <c r="U84" s="1240">
        <v>0.04</v>
      </c>
      <c r="V84" s="1244"/>
      <c r="W84" s="1244"/>
      <c r="X84" s="1240"/>
      <c r="Y84" s="1244"/>
      <c r="Z84" s="1244"/>
      <c r="AA84" s="1244"/>
      <c r="AB84" s="1244"/>
      <c r="AC84" s="1244"/>
      <c r="AD84" s="1244"/>
      <c r="AE84" s="749"/>
      <c r="AF84" s="1244"/>
      <c r="AG84" s="1244"/>
      <c r="AH84" s="1240">
        <v>0.64</v>
      </c>
      <c r="AI84" s="1244">
        <v>0.17799999999999999</v>
      </c>
      <c r="AJ84" s="1244">
        <f xml:space="preserve"> 16.2%</f>
        <v>0.16200000000000001</v>
      </c>
      <c r="AK84" s="1244">
        <f xml:space="preserve"> 52.9%</f>
        <v>0.52900000000000003</v>
      </c>
      <c r="AL84" s="1244"/>
      <c r="AM84" s="1244"/>
      <c r="AS84" s="1256" t="s">
        <v>913</v>
      </c>
      <c r="AT84" s="1252" t="str">
        <f>IF('Upper Extremity-Right'!T566="","",'Upper Extremity-Right'!T566)</f>
        <v/>
      </c>
      <c r="AU84" s="1252" t="str">
        <f t="shared" si="3"/>
        <v/>
      </c>
      <c r="AV84" s="243">
        <f>IF(AU84="",0,VLOOKUP(AU84,$A$3:$AM$153,38))</f>
        <v>0</v>
      </c>
      <c r="AX84" s="1254" t="s">
        <v>1225</v>
      </c>
      <c r="AY84" s="1252" t="str">
        <f>IF('Upper Extremity-Right'!V566="","",'Upper Extremity-Right'!V566)</f>
        <v/>
      </c>
      <c r="AZ84" s="1252" t="str">
        <f>IF(AY84="","",ROUND(AY84,0))</f>
        <v/>
      </c>
      <c r="BA84" s="243">
        <f>IF(AZ84="",0,VLOOKUP(AZ84,$A$3:$AM$153,38))</f>
        <v>0</v>
      </c>
      <c r="BC84" s="1256" t="s">
        <v>913</v>
      </c>
      <c r="BD84" s="1243" t="str">
        <f>IF('Upper Extremity-Left'!T566="","",'Upper Extremity-Left'!T566)</f>
        <v/>
      </c>
      <c r="BE84" s="1243" t="str">
        <f t="shared" si="4"/>
        <v/>
      </c>
      <c r="BF84" s="243">
        <f>IF(BE84="",0,VLOOKUP(BE84,$A$3:$AM$153,38))</f>
        <v>0</v>
      </c>
      <c r="BG84" s="74"/>
      <c r="BH84" s="1240" t="s">
        <v>1225</v>
      </c>
      <c r="BI84" s="1243" t="str">
        <f>IF('Upper Extremity-Left'!V566="","",'Upper Extremity-Left'!V566)</f>
        <v/>
      </c>
      <c r="BJ84" s="1243" t="str">
        <f>IF(BI84="","",ROUND(BI84,0))</f>
        <v/>
      </c>
      <c r="BK84" s="243">
        <f>IF(BJ84="",0,VLOOKUP(BJ84,$A$3:$AM$153,38))</f>
        <v>0</v>
      </c>
    </row>
    <row r="85" spans="1:63" ht="15" customHeight="1" x14ac:dyDescent="0.2">
      <c r="A85" s="1235">
        <v>82</v>
      </c>
      <c r="B85" s="1235"/>
      <c r="C85" s="1235"/>
      <c r="D85" s="1235"/>
      <c r="E85" s="1235"/>
      <c r="F85" s="1235"/>
      <c r="G85" s="1235"/>
      <c r="H85" s="1235"/>
      <c r="I85" s="1235"/>
      <c r="J85" s="1235"/>
      <c r="K85" s="1244">
        <f xml:space="preserve"> 10.8%</f>
        <v>0.10800000000000001</v>
      </c>
      <c r="L85" s="1244">
        <f xml:space="preserve"> 53%</f>
        <v>0.53</v>
      </c>
      <c r="M85" s="1244">
        <f xml:space="preserve"> 63.8%</f>
        <v>0.63800000000000001</v>
      </c>
      <c r="N85" s="684">
        <v>4.8000000000000001E-2</v>
      </c>
      <c r="O85" s="684">
        <v>0.88</v>
      </c>
      <c r="P85" s="684">
        <v>0.92800000000000005</v>
      </c>
      <c r="Q85" s="1240">
        <v>0.27</v>
      </c>
      <c r="R85" s="646">
        <v>0.14000000000000001</v>
      </c>
      <c r="S85" s="1240">
        <v>0.13</v>
      </c>
      <c r="T85" s="1240">
        <v>0.06</v>
      </c>
      <c r="U85" s="1240">
        <v>0.04</v>
      </c>
      <c r="V85" s="1244"/>
      <c r="W85" s="1244"/>
      <c r="X85" s="1240"/>
      <c r="Y85" s="1244"/>
      <c r="Z85" s="1244"/>
      <c r="AA85" s="1244"/>
      <c r="AB85" s="1244"/>
      <c r="AC85" s="1244"/>
      <c r="AD85" s="1244"/>
      <c r="AE85" s="749"/>
      <c r="AF85" s="1244"/>
      <c r="AG85" s="1244"/>
      <c r="AH85" s="1240">
        <v>0.65</v>
      </c>
      <c r="AI85" s="1244">
        <v>0.17599999999999999</v>
      </c>
      <c r="AJ85" s="1244">
        <f xml:space="preserve"> 16.4%</f>
        <v>0.16399999999999998</v>
      </c>
      <c r="AK85" s="1244">
        <f xml:space="preserve"> 52.8%</f>
        <v>0.52800000000000002</v>
      </c>
      <c r="AL85" s="1244"/>
      <c r="AM85" s="1244"/>
      <c r="AS85" s="1256" t="s">
        <v>931</v>
      </c>
      <c r="AT85" s="1252" t="str">
        <f>IF('Upper Extremity-Right'!T567="","",'Upper Extremity-Right'!T567)</f>
        <v/>
      </c>
      <c r="AU85" s="1252" t="str">
        <f t="shared" si="3"/>
        <v/>
      </c>
      <c r="AV85" s="243">
        <f>IF(AU85="",0,VLOOKUP(AU85,$A$3:$AM$153,39))</f>
        <v>0</v>
      </c>
      <c r="BC85" s="1256" t="s">
        <v>931</v>
      </c>
      <c r="BD85" s="1243" t="str">
        <f>IF('Upper Extremity-Left'!T567="","",'Upper Extremity-Left'!T567)</f>
        <v/>
      </c>
      <c r="BE85" s="1243" t="str">
        <f t="shared" si="4"/>
        <v/>
      </c>
      <c r="BF85" s="243">
        <f>IF(BE85="",0,VLOOKUP(BE85,$A$3:$AM$153,39))</f>
        <v>0</v>
      </c>
      <c r="BG85" s="74"/>
      <c r="BH85" s="19"/>
    </row>
    <row r="86" spans="1:63" ht="15" customHeight="1" x14ac:dyDescent="0.2">
      <c r="A86" s="1235">
        <v>83</v>
      </c>
      <c r="B86" s="1235"/>
      <c r="C86" s="1235"/>
      <c r="D86" s="1235"/>
      <c r="E86" s="1235"/>
      <c r="F86" s="1235"/>
      <c r="G86" s="1235"/>
      <c r="H86" s="1235"/>
      <c r="I86" s="1235"/>
      <c r="J86" s="1235"/>
      <c r="K86" s="1244">
        <f xml:space="preserve"> 10.2%</f>
        <v>0.10199999999999999</v>
      </c>
      <c r="L86" s="1244">
        <f xml:space="preserve"> 54%</f>
        <v>0.54</v>
      </c>
      <c r="M86" s="1244">
        <f xml:space="preserve"> 64.2%</f>
        <v>0.64200000000000002</v>
      </c>
      <c r="N86" s="684">
        <v>4.2000000000000003E-2</v>
      </c>
      <c r="O86" s="684">
        <v>0.89500000000000002</v>
      </c>
      <c r="P86" s="684">
        <v>0.93700000000000006</v>
      </c>
      <c r="Q86" s="1240">
        <v>0.27</v>
      </c>
      <c r="R86" s="646">
        <v>0.14000000000000001</v>
      </c>
      <c r="S86" s="1240">
        <v>0.13</v>
      </c>
      <c r="T86" s="1240">
        <v>0.06</v>
      </c>
      <c r="U86" s="1240">
        <v>0.04</v>
      </c>
      <c r="V86" s="1244"/>
      <c r="W86" s="1244"/>
      <c r="X86" s="1240"/>
      <c r="Y86" s="1244"/>
      <c r="Z86" s="1244"/>
      <c r="AA86" s="1244"/>
      <c r="AB86" s="1244"/>
      <c r="AC86" s="1244"/>
      <c r="AD86" s="1244"/>
      <c r="AE86" s="749"/>
      <c r="AF86" s="1244"/>
      <c r="AG86" s="1244"/>
      <c r="AH86" s="1240">
        <v>0.66</v>
      </c>
      <c r="AI86" s="1244">
        <v>0.17399999999999999</v>
      </c>
      <c r="AJ86" s="1244">
        <f xml:space="preserve"> 16.6%</f>
        <v>0.16600000000000001</v>
      </c>
      <c r="AK86" s="1244">
        <f xml:space="preserve"> 52.7%</f>
        <v>0.52700000000000002</v>
      </c>
      <c r="AL86" s="1244"/>
      <c r="AM86" s="1244"/>
      <c r="AS86" s="1256" t="s">
        <v>914</v>
      </c>
      <c r="AT86" s="1252" t="str">
        <f>IF('Upper Extremity-Right'!T568="","",'Upper Extremity-Right'!T568)</f>
        <v/>
      </c>
      <c r="AU86" s="1252" t="str">
        <f t="shared" si="3"/>
        <v/>
      </c>
      <c r="AV86" s="243">
        <f>IF(AU86="",0,VLOOKUP(AU86,$A$3:$AM$153,38))</f>
        <v>0</v>
      </c>
      <c r="AX86" s="1254" t="s">
        <v>1226</v>
      </c>
      <c r="AY86" s="1252" t="str">
        <f>IF('Upper Extremity-Right'!V568="","",'Upper Extremity-Right'!V568)</f>
        <v/>
      </c>
      <c r="AZ86" s="1252" t="str">
        <f>IF(AY86="","",ROUND(AY86,0))</f>
        <v/>
      </c>
      <c r="BA86" s="243">
        <f>IF(AZ86="",0,VLOOKUP(AZ86,$A$3:$AM$153,38))</f>
        <v>0</v>
      </c>
      <c r="BC86" s="1256" t="s">
        <v>914</v>
      </c>
      <c r="BD86" s="1243" t="str">
        <f>IF('Upper Extremity-Left'!T568="","",'Upper Extremity-Left'!T568)</f>
        <v/>
      </c>
      <c r="BE86" s="1243" t="str">
        <f t="shared" si="4"/>
        <v/>
      </c>
      <c r="BF86" s="243">
        <f>IF(BE86="",0,VLOOKUP(BE86,$A$3:$AM$153,38))</f>
        <v>0</v>
      </c>
      <c r="BG86" s="74"/>
      <c r="BH86" s="1240" t="s">
        <v>1226</v>
      </c>
      <c r="BI86" s="1243" t="str">
        <f>IF('Upper Extremity-Left'!V568="","",'Upper Extremity-Left'!V568)</f>
        <v/>
      </c>
      <c r="BJ86" s="1243" t="str">
        <f>IF(BI86="","",ROUND(BI86,0))</f>
        <v/>
      </c>
      <c r="BK86" s="243">
        <f>IF(BJ86="",0,VLOOKUP(BJ86,$A$3:$AM$153,38))</f>
        <v>0</v>
      </c>
    </row>
    <row r="87" spans="1:63" ht="15" customHeight="1" x14ac:dyDescent="0.2">
      <c r="A87" s="1235">
        <v>84</v>
      </c>
      <c r="B87" s="1235"/>
      <c r="C87" s="1235"/>
      <c r="D87" s="1235"/>
      <c r="E87" s="1235"/>
      <c r="F87" s="1235"/>
      <c r="G87" s="1235"/>
      <c r="H87" s="1235"/>
      <c r="I87" s="1235"/>
      <c r="J87" s="1235"/>
      <c r="K87" s="1244">
        <f xml:space="preserve">   9.6%</f>
        <v>9.6000000000000002E-2</v>
      </c>
      <c r="L87" s="1244">
        <f xml:space="preserve"> 55%</f>
        <v>0.55000000000000004</v>
      </c>
      <c r="M87" s="1244">
        <f xml:space="preserve"> 64.6%</f>
        <v>0.64599999999999991</v>
      </c>
      <c r="N87" s="684">
        <v>3.5999999999999997E-2</v>
      </c>
      <c r="O87" s="684">
        <v>0.91</v>
      </c>
      <c r="P87" s="684">
        <v>0.94599999999999995</v>
      </c>
      <c r="Q87" s="1240">
        <v>0.27</v>
      </c>
      <c r="R87" s="646">
        <v>0.14000000000000001</v>
      </c>
      <c r="S87" s="1240">
        <v>0.13</v>
      </c>
      <c r="T87" s="1240">
        <v>0.06</v>
      </c>
      <c r="U87" s="1240">
        <v>0.04</v>
      </c>
      <c r="V87" s="1244"/>
      <c r="W87" s="1244"/>
      <c r="X87" s="1240"/>
      <c r="Y87" s="1244"/>
      <c r="Z87" s="1244"/>
      <c r="AA87" s="1244"/>
      <c r="AB87" s="1244"/>
      <c r="AC87" s="1244"/>
      <c r="AD87" s="1244"/>
      <c r="AE87" s="749"/>
      <c r="AF87" s="1244"/>
      <c r="AG87" s="1244"/>
      <c r="AH87" s="1240">
        <v>0.67</v>
      </c>
      <c r="AI87" s="1244">
        <v>0.17199999999999999</v>
      </c>
      <c r="AJ87" s="1244">
        <f xml:space="preserve"> 16.8%</f>
        <v>0.16800000000000001</v>
      </c>
      <c r="AK87" s="1244">
        <f xml:space="preserve"> 52.6%</f>
        <v>0.52600000000000002</v>
      </c>
      <c r="AL87" s="1244"/>
      <c r="AM87" s="1244"/>
      <c r="AS87" s="1256" t="s">
        <v>932</v>
      </c>
      <c r="AT87" s="1252" t="str">
        <f>IF('Upper Extremity-Right'!T569="","",'Upper Extremity-Right'!T569)</f>
        <v/>
      </c>
      <c r="AU87" s="1252" t="str">
        <f t="shared" si="3"/>
        <v/>
      </c>
      <c r="AV87" s="243">
        <f>IF(AU87="",0,VLOOKUP(AU87,$A$3:$AM$153,39))</f>
        <v>0</v>
      </c>
      <c r="BC87" s="1256" t="s">
        <v>932</v>
      </c>
      <c r="BD87" s="1243" t="str">
        <f>IF('Upper Extremity-Left'!T569="","",'Upper Extremity-Left'!T569)</f>
        <v/>
      </c>
      <c r="BE87" s="1243" t="str">
        <f t="shared" si="4"/>
        <v/>
      </c>
      <c r="BF87" s="243">
        <f>IF(BE87="",0,VLOOKUP(BE87,$A$3:$AM$153,39))</f>
        <v>0</v>
      </c>
      <c r="BG87" s="74"/>
      <c r="BH87" s="19"/>
    </row>
    <row r="88" spans="1:63" ht="15" customHeight="1" x14ac:dyDescent="0.2">
      <c r="A88" s="1235">
        <v>85</v>
      </c>
      <c r="B88" s="1235"/>
      <c r="C88" s="1235"/>
      <c r="D88" s="1235"/>
      <c r="E88" s="1235"/>
      <c r="F88" s="1235"/>
      <c r="G88" s="1235"/>
      <c r="H88" s="1235"/>
      <c r="I88" s="1235"/>
      <c r="J88" s="1235"/>
      <c r="K88" s="1244">
        <f xml:space="preserve">   9%</f>
        <v>0.09</v>
      </c>
      <c r="L88" s="1244">
        <f xml:space="preserve"> 56%</f>
        <v>0.56000000000000005</v>
      </c>
      <c r="M88" s="1244">
        <f xml:space="preserve"> 65%</f>
        <v>0.65</v>
      </c>
      <c r="N88" s="684">
        <v>0.03</v>
      </c>
      <c r="O88" s="684">
        <v>0.92500000000000004</v>
      </c>
      <c r="P88" s="684">
        <v>0.95499999999999996</v>
      </c>
      <c r="Q88" s="1240">
        <v>0.28000000000000003</v>
      </c>
      <c r="R88" s="646">
        <v>0.14000000000000001</v>
      </c>
      <c r="S88" s="1240">
        <v>0.13</v>
      </c>
      <c r="T88" s="1240">
        <v>0.06</v>
      </c>
      <c r="U88" s="1240">
        <v>0.04</v>
      </c>
      <c r="V88" s="1244"/>
      <c r="W88" s="1244"/>
      <c r="X88" s="1240"/>
      <c r="Y88" s="1244"/>
      <c r="Z88" s="1244"/>
      <c r="AA88" s="1244"/>
      <c r="AB88" s="1244"/>
      <c r="AC88" s="1244"/>
      <c r="AD88" s="1244"/>
      <c r="AE88" s="749"/>
      <c r="AF88" s="1244"/>
      <c r="AG88" s="1244"/>
      <c r="AH88" s="1240">
        <v>0.68</v>
      </c>
      <c r="AI88" s="1244">
        <v>0.17</v>
      </c>
      <c r="AJ88" s="1244">
        <f xml:space="preserve"> 17%</f>
        <v>0.17</v>
      </c>
      <c r="AK88" s="1244">
        <f xml:space="preserve"> 52.5%</f>
        <v>0.52500000000000002</v>
      </c>
      <c r="AL88" s="1244"/>
      <c r="AM88" s="1244"/>
      <c r="BC88" s="1240"/>
      <c r="BD88" s="74"/>
      <c r="BE88" s="74"/>
      <c r="BG88" s="74"/>
      <c r="BH88" s="19"/>
    </row>
    <row r="89" spans="1:63" ht="15" customHeight="1" x14ac:dyDescent="0.2">
      <c r="A89" s="1235">
        <v>86</v>
      </c>
      <c r="B89" s="1235"/>
      <c r="C89" s="1235"/>
      <c r="D89" s="1235"/>
      <c r="E89" s="1235"/>
      <c r="F89" s="1235"/>
      <c r="G89" s="1235"/>
      <c r="H89" s="1235"/>
      <c r="I89" s="1235"/>
      <c r="J89" s="1235"/>
      <c r="K89" s="1244">
        <f xml:space="preserve">   8.4%</f>
        <v>8.4000000000000005E-2</v>
      </c>
      <c r="L89" s="1244">
        <f xml:space="preserve"> 57%</f>
        <v>0.56999999999999995</v>
      </c>
      <c r="M89" s="1244">
        <f xml:space="preserve"> 65.4%</f>
        <v>0.65400000000000003</v>
      </c>
      <c r="N89" s="684">
        <v>2.4E-2</v>
      </c>
      <c r="O89" s="684">
        <v>0.94</v>
      </c>
      <c r="P89" s="684">
        <v>0.96399999999999997</v>
      </c>
      <c r="Q89" s="1240">
        <v>0.28000000000000003</v>
      </c>
      <c r="R89" s="646">
        <v>0.14000000000000001</v>
      </c>
      <c r="S89" s="1240">
        <v>0.13</v>
      </c>
      <c r="T89" s="1240">
        <v>0.06</v>
      </c>
      <c r="U89" s="1240">
        <v>0.04</v>
      </c>
      <c r="V89" s="1244"/>
      <c r="W89" s="1244"/>
      <c r="X89" s="1240"/>
      <c r="Y89" s="1244"/>
      <c r="Z89" s="1244"/>
      <c r="AA89" s="1244"/>
      <c r="AB89" s="1244"/>
      <c r="AC89" s="1244"/>
      <c r="AD89" s="1244"/>
      <c r="AE89" s="749"/>
      <c r="AF89" s="1244"/>
      <c r="AG89" s="1244"/>
      <c r="AH89" s="1240">
        <v>0.68</v>
      </c>
      <c r="AI89" s="1244">
        <v>0.16800000000000001</v>
      </c>
      <c r="AJ89" s="1244">
        <f xml:space="preserve"> 17.2%</f>
        <v>0.17199999999999999</v>
      </c>
      <c r="AK89" s="1244">
        <f xml:space="preserve"> 52.4%</f>
        <v>0.52400000000000002</v>
      </c>
      <c r="AL89" s="1244"/>
      <c r="AM89" s="1244"/>
      <c r="AS89" s="754" t="s">
        <v>1815</v>
      </c>
      <c r="AT89" s="1281" t="s">
        <v>1796</v>
      </c>
      <c r="AY89" s="74"/>
      <c r="AZ89" s="74"/>
      <c r="BC89" s="1240" t="s">
        <v>1815</v>
      </c>
      <c r="BD89" s="74"/>
      <c r="BE89" s="74"/>
      <c r="BF89" s="1243" t="s">
        <v>1796</v>
      </c>
      <c r="BG89" s="74"/>
      <c r="BH89" s="19"/>
      <c r="BI89" s="74"/>
      <c r="BJ89" s="74"/>
    </row>
    <row r="90" spans="1:63" ht="15" customHeight="1" x14ac:dyDescent="0.2">
      <c r="A90" s="1235">
        <v>87</v>
      </c>
      <c r="B90" s="1235"/>
      <c r="C90" s="1235"/>
      <c r="D90" s="1235"/>
      <c r="E90" s="1235"/>
      <c r="F90" s="1235"/>
      <c r="G90" s="1235"/>
      <c r="H90" s="1235"/>
      <c r="I90" s="1235"/>
      <c r="J90" s="1235"/>
      <c r="K90" s="1244">
        <f xml:space="preserve">   7.8%</f>
        <v>7.8E-2</v>
      </c>
      <c r="L90" s="1244">
        <f xml:space="preserve"> 58%</f>
        <v>0.57999999999999996</v>
      </c>
      <c r="M90" s="1244">
        <f xml:space="preserve"> 65.8%</f>
        <v>0.65799999999999992</v>
      </c>
      <c r="N90" s="684">
        <v>1.7999999999999999E-2</v>
      </c>
      <c r="O90" s="684">
        <v>0.95499999999999996</v>
      </c>
      <c r="P90" s="684">
        <v>0.97299999999999998</v>
      </c>
      <c r="Q90" s="1240">
        <v>0.28000000000000003</v>
      </c>
      <c r="R90" s="646">
        <v>0.14000000000000001</v>
      </c>
      <c r="S90" s="1240">
        <v>0.13</v>
      </c>
      <c r="T90" s="1240">
        <v>0.06</v>
      </c>
      <c r="U90" s="1240">
        <v>0.04</v>
      </c>
      <c r="V90" s="1244"/>
      <c r="W90" s="1244"/>
      <c r="X90" s="1240"/>
      <c r="Y90" s="1244"/>
      <c r="Z90" s="1244"/>
      <c r="AA90" s="1244"/>
      <c r="AB90" s="1244"/>
      <c r="AC90" s="1244"/>
      <c r="AD90" s="1244"/>
      <c r="AE90" s="749"/>
      <c r="AF90" s="1244"/>
      <c r="AG90" s="1244"/>
      <c r="AH90" s="1240">
        <v>0.69</v>
      </c>
      <c r="AI90" s="1244">
        <v>0.16600000000000001</v>
      </c>
      <c r="AJ90" s="1244">
        <f xml:space="preserve"> 17.4%</f>
        <v>0.17399999999999999</v>
      </c>
      <c r="AK90" s="1244">
        <f xml:space="preserve"> 52.3%</f>
        <v>0.52300000000000002</v>
      </c>
      <c r="AL90" s="1244"/>
      <c r="AM90" s="1244"/>
      <c r="AS90" s="1254" t="s">
        <v>1574</v>
      </c>
      <c r="AT90" s="1252">
        <f>'Upper Extremity-Right'!C518*100</f>
        <v>0</v>
      </c>
      <c r="AU90" s="1252">
        <f>IF(AT90="","",ROUND(AT90,0))</f>
        <v>0</v>
      </c>
      <c r="AV90" s="243">
        <f>IF(AU90="",0,VLOOKUP(AU90,$A$3:$AP$103,17))</f>
        <v>0</v>
      </c>
      <c r="AY90" s="74"/>
      <c r="AZ90" s="74"/>
      <c r="BA90" s="113"/>
      <c r="BC90" s="1240" t="s">
        <v>1574</v>
      </c>
      <c r="BD90" s="1243">
        <f>'Upper Extremity-Left'!C518*100</f>
        <v>0</v>
      </c>
      <c r="BE90" s="1243">
        <f>IF(BD90="","",ROUND(BD90,0))</f>
        <v>0</v>
      </c>
      <c r="BF90" s="243">
        <f>IF(BE90="",0,VLOOKUP(BE90,$A$3:$AP$103,17))</f>
        <v>0</v>
      </c>
      <c r="BG90" s="74"/>
      <c r="BH90" s="19"/>
      <c r="BI90" s="74"/>
      <c r="BJ90" s="74"/>
      <c r="BK90" s="113"/>
    </row>
    <row r="91" spans="1:63" ht="15" customHeight="1" x14ac:dyDescent="0.2">
      <c r="A91" s="1235">
        <v>88</v>
      </c>
      <c r="B91" s="1235"/>
      <c r="C91" s="1235"/>
      <c r="D91" s="1235"/>
      <c r="E91" s="1235"/>
      <c r="F91" s="1235"/>
      <c r="G91" s="1235"/>
      <c r="H91" s="1235"/>
      <c r="I91" s="1235"/>
      <c r="J91" s="1235"/>
      <c r="K91" s="1244">
        <f xml:space="preserve">   7.2%</f>
        <v>7.2000000000000008E-2</v>
      </c>
      <c r="L91" s="1244">
        <f xml:space="preserve"> 59%</f>
        <v>0.59</v>
      </c>
      <c r="M91" s="1244">
        <f xml:space="preserve"> 66.2%</f>
        <v>0.66200000000000003</v>
      </c>
      <c r="N91" s="684">
        <v>1.2E-2</v>
      </c>
      <c r="O91" s="684">
        <v>0.97</v>
      </c>
      <c r="P91" s="684">
        <v>0.98199999999999998</v>
      </c>
      <c r="Q91" s="1240">
        <v>0.28999999999999998</v>
      </c>
      <c r="R91" s="646">
        <v>0.15</v>
      </c>
      <c r="S91" s="1240">
        <v>0.13</v>
      </c>
      <c r="T91" s="1240">
        <v>0.06</v>
      </c>
      <c r="U91" s="1240">
        <v>0.04</v>
      </c>
      <c r="V91" s="1244"/>
      <c r="W91" s="1244"/>
      <c r="X91" s="1240"/>
      <c r="Y91" s="1244"/>
      <c r="Z91" s="1244"/>
      <c r="AA91" s="1244"/>
      <c r="AB91" s="1244"/>
      <c r="AC91" s="1244"/>
      <c r="AD91" s="1244"/>
      <c r="AE91" s="749"/>
      <c r="AF91" s="1244"/>
      <c r="AG91" s="1244"/>
      <c r="AH91" s="1240">
        <v>0.7</v>
      </c>
      <c r="AI91" s="1244">
        <v>0.16400000000000001</v>
      </c>
      <c r="AJ91" s="1244">
        <f xml:space="preserve"> 17.6%</f>
        <v>0.17600000000000002</v>
      </c>
      <c r="AK91" s="1244">
        <f xml:space="preserve"> 52.2%</f>
        <v>0.52200000000000002</v>
      </c>
      <c r="AL91" s="1244"/>
      <c r="AM91" s="1244"/>
      <c r="AS91" s="1254" t="s">
        <v>147</v>
      </c>
      <c r="AT91" s="1252">
        <f>'Upper Extremity-Right'!C519*100</f>
        <v>0</v>
      </c>
      <c r="AU91" s="1252">
        <f>IF(AT91="","",ROUND(AT91,0))</f>
        <v>0</v>
      </c>
      <c r="AV91" s="243">
        <f>IF(AU91="",0,VLOOKUP(AU91,$A$3:$AP$103,18))</f>
        <v>0</v>
      </c>
      <c r="AY91" s="74"/>
      <c r="AZ91" s="74"/>
      <c r="BA91" s="113"/>
      <c r="BC91" s="1240" t="s">
        <v>147</v>
      </c>
      <c r="BD91" s="1243">
        <f>'Upper Extremity-Left'!C519*100</f>
        <v>0</v>
      </c>
      <c r="BE91" s="1243">
        <f>IF(BD91="","",ROUND(BD91,0))</f>
        <v>0</v>
      </c>
      <c r="BF91" s="243">
        <f>IF(BE91="",0,VLOOKUP(BE91,$A$3:$AP$103,18))</f>
        <v>0</v>
      </c>
      <c r="BG91" s="74"/>
      <c r="BH91" s="19"/>
      <c r="BI91" s="74"/>
      <c r="BJ91" s="74"/>
      <c r="BK91" s="113"/>
    </row>
    <row r="92" spans="1:63" ht="15" customHeight="1" x14ac:dyDescent="0.2">
      <c r="A92" s="1235">
        <v>89</v>
      </c>
      <c r="B92" s="1235"/>
      <c r="C92" s="1235"/>
      <c r="D92" s="1235"/>
      <c r="E92" s="1235"/>
      <c r="F92" s="1235"/>
      <c r="G92" s="1235"/>
      <c r="H92" s="1235"/>
      <c r="I92" s="1235"/>
      <c r="J92" s="1235"/>
      <c r="K92" s="1244">
        <f xml:space="preserve">   6.6%</f>
        <v>6.6000000000000003E-2</v>
      </c>
      <c r="L92" s="1244">
        <f xml:space="preserve"> 60%</f>
        <v>0.6</v>
      </c>
      <c r="M92" s="1244">
        <f xml:space="preserve"> 66.6%</f>
        <v>0.66599999999999993</v>
      </c>
      <c r="N92" s="684">
        <v>6.0000000000000001E-3</v>
      </c>
      <c r="O92" s="684">
        <v>0.98499999999999999</v>
      </c>
      <c r="P92" s="684">
        <v>0.99099999999999999</v>
      </c>
      <c r="Q92" s="1240">
        <v>0.28999999999999998</v>
      </c>
      <c r="R92" s="646">
        <v>0.15</v>
      </c>
      <c r="S92" s="1240">
        <v>0.14000000000000001</v>
      </c>
      <c r="T92" s="1240">
        <v>0.06</v>
      </c>
      <c r="U92" s="1240">
        <v>0.04</v>
      </c>
      <c r="V92" s="1244"/>
      <c r="W92" s="1244"/>
      <c r="X92" s="1240"/>
      <c r="Y92" s="1244"/>
      <c r="Z92" s="1244"/>
      <c r="AA92" s="1244"/>
      <c r="AB92" s="1244"/>
      <c r="AC92" s="1244"/>
      <c r="AD92" s="1244"/>
      <c r="AE92" s="749"/>
      <c r="AF92" s="1244"/>
      <c r="AG92" s="1244"/>
      <c r="AH92" s="1240">
        <v>0.71</v>
      </c>
      <c r="AI92" s="1244">
        <v>0.16200000000000001</v>
      </c>
      <c r="AJ92" s="1244">
        <f xml:space="preserve"> 17.8%</f>
        <v>0.17800000000000002</v>
      </c>
      <c r="AK92" s="1244">
        <f xml:space="preserve"> 52.1%</f>
        <v>0.52100000000000002</v>
      </c>
      <c r="AL92" s="1244"/>
      <c r="AM92" s="1244"/>
      <c r="AS92" s="1254" t="s">
        <v>1568</v>
      </c>
      <c r="AT92" s="1252">
        <f>'Upper Extremity-Right'!C520*100</f>
        <v>0</v>
      </c>
      <c r="AU92" s="1252">
        <f>IF(AT92="","",ROUND(AT92,0))</f>
        <v>0</v>
      </c>
      <c r="AV92" s="243">
        <f>IF(AU92="",0,VLOOKUP(AU92,$A$3:$AP$103,19))</f>
        <v>0</v>
      </c>
      <c r="AY92" s="74"/>
      <c r="AZ92" s="74"/>
      <c r="BA92" s="113"/>
      <c r="BC92" s="1240" t="s">
        <v>1568</v>
      </c>
      <c r="BD92" s="1243">
        <f>'Upper Extremity-Left'!C520*100</f>
        <v>0</v>
      </c>
      <c r="BE92" s="1243">
        <f>IF(BD92="","",ROUND(BD92,0))</f>
        <v>0</v>
      </c>
      <c r="BF92" s="243">
        <f>IF(BE92="",0,VLOOKUP(BE92,$A$3:$AP$103,19))</f>
        <v>0</v>
      </c>
      <c r="BG92" s="74"/>
      <c r="BH92" s="19"/>
      <c r="BI92" s="74"/>
      <c r="BJ92" s="74"/>
      <c r="BK92" s="113"/>
    </row>
    <row r="93" spans="1:63" ht="15" customHeight="1" x14ac:dyDescent="0.2">
      <c r="A93" s="1235">
        <v>90</v>
      </c>
      <c r="B93" s="1235"/>
      <c r="C93" s="1235"/>
      <c r="D93" s="1235"/>
      <c r="E93" s="1235"/>
      <c r="F93" s="1235"/>
      <c r="G93" s="1235"/>
      <c r="H93" s="1235"/>
      <c r="I93" s="1235"/>
      <c r="J93" s="1235"/>
      <c r="K93" s="1244">
        <f xml:space="preserve">   6%</f>
        <v>0.06</v>
      </c>
      <c r="L93" s="1244">
        <f xml:space="preserve"> 61%</f>
        <v>0.61</v>
      </c>
      <c r="M93" s="1244">
        <f xml:space="preserve"> 67%</f>
        <v>0.67</v>
      </c>
      <c r="N93" s="684">
        <v>0</v>
      </c>
      <c r="O93" s="684">
        <v>1</v>
      </c>
      <c r="P93" s="684">
        <v>1</v>
      </c>
      <c r="Q93" s="1240">
        <v>0.28999999999999998</v>
      </c>
      <c r="R93" s="646">
        <v>0.15</v>
      </c>
      <c r="S93" s="1240">
        <v>0.14000000000000001</v>
      </c>
      <c r="T93" s="1240">
        <v>7.0000000000000007E-2</v>
      </c>
      <c r="U93" s="1240">
        <v>0.04</v>
      </c>
      <c r="V93" s="1244"/>
      <c r="W93" s="1244"/>
      <c r="X93" s="1240"/>
      <c r="Y93" s="1244"/>
      <c r="Z93" s="1244"/>
      <c r="AA93" s="1244"/>
      <c r="AB93" s="1244"/>
      <c r="AC93" s="1244"/>
      <c r="AD93" s="1244"/>
      <c r="AE93" s="749"/>
      <c r="AF93" s="1244"/>
      <c r="AG93" s="1244"/>
      <c r="AH93" s="1240">
        <v>0.72</v>
      </c>
      <c r="AI93" s="1244">
        <v>0.16</v>
      </c>
      <c r="AJ93" s="1244">
        <f xml:space="preserve"> 18%</f>
        <v>0.18</v>
      </c>
      <c r="AK93" s="1244">
        <f xml:space="preserve"> 52%</f>
        <v>0.52</v>
      </c>
      <c r="AL93" s="1244"/>
      <c r="AM93" s="1244"/>
      <c r="AS93" s="1254" t="s">
        <v>1570</v>
      </c>
      <c r="AT93" s="1252">
        <f>'Upper Extremity-Right'!C521*100</f>
        <v>0</v>
      </c>
      <c r="AU93" s="1252">
        <f>IF(AT93="","",ROUND(AT93,0))</f>
        <v>0</v>
      </c>
      <c r="AV93" s="243">
        <f>IF(AU93="",0,VLOOKUP(AU93,$A$3:$AP$103,20))</f>
        <v>0</v>
      </c>
      <c r="AY93" s="74"/>
      <c r="AZ93" s="74"/>
      <c r="BC93" s="1240" t="s">
        <v>1570</v>
      </c>
      <c r="BD93" s="1243">
        <f>'Upper Extremity-Left'!C521*100</f>
        <v>0</v>
      </c>
      <c r="BE93" s="1243">
        <f>IF(BD93="","",ROUND(BD93,0))</f>
        <v>0</v>
      </c>
      <c r="BF93" s="243">
        <f>IF(BE93="",0,VLOOKUP(BE93,$A$3:$AP$103,20))</f>
        <v>0</v>
      </c>
      <c r="BG93" s="74"/>
      <c r="BH93" s="19"/>
      <c r="BI93" s="74"/>
      <c r="BJ93" s="74"/>
    </row>
    <row r="94" spans="1:63" ht="15" customHeight="1" x14ac:dyDescent="0.2">
      <c r="A94" s="1235">
        <v>91</v>
      </c>
      <c r="B94" s="1235"/>
      <c r="C94" s="1235"/>
      <c r="D94" s="1235"/>
      <c r="E94" s="1235"/>
      <c r="F94" s="1235"/>
      <c r="G94" s="1235"/>
      <c r="H94" s="1235"/>
      <c r="I94" s="1235"/>
      <c r="J94" s="1235"/>
      <c r="K94" s="1244">
        <f xml:space="preserve">   5.4%</f>
        <v>5.4000000000000006E-2</v>
      </c>
      <c r="L94" s="1244">
        <f xml:space="preserve"> 61.9%</f>
        <v>0.61899999999999999</v>
      </c>
      <c r="M94" s="1244">
        <f xml:space="preserve"> 67.3%</f>
        <v>0.67299999999999993</v>
      </c>
      <c r="N94" s="1235"/>
      <c r="O94" s="1235"/>
      <c r="P94" s="1235"/>
      <c r="Q94" s="1240">
        <v>0.3</v>
      </c>
      <c r="R94" s="646">
        <v>0.15</v>
      </c>
      <c r="S94" s="1240">
        <v>0.14000000000000001</v>
      </c>
      <c r="T94" s="1240">
        <v>7.0000000000000007E-2</v>
      </c>
      <c r="U94" s="1240">
        <v>0.04</v>
      </c>
      <c r="V94" s="1244"/>
      <c r="W94" s="1244"/>
      <c r="X94" s="1240"/>
      <c r="Y94" s="1244"/>
      <c r="Z94" s="1244"/>
      <c r="AA94" s="1244"/>
      <c r="AB94" s="1244"/>
      <c r="AC94" s="1244"/>
      <c r="AD94" s="1244"/>
      <c r="AE94" s="749"/>
      <c r="AF94" s="1244"/>
      <c r="AG94" s="1244"/>
      <c r="AH94" s="1240">
        <v>0.72</v>
      </c>
      <c r="AI94" s="1244">
        <v>0.157</v>
      </c>
      <c r="AJ94" s="1244">
        <f xml:space="preserve"> 18.2%</f>
        <v>0.182</v>
      </c>
      <c r="AK94" s="1244">
        <f xml:space="preserve"> 51.8%</f>
        <v>0.51800000000000002</v>
      </c>
      <c r="AL94" s="1244"/>
      <c r="AM94" s="1244"/>
      <c r="AS94" s="1254" t="s">
        <v>1572</v>
      </c>
      <c r="AT94" s="1252">
        <f>'Upper Extremity-Right'!C522*100</f>
        <v>0</v>
      </c>
      <c r="AU94" s="1252">
        <f>IF(AT94="","",ROUND(AT94,0))</f>
        <v>0</v>
      </c>
      <c r="AV94" s="243">
        <f>IF(AU94="",0,VLOOKUP(AU94,$A$3:$AP$103,21))</f>
        <v>0</v>
      </c>
      <c r="AY94" s="74"/>
      <c r="AZ94" s="74"/>
      <c r="BC94" s="1240" t="s">
        <v>1572</v>
      </c>
      <c r="BD94" s="1243">
        <f>'Upper Extremity-Left'!C522*100</f>
        <v>0</v>
      </c>
      <c r="BE94" s="1243">
        <f>IF(BD94="","",ROUND(BD94,0))</f>
        <v>0</v>
      </c>
      <c r="BF94" s="243">
        <f>IF(BE94="",0,VLOOKUP(BE94,$A$3:$AP$103,21))</f>
        <v>0</v>
      </c>
      <c r="BG94" s="74"/>
      <c r="BH94" s="19"/>
      <c r="BI94" s="74"/>
      <c r="BJ94" s="74"/>
    </row>
    <row r="95" spans="1:63" ht="15" customHeight="1" x14ac:dyDescent="0.2">
      <c r="A95" s="1235">
        <v>92</v>
      </c>
      <c r="B95" s="1235"/>
      <c r="C95" s="1235"/>
      <c r="D95" s="1235"/>
      <c r="E95" s="1235"/>
      <c r="F95" s="1235"/>
      <c r="G95" s="1235"/>
      <c r="H95" s="1235"/>
      <c r="I95" s="1235"/>
      <c r="J95" s="1235"/>
      <c r="K95" s="1244">
        <f xml:space="preserve">   4.8%</f>
        <v>4.8000000000000001E-2</v>
      </c>
      <c r="L95" s="1244">
        <f xml:space="preserve"> 62.8%</f>
        <v>0.628</v>
      </c>
      <c r="M95" s="1244">
        <f xml:space="preserve"> 67.6%</f>
        <v>0.67599999999999993</v>
      </c>
      <c r="N95" s="1235"/>
      <c r="O95" s="1235"/>
      <c r="P95" s="1235"/>
      <c r="Q95" s="1240">
        <v>0.3</v>
      </c>
      <c r="R95" s="646">
        <v>0.15</v>
      </c>
      <c r="S95" s="1240">
        <v>0.14000000000000001</v>
      </c>
      <c r="T95" s="1240">
        <v>7.0000000000000007E-2</v>
      </c>
      <c r="U95" s="1240">
        <v>0.04</v>
      </c>
      <c r="V95" s="1244"/>
      <c r="W95" s="1244"/>
      <c r="X95" s="1240"/>
      <c r="Y95" s="1244"/>
      <c r="Z95" s="1244"/>
      <c r="AA95" s="1244"/>
      <c r="AB95" s="1244"/>
      <c r="AC95" s="1244"/>
      <c r="AD95" s="1244"/>
      <c r="AE95" s="749"/>
      <c r="AF95" s="1244"/>
      <c r="AG95" s="1244"/>
      <c r="AH95" s="1240">
        <v>0.73</v>
      </c>
      <c r="AI95" s="1244">
        <v>0.154</v>
      </c>
      <c r="AJ95" s="1244">
        <f xml:space="preserve"> 18.4%</f>
        <v>0.184</v>
      </c>
      <c r="AK95" s="1244">
        <f xml:space="preserve"> 51.6%</f>
        <v>0.51600000000000001</v>
      </c>
      <c r="AL95" s="1244"/>
      <c r="AM95" s="1244"/>
      <c r="AY95" s="74"/>
      <c r="AZ95" s="74"/>
      <c r="BA95" s="113"/>
      <c r="BC95" s="1240"/>
      <c r="BD95" s="74"/>
      <c r="BE95" s="74"/>
      <c r="BG95" s="74"/>
      <c r="BH95" s="19"/>
      <c r="BI95" s="74"/>
      <c r="BJ95" s="74"/>
      <c r="BK95" s="113"/>
    </row>
    <row r="96" spans="1:63" ht="15" customHeight="1" x14ac:dyDescent="0.2">
      <c r="A96" s="1235">
        <v>93</v>
      </c>
      <c r="B96" s="1235"/>
      <c r="C96" s="1235"/>
      <c r="D96" s="1235"/>
      <c r="E96" s="1235"/>
      <c r="F96" s="1235"/>
      <c r="G96" s="1235"/>
      <c r="H96" s="1235"/>
      <c r="I96" s="1235"/>
      <c r="J96" s="1235"/>
      <c r="K96" s="1244">
        <f xml:space="preserve">   4.2%</f>
        <v>4.2000000000000003E-2</v>
      </c>
      <c r="L96" s="1244">
        <f xml:space="preserve"> 63.7%</f>
        <v>0.63700000000000001</v>
      </c>
      <c r="M96" s="1244">
        <f xml:space="preserve"> 67.9%</f>
        <v>0.67900000000000005</v>
      </c>
      <c r="N96" s="1235"/>
      <c r="O96" s="1235"/>
      <c r="P96" s="1235"/>
      <c r="Q96" s="1240">
        <v>0.3</v>
      </c>
      <c r="R96" s="646">
        <v>0.15</v>
      </c>
      <c r="S96" s="1240">
        <v>0.14000000000000001</v>
      </c>
      <c r="T96" s="1240">
        <v>7.0000000000000007E-2</v>
      </c>
      <c r="U96" s="1240">
        <v>0.04</v>
      </c>
      <c r="V96" s="1244"/>
      <c r="W96" s="1244"/>
      <c r="X96" s="1240"/>
      <c r="Y96" s="1244"/>
      <c r="Z96" s="1244"/>
      <c r="AA96" s="1244"/>
      <c r="AB96" s="1244"/>
      <c r="AC96" s="1244"/>
      <c r="AD96" s="1244"/>
      <c r="AE96" s="749"/>
      <c r="AF96" s="1244"/>
      <c r="AG96" s="1244"/>
      <c r="AH96" s="1240">
        <v>0.74</v>
      </c>
      <c r="AI96" s="1244">
        <v>0.151</v>
      </c>
      <c r="AJ96" s="1244">
        <f xml:space="preserve"> 18.6%</f>
        <v>0.18600000000000003</v>
      </c>
      <c r="AK96" s="1244">
        <f xml:space="preserve"> 51.4%</f>
        <v>0.51400000000000001</v>
      </c>
      <c r="AL96" s="1244"/>
      <c r="AM96" s="1244"/>
      <c r="AS96" s="754" t="s">
        <v>1935</v>
      </c>
      <c r="AV96" s="1281" t="s">
        <v>1796</v>
      </c>
      <c r="AY96" s="74"/>
      <c r="AZ96" s="74"/>
      <c r="BA96" s="113"/>
      <c r="BC96" s="1240" t="s">
        <v>1935</v>
      </c>
      <c r="BD96" s="74"/>
      <c r="BE96" s="74"/>
      <c r="BF96" s="1243" t="s">
        <v>1796</v>
      </c>
      <c r="BG96" s="74"/>
      <c r="BH96" s="19"/>
      <c r="BI96" s="74"/>
      <c r="BJ96" s="74"/>
      <c r="BK96" s="113"/>
    </row>
    <row r="97" spans="1:63" ht="15" customHeight="1" x14ac:dyDescent="0.2">
      <c r="A97" s="1235">
        <v>94</v>
      </c>
      <c r="B97" s="1235"/>
      <c r="C97" s="1235"/>
      <c r="D97" s="1235"/>
      <c r="E97" s="1235"/>
      <c r="F97" s="1235"/>
      <c r="G97" s="1235"/>
      <c r="H97" s="1235"/>
      <c r="I97" s="1235"/>
      <c r="J97" s="1235"/>
      <c r="K97" s="1244">
        <f xml:space="preserve">   3.6%</f>
        <v>3.6000000000000004E-2</v>
      </c>
      <c r="L97" s="1244">
        <f xml:space="preserve"> 64.6%</f>
        <v>0.64599999999999991</v>
      </c>
      <c r="M97" s="1244">
        <f xml:space="preserve"> 68.2%</f>
        <v>0.68200000000000005</v>
      </c>
      <c r="N97" s="1235"/>
      <c r="O97" s="1235"/>
      <c r="P97" s="1235"/>
      <c r="Q97" s="1240">
        <v>0.31</v>
      </c>
      <c r="R97" s="646">
        <v>0.16</v>
      </c>
      <c r="S97" s="1240">
        <v>0.14000000000000001</v>
      </c>
      <c r="T97" s="1240">
        <v>7.0000000000000007E-2</v>
      </c>
      <c r="U97" s="1240">
        <v>0.04</v>
      </c>
      <c r="V97" s="1244"/>
      <c r="W97" s="1244"/>
      <c r="X97" s="1240"/>
      <c r="Y97" s="1244"/>
      <c r="Z97" s="1244"/>
      <c r="AA97" s="1244"/>
      <c r="AB97" s="1244"/>
      <c r="AC97" s="1244"/>
      <c r="AD97" s="1244"/>
      <c r="AE97" s="749"/>
      <c r="AF97" s="1244"/>
      <c r="AG97" s="1244"/>
      <c r="AH97" s="1240">
        <v>0.75</v>
      </c>
      <c r="AI97" s="1244">
        <v>0.14799999999999999</v>
      </c>
      <c r="AJ97" s="1244">
        <f xml:space="preserve"> 18.8%</f>
        <v>0.188</v>
      </c>
      <c r="AK97" s="1244">
        <f xml:space="preserve"> 51.2%</f>
        <v>0.51200000000000001</v>
      </c>
      <c r="AL97" s="1244"/>
      <c r="AM97" s="1244"/>
      <c r="AS97" s="1254" t="s">
        <v>1936</v>
      </c>
      <c r="AT97" s="1252">
        <f>'Upper Extremity-Right'!P527*100</f>
        <v>0</v>
      </c>
      <c r="AU97" s="1252">
        <f>IF(AT97="","",ROUND(AT97,0))</f>
        <v>0</v>
      </c>
      <c r="AV97" s="243">
        <f>IF(AU97="",0,VLOOKUP(AU97,$A$3:$AP$103,34))</f>
        <v>0</v>
      </c>
      <c r="AY97" s="74"/>
      <c r="AZ97" s="74"/>
      <c r="BA97" s="113"/>
      <c r="BC97" s="1240" t="s">
        <v>1936</v>
      </c>
      <c r="BD97" s="1243">
        <f>'Upper Extremity-Left'!P527*100</f>
        <v>0</v>
      </c>
      <c r="BE97" s="1243">
        <f>IF(BD97="","",ROUND(BD97,0))</f>
        <v>0</v>
      </c>
      <c r="BF97" s="243">
        <f>IF(BE97="",0,VLOOKUP(BE97,$A$3:$AP$103,34))</f>
        <v>0</v>
      </c>
      <c r="BG97" s="74"/>
      <c r="BH97" s="19"/>
      <c r="BI97" s="74"/>
      <c r="BJ97" s="74"/>
      <c r="BK97" s="113"/>
    </row>
    <row r="98" spans="1:63" ht="15" customHeight="1" x14ac:dyDescent="0.2">
      <c r="A98" s="1235">
        <v>95</v>
      </c>
      <c r="B98" s="1235"/>
      <c r="C98" s="1235"/>
      <c r="D98" s="1235"/>
      <c r="E98" s="1235"/>
      <c r="F98" s="1235"/>
      <c r="G98" s="1235"/>
      <c r="H98" s="1235"/>
      <c r="I98" s="1235"/>
      <c r="J98" s="1235"/>
      <c r="K98" s="1244">
        <f xml:space="preserve">   3%</f>
        <v>0.03</v>
      </c>
      <c r="L98" s="1244">
        <f xml:space="preserve"> 65.5%</f>
        <v>0.65500000000000003</v>
      </c>
      <c r="M98" s="1244">
        <f xml:space="preserve"> 68.5%</f>
        <v>0.68500000000000005</v>
      </c>
      <c r="N98" s="1235"/>
      <c r="O98" s="1235"/>
      <c r="P98" s="1235"/>
      <c r="Q98" s="1240">
        <v>0.31</v>
      </c>
      <c r="R98" s="646">
        <v>0.16</v>
      </c>
      <c r="S98" s="1240">
        <v>0.14000000000000001</v>
      </c>
      <c r="T98" s="1240">
        <v>7.0000000000000007E-2</v>
      </c>
      <c r="U98" s="1240">
        <v>0.04</v>
      </c>
      <c r="V98" s="1244"/>
      <c r="W98" s="1244"/>
      <c r="X98" s="1240"/>
      <c r="Y98" s="1244"/>
      <c r="Z98" s="1244"/>
      <c r="AA98" s="1244"/>
      <c r="AB98" s="1244"/>
      <c r="AC98" s="1244"/>
      <c r="AD98" s="1244"/>
      <c r="AE98" s="749"/>
      <c r="AF98" s="1244"/>
      <c r="AG98" s="1244"/>
      <c r="AH98" s="1240">
        <v>0.76</v>
      </c>
      <c r="AI98" s="1244">
        <v>0.14499999999999999</v>
      </c>
      <c r="AJ98" s="1244">
        <f xml:space="preserve"> 19%</f>
        <v>0.19</v>
      </c>
      <c r="AK98" s="1244">
        <f xml:space="preserve"> 51%</f>
        <v>0.51</v>
      </c>
      <c r="AL98" s="1244"/>
      <c r="AM98" s="1244"/>
      <c r="AY98" s="74"/>
      <c r="AZ98" s="74"/>
      <c r="BD98" s="74"/>
      <c r="BE98" s="74"/>
      <c r="BG98" s="74"/>
      <c r="BH98" s="19"/>
      <c r="BI98" s="74"/>
      <c r="BJ98" s="74"/>
    </row>
    <row r="99" spans="1:63" ht="15" customHeight="1" x14ac:dyDescent="0.2">
      <c r="A99" s="1235">
        <v>96</v>
      </c>
      <c r="B99" s="1235"/>
      <c r="C99" s="1235"/>
      <c r="D99" s="1235"/>
      <c r="E99" s="1235"/>
      <c r="F99" s="1235"/>
      <c r="G99" s="1235"/>
      <c r="H99" s="1235"/>
      <c r="I99" s="1235"/>
      <c r="J99" s="1235"/>
      <c r="K99" s="1244">
        <f xml:space="preserve">   2.4%</f>
        <v>2.4E-2</v>
      </c>
      <c r="L99" s="1244">
        <f xml:space="preserve"> 66.4%</f>
        <v>0.66400000000000003</v>
      </c>
      <c r="M99" s="1244">
        <f xml:space="preserve"> 68.8%</f>
        <v>0.68799999999999994</v>
      </c>
      <c r="N99" s="1235"/>
      <c r="O99" s="1235"/>
      <c r="P99" s="1235"/>
      <c r="Q99" s="1240">
        <v>0.31</v>
      </c>
      <c r="R99" s="646">
        <v>0.16</v>
      </c>
      <c r="S99" s="1240">
        <v>0.15</v>
      </c>
      <c r="T99" s="1240">
        <v>7.0000000000000007E-2</v>
      </c>
      <c r="U99" s="1240">
        <v>0.04</v>
      </c>
      <c r="V99" s="1244"/>
      <c r="W99" s="1244"/>
      <c r="X99" s="1240"/>
      <c r="Y99" s="1244"/>
      <c r="Z99" s="1244"/>
      <c r="AA99" s="1244"/>
      <c r="AB99" s="1244"/>
      <c r="AC99" s="1244"/>
      <c r="AD99" s="1244"/>
      <c r="AE99" s="749"/>
      <c r="AF99" s="1244"/>
      <c r="AG99" s="1244"/>
      <c r="AH99" s="1240">
        <v>0.76</v>
      </c>
      <c r="AI99" s="1244">
        <v>0.14199999999999999</v>
      </c>
      <c r="AJ99" s="1244">
        <f xml:space="preserve"> 19.2%</f>
        <v>0.192</v>
      </c>
      <c r="AK99" s="1244">
        <f xml:space="preserve"> 50.8%</f>
        <v>0.50800000000000001</v>
      </c>
      <c r="AL99" s="1244"/>
      <c r="AM99" s="1244"/>
      <c r="AY99" s="74"/>
      <c r="AZ99" s="74"/>
      <c r="BD99" s="74"/>
      <c r="BE99" s="74"/>
      <c r="BG99" s="74"/>
      <c r="BH99" s="19"/>
      <c r="BI99" s="74"/>
      <c r="BJ99" s="74"/>
    </row>
    <row r="100" spans="1:63" ht="15" customHeight="1" x14ac:dyDescent="0.2">
      <c r="A100" s="1235">
        <v>97</v>
      </c>
      <c r="B100" s="1235"/>
      <c r="C100" s="1235"/>
      <c r="D100" s="1235"/>
      <c r="E100" s="1235"/>
      <c r="F100" s="1235"/>
      <c r="G100" s="1235"/>
      <c r="H100" s="1235"/>
      <c r="I100" s="1235"/>
      <c r="J100" s="1235"/>
      <c r="K100" s="1244">
        <f xml:space="preserve">   1.8%</f>
        <v>1.8000000000000002E-2</v>
      </c>
      <c r="L100" s="1244">
        <f xml:space="preserve"> 67.3%</f>
        <v>0.67299999999999993</v>
      </c>
      <c r="M100" s="1244">
        <f xml:space="preserve"> 69.1%</f>
        <v>0.69099999999999995</v>
      </c>
      <c r="N100" s="1235"/>
      <c r="O100" s="1235"/>
      <c r="P100" s="1235"/>
      <c r="Q100" s="1240">
        <f xml:space="preserve"> 32%</f>
        <v>0.32</v>
      </c>
      <c r="R100" s="646">
        <v>0.16</v>
      </c>
      <c r="S100" s="1240">
        <v>0.15</v>
      </c>
      <c r="T100" s="1240">
        <v>7.0000000000000007E-2</v>
      </c>
      <c r="U100" s="1240">
        <v>0.04</v>
      </c>
      <c r="V100" s="1244"/>
      <c r="W100" s="1244"/>
      <c r="X100" s="1240"/>
      <c r="Y100" s="1244"/>
      <c r="Z100" s="1244"/>
      <c r="AA100" s="1244"/>
      <c r="AB100" s="1244"/>
      <c r="AC100" s="1244"/>
      <c r="AD100" s="1244"/>
      <c r="AE100" s="749"/>
      <c r="AF100" s="1244"/>
      <c r="AG100" s="1244"/>
      <c r="AH100" s="1240">
        <v>0.77</v>
      </c>
      <c r="AI100" s="1244">
        <v>0.13900000000000001</v>
      </c>
      <c r="AJ100" s="1244">
        <f xml:space="preserve"> 19.4%</f>
        <v>0.19399999999999998</v>
      </c>
      <c r="AK100" s="1244">
        <f xml:space="preserve"> 50.6%</f>
        <v>0.50600000000000001</v>
      </c>
      <c r="AL100" s="1244"/>
      <c r="AM100" s="1244"/>
      <c r="AV100" s="113"/>
      <c r="AY100" s="74"/>
      <c r="AZ100" s="74"/>
      <c r="BA100" s="113"/>
      <c r="BD100" s="74"/>
      <c r="BE100" s="74"/>
      <c r="BF100" s="113"/>
      <c r="BG100" s="74"/>
      <c r="BH100" s="19"/>
      <c r="BI100" s="74"/>
      <c r="BJ100" s="74"/>
      <c r="BK100" s="113"/>
    </row>
    <row r="101" spans="1:63" ht="15" customHeight="1" x14ac:dyDescent="0.2">
      <c r="A101" s="1235">
        <v>98</v>
      </c>
      <c r="B101" s="1235"/>
      <c r="C101" s="1235"/>
      <c r="D101" s="1235"/>
      <c r="E101" s="1235"/>
      <c r="F101" s="1235"/>
      <c r="G101" s="1235"/>
      <c r="H101" s="1235"/>
      <c r="I101" s="1235"/>
      <c r="J101" s="1235"/>
      <c r="K101" s="1244">
        <f xml:space="preserve">   1.2%</f>
        <v>1.2E-2</v>
      </c>
      <c r="L101" s="1244">
        <f xml:space="preserve"> 68.2%</f>
        <v>0.68200000000000005</v>
      </c>
      <c r="M101" s="1244">
        <f xml:space="preserve"> 69.4%</f>
        <v>0.69400000000000006</v>
      </c>
      <c r="N101" s="1235"/>
      <c r="O101" s="1235"/>
      <c r="P101" s="1235"/>
      <c r="Q101" s="1240">
        <f xml:space="preserve"> 32%</f>
        <v>0.32</v>
      </c>
      <c r="R101" s="646">
        <v>0.16</v>
      </c>
      <c r="S101" s="1240">
        <v>0.15</v>
      </c>
      <c r="T101" s="1240">
        <v>7.0000000000000007E-2</v>
      </c>
      <c r="U101" s="1240">
        <v>0.04</v>
      </c>
      <c r="V101" s="1244"/>
      <c r="W101" s="1244"/>
      <c r="X101" s="1240"/>
      <c r="Y101" s="1244"/>
      <c r="Z101" s="1244"/>
      <c r="AA101" s="1244"/>
      <c r="AB101" s="1244"/>
      <c r="AC101" s="1244"/>
      <c r="AD101" s="1244"/>
      <c r="AE101" s="749"/>
      <c r="AF101" s="1244"/>
      <c r="AG101" s="1244"/>
      <c r="AH101" s="1240">
        <v>0.78</v>
      </c>
      <c r="AI101" s="1244">
        <v>0.13600000000000001</v>
      </c>
      <c r="AJ101" s="1244">
        <f xml:space="preserve"> 19.6%</f>
        <v>0.19600000000000001</v>
      </c>
      <c r="AK101" s="1244">
        <f xml:space="preserve"> 50.4%</f>
        <v>0.504</v>
      </c>
      <c r="AL101" s="1244"/>
      <c r="AM101" s="1244"/>
      <c r="AV101" s="113"/>
      <c r="AY101" s="74"/>
      <c r="AZ101" s="74"/>
      <c r="BA101" s="113"/>
      <c r="BD101" s="74"/>
      <c r="BE101" s="74"/>
      <c r="BF101" s="113"/>
      <c r="BG101" s="74"/>
      <c r="BH101" s="19"/>
      <c r="BI101" s="74"/>
      <c r="BJ101" s="74"/>
      <c r="BK101" s="113"/>
    </row>
    <row r="102" spans="1:63" ht="15" customHeight="1" x14ac:dyDescent="0.2">
      <c r="A102" s="1235">
        <v>99</v>
      </c>
      <c r="B102" s="1235"/>
      <c r="C102" s="1235"/>
      <c r="D102" s="1235"/>
      <c r="E102" s="1235"/>
      <c r="F102" s="1235"/>
      <c r="G102" s="1235"/>
      <c r="H102" s="1235"/>
      <c r="I102" s="1235"/>
      <c r="J102" s="1235"/>
      <c r="K102" s="1244">
        <f xml:space="preserve">   0.6%</f>
        <v>6.0000000000000001E-3</v>
      </c>
      <c r="L102" s="1244">
        <f xml:space="preserve"> 69.1%</f>
        <v>0.69099999999999995</v>
      </c>
      <c r="M102" s="1244">
        <f xml:space="preserve"> 69.7%</f>
        <v>0.69700000000000006</v>
      </c>
      <c r="N102" s="1235"/>
      <c r="O102" s="1235"/>
      <c r="P102" s="1235"/>
      <c r="Q102" s="1240">
        <f xml:space="preserve"> 32%</f>
        <v>0.32</v>
      </c>
      <c r="R102" s="646">
        <v>0.16</v>
      </c>
      <c r="S102" s="1240">
        <v>0.15</v>
      </c>
      <c r="T102" s="1240">
        <v>7.0000000000000007E-2</v>
      </c>
      <c r="U102" s="1240">
        <v>0.04</v>
      </c>
      <c r="V102" s="1244"/>
      <c r="W102" s="1244"/>
      <c r="X102" s="1240"/>
      <c r="Y102" s="1244"/>
      <c r="Z102" s="1244"/>
      <c r="AA102" s="1244"/>
      <c r="AB102" s="1244"/>
      <c r="AC102" s="1244"/>
      <c r="AD102" s="1244"/>
      <c r="AE102" s="749"/>
      <c r="AF102" s="1244"/>
      <c r="AG102" s="1244"/>
      <c r="AH102" s="1240">
        <v>0.79</v>
      </c>
      <c r="AI102" s="1244">
        <v>0.13300000000000001</v>
      </c>
      <c r="AJ102" s="1244">
        <f xml:space="preserve"> 19.8%</f>
        <v>0.19800000000000001</v>
      </c>
      <c r="AK102" s="1244">
        <f xml:space="preserve"> 50.2%</f>
        <v>0.502</v>
      </c>
      <c r="AL102" s="1244"/>
      <c r="AM102" s="1244"/>
      <c r="AV102" s="113"/>
      <c r="AY102" s="74"/>
      <c r="AZ102" s="74"/>
      <c r="BA102" s="113"/>
      <c r="BD102" s="74"/>
      <c r="BE102" s="74"/>
      <c r="BF102" s="113"/>
      <c r="BG102" s="74"/>
      <c r="BH102" s="19"/>
      <c r="BI102" s="74"/>
      <c r="BJ102" s="74"/>
      <c r="BK102" s="113"/>
    </row>
    <row r="103" spans="1:63" ht="15" customHeight="1" x14ac:dyDescent="0.2">
      <c r="A103" s="1235">
        <v>100</v>
      </c>
      <c r="B103" s="1235"/>
      <c r="C103" s="1235"/>
      <c r="D103" s="1235"/>
      <c r="E103" s="1235"/>
      <c r="F103" s="1235"/>
      <c r="G103" s="1235"/>
      <c r="H103" s="1235"/>
      <c r="I103" s="1235"/>
      <c r="J103" s="1235"/>
      <c r="K103" s="1261">
        <v>0</v>
      </c>
      <c r="L103" s="1244">
        <f xml:space="preserve"> 70%</f>
        <v>0.7</v>
      </c>
      <c r="M103" s="1244">
        <f xml:space="preserve"> 70%</f>
        <v>0.7</v>
      </c>
      <c r="N103" s="1235"/>
      <c r="O103" s="1235"/>
      <c r="P103" s="1235"/>
      <c r="Q103" s="1240">
        <f xml:space="preserve"> 32%</f>
        <v>0.32</v>
      </c>
      <c r="R103" s="646">
        <v>0.16</v>
      </c>
      <c r="S103" s="1240">
        <v>0.15</v>
      </c>
      <c r="T103" s="1240">
        <v>7.0000000000000007E-2</v>
      </c>
      <c r="U103" s="1240">
        <v>0.04</v>
      </c>
      <c r="V103" s="1244"/>
      <c r="W103" s="1244"/>
      <c r="X103" s="1240"/>
      <c r="Y103" s="1244"/>
      <c r="Z103" s="1244"/>
      <c r="AA103" s="1244"/>
      <c r="AB103" s="1244"/>
      <c r="AC103" s="1244"/>
      <c r="AD103" s="1244"/>
      <c r="AE103" s="749"/>
      <c r="AF103" s="1244"/>
      <c r="AG103" s="1244"/>
      <c r="AH103" s="1240">
        <f xml:space="preserve">  79%</f>
        <v>0.79</v>
      </c>
      <c r="AI103" s="1244">
        <v>0.13</v>
      </c>
      <c r="AJ103" s="1244">
        <f xml:space="preserve"> 20%</f>
        <v>0.2</v>
      </c>
      <c r="AK103" s="1244">
        <f xml:space="preserve"> 50%</f>
        <v>0.5</v>
      </c>
      <c r="AL103" s="1244"/>
      <c r="AM103" s="1244"/>
      <c r="AY103" s="74"/>
      <c r="AZ103" s="74"/>
      <c r="BD103" s="74"/>
      <c r="BE103" s="74"/>
      <c r="BG103" s="74"/>
      <c r="BH103" s="19"/>
      <c r="BI103" s="74"/>
      <c r="BJ103" s="74"/>
    </row>
    <row r="104" spans="1:63" ht="15" customHeight="1" x14ac:dyDescent="0.2">
      <c r="A104" s="1235">
        <v>101</v>
      </c>
      <c r="B104" s="1235"/>
      <c r="C104" s="1235"/>
      <c r="D104" s="1235"/>
      <c r="E104" s="1235"/>
      <c r="F104" s="1235"/>
      <c r="G104" s="1235"/>
      <c r="H104" s="1235"/>
      <c r="I104" s="1235"/>
      <c r="J104" s="1235"/>
      <c r="K104" s="1244"/>
      <c r="L104" s="1244"/>
      <c r="M104" s="1244"/>
      <c r="N104" s="1235"/>
      <c r="O104" s="1235"/>
      <c r="P104" s="1235"/>
      <c r="Q104" s="1240"/>
      <c r="R104" s="1240"/>
      <c r="S104" s="1240"/>
      <c r="T104" s="1240"/>
      <c r="U104" s="1240"/>
      <c r="V104" s="1244"/>
      <c r="W104" s="1244"/>
      <c r="X104" s="1240"/>
      <c r="Y104" s="1244"/>
      <c r="Z104" s="1244"/>
      <c r="AA104" s="1244"/>
      <c r="AB104" s="1244"/>
      <c r="AC104" s="1244"/>
      <c r="AD104" s="1244"/>
      <c r="AE104" s="749"/>
      <c r="AF104" s="1244"/>
      <c r="AG104" s="1244"/>
      <c r="AH104" s="1240"/>
      <c r="AI104" s="1244">
        <v>0.127</v>
      </c>
      <c r="AJ104" s="1244">
        <f xml:space="preserve"> 20.2%</f>
        <v>0.20199999999999999</v>
      </c>
      <c r="AK104" s="1244">
        <f xml:space="preserve"> 50.9%</f>
        <v>0.50900000000000001</v>
      </c>
      <c r="AL104" s="1244"/>
      <c r="AM104" s="1244"/>
      <c r="AY104" s="74"/>
      <c r="AZ104" s="74"/>
      <c r="BD104" s="74"/>
      <c r="BE104" s="74"/>
      <c r="BG104" s="74"/>
      <c r="BH104" s="19"/>
      <c r="BI104" s="74"/>
      <c r="BJ104" s="74"/>
    </row>
    <row r="105" spans="1:63" ht="15" customHeight="1" x14ac:dyDescent="0.2">
      <c r="A105" s="1235">
        <v>102</v>
      </c>
      <c r="B105" s="1235"/>
      <c r="C105" s="1235"/>
      <c r="D105" s="1235"/>
      <c r="E105" s="1235"/>
      <c r="F105" s="1235"/>
      <c r="G105" s="1235"/>
      <c r="H105" s="1235"/>
      <c r="I105" s="1235"/>
      <c r="J105" s="1235"/>
      <c r="K105" s="1244"/>
      <c r="L105" s="1244"/>
      <c r="M105" s="1244"/>
      <c r="N105" s="1235"/>
      <c r="O105" s="1235"/>
      <c r="P105" s="1235"/>
      <c r="Q105" s="1240"/>
      <c r="R105" s="1240"/>
      <c r="S105" s="1240"/>
      <c r="T105" s="1240"/>
      <c r="U105" s="1240"/>
      <c r="V105" s="1244"/>
      <c r="W105" s="1244"/>
      <c r="X105" s="1240"/>
      <c r="Y105" s="1244"/>
      <c r="Z105" s="1244"/>
      <c r="AA105" s="1244"/>
      <c r="AB105" s="1244"/>
      <c r="AC105" s="1244"/>
      <c r="AD105" s="1244"/>
      <c r="AE105" s="749"/>
      <c r="AF105" s="1244"/>
      <c r="AG105" s="1244"/>
      <c r="AH105" s="1240"/>
      <c r="AI105" s="1244">
        <v>0.124</v>
      </c>
      <c r="AJ105" s="1244">
        <f xml:space="preserve"> 20.4%</f>
        <v>0.20399999999999999</v>
      </c>
      <c r="AK105" s="1244">
        <f xml:space="preserve"> 51.8%</f>
        <v>0.51800000000000002</v>
      </c>
      <c r="AL105" s="1244"/>
      <c r="AM105" s="1244"/>
      <c r="AV105" s="113"/>
      <c r="AY105" s="74"/>
      <c r="AZ105" s="74"/>
      <c r="BA105" s="113"/>
      <c r="BD105" s="74"/>
      <c r="BE105" s="74"/>
      <c r="BF105" s="113"/>
      <c r="BG105" s="74"/>
      <c r="BH105" s="19"/>
      <c r="BI105" s="74"/>
      <c r="BJ105" s="74"/>
      <c r="BK105" s="113"/>
    </row>
    <row r="106" spans="1:63" ht="15" customHeight="1" x14ac:dyDescent="0.2">
      <c r="A106" s="1235">
        <v>103</v>
      </c>
      <c r="B106" s="1235"/>
      <c r="C106" s="1235"/>
      <c r="D106" s="1235"/>
      <c r="E106" s="1235"/>
      <c r="F106" s="1235"/>
      <c r="G106" s="1235"/>
      <c r="H106" s="1235"/>
      <c r="I106" s="1235"/>
      <c r="J106" s="1235"/>
      <c r="K106" s="1244"/>
      <c r="L106" s="1244"/>
      <c r="M106" s="1244"/>
      <c r="N106" s="1235"/>
      <c r="O106" s="1235"/>
      <c r="P106" s="1235"/>
      <c r="Q106" s="1240"/>
      <c r="R106" s="1240"/>
      <c r="S106" s="1240"/>
      <c r="T106" s="1240"/>
      <c r="U106" s="1240"/>
      <c r="V106" s="1244"/>
      <c r="W106" s="1244"/>
      <c r="X106" s="1240"/>
      <c r="Y106" s="1244"/>
      <c r="Z106" s="1244"/>
      <c r="AA106" s="1244"/>
      <c r="AB106" s="1244"/>
      <c r="AC106" s="1244"/>
      <c r="AD106" s="1244"/>
      <c r="AE106" s="749"/>
      <c r="AF106" s="1244"/>
      <c r="AG106" s="1244"/>
      <c r="AH106" s="1240"/>
      <c r="AI106" s="1244">
        <v>0.121</v>
      </c>
      <c r="AJ106" s="1244">
        <f xml:space="preserve"> 20.6%</f>
        <v>0.20600000000000002</v>
      </c>
      <c r="AK106" s="1244">
        <f xml:space="preserve"> 52.7%</f>
        <v>0.52700000000000002</v>
      </c>
      <c r="AL106" s="1244"/>
      <c r="AM106" s="1244"/>
      <c r="AV106" s="113"/>
      <c r="AY106" s="74"/>
      <c r="AZ106" s="74"/>
      <c r="BA106" s="113"/>
      <c r="BD106" s="74"/>
      <c r="BE106" s="74"/>
      <c r="BF106" s="113"/>
      <c r="BG106" s="74"/>
      <c r="BH106" s="19"/>
      <c r="BI106" s="74"/>
      <c r="BJ106" s="74"/>
      <c r="BK106" s="113"/>
    </row>
    <row r="107" spans="1:63" ht="15" customHeight="1" x14ac:dyDescent="0.2">
      <c r="A107" s="1235">
        <v>104</v>
      </c>
      <c r="B107" s="1235"/>
      <c r="C107" s="1235"/>
      <c r="D107" s="1235"/>
      <c r="E107" s="1235"/>
      <c r="F107" s="1235"/>
      <c r="G107" s="1235"/>
      <c r="H107" s="1235"/>
      <c r="I107" s="1235"/>
      <c r="J107" s="1235"/>
      <c r="K107" s="1244"/>
      <c r="L107" s="1244"/>
      <c r="M107" s="1244"/>
      <c r="N107" s="1235"/>
      <c r="O107" s="1235"/>
      <c r="P107" s="1235"/>
      <c r="Q107" s="1240"/>
      <c r="R107" s="1240"/>
      <c r="S107" s="1240"/>
      <c r="T107" s="1240"/>
      <c r="U107" s="1240"/>
      <c r="V107" s="1244"/>
      <c r="W107" s="1244"/>
      <c r="X107" s="1240"/>
      <c r="Y107" s="1244"/>
      <c r="Z107" s="1244"/>
      <c r="AA107" s="1244"/>
      <c r="AB107" s="1244"/>
      <c r="AC107" s="1244"/>
      <c r="AD107" s="1244"/>
      <c r="AE107" s="749"/>
      <c r="AF107" s="1244"/>
      <c r="AG107" s="1244"/>
      <c r="AH107" s="1240"/>
      <c r="AI107" s="1244">
        <v>0.11799999999999999</v>
      </c>
      <c r="AJ107" s="1244">
        <f xml:space="preserve"> 20.8%</f>
        <v>0.20800000000000002</v>
      </c>
      <c r="AK107" s="1244">
        <f xml:space="preserve"> 53.6%</f>
        <v>0.53600000000000003</v>
      </c>
      <c r="AL107" s="1244"/>
      <c r="AM107" s="1244"/>
      <c r="AV107" s="113"/>
      <c r="AY107" s="74"/>
      <c r="AZ107" s="74"/>
      <c r="BA107" s="113"/>
      <c r="BD107" s="74"/>
      <c r="BE107" s="74"/>
      <c r="BF107" s="113"/>
      <c r="BG107" s="74"/>
      <c r="BH107" s="19"/>
      <c r="BI107" s="74"/>
      <c r="BJ107" s="74"/>
      <c r="BK107" s="113"/>
    </row>
    <row r="108" spans="1:63" ht="15" customHeight="1" x14ac:dyDescent="0.2">
      <c r="A108" s="1235">
        <v>105</v>
      </c>
      <c r="B108" s="1235"/>
      <c r="C108" s="1235"/>
      <c r="D108" s="1235"/>
      <c r="E108" s="1235"/>
      <c r="F108" s="1235"/>
      <c r="G108" s="1235"/>
      <c r="H108" s="1235"/>
      <c r="I108" s="1235"/>
      <c r="J108" s="1235"/>
      <c r="K108" s="1244"/>
      <c r="L108" s="1244"/>
      <c r="M108" s="1244"/>
      <c r="N108" s="1235"/>
      <c r="O108" s="1235"/>
      <c r="P108" s="1235"/>
      <c r="Q108" s="1240"/>
      <c r="R108" s="1240"/>
      <c r="S108" s="1240"/>
      <c r="T108" s="1240"/>
      <c r="U108" s="1240"/>
      <c r="V108" s="1244"/>
      <c r="W108" s="1244"/>
      <c r="X108" s="1240"/>
      <c r="Y108" s="1244"/>
      <c r="Z108" s="1244"/>
      <c r="AA108" s="1244"/>
      <c r="AB108" s="1244"/>
      <c r="AC108" s="1244"/>
      <c r="AD108" s="1244"/>
      <c r="AE108" s="749"/>
      <c r="AF108" s="1244"/>
      <c r="AG108" s="1244"/>
      <c r="AH108" s="1240"/>
      <c r="AI108" s="1244">
        <v>0.115</v>
      </c>
      <c r="AJ108" s="1244">
        <f xml:space="preserve"> 21%</f>
        <v>0.21</v>
      </c>
      <c r="AK108" s="1244">
        <f xml:space="preserve"> 54.5%</f>
        <v>0.54500000000000004</v>
      </c>
      <c r="AL108" s="1244"/>
      <c r="AM108" s="1244"/>
      <c r="AY108" s="74"/>
      <c r="AZ108" s="74"/>
      <c r="BD108" s="74"/>
      <c r="BE108" s="74"/>
      <c r="BG108" s="74"/>
      <c r="BH108" s="19"/>
      <c r="BI108" s="74"/>
      <c r="BJ108" s="74"/>
    </row>
    <row r="109" spans="1:63" ht="15" customHeight="1" x14ac:dyDescent="0.2">
      <c r="A109" s="1235">
        <v>106</v>
      </c>
      <c r="B109" s="1235"/>
      <c r="C109" s="1235"/>
      <c r="D109" s="1235"/>
      <c r="E109" s="1235"/>
      <c r="F109" s="1235"/>
      <c r="G109" s="1235"/>
      <c r="H109" s="1235"/>
      <c r="I109" s="1235"/>
      <c r="J109" s="1235"/>
      <c r="K109" s="1244"/>
      <c r="L109" s="1244"/>
      <c r="M109" s="1244"/>
      <c r="N109" s="1235"/>
      <c r="O109" s="1235"/>
      <c r="P109" s="1235"/>
      <c r="Q109" s="1240"/>
      <c r="R109" s="1240"/>
      <c r="S109" s="1240"/>
      <c r="T109" s="1240"/>
      <c r="U109" s="1240"/>
      <c r="V109" s="1244"/>
      <c r="W109" s="1244"/>
      <c r="X109" s="1240"/>
      <c r="Y109" s="1244"/>
      <c r="Z109" s="1244"/>
      <c r="AA109" s="1244"/>
      <c r="AB109" s="1244"/>
      <c r="AC109" s="1244"/>
      <c r="AD109" s="1244"/>
      <c r="AE109" s="749"/>
      <c r="AF109" s="1244"/>
      <c r="AG109" s="1244"/>
      <c r="AH109" s="1240"/>
      <c r="AI109" s="1244">
        <v>0.112</v>
      </c>
      <c r="AJ109" s="1244">
        <f xml:space="preserve"> 21.2%</f>
        <v>0.21199999999999999</v>
      </c>
      <c r="AK109" s="1244">
        <f xml:space="preserve"> 55.4%</f>
        <v>0.55399999999999994</v>
      </c>
      <c r="AL109" s="1244"/>
      <c r="AM109" s="1244"/>
      <c r="AY109" s="74"/>
      <c r="AZ109" s="74"/>
      <c r="BD109" s="74"/>
      <c r="BE109" s="74"/>
      <c r="BG109" s="74"/>
      <c r="BH109" s="19"/>
      <c r="BI109" s="74"/>
      <c r="BJ109" s="74"/>
    </row>
    <row r="110" spans="1:63" ht="15" customHeight="1" x14ac:dyDescent="0.2">
      <c r="A110" s="1235">
        <v>107</v>
      </c>
      <c r="B110" s="1235"/>
      <c r="C110" s="1235"/>
      <c r="D110" s="1235"/>
      <c r="E110" s="1235"/>
      <c r="F110" s="1235"/>
      <c r="G110" s="1235"/>
      <c r="H110" s="1235"/>
      <c r="I110" s="1235"/>
      <c r="J110" s="1235"/>
      <c r="K110" s="1244"/>
      <c r="L110" s="1244"/>
      <c r="M110" s="1244"/>
      <c r="N110" s="1235"/>
      <c r="O110" s="1235"/>
      <c r="P110" s="1235"/>
      <c r="Q110" s="1240"/>
      <c r="R110" s="1240"/>
      <c r="S110" s="1240"/>
      <c r="T110" s="1240"/>
      <c r="U110" s="1240"/>
      <c r="V110" s="1244"/>
      <c r="W110" s="1244"/>
      <c r="X110" s="1240"/>
      <c r="Y110" s="1244"/>
      <c r="Z110" s="1244"/>
      <c r="AA110" s="1244"/>
      <c r="AB110" s="1244"/>
      <c r="AC110" s="1244"/>
      <c r="AD110" s="1244"/>
      <c r="AE110" s="749"/>
      <c r="AF110" s="1244"/>
      <c r="AG110" s="1244"/>
      <c r="AH110" s="1240"/>
      <c r="AI110" s="1244">
        <v>0.109</v>
      </c>
      <c r="AJ110" s="1244">
        <f xml:space="preserve"> 21.4%</f>
        <v>0.214</v>
      </c>
      <c r="AK110" s="1244">
        <f xml:space="preserve"> 56.3%</f>
        <v>0.56299999999999994</v>
      </c>
      <c r="AL110" s="1244"/>
      <c r="AM110" s="1244"/>
      <c r="AV110" s="113"/>
      <c r="AY110" s="74"/>
      <c r="AZ110" s="74"/>
      <c r="BA110" s="113"/>
      <c r="BD110" s="74"/>
      <c r="BE110" s="74"/>
      <c r="BF110" s="113"/>
      <c r="BG110" s="74"/>
      <c r="BH110" s="19"/>
      <c r="BI110" s="74"/>
      <c r="BJ110" s="74"/>
      <c r="BK110" s="113"/>
    </row>
    <row r="111" spans="1:63" ht="15" customHeight="1" x14ac:dyDescent="0.2">
      <c r="A111" s="1235">
        <v>108</v>
      </c>
      <c r="B111" s="1235"/>
      <c r="C111" s="1235"/>
      <c r="D111" s="1235"/>
      <c r="E111" s="1235"/>
      <c r="F111" s="1235"/>
      <c r="G111" s="1235"/>
      <c r="H111" s="1235"/>
      <c r="I111" s="1235"/>
      <c r="J111" s="1235"/>
      <c r="K111" s="1244"/>
      <c r="L111" s="1244"/>
      <c r="M111" s="1244"/>
      <c r="N111" s="1235"/>
      <c r="O111" s="1235"/>
      <c r="P111" s="1235"/>
      <c r="Q111" s="1240"/>
      <c r="R111" s="1240"/>
      <c r="S111" s="1240"/>
      <c r="T111" s="1240"/>
      <c r="U111" s="1240"/>
      <c r="V111" s="1244"/>
      <c r="W111" s="1244"/>
      <c r="X111" s="1240"/>
      <c r="Y111" s="1244"/>
      <c r="Z111" s="1244"/>
      <c r="AA111" s="1244"/>
      <c r="AB111" s="1244"/>
      <c r="AC111" s="1244"/>
      <c r="AD111" s="1244"/>
      <c r="AE111" s="749"/>
      <c r="AF111" s="1244"/>
      <c r="AG111" s="1244"/>
      <c r="AH111" s="1240"/>
      <c r="AI111" s="1244">
        <v>0.106</v>
      </c>
      <c r="AJ111" s="1244">
        <f xml:space="preserve"> 21.6%</f>
        <v>0.21600000000000003</v>
      </c>
      <c r="AK111" s="1244">
        <f xml:space="preserve"> 57.2%</f>
        <v>0.57200000000000006</v>
      </c>
      <c r="AL111" s="1244"/>
      <c r="AM111" s="1244"/>
      <c r="AV111" s="113"/>
      <c r="AY111" s="74"/>
      <c r="AZ111" s="74"/>
      <c r="BA111" s="113"/>
      <c r="BD111" s="74"/>
      <c r="BE111" s="74"/>
      <c r="BF111" s="113"/>
      <c r="BG111" s="74"/>
      <c r="BH111" s="19"/>
      <c r="BI111" s="74"/>
      <c r="BJ111" s="74"/>
      <c r="BK111" s="113"/>
    </row>
    <row r="112" spans="1:63" ht="15" customHeight="1" x14ac:dyDescent="0.2">
      <c r="A112" s="1235">
        <v>109</v>
      </c>
      <c r="B112" s="1235"/>
      <c r="C112" s="1235"/>
      <c r="D112" s="1235"/>
      <c r="E112" s="1235"/>
      <c r="F112" s="1235"/>
      <c r="G112" s="1235"/>
      <c r="H112" s="1235"/>
      <c r="I112" s="1235"/>
      <c r="J112" s="1235"/>
      <c r="K112" s="1244"/>
      <c r="L112" s="1244"/>
      <c r="M112" s="1244"/>
      <c r="N112" s="1235"/>
      <c r="O112" s="1235"/>
      <c r="P112" s="1235"/>
      <c r="Q112" s="1240"/>
      <c r="R112" s="1240"/>
      <c r="S112" s="1240"/>
      <c r="T112" s="1240"/>
      <c r="U112" s="1240"/>
      <c r="V112" s="1244"/>
      <c r="W112" s="1244"/>
      <c r="X112" s="1240"/>
      <c r="Y112" s="1244"/>
      <c r="Z112" s="1244"/>
      <c r="AA112" s="1244"/>
      <c r="AB112" s="1244"/>
      <c r="AC112" s="1244"/>
      <c r="AD112" s="1244"/>
      <c r="AE112" s="749"/>
      <c r="AF112" s="1244"/>
      <c r="AG112" s="1244"/>
      <c r="AH112" s="1240"/>
      <c r="AI112" s="1244">
        <v>0.10299999999999999</v>
      </c>
      <c r="AJ112" s="1244">
        <f xml:space="preserve"> 21.8%</f>
        <v>0.218</v>
      </c>
      <c r="AK112" s="1244">
        <f xml:space="preserve"> 58.1%</f>
        <v>0.58099999999999996</v>
      </c>
      <c r="AL112" s="1244"/>
      <c r="AM112" s="1244"/>
      <c r="AV112" s="113"/>
      <c r="AY112" s="74"/>
      <c r="AZ112" s="74"/>
      <c r="BA112" s="113"/>
      <c r="BD112" s="74"/>
      <c r="BE112" s="74"/>
      <c r="BF112" s="113"/>
      <c r="BG112" s="74"/>
      <c r="BH112" s="19"/>
      <c r="BI112" s="74"/>
      <c r="BJ112" s="74"/>
      <c r="BK112" s="113"/>
    </row>
    <row r="113" spans="1:63" ht="15" customHeight="1" x14ac:dyDescent="0.2">
      <c r="A113" s="1235">
        <v>110</v>
      </c>
      <c r="B113" s="1235"/>
      <c r="C113" s="1235"/>
      <c r="D113" s="1235"/>
      <c r="E113" s="1235"/>
      <c r="F113" s="1235"/>
      <c r="G113" s="1235"/>
      <c r="H113" s="1235"/>
      <c r="I113" s="1235"/>
      <c r="J113" s="1235"/>
      <c r="K113" s="1244"/>
      <c r="L113" s="1244"/>
      <c r="M113" s="1244"/>
      <c r="N113" s="1235"/>
      <c r="O113" s="1235"/>
      <c r="P113" s="1235"/>
      <c r="Q113" s="1240"/>
      <c r="R113" s="1240"/>
      <c r="S113" s="1240"/>
      <c r="T113" s="1240"/>
      <c r="U113" s="1240"/>
      <c r="V113" s="1244"/>
      <c r="W113" s="1244"/>
      <c r="X113" s="1240"/>
      <c r="Y113" s="1244"/>
      <c r="Z113" s="1244"/>
      <c r="AA113" s="1244"/>
      <c r="AB113" s="1244"/>
      <c r="AC113" s="1244"/>
      <c r="AD113" s="1244"/>
      <c r="AE113" s="749"/>
      <c r="AF113" s="1244"/>
      <c r="AG113" s="1244"/>
      <c r="AH113" s="1240"/>
      <c r="AI113" s="1244">
        <v>0.1</v>
      </c>
      <c r="AJ113" s="1244">
        <f xml:space="preserve"> 22%</f>
        <v>0.22</v>
      </c>
      <c r="AK113" s="1244">
        <f xml:space="preserve"> 59%</f>
        <v>0.59</v>
      </c>
      <c r="AL113" s="1244"/>
      <c r="AM113" s="1244"/>
      <c r="AY113" s="74"/>
      <c r="AZ113" s="74"/>
      <c r="BD113" s="74"/>
      <c r="BE113" s="74"/>
      <c r="BG113" s="74"/>
      <c r="BH113" s="19"/>
      <c r="BI113" s="74"/>
      <c r="BJ113" s="74"/>
    </row>
    <row r="114" spans="1:63" ht="15" customHeight="1" x14ac:dyDescent="0.2">
      <c r="A114" s="1235">
        <v>111</v>
      </c>
      <c r="B114" s="1235"/>
      <c r="C114" s="1235"/>
      <c r="D114" s="1235"/>
      <c r="E114" s="1235"/>
      <c r="F114" s="1235"/>
      <c r="G114" s="1235"/>
      <c r="H114" s="1235"/>
      <c r="I114" s="1235"/>
      <c r="J114" s="1235"/>
      <c r="K114" s="1244"/>
      <c r="L114" s="1244"/>
      <c r="M114" s="1244"/>
      <c r="N114" s="1235"/>
      <c r="O114" s="1235"/>
      <c r="P114" s="1235"/>
      <c r="Q114" s="1240"/>
      <c r="R114" s="1240"/>
      <c r="S114" s="1240"/>
      <c r="T114" s="1240"/>
      <c r="U114" s="1240"/>
      <c r="V114" s="1244"/>
      <c r="W114" s="1244"/>
      <c r="X114" s="1240"/>
      <c r="Y114" s="1244"/>
      <c r="Z114" s="1244"/>
      <c r="AA114" s="1244"/>
      <c r="AB114" s="1244"/>
      <c r="AC114" s="1244"/>
      <c r="AD114" s="1244"/>
      <c r="AE114" s="749"/>
      <c r="AF114" s="1244"/>
      <c r="AG114" s="1244"/>
      <c r="AH114" s="1240"/>
      <c r="AI114" s="1244">
        <v>9.8000000000000004E-2</v>
      </c>
      <c r="AJ114" s="1244">
        <f xml:space="preserve"> 22.2%</f>
        <v>0.222</v>
      </c>
      <c r="AK114" s="1244">
        <f xml:space="preserve"> 59.9%</f>
        <v>0.59899999999999998</v>
      </c>
      <c r="AL114" s="1244"/>
      <c r="AM114" s="1244"/>
      <c r="AY114" s="74"/>
      <c r="AZ114" s="74"/>
      <c r="BD114" s="74"/>
      <c r="BE114" s="74"/>
      <c r="BG114" s="74"/>
      <c r="BH114" s="19"/>
      <c r="BI114" s="74"/>
      <c r="BJ114" s="74"/>
    </row>
    <row r="115" spans="1:63" ht="15" customHeight="1" x14ac:dyDescent="0.2">
      <c r="A115" s="1235">
        <v>112</v>
      </c>
      <c r="B115" s="1235"/>
      <c r="C115" s="1235"/>
      <c r="D115" s="1235"/>
      <c r="E115" s="1235"/>
      <c r="F115" s="1235"/>
      <c r="G115" s="1235"/>
      <c r="H115" s="1235"/>
      <c r="I115" s="1235"/>
      <c r="J115" s="1235"/>
      <c r="K115" s="1244"/>
      <c r="L115" s="1244"/>
      <c r="M115" s="1244"/>
      <c r="N115" s="1235"/>
      <c r="O115" s="1235"/>
      <c r="P115" s="1235"/>
      <c r="Q115" s="1240"/>
      <c r="R115" s="1240"/>
      <c r="S115" s="1240"/>
      <c r="T115" s="1240"/>
      <c r="U115" s="1240"/>
      <c r="V115" s="1244"/>
      <c r="W115" s="1244"/>
      <c r="X115" s="1240"/>
      <c r="Y115" s="1244"/>
      <c r="Z115" s="1244"/>
      <c r="AA115" s="1244"/>
      <c r="AB115" s="1244"/>
      <c r="AC115" s="1244"/>
      <c r="AD115" s="1244"/>
      <c r="AE115" s="749"/>
      <c r="AF115" s="1244"/>
      <c r="AG115" s="1244"/>
      <c r="AH115" s="1240"/>
      <c r="AI115" s="1244">
        <v>9.6000000000000002E-2</v>
      </c>
      <c r="AJ115" s="1244">
        <f xml:space="preserve"> 22.4%</f>
        <v>0.22399999999999998</v>
      </c>
      <c r="AK115" s="1244">
        <f xml:space="preserve"> 60.8%</f>
        <v>0.60799999999999998</v>
      </c>
      <c r="AL115" s="1244"/>
      <c r="AM115" s="1244"/>
      <c r="AV115" s="113"/>
      <c r="AY115" s="74"/>
      <c r="AZ115" s="74"/>
      <c r="BA115" s="113"/>
      <c r="BD115" s="74"/>
      <c r="BE115" s="74"/>
      <c r="BF115" s="113"/>
      <c r="BG115" s="74"/>
      <c r="BH115" s="19"/>
      <c r="BI115" s="74"/>
      <c r="BJ115" s="74"/>
      <c r="BK115" s="113"/>
    </row>
    <row r="116" spans="1:63" ht="15" customHeight="1" x14ac:dyDescent="0.2">
      <c r="A116" s="1235">
        <v>113</v>
      </c>
      <c r="B116" s="1235"/>
      <c r="C116" s="1235"/>
      <c r="D116" s="1235"/>
      <c r="E116" s="1235"/>
      <c r="F116" s="1235"/>
      <c r="G116" s="1235"/>
      <c r="H116" s="1235"/>
      <c r="I116" s="1235"/>
      <c r="J116" s="1235"/>
      <c r="K116" s="1244"/>
      <c r="L116" s="1244"/>
      <c r="M116" s="1244"/>
      <c r="N116" s="1235"/>
      <c r="O116" s="1235"/>
      <c r="P116" s="1235"/>
      <c r="Q116" s="1240"/>
      <c r="R116" s="1240"/>
      <c r="S116" s="1240"/>
      <c r="T116" s="1240"/>
      <c r="U116" s="1240"/>
      <c r="V116" s="1244"/>
      <c r="W116" s="1244"/>
      <c r="X116" s="1240"/>
      <c r="Y116" s="1244"/>
      <c r="Z116" s="1244"/>
      <c r="AA116" s="1244"/>
      <c r="AB116" s="1244"/>
      <c r="AC116" s="1244"/>
      <c r="AD116" s="1244"/>
      <c r="AE116" s="749"/>
      <c r="AF116" s="1244"/>
      <c r="AG116" s="1244"/>
      <c r="AH116" s="1240"/>
      <c r="AI116" s="1244">
        <v>9.4E-2</v>
      </c>
      <c r="AJ116" s="1244">
        <f xml:space="preserve"> 22.6%</f>
        <v>0.22600000000000001</v>
      </c>
      <c r="AK116" s="1244">
        <f xml:space="preserve"> 61.7%</f>
        <v>0.61699999999999999</v>
      </c>
      <c r="AL116" s="1244"/>
      <c r="AM116" s="1244"/>
      <c r="AV116" s="113"/>
      <c r="AY116" s="74"/>
      <c r="AZ116" s="74"/>
      <c r="BA116" s="113"/>
      <c r="BD116" s="74"/>
      <c r="BE116" s="74"/>
      <c r="BF116" s="113"/>
      <c r="BG116" s="74"/>
      <c r="BH116" s="19"/>
      <c r="BI116" s="74"/>
      <c r="BJ116" s="74"/>
      <c r="BK116" s="113"/>
    </row>
    <row r="117" spans="1:63" ht="15" customHeight="1" x14ac:dyDescent="0.2">
      <c r="A117" s="1235">
        <v>114</v>
      </c>
      <c r="B117" s="1235"/>
      <c r="C117" s="1235"/>
      <c r="D117" s="1235"/>
      <c r="E117" s="1235"/>
      <c r="F117" s="1235"/>
      <c r="G117" s="1235"/>
      <c r="H117" s="1235"/>
      <c r="I117" s="1235"/>
      <c r="J117" s="1235"/>
      <c r="K117" s="1244"/>
      <c r="L117" s="1244"/>
      <c r="M117" s="1244"/>
      <c r="N117" s="1235"/>
      <c r="O117" s="1235"/>
      <c r="P117" s="1235"/>
      <c r="Q117" s="1240"/>
      <c r="R117" s="1240"/>
      <c r="S117" s="1240"/>
      <c r="T117" s="1240"/>
      <c r="U117" s="1240"/>
      <c r="V117" s="1244"/>
      <c r="W117" s="1244"/>
      <c r="X117" s="1240"/>
      <c r="Y117" s="1244"/>
      <c r="Z117" s="1244"/>
      <c r="AA117" s="1244"/>
      <c r="AB117" s="1244"/>
      <c r="AC117" s="1244"/>
      <c r="AD117" s="1244"/>
      <c r="AE117" s="749"/>
      <c r="AF117" s="1244"/>
      <c r="AG117" s="1244"/>
      <c r="AH117" s="1240"/>
      <c r="AI117" s="1244">
        <v>9.1999999999999998E-2</v>
      </c>
      <c r="AJ117" s="1244">
        <f xml:space="preserve"> 22.8%</f>
        <v>0.22800000000000001</v>
      </c>
      <c r="AK117" s="1244">
        <f xml:space="preserve"> 62.6%</f>
        <v>0.626</v>
      </c>
      <c r="AL117" s="1244"/>
      <c r="AM117" s="1244"/>
      <c r="AV117" s="113"/>
      <c r="AY117" s="74"/>
      <c r="AZ117" s="74"/>
      <c r="BA117" s="113"/>
      <c r="BD117" s="74"/>
      <c r="BE117" s="74"/>
      <c r="BF117" s="113"/>
      <c r="BG117" s="74"/>
      <c r="BH117" s="19"/>
      <c r="BI117" s="74"/>
      <c r="BJ117" s="74"/>
      <c r="BK117" s="113"/>
    </row>
    <row r="118" spans="1:63" ht="15" customHeight="1" x14ac:dyDescent="0.2">
      <c r="A118" s="1235">
        <v>115</v>
      </c>
      <c r="B118" s="1235"/>
      <c r="C118" s="1235"/>
      <c r="D118" s="1235"/>
      <c r="E118" s="1235"/>
      <c r="F118" s="1235"/>
      <c r="G118" s="1235"/>
      <c r="H118" s="1235"/>
      <c r="I118" s="1235"/>
      <c r="J118" s="1235"/>
      <c r="K118" s="1244"/>
      <c r="L118" s="1244"/>
      <c r="M118" s="1244"/>
      <c r="N118" s="1235"/>
      <c r="O118" s="1235"/>
      <c r="P118" s="1235"/>
      <c r="Q118" s="1240"/>
      <c r="R118" s="1240"/>
      <c r="S118" s="1240"/>
      <c r="T118" s="1240"/>
      <c r="U118" s="1240"/>
      <c r="V118" s="1244"/>
      <c r="W118" s="1244"/>
      <c r="X118" s="1240"/>
      <c r="Y118" s="1244"/>
      <c r="Z118" s="1244"/>
      <c r="AA118" s="1244"/>
      <c r="AB118" s="1244"/>
      <c r="AC118" s="1244"/>
      <c r="AD118" s="1244"/>
      <c r="AE118" s="749"/>
      <c r="AF118" s="1244"/>
      <c r="AG118" s="1244"/>
      <c r="AH118" s="1240"/>
      <c r="AI118" s="1244">
        <v>0.09</v>
      </c>
      <c r="AJ118" s="1244">
        <f xml:space="preserve"> 23%</f>
        <v>0.23</v>
      </c>
      <c r="AK118" s="1244">
        <f xml:space="preserve"> 63.5%</f>
        <v>0.63500000000000001</v>
      </c>
      <c r="AL118" s="1244"/>
      <c r="AM118" s="1244"/>
      <c r="AY118" s="74"/>
      <c r="AZ118" s="74"/>
      <c r="BD118" s="74"/>
      <c r="BE118" s="74"/>
      <c r="BG118" s="74"/>
      <c r="BH118" s="19"/>
      <c r="BI118" s="74"/>
      <c r="BJ118" s="74"/>
    </row>
    <row r="119" spans="1:63" ht="15" customHeight="1" x14ac:dyDescent="0.2">
      <c r="A119" s="1235">
        <v>116</v>
      </c>
      <c r="B119" s="1235"/>
      <c r="C119" s="1235"/>
      <c r="D119" s="1235"/>
      <c r="E119" s="1235"/>
      <c r="F119" s="1235"/>
      <c r="G119" s="1235"/>
      <c r="H119" s="1235"/>
      <c r="I119" s="1235"/>
      <c r="J119" s="1235"/>
      <c r="K119" s="1244"/>
      <c r="L119" s="1244"/>
      <c r="M119" s="1244"/>
      <c r="N119" s="1235"/>
      <c r="O119" s="1235"/>
      <c r="P119" s="1235"/>
      <c r="Q119" s="1240"/>
      <c r="R119" s="1240"/>
      <c r="S119" s="1240"/>
      <c r="T119" s="1240"/>
      <c r="U119" s="1240"/>
      <c r="V119" s="1244"/>
      <c r="W119" s="1244"/>
      <c r="X119" s="1240"/>
      <c r="Y119" s="1244"/>
      <c r="Z119" s="1244"/>
      <c r="AA119" s="1244"/>
      <c r="AB119" s="1244"/>
      <c r="AC119" s="1244"/>
      <c r="AD119" s="1244"/>
      <c r="AE119" s="749"/>
      <c r="AF119" s="1244"/>
      <c r="AG119" s="1244"/>
      <c r="AH119" s="1240"/>
      <c r="AI119" s="1244">
        <v>8.7999999999999995E-2</v>
      </c>
      <c r="AJ119" s="1244">
        <f xml:space="preserve"> 23.2%</f>
        <v>0.23199999999999998</v>
      </c>
      <c r="AK119" s="1244">
        <f xml:space="preserve"> 64.4%</f>
        <v>0.64400000000000002</v>
      </c>
      <c r="AL119" s="1244"/>
      <c r="AM119" s="1244"/>
      <c r="AY119" s="74"/>
      <c r="AZ119" s="74"/>
      <c r="BD119" s="74"/>
      <c r="BE119" s="74"/>
      <c r="BG119" s="74"/>
      <c r="BH119" s="19"/>
      <c r="BI119" s="74"/>
      <c r="BJ119" s="74"/>
    </row>
    <row r="120" spans="1:63" ht="15" customHeight="1" x14ac:dyDescent="0.2">
      <c r="A120" s="1235">
        <v>117</v>
      </c>
      <c r="B120" s="1235"/>
      <c r="C120" s="1235"/>
      <c r="D120" s="1235"/>
      <c r="E120" s="1235"/>
      <c r="F120" s="1235"/>
      <c r="G120" s="1235"/>
      <c r="H120" s="1235"/>
      <c r="I120" s="1235"/>
      <c r="J120" s="1235"/>
      <c r="K120" s="1244"/>
      <c r="L120" s="1244"/>
      <c r="M120" s="1244"/>
      <c r="N120" s="1235"/>
      <c r="O120" s="1235"/>
      <c r="P120" s="1235"/>
      <c r="Q120" s="1240"/>
      <c r="R120" s="1240"/>
      <c r="S120" s="1240"/>
      <c r="T120" s="1240"/>
      <c r="U120" s="1240"/>
      <c r="V120" s="1244"/>
      <c r="W120" s="1244"/>
      <c r="X120" s="1240"/>
      <c r="Y120" s="1244"/>
      <c r="Z120" s="1244"/>
      <c r="AA120" s="1244"/>
      <c r="AB120" s="1244"/>
      <c r="AC120" s="1244"/>
      <c r="AD120" s="1244"/>
      <c r="AE120" s="749"/>
      <c r="AF120" s="1244"/>
      <c r="AG120" s="1244"/>
      <c r="AH120" s="1240"/>
      <c r="AI120" s="1244">
        <v>8.5999999999999993E-2</v>
      </c>
      <c r="AJ120" s="1244">
        <f xml:space="preserve"> 23.4%</f>
        <v>0.23399999999999999</v>
      </c>
      <c r="AK120" s="1244">
        <f xml:space="preserve"> 65.3%</f>
        <v>0.65300000000000002</v>
      </c>
      <c r="AL120" s="1244"/>
      <c r="AM120" s="1244"/>
      <c r="AV120" s="113"/>
      <c r="AY120" s="74"/>
      <c r="AZ120" s="74"/>
      <c r="BA120" s="113"/>
      <c r="BD120" s="74"/>
      <c r="BE120" s="74"/>
      <c r="BF120" s="113"/>
      <c r="BG120" s="74"/>
      <c r="BH120" s="19"/>
      <c r="BI120" s="74"/>
      <c r="BJ120" s="74"/>
      <c r="BK120" s="113"/>
    </row>
    <row r="121" spans="1:63" ht="15" customHeight="1" x14ac:dyDescent="0.2">
      <c r="A121" s="1235">
        <v>118</v>
      </c>
      <c r="B121" s="1235"/>
      <c r="C121" s="1235"/>
      <c r="D121" s="1235"/>
      <c r="E121" s="1235"/>
      <c r="F121" s="1235"/>
      <c r="G121" s="1235"/>
      <c r="H121" s="1235"/>
      <c r="I121" s="1235"/>
      <c r="J121" s="1235"/>
      <c r="K121" s="1244"/>
      <c r="L121" s="1244"/>
      <c r="M121" s="1244"/>
      <c r="N121" s="1235"/>
      <c r="O121" s="1235"/>
      <c r="P121" s="1235"/>
      <c r="Q121" s="1240"/>
      <c r="R121" s="1240"/>
      <c r="S121" s="1240"/>
      <c r="T121" s="1240"/>
      <c r="U121" s="1240"/>
      <c r="V121" s="1244"/>
      <c r="W121" s="1244"/>
      <c r="X121" s="1240"/>
      <c r="Y121" s="1244"/>
      <c r="Z121" s="1244"/>
      <c r="AA121" s="1244"/>
      <c r="AB121" s="1244"/>
      <c r="AC121" s="1244"/>
      <c r="AD121" s="1244"/>
      <c r="AE121" s="749"/>
      <c r="AF121" s="1244"/>
      <c r="AG121" s="1244"/>
      <c r="AH121" s="1240"/>
      <c r="AI121" s="1244">
        <v>8.4000000000000005E-2</v>
      </c>
      <c r="AJ121" s="1244">
        <f xml:space="preserve"> 23.6%</f>
        <v>0.23600000000000002</v>
      </c>
      <c r="AK121" s="1244">
        <f xml:space="preserve"> 66.2%</f>
        <v>0.66200000000000003</v>
      </c>
      <c r="AL121" s="1244"/>
      <c r="AM121" s="1244"/>
      <c r="AV121" s="113"/>
      <c r="AY121" s="74"/>
      <c r="AZ121" s="74"/>
      <c r="BA121" s="113"/>
      <c r="BD121" s="74"/>
      <c r="BE121" s="74"/>
      <c r="BF121" s="113"/>
      <c r="BG121" s="74"/>
      <c r="BH121" s="19"/>
      <c r="BI121" s="74"/>
      <c r="BJ121" s="74"/>
      <c r="BK121" s="113"/>
    </row>
    <row r="122" spans="1:63" ht="15" customHeight="1" x14ac:dyDescent="0.2">
      <c r="A122" s="1235">
        <v>119</v>
      </c>
      <c r="B122" s="1235"/>
      <c r="C122" s="1235"/>
      <c r="D122" s="1235"/>
      <c r="E122" s="1235"/>
      <c r="F122" s="1235"/>
      <c r="G122" s="1235"/>
      <c r="H122" s="1235"/>
      <c r="I122" s="1235"/>
      <c r="J122" s="1235"/>
      <c r="K122" s="1244"/>
      <c r="L122" s="1244"/>
      <c r="M122" s="1244"/>
      <c r="N122" s="1235"/>
      <c r="O122" s="1235"/>
      <c r="P122" s="1235"/>
      <c r="Q122" s="1240"/>
      <c r="R122" s="1240"/>
      <c r="S122" s="1240"/>
      <c r="T122" s="1240"/>
      <c r="U122" s="1240"/>
      <c r="V122" s="1244"/>
      <c r="W122" s="1244"/>
      <c r="X122" s="1240"/>
      <c r="Y122" s="1244"/>
      <c r="Z122" s="1244"/>
      <c r="AA122" s="1244"/>
      <c r="AB122" s="1244"/>
      <c r="AC122" s="1244"/>
      <c r="AD122" s="1244"/>
      <c r="AE122" s="749"/>
      <c r="AF122" s="1244"/>
      <c r="AG122" s="1244"/>
      <c r="AH122" s="1240"/>
      <c r="AI122" s="1244">
        <v>8.2000000000000003E-2</v>
      </c>
      <c r="AJ122" s="1244">
        <f xml:space="preserve"> 23.8%</f>
        <v>0.23800000000000002</v>
      </c>
      <c r="AK122" s="1244">
        <f xml:space="preserve"> 67.1%</f>
        <v>0.67099999999999993</v>
      </c>
      <c r="AL122" s="1244"/>
      <c r="AM122" s="1244"/>
      <c r="AV122" s="113"/>
      <c r="AY122" s="74"/>
      <c r="AZ122" s="74"/>
      <c r="BA122" s="113"/>
      <c r="BD122" s="74"/>
      <c r="BE122" s="74"/>
      <c r="BF122" s="113"/>
      <c r="BG122" s="74"/>
      <c r="BH122" s="19"/>
      <c r="BI122" s="74"/>
      <c r="BJ122" s="74"/>
      <c r="BK122" s="113"/>
    </row>
    <row r="123" spans="1:63" ht="15" customHeight="1" x14ac:dyDescent="0.2">
      <c r="A123" s="1235">
        <v>120</v>
      </c>
      <c r="B123" s="1235"/>
      <c r="C123" s="1235"/>
      <c r="D123" s="1235"/>
      <c r="E123" s="1235"/>
      <c r="F123" s="1235"/>
      <c r="G123" s="1235"/>
      <c r="H123" s="1235"/>
      <c r="I123" s="1235"/>
      <c r="J123" s="1235"/>
      <c r="K123" s="1244"/>
      <c r="L123" s="1244"/>
      <c r="M123" s="1244"/>
      <c r="N123" s="1235"/>
      <c r="O123" s="1235"/>
      <c r="P123" s="1235"/>
      <c r="Q123" s="1240"/>
      <c r="R123" s="1240"/>
      <c r="S123" s="1240"/>
      <c r="T123" s="1240"/>
      <c r="U123" s="1240"/>
      <c r="V123" s="1244"/>
      <c r="W123" s="1244"/>
      <c r="X123" s="1240"/>
      <c r="Y123" s="1244"/>
      <c r="Z123" s="1244"/>
      <c r="AA123" s="1244"/>
      <c r="AB123" s="1244"/>
      <c r="AC123" s="1244"/>
      <c r="AD123" s="1244"/>
      <c r="AE123" s="749"/>
      <c r="AF123" s="1244"/>
      <c r="AG123" s="1244"/>
      <c r="AH123" s="1240"/>
      <c r="AI123" s="1244">
        <v>0.08</v>
      </c>
      <c r="AJ123" s="1244">
        <f xml:space="preserve"> 24%</f>
        <v>0.24</v>
      </c>
      <c r="AK123" s="1244">
        <f xml:space="preserve"> 68%</f>
        <v>0.68</v>
      </c>
      <c r="AL123" s="1244"/>
      <c r="AM123" s="1244"/>
      <c r="AY123" s="74"/>
      <c r="AZ123" s="74"/>
      <c r="BD123" s="74"/>
      <c r="BE123" s="74"/>
      <c r="BG123" s="74"/>
      <c r="BH123" s="19"/>
      <c r="BI123" s="74"/>
      <c r="BJ123" s="74"/>
    </row>
    <row r="124" spans="1:63" ht="15" customHeight="1" x14ac:dyDescent="0.2">
      <c r="A124" s="1235">
        <v>121</v>
      </c>
      <c r="B124" s="1235"/>
      <c r="C124" s="1235"/>
      <c r="D124" s="1235"/>
      <c r="E124" s="1235"/>
      <c r="F124" s="1235"/>
      <c r="G124" s="1235"/>
      <c r="H124" s="1235"/>
      <c r="I124" s="1235"/>
      <c r="J124" s="1235"/>
      <c r="K124" s="1244"/>
      <c r="L124" s="1244"/>
      <c r="M124" s="1244"/>
      <c r="N124" s="1235"/>
      <c r="O124" s="1235"/>
      <c r="P124" s="1235"/>
      <c r="Q124" s="1240"/>
      <c r="R124" s="1240"/>
      <c r="S124" s="1240"/>
      <c r="T124" s="1240"/>
      <c r="U124" s="1240"/>
      <c r="V124" s="1244"/>
      <c r="W124" s="1244"/>
      <c r="X124" s="1240"/>
      <c r="Y124" s="1244"/>
      <c r="Z124" s="1244"/>
      <c r="AA124" s="1244"/>
      <c r="AB124" s="1244"/>
      <c r="AC124" s="1244"/>
      <c r="AD124" s="1244"/>
      <c r="AE124" s="749"/>
      <c r="AF124" s="1244"/>
      <c r="AG124" s="1244"/>
      <c r="AH124" s="1240"/>
      <c r="AI124" s="1244">
        <v>7.6999999999999999E-2</v>
      </c>
      <c r="AJ124" s="1244">
        <f xml:space="preserve"> 24.2%</f>
        <v>0.24199999999999999</v>
      </c>
      <c r="AK124" s="1244">
        <f xml:space="preserve"> 68.9%</f>
        <v>0.68900000000000006</v>
      </c>
      <c r="AL124" s="1244"/>
      <c r="AM124" s="1244"/>
      <c r="AY124" s="74"/>
      <c r="AZ124" s="74"/>
      <c r="BD124" s="74"/>
      <c r="BE124" s="74"/>
      <c r="BG124" s="74"/>
      <c r="BH124" s="19"/>
      <c r="BI124" s="74"/>
      <c r="BJ124" s="74"/>
    </row>
    <row r="125" spans="1:63" ht="15" customHeight="1" x14ac:dyDescent="0.2">
      <c r="A125" s="1235">
        <v>122</v>
      </c>
      <c r="B125" s="1235"/>
      <c r="C125" s="1235"/>
      <c r="D125" s="1235"/>
      <c r="E125" s="1235"/>
      <c r="F125" s="1235"/>
      <c r="G125" s="1235"/>
      <c r="H125" s="1235"/>
      <c r="I125" s="1235"/>
      <c r="J125" s="1235"/>
      <c r="K125" s="1244"/>
      <c r="L125" s="1244"/>
      <c r="M125" s="1244"/>
      <c r="N125" s="1235"/>
      <c r="O125" s="1235"/>
      <c r="P125" s="1235"/>
      <c r="Q125" s="1240"/>
      <c r="R125" s="1240"/>
      <c r="S125" s="1240"/>
      <c r="T125" s="1240"/>
      <c r="U125" s="1240"/>
      <c r="V125" s="1244"/>
      <c r="W125" s="1244"/>
      <c r="X125" s="1240"/>
      <c r="Y125" s="1244"/>
      <c r="Z125" s="1244"/>
      <c r="AA125" s="1244"/>
      <c r="AB125" s="1244"/>
      <c r="AC125" s="1244"/>
      <c r="AD125" s="1244"/>
      <c r="AE125" s="749"/>
      <c r="AF125" s="1244"/>
      <c r="AG125" s="1244"/>
      <c r="AH125" s="1240"/>
      <c r="AI125" s="1244">
        <v>7.3999999999999996E-2</v>
      </c>
      <c r="AJ125" s="1244">
        <f xml:space="preserve"> 24.4%</f>
        <v>0.24399999999999999</v>
      </c>
      <c r="AK125" s="1244">
        <f xml:space="preserve"> 79.8%</f>
        <v>0.79799999999999993</v>
      </c>
      <c r="AL125" s="1244"/>
      <c r="AM125" s="1244"/>
      <c r="AV125" s="113"/>
      <c r="AY125" s="74"/>
      <c r="AZ125" s="74"/>
      <c r="BA125" s="113"/>
      <c r="BD125" s="74"/>
      <c r="BE125" s="74"/>
      <c r="BF125" s="113"/>
      <c r="BG125" s="74"/>
      <c r="BH125" s="19"/>
      <c r="BI125" s="74"/>
      <c r="BJ125" s="74"/>
      <c r="BK125" s="113"/>
    </row>
    <row r="126" spans="1:63" ht="15" customHeight="1" x14ac:dyDescent="0.2">
      <c r="A126" s="1235">
        <v>123</v>
      </c>
      <c r="B126" s="1235"/>
      <c r="C126" s="1235"/>
      <c r="D126" s="1235"/>
      <c r="E126" s="1235"/>
      <c r="F126" s="1235"/>
      <c r="G126" s="1235"/>
      <c r="H126" s="1235"/>
      <c r="I126" s="1235"/>
      <c r="J126" s="1235"/>
      <c r="K126" s="1244"/>
      <c r="L126" s="1244"/>
      <c r="M126" s="1244"/>
      <c r="N126" s="1235"/>
      <c r="O126" s="1235"/>
      <c r="P126" s="1235"/>
      <c r="Q126" s="1240"/>
      <c r="R126" s="1240"/>
      <c r="S126" s="1240"/>
      <c r="T126" s="1240"/>
      <c r="U126" s="1240"/>
      <c r="V126" s="1244"/>
      <c r="W126" s="1244"/>
      <c r="X126" s="1240"/>
      <c r="Y126" s="1244"/>
      <c r="Z126" s="1244"/>
      <c r="AA126" s="1244"/>
      <c r="AB126" s="1244"/>
      <c r="AC126" s="1244"/>
      <c r="AD126" s="1244"/>
      <c r="AE126" s="749"/>
      <c r="AF126" s="1244"/>
      <c r="AG126" s="1244"/>
      <c r="AH126" s="1240"/>
      <c r="AI126" s="1244">
        <v>7.0999999999999994E-2</v>
      </c>
      <c r="AJ126" s="1244">
        <f xml:space="preserve"> 24.6%</f>
        <v>0.24600000000000002</v>
      </c>
      <c r="AK126" s="1244">
        <f xml:space="preserve"> 70.7%</f>
        <v>0.70700000000000007</v>
      </c>
      <c r="AL126" s="1244"/>
      <c r="AM126" s="1244"/>
      <c r="AV126" s="113"/>
      <c r="AY126" s="74"/>
      <c r="AZ126" s="74"/>
      <c r="BA126" s="113"/>
      <c r="BD126" s="74"/>
      <c r="BE126" s="74"/>
      <c r="BF126" s="113"/>
      <c r="BG126" s="74"/>
      <c r="BH126" s="19"/>
      <c r="BI126" s="74"/>
      <c r="BJ126" s="74"/>
      <c r="BK126" s="113"/>
    </row>
    <row r="127" spans="1:63" ht="15" customHeight="1" x14ac:dyDescent="0.2">
      <c r="A127" s="1235">
        <v>124</v>
      </c>
      <c r="B127" s="1235"/>
      <c r="C127" s="1235"/>
      <c r="D127" s="1235"/>
      <c r="E127" s="1235"/>
      <c r="F127" s="1235"/>
      <c r="G127" s="1235"/>
      <c r="H127" s="1235"/>
      <c r="I127" s="1235"/>
      <c r="J127" s="1235"/>
      <c r="K127" s="1244"/>
      <c r="L127" s="1244"/>
      <c r="M127" s="1244"/>
      <c r="N127" s="1235"/>
      <c r="O127" s="1235"/>
      <c r="P127" s="1235"/>
      <c r="Q127" s="1240"/>
      <c r="R127" s="1240"/>
      <c r="S127" s="1240"/>
      <c r="T127" s="1240"/>
      <c r="U127" s="1240"/>
      <c r="V127" s="1244"/>
      <c r="W127" s="1244"/>
      <c r="X127" s="1240"/>
      <c r="Y127" s="1244"/>
      <c r="Z127" s="1244"/>
      <c r="AA127" s="1244"/>
      <c r="AB127" s="1244"/>
      <c r="AC127" s="1244"/>
      <c r="AD127" s="1244"/>
      <c r="AE127" s="749"/>
      <c r="AF127" s="1244"/>
      <c r="AG127" s="1244"/>
      <c r="AH127" s="1240"/>
      <c r="AI127" s="1244">
        <v>6.8000000000000005E-2</v>
      </c>
      <c r="AJ127" s="1244">
        <f xml:space="preserve"> 24.8%</f>
        <v>0.248</v>
      </c>
      <c r="AK127" s="1244">
        <f xml:space="preserve"> 71.6%</f>
        <v>0.71599999999999997</v>
      </c>
      <c r="AL127" s="1244"/>
      <c r="AM127" s="1244"/>
      <c r="AV127" s="113"/>
      <c r="AY127" s="74"/>
      <c r="AZ127" s="74"/>
      <c r="BA127" s="113"/>
      <c r="BD127" s="74"/>
      <c r="BE127" s="74"/>
      <c r="BF127" s="113"/>
      <c r="BG127" s="74"/>
      <c r="BH127" s="19"/>
      <c r="BI127" s="74"/>
      <c r="BJ127" s="74"/>
      <c r="BK127" s="113"/>
    </row>
    <row r="128" spans="1:63" ht="15" customHeight="1" x14ac:dyDescent="0.2">
      <c r="A128" s="1235">
        <v>125</v>
      </c>
      <c r="B128" s="1235"/>
      <c r="C128" s="1235"/>
      <c r="D128" s="1235"/>
      <c r="E128" s="1235"/>
      <c r="F128" s="1235"/>
      <c r="G128" s="1235"/>
      <c r="H128" s="1235"/>
      <c r="I128" s="1235"/>
      <c r="J128" s="1235"/>
      <c r="K128" s="1244"/>
      <c r="L128" s="1244"/>
      <c r="M128" s="1244"/>
      <c r="N128" s="1235"/>
      <c r="O128" s="1235"/>
      <c r="P128" s="1235"/>
      <c r="Q128" s="1240"/>
      <c r="R128" s="1240"/>
      <c r="S128" s="1240"/>
      <c r="T128" s="1240"/>
      <c r="U128" s="1240"/>
      <c r="V128" s="1244"/>
      <c r="W128" s="1244"/>
      <c r="X128" s="1240"/>
      <c r="Y128" s="1244"/>
      <c r="Z128" s="1244"/>
      <c r="AA128" s="1244"/>
      <c r="AB128" s="1244"/>
      <c r="AC128" s="1244"/>
      <c r="AD128" s="1244"/>
      <c r="AE128" s="749"/>
      <c r="AF128" s="1244"/>
      <c r="AG128" s="1244"/>
      <c r="AH128" s="1240"/>
      <c r="AI128" s="1244">
        <v>6.5000000000000002E-2</v>
      </c>
      <c r="AJ128" s="1244">
        <f xml:space="preserve"> 25%</f>
        <v>0.25</v>
      </c>
      <c r="AK128" s="1244">
        <f xml:space="preserve"> 72.5%</f>
        <v>0.72499999999999998</v>
      </c>
      <c r="AL128" s="1244"/>
      <c r="AM128" s="1244"/>
      <c r="AY128" s="74"/>
      <c r="AZ128" s="74"/>
      <c r="BD128" s="74"/>
      <c r="BE128" s="74"/>
      <c r="BG128" s="74"/>
      <c r="BH128" s="19"/>
      <c r="BI128" s="74"/>
      <c r="BJ128" s="74"/>
    </row>
    <row r="129" spans="1:63" ht="15" customHeight="1" x14ac:dyDescent="0.2">
      <c r="A129" s="1235">
        <v>126</v>
      </c>
      <c r="B129" s="1235"/>
      <c r="C129" s="1235"/>
      <c r="D129" s="1235"/>
      <c r="E129" s="1235"/>
      <c r="F129" s="1235"/>
      <c r="G129" s="1235"/>
      <c r="H129" s="1235"/>
      <c r="I129" s="1235"/>
      <c r="J129" s="1235"/>
      <c r="K129" s="1244"/>
      <c r="L129" s="1244"/>
      <c r="M129" s="1244"/>
      <c r="N129" s="1235"/>
      <c r="O129" s="1235"/>
      <c r="P129" s="1235"/>
      <c r="Q129" s="1240"/>
      <c r="R129" s="1240"/>
      <c r="S129" s="1240"/>
      <c r="T129" s="1240"/>
      <c r="U129" s="1240"/>
      <c r="V129" s="1244"/>
      <c r="W129" s="1244"/>
      <c r="X129" s="1240"/>
      <c r="Y129" s="1244"/>
      <c r="Z129" s="1244"/>
      <c r="AA129" s="1244"/>
      <c r="AB129" s="1244"/>
      <c r="AC129" s="1244"/>
      <c r="AD129" s="1244"/>
      <c r="AE129" s="749"/>
      <c r="AF129" s="1244"/>
      <c r="AG129" s="1244"/>
      <c r="AH129" s="1240"/>
      <c r="AI129" s="1244">
        <v>6.2E-2</v>
      </c>
      <c r="AJ129" s="1244">
        <f xml:space="preserve"> 25.2%</f>
        <v>0.252</v>
      </c>
      <c r="AK129" s="1244">
        <f xml:space="preserve"> 73.4%</f>
        <v>0.7340000000000001</v>
      </c>
      <c r="AL129" s="1244"/>
      <c r="AM129" s="1244"/>
      <c r="AY129" s="74"/>
      <c r="AZ129" s="74"/>
      <c r="BD129" s="74"/>
      <c r="BE129" s="74"/>
      <c r="BG129" s="74"/>
      <c r="BH129" s="19"/>
      <c r="BI129" s="74"/>
      <c r="BJ129" s="74"/>
    </row>
    <row r="130" spans="1:63" ht="15" customHeight="1" x14ac:dyDescent="0.2">
      <c r="A130" s="1235">
        <v>127</v>
      </c>
      <c r="B130" s="1235"/>
      <c r="C130" s="1235"/>
      <c r="D130" s="1235"/>
      <c r="E130" s="1235"/>
      <c r="F130" s="1235"/>
      <c r="G130" s="1235"/>
      <c r="H130" s="1235"/>
      <c r="I130" s="1235"/>
      <c r="J130" s="1235"/>
      <c r="K130" s="1244"/>
      <c r="L130" s="1244"/>
      <c r="M130" s="1244"/>
      <c r="N130" s="1235"/>
      <c r="O130" s="1235"/>
      <c r="P130" s="1235"/>
      <c r="Q130" s="1240"/>
      <c r="R130" s="1240"/>
      <c r="S130" s="1240"/>
      <c r="T130" s="1240"/>
      <c r="U130" s="1240"/>
      <c r="V130" s="1244"/>
      <c r="W130" s="1244"/>
      <c r="X130" s="1240"/>
      <c r="Y130" s="1244"/>
      <c r="Z130" s="1244"/>
      <c r="AA130" s="1244"/>
      <c r="AB130" s="1244"/>
      <c r="AC130" s="1244"/>
      <c r="AD130" s="1244"/>
      <c r="AE130" s="749"/>
      <c r="AF130" s="1244"/>
      <c r="AG130" s="1244"/>
      <c r="AH130" s="1240"/>
      <c r="AI130" s="1244">
        <v>5.8999999999999997E-2</v>
      </c>
      <c r="AJ130" s="1244">
        <f xml:space="preserve"> 25.4%</f>
        <v>0.254</v>
      </c>
      <c r="AK130" s="1244">
        <f xml:space="preserve"> 74.3%</f>
        <v>0.74299999999999999</v>
      </c>
      <c r="AL130" s="1244"/>
      <c r="AM130" s="1244"/>
      <c r="AV130" s="113"/>
      <c r="AY130" s="74"/>
      <c r="AZ130" s="74"/>
      <c r="BA130" s="113"/>
      <c r="BD130" s="74"/>
      <c r="BE130" s="74"/>
      <c r="BF130" s="113"/>
      <c r="BG130" s="74"/>
      <c r="BH130" s="19"/>
      <c r="BI130" s="74"/>
      <c r="BJ130" s="74"/>
      <c r="BK130" s="113"/>
    </row>
    <row r="131" spans="1:63" ht="15" customHeight="1" x14ac:dyDescent="0.2">
      <c r="A131" s="1235">
        <v>128</v>
      </c>
      <c r="B131" s="1235"/>
      <c r="C131" s="1235"/>
      <c r="D131" s="1235"/>
      <c r="E131" s="1235"/>
      <c r="F131" s="1235"/>
      <c r="G131" s="1235"/>
      <c r="H131" s="1235"/>
      <c r="I131" s="1235"/>
      <c r="J131" s="1235"/>
      <c r="K131" s="1244"/>
      <c r="L131" s="1244"/>
      <c r="M131" s="1244"/>
      <c r="N131" s="1235"/>
      <c r="O131" s="1235"/>
      <c r="P131" s="1235"/>
      <c r="Q131" s="1240"/>
      <c r="R131" s="1240"/>
      <c r="S131" s="1240"/>
      <c r="T131" s="1240"/>
      <c r="U131" s="1240"/>
      <c r="V131" s="1244"/>
      <c r="W131" s="1244"/>
      <c r="X131" s="1240"/>
      <c r="Y131" s="1244"/>
      <c r="Z131" s="1244"/>
      <c r="AA131" s="1244"/>
      <c r="AB131" s="1244"/>
      <c r="AC131" s="1244"/>
      <c r="AD131" s="1244"/>
      <c r="AE131" s="749"/>
      <c r="AF131" s="1244"/>
      <c r="AG131" s="1244"/>
      <c r="AH131" s="1240"/>
      <c r="AI131" s="1244">
        <v>5.6000000000000001E-2</v>
      </c>
      <c r="AJ131" s="1244">
        <f xml:space="preserve"> 25.6%</f>
        <v>0.25600000000000001</v>
      </c>
      <c r="AK131" s="1244">
        <f xml:space="preserve"> 75.2%</f>
        <v>0.752</v>
      </c>
      <c r="AL131" s="1244"/>
      <c r="AM131" s="1244"/>
      <c r="AV131" s="113"/>
      <c r="AY131" s="74"/>
      <c r="AZ131" s="74"/>
      <c r="BA131" s="113"/>
      <c r="BD131" s="74"/>
      <c r="BE131" s="74"/>
      <c r="BF131" s="113"/>
      <c r="BG131" s="74"/>
      <c r="BH131" s="19"/>
      <c r="BI131" s="74"/>
      <c r="BJ131" s="74"/>
      <c r="BK131" s="113"/>
    </row>
    <row r="132" spans="1:63" ht="15" customHeight="1" x14ac:dyDescent="0.2">
      <c r="A132" s="1235">
        <v>129</v>
      </c>
      <c r="B132" s="1235"/>
      <c r="C132" s="1235"/>
      <c r="D132" s="1235"/>
      <c r="E132" s="1235"/>
      <c r="F132" s="1235"/>
      <c r="G132" s="1235"/>
      <c r="H132" s="1235"/>
      <c r="I132" s="1235"/>
      <c r="J132" s="1235"/>
      <c r="K132" s="1244"/>
      <c r="L132" s="1244"/>
      <c r="M132" s="1244"/>
      <c r="N132" s="1235"/>
      <c r="O132" s="1235"/>
      <c r="P132" s="1235"/>
      <c r="Q132" s="1240"/>
      <c r="R132" s="1240"/>
      <c r="S132" s="1240"/>
      <c r="T132" s="1240"/>
      <c r="U132" s="1240"/>
      <c r="V132" s="1244"/>
      <c r="W132" s="1244"/>
      <c r="X132" s="1240"/>
      <c r="Y132" s="1244"/>
      <c r="Z132" s="1244"/>
      <c r="AA132" s="1244"/>
      <c r="AB132" s="1244"/>
      <c r="AC132" s="1244"/>
      <c r="AD132" s="1244"/>
      <c r="AE132" s="749"/>
      <c r="AF132" s="1244"/>
      <c r="AG132" s="1244"/>
      <c r="AH132" s="1240"/>
      <c r="AI132" s="1244">
        <v>5.2999999999999999E-2</v>
      </c>
      <c r="AJ132" s="1244">
        <f xml:space="preserve"> 25.8%</f>
        <v>0.25800000000000001</v>
      </c>
      <c r="AK132" s="1244">
        <f xml:space="preserve"> 76.1%</f>
        <v>0.7609999999999999</v>
      </c>
      <c r="AL132" s="1244"/>
      <c r="AM132" s="1244"/>
      <c r="AV132" s="113"/>
      <c r="AY132" s="74"/>
      <c r="AZ132" s="74"/>
      <c r="BA132" s="113"/>
      <c r="BD132" s="74"/>
      <c r="BE132" s="74"/>
      <c r="BF132" s="113"/>
      <c r="BG132" s="74"/>
      <c r="BH132" s="19"/>
      <c r="BI132" s="74"/>
      <c r="BJ132" s="74"/>
      <c r="BK132" s="113"/>
    </row>
    <row r="133" spans="1:63" ht="15" customHeight="1" x14ac:dyDescent="0.2">
      <c r="A133" s="1235">
        <v>130</v>
      </c>
      <c r="B133" s="1235"/>
      <c r="C133" s="1235"/>
      <c r="D133" s="1235"/>
      <c r="E133" s="1235"/>
      <c r="F133" s="1235"/>
      <c r="G133" s="1235"/>
      <c r="H133" s="1235"/>
      <c r="I133" s="1235"/>
      <c r="J133" s="1235"/>
      <c r="K133" s="1244"/>
      <c r="L133" s="1244"/>
      <c r="M133" s="1244"/>
      <c r="N133" s="1235"/>
      <c r="O133" s="1235"/>
      <c r="P133" s="1235"/>
      <c r="Q133" s="1240"/>
      <c r="R133" s="1240"/>
      <c r="S133" s="1240"/>
      <c r="T133" s="1240"/>
      <c r="U133" s="1240"/>
      <c r="V133" s="1244"/>
      <c r="W133" s="1244"/>
      <c r="X133" s="1240"/>
      <c r="Y133" s="1244"/>
      <c r="Z133" s="1244"/>
      <c r="AA133" s="1244"/>
      <c r="AB133" s="1244"/>
      <c r="AC133" s="1244"/>
      <c r="AD133" s="1244"/>
      <c r="AE133" s="749"/>
      <c r="AF133" s="1244"/>
      <c r="AG133" s="1244"/>
      <c r="AH133" s="1240"/>
      <c r="AI133" s="1244">
        <v>0.05</v>
      </c>
      <c r="AJ133" s="1244">
        <f xml:space="preserve"> 26%</f>
        <v>0.26</v>
      </c>
      <c r="AK133" s="1244">
        <f xml:space="preserve"> 77%</f>
        <v>0.77</v>
      </c>
      <c r="AL133" s="1244"/>
      <c r="AM133" s="1244"/>
      <c r="AY133" s="74"/>
      <c r="AZ133" s="74"/>
      <c r="BD133" s="74"/>
      <c r="BE133" s="74"/>
      <c r="BG133" s="74"/>
      <c r="BH133" s="19"/>
      <c r="BI133" s="74"/>
      <c r="BJ133" s="74"/>
    </row>
    <row r="134" spans="1:63" ht="15" customHeight="1" x14ac:dyDescent="0.2">
      <c r="A134" s="1235">
        <v>131</v>
      </c>
      <c r="B134" s="1235"/>
      <c r="C134" s="1235"/>
      <c r="D134" s="1235"/>
      <c r="E134" s="1235"/>
      <c r="F134" s="1235"/>
      <c r="G134" s="1235"/>
      <c r="H134" s="1235"/>
      <c r="I134" s="1235"/>
      <c r="J134" s="1235"/>
      <c r="K134" s="1244"/>
      <c r="L134" s="1244"/>
      <c r="M134" s="1244"/>
      <c r="N134" s="1235"/>
      <c r="O134" s="1235"/>
      <c r="P134" s="1235"/>
      <c r="Q134" s="1240"/>
      <c r="R134" s="1240"/>
      <c r="S134" s="1240"/>
      <c r="T134" s="1240"/>
      <c r="U134" s="1240"/>
      <c r="V134" s="1244"/>
      <c r="W134" s="1244"/>
      <c r="X134" s="1240"/>
      <c r="Y134" s="1244"/>
      <c r="Z134" s="1244"/>
      <c r="AA134" s="1244"/>
      <c r="AB134" s="1244"/>
      <c r="AC134" s="1244"/>
      <c r="AD134" s="1244"/>
      <c r="AE134" s="749"/>
      <c r="AF134" s="1244"/>
      <c r="AG134" s="1244"/>
      <c r="AH134" s="1240"/>
      <c r="AI134" s="1244">
        <v>4.8000000000000001E-2</v>
      </c>
      <c r="AJ134" s="1244">
        <f xml:space="preserve"> 26.2%</f>
        <v>0.26200000000000001</v>
      </c>
      <c r="AK134" s="1244">
        <f xml:space="preserve"> 77.9%</f>
        <v>0.77900000000000003</v>
      </c>
      <c r="AL134" s="1244"/>
      <c r="AM134" s="1244"/>
      <c r="AY134" s="74"/>
      <c r="AZ134" s="74"/>
      <c r="BD134" s="74"/>
      <c r="BE134" s="74"/>
      <c r="BG134" s="74"/>
      <c r="BH134" s="19"/>
      <c r="BI134" s="74"/>
      <c r="BJ134" s="74"/>
    </row>
    <row r="135" spans="1:63" ht="15" customHeight="1" x14ac:dyDescent="0.2">
      <c r="A135" s="1235">
        <v>132</v>
      </c>
      <c r="B135" s="1235"/>
      <c r="C135" s="1235"/>
      <c r="D135" s="1235"/>
      <c r="E135" s="1235"/>
      <c r="F135" s="1235"/>
      <c r="G135" s="1235"/>
      <c r="H135" s="1235"/>
      <c r="I135" s="1235"/>
      <c r="J135" s="1235"/>
      <c r="K135" s="1244"/>
      <c r="L135" s="1244"/>
      <c r="M135" s="1244"/>
      <c r="N135" s="1235"/>
      <c r="O135" s="1235"/>
      <c r="P135" s="1235"/>
      <c r="Q135" s="1240"/>
      <c r="R135" s="1240"/>
      <c r="S135" s="1240"/>
      <c r="T135" s="1240"/>
      <c r="U135" s="1240"/>
      <c r="V135" s="1244"/>
      <c r="W135" s="1244"/>
      <c r="X135" s="1240"/>
      <c r="Y135" s="1244"/>
      <c r="Z135" s="1244"/>
      <c r="AA135" s="1244"/>
      <c r="AB135" s="1244"/>
      <c r="AC135" s="1244"/>
      <c r="AD135" s="1244"/>
      <c r="AE135" s="749"/>
      <c r="AF135" s="1244"/>
      <c r="AG135" s="1244"/>
      <c r="AH135" s="1240"/>
      <c r="AI135" s="1244">
        <v>4.5999999999999999E-2</v>
      </c>
      <c r="AJ135" s="1244">
        <f xml:space="preserve"> 26.4%</f>
        <v>0.26400000000000001</v>
      </c>
      <c r="AK135" s="1244">
        <f xml:space="preserve"> 78.8%</f>
        <v>0.78799999999999992</v>
      </c>
      <c r="AL135" s="1244"/>
      <c r="AM135" s="1244"/>
      <c r="AV135" s="113"/>
      <c r="AY135" s="74"/>
      <c r="AZ135" s="74"/>
      <c r="BA135" s="113"/>
      <c r="BD135" s="74"/>
      <c r="BE135" s="74"/>
      <c r="BF135" s="113"/>
      <c r="BG135" s="74"/>
      <c r="BH135" s="19"/>
      <c r="BI135" s="74"/>
      <c r="BJ135" s="74"/>
      <c r="BK135" s="113"/>
    </row>
    <row r="136" spans="1:63" ht="15" customHeight="1" x14ac:dyDescent="0.2">
      <c r="A136" s="1235">
        <v>133</v>
      </c>
      <c r="B136" s="1235"/>
      <c r="C136" s="1235"/>
      <c r="D136" s="1235"/>
      <c r="E136" s="1235"/>
      <c r="F136" s="1235"/>
      <c r="G136" s="1235"/>
      <c r="H136" s="1235"/>
      <c r="I136" s="1235"/>
      <c r="J136" s="1235"/>
      <c r="K136" s="1244"/>
      <c r="L136" s="1244"/>
      <c r="M136" s="1244"/>
      <c r="N136" s="1235"/>
      <c r="O136" s="1235"/>
      <c r="P136" s="1235"/>
      <c r="Q136" s="1240"/>
      <c r="R136" s="1240"/>
      <c r="S136" s="1240"/>
      <c r="T136" s="1240"/>
      <c r="U136" s="1240"/>
      <c r="V136" s="1244"/>
      <c r="W136" s="1244"/>
      <c r="X136" s="1240"/>
      <c r="Y136" s="1244"/>
      <c r="Z136" s="1244"/>
      <c r="AA136" s="1244"/>
      <c r="AB136" s="1244"/>
      <c r="AC136" s="1244"/>
      <c r="AD136" s="1244"/>
      <c r="AE136" s="749"/>
      <c r="AF136" s="1244"/>
      <c r="AG136" s="1244"/>
      <c r="AH136" s="1240"/>
      <c r="AI136" s="1244">
        <v>4.3999999999999997E-2</v>
      </c>
      <c r="AJ136" s="1244">
        <f xml:space="preserve"> 26.6%</f>
        <v>0.26600000000000001</v>
      </c>
      <c r="AK136" s="1244">
        <f xml:space="preserve"> 79.7%</f>
        <v>0.79700000000000004</v>
      </c>
      <c r="AL136" s="1244"/>
      <c r="AM136" s="1244"/>
      <c r="AV136" s="113"/>
      <c r="AY136" s="74"/>
      <c r="AZ136" s="74"/>
      <c r="BA136" s="113"/>
      <c r="BD136" s="74"/>
      <c r="BE136" s="74"/>
      <c r="BF136" s="113"/>
      <c r="BG136" s="74"/>
      <c r="BH136" s="19"/>
      <c r="BI136" s="74"/>
      <c r="BJ136" s="74"/>
      <c r="BK136" s="113"/>
    </row>
    <row r="137" spans="1:63" ht="15" customHeight="1" x14ac:dyDescent="0.2">
      <c r="A137" s="1235">
        <v>134</v>
      </c>
      <c r="B137" s="1235"/>
      <c r="C137" s="1235"/>
      <c r="D137" s="1235"/>
      <c r="E137" s="1235"/>
      <c r="F137" s="1235"/>
      <c r="G137" s="1235"/>
      <c r="H137" s="1235"/>
      <c r="I137" s="1235"/>
      <c r="J137" s="1235"/>
      <c r="K137" s="1244"/>
      <c r="L137" s="1244"/>
      <c r="M137" s="1244"/>
      <c r="N137" s="1235"/>
      <c r="O137" s="1235"/>
      <c r="P137" s="1235"/>
      <c r="Q137" s="1240"/>
      <c r="R137" s="1240"/>
      <c r="S137" s="1240"/>
      <c r="T137" s="1240"/>
      <c r="U137" s="1240"/>
      <c r="V137" s="1244"/>
      <c r="W137" s="1244"/>
      <c r="X137" s="1240"/>
      <c r="Y137" s="1244"/>
      <c r="Z137" s="1244"/>
      <c r="AA137" s="1244"/>
      <c r="AB137" s="1244"/>
      <c r="AC137" s="1244"/>
      <c r="AD137" s="1244"/>
      <c r="AE137" s="749"/>
      <c r="AF137" s="1244"/>
      <c r="AG137" s="1244"/>
      <c r="AH137" s="1240"/>
      <c r="AI137" s="1244">
        <v>4.2000000000000003E-2</v>
      </c>
      <c r="AJ137" s="1244">
        <f xml:space="preserve"> 26.8%</f>
        <v>0.26800000000000002</v>
      </c>
      <c r="AK137" s="1244">
        <f xml:space="preserve"> 80.6%</f>
        <v>0.80599999999999994</v>
      </c>
      <c r="AL137" s="1244"/>
      <c r="AM137" s="1244"/>
      <c r="AV137" s="113"/>
      <c r="AY137" s="74"/>
      <c r="AZ137" s="74"/>
      <c r="BA137" s="113"/>
      <c r="BD137" s="74"/>
      <c r="BE137" s="74"/>
      <c r="BF137" s="113"/>
      <c r="BG137" s="74"/>
      <c r="BH137" s="19"/>
      <c r="BI137" s="74"/>
      <c r="BJ137" s="74"/>
      <c r="BK137" s="113"/>
    </row>
    <row r="138" spans="1:63" ht="15" customHeight="1" x14ac:dyDescent="0.2">
      <c r="A138" s="1235">
        <v>135</v>
      </c>
      <c r="B138" s="1235"/>
      <c r="C138" s="1235"/>
      <c r="D138" s="1235"/>
      <c r="E138" s="1235"/>
      <c r="F138" s="1235"/>
      <c r="G138" s="1235"/>
      <c r="H138" s="1235"/>
      <c r="I138" s="1235"/>
      <c r="J138" s="1235"/>
      <c r="K138" s="1244"/>
      <c r="L138" s="1244"/>
      <c r="M138" s="1244"/>
      <c r="N138" s="1235"/>
      <c r="O138" s="1235"/>
      <c r="P138" s="1235"/>
      <c r="Q138" s="1240"/>
      <c r="R138" s="1240"/>
      <c r="S138" s="1240"/>
      <c r="T138" s="1240"/>
      <c r="U138" s="1240"/>
      <c r="V138" s="1244"/>
      <c r="W138" s="1244"/>
      <c r="X138" s="1240"/>
      <c r="Y138" s="1244"/>
      <c r="Z138" s="1244"/>
      <c r="AA138" s="1244"/>
      <c r="AB138" s="1244"/>
      <c r="AC138" s="1244"/>
      <c r="AD138" s="1244"/>
      <c r="AE138" s="749"/>
      <c r="AF138" s="1244"/>
      <c r="AG138" s="1244"/>
      <c r="AH138" s="1240"/>
      <c r="AI138" s="1244">
        <v>0.04</v>
      </c>
      <c r="AJ138" s="1244">
        <f xml:space="preserve"> 27%</f>
        <v>0.27</v>
      </c>
      <c r="AK138" s="1244">
        <f xml:space="preserve"> 81.5%</f>
        <v>0.81499999999999995</v>
      </c>
      <c r="AL138" s="1244"/>
      <c r="AM138" s="1244"/>
      <c r="BD138" s="74"/>
      <c r="BE138" s="74"/>
      <c r="BG138" s="74"/>
      <c r="BH138" s="19"/>
    </row>
    <row r="139" spans="1:63" ht="15" customHeight="1" x14ac:dyDescent="0.2">
      <c r="A139" s="1235">
        <v>136</v>
      </c>
      <c r="B139" s="1235"/>
      <c r="C139" s="1235"/>
      <c r="D139" s="1235"/>
      <c r="E139" s="1235"/>
      <c r="F139" s="1235"/>
      <c r="G139" s="1235"/>
      <c r="H139" s="1235"/>
      <c r="I139" s="1235"/>
      <c r="J139" s="1235"/>
      <c r="K139" s="1244"/>
      <c r="L139" s="1244"/>
      <c r="M139" s="1244"/>
      <c r="N139" s="1235"/>
      <c r="O139" s="1235"/>
      <c r="P139" s="1235"/>
      <c r="Q139" s="1240"/>
      <c r="R139" s="1240"/>
      <c r="S139" s="1240"/>
      <c r="T139" s="1240"/>
      <c r="U139" s="1240"/>
      <c r="V139" s="1244"/>
      <c r="W139" s="1244"/>
      <c r="X139" s="1240"/>
      <c r="Y139" s="1244"/>
      <c r="Z139" s="1244"/>
      <c r="AA139" s="1244"/>
      <c r="AB139" s="1244"/>
      <c r="AC139" s="1244"/>
      <c r="AD139" s="1244"/>
      <c r="AE139" s="749"/>
      <c r="AF139" s="1244"/>
      <c r="AG139" s="1244"/>
      <c r="AH139" s="1240"/>
      <c r="AI139" s="1244">
        <v>3.7999999999999999E-2</v>
      </c>
      <c r="AJ139" s="1244">
        <f xml:space="preserve"> 27.2%</f>
        <v>0.27200000000000002</v>
      </c>
      <c r="AK139" s="1244">
        <f xml:space="preserve"> 82.4%</f>
        <v>0.82400000000000007</v>
      </c>
      <c r="AL139" s="1244"/>
      <c r="AM139" s="1244"/>
      <c r="BG139" s="74"/>
      <c r="BH139" s="19"/>
    </row>
    <row r="140" spans="1:63" ht="15" customHeight="1" x14ac:dyDescent="0.2">
      <c r="A140" s="1235">
        <v>137</v>
      </c>
      <c r="B140" s="1235"/>
      <c r="C140" s="1235"/>
      <c r="D140" s="1235"/>
      <c r="E140" s="1235"/>
      <c r="F140" s="1235"/>
      <c r="G140" s="1235"/>
      <c r="H140" s="1235"/>
      <c r="I140" s="1235"/>
      <c r="J140" s="1235"/>
      <c r="K140" s="1244"/>
      <c r="L140" s="1244"/>
      <c r="M140" s="1244"/>
      <c r="N140" s="1235"/>
      <c r="O140" s="1235"/>
      <c r="P140" s="1235"/>
      <c r="Q140" s="1240"/>
      <c r="R140" s="1240"/>
      <c r="S140" s="1240"/>
      <c r="T140" s="1240"/>
      <c r="U140" s="1240"/>
      <c r="V140" s="1244"/>
      <c r="W140" s="1244"/>
      <c r="X140" s="1240"/>
      <c r="Y140" s="1244"/>
      <c r="Z140" s="1244"/>
      <c r="AA140" s="1244"/>
      <c r="AB140" s="1244"/>
      <c r="AC140" s="1244"/>
      <c r="AD140" s="1244"/>
      <c r="AE140" s="749"/>
      <c r="AF140" s="1244"/>
      <c r="AG140" s="1244"/>
      <c r="AH140" s="1240"/>
      <c r="AI140" s="1244">
        <v>3.5999999999999997E-2</v>
      </c>
      <c r="AJ140" s="1244">
        <f xml:space="preserve"> 27.4%</f>
        <v>0.27399999999999997</v>
      </c>
      <c r="AK140" s="1244">
        <f xml:space="preserve"> 83.3%</f>
        <v>0.83299999999999996</v>
      </c>
      <c r="AL140" s="1244"/>
      <c r="AM140" s="1244"/>
      <c r="BG140" s="74"/>
      <c r="BH140" s="19"/>
    </row>
    <row r="141" spans="1:63" ht="15" customHeight="1" x14ac:dyDescent="0.2">
      <c r="A141" s="1235">
        <v>138</v>
      </c>
      <c r="B141" s="1235"/>
      <c r="C141" s="1235"/>
      <c r="D141" s="1235"/>
      <c r="E141" s="1235"/>
      <c r="F141" s="1235"/>
      <c r="G141" s="1235"/>
      <c r="H141" s="1235"/>
      <c r="I141" s="1235"/>
      <c r="J141" s="1235"/>
      <c r="K141" s="1244"/>
      <c r="L141" s="1244"/>
      <c r="M141" s="1244"/>
      <c r="N141" s="1235"/>
      <c r="O141" s="1235"/>
      <c r="P141" s="1235"/>
      <c r="Q141" s="1240"/>
      <c r="R141" s="1240"/>
      <c r="S141" s="1240"/>
      <c r="T141" s="1240"/>
      <c r="U141" s="1240"/>
      <c r="V141" s="1244"/>
      <c r="W141" s="1244"/>
      <c r="X141" s="1240"/>
      <c r="Y141" s="1244"/>
      <c r="Z141" s="1244"/>
      <c r="AA141" s="1244"/>
      <c r="AB141" s="1244"/>
      <c r="AC141" s="1244"/>
      <c r="AD141" s="1244"/>
      <c r="AE141" s="749"/>
      <c r="AF141" s="1244"/>
      <c r="AG141" s="1244"/>
      <c r="AH141" s="1240"/>
      <c r="AI141" s="1244">
        <v>3.4000000000000002E-2</v>
      </c>
      <c r="AJ141" s="1244">
        <f xml:space="preserve"> 27.6%</f>
        <v>0.27600000000000002</v>
      </c>
      <c r="AK141" s="1244">
        <f xml:space="preserve"> 84.2%</f>
        <v>0.84200000000000008</v>
      </c>
      <c r="AL141" s="1244"/>
      <c r="AM141" s="1244"/>
      <c r="BG141" s="74"/>
      <c r="BH141" s="19"/>
    </row>
    <row r="142" spans="1:63" ht="15" customHeight="1" x14ac:dyDescent="0.2">
      <c r="A142" s="1235">
        <v>139</v>
      </c>
      <c r="B142" s="1235"/>
      <c r="C142" s="1235"/>
      <c r="D142" s="1235"/>
      <c r="E142" s="1235"/>
      <c r="F142" s="1235"/>
      <c r="G142" s="1235"/>
      <c r="H142" s="1235"/>
      <c r="I142" s="1235"/>
      <c r="J142" s="1235"/>
      <c r="K142" s="1244"/>
      <c r="L142" s="1244"/>
      <c r="M142" s="1244"/>
      <c r="N142" s="1235"/>
      <c r="O142" s="1235"/>
      <c r="P142" s="1235"/>
      <c r="Q142" s="1240"/>
      <c r="R142" s="1240"/>
      <c r="S142" s="1240"/>
      <c r="T142" s="1240"/>
      <c r="U142" s="1240"/>
      <c r="V142" s="1244"/>
      <c r="W142" s="1244"/>
      <c r="X142" s="1240"/>
      <c r="Y142" s="1244"/>
      <c r="Z142" s="1244"/>
      <c r="AA142" s="1244"/>
      <c r="AB142" s="1244"/>
      <c r="AC142" s="1244"/>
      <c r="AD142" s="1244"/>
      <c r="AE142" s="749"/>
      <c r="AF142" s="1244"/>
      <c r="AG142" s="1244"/>
      <c r="AH142" s="1240"/>
      <c r="AI142" s="1244">
        <v>3.2000000000000001E-2</v>
      </c>
      <c r="AJ142" s="1244">
        <f xml:space="preserve"> 27.8%</f>
        <v>0.27800000000000002</v>
      </c>
      <c r="AK142" s="1244">
        <f xml:space="preserve"> 85.1%</f>
        <v>0.85099999999999998</v>
      </c>
      <c r="AL142" s="1244"/>
      <c r="AM142" s="1244"/>
      <c r="BG142" s="74"/>
      <c r="BH142" s="19"/>
    </row>
    <row r="143" spans="1:63" ht="15" customHeight="1" x14ac:dyDescent="0.2">
      <c r="A143" s="1235">
        <v>140</v>
      </c>
      <c r="B143" s="1235"/>
      <c r="C143" s="1235"/>
      <c r="D143" s="1235"/>
      <c r="E143" s="1235"/>
      <c r="F143" s="1235"/>
      <c r="G143" s="1235"/>
      <c r="H143" s="1235"/>
      <c r="I143" s="1235"/>
      <c r="J143" s="1235"/>
      <c r="K143" s="1244"/>
      <c r="L143" s="1244"/>
      <c r="M143" s="1244"/>
      <c r="N143" s="1235"/>
      <c r="O143" s="1235"/>
      <c r="P143" s="1235"/>
      <c r="Q143" s="1240"/>
      <c r="R143" s="1240"/>
      <c r="S143" s="1240"/>
      <c r="T143" s="1240"/>
      <c r="U143" s="1240"/>
      <c r="V143" s="1244"/>
      <c r="W143" s="1244"/>
      <c r="X143" s="1240"/>
      <c r="Y143" s="1244"/>
      <c r="Z143" s="1244"/>
      <c r="AA143" s="1244"/>
      <c r="AB143" s="1244"/>
      <c r="AC143" s="1244"/>
      <c r="AD143" s="1244"/>
      <c r="AE143" s="749"/>
      <c r="AF143" s="1244"/>
      <c r="AG143" s="1244"/>
      <c r="AH143" s="1240"/>
      <c r="AI143" s="1244">
        <v>0.03</v>
      </c>
      <c r="AJ143" s="1244">
        <f xml:space="preserve"> 28%</f>
        <v>0.28000000000000003</v>
      </c>
      <c r="AK143" s="1244">
        <f xml:space="preserve"> 86%</f>
        <v>0.86</v>
      </c>
      <c r="AL143" s="1244"/>
      <c r="AM143" s="1244"/>
      <c r="BG143" s="74"/>
      <c r="BH143" s="19"/>
    </row>
    <row r="144" spans="1:63" ht="15" customHeight="1" x14ac:dyDescent="0.2">
      <c r="A144" s="1235">
        <v>141</v>
      </c>
      <c r="B144" s="1235"/>
      <c r="C144" s="1235"/>
      <c r="D144" s="1235"/>
      <c r="E144" s="1235"/>
      <c r="F144" s="1235"/>
      <c r="G144" s="1235"/>
      <c r="H144" s="1235"/>
      <c r="I144" s="1235"/>
      <c r="J144" s="1235"/>
      <c r="K144" s="1244"/>
      <c r="L144" s="1244"/>
      <c r="M144" s="1244"/>
      <c r="N144" s="1235"/>
      <c r="O144" s="1235"/>
      <c r="P144" s="1235"/>
      <c r="Q144" s="1240"/>
      <c r="R144" s="1240"/>
      <c r="S144" s="1240"/>
      <c r="T144" s="1240"/>
      <c r="U144" s="1240"/>
      <c r="V144" s="1244"/>
      <c r="W144" s="1244"/>
      <c r="X144" s="1240"/>
      <c r="Y144" s="1244"/>
      <c r="Z144" s="1244"/>
      <c r="AA144" s="1244"/>
      <c r="AB144" s="1244"/>
      <c r="AC144" s="1244"/>
      <c r="AD144" s="1244"/>
      <c r="AE144" s="749"/>
      <c r="AF144" s="1244"/>
      <c r="AG144" s="1244"/>
      <c r="AH144" s="1240"/>
      <c r="AI144" s="1244">
        <v>2.7E-2</v>
      </c>
      <c r="AJ144" s="1244">
        <f xml:space="preserve"> 28.2%</f>
        <v>0.28199999999999997</v>
      </c>
      <c r="AK144" s="1244">
        <f xml:space="preserve"> 86.9%</f>
        <v>0.86900000000000011</v>
      </c>
      <c r="AL144" s="1244"/>
      <c r="AM144" s="1244"/>
      <c r="BG144" s="74"/>
      <c r="BH144" s="19"/>
    </row>
    <row r="145" spans="1:63" ht="15" customHeight="1" x14ac:dyDescent="0.2">
      <c r="A145" s="1235">
        <v>142</v>
      </c>
      <c r="B145" s="1235"/>
      <c r="C145" s="1235"/>
      <c r="D145" s="1235"/>
      <c r="E145" s="1235"/>
      <c r="F145" s="1235"/>
      <c r="G145" s="1235"/>
      <c r="H145" s="1235"/>
      <c r="I145" s="1235"/>
      <c r="J145" s="1235"/>
      <c r="K145" s="1244"/>
      <c r="L145" s="1244"/>
      <c r="M145" s="1244"/>
      <c r="N145" s="1235"/>
      <c r="O145" s="1235"/>
      <c r="P145" s="1235"/>
      <c r="Q145" s="1240"/>
      <c r="R145" s="1240"/>
      <c r="S145" s="1240"/>
      <c r="T145" s="1240"/>
      <c r="U145" s="1240"/>
      <c r="V145" s="1244"/>
      <c r="W145" s="1244"/>
      <c r="X145" s="1240"/>
      <c r="Y145" s="1244"/>
      <c r="Z145" s="1244"/>
      <c r="AA145" s="1244"/>
      <c r="AB145" s="1244"/>
      <c r="AC145" s="1244"/>
      <c r="AD145" s="1244"/>
      <c r="AE145" s="749"/>
      <c r="AF145" s="1244"/>
      <c r="AG145" s="1244"/>
      <c r="AH145" s="1240"/>
      <c r="AI145" s="1244">
        <v>2.4E-2</v>
      </c>
      <c r="AJ145" s="1244">
        <f xml:space="preserve"> 28.4%</f>
        <v>0.28399999999999997</v>
      </c>
      <c r="AK145" s="1244">
        <f xml:space="preserve"> 87.8%</f>
        <v>0.878</v>
      </c>
      <c r="AL145" s="1244"/>
      <c r="AM145" s="1244"/>
      <c r="BG145" s="74"/>
      <c r="BH145" s="19"/>
    </row>
    <row r="146" spans="1:63" ht="15" customHeight="1" x14ac:dyDescent="0.2">
      <c r="A146" s="1235">
        <v>143</v>
      </c>
      <c r="B146" s="1235"/>
      <c r="C146" s="1235"/>
      <c r="D146" s="1235"/>
      <c r="E146" s="1235"/>
      <c r="F146" s="1235"/>
      <c r="G146" s="1235"/>
      <c r="H146" s="1235"/>
      <c r="I146" s="1235"/>
      <c r="J146" s="1235"/>
      <c r="K146" s="1244"/>
      <c r="L146" s="1244"/>
      <c r="M146" s="1244"/>
      <c r="N146" s="1235"/>
      <c r="O146" s="1235"/>
      <c r="P146" s="1235"/>
      <c r="Q146" s="1240"/>
      <c r="R146" s="1240"/>
      <c r="S146" s="1240"/>
      <c r="T146" s="1240"/>
      <c r="U146" s="1240"/>
      <c r="V146" s="1244"/>
      <c r="W146" s="1244"/>
      <c r="X146" s="1240"/>
      <c r="Y146" s="1244"/>
      <c r="Z146" s="1244"/>
      <c r="AA146" s="1244"/>
      <c r="AB146" s="1244"/>
      <c r="AC146" s="1244"/>
      <c r="AD146" s="1244"/>
      <c r="AE146" s="749"/>
      <c r="AF146" s="1244"/>
      <c r="AG146" s="1244"/>
      <c r="AH146" s="1240"/>
      <c r="AI146" s="1244">
        <v>2.1000000000000001E-2</v>
      </c>
      <c r="AJ146" s="1244">
        <f xml:space="preserve"> 28.6%</f>
        <v>0.28600000000000003</v>
      </c>
      <c r="AK146" s="1244">
        <f xml:space="preserve"> 88.7%</f>
        <v>0.88700000000000001</v>
      </c>
      <c r="AL146" s="1244"/>
      <c r="AM146" s="1244"/>
      <c r="BG146" s="74"/>
      <c r="BH146" s="19"/>
    </row>
    <row r="147" spans="1:63" ht="15" customHeight="1" x14ac:dyDescent="0.2">
      <c r="A147" s="1235">
        <v>144</v>
      </c>
      <c r="B147" s="1235"/>
      <c r="C147" s="1235"/>
      <c r="D147" s="1235"/>
      <c r="E147" s="1235"/>
      <c r="F147" s="1235"/>
      <c r="G147" s="1235"/>
      <c r="H147" s="1235"/>
      <c r="I147" s="1235"/>
      <c r="J147" s="1235"/>
      <c r="K147" s="1244"/>
      <c r="L147" s="1244"/>
      <c r="M147" s="1244"/>
      <c r="N147" s="1235"/>
      <c r="O147" s="1235"/>
      <c r="P147" s="1235"/>
      <c r="Q147" s="1240"/>
      <c r="R147" s="1240"/>
      <c r="S147" s="1240"/>
      <c r="T147" s="1240"/>
      <c r="U147" s="1240"/>
      <c r="V147" s="1244"/>
      <c r="W147" s="1244"/>
      <c r="X147" s="1240"/>
      <c r="Y147" s="1244"/>
      <c r="Z147" s="1244"/>
      <c r="AA147" s="1244"/>
      <c r="AB147" s="1244"/>
      <c r="AC147" s="1244"/>
      <c r="AD147" s="1244"/>
      <c r="AE147" s="749"/>
      <c r="AF147" s="1244"/>
      <c r="AG147" s="1244"/>
      <c r="AH147" s="1240"/>
      <c r="AI147" s="1244">
        <v>1.7999999999999999E-2</v>
      </c>
      <c r="AJ147" s="1244">
        <f xml:space="preserve"> 28.8%</f>
        <v>0.28800000000000003</v>
      </c>
      <c r="AK147" s="1244">
        <f xml:space="preserve"> 89.6%</f>
        <v>0.89599999999999991</v>
      </c>
      <c r="AL147" s="1244"/>
      <c r="AM147" s="1244"/>
      <c r="BG147" s="74"/>
      <c r="BH147" s="19"/>
    </row>
    <row r="148" spans="1:63" ht="15" customHeight="1" x14ac:dyDescent="0.2">
      <c r="A148" s="1235">
        <v>145</v>
      </c>
      <c r="B148" s="1235"/>
      <c r="C148" s="1235"/>
      <c r="D148" s="1235"/>
      <c r="E148" s="1235"/>
      <c r="F148" s="1235"/>
      <c r="G148" s="1235"/>
      <c r="H148" s="1235"/>
      <c r="I148" s="1235"/>
      <c r="J148" s="1235"/>
      <c r="K148" s="1244"/>
      <c r="L148" s="1244"/>
      <c r="M148" s="1244"/>
      <c r="N148" s="1235"/>
      <c r="O148" s="1235"/>
      <c r="P148" s="1235"/>
      <c r="Q148" s="1240"/>
      <c r="R148" s="1240"/>
      <c r="S148" s="1240"/>
      <c r="T148" s="1240"/>
      <c r="U148" s="1240"/>
      <c r="V148" s="1244"/>
      <c r="W148" s="1244"/>
      <c r="X148" s="1240"/>
      <c r="Y148" s="1244"/>
      <c r="Z148" s="1244"/>
      <c r="AA148" s="1244"/>
      <c r="AB148" s="1244"/>
      <c r="AC148" s="1244"/>
      <c r="AD148" s="1244"/>
      <c r="AE148" s="749"/>
      <c r="AF148" s="1244"/>
      <c r="AG148" s="1244"/>
      <c r="AH148" s="1240"/>
      <c r="AI148" s="1244">
        <v>1.4999999999999999E-2</v>
      </c>
      <c r="AJ148" s="1244">
        <f xml:space="preserve"> 29%</f>
        <v>0.28999999999999998</v>
      </c>
      <c r="AK148" s="1244">
        <f xml:space="preserve"> 90.5%</f>
        <v>0.90500000000000003</v>
      </c>
      <c r="AL148" s="1244"/>
      <c r="AM148" s="1244"/>
      <c r="BD148" s="74"/>
      <c r="BE148" s="74"/>
      <c r="BF148" s="113"/>
      <c r="BG148" s="74"/>
      <c r="BH148" s="19"/>
    </row>
    <row r="149" spans="1:63" ht="15" customHeight="1" x14ac:dyDescent="0.2">
      <c r="A149" s="1235">
        <v>146</v>
      </c>
      <c r="B149" s="1235"/>
      <c r="C149" s="1235"/>
      <c r="D149" s="1235"/>
      <c r="E149" s="1235"/>
      <c r="F149" s="1235"/>
      <c r="G149" s="1235"/>
      <c r="H149" s="1235"/>
      <c r="I149" s="1235"/>
      <c r="J149" s="1235"/>
      <c r="K149" s="1244"/>
      <c r="L149" s="1244"/>
      <c r="M149" s="1244"/>
      <c r="N149" s="1235"/>
      <c r="O149" s="1235"/>
      <c r="P149" s="1235"/>
      <c r="Q149" s="1240"/>
      <c r="R149" s="1240"/>
      <c r="S149" s="1240"/>
      <c r="T149" s="1240"/>
      <c r="U149" s="1240"/>
      <c r="V149" s="1244"/>
      <c r="W149" s="1244"/>
      <c r="X149" s="1240"/>
      <c r="Y149" s="1244"/>
      <c r="Z149" s="1244"/>
      <c r="AA149" s="1244"/>
      <c r="AB149" s="1244"/>
      <c r="AC149" s="1244"/>
      <c r="AD149" s="1244"/>
      <c r="AE149" s="749"/>
      <c r="AF149" s="1244"/>
      <c r="AG149" s="1244"/>
      <c r="AH149" s="1240"/>
      <c r="AI149" s="1244">
        <v>1.2E-2</v>
      </c>
      <c r="AJ149" s="1244">
        <f xml:space="preserve"> 29.2%</f>
        <v>0.29199999999999998</v>
      </c>
      <c r="AK149" s="1244">
        <f xml:space="preserve"> 91.4%</f>
        <v>0.91400000000000003</v>
      </c>
      <c r="AL149" s="1244"/>
      <c r="AM149" s="1244"/>
      <c r="AV149" s="74"/>
      <c r="AY149" s="74"/>
      <c r="AZ149" s="74"/>
      <c r="BA149" s="74"/>
      <c r="BD149" s="74"/>
      <c r="BE149" s="74"/>
      <c r="BF149" s="74"/>
      <c r="BG149" s="74"/>
      <c r="BH149" s="19"/>
      <c r="BI149" s="74"/>
      <c r="BJ149" s="74"/>
      <c r="BK149" s="74"/>
    </row>
    <row r="150" spans="1:63" ht="15" customHeight="1" x14ac:dyDescent="0.2">
      <c r="A150" s="1235">
        <v>147</v>
      </c>
      <c r="B150" s="1235"/>
      <c r="C150" s="1235"/>
      <c r="D150" s="1235"/>
      <c r="E150" s="1235"/>
      <c r="F150" s="1235"/>
      <c r="G150" s="1235"/>
      <c r="H150" s="1235"/>
      <c r="I150" s="1235"/>
      <c r="J150" s="1235"/>
      <c r="K150" s="1244"/>
      <c r="L150" s="1244"/>
      <c r="M150" s="1244"/>
      <c r="N150" s="1235"/>
      <c r="O150" s="1235"/>
      <c r="P150" s="1235"/>
      <c r="Q150" s="1240"/>
      <c r="R150" s="1240"/>
      <c r="S150" s="1240"/>
      <c r="T150" s="1240"/>
      <c r="U150" s="1240"/>
      <c r="V150" s="1244"/>
      <c r="W150" s="1244"/>
      <c r="X150" s="1240"/>
      <c r="Y150" s="1244"/>
      <c r="Z150" s="1244"/>
      <c r="AA150" s="1244"/>
      <c r="AB150" s="1244"/>
      <c r="AC150" s="1244"/>
      <c r="AD150" s="1244"/>
      <c r="AE150" s="749"/>
      <c r="AF150" s="1244"/>
      <c r="AG150" s="1244"/>
      <c r="AH150" s="1240"/>
      <c r="AI150" s="1244">
        <v>8.9999999999999993E-3</v>
      </c>
      <c r="AJ150" s="1244">
        <f xml:space="preserve"> 29.4%</f>
        <v>0.29399999999999998</v>
      </c>
      <c r="AK150" s="1244">
        <f xml:space="preserve"> 92.3%</f>
        <v>0.92299999999999993</v>
      </c>
      <c r="AL150" s="1244"/>
      <c r="AM150" s="1244"/>
      <c r="AS150" s="117"/>
      <c r="AV150" s="113"/>
      <c r="AY150" s="74"/>
      <c r="AZ150" s="74"/>
      <c r="BA150" s="113"/>
      <c r="BC150" s="117"/>
      <c r="BD150" s="74"/>
      <c r="BE150" s="74"/>
      <c r="BF150" s="113"/>
      <c r="BG150" s="74"/>
      <c r="BH150" s="19"/>
      <c r="BI150" s="74"/>
      <c r="BJ150" s="74"/>
      <c r="BK150" s="113"/>
    </row>
    <row r="151" spans="1:63" ht="15" customHeight="1" x14ac:dyDescent="0.2">
      <c r="A151" s="1235">
        <v>148</v>
      </c>
      <c r="B151" s="1235"/>
      <c r="C151" s="1235"/>
      <c r="D151" s="1235"/>
      <c r="E151" s="1235"/>
      <c r="F151" s="1235"/>
      <c r="G151" s="1235"/>
      <c r="H151" s="1235"/>
      <c r="I151" s="1235"/>
      <c r="J151" s="1235"/>
      <c r="K151" s="1244"/>
      <c r="L151" s="1244"/>
      <c r="M151" s="1244"/>
      <c r="N151" s="1235"/>
      <c r="O151" s="1235"/>
      <c r="P151" s="1235"/>
      <c r="Q151" s="1240"/>
      <c r="R151" s="1240"/>
      <c r="S151" s="1240"/>
      <c r="T151" s="1240"/>
      <c r="U151" s="1240"/>
      <c r="V151" s="1244"/>
      <c r="W151" s="1244"/>
      <c r="X151" s="1240"/>
      <c r="Y151" s="1244"/>
      <c r="Z151" s="1244"/>
      <c r="AA151" s="1244"/>
      <c r="AB151" s="1244"/>
      <c r="AC151" s="1244"/>
      <c r="AD151" s="1244"/>
      <c r="AE151" s="749"/>
      <c r="AF151" s="1244"/>
      <c r="AG151" s="1244"/>
      <c r="AH151" s="1240"/>
      <c r="AI151" s="1244">
        <v>6.0000000000000001E-3</v>
      </c>
      <c r="AJ151" s="1244">
        <f xml:space="preserve"> 29.6%</f>
        <v>0.29600000000000004</v>
      </c>
      <c r="AK151" s="1244">
        <f xml:space="preserve"> 93.2%</f>
        <v>0.93200000000000005</v>
      </c>
      <c r="AL151" s="1244"/>
      <c r="AM151" s="1244"/>
      <c r="AS151" s="117"/>
      <c r="AV151" s="113"/>
      <c r="AY151" s="74"/>
      <c r="AZ151" s="74"/>
      <c r="BA151" s="113"/>
      <c r="BC151" s="117"/>
      <c r="BD151" s="74"/>
      <c r="BE151" s="74"/>
      <c r="BF151" s="113"/>
      <c r="BG151" s="74"/>
      <c r="BH151" s="19"/>
      <c r="BI151" s="74"/>
      <c r="BJ151" s="74"/>
      <c r="BK151" s="113"/>
    </row>
    <row r="152" spans="1:63" ht="15" customHeight="1" x14ac:dyDescent="0.2">
      <c r="A152" s="1235">
        <v>149</v>
      </c>
      <c r="B152" s="1235"/>
      <c r="C152" s="1235"/>
      <c r="D152" s="1235"/>
      <c r="E152" s="1235"/>
      <c r="F152" s="1235"/>
      <c r="G152" s="1235"/>
      <c r="H152" s="1235"/>
      <c r="I152" s="1235"/>
      <c r="J152" s="1235"/>
      <c r="K152" s="1244"/>
      <c r="L152" s="1244"/>
      <c r="M152" s="1244"/>
      <c r="N152" s="1235"/>
      <c r="O152" s="1235"/>
      <c r="P152" s="1235"/>
      <c r="Q152" s="1240"/>
      <c r="R152" s="1240"/>
      <c r="S152" s="1240"/>
      <c r="T152" s="1240"/>
      <c r="U152" s="1240"/>
      <c r="V152" s="1244"/>
      <c r="W152" s="1244"/>
      <c r="X152" s="1240"/>
      <c r="Y152" s="1244"/>
      <c r="Z152" s="1244"/>
      <c r="AA152" s="1244"/>
      <c r="AB152" s="1244"/>
      <c r="AC152" s="1244"/>
      <c r="AD152" s="1244"/>
      <c r="AE152" s="749"/>
      <c r="AF152" s="1244"/>
      <c r="AG152" s="1244"/>
      <c r="AH152" s="1240"/>
      <c r="AI152" s="1244">
        <v>3.0000000000000001E-3</v>
      </c>
      <c r="AJ152" s="1244">
        <f xml:space="preserve"> 29.8%</f>
        <v>0.29799999999999999</v>
      </c>
      <c r="AK152" s="1244">
        <f xml:space="preserve"> 94.1%</f>
        <v>0.94099999999999995</v>
      </c>
      <c r="AL152" s="1244"/>
      <c r="AM152" s="1244"/>
      <c r="BD152" s="74"/>
      <c r="BE152" s="74"/>
      <c r="BG152" s="74"/>
      <c r="BH152" s="19"/>
    </row>
    <row r="153" spans="1:63" ht="15" customHeight="1" x14ac:dyDescent="0.2">
      <c r="A153" s="1235">
        <v>150</v>
      </c>
      <c r="B153" s="1235"/>
      <c r="C153" s="1235"/>
      <c r="D153" s="1235"/>
      <c r="E153" s="1235"/>
      <c r="F153" s="1235"/>
      <c r="G153" s="1235"/>
      <c r="H153" s="1235"/>
      <c r="I153" s="1235"/>
      <c r="J153" s="1235"/>
      <c r="K153" s="1244"/>
      <c r="L153" s="1244"/>
      <c r="M153" s="1244"/>
      <c r="N153" s="1235"/>
      <c r="O153" s="1235"/>
      <c r="P153" s="1235"/>
      <c r="Q153" s="1240"/>
      <c r="R153" s="1240"/>
      <c r="S153" s="1240"/>
      <c r="T153" s="1240"/>
      <c r="U153" s="1240"/>
      <c r="V153" s="1244"/>
      <c r="W153" s="1244"/>
      <c r="X153" s="1240"/>
      <c r="Y153" s="1244"/>
      <c r="Z153" s="1244"/>
      <c r="AA153" s="1244"/>
      <c r="AB153" s="1244"/>
      <c r="AC153" s="1244"/>
      <c r="AD153" s="1244"/>
      <c r="AE153" s="749"/>
      <c r="AF153" s="1244"/>
      <c r="AG153" s="1244"/>
      <c r="AH153" s="1240"/>
      <c r="AI153" s="1244">
        <v>0</v>
      </c>
      <c r="AJ153" s="1244">
        <f xml:space="preserve"> 30%</f>
        <v>0.3</v>
      </c>
      <c r="AK153" s="1244">
        <f xml:space="preserve"> 95%</f>
        <v>0.95</v>
      </c>
      <c r="AL153" s="1244"/>
      <c r="AM153" s="1244"/>
      <c r="BD153" s="74"/>
      <c r="BE153" s="74"/>
      <c r="BG153" s="74"/>
      <c r="BH153" s="19"/>
    </row>
    <row r="154" spans="1:63" x14ac:dyDescent="0.2">
      <c r="BD154" s="74"/>
      <c r="BE154" s="74"/>
      <c r="BG154" s="74"/>
      <c r="BH154" s="19"/>
    </row>
    <row r="155" spans="1:63" x14ac:dyDescent="0.2">
      <c r="BD155" s="74"/>
      <c r="BE155" s="74"/>
      <c r="BG155" s="74"/>
      <c r="BH155" s="19"/>
    </row>
    <row r="156" spans="1:63" x14ac:dyDescent="0.2">
      <c r="BD156" s="74"/>
      <c r="BE156" s="74"/>
      <c r="BG156" s="74"/>
      <c r="BH156" s="19"/>
    </row>
    <row r="157" spans="1:63" x14ac:dyDescent="0.2">
      <c r="BD157" s="74"/>
      <c r="BE157" s="74"/>
      <c r="BG157" s="74"/>
      <c r="BH157" s="19"/>
    </row>
    <row r="158" spans="1:63" x14ac:dyDescent="0.2">
      <c r="BD158" s="74"/>
      <c r="BE158" s="74"/>
      <c r="BG158" s="74"/>
      <c r="BH158" s="19"/>
    </row>
    <row r="159" spans="1:63" x14ac:dyDescent="0.2">
      <c r="BD159" s="74"/>
      <c r="BE159" s="74"/>
      <c r="BG159" s="74"/>
      <c r="BH159" s="19"/>
    </row>
    <row r="160" spans="1:63" x14ac:dyDescent="0.2">
      <c r="BD160" s="74"/>
      <c r="BE160" s="74"/>
      <c r="BG160" s="74"/>
      <c r="BH160" s="19"/>
    </row>
    <row r="161" spans="56:60" x14ac:dyDescent="0.2">
      <c r="BD161" s="74"/>
      <c r="BE161" s="74"/>
      <c r="BG161" s="74"/>
      <c r="BH161" s="19"/>
    </row>
    <row r="162" spans="56:60" x14ac:dyDescent="0.2">
      <c r="BD162" s="74"/>
      <c r="BE162" s="74"/>
      <c r="BG162" s="74"/>
      <c r="BH162" s="19"/>
    </row>
    <row r="163" spans="56:60" x14ac:dyDescent="0.2">
      <c r="BD163" s="74"/>
      <c r="BE163" s="74"/>
      <c r="BG163" s="74"/>
      <c r="BH163" s="19"/>
    </row>
    <row r="164" spans="56:60" x14ac:dyDescent="0.2">
      <c r="BD164" s="74"/>
      <c r="BE164" s="74"/>
      <c r="BG164" s="74"/>
      <c r="BH164" s="19"/>
    </row>
    <row r="165" spans="56:60" x14ac:dyDescent="0.2">
      <c r="BD165" s="74"/>
      <c r="BE165" s="74"/>
      <c r="BG165" s="74"/>
      <c r="BH165" s="19"/>
    </row>
    <row r="166" spans="56:60" x14ac:dyDescent="0.2">
      <c r="BD166" s="74"/>
      <c r="BE166" s="74"/>
      <c r="BG166" s="74"/>
      <c r="BH166" s="19"/>
    </row>
    <row r="167" spans="56:60" x14ac:dyDescent="0.2">
      <c r="BD167" s="74"/>
      <c r="BE167" s="74"/>
      <c r="BG167" s="74"/>
      <c r="BH167" s="19"/>
    </row>
    <row r="168" spans="56:60" x14ac:dyDescent="0.2">
      <c r="BD168" s="74"/>
      <c r="BE168" s="74"/>
      <c r="BG168" s="74"/>
      <c r="BH168" s="19"/>
    </row>
    <row r="169" spans="56:60" x14ac:dyDescent="0.2">
      <c r="BD169" s="74"/>
      <c r="BE169" s="74"/>
      <c r="BG169" s="74"/>
      <c r="BH169" s="19"/>
    </row>
    <row r="170" spans="56:60" x14ac:dyDescent="0.2">
      <c r="BD170" s="74"/>
      <c r="BE170" s="74"/>
      <c r="BG170" s="74"/>
      <c r="BH170" s="19"/>
    </row>
    <row r="171" spans="56:60" x14ac:dyDescent="0.2">
      <c r="BD171" s="74"/>
      <c r="BE171" s="74"/>
      <c r="BG171" s="74"/>
      <c r="BH171" s="19"/>
    </row>
    <row r="172" spans="56:60" x14ac:dyDescent="0.2">
      <c r="BD172" s="74"/>
      <c r="BE172" s="74"/>
      <c r="BG172" s="74"/>
      <c r="BH172" s="19"/>
    </row>
    <row r="173" spans="56:60" x14ac:dyDescent="0.2">
      <c r="BD173" s="74"/>
      <c r="BE173" s="74"/>
      <c r="BG173" s="74"/>
      <c r="BH173" s="19"/>
    </row>
    <row r="174" spans="56:60" x14ac:dyDescent="0.2">
      <c r="BD174" s="74"/>
      <c r="BE174" s="74"/>
      <c r="BG174" s="74"/>
      <c r="BH174" s="19"/>
    </row>
    <row r="175" spans="56:60" x14ac:dyDescent="0.2">
      <c r="BD175" s="74"/>
      <c r="BE175" s="74"/>
      <c r="BG175" s="74"/>
      <c r="BH175" s="19"/>
    </row>
    <row r="176" spans="56:60" x14ac:dyDescent="0.2">
      <c r="BD176" s="74"/>
      <c r="BE176" s="74"/>
      <c r="BG176" s="74"/>
      <c r="BH176" s="19"/>
    </row>
    <row r="177" spans="56:60" x14ac:dyDescent="0.2">
      <c r="BD177" s="74"/>
      <c r="BE177" s="74"/>
      <c r="BG177" s="74"/>
      <c r="BH177" s="19"/>
    </row>
    <row r="178" spans="56:60" x14ac:dyDescent="0.2">
      <c r="BD178" s="74"/>
      <c r="BE178" s="74"/>
      <c r="BG178" s="74"/>
      <c r="BH178" s="19"/>
    </row>
    <row r="179" spans="56:60" x14ac:dyDescent="0.2">
      <c r="BD179" s="74"/>
      <c r="BE179" s="74"/>
      <c r="BG179" s="74"/>
      <c r="BH179" s="19"/>
    </row>
    <row r="180" spans="56:60" x14ac:dyDescent="0.2">
      <c r="BD180" s="74"/>
      <c r="BE180" s="74"/>
      <c r="BG180" s="74"/>
      <c r="BH180" s="19"/>
    </row>
    <row r="304" spans="3:3" x14ac:dyDescent="0.2">
      <c r="C304" s="19"/>
    </row>
    <row r="305" spans="1:3" x14ac:dyDescent="0.2">
      <c r="C305" s="19"/>
    </row>
    <row r="306" spans="1:3" x14ac:dyDescent="0.2">
      <c r="C306" s="19"/>
    </row>
    <row r="307" spans="1:3" x14ac:dyDescent="0.2">
      <c r="A307" s="19"/>
      <c r="C307" s="19"/>
    </row>
    <row r="308" spans="1:3" x14ac:dyDescent="0.2">
      <c r="A308" s="19"/>
      <c r="C308" s="19"/>
    </row>
    <row r="309" spans="1:3" x14ac:dyDescent="0.2">
      <c r="A309" s="19"/>
      <c r="C309" s="19"/>
    </row>
    <row r="310" spans="1:3" x14ac:dyDescent="0.2">
      <c r="A310" s="19"/>
      <c r="C310" s="19"/>
    </row>
    <row r="311" spans="1:3" x14ac:dyDescent="0.2">
      <c r="A311" s="19"/>
      <c r="C311" s="19"/>
    </row>
    <row r="312" spans="1:3" x14ac:dyDescent="0.2">
      <c r="A312" s="19"/>
    </row>
    <row r="313" spans="1:3" x14ac:dyDescent="0.2">
      <c r="A313" s="19"/>
    </row>
    <row r="314" spans="1:3" x14ac:dyDescent="0.2">
      <c r="A314" s="19"/>
    </row>
    <row r="315" spans="1:3" x14ac:dyDescent="0.2">
      <c r="A315" s="19"/>
    </row>
    <row r="316" spans="1:3" x14ac:dyDescent="0.2">
      <c r="A316" s="19"/>
    </row>
    <row r="317" spans="1:3" x14ac:dyDescent="0.2">
      <c r="A317" s="19"/>
    </row>
    <row r="318" spans="1:3" x14ac:dyDescent="0.2">
      <c r="A318" s="19"/>
    </row>
    <row r="319" spans="1:3" x14ac:dyDescent="0.2">
      <c r="A319" s="19"/>
    </row>
    <row r="320" spans="1:3" x14ac:dyDescent="0.2">
      <c r="A320" s="19"/>
    </row>
    <row r="321" spans="1:1" x14ac:dyDescent="0.2">
      <c r="A321" s="19"/>
    </row>
    <row r="322" spans="1:1" x14ac:dyDescent="0.2">
      <c r="A322" s="19"/>
    </row>
    <row r="323" spans="1:1" x14ac:dyDescent="0.2">
      <c r="A323" s="19"/>
    </row>
    <row r="324" spans="1:1" x14ac:dyDescent="0.2">
      <c r="A324" s="19"/>
    </row>
    <row r="325" spans="1:1" x14ac:dyDescent="0.2">
      <c r="A325" s="19"/>
    </row>
    <row r="326" spans="1:1" x14ac:dyDescent="0.2">
      <c r="A326" s="19"/>
    </row>
    <row r="327" spans="1:1" x14ac:dyDescent="0.2">
      <c r="A327" s="19"/>
    </row>
    <row r="328" spans="1:1" x14ac:dyDescent="0.2">
      <c r="A328" s="19"/>
    </row>
    <row r="329" spans="1:1" x14ac:dyDescent="0.2">
      <c r="A329" s="19"/>
    </row>
    <row r="330" spans="1:1" x14ac:dyDescent="0.2">
      <c r="A330" s="19"/>
    </row>
    <row r="331" spans="1:1" x14ac:dyDescent="0.2">
      <c r="A331" s="19"/>
    </row>
    <row r="332" spans="1:1" x14ac:dyDescent="0.2">
      <c r="A332" s="19"/>
    </row>
    <row r="333" spans="1:1" x14ac:dyDescent="0.2">
      <c r="A333" s="19"/>
    </row>
    <row r="334" spans="1:1" x14ac:dyDescent="0.2">
      <c r="A334" s="19"/>
    </row>
    <row r="335" spans="1:1" x14ac:dyDescent="0.2">
      <c r="A335" s="19"/>
    </row>
    <row r="336" spans="1:1" x14ac:dyDescent="0.2">
      <c r="A336" s="19"/>
    </row>
    <row r="337" spans="1:1" x14ac:dyDescent="0.2">
      <c r="A337" s="19"/>
    </row>
    <row r="338" spans="1:1" x14ac:dyDescent="0.2">
      <c r="A338" s="19"/>
    </row>
    <row r="339" spans="1:1" x14ac:dyDescent="0.2">
      <c r="A339" s="19"/>
    </row>
    <row r="340" spans="1:1" x14ac:dyDescent="0.2">
      <c r="A340" s="19"/>
    </row>
    <row r="341" spans="1:1" x14ac:dyDescent="0.2">
      <c r="A341" s="19"/>
    </row>
    <row r="342" spans="1:1" x14ac:dyDescent="0.2">
      <c r="A342" s="19"/>
    </row>
    <row r="343" spans="1:1" x14ac:dyDescent="0.2">
      <c r="A343" s="19"/>
    </row>
    <row r="344" spans="1:1" x14ac:dyDescent="0.2">
      <c r="A344" s="19"/>
    </row>
    <row r="345" spans="1:1" x14ac:dyDescent="0.2">
      <c r="A345" s="19"/>
    </row>
    <row r="346" spans="1:1" x14ac:dyDescent="0.2">
      <c r="A346" s="19"/>
    </row>
    <row r="347" spans="1:1" x14ac:dyDescent="0.2">
      <c r="A347" s="19"/>
    </row>
    <row r="348" spans="1:1" x14ac:dyDescent="0.2">
      <c r="A348" s="19"/>
    </row>
    <row r="349" spans="1:1" x14ac:dyDescent="0.2">
      <c r="A349" s="19"/>
    </row>
    <row r="350" spans="1:1" x14ac:dyDescent="0.2">
      <c r="A350" s="19"/>
    </row>
    <row r="351" spans="1:1" x14ac:dyDescent="0.2">
      <c r="A351" s="19"/>
    </row>
    <row r="352" spans="1:1" x14ac:dyDescent="0.2">
      <c r="A352" s="19"/>
    </row>
    <row r="353" spans="1:1" x14ac:dyDescent="0.2">
      <c r="A353" s="19"/>
    </row>
    <row r="354" spans="1:1" x14ac:dyDescent="0.2">
      <c r="A354" s="19"/>
    </row>
    <row r="355" spans="1:1" x14ac:dyDescent="0.2">
      <c r="A355" s="19"/>
    </row>
    <row r="356" spans="1:1" x14ac:dyDescent="0.2">
      <c r="A356" s="19"/>
    </row>
    <row r="357" spans="1:1" x14ac:dyDescent="0.2">
      <c r="A357" s="19"/>
    </row>
    <row r="358" spans="1:1" x14ac:dyDescent="0.2">
      <c r="A358" s="19"/>
    </row>
    <row r="359" spans="1:1" x14ac:dyDescent="0.2">
      <c r="A359" s="19"/>
    </row>
    <row r="360" spans="1:1" x14ac:dyDescent="0.2">
      <c r="A360" s="19"/>
    </row>
    <row r="361" spans="1:1" x14ac:dyDescent="0.2">
      <c r="A361" s="19"/>
    </row>
    <row r="362" spans="1:1" x14ac:dyDescent="0.2">
      <c r="A362" s="19"/>
    </row>
    <row r="363" spans="1:1" x14ac:dyDescent="0.2">
      <c r="A363" s="19"/>
    </row>
    <row r="364" spans="1:1" x14ac:dyDescent="0.2">
      <c r="A364" s="19"/>
    </row>
    <row r="365" spans="1:1" x14ac:dyDescent="0.2">
      <c r="A365" s="19"/>
    </row>
    <row r="366" spans="1:1" x14ac:dyDescent="0.2">
      <c r="A366" s="19"/>
    </row>
    <row r="367" spans="1:1" x14ac:dyDescent="0.2">
      <c r="A367" s="19"/>
    </row>
    <row r="368" spans="1:1" x14ac:dyDescent="0.2">
      <c r="A368" s="19"/>
    </row>
    <row r="369" spans="1:1" x14ac:dyDescent="0.2">
      <c r="A369" s="19"/>
    </row>
    <row r="370" spans="1:1" x14ac:dyDescent="0.2">
      <c r="A370" s="19"/>
    </row>
    <row r="371" spans="1:1" x14ac:dyDescent="0.2">
      <c r="A371" s="19"/>
    </row>
    <row r="372" spans="1:1" x14ac:dyDescent="0.2">
      <c r="A372" s="19"/>
    </row>
    <row r="373" spans="1:1" x14ac:dyDescent="0.2">
      <c r="A373" s="19"/>
    </row>
    <row r="374" spans="1:1" x14ac:dyDescent="0.2">
      <c r="A374" s="19"/>
    </row>
    <row r="375" spans="1:1" x14ac:dyDescent="0.2">
      <c r="A375" s="19"/>
    </row>
    <row r="376" spans="1:1" x14ac:dyDescent="0.2">
      <c r="A376" s="19"/>
    </row>
    <row r="377" spans="1:1" x14ac:dyDescent="0.2">
      <c r="A377" s="19"/>
    </row>
    <row r="378" spans="1:1" x14ac:dyDescent="0.2">
      <c r="A378" s="19"/>
    </row>
    <row r="379" spans="1:1" x14ac:dyDescent="0.2">
      <c r="A379" s="19"/>
    </row>
    <row r="380" spans="1:1" x14ac:dyDescent="0.2">
      <c r="A380" s="19"/>
    </row>
    <row r="381" spans="1:1" x14ac:dyDescent="0.2">
      <c r="A381" s="19"/>
    </row>
    <row r="382" spans="1:1" x14ac:dyDescent="0.2">
      <c r="A382" s="19"/>
    </row>
    <row r="383" spans="1:1" x14ac:dyDescent="0.2">
      <c r="A383" s="19"/>
    </row>
    <row r="384" spans="1:1" x14ac:dyDescent="0.2">
      <c r="A384" s="19"/>
    </row>
    <row r="385" spans="1:1" x14ac:dyDescent="0.2">
      <c r="A385" s="19"/>
    </row>
    <row r="386" spans="1:1" x14ac:dyDescent="0.2">
      <c r="A386" s="19"/>
    </row>
    <row r="387" spans="1:1" x14ac:dyDescent="0.2">
      <c r="A387" s="19"/>
    </row>
    <row r="388" spans="1:1" x14ac:dyDescent="0.2">
      <c r="A388" s="19"/>
    </row>
    <row r="389" spans="1:1" x14ac:dyDescent="0.2">
      <c r="A389" s="19"/>
    </row>
    <row r="390" spans="1:1" x14ac:dyDescent="0.2">
      <c r="A390" s="19"/>
    </row>
    <row r="391" spans="1:1" x14ac:dyDescent="0.2">
      <c r="A391" s="19"/>
    </row>
    <row r="392" spans="1:1" x14ac:dyDescent="0.2">
      <c r="A392" s="19"/>
    </row>
    <row r="393" spans="1:1" x14ac:dyDescent="0.2">
      <c r="A393" s="19"/>
    </row>
    <row r="394" spans="1:1" x14ac:dyDescent="0.2">
      <c r="A394" s="19"/>
    </row>
    <row r="395" spans="1:1" x14ac:dyDescent="0.2">
      <c r="A395" s="19"/>
    </row>
    <row r="396" spans="1:1" x14ac:dyDescent="0.2">
      <c r="A396" s="19"/>
    </row>
    <row r="397" spans="1:1" x14ac:dyDescent="0.2">
      <c r="A397" s="19"/>
    </row>
    <row r="398" spans="1:1" x14ac:dyDescent="0.2">
      <c r="A398" s="19"/>
    </row>
    <row r="399" spans="1:1" x14ac:dyDescent="0.2">
      <c r="A399" s="19"/>
    </row>
    <row r="400" spans="1:1" x14ac:dyDescent="0.2">
      <c r="A400" s="19"/>
    </row>
    <row r="401" spans="1:1" x14ac:dyDescent="0.2">
      <c r="A401" s="19"/>
    </row>
    <row r="402" spans="1:1" x14ac:dyDescent="0.2">
      <c r="A402" s="19"/>
    </row>
    <row r="403" spans="1:1" x14ac:dyDescent="0.2">
      <c r="A403" s="19"/>
    </row>
    <row r="404" spans="1:1" x14ac:dyDescent="0.2">
      <c r="A404" s="19"/>
    </row>
    <row r="405" spans="1:1" x14ac:dyDescent="0.2">
      <c r="A405" s="19"/>
    </row>
    <row r="406" spans="1:1" x14ac:dyDescent="0.2">
      <c r="A406" s="19"/>
    </row>
    <row r="407" spans="1:1" x14ac:dyDescent="0.2">
      <c r="A407" s="19"/>
    </row>
    <row r="408" spans="1:1" x14ac:dyDescent="0.2">
      <c r="A408" s="19"/>
    </row>
    <row r="409" spans="1:1" x14ac:dyDescent="0.2">
      <c r="A409" s="19"/>
    </row>
    <row r="410" spans="1:1" x14ac:dyDescent="0.2">
      <c r="A410" s="19"/>
    </row>
    <row r="411" spans="1:1" x14ac:dyDescent="0.2">
      <c r="A411" s="19"/>
    </row>
    <row r="412" spans="1:1" x14ac:dyDescent="0.2">
      <c r="A412" s="19"/>
    </row>
    <row r="413" spans="1:1" x14ac:dyDescent="0.2">
      <c r="A413" s="19"/>
    </row>
    <row r="414" spans="1:1" x14ac:dyDescent="0.2">
      <c r="A414" s="19"/>
    </row>
    <row r="415" spans="1:1" x14ac:dyDescent="0.2">
      <c r="A415" s="19"/>
    </row>
    <row r="416" spans="1:1" x14ac:dyDescent="0.2">
      <c r="A416" s="19"/>
    </row>
    <row r="417" spans="1:1" x14ac:dyDescent="0.2">
      <c r="A417" s="19"/>
    </row>
    <row r="418" spans="1:1" x14ac:dyDescent="0.2">
      <c r="A418" s="19"/>
    </row>
    <row r="419" spans="1:1" x14ac:dyDescent="0.2">
      <c r="A419" s="19"/>
    </row>
    <row r="420" spans="1:1" x14ac:dyDescent="0.2">
      <c r="A420" s="19"/>
    </row>
    <row r="421" spans="1:1" x14ac:dyDescent="0.2">
      <c r="A421" s="19"/>
    </row>
    <row r="422" spans="1:1" x14ac:dyDescent="0.2">
      <c r="A422" s="19"/>
    </row>
    <row r="423" spans="1:1" x14ac:dyDescent="0.2">
      <c r="A423" s="19"/>
    </row>
    <row r="424" spans="1:1" x14ac:dyDescent="0.2">
      <c r="A424" s="19"/>
    </row>
    <row r="425" spans="1:1" x14ac:dyDescent="0.2">
      <c r="A425" s="19"/>
    </row>
    <row r="426" spans="1:1" x14ac:dyDescent="0.2">
      <c r="A426" s="19"/>
    </row>
    <row r="427" spans="1:1" x14ac:dyDescent="0.2">
      <c r="A427" s="19"/>
    </row>
    <row r="428" spans="1:1" x14ac:dyDescent="0.2">
      <c r="A428" s="19"/>
    </row>
    <row r="429" spans="1:1" x14ac:dyDescent="0.2">
      <c r="A429" s="19"/>
    </row>
    <row r="430" spans="1:1" x14ac:dyDescent="0.2">
      <c r="A430" s="19"/>
    </row>
    <row r="431" spans="1:1" x14ac:dyDescent="0.2">
      <c r="A431" s="19"/>
    </row>
    <row r="432" spans="1:1" x14ac:dyDescent="0.2">
      <c r="A432" s="19"/>
    </row>
    <row r="433" spans="1:1" x14ac:dyDescent="0.2">
      <c r="A433" s="19"/>
    </row>
    <row r="434" spans="1:1" x14ac:dyDescent="0.2">
      <c r="A434" s="19"/>
    </row>
    <row r="435" spans="1:1" x14ac:dyDescent="0.2">
      <c r="A435" s="19"/>
    </row>
    <row r="436" spans="1:1" x14ac:dyDescent="0.2">
      <c r="A436" s="19"/>
    </row>
    <row r="437" spans="1:1" x14ac:dyDescent="0.2">
      <c r="A437" s="19"/>
    </row>
    <row r="438" spans="1:1" x14ac:dyDescent="0.2">
      <c r="A438" s="19"/>
    </row>
    <row r="439" spans="1:1" x14ac:dyDescent="0.2">
      <c r="A439" s="19"/>
    </row>
    <row r="440" spans="1:1" x14ac:dyDescent="0.2">
      <c r="A440" s="19"/>
    </row>
    <row r="441" spans="1:1" x14ac:dyDescent="0.2">
      <c r="A441" s="19"/>
    </row>
    <row r="442" spans="1:1" x14ac:dyDescent="0.2">
      <c r="A442" s="19"/>
    </row>
    <row r="443" spans="1:1" x14ac:dyDescent="0.2">
      <c r="A443" s="19"/>
    </row>
    <row r="444" spans="1:1" x14ac:dyDescent="0.2">
      <c r="A444" s="19"/>
    </row>
    <row r="445" spans="1:1" x14ac:dyDescent="0.2">
      <c r="A445" s="19"/>
    </row>
    <row r="446" spans="1:1" x14ac:dyDescent="0.2">
      <c r="A446" s="19"/>
    </row>
    <row r="447" spans="1:1" x14ac:dyDescent="0.2">
      <c r="A447" s="19"/>
    </row>
    <row r="448" spans="1:1" x14ac:dyDescent="0.2">
      <c r="A448" s="19"/>
    </row>
    <row r="449" spans="1:1" x14ac:dyDescent="0.2">
      <c r="A449" s="19"/>
    </row>
    <row r="450" spans="1:1" x14ac:dyDescent="0.2">
      <c r="A450" s="19"/>
    </row>
    <row r="451" spans="1:1" x14ac:dyDescent="0.2">
      <c r="A451" s="19"/>
    </row>
    <row r="452" spans="1:1" x14ac:dyDescent="0.2">
      <c r="A452" s="19"/>
    </row>
    <row r="453" spans="1:1" x14ac:dyDescent="0.2">
      <c r="A453" s="19"/>
    </row>
    <row r="454" spans="1:1" x14ac:dyDescent="0.2">
      <c r="A454" s="19"/>
    </row>
    <row r="455" spans="1:1" x14ac:dyDescent="0.2">
      <c r="A455" s="19"/>
    </row>
    <row r="456" spans="1:1" x14ac:dyDescent="0.2">
      <c r="A456" s="19"/>
    </row>
    <row r="457" spans="1:1" x14ac:dyDescent="0.2">
      <c r="A457" s="19"/>
    </row>
    <row r="458" spans="1:1" x14ac:dyDescent="0.2">
      <c r="A458" s="19"/>
    </row>
    <row r="459" spans="1:1" x14ac:dyDescent="0.2">
      <c r="A459" s="19"/>
    </row>
    <row r="460" spans="1:1" x14ac:dyDescent="0.2">
      <c r="A460" s="19"/>
    </row>
    <row r="461" spans="1:1" x14ac:dyDescent="0.2">
      <c r="A461" s="19"/>
    </row>
    <row r="462" spans="1:1" x14ac:dyDescent="0.2">
      <c r="A462" s="19"/>
    </row>
    <row r="463" spans="1:1" x14ac:dyDescent="0.2">
      <c r="A463" s="19"/>
    </row>
    <row r="464" spans="1:1" x14ac:dyDescent="0.2">
      <c r="A464" s="19"/>
    </row>
    <row r="465" spans="1:1" x14ac:dyDescent="0.2">
      <c r="A465" s="19"/>
    </row>
    <row r="466" spans="1:1" x14ac:dyDescent="0.2">
      <c r="A466" s="19"/>
    </row>
    <row r="467" spans="1:1" x14ac:dyDescent="0.2">
      <c r="A467" s="19"/>
    </row>
    <row r="468" spans="1:1" x14ac:dyDescent="0.2">
      <c r="A468" s="19"/>
    </row>
    <row r="469" spans="1:1" x14ac:dyDescent="0.2">
      <c r="A469" s="19"/>
    </row>
    <row r="470" spans="1:1" x14ac:dyDescent="0.2">
      <c r="A470" s="19"/>
    </row>
    <row r="471" spans="1:1" x14ac:dyDescent="0.2">
      <c r="A471" s="19"/>
    </row>
    <row r="472" spans="1:1" x14ac:dyDescent="0.2">
      <c r="A472" s="19"/>
    </row>
    <row r="473" spans="1:1" x14ac:dyDescent="0.2">
      <c r="A473" s="19"/>
    </row>
    <row r="474" spans="1:1" x14ac:dyDescent="0.2">
      <c r="A474" s="19"/>
    </row>
    <row r="475" spans="1:1" x14ac:dyDescent="0.2">
      <c r="A475" s="19"/>
    </row>
    <row r="476" spans="1:1" x14ac:dyDescent="0.2">
      <c r="A476" s="19"/>
    </row>
    <row r="477" spans="1:1" x14ac:dyDescent="0.2">
      <c r="A477" s="19"/>
    </row>
    <row r="478" spans="1:1" x14ac:dyDescent="0.2">
      <c r="A478" s="19"/>
    </row>
    <row r="479" spans="1:1" x14ac:dyDescent="0.2">
      <c r="A479" s="19"/>
    </row>
    <row r="480" spans="1:1" x14ac:dyDescent="0.2">
      <c r="A480" s="19"/>
    </row>
    <row r="481" spans="1:1" x14ac:dyDescent="0.2">
      <c r="A481" s="19"/>
    </row>
    <row r="482" spans="1:1" x14ac:dyDescent="0.2">
      <c r="A482" s="19"/>
    </row>
    <row r="483" spans="1:1" x14ac:dyDescent="0.2">
      <c r="A483" s="19"/>
    </row>
    <row r="484" spans="1:1" x14ac:dyDescent="0.2">
      <c r="A484" s="19"/>
    </row>
    <row r="485" spans="1:1" x14ac:dyDescent="0.2">
      <c r="A485" s="19"/>
    </row>
    <row r="486" spans="1:1" x14ac:dyDescent="0.2">
      <c r="A486" s="19"/>
    </row>
    <row r="487" spans="1:1" x14ac:dyDescent="0.2">
      <c r="A487" s="19"/>
    </row>
    <row r="488" spans="1:1" x14ac:dyDescent="0.2">
      <c r="A488" s="19"/>
    </row>
    <row r="489" spans="1:1" x14ac:dyDescent="0.2">
      <c r="A489" s="19"/>
    </row>
    <row r="490" spans="1:1" x14ac:dyDescent="0.2">
      <c r="A490" s="19"/>
    </row>
    <row r="491" spans="1:1" x14ac:dyDescent="0.2">
      <c r="A491" s="19"/>
    </row>
    <row r="492" spans="1:1" x14ac:dyDescent="0.2">
      <c r="A492" s="19"/>
    </row>
    <row r="493" spans="1:1" x14ac:dyDescent="0.2">
      <c r="A493" s="19"/>
    </row>
    <row r="494" spans="1:1" x14ac:dyDescent="0.2">
      <c r="A494" s="19"/>
    </row>
    <row r="495" spans="1:1" x14ac:dyDescent="0.2">
      <c r="A495" s="19"/>
    </row>
    <row r="496" spans="1:1" x14ac:dyDescent="0.2">
      <c r="A496" s="19"/>
    </row>
    <row r="497" spans="1:1" x14ac:dyDescent="0.2">
      <c r="A497" s="19"/>
    </row>
    <row r="498" spans="1:1" x14ac:dyDescent="0.2">
      <c r="A498" s="19"/>
    </row>
    <row r="499" spans="1:1" x14ac:dyDescent="0.2">
      <c r="A499" s="19"/>
    </row>
    <row r="500" spans="1:1" x14ac:dyDescent="0.2">
      <c r="A500" s="19"/>
    </row>
    <row r="501" spans="1:1" x14ac:dyDescent="0.2">
      <c r="A501" s="19"/>
    </row>
    <row r="502" spans="1:1" x14ac:dyDescent="0.2">
      <c r="A502" s="19"/>
    </row>
    <row r="503" spans="1:1" x14ac:dyDescent="0.2">
      <c r="A503" s="19"/>
    </row>
    <row r="504" spans="1:1" x14ac:dyDescent="0.2">
      <c r="A504" s="19"/>
    </row>
    <row r="505" spans="1:1" x14ac:dyDescent="0.2">
      <c r="A505" s="19"/>
    </row>
    <row r="506" spans="1:1" x14ac:dyDescent="0.2">
      <c r="A506" s="19"/>
    </row>
    <row r="507" spans="1:1" x14ac:dyDescent="0.2">
      <c r="A507" s="19"/>
    </row>
    <row r="508" spans="1:1" x14ac:dyDescent="0.2">
      <c r="A508" s="19"/>
    </row>
    <row r="509" spans="1:1" x14ac:dyDescent="0.2">
      <c r="A509" s="19"/>
    </row>
    <row r="510" spans="1:1" x14ac:dyDescent="0.2">
      <c r="A510" s="19"/>
    </row>
    <row r="511" spans="1:1" x14ac:dyDescent="0.2">
      <c r="A511" s="19"/>
    </row>
    <row r="512" spans="1:1" x14ac:dyDescent="0.2">
      <c r="A512" s="19"/>
    </row>
    <row r="513" spans="1:1" x14ac:dyDescent="0.2">
      <c r="A513" s="19"/>
    </row>
    <row r="514" spans="1:1" x14ac:dyDescent="0.2">
      <c r="A514" s="19"/>
    </row>
    <row r="515" spans="1:1" x14ac:dyDescent="0.2">
      <c r="A515" s="19"/>
    </row>
    <row r="516" spans="1:1" x14ac:dyDescent="0.2">
      <c r="A516" s="19"/>
    </row>
    <row r="517" spans="1:1" x14ac:dyDescent="0.2">
      <c r="A517" s="19"/>
    </row>
    <row r="518" spans="1:1" x14ac:dyDescent="0.2">
      <c r="A518" s="19"/>
    </row>
    <row r="519" spans="1:1" x14ac:dyDescent="0.2">
      <c r="A519" s="19"/>
    </row>
    <row r="520" spans="1:1" x14ac:dyDescent="0.2">
      <c r="A520" s="19"/>
    </row>
    <row r="521" spans="1:1" x14ac:dyDescent="0.2">
      <c r="A521" s="19"/>
    </row>
    <row r="522" spans="1:1" x14ac:dyDescent="0.2">
      <c r="A522" s="19"/>
    </row>
    <row r="523" spans="1:1" x14ac:dyDescent="0.2">
      <c r="A523" s="19"/>
    </row>
    <row r="524" spans="1:1" x14ac:dyDescent="0.2">
      <c r="A524" s="19"/>
    </row>
    <row r="525" spans="1:1" x14ac:dyDescent="0.2">
      <c r="A525" s="19"/>
    </row>
    <row r="526" spans="1:1" x14ac:dyDescent="0.2">
      <c r="A526" s="19"/>
    </row>
    <row r="527" spans="1:1" x14ac:dyDescent="0.2">
      <c r="A527" s="19"/>
    </row>
    <row r="528" spans="1:1" x14ac:dyDescent="0.2">
      <c r="A528" s="19"/>
    </row>
    <row r="529" spans="1:1" x14ac:dyDescent="0.2">
      <c r="A529" s="19"/>
    </row>
    <row r="530" spans="1:1" x14ac:dyDescent="0.2">
      <c r="A530" s="19"/>
    </row>
    <row r="531" spans="1:1" x14ac:dyDescent="0.2">
      <c r="A531" s="19"/>
    </row>
    <row r="532" spans="1:1" x14ac:dyDescent="0.2">
      <c r="A532" s="19"/>
    </row>
    <row r="533" spans="1:1" x14ac:dyDescent="0.2">
      <c r="A533" s="19"/>
    </row>
    <row r="534" spans="1:1" x14ac:dyDescent="0.2">
      <c r="A534" s="19"/>
    </row>
    <row r="535" spans="1:1" x14ac:dyDescent="0.2">
      <c r="A535" s="19"/>
    </row>
    <row r="536" spans="1:1" x14ac:dyDescent="0.2">
      <c r="A536" s="19"/>
    </row>
    <row r="537" spans="1:1" x14ac:dyDescent="0.2">
      <c r="A537" s="19"/>
    </row>
    <row r="538" spans="1:1" x14ac:dyDescent="0.2">
      <c r="A538" s="19"/>
    </row>
    <row r="539" spans="1:1" x14ac:dyDescent="0.2">
      <c r="A539" s="19"/>
    </row>
    <row r="540" spans="1:1" x14ac:dyDescent="0.2">
      <c r="A540" s="19"/>
    </row>
    <row r="541" spans="1:1" x14ac:dyDescent="0.2">
      <c r="A541" s="19"/>
    </row>
    <row r="542" spans="1:1" x14ac:dyDescent="0.2">
      <c r="A542" s="19"/>
    </row>
    <row r="543" spans="1:1" x14ac:dyDescent="0.2">
      <c r="A543" s="19"/>
    </row>
    <row r="544" spans="1:1" x14ac:dyDescent="0.2">
      <c r="A544" s="19"/>
    </row>
    <row r="545" spans="1:1" x14ac:dyDescent="0.2">
      <c r="A545" s="19"/>
    </row>
    <row r="546" spans="1:1" x14ac:dyDescent="0.2">
      <c r="A546" s="19"/>
    </row>
    <row r="547" spans="1:1" x14ac:dyDescent="0.2">
      <c r="A547" s="19"/>
    </row>
    <row r="548" spans="1:1" x14ac:dyDescent="0.2">
      <c r="A548" s="19"/>
    </row>
    <row r="549" spans="1:1" x14ac:dyDescent="0.2">
      <c r="A549" s="19"/>
    </row>
    <row r="550" spans="1:1" x14ac:dyDescent="0.2">
      <c r="A550" s="19"/>
    </row>
    <row r="551" spans="1:1" x14ac:dyDescent="0.2">
      <c r="A551" s="19"/>
    </row>
    <row r="552" spans="1:1" x14ac:dyDescent="0.2">
      <c r="A552" s="19"/>
    </row>
    <row r="553" spans="1:1" x14ac:dyDescent="0.2">
      <c r="A553" s="19"/>
    </row>
    <row r="554" spans="1:1" x14ac:dyDescent="0.2">
      <c r="A554" s="19"/>
    </row>
    <row r="555" spans="1:1" x14ac:dyDescent="0.2">
      <c r="A555" s="19"/>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N94"/>
  <sheetViews>
    <sheetView showGridLines="0" zoomScale="120" zoomScaleNormal="120" workbookViewId="0"/>
  </sheetViews>
  <sheetFormatPr defaultColWidth="2.5703125" defaultRowHeight="12.75" x14ac:dyDescent="0.2"/>
  <cols>
    <col min="1" max="1" width="1.5703125" style="35" customWidth="1"/>
    <col min="2" max="2" width="18.7109375" style="35" customWidth="1"/>
    <col min="3" max="3" width="3.42578125" style="35" customWidth="1"/>
    <col min="4" max="4" width="3.5703125" style="35" customWidth="1"/>
    <col min="5" max="5" width="3.42578125" style="35" customWidth="1"/>
    <col min="6" max="6" width="3.140625" style="35" customWidth="1"/>
    <col min="7" max="7" width="3.42578125" style="35" customWidth="1"/>
    <col min="8" max="8" width="3.7109375" style="35" customWidth="1"/>
    <col min="9" max="9" width="3.28515625" style="35" customWidth="1"/>
    <col min="10" max="10" width="3.140625" style="35" customWidth="1"/>
    <col min="11" max="12" width="4.28515625" style="35" customWidth="1"/>
    <col min="13" max="13" width="3" style="35" customWidth="1"/>
    <col min="14" max="14" width="3.7109375" style="35" customWidth="1"/>
    <col min="15" max="15" width="8.5703125" style="35" customWidth="1"/>
    <col min="16" max="16" width="3" style="35" customWidth="1"/>
    <col min="17" max="17" width="13.140625" style="35" customWidth="1"/>
    <col min="18" max="18" width="1.28515625" style="35" customWidth="1"/>
    <col min="19" max="19" width="9.140625" style="35" hidden="1" customWidth="1"/>
    <col min="20" max="21" width="10.85546875" style="35" hidden="1" customWidth="1"/>
    <col min="22" max="22" width="14.42578125" style="35" hidden="1" customWidth="1"/>
    <col min="23" max="23" width="10.7109375" style="2" hidden="1" customWidth="1"/>
    <col min="24" max="24" width="13.42578125" style="35" hidden="1" customWidth="1"/>
    <col min="25" max="26" width="9.140625" style="35" hidden="1" customWidth="1"/>
    <col min="27" max="27" width="9.85546875" style="35" hidden="1" customWidth="1"/>
    <col min="28" max="29" width="9.140625" style="35" hidden="1" customWidth="1"/>
    <col min="30" max="30" width="14.85546875" style="35" hidden="1" customWidth="1"/>
    <col min="31" max="130" width="9.140625" style="35" hidden="1" customWidth="1"/>
    <col min="131" max="255" width="9.140625" style="35" customWidth="1"/>
    <col min="256" max="16384" width="2.5703125" style="35"/>
  </cols>
  <sheetData>
    <row r="1" spans="1:170" ht="15" customHeight="1" x14ac:dyDescent="0.2">
      <c r="B1" s="1339" t="s">
        <v>1733</v>
      </c>
      <c r="C1" s="1389"/>
      <c r="D1" s="1347" t="str">
        <f>IF('Start here'!A6="","",'Start here'!A6)</f>
        <v/>
      </c>
      <c r="E1" s="1351"/>
      <c r="F1" s="1351"/>
      <c r="G1" s="1351"/>
      <c r="H1" s="1351"/>
      <c r="I1" s="1351"/>
      <c r="J1" s="1351"/>
      <c r="K1" s="1352"/>
      <c r="M1" s="1347" t="str">
        <f>IF('Start here'!A7="","",'Start here'!A7)</f>
        <v/>
      </c>
      <c r="N1" s="1351"/>
      <c r="O1" s="1351"/>
      <c r="P1" s="1351"/>
      <c r="Q1" s="1352"/>
      <c r="R1" s="63"/>
      <c r="T1" s="1270" t="s">
        <v>2330</v>
      </c>
      <c r="U1" s="694" t="str">
        <f>IF('Start here'!A9="","",'Start here'!A9)</f>
        <v/>
      </c>
      <c r="V1" s="1270" t="s">
        <v>2329</v>
      </c>
      <c r="W1" s="694" t="str">
        <f>IF('Start here'!A11="","",'Start here'!A11)</f>
        <v/>
      </c>
      <c r="X1" s="1270" t="s">
        <v>2331</v>
      </c>
      <c r="Y1" s="1270" t="str">
        <f>IF(OR(U1="",W1=""),"",DATEDIF(U1,W1,"y"))</f>
        <v/>
      </c>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ht="12" customHeight="1" x14ac:dyDescent="0.2">
      <c r="B2" s="1395"/>
      <c r="C2" s="1395"/>
      <c r="D2" s="1395"/>
      <c r="E2" s="1395"/>
      <c r="F2" s="1395"/>
      <c r="G2" s="1395"/>
      <c r="H2" s="1395"/>
      <c r="I2" s="1395"/>
      <c r="J2" s="1395"/>
      <c r="K2" s="1395"/>
      <c r="L2" s="1395"/>
      <c r="M2" s="1395"/>
      <c r="N2" s="1395"/>
      <c r="O2" s="1395"/>
      <c r="P2" s="1395"/>
      <c r="Q2" s="1395"/>
    </row>
    <row r="3" spans="1:170" ht="36" customHeight="1" x14ac:dyDescent="0.3">
      <c r="A3" s="189"/>
      <c r="B3" s="1528" t="str">
        <f>IF(N51="",T3,IF(N51&gt;S43,T4,T3))</f>
        <v>Permanent Partial Disability Determination
for dates of injury before 1/1/2005</v>
      </c>
      <c r="C3" s="1529"/>
      <c r="D3" s="1529"/>
      <c r="E3" s="1529"/>
      <c r="F3" s="1530"/>
      <c r="G3" s="1529"/>
      <c r="H3" s="1529"/>
      <c r="I3" s="1529"/>
      <c r="J3" s="1529"/>
      <c r="K3" s="1529"/>
      <c r="L3" s="1529"/>
      <c r="M3" s="1529"/>
      <c r="N3" s="1529"/>
      <c r="O3" s="1529"/>
      <c r="P3" s="1529"/>
      <c r="Q3" s="1529"/>
      <c r="T3" s="69" t="s">
        <v>2185</v>
      </c>
    </row>
    <row r="4" spans="1:170" ht="18" customHeight="1" x14ac:dyDescent="0.25">
      <c r="B4" s="1533" t="s">
        <v>1133</v>
      </c>
      <c r="C4" s="1533"/>
      <c r="D4" s="1533"/>
      <c r="E4" s="1533"/>
      <c r="F4" s="1533"/>
      <c r="G4" s="1533"/>
      <c r="H4" s="1533"/>
      <c r="I4" s="1533"/>
      <c r="J4" s="1533"/>
      <c r="K4" s="1533"/>
      <c r="L4" s="1533"/>
      <c r="M4" s="1533"/>
      <c r="N4" s="1533"/>
      <c r="O4" s="1533"/>
      <c r="P4" s="1533"/>
      <c r="Q4" s="1533"/>
      <c r="T4" s="35" t="s">
        <v>2184</v>
      </c>
    </row>
    <row r="5" spans="1:170" ht="25.5" customHeight="1" x14ac:dyDescent="0.2">
      <c r="B5" s="24" t="s">
        <v>67</v>
      </c>
      <c r="C5" s="1534" t="s">
        <v>1796</v>
      </c>
      <c r="D5" s="1534"/>
      <c r="E5" s="1534"/>
      <c r="F5" s="23"/>
      <c r="G5" s="1531" t="s">
        <v>1059</v>
      </c>
      <c r="H5" s="1535"/>
      <c r="I5" s="1532"/>
      <c r="J5" s="23"/>
      <c r="K5" s="1536" t="s">
        <v>365</v>
      </c>
      <c r="L5" s="1536"/>
      <c r="M5" s="24"/>
      <c r="N5" s="1531" t="s">
        <v>1890</v>
      </c>
      <c r="O5" s="1532"/>
      <c r="P5" s="430"/>
      <c r="Q5" s="23" t="s">
        <v>1192</v>
      </c>
    </row>
    <row r="6" spans="1:170" ht="17.45" customHeight="1" x14ac:dyDescent="0.2">
      <c r="B6" s="190" t="s">
        <v>889</v>
      </c>
      <c r="C6" s="1383">
        <f>'Upper Extremity-Right'!R636</f>
        <v>0</v>
      </c>
      <c r="D6" s="1384"/>
      <c r="E6" s="1385"/>
      <c r="F6" s="23" t="s">
        <v>1791</v>
      </c>
      <c r="G6" s="1346">
        <v>192</v>
      </c>
      <c r="H6" s="1346"/>
      <c r="I6" s="1346"/>
      <c r="J6" s="23" t="s">
        <v>1793</v>
      </c>
      <c r="K6" s="1506">
        <f t="shared" ref="K6:K14" si="0">ROUND(C6*G6,2)</f>
        <v>0</v>
      </c>
      <c r="L6" s="1507"/>
      <c r="M6" s="23" t="s">
        <v>1791</v>
      </c>
      <c r="N6" s="1360">
        <f>IF(C6&gt;0,'Dol Per Deg'!$H$11,0)</f>
        <v>0</v>
      </c>
      <c r="O6" s="1470"/>
      <c r="P6" s="23" t="s">
        <v>1793</v>
      </c>
      <c r="Q6" s="197">
        <f t="shared" ref="Q6:Q33" si="1">ROUND(K6*N6,2)</f>
        <v>0</v>
      </c>
      <c r="T6" s="35" t="s">
        <v>364</v>
      </c>
    </row>
    <row r="7" spans="1:170" ht="17.45" customHeight="1" x14ac:dyDescent="0.2">
      <c r="B7" s="190" t="s">
        <v>615</v>
      </c>
      <c r="C7" s="1342">
        <f>'Upper Extremity-Right'!R635</f>
        <v>0</v>
      </c>
      <c r="D7" s="1343"/>
      <c r="E7" s="1344"/>
      <c r="F7" s="23" t="s">
        <v>1791</v>
      </c>
      <c r="G7" s="1347">
        <v>150</v>
      </c>
      <c r="H7" s="1351"/>
      <c r="I7" s="1352"/>
      <c r="J7" s="23" t="s">
        <v>1793</v>
      </c>
      <c r="K7" s="1506">
        <f t="shared" si="0"/>
        <v>0</v>
      </c>
      <c r="L7" s="1507"/>
      <c r="M7" s="23" t="s">
        <v>1791</v>
      </c>
      <c r="N7" s="1360">
        <f>IF(C7&gt;0,'Dol Per Deg'!$H$11,0)</f>
        <v>0</v>
      </c>
      <c r="O7" s="1470"/>
      <c r="P7" s="23" t="s">
        <v>1793</v>
      </c>
      <c r="Q7" s="197">
        <f t="shared" si="1"/>
        <v>0</v>
      </c>
      <c r="T7" s="35" t="s">
        <v>1217</v>
      </c>
    </row>
    <row r="8" spans="1:170" ht="17.45" customHeight="1" x14ac:dyDescent="0.2">
      <c r="B8" s="190" t="s">
        <v>1937</v>
      </c>
      <c r="C8" s="1342">
        <f>'Upper Extremity-Right'!R630</f>
        <v>0</v>
      </c>
      <c r="D8" s="1343"/>
      <c r="E8" s="1344"/>
      <c r="F8" s="23" t="s">
        <v>1791</v>
      </c>
      <c r="G8" s="1347">
        <v>48</v>
      </c>
      <c r="H8" s="1351"/>
      <c r="I8" s="1352"/>
      <c r="J8" s="23" t="s">
        <v>1793</v>
      </c>
      <c r="K8" s="1506">
        <f t="shared" si="0"/>
        <v>0</v>
      </c>
      <c r="L8" s="1507"/>
      <c r="M8" s="23" t="s">
        <v>1791</v>
      </c>
      <c r="N8" s="1360">
        <f>IF(C8&gt;0,'Dol Per Deg'!$H$11,0)</f>
        <v>0</v>
      </c>
      <c r="O8" s="1470"/>
      <c r="P8" s="23" t="s">
        <v>1793</v>
      </c>
      <c r="Q8" s="197">
        <f t="shared" si="1"/>
        <v>0</v>
      </c>
      <c r="T8" s="35" t="s">
        <v>1183</v>
      </c>
    </row>
    <row r="9" spans="1:170" ht="17.45" customHeight="1" x14ac:dyDescent="0.2">
      <c r="B9" s="190" t="s">
        <v>115</v>
      </c>
      <c r="C9" s="1342">
        <f>'Upper Extremity-Right'!R631</f>
        <v>0</v>
      </c>
      <c r="D9" s="1343"/>
      <c r="E9" s="1344"/>
      <c r="F9" s="23" t="s">
        <v>1791</v>
      </c>
      <c r="G9" s="1347">
        <v>24</v>
      </c>
      <c r="H9" s="1351"/>
      <c r="I9" s="1352"/>
      <c r="J9" s="23" t="s">
        <v>1793</v>
      </c>
      <c r="K9" s="1506">
        <f t="shared" si="0"/>
        <v>0</v>
      </c>
      <c r="L9" s="1507"/>
      <c r="M9" s="23" t="s">
        <v>1791</v>
      </c>
      <c r="N9" s="1360">
        <f>IF(C9&gt;0,'Dol Per Deg'!$H$11,0)</f>
        <v>0</v>
      </c>
      <c r="O9" s="1470"/>
      <c r="P9" s="23" t="s">
        <v>1793</v>
      </c>
      <c r="Q9" s="197">
        <f t="shared" si="1"/>
        <v>0</v>
      </c>
      <c r="T9" s="35" t="s">
        <v>957</v>
      </c>
    </row>
    <row r="10" spans="1:170" ht="17.45" customHeight="1" x14ac:dyDescent="0.2">
      <c r="B10" s="190" t="s">
        <v>117</v>
      </c>
      <c r="C10" s="1342">
        <f>'Upper Extremity-Right'!R632</f>
        <v>0</v>
      </c>
      <c r="D10" s="1343"/>
      <c r="E10" s="1344"/>
      <c r="F10" s="23" t="s">
        <v>1791</v>
      </c>
      <c r="G10" s="1347">
        <v>22</v>
      </c>
      <c r="H10" s="1351"/>
      <c r="I10" s="1352"/>
      <c r="J10" s="23" t="s">
        <v>1793</v>
      </c>
      <c r="K10" s="1506">
        <f t="shared" si="0"/>
        <v>0</v>
      </c>
      <c r="L10" s="1507"/>
      <c r="M10" s="23" t="s">
        <v>1791</v>
      </c>
      <c r="N10" s="1360">
        <f>IF(C10&gt;0,'Dol Per Deg'!$H$11,0)</f>
        <v>0</v>
      </c>
      <c r="O10" s="1470"/>
      <c r="P10" s="23" t="s">
        <v>1793</v>
      </c>
      <c r="Q10" s="197">
        <f t="shared" si="1"/>
        <v>0</v>
      </c>
      <c r="T10" s="35" t="s">
        <v>886</v>
      </c>
    </row>
    <row r="11" spans="1:170" ht="17.45" customHeight="1" x14ac:dyDescent="0.2">
      <c r="B11" s="190" t="s">
        <v>119</v>
      </c>
      <c r="C11" s="1342">
        <f>'Upper Extremity-Right'!R633</f>
        <v>0</v>
      </c>
      <c r="D11" s="1343"/>
      <c r="E11" s="1344"/>
      <c r="F11" s="23" t="s">
        <v>1791</v>
      </c>
      <c r="G11" s="1347">
        <v>10</v>
      </c>
      <c r="H11" s="1351"/>
      <c r="I11" s="1352"/>
      <c r="J11" s="23" t="s">
        <v>1793</v>
      </c>
      <c r="K11" s="1506">
        <f t="shared" si="0"/>
        <v>0</v>
      </c>
      <c r="L11" s="1507"/>
      <c r="M11" s="23" t="s">
        <v>1791</v>
      </c>
      <c r="N11" s="1360">
        <f>IF(C11&gt;0,'Dol Per Deg'!$H$11,0)</f>
        <v>0</v>
      </c>
      <c r="O11" s="1470"/>
      <c r="P11" s="23" t="s">
        <v>1793</v>
      </c>
      <c r="Q11" s="197">
        <f t="shared" si="1"/>
        <v>0</v>
      </c>
    </row>
    <row r="12" spans="1:170" ht="17.45" customHeight="1" x14ac:dyDescent="0.2">
      <c r="B12" s="190" t="s">
        <v>1390</v>
      </c>
      <c r="C12" s="1342">
        <f>'Upper Extremity-Right'!R634</f>
        <v>0</v>
      </c>
      <c r="D12" s="1343"/>
      <c r="E12" s="1344"/>
      <c r="F12" s="23" t="s">
        <v>1791</v>
      </c>
      <c r="G12" s="1347">
        <v>6</v>
      </c>
      <c r="H12" s="1351"/>
      <c r="I12" s="1352"/>
      <c r="J12" s="23" t="s">
        <v>1793</v>
      </c>
      <c r="K12" s="1506">
        <f t="shared" si="0"/>
        <v>0</v>
      </c>
      <c r="L12" s="1507"/>
      <c r="M12" s="23" t="s">
        <v>1791</v>
      </c>
      <c r="N12" s="1360">
        <f>IF(C12&gt;0,'Dol Per Deg'!$H$11,0)</f>
        <v>0</v>
      </c>
      <c r="O12" s="1470"/>
      <c r="P12" s="23" t="s">
        <v>1793</v>
      </c>
      <c r="Q12" s="197">
        <f t="shared" si="1"/>
        <v>0</v>
      </c>
      <c r="T12" s="60" t="s">
        <v>2156</v>
      </c>
    </row>
    <row r="13" spans="1:170" ht="17.45" customHeight="1" x14ac:dyDescent="0.2">
      <c r="B13" s="190" t="s">
        <v>1932</v>
      </c>
      <c r="C13" s="1342">
        <f>'Upper Extremity-Left'!R636</f>
        <v>0</v>
      </c>
      <c r="D13" s="1351"/>
      <c r="E13" s="1352"/>
      <c r="F13" s="23" t="s">
        <v>1791</v>
      </c>
      <c r="G13" s="1347">
        <v>192</v>
      </c>
      <c r="H13" s="1351"/>
      <c r="I13" s="1352"/>
      <c r="J13" s="23" t="s">
        <v>1793</v>
      </c>
      <c r="K13" s="1506">
        <f t="shared" si="0"/>
        <v>0</v>
      </c>
      <c r="L13" s="1507"/>
      <c r="M13" s="23" t="s">
        <v>1791</v>
      </c>
      <c r="N13" s="1360">
        <f>IF(C13&gt;0,'Dol Per Deg'!$H$11,0)</f>
        <v>0</v>
      </c>
      <c r="O13" s="1470"/>
      <c r="P13" s="23" t="s">
        <v>1793</v>
      </c>
      <c r="Q13" s="197">
        <f t="shared" si="1"/>
        <v>0</v>
      </c>
      <c r="T13" s="60" t="s">
        <v>2157</v>
      </c>
    </row>
    <row r="14" spans="1:170" ht="17.45" customHeight="1" x14ac:dyDescent="0.2">
      <c r="B14" s="190" t="s">
        <v>1536</v>
      </c>
      <c r="C14" s="1342">
        <f>'Upper Extremity-Left'!R635</f>
        <v>0</v>
      </c>
      <c r="D14" s="1351"/>
      <c r="E14" s="1352"/>
      <c r="F14" s="23" t="s">
        <v>1791</v>
      </c>
      <c r="G14" s="1347">
        <v>150</v>
      </c>
      <c r="H14" s="1351"/>
      <c r="I14" s="1352"/>
      <c r="J14" s="23" t="s">
        <v>1793</v>
      </c>
      <c r="K14" s="1506">
        <f t="shared" si="0"/>
        <v>0</v>
      </c>
      <c r="L14" s="1507"/>
      <c r="M14" s="23" t="s">
        <v>1791</v>
      </c>
      <c r="N14" s="1360">
        <f>IF(C14&gt;0,'Dol Per Deg'!$H$11,0)</f>
        <v>0</v>
      </c>
      <c r="O14" s="1470"/>
      <c r="P14" s="23" t="s">
        <v>1793</v>
      </c>
      <c r="Q14" s="197">
        <f t="shared" si="1"/>
        <v>0</v>
      </c>
      <c r="T14" s="10"/>
    </row>
    <row r="15" spans="1:170" ht="17.45" customHeight="1" x14ac:dyDescent="0.2">
      <c r="B15" s="190" t="s">
        <v>942</v>
      </c>
      <c r="C15" s="1342">
        <f>'Upper Extremity-Left'!R630</f>
        <v>0</v>
      </c>
      <c r="D15" s="1351"/>
      <c r="E15" s="1352"/>
      <c r="F15" s="23" t="s">
        <v>1791</v>
      </c>
      <c r="G15" s="1347">
        <v>48</v>
      </c>
      <c r="H15" s="1351"/>
      <c r="I15" s="1352"/>
      <c r="J15" s="23" t="s">
        <v>1793</v>
      </c>
      <c r="K15" s="1506">
        <f>ROUND(C15*G15,2)</f>
        <v>0</v>
      </c>
      <c r="L15" s="1507"/>
      <c r="M15" s="23" t="s">
        <v>1791</v>
      </c>
      <c r="N15" s="1360">
        <f>IF(C15&gt;0,'Dol Per Deg'!$H$11,0)</f>
        <v>0</v>
      </c>
      <c r="O15" s="1470"/>
      <c r="P15" s="23" t="s">
        <v>1793</v>
      </c>
      <c r="Q15" s="197">
        <f t="shared" si="1"/>
        <v>0</v>
      </c>
      <c r="T15" s="10"/>
    </row>
    <row r="16" spans="1:170" ht="17.45" customHeight="1" x14ac:dyDescent="0.2">
      <c r="B16" s="190" t="s">
        <v>1416</v>
      </c>
      <c r="C16" s="1342">
        <f>'Upper Extremity-Left'!R631</f>
        <v>0</v>
      </c>
      <c r="D16" s="1351"/>
      <c r="E16" s="1352"/>
      <c r="F16" s="23" t="s">
        <v>1791</v>
      </c>
      <c r="G16" s="1347">
        <v>24</v>
      </c>
      <c r="H16" s="1351"/>
      <c r="I16" s="1352"/>
      <c r="J16" s="23" t="s">
        <v>1793</v>
      </c>
      <c r="K16" s="1506">
        <f>ROUND(C16*G16,2)</f>
        <v>0</v>
      </c>
      <c r="L16" s="1507"/>
      <c r="M16" s="23" t="s">
        <v>1791</v>
      </c>
      <c r="N16" s="1360">
        <f>IF(C16&gt;0,'Dol Per Deg'!$H$11,0)</f>
        <v>0</v>
      </c>
      <c r="O16" s="1470"/>
      <c r="P16" s="23" t="s">
        <v>1793</v>
      </c>
      <c r="Q16" s="197">
        <f t="shared" si="1"/>
        <v>0</v>
      </c>
      <c r="T16" s="10"/>
    </row>
    <row r="17" spans="2:33" ht="17.45" customHeight="1" x14ac:dyDescent="0.2">
      <c r="B17" s="190" t="s">
        <v>584</v>
      </c>
      <c r="C17" s="1342">
        <f>'Upper Extremity-Left'!R632</f>
        <v>0</v>
      </c>
      <c r="D17" s="1351"/>
      <c r="E17" s="1352"/>
      <c r="F17" s="23" t="s">
        <v>1791</v>
      </c>
      <c r="G17" s="1347">
        <v>22</v>
      </c>
      <c r="H17" s="1351"/>
      <c r="I17" s="1352"/>
      <c r="J17" s="23" t="s">
        <v>1793</v>
      </c>
      <c r="K17" s="1506">
        <f>ROUND(C17*G17,2)</f>
        <v>0</v>
      </c>
      <c r="L17" s="1507"/>
      <c r="M17" s="23" t="s">
        <v>1791</v>
      </c>
      <c r="N17" s="1360">
        <f>IF(C17&gt;0,'Dol Per Deg'!$H$11,0)</f>
        <v>0</v>
      </c>
      <c r="O17" s="1470"/>
      <c r="P17" s="23" t="s">
        <v>1793</v>
      </c>
      <c r="Q17" s="197">
        <f t="shared" si="1"/>
        <v>0</v>
      </c>
      <c r="T17" s="10"/>
    </row>
    <row r="18" spans="2:33" ht="17.45" customHeight="1" x14ac:dyDescent="0.2">
      <c r="B18" s="190" t="s">
        <v>1454</v>
      </c>
      <c r="C18" s="1342">
        <f>'Upper Extremity-Left'!R633</f>
        <v>0</v>
      </c>
      <c r="D18" s="1351"/>
      <c r="E18" s="1352"/>
      <c r="F18" s="23" t="s">
        <v>1791</v>
      </c>
      <c r="G18" s="1347">
        <v>10</v>
      </c>
      <c r="H18" s="1351"/>
      <c r="I18" s="1352"/>
      <c r="J18" s="23" t="s">
        <v>1793</v>
      </c>
      <c r="K18" s="1506">
        <f>ROUND(C18*G18,2)</f>
        <v>0</v>
      </c>
      <c r="L18" s="1507"/>
      <c r="M18" s="23" t="s">
        <v>1791</v>
      </c>
      <c r="N18" s="1360">
        <f>IF(C18&gt;0,'Dol Per Deg'!$H$11,0)</f>
        <v>0</v>
      </c>
      <c r="O18" s="1470"/>
      <c r="P18" s="23" t="s">
        <v>1793</v>
      </c>
      <c r="Q18" s="197">
        <f t="shared" si="1"/>
        <v>0</v>
      </c>
      <c r="T18" s="10"/>
    </row>
    <row r="19" spans="2:33" ht="17.45" customHeight="1" x14ac:dyDescent="0.2">
      <c r="B19" s="190" t="s">
        <v>1667</v>
      </c>
      <c r="C19" s="1342">
        <f>'Upper Extremity-Left'!R634</f>
        <v>0</v>
      </c>
      <c r="D19" s="1351"/>
      <c r="E19" s="1352"/>
      <c r="F19" s="23" t="s">
        <v>1791</v>
      </c>
      <c r="G19" s="1347">
        <v>6</v>
      </c>
      <c r="H19" s="1351"/>
      <c r="I19" s="1352"/>
      <c r="J19" s="23" t="s">
        <v>1793</v>
      </c>
      <c r="K19" s="1506">
        <f>ROUND(C19*G19,2)</f>
        <v>0</v>
      </c>
      <c r="L19" s="1507"/>
      <c r="M19" s="23" t="s">
        <v>1791</v>
      </c>
      <c r="N19" s="1360">
        <f>IF(C19&gt;0,'Dol Per Deg'!$H$11,0)</f>
        <v>0</v>
      </c>
      <c r="O19" s="1470"/>
      <c r="P19" s="23" t="s">
        <v>1793</v>
      </c>
      <c r="Q19" s="197">
        <f t="shared" si="1"/>
        <v>0</v>
      </c>
      <c r="T19" s="10"/>
    </row>
    <row r="20" spans="2:33" ht="17.45" customHeight="1" x14ac:dyDescent="0.2">
      <c r="B20" s="190" t="s">
        <v>1364</v>
      </c>
      <c r="C20" s="1353">
        <f>'Lower Extremity-Right'!R499</f>
        <v>0</v>
      </c>
      <c r="D20" s="1354"/>
      <c r="E20" s="1355"/>
      <c r="F20" s="23" t="s">
        <v>1791</v>
      </c>
      <c r="G20" s="1346">
        <v>150</v>
      </c>
      <c r="H20" s="1346"/>
      <c r="I20" s="1346"/>
      <c r="J20" s="23" t="s">
        <v>1793</v>
      </c>
      <c r="K20" s="1506">
        <f t="shared" ref="K20:K26" si="2">ROUND(C20*G20,2)</f>
        <v>0</v>
      </c>
      <c r="L20" s="1507"/>
      <c r="M20" s="23" t="s">
        <v>1791</v>
      </c>
      <c r="N20" s="1360">
        <f>IF(C20&gt;0,'Dol Per Deg'!$H$11,0)</f>
        <v>0</v>
      </c>
      <c r="O20" s="1470"/>
      <c r="P20" s="23" t="s">
        <v>1793</v>
      </c>
      <c r="Q20" s="197">
        <f t="shared" si="1"/>
        <v>0</v>
      </c>
      <c r="T20" s="10"/>
    </row>
    <row r="21" spans="2:33" ht="17.45" customHeight="1" x14ac:dyDescent="0.2">
      <c r="B21" s="190" t="s">
        <v>1345</v>
      </c>
      <c r="C21" s="1353">
        <f>'Lower Extremity-Right'!R498</f>
        <v>0</v>
      </c>
      <c r="D21" s="1354"/>
      <c r="E21" s="1355"/>
      <c r="F21" s="23" t="s">
        <v>1791</v>
      </c>
      <c r="G21" s="1346">
        <v>135</v>
      </c>
      <c r="H21" s="1346"/>
      <c r="I21" s="1346"/>
      <c r="J21" s="23" t="s">
        <v>1793</v>
      </c>
      <c r="K21" s="1506">
        <f t="shared" si="2"/>
        <v>0</v>
      </c>
      <c r="L21" s="1507"/>
      <c r="M21" s="23" t="s">
        <v>1791</v>
      </c>
      <c r="N21" s="1360">
        <f>IF(C21&gt;0,'Dol Per Deg'!$H$11,0)</f>
        <v>0</v>
      </c>
      <c r="O21" s="1470"/>
      <c r="P21" s="23" t="s">
        <v>1793</v>
      </c>
      <c r="Q21" s="197">
        <f t="shared" si="1"/>
        <v>0</v>
      </c>
      <c r="T21" s="10"/>
      <c r="Z21" s="3"/>
      <c r="AA21" s="29"/>
      <c r="AB21" s="3"/>
      <c r="AC21" s="12"/>
      <c r="AD21" s="3"/>
      <c r="AE21" s="114"/>
      <c r="AF21" s="3"/>
      <c r="AG21" s="114"/>
    </row>
    <row r="22" spans="2:33" ht="17.45" customHeight="1" x14ac:dyDescent="0.2">
      <c r="B22" s="190" t="s">
        <v>1359</v>
      </c>
      <c r="C22" s="1353">
        <f>'Lower Extremity-Right'!R493</f>
        <v>0</v>
      </c>
      <c r="D22" s="1354"/>
      <c r="E22" s="1355"/>
      <c r="F22" s="23" t="s">
        <v>1791</v>
      </c>
      <c r="G22" s="1347">
        <v>18</v>
      </c>
      <c r="H22" s="1351"/>
      <c r="I22" s="1352"/>
      <c r="J22" s="23" t="s">
        <v>1793</v>
      </c>
      <c r="K22" s="1506">
        <f t="shared" si="2"/>
        <v>0</v>
      </c>
      <c r="L22" s="1507"/>
      <c r="M22" s="23" t="s">
        <v>1791</v>
      </c>
      <c r="N22" s="1360">
        <f>IF(C22&gt;0,'Dol Per Deg'!$H$11,0)</f>
        <v>0</v>
      </c>
      <c r="O22" s="1470"/>
      <c r="P22" s="23" t="s">
        <v>1793</v>
      </c>
      <c r="Q22" s="197">
        <f t="shared" si="1"/>
        <v>0</v>
      </c>
      <c r="T22" s="10"/>
      <c r="Z22" s="3"/>
      <c r="AA22" s="29"/>
      <c r="AB22" s="3"/>
      <c r="AC22" s="12"/>
      <c r="AD22" s="3"/>
      <c r="AE22" s="114"/>
      <c r="AF22" s="3"/>
      <c r="AG22" s="114"/>
    </row>
    <row r="23" spans="2:33" ht="17.45" customHeight="1" x14ac:dyDescent="0.2">
      <c r="B23" s="190" t="s">
        <v>240</v>
      </c>
      <c r="C23" s="1353">
        <f>'Lower Extremity-Right'!R494</f>
        <v>0</v>
      </c>
      <c r="D23" s="1354"/>
      <c r="E23" s="1355"/>
      <c r="F23" s="23" t="s">
        <v>1791</v>
      </c>
      <c r="G23" s="1347">
        <v>4</v>
      </c>
      <c r="H23" s="1351"/>
      <c r="I23" s="1352"/>
      <c r="J23" s="23" t="s">
        <v>1793</v>
      </c>
      <c r="K23" s="1506">
        <f t="shared" si="2"/>
        <v>0</v>
      </c>
      <c r="L23" s="1507"/>
      <c r="M23" s="23" t="s">
        <v>1791</v>
      </c>
      <c r="N23" s="1360">
        <f>IF(C23&gt;0,'Dol Per Deg'!$H$11,0)</f>
        <v>0</v>
      </c>
      <c r="O23" s="1470"/>
      <c r="P23" s="23" t="s">
        <v>1793</v>
      </c>
      <c r="Q23" s="197">
        <f t="shared" si="1"/>
        <v>0</v>
      </c>
      <c r="T23" s="10"/>
      <c r="Z23" s="3"/>
      <c r="AA23" s="29"/>
      <c r="AB23" s="3"/>
      <c r="AC23" s="12"/>
      <c r="AD23" s="3"/>
      <c r="AE23" s="114"/>
      <c r="AF23" s="3"/>
      <c r="AG23" s="114"/>
    </row>
    <row r="24" spans="2:33" ht="17.45" customHeight="1" x14ac:dyDescent="0.2">
      <c r="B24" s="190" t="s">
        <v>241</v>
      </c>
      <c r="C24" s="1353">
        <f>'Lower Extremity-Right'!R495</f>
        <v>0</v>
      </c>
      <c r="D24" s="1354"/>
      <c r="E24" s="1355"/>
      <c r="F24" s="23" t="s">
        <v>1791</v>
      </c>
      <c r="G24" s="1346">
        <v>4</v>
      </c>
      <c r="H24" s="1346"/>
      <c r="I24" s="1346"/>
      <c r="J24" s="23" t="s">
        <v>1793</v>
      </c>
      <c r="K24" s="1506">
        <f t="shared" si="2"/>
        <v>0</v>
      </c>
      <c r="L24" s="1507"/>
      <c r="M24" s="23" t="s">
        <v>1791</v>
      </c>
      <c r="N24" s="1360">
        <f>IF(C24&gt;0,'Dol Per Deg'!$H$11,0)</f>
        <v>0</v>
      </c>
      <c r="O24" s="1470"/>
      <c r="P24" s="23" t="s">
        <v>1793</v>
      </c>
      <c r="Q24" s="197">
        <f t="shared" si="1"/>
        <v>0</v>
      </c>
      <c r="T24" s="10"/>
      <c r="Z24" s="3"/>
      <c r="AA24" s="29"/>
      <c r="AB24" s="3"/>
      <c r="AC24" s="12"/>
      <c r="AD24" s="3"/>
      <c r="AE24" s="114"/>
      <c r="AF24" s="3"/>
      <c r="AG24" s="114"/>
    </row>
    <row r="25" spans="2:33" ht="17.45" customHeight="1" x14ac:dyDescent="0.25">
      <c r="B25" s="190" t="s">
        <v>242</v>
      </c>
      <c r="C25" s="1353">
        <f>'Lower Extremity-Right'!R496</f>
        <v>0</v>
      </c>
      <c r="D25" s="1354"/>
      <c r="E25" s="1355"/>
      <c r="F25" s="23" t="s">
        <v>1791</v>
      </c>
      <c r="G25" s="1346">
        <v>4</v>
      </c>
      <c r="H25" s="1346"/>
      <c r="I25" s="1346"/>
      <c r="J25" s="23" t="s">
        <v>1793</v>
      </c>
      <c r="K25" s="1506">
        <f t="shared" si="2"/>
        <v>0</v>
      </c>
      <c r="L25" s="1507"/>
      <c r="M25" s="23" t="s">
        <v>1791</v>
      </c>
      <c r="N25" s="1360">
        <f>IF(C25&gt;0,'Dol Per Deg'!$H$11,0)</f>
        <v>0</v>
      </c>
      <c r="O25" s="1470"/>
      <c r="P25" s="23" t="s">
        <v>1793</v>
      </c>
      <c r="Q25" s="197">
        <f t="shared" si="1"/>
        <v>0</v>
      </c>
      <c r="T25" s="10"/>
      <c r="Z25" s="3"/>
      <c r="AA25" s="29"/>
      <c r="AB25" s="3"/>
      <c r="AC25" s="211"/>
      <c r="AD25" s="3"/>
      <c r="AE25" s="211"/>
      <c r="AF25" s="3"/>
      <c r="AG25" s="211"/>
    </row>
    <row r="26" spans="2:33" ht="17.45" customHeight="1" x14ac:dyDescent="0.2">
      <c r="B26" s="190" t="s">
        <v>243</v>
      </c>
      <c r="C26" s="1353">
        <f>'Lower Extremity-Right'!R497</f>
        <v>0</v>
      </c>
      <c r="D26" s="1354"/>
      <c r="E26" s="1355"/>
      <c r="F26" s="23" t="s">
        <v>1791</v>
      </c>
      <c r="G26" s="1346">
        <v>4</v>
      </c>
      <c r="H26" s="1346"/>
      <c r="I26" s="1346"/>
      <c r="J26" s="23" t="s">
        <v>1793</v>
      </c>
      <c r="K26" s="1506">
        <f t="shared" si="2"/>
        <v>0</v>
      </c>
      <c r="L26" s="1507"/>
      <c r="M26" s="23" t="s">
        <v>1791</v>
      </c>
      <c r="N26" s="1360">
        <f>IF(C26&gt;0,'Dol Per Deg'!$H$11,0)</f>
        <v>0</v>
      </c>
      <c r="O26" s="1470"/>
      <c r="P26" s="23" t="s">
        <v>1793</v>
      </c>
      <c r="Q26" s="197">
        <f t="shared" si="1"/>
        <v>0</v>
      </c>
      <c r="T26" s="10"/>
      <c r="Z26" s="3"/>
      <c r="AA26" s="29"/>
      <c r="AB26" s="3"/>
      <c r="AC26" s="12"/>
      <c r="AD26" s="3"/>
      <c r="AE26" s="114"/>
      <c r="AF26" s="3"/>
      <c r="AG26" s="114"/>
    </row>
    <row r="27" spans="2:33" ht="17.45" customHeight="1" x14ac:dyDescent="0.2">
      <c r="B27" s="190" t="s">
        <v>1244</v>
      </c>
      <c r="C27" s="1353">
        <f>'Lower Extremity-Left'!R499</f>
        <v>0</v>
      </c>
      <c r="D27" s="1354"/>
      <c r="E27" s="1355"/>
      <c r="F27" s="23" t="s">
        <v>1791</v>
      </c>
      <c r="G27" s="1346">
        <v>150</v>
      </c>
      <c r="H27" s="1346"/>
      <c r="I27" s="1346"/>
      <c r="J27" s="23" t="s">
        <v>1793</v>
      </c>
      <c r="K27" s="1506">
        <f t="shared" ref="K27:K33" si="3">ROUND(C27*G27,2)</f>
        <v>0</v>
      </c>
      <c r="L27" s="1507"/>
      <c r="M27" s="23" t="s">
        <v>1791</v>
      </c>
      <c r="N27" s="1360">
        <f>IF(C27&gt;0,'Dol Per Deg'!$H$11,0)</f>
        <v>0</v>
      </c>
      <c r="O27" s="1470"/>
      <c r="P27" s="23" t="s">
        <v>1793</v>
      </c>
      <c r="Q27" s="197">
        <f t="shared" si="1"/>
        <v>0</v>
      </c>
      <c r="T27" s="3"/>
      <c r="Z27" s="3"/>
      <c r="AA27" s="29"/>
      <c r="AB27" s="3"/>
      <c r="AC27" s="12"/>
      <c r="AD27" s="3"/>
      <c r="AE27" s="114"/>
      <c r="AF27" s="3"/>
      <c r="AG27" s="114"/>
    </row>
    <row r="28" spans="2:33" ht="17.45" customHeight="1" x14ac:dyDescent="0.2">
      <c r="B28" s="190" t="s">
        <v>476</v>
      </c>
      <c r="C28" s="1353">
        <f>'Lower Extremity-Left'!R498</f>
        <v>0</v>
      </c>
      <c r="D28" s="1354"/>
      <c r="E28" s="1355"/>
      <c r="F28" s="23" t="s">
        <v>1791</v>
      </c>
      <c r="G28" s="1346">
        <v>135</v>
      </c>
      <c r="H28" s="1346"/>
      <c r="I28" s="1346"/>
      <c r="J28" s="23" t="s">
        <v>1793</v>
      </c>
      <c r="K28" s="1506">
        <f t="shared" si="3"/>
        <v>0</v>
      </c>
      <c r="L28" s="1507"/>
      <c r="M28" s="23" t="s">
        <v>1791</v>
      </c>
      <c r="N28" s="1360">
        <f>IF(C28&gt;0,'Dol Per Deg'!$H$11,0)</f>
        <v>0</v>
      </c>
      <c r="O28" s="1470"/>
      <c r="P28" s="23" t="s">
        <v>1793</v>
      </c>
      <c r="Q28" s="197">
        <f t="shared" si="1"/>
        <v>0</v>
      </c>
      <c r="T28" s="3"/>
      <c r="Z28" s="3"/>
      <c r="AA28" s="29"/>
      <c r="AB28" s="3"/>
      <c r="AC28" s="12"/>
      <c r="AD28" s="3"/>
      <c r="AE28" s="114"/>
      <c r="AF28" s="3"/>
      <c r="AG28" s="114"/>
    </row>
    <row r="29" spans="2:33" ht="17.45" customHeight="1" x14ac:dyDescent="0.2">
      <c r="B29" s="190" t="s">
        <v>1365</v>
      </c>
      <c r="C29" s="1353">
        <f>'Lower Extremity-Left'!R493</f>
        <v>0</v>
      </c>
      <c r="D29" s="1354"/>
      <c r="E29" s="1355"/>
      <c r="F29" s="23" t="s">
        <v>1791</v>
      </c>
      <c r="G29" s="1347">
        <v>18</v>
      </c>
      <c r="H29" s="1351"/>
      <c r="I29" s="1352"/>
      <c r="J29" s="23" t="s">
        <v>1793</v>
      </c>
      <c r="K29" s="1506">
        <f t="shared" si="3"/>
        <v>0</v>
      </c>
      <c r="L29" s="1507"/>
      <c r="M29" s="23" t="s">
        <v>1791</v>
      </c>
      <c r="N29" s="1360">
        <f>IF(C29&gt;0,'Dol Per Deg'!$H$11,0)</f>
        <v>0</v>
      </c>
      <c r="O29" s="1470"/>
      <c r="P29" s="23" t="s">
        <v>1793</v>
      </c>
      <c r="Q29" s="197">
        <f t="shared" si="1"/>
        <v>0</v>
      </c>
      <c r="T29" s="3"/>
      <c r="Z29" s="3"/>
      <c r="AA29" s="29"/>
      <c r="AB29" s="3"/>
      <c r="AC29" s="12"/>
      <c r="AD29" s="3"/>
      <c r="AE29" s="114"/>
      <c r="AF29" s="3"/>
      <c r="AG29" s="114"/>
    </row>
    <row r="30" spans="2:33" ht="17.45" customHeight="1" x14ac:dyDescent="0.2">
      <c r="B30" s="190" t="s">
        <v>1366</v>
      </c>
      <c r="C30" s="1353">
        <f>'Lower Extremity-Left'!R494</f>
        <v>0</v>
      </c>
      <c r="D30" s="1354"/>
      <c r="E30" s="1355"/>
      <c r="F30" s="23" t="s">
        <v>1791</v>
      </c>
      <c r="G30" s="1347">
        <v>4</v>
      </c>
      <c r="H30" s="1351"/>
      <c r="I30" s="1352"/>
      <c r="J30" s="23" t="s">
        <v>1793</v>
      </c>
      <c r="K30" s="1506">
        <f t="shared" si="3"/>
        <v>0</v>
      </c>
      <c r="L30" s="1507"/>
      <c r="M30" s="23" t="s">
        <v>1791</v>
      </c>
      <c r="N30" s="1360">
        <f>IF(C30&gt;0,'Dol Per Deg'!$H$11,0)</f>
        <v>0</v>
      </c>
      <c r="O30" s="1470"/>
      <c r="P30" s="23" t="s">
        <v>1793</v>
      </c>
      <c r="Q30" s="197">
        <f t="shared" si="1"/>
        <v>0</v>
      </c>
      <c r="Z30" s="3"/>
      <c r="AA30" s="29"/>
      <c r="AB30" s="3"/>
      <c r="AC30" s="12"/>
      <c r="AD30" s="3"/>
      <c r="AE30" s="114"/>
      <c r="AF30" s="3"/>
      <c r="AG30" s="114"/>
    </row>
    <row r="31" spans="2:33" ht="17.45" customHeight="1" x14ac:dyDescent="0.2">
      <c r="B31" s="190" t="s">
        <v>1367</v>
      </c>
      <c r="C31" s="1353">
        <f>'Lower Extremity-Left'!R495</f>
        <v>0</v>
      </c>
      <c r="D31" s="1354"/>
      <c r="E31" s="1355"/>
      <c r="F31" s="23" t="s">
        <v>1791</v>
      </c>
      <c r="G31" s="1346">
        <v>4</v>
      </c>
      <c r="H31" s="1346"/>
      <c r="I31" s="1346"/>
      <c r="J31" s="23" t="s">
        <v>1793</v>
      </c>
      <c r="K31" s="1506">
        <f t="shared" si="3"/>
        <v>0</v>
      </c>
      <c r="L31" s="1507"/>
      <c r="M31" s="23" t="s">
        <v>1791</v>
      </c>
      <c r="N31" s="1360">
        <f>IF(C31&gt;0,'Dol Per Deg'!$H$11,0)</f>
        <v>0</v>
      </c>
      <c r="O31" s="1470"/>
      <c r="P31" s="23" t="s">
        <v>1793</v>
      </c>
      <c r="Q31" s="197">
        <f t="shared" si="1"/>
        <v>0</v>
      </c>
      <c r="Z31" s="3"/>
      <c r="AA31" s="29"/>
      <c r="AB31" s="3"/>
      <c r="AC31" s="12"/>
      <c r="AD31" s="3"/>
      <c r="AE31" s="114"/>
      <c r="AF31" s="3"/>
      <c r="AG31" s="114"/>
    </row>
    <row r="32" spans="2:33" ht="17.45" customHeight="1" x14ac:dyDescent="0.2">
      <c r="B32" s="190" t="s">
        <v>1368</v>
      </c>
      <c r="C32" s="1353">
        <f>'Lower Extremity-Left'!R496</f>
        <v>0</v>
      </c>
      <c r="D32" s="1354"/>
      <c r="E32" s="1355"/>
      <c r="F32" s="23" t="s">
        <v>1791</v>
      </c>
      <c r="G32" s="1346">
        <v>4</v>
      </c>
      <c r="H32" s="1346"/>
      <c r="I32" s="1346"/>
      <c r="J32" s="23" t="s">
        <v>1793</v>
      </c>
      <c r="K32" s="1506">
        <f t="shared" si="3"/>
        <v>0</v>
      </c>
      <c r="L32" s="1507"/>
      <c r="M32" s="23" t="s">
        <v>1791</v>
      </c>
      <c r="N32" s="1360">
        <f>IF(C32&gt;0,'Dol Per Deg'!$H$11,0)</f>
        <v>0</v>
      </c>
      <c r="O32" s="1470"/>
      <c r="P32" s="23" t="s">
        <v>1793</v>
      </c>
      <c r="Q32" s="197">
        <f t="shared" si="1"/>
        <v>0</v>
      </c>
      <c r="Z32" s="3"/>
      <c r="AA32" s="29"/>
      <c r="AB32" s="3"/>
      <c r="AC32" s="12"/>
      <c r="AD32" s="3"/>
      <c r="AE32" s="114"/>
      <c r="AF32" s="3"/>
      <c r="AG32" s="114"/>
    </row>
    <row r="33" spans="1:33" ht="17.45" customHeight="1" x14ac:dyDescent="0.2">
      <c r="B33" s="190" t="s">
        <v>1369</v>
      </c>
      <c r="C33" s="1353">
        <f>'Lower Extremity-Left'!R497</f>
        <v>0</v>
      </c>
      <c r="D33" s="1354"/>
      <c r="E33" s="1355"/>
      <c r="F33" s="23" t="s">
        <v>1791</v>
      </c>
      <c r="G33" s="1346">
        <v>4</v>
      </c>
      <c r="H33" s="1346"/>
      <c r="I33" s="1346"/>
      <c r="J33" s="23" t="s">
        <v>1793</v>
      </c>
      <c r="K33" s="1506">
        <f t="shared" si="3"/>
        <v>0</v>
      </c>
      <c r="L33" s="1507"/>
      <c r="M33" s="23" t="s">
        <v>1791</v>
      </c>
      <c r="N33" s="1360">
        <f>IF(C33&gt;0,'Dol Per Deg'!$H$11,0)</f>
        <v>0</v>
      </c>
      <c r="O33" s="1470"/>
      <c r="P33" s="23" t="s">
        <v>1793</v>
      </c>
      <c r="Q33" s="197">
        <f t="shared" si="1"/>
        <v>0</v>
      </c>
      <c r="Z33" s="3"/>
      <c r="AA33" s="29"/>
      <c r="AB33" s="3"/>
      <c r="AC33" s="12"/>
      <c r="AD33" s="3"/>
      <c r="AE33" s="114"/>
      <c r="AF33" s="3"/>
      <c r="AG33" s="114"/>
    </row>
    <row r="34" spans="1:33" ht="17.45" customHeight="1" x14ac:dyDescent="0.2">
      <c r="B34" s="190" t="s">
        <v>29</v>
      </c>
      <c r="C34" s="1421">
        <f>Hearing!C44</f>
        <v>0</v>
      </c>
      <c r="D34" s="1351"/>
      <c r="E34" s="1352"/>
      <c r="F34" s="23" t="s">
        <v>1791</v>
      </c>
      <c r="G34" s="1346">
        <v>60</v>
      </c>
      <c r="H34" s="1346"/>
      <c r="I34" s="1346"/>
      <c r="J34" s="23" t="s">
        <v>1793</v>
      </c>
      <c r="K34" s="1506">
        <f t="shared" ref="K34:K39" si="4">ROUND(C34*G34,2)</f>
        <v>0</v>
      </c>
      <c r="L34" s="1507"/>
      <c r="M34" s="23" t="s">
        <v>1791</v>
      </c>
      <c r="N34" s="1360">
        <f>IF(C34&gt;0,'Dol Per Deg'!$H$11,0)</f>
        <v>0</v>
      </c>
      <c r="O34" s="1470"/>
      <c r="P34" s="23" t="s">
        <v>1793</v>
      </c>
      <c r="Q34" s="216">
        <f>IF(T34=4,"See below.",ROUND(K34*N34,2))</f>
        <v>0</v>
      </c>
      <c r="T34" s="17">
        <f>Hearing!S50</f>
        <v>0</v>
      </c>
      <c r="Z34" s="3"/>
      <c r="AA34" s="29"/>
      <c r="AB34" s="3"/>
      <c r="AC34" s="12"/>
      <c r="AD34" s="3"/>
      <c r="AE34" s="114"/>
      <c r="AF34" s="3"/>
      <c r="AG34" s="114"/>
    </row>
    <row r="35" spans="1:33" ht="17.45" customHeight="1" x14ac:dyDescent="0.2">
      <c r="B35" s="190" t="s">
        <v>30</v>
      </c>
      <c r="C35" s="1491">
        <f>Hearing!C45</f>
        <v>0</v>
      </c>
      <c r="D35" s="1491"/>
      <c r="E35" s="1491"/>
      <c r="F35" s="23" t="s">
        <v>1791</v>
      </c>
      <c r="G35" s="1346">
        <v>60</v>
      </c>
      <c r="H35" s="1346"/>
      <c r="I35" s="1346"/>
      <c r="J35" s="23" t="s">
        <v>1793</v>
      </c>
      <c r="K35" s="1468">
        <f t="shared" si="4"/>
        <v>0</v>
      </c>
      <c r="L35" s="1468"/>
      <c r="M35" s="23" t="s">
        <v>1791</v>
      </c>
      <c r="N35" s="1360">
        <f>IF(C35&gt;0,'Dol Per Deg'!$H$11,0)</f>
        <v>0</v>
      </c>
      <c r="O35" s="1470"/>
      <c r="P35" s="23" t="s">
        <v>1793</v>
      </c>
      <c r="Q35" s="216">
        <f>IF(T34=4,"See below.",ROUND(K35*N35,2))</f>
        <v>0</v>
      </c>
      <c r="Z35" s="3"/>
      <c r="AA35" s="39"/>
      <c r="AB35" s="3"/>
      <c r="AC35" s="212"/>
      <c r="AD35" s="3"/>
      <c r="AE35" s="114"/>
      <c r="AF35" s="3"/>
      <c r="AG35" s="114"/>
    </row>
    <row r="36" spans="1:33" ht="17.45" customHeight="1" x14ac:dyDescent="0.2">
      <c r="B36" s="190" t="s">
        <v>1783</v>
      </c>
      <c r="C36" s="1421">
        <f>IF(T34=4,Hearing!C52,0)</f>
        <v>0</v>
      </c>
      <c r="D36" s="1508"/>
      <c r="E36" s="1509"/>
      <c r="F36" s="23" t="s">
        <v>1791</v>
      </c>
      <c r="G36" s="1346">
        <v>192</v>
      </c>
      <c r="H36" s="1346"/>
      <c r="I36" s="1346"/>
      <c r="J36" s="23" t="s">
        <v>1793</v>
      </c>
      <c r="K36" s="1506">
        <f t="shared" si="4"/>
        <v>0</v>
      </c>
      <c r="L36" s="1507"/>
      <c r="M36" s="23" t="s">
        <v>1791</v>
      </c>
      <c r="N36" s="1360">
        <f>IF(C36&gt;0,'Dol Per Deg'!$H$11,0)</f>
        <v>0</v>
      </c>
      <c r="O36" s="1470"/>
      <c r="P36" s="23" t="s">
        <v>1793</v>
      </c>
      <c r="Q36" s="197">
        <f>ROUND(K36*N36,2)</f>
        <v>0</v>
      </c>
      <c r="Z36" s="3"/>
      <c r="AA36" s="281"/>
      <c r="AB36" s="3"/>
      <c r="AC36" s="281"/>
      <c r="AD36" s="3"/>
      <c r="AE36" s="281"/>
      <c r="AF36" s="3"/>
      <c r="AG36" s="281"/>
    </row>
    <row r="37" spans="1:33" ht="17.45" customHeight="1" x14ac:dyDescent="0.2">
      <c r="B37" s="190" t="s">
        <v>137</v>
      </c>
      <c r="C37" s="1491">
        <f>Vision!M85</f>
        <v>0</v>
      </c>
      <c r="D37" s="1491"/>
      <c r="E37" s="1491"/>
      <c r="F37" s="23" t="s">
        <v>1791</v>
      </c>
      <c r="G37" s="1346">
        <v>100</v>
      </c>
      <c r="H37" s="1346"/>
      <c r="I37" s="1346"/>
      <c r="J37" s="23" t="s">
        <v>1793</v>
      </c>
      <c r="K37" s="1468">
        <f t="shared" si="4"/>
        <v>0</v>
      </c>
      <c r="L37" s="1468"/>
      <c r="M37" s="23" t="s">
        <v>1791</v>
      </c>
      <c r="N37" s="1360">
        <f>IF(C37&gt;0,'Dol Per Deg'!$H$11,0)</f>
        <v>0</v>
      </c>
      <c r="O37" s="1470"/>
      <c r="P37" s="23" t="s">
        <v>1793</v>
      </c>
      <c r="Q37" s="216">
        <f>IF(T37=4,"See below.",ROUND(K37*N37,2))</f>
        <v>0</v>
      </c>
      <c r="T37" s="689">
        <f>Vision!AL95</f>
        <v>0</v>
      </c>
      <c r="Z37" s="3"/>
      <c r="AA37" s="29"/>
      <c r="AB37" s="3"/>
      <c r="AC37" s="12"/>
      <c r="AD37" s="3"/>
      <c r="AE37" s="114"/>
      <c r="AF37" s="3"/>
      <c r="AG37" s="114"/>
    </row>
    <row r="38" spans="1:33" ht="17.45" customHeight="1" x14ac:dyDescent="0.2">
      <c r="B38" s="190" t="s">
        <v>138</v>
      </c>
      <c r="C38" s="1491">
        <f>Vision!M86</f>
        <v>0</v>
      </c>
      <c r="D38" s="1491"/>
      <c r="E38" s="1491"/>
      <c r="F38" s="23" t="s">
        <v>1791</v>
      </c>
      <c r="G38" s="1346">
        <v>100</v>
      </c>
      <c r="H38" s="1346"/>
      <c r="I38" s="1346"/>
      <c r="J38" s="23" t="s">
        <v>1793</v>
      </c>
      <c r="K38" s="1468">
        <f t="shared" si="4"/>
        <v>0</v>
      </c>
      <c r="L38" s="1468"/>
      <c r="M38" s="23" t="s">
        <v>1791</v>
      </c>
      <c r="N38" s="1360">
        <f>IF(C38&gt;0,'Dol Per Deg'!$H$11,0)</f>
        <v>0</v>
      </c>
      <c r="O38" s="1470"/>
      <c r="P38" s="23" t="s">
        <v>1793</v>
      </c>
      <c r="Q38" s="216">
        <f>IF(T37=4,"See below.",ROUND(K38*N38,2))</f>
        <v>0</v>
      </c>
      <c r="U38" s="217"/>
      <c r="Z38" s="3"/>
      <c r="AA38" s="29"/>
      <c r="AB38" s="3"/>
      <c r="AC38" s="12"/>
      <c r="AD38" s="3"/>
      <c r="AE38" s="114"/>
      <c r="AF38" s="3"/>
      <c r="AG38" s="114"/>
    </row>
    <row r="39" spans="1:33" ht="17.45" customHeight="1" x14ac:dyDescent="0.2">
      <c r="B39" s="190" t="s">
        <v>605</v>
      </c>
      <c r="C39" s="1491">
        <f>IF(T37=4,Vision!M94,0)</f>
        <v>0</v>
      </c>
      <c r="D39" s="1346"/>
      <c r="E39" s="1346"/>
      <c r="F39" s="23" t="s">
        <v>1791</v>
      </c>
      <c r="G39" s="1346">
        <v>300</v>
      </c>
      <c r="H39" s="1346"/>
      <c r="I39" s="1346"/>
      <c r="J39" s="42" t="s">
        <v>1793</v>
      </c>
      <c r="K39" s="1468">
        <f t="shared" si="4"/>
        <v>0</v>
      </c>
      <c r="L39" s="1468"/>
      <c r="M39" s="23" t="s">
        <v>1791</v>
      </c>
      <c r="N39" s="1360">
        <f>IF(C39&gt;0,'Dol Per Deg'!$H$11,0)</f>
        <v>0</v>
      </c>
      <c r="O39" s="1470"/>
      <c r="P39" s="218" t="s">
        <v>1793</v>
      </c>
      <c r="Q39" s="197">
        <f>ROUND(K39*N39,2)</f>
        <v>0</v>
      </c>
      <c r="Z39" s="3"/>
      <c r="AA39" s="29"/>
      <c r="AB39" s="3"/>
      <c r="AC39" s="12"/>
      <c r="AD39" s="3"/>
      <c r="AE39" s="114"/>
      <c r="AF39" s="3"/>
      <c r="AG39" s="114"/>
    </row>
    <row r="40" spans="1:33" ht="17.45" customHeight="1" x14ac:dyDescent="0.2">
      <c r="N40" s="1487" t="s">
        <v>63</v>
      </c>
      <c r="O40" s="1487"/>
      <c r="P40" s="1487"/>
      <c r="Q40" s="280">
        <f>SUM(Q6:Q39)</f>
        <v>0</v>
      </c>
      <c r="Z40" s="14"/>
      <c r="AB40" s="14"/>
      <c r="AD40" s="18"/>
      <c r="AE40" s="18"/>
      <c r="AF40" s="18"/>
      <c r="AG40" s="18"/>
    </row>
    <row r="41" spans="1:33" ht="8.25" customHeight="1" x14ac:dyDescent="0.2">
      <c r="A41" s="3"/>
      <c r="B41" s="1395"/>
      <c r="C41" s="1395"/>
      <c r="D41" s="1395"/>
      <c r="E41" s="1395"/>
      <c r="F41" s="1395"/>
      <c r="G41" s="1395"/>
      <c r="H41" s="1395"/>
      <c r="I41" s="1395"/>
      <c r="J41" s="1395"/>
      <c r="K41" s="1395"/>
      <c r="L41" s="1395"/>
      <c r="M41" s="1395"/>
      <c r="N41" s="1395"/>
      <c r="O41" s="1395"/>
      <c r="P41" s="1395"/>
      <c r="Q41" s="1395"/>
      <c r="Z41" s="14"/>
      <c r="AA41" s="39"/>
      <c r="AB41" s="14"/>
      <c r="AC41" s="212"/>
      <c r="AD41" s="18"/>
      <c r="AE41" s="18"/>
      <c r="AF41" s="18"/>
      <c r="AG41" s="18"/>
    </row>
    <row r="42" spans="1:33" ht="21" customHeight="1" x14ac:dyDescent="0.25">
      <c r="A42" s="3"/>
      <c r="B42" s="1533" t="s">
        <v>1132</v>
      </c>
      <c r="C42" s="1533"/>
      <c r="D42" s="1533"/>
      <c r="E42" s="1533"/>
      <c r="F42" s="1533"/>
      <c r="G42" s="1533"/>
      <c r="H42" s="1533"/>
      <c r="I42" s="1533"/>
      <c r="J42" s="1533"/>
      <c r="K42" s="1533"/>
      <c r="L42" s="1533"/>
      <c r="M42" s="1533"/>
      <c r="N42" s="1533"/>
      <c r="O42" s="1533"/>
      <c r="P42" s="1533"/>
      <c r="Q42" s="1533"/>
      <c r="Z42" s="14"/>
      <c r="AA42" s="39"/>
      <c r="AB42" s="14"/>
      <c r="AC42" s="212"/>
      <c r="AD42" s="18"/>
      <c r="AE42" s="18"/>
      <c r="AF42" s="18"/>
      <c r="AG42" s="18"/>
    </row>
    <row r="43" spans="1:33" ht="21" customHeight="1" x14ac:dyDescent="0.2">
      <c r="G43" s="1474" t="s">
        <v>1267</v>
      </c>
      <c r="H43" s="1475"/>
      <c r="I43" s="1475"/>
      <c r="J43" s="1475"/>
      <c r="K43" s="1475"/>
      <c r="L43" s="1475"/>
      <c r="M43" s="1475"/>
      <c r="N43" s="1475"/>
      <c r="O43" s="1475"/>
      <c r="P43" s="1475"/>
      <c r="Q43" s="1476"/>
      <c r="S43" s="446">
        <v>38352</v>
      </c>
      <c r="T43" s="185" t="s">
        <v>1305</v>
      </c>
      <c r="U43" s="185" t="s">
        <v>1306</v>
      </c>
      <c r="V43" s="185" t="s">
        <v>1307</v>
      </c>
    </row>
    <row r="44" spans="1:33" ht="21" customHeight="1" x14ac:dyDescent="0.2">
      <c r="B44" s="190" t="s">
        <v>27</v>
      </c>
      <c r="C44" s="1373">
        <f>'Shoulder-Right'!P90</f>
        <v>0</v>
      </c>
      <c r="D44" s="1346"/>
      <c r="E44" s="1346"/>
      <c r="F44" s="1"/>
      <c r="G44" s="1478"/>
      <c r="H44" s="1477" t="s">
        <v>2216</v>
      </c>
      <c r="I44" s="1477"/>
      <c r="J44" s="1477"/>
      <c r="K44" s="1477"/>
      <c r="L44" s="1477"/>
      <c r="M44" s="1477"/>
      <c r="N44" s="1477"/>
      <c r="O44" s="1477"/>
      <c r="P44" s="1477"/>
      <c r="Q44" s="1477"/>
      <c r="S44" s="687" t="b">
        <v>1</v>
      </c>
      <c r="T44" s="452">
        <f>LARGE($C$44:$C$62,1)</f>
        <v>0</v>
      </c>
      <c r="U44" s="690">
        <f>T44+T45*(1-T44)</f>
        <v>0</v>
      </c>
      <c r="V44" s="690">
        <f>ROUND(U44,2)</f>
        <v>0</v>
      </c>
    </row>
    <row r="45" spans="1:33" ht="21" customHeight="1" x14ac:dyDescent="0.2">
      <c r="B45" s="190" t="s">
        <v>1470</v>
      </c>
      <c r="C45" s="1373">
        <f>'Shoulder-Left'!P90</f>
        <v>0</v>
      </c>
      <c r="D45" s="1346"/>
      <c r="E45" s="1346"/>
      <c r="F45" s="380"/>
      <c r="G45" s="1479"/>
      <c r="H45" s="1477"/>
      <c r="I45" s="1477"/>
      <c r="J45" s="1477"/>
      <c r="K45" s="1477"/>
      <c r="L45" s="1477"/>
      <c r="M45" s="1477"/>
      <c r="N45" s="1477"/>
      <c r="O45" s="1477"/>
      <c r="P45" s="1477"/>
      <c r="Q45" s="1477"/>
      <c r="S45" s="687" t="b">
        <v>0</v>
      </c>
      <c r="T45" s="452">
        <f>LARGE($C$44:$C$62,2)</f>
        <v>0</v>
      </c>
      <c r="U45" s="690">
        <f>V44+T46*(1-V44)</f>
        <v>0</v>
      </c>
      <c r="V45" s="690">
        <f>ROUND(U45,2)</f>
        <v>0</v>
      </c>
    </row>
    <row r="46" spans="1:33" ht="21" customHeight="1" x14ac:dyDescent="0.2">
      <c r="B46" s="190" t="s">
        <v>1471</v>
      </c>
      <c r="C46" s="1373">
        <f>'Hip-Right'!P32</f>
        <v>0</v>
      </c>
      <c r="D46" s="1346"/>
      <c r="E46" s="1346"/>
      <c r="F46" s="1"/>
      <c r="G46" s="1479"/>
      <c r="H46" s="1477"/>
      <c r="I46" s="1477"/>
      <c r="J46" s="1477"/>
      <c r="K46" s="1477"/>
      <c r="L46" s="1477"/>
      <c r="M46" s="1477"/>
      <c r="N46" s="1477"/>
      <c r="O46" s="1477"/>
      <c r="P46" s="1477"/>
      <c r="Q46" s="1477"/>
      <c r="S46" s="687" t="b">
        <v>0</v>
      </c>
      <c r="T46" s="452">
        <f>LARGE($C$44:$C$62,3)</f>
        <v>0</v>
      </c>
      <c r="U46" s="690">
        <f>V45+T47*(1-V45)</f>
        <v>0</v>
      </c>
      <c r="V46" s="690">
        <f t="shared" ref="V46:V61" si="5">ROUND(U46,2)</f>
        <v>0</v>
      </c>
    </row>
    <row r="47" spans="1:33" ht="21" customHeight="1" x14ac:dyDescent="0.2">
      <c r="B47" s="190" t="s">
        <v>1472</v>
      </c>
      <c r="C47" s="1373">
        <f>'Hip-Left'!P32</f>
        <v>0</v>
      </c>
      <c r="D47" s="1346"/>
      <c r="E47" s="1346"/>
      <c r="F47" s="1"/>
      <c r="G47" s="1480"/>
      <c r="H47" s="1477"/>
      <c r="I47" s="1477"/>
      <c r="J47" s="1477"/>
      <c r="K47" s="1477"/>
      <c r="L47" s="1477"/>
      <c r="M47" s="1477"/>
      <c r="N47" s="1477"/>
      <c r="O47" s="1477"/>
      <c r="P47" s="1477"/>
      <c r="Q47" s="1477"/>
      <c r="S47" s="766" t="b">
        <v>0</v>
      </c>
      <c r="T47" s="452">
        <f>LARGE($C$44:$C$62,4)</f>
        <v>0</v>
      </c>
      <c r="U47" s="690">
        <f>V46+T48*(1-V46)</f>
        <v>0</v>
      </c>
      <c r="V47" s="690">
        <f t="shared" si="5"/>
        <v>0</v>
      </c>
    </row>
    <row r="48" spans="1:33" ht="18" customHeight="1" x14ac:dyDescent="0.2">
      <c r="B48" s="190" t="s">
        <v>1494</v>
      </c>
      <c r="C48" s="1373">
        <f>Spine!P144</f>
        <v>0</v>
      </c>
      <c r="D48" s="1346"/>
      <c r="E48" s="1346"/>
      <c r="F48" s="1"/>
      <c r="G48" s="1453" t="str">
        <f>IF(AND(S51=0,S52=0),T13,IF(AND(S51=1,S52=1),T12,IF(S51=1,T8,IF(S52=1,T9,""))))</f>
        <v>Because the worker has returned or been released to regular work, age, education, and adaptability are not considered in calculating the award</v>
      </c>
      <c r="H48" s="1454"/>
      <c r="I48" s="1454"/>
      <c r="J48" s="1454"/>
      <c r="K48" s="1454"/>
      <c r="L48" s="1454"/>
      <c r="M48" s="1454"/>
      <c r="N48" s="1454"/>
      <c r="O48" s="1454"/>
      <c r="P48" s="1455"/>
      <c r="Q48" s="1465" t="str">
        <f>IF(OR(Q66=0,S52=1),"",IF(N51="",T6,IF(AND(N53="",'Start here'!A10=""),"Enter date of issuance.",IF(N53&lt;N51,T7,IF(AND(S52=0,OR(N55="",N56="",N60="",N61="")),"Missing social-vocational data","")))))</f>
        <v/>
      </c>
      <c r="S48" s="691">
        <f>IF(S44=TRUE,1,0)</f>
        <v>1</v>
      </c>
      <c r="T48" s="452">
        <f>LARGE($C$44:$C$62,5)</f>
        <v>0</v>
      </c>
      <c r="U48" s="690">
        <f>V47+T49*(1-V47)</f>
        <v>0</v>
      </c>
      <c r="V48" s="690">
        <f t="shared" si="5"/>
        <v>0</v>
      </c>
    </row>
    <row r="49" spans="2:22" ht="18" customHeight="1" x14ac:dyDescent="0.2">
      <c r="B49" s="190" t="s">
        <v>1495</v>
      </c>
      <c r="C49" s="1373">
        <f>Pelvis!P17</f>
        <v>0</v>
      </c>
      <c r="D49" s="1346"/>
      <c r="E49" s="1346"/>
      <c r="F49" s="1"/>
      <c r="G49" s="1456"/>
      <c r="H49" s="1457"/>
      <c r="I49" s="1457"/>
      <c r="J49" s="1457"/>
      <c r="K49" s="1457"/>
      <c r="L49" s="1457"/>
      <c r="M49" s="1457"/>
      <c r="N49" s="1457"/>
      <c r="O49" s="1457"/>
      <c r="P49" s="1458"/>
      <c r="Q49" s="1466"/>
      <c r="S49" s="691">
        <f>IF(S45=TRUE,1,0)</f>
        <v>0</v>
      </c>
      <c r="T49" s="452">
        <f>LARGE($C$44:$C$62,6)</f>
        <v>0</v>
      </c>
      <c r="U49" s="690">
        <f>V48+T50*(1-V48)</f>
        <v>0</v>
      </c>
      <c r="V49" s="690">
        <f t="shared" si="5"/>
        <v>0</v>
      </c>
    </row>
    <row r="50" spans="2:22" ht="17.100000000000001" customHeight="1" x14ac:dyDescent="0.2">
      <c r="B50" s="190" t="s">
        <v>1493</v>
      </c>
      <c r="C50" s="1373">
        <f>Abdomen!P7</f>
        <v>0</v>
      </c>
      <c r="D50" s="1346"/>
      <c r="E50" s="1346"/>
      <c r="F50" s="1"/>
      <c r="G50" s="1459"/>
      <c r="H50" s="1460"/>
      <c r="I50" s="1460"/>
      <c r="J50" s="1460"/>
      <c r="K50" s="1460"/>
      <c r="L50" s="1460"/>
      <c r="M50" s="1460"/>
      <c r="N50" s="1460"/>
      <c r="O50" s="1460"/>
      <c r="P50" s="1461"/>
      <c r="Q50" s="1466"/>
      <c r="S50" s="691">
        <f>IF(S46=TRUE,1,0)</f>
        <v>0</v>
      </c>
      <c r="T50" s="452">
        <f>LARGE($C$44:$C$62,7)</f>
        <v>0</v>
      </c>
      <c r="U50" s="690">
        <f t="shared" ref="U50:U61" si="6">V49+T51*(1-V49)</f>
        <v>0</v>
      </c>
      <c r="V50" s="690">
        <f t="shared" si="5"/>
        <v>0</v>
      </c>
    </row>
    <row r="51" spans="2:22" ht="17.100000000000001" customHeight="1" x14ac:dyDescent="0.2">
      <c r="B51" s="190" t="s">
        <v>568</v>
      </c>
      <c r="C51" s="1342">
        <f>Chest!P5</f>
        <v>0</v>
      </c>
      <c r="D51" s="1343"/>
      <c r="E51" s="1344"/>
      <c r="F51" s="1"/>
      <c r="G51" s="1362" t="s">
        <v>363</v>
      </c>
      <c r="H51" s="1363"/>
      <c r="I51" s="1363"/>
      <c r="J51" s="1363"/>
      <c r="K51" s="1363"/>
      <c r="L51" s="1363"/>
      <c r="M51" s="1364"/>
      <c r="N51" s="1377" t="str">
        <f>IF('Start here'!A8="","",'Start here'!A8)</f>
        <v/>
      </c>
      <c r="O51" s="1377"/>
      <c r="P51" s="1377"/>
      <c r="Q51" s="1466"/>
      <c r="S51" s="691">
        <f>IF(S47=TRUE,1,0)</f>
        <v>0</v>
      </c>
      <c r="T51" s="452">
        <f>LARGE($C$44:$C$62,8)</f>
        <v>0</v>
      </c>
      <c r="U51" s="690">
        <f t="shared" si="6"/>
        <v>0</v>
      </c>
      <c r="V51" s="690">
        <f t="shared" si="5"/>
        <v>0</v>
      </c>
    </row>
    <row r="52" spans="2:22" ht="17.100000000000001" customHeight="1" x14ac:dyDescent="0.2">
      <c r="B52" s="190" t="s">
        <v>1097</v>
      </c>
      <c r="C52" s="1373">
        <f>Cardiovascular!P12</f>
        <v>0</v>
      </c>
      <c r="D52" s="1346"/>
      <c r="E52" s="1346"/>
      <c r="F52" s="1"/>
      <c r="G52" s="1462" t="s">
        <v>1319</v>
      </c>
      <c r="H52" s="1463"/>
      <c r="I52" s="1463"/>
      <c r="J52" s="1463"/>
      <c r="K52" s="1463"/>
      <c r="L52" s="1463"/>
      <c r="M52" s="1464"/>
      <c r="N52" s="1377" t="str">
        <f>IF('Start here'!A9="","",'Start here'!A9)</f>
        <v/>
      </c>
      <c r="O52" s="1377"/>
      <c r="P52" s="1377"/>
      <c r="Q52" s="1466"/>
      <c r="S52" s="691">
        <f>MAX(S48:S50)</f>
        <v>1</v>
      </c>
      <c r="T52" s="452">
        <f>LARGE($C$44:$C$62,9)</f>
        <v>0</v>
      </c>
      <c r="U52" s="690">
        <f t="shared" si="6"/>
        <v>0</v>
      </c>
      <c r="V52" s="690">
        <f t="shared" si="5"/>
        <v>0</v>
      </c>
    </row>
    <row r="53" spans="2:22" ht="17.100000000000001" customHeight="1" x14ac:dyDescent="0.2">
      <c r="B53" s="190" t="s">
        <v>1096</v>
      </c>
      <c r="C53" s="1373">
        <f>Respiratory!P9</f>
        <v>0</v>
      </c>
      <c r="D53" s="1346"/>
      <c r="E53" s="1346"/>
      <c r="F53" s="1"/>
      <c r="G53" s="1362" t="s">
        <v>1320</v>
      </c>
      <c r="H53" s="1363"/>
      <c r="I53" s="1363"/>
      <c r="J53" s="1363"/>
      <c r="K53" s="1363"/>
      <c r="L53" s="1363"/>
      <c r="M53" s="1364"/>
      <c r="N53" s="1377" t="str">
        <f>IF('Start here'!A11="","",'Start here'!A11)</f>
        <v/>
      </c>
      <c r="O53" s="1377"/>
      <c r="P53" s="1377"/>
      <c r="Q53" s="1467"/>
      <c r="S53" s="3"/>
      <c r="T53" s="452">
        <f>LARGE($C$44:$C$62,10)</f>
        <v>0</v>
      </c>
      <c r="U53" s="690">
        <f t="shared" si="6"/>
        <v>0</v>
      </c>
      <c r="V53" s="690">
        <f t="shared" si="5"/>
        <v>0</v>
      </c>
    </row>
    <row r="54" spans="2:22" ht="23.25" customHeight="1" x14ac:dyDescent="0.2">
      <c r="B54" s="190" t="s">
        <v>1957</v>
      </c>
      <c r="C54" s="1373">
        <f>'Cranial Nerves-Brain'!P51</f>
        <v>0</v>
      </c>
      <c r="D54" s="1346"/>
      <c r="E54" s="1346"/>
      <c r="F54" s="1"/>
      <c r="G54" s="1362" t="str">
        <f>IF(S52=1,"Not applicable","Age 40 or above, add 1.")</f>
        <v>Not applicable</v>
      </c>
      <c r="H54" s="1363"/>
      <c r="I54" s="1363"/>
      <c r="J54" s="1363"/>
      <c r="K54" s="1363"/>
      <c r="L54" s="1363"/>
      <c r="M54" s="1364"/>
      <c r="N54" s="1502" t="str">
        <f>IF(S52=1,"",IF(AND('Start here'!A9="",'Start here'!A10=""),"Enter DOB or age.",IF('Start here'!A11="","Enter date of issuance.",IF('Start here'!A9&lt;&gt;"",Y1,'Start here'!A10))))</f>
        <v/>
      </c>
      <c r="O54" s="1503"/>
      <c r="P54" s="1504"/>
      <c r="Q54" s="188" t="str">
        <f>IF(OR(S52=1,N54="",N54="Enter DOB or age."),"",IF(N54&gt;=40,1,0))</f>
        <v/>
      </c>
      <c r="S54" s="3"/>
      <c r="T54" s="452">
        <f>LARGE($C$44:$C$62,11)</f>
        <v>0</v>
      </c>
      <c r="U54" s="690">
        <f t="shared" si="6"/>
        <v>0</v>
      </c>
      <c r="V54" s="690">
        <f t="shared" si="5"/>
        <v>0</v>
      </c>
    </row>
    <row r="55" spans="2:22" ht="17.100000000000001" customHeight="1" x14ac:dyDescent="0.2">
      <c r="B55" s="190" t="s">
        <v>274</v>
      </c>
      <c r="C55" s="1373">
        <f>'Spinal cord'!P12</f>
        <v>0</v>
      </c>
      <c r="D55" s="1346"/>
      <c r="E55" s="1346"/>
      <c r="F55" s="1"/>
      <c r="G55" s="1362" t="str">
        <f>IF(Q66=0,"No Unsched. PPD Entered",IF(S52=1,"Not applicable","Formal education &lt;12, add 1."))</f>
        <v>No Unsched. PPD Entered</v>
      </c>
      <c r="H55" s="1363"/>
      <c r="I55" s="1363"/>
      <c r="J55" s="1363"/>
      <c r="K55" s="1363"/>
      <c r="L55" s="1363"/>
      <c r="M55" s="1364"/>
      <c r="N55" s="1340"/>
      <c r="O55" s="1505"/>
      <c r="P55" s="1341"/>
      <c r="Q55" s="188" t="str">
        <f>IF(OR(S52=1,N55=""),"",IF(N55=B79,0,IF(N55=C79,1,0)))</f>
        <v/>
      </c>
      <c r="S55" s="3"/>
      <c r="T55" s="452">
        <f>LARGE($C$44:$C$62,12)</f>
        <v>0</v>
      </c>
      <c r="U55" s="690">
        <f t="shared" si="6"/>
        <v>0</v>
      </c>
      <c r="V55" s="690">
        <f t="shared" si="5"/>
        <v>0</v>
      </c>
    </row>
    <row r="56" spans="2:22" ht="17.100000000000001" customHeight="1" x14ac:dyDescent="0.2">
      <c r="B56" s="190" t="s">
        <v>1070</v>
      </c>
      <c r="C56" s="1373">
        <f>'Mental illness'!P16</f>
        <v>0</v>
      </c>
      <c r="D56" s="1346"/>
      <c r="E56" s="1346"/>
      <c r="F56" s="1"/>
      <c r="G56" s="1348" t="str">
        <f>IF(Q66=0,"No Unsched.PPD Entered",IF(S52=1,"Not applicable","Specific vocational preparation"))</f>
        <v>No Unsched.PPD Entered</v>
      </c>
      <c r="H56" s="1349"/>
      <c r="I56" s="1349"/>
      <c r="J56" s="1349"/>
      <c r="K56" s="1349"/>
      <c r="L56" s="1349"/>
      <c r="M56" s="1350"/>
      <c r="N56" s="1345"/>
      <c r="O56" s="1501"/>
      <c r="P56" s="1440"/>
      <c r="Q56" s="188" t="str">
        <f>IF(OR(S52=1,N56=""),"",SUMIF(A81:J81,N56,A82:J82))</f>
        <v/>
      </c>
      <c r="S56" s="3"/>
      <c r="T56" s="452">
        <f>LARGE($C$44:$C$62,13)</f>
        <v>0</v>
      </c>
      <c r="U56" s="690">
        <f t="shared" si="6"/>
        <v>0</v>
      </c>
      <c r="V56" s="690">
        <f t="shared" si="5"/>
        <v>0</v>
      </c>
    </row>
    <row r="57" spans="2:22" ht="18" customHeight="1" x14ac:dyDescent="0.2">
      <c r="B57" s="190" t="s">
        <v>1956</v>
      </c>
      <c r="C57" s="1373">
        <f>Hematopoietic!P22</f>
        <v>0</v>
      </c>
      <c r="D57" s="1346"/>
      <c r="E57" s="1346"/>
      <c r="F57" s="1"/>
      <c r="G57" s="1444" t="str">
        <f>IF(Q66=0,"Enter unscheduled disability data, if any, on worksheets.",IF(S52=1,"",IF(C63&gt;0,T10,"")))</f>
        <v>Enter unscheduled disability data, if any, on worksheets.</v>
      </c>
      <c r="H57" s="1445"/>
      <c r="I57" s="1445"/>
      <c r="J57" s="1445"/>
      <c r="K57" s="1445"/>
      <c r="L57" s="1445"/>
      <c r="M57" s="1445"/>
      <c r="N57" s="1445"/>
      <c r="O57" s="1445"/>
      <c r="P57" s="1445"/>
      <c r="Q57" s="1446"/>
      <c r="S57" s="3"/>
      <c r="T57" s="452">
        <f>LARGE($C$44:$C$62,14)</f>
        <v>0</v>
      </c>
      <c r="U57" s="690">
        <f t="shared" si="6"/>
        <v>0</v>
      </c>
      <c r="V57" s="690">
        <f t="shared" si="5"/>
        <v>0</v>
      </c>
    </row>
    <row r="58" spans="2:22" ht="30" customHeight="1" x14ac:dyDescent="0.2">
      <c r="B58" s="190" t="s">
        <v>1955</v>
      </c>
      <c r="C58" s="1373">
        <f>'GI &amp; GU'!P79</f>
        <v>0</v>
      </c>
      <c r="D58" s="1346"/>
      <c r="E58" s="1346"/>
      <c r="F58" s="1"/>
      <c r="G58" s="1447"/>
      <c r="H58" s="1448"/>
      <c r="I58" s="1448"/>
      <c r="J58" s="1448"/>
      <c r="K58" s="1448"/>
      <c r="L58" s="1448"/>
      <c r="M58" s="1448"/>
      <c r="N58" s="1448"/>
      <c r="O58" s="1448"/>
      <c r="P58" s="1448"/>
      <c r="Q58" s="1449"/>
      <c r="S58" s="3"/>
      <c r="T58" s="452">
        <f>LARGE($C$44:$C$62,15)</f>
        <v>0</v>
      </c>
      <c r="U58" s="690">
        <f t="shared" si="6"/>
        <v>0</v>
      </c>
      <c r="V58" s="690">
        <f t="shared" si="5"/>
        <v>0</v>
      </c>
    </row>
    <row r="59" spans="2:22" ht="19.5" customHeight="1" x14ac:dyDescent="0.2">
      <c r="B59" s="190" t="s">
        <v>244</v>
      </c>
      <c r="C59" s="1373">
        <f>Endocrine!P53</f>
        <v>0</v>
      </c>
      <c r="D59" s="1346"/>
      <c r="E59" s="1346"/>
      <c r="F59" s="1"/>
      <c r="G59" s="1441" t="str">
        <f>IF(Q66=0,"No Unsched. PPD Entered",IF(S52=1,"Not applicable","Rule 0012(13) chart adaptability"))</f>
        <v>No Unsched. PPD Entered</v>
      </c>
      <c r="H59" s="1442"/>
      <c r="I59" s="1442"/>
      <c r="J59" s="1442"/>
      <c r="K59" s="1442"/>
      <c r="L59" s="1442"/>
      <c r="M59" s="1443"/>
      <c r="N59" s="1486" t="str">
        <f>IF(OR(S52=1,Q66=0),"",SUMIF(B90:CW90,Q66,B91:CW91))</f>
        <v/>
      </c>
      <c r="O59" s="1384"/>
      <c r="P59" s="1385"/>
      <c r="Q59" s="1450"/>
      <c r="S59" s="3"/>
      <c r="T59" s="452">
        <f>LARGE($C$44:$C$62,16)</f>
        <v>0</v>
      </c>
      <c r="U59" s="690">
        <f t="shared" si="6"/>
        <v>0</v>
      </c>
      <c r="V59" s="690">
        <f t="shared" si="5"/>
        <v>0</v>
      </c>
    </row>
    <row r="60" spans="2:22" ht="30" customHeight="1" x14ac:dyDescent="0.2">
      <c r="B60" s="190" t="s">
        <v>1954</v>
      </c>
      <c r="C60" s="1373">
        <f>'Integument &amp; Lacrimal'!P21</f>
        <v>0</v>
      </c>
      <c r="D60" s="1346"/>
      <c r="E60" s="1346"/>
      <c r="F60" s="1"/>
      <c r="G60" s="1348" t="str">
        <f>IF(Q66=0,"No Unsched. PPD Entered",IF(S52=1,"Not applicable","Base functional capacity"))</f>
        <v>No Unsched. PPD Entered</v>
      </c>
      <c r="H60" s="1349"/>
      <c r="I60" s="1349"/>
      <c r="J60" s="1349"/>
      <c r="K60" s="1349"/>
      <c r="L60" s="1349"/>
      <c r="M60" s="1350"/>
      <c r="N60" s="1345"/>
      <c r="O60" s="1501"/>
      <c r="P60" s="1440"/>
      <c r="Q60" s="1451"/>
      <c r="S60" s="3"/>
      <c r="T60" s="452">
        <f>LARGE($C$44:$C$62,17)</f>
        <v>0</v>
      </c>
      <c r="U60" s="690">
        <f t="shared" si="6"/>
        <v>0</v>
      </c>
      <c r="V60" s="690">
        <f t="shared" si="5"/>
        <v>0</v>
      </c>
    </row>
    <row r="61" spans="2:22" ht="19.5" customHeight="1" x14ac:dyDescent="0.2">
      <c r="B61" s="431" t="s">
        <v>102</v>
      </c>
      <c r="C61" s="1481">
        <f>'Immune system'!P4</f>
        <v>0</v>
      </c>
      <c r="D61" s="1482"/>
      <c r="E61" s="1482"/>
      <c r="F61" s="223"/>
      <c r="G61" s="1348" t="str">
        <f>IF(Q66=0,"No Unsched.PPD Entered",IF(S52=1,"Not applicable","Residual functional capacity"))</f>
        <v>No Unsched.PPD Entered</v>
      </c>
      <c r="H61" s="1349"/>
      <c r="I61" s="1349"/>
      <c r="J61" s="1349"/>
      <c r="K61" s="1349"/>
      <c r="L61" s="1349"/>
      <c r="M61" s="1350"/>
      <c r="N61" s="1345"/>
      <c r="O61" s="1501"/>
      <c r="P61" s="1440"/>
      <c r="Q61" s="1451"/>
      <c r="S61" s="3"/>
      <c r="T61" s="452">
        <f>LARGE($C$44:$C$62,18)</f>
        <v>0</v>
      </c>
      <c r="U61" s="690">
        <f t="shared" si="6"/>
        <v>0</v>
      </c>
      <c r="V61" s="690">
        <f t="shared" si="5"/>
        <v>0</v>
      </c>
    </row>
    <row r="62" spans="2:22" ht="19.5" customHeight="1" x14ac:dyDescent="0.2">
      <c r="B62" s="238"/>
      <c r="C62" s="1483">
        <v>0</v>
      </c>
      <c r="D62" s="1484"/>
      <c r="E62" s="1485"/>
      <c r="F62" s="432"/>
      <c r="G62" s="1348" t="str">
        <f>IF(Q66=0,"No Unsched. PPD Entered",IF(S52=1,"Not applicable","Rule 0012(11) chart adaptability"))</f>
        <v>No Unsched. PPD Entered</v>
      </c>
      <c r="H62" s="1349"/>
      <c r="I62" s="1349"/>
      <c r="J62" s="1349"/>
      <c r="K62" s="1349"/>
      <c r="L62" s="1349"/>
      <c r="M62" s="1350"/>
      <c r="N62" s="1347" t="str">
        <f>IF(S52=1,"",SUMIF(B86:AT86,T63,B87:AT87))</f>
        <v/>
      </c>
      <c r="O62" s="1351"/>
      <c r="P62" s="1352"/>
      <c r="Q62" s="1452"/>
      <c r="S62" s="3"/>
      <c r="T62" s="452">
        <f>LARGE($C$44:$C$62,19)</f>
        <v>0</v>
      </c>
      <c r="U62" s="185"/>
      <c r="V62" s="185"/>
    </row>
    <row r="63" spans="2:22" ht="27" customHeight="1" x14ac:dyDescent="0.2">
      <c r="B63" s="230" t="s">
        <v>143</v>
      </c>
      <c r="C63" s="1471">
        <f>V61</f>
        <v>0</v>
      </c>
      <c r="D63" s="1472"/>
      <c r="E63" s="1473"/>
      <c r="F63" s="433"/>
      <c r="G63" s="1362" t="str">
        <f>IF(Q66=0,"No Unsched. PPD Entered",IF(S52=1,"Not applicable","Adaptability value"))</f>
        <v>No Unsched. PPD Entered</v>
      </c>
      <c r="H63" s="1363"/>
      <c r="I63" s="1363"/>
      <c r="J63" s="1363"/>
      <c r="K63" s="1363"/>
      <c r="L63" s="1363"/>
      <c r="M63" s="1363"/>
      <c r="N63" s="1363"/>
      <c r="O63" s="1363"/>
      <c r="P63" s="1364"/>
      <c r="Q63" s="188">
        <f>MAX(N59,N62)</f>
        <v>0</v>
      </c>
      <c r="T63" s="286" t="str">
        <f>IF(OR(N60="",N61=""),"No BFC/RFC",CONCATENATE(N60,N61))</f>
        <v>No BFC/RFC</v>
      </c>
    </row>
    <row r="64" spans="2:22" ht="19.5" customHeight="1" x14ac:dyDescent="0.2">
      <c r="B64" s="434"/>
      <c r="C64" s="435"/>
      <c r="D64" s="435"/>
      <c r="E64" s="436"/>
      <c r="F64" s="433"/>
      <c r="G64" s="1362" t="str">
        <f>IF(Q66=0,"No Unsched. PPD Entered",IF(S52=1,"Not applicable","Multiplied times the age &amp; education total"))</f>
        <v>No Unsched. PPD Entered</v>
      </c>
      <c r="H64" s="1363"/>
      <c r="I64" s="1363"/>
      <c r="J64" s="1363"/>
      <c r="K64" s="1363"/>
      <c r="L64" s="1363"/>
      <c r="M64" s="1363"/>
      <c r="N64" s="1363"/>
      <c r="O64" s="1363"/>
      <c r="P64" s="1364"/>
      <c r="Q64" s="188">
        <f>SUM(Q54:Q56)</f>
        <v>0</v>
      </c>
    </row>
    <row r="65" spans="2:23" ht="27" customHeight="1" x14ac:dyDescent="0.2">
      <c r="B65" s="437"/>
      <c r="C65" s="396"/>
      <c r="D65" s="396"/>
      <c r="E65" s="244"/>
      <c r="F65" s="433" t="s">
        <v>208</v>
      </c>
      <c r="G65" s="1362" t="str">
        <f>IF(Q66=0,"No Unsched. PPD Entered",IF(S52=1,"Not applicable","Equals total age/education/adaptability factor"))</f>
        <v>No Unsched. PPD Entered</v>
      </c>
      <c r="H65" s="1363"/>
      <c r="I65" s="1363"/>
      <c r="J65" s="1363"/>
      <c r="K65" s="1363"/>
      <c r="L65" s="1363"/>
      <c r="M65" s="1363"/>
      <c r="N65" s="1363"/>
      <c r="O65" s="1363"/>
      <c r="P65" s="1364"/>
      <c r="Q65" s="384">
        <f>(Q63*Q64)/100</f>
        <v>0</v>
      </c>
      <c r="S65" s="191"/>
    </row>
    <row r="66" spans="2:23" ht="19.5" customHeight="1" x14ac:dyDescent="0.2">
      <c r="B66" s="1492" t="str">
        <f>IF(Q68="ERROR","Clear red error messages above.","")</f>
        <v/>
      </c>
      <c r="C66" s="1493"/>
      <c r="D66" s="1493"/>
      <c r="E66" s="1494"/>
      <c r="F66" s="433" t="s">
        <v>12</v>
      </c>
      <c r="G66" s="1362" t="s">
        <v>144</v>
      </c>
      <c r="H66" s="1363"/>
      <c r="I66" s="1363"/>
      <c r="J66" s="1363"/>
      <c r="K66" s="1363"/>
      <c r="L66" s="1363"/>
      <c r="M66" s="1363"/>
      <c r="N66" s="1363"/>
      <c r="O66" s="1363"/>
      <c r="P66" s="1364"/>
      <c r="Q66" s="379">
        <f>C63</f>
        <v>0</v>
      </c>
    </row>
    <row r="67" spans="2:23" ht="19.5" customHeight="1" x14ac:dyDescent="0.2">
      <c r="B67" s="1495"/>
      <c r="C67" s="1496"/>
      <c r="D67" s="1496"/>
      <c r="E67" s="1497"/>
      <c r="F67" s="433"/>
      <c r="G67" s="1362" t="s">
        <v>620</v>
      </c>
      <c r="H67" s="1363"/>
      <c r="I67" s="1363"/>
      <c r="J67" s="1363"/>
      <c r="K67" s="1363"/>
      <c r="L67" s="1363"/>
      <c r="M67" s="1363"/>
      <c r="N67" s="1363"/>
      <c r="O67" s="1363"/>
      <c r="P67" s="1364"/>
      <c r="Q67" s="384">
        <f>IF(Q65+Q66&gt;1,1,Q65+Q66)</f>
        <v>0</v>
      </c>
    </row>
    <row r="68" spans="2:23" ht="19.5" customHeight="1" x14ac:dyDescent="0.2">
      <c r="B68" s="1498"/>
      <c r="C68" s="1499"/>
      <c r="D68" s="1499"/>
      <c r="E68" s="1500"/>
      <c r="F68" s="275"/>
      <c r="G68" s="1488" t="s">
        <v>1878</v>
      </c>
      <c r="H68" s="1489"/>
      <c r="I68" s="1489"/>
      <c r="J68" s="1489"/>
      <c r="K68" s="1489"/>
      <c r="L68" s="1489"/>
      <c r="M68" s="1489"/>
      <c r="N68" s="1489"/>
      <c r="O68" s="1489"/>
      <c r="P68" s="1490"/>
      <c r="Q68" s="305">
        <f>IF(Q66=0,0,IF(Q48&lt;&gt;"","ERROR",Q67))</f>
        <v>0</v>
      </c>
      <c r="T68" s="23" t="s">
        <v>1879</v>
      </c>
      <c r="U68" s="23" t="s">
        <v>1891</v>
      </c>
      <c r="V68" s="23" t="s">
        <v>1892</v>
      </c>
      <c r="W68" s="23" t="s">
        <v>1893</v>
      </c>
    </row>
    <row r="69" spans="2:23" ht="26.25" customHeight="1" x14ac:dyDescent="0.2">
      <c r="B69" s="438" t="s">
        <v>1880</v>
      </c>
      <c r="C69" s="1523" t="s">
        <v>1881</v>
      </c>
      <c r="D69" s="1523"/>
      <c r="E69" s="1523"/>
      <c r="F69" s="1523"/>
      <c r="G69" s="1523" t="s">
        <v>1882</v>
      </c>
      <c r="H69" s="1524"/>
      <c r="I69" s="1524"/>
      <c r="J69" s="439"/>
      <c r="K69" s="1523" t="s">
        <v>1883</v>
      </c>
      <c r="L69" s="1523"/>
      <c r="M69" s="1523"/>
      <c r="N69" s="1395"/>
      <c r="O69" s="1395"/>
      <c r="P69" s="1"/>
      <c r="Q69" s="1511" t="str">
        <f>IF(N51="","",IF(N51&gt;S43,T4,IF(C63=0,"Unscheduled PPD has not been entered. Even if social-vocational data is entered, it will not affect the scheduled award.","")))</f>
        <v/>
      </c>
      <c r="S69" s="763"/>
      <c r="T69" s="446">
        <v>35065</v>
      </c>
      <c r="U69" s="215" t="s">
        <v>1884</v>
      </c>
      <c r="V69" s="215" t="s">
        <v>1885</v>
      </c>
      <c r="W69" s="215" t="s">
        <v>1886</v>
      </c>
    </row>
    <row r="70" spans="2:23" ht="18" customHeight="1" x14ac:dyDescent="0.2">
      <c r="B70" s="441"/>
      <c r="C70" s="1373">
        <f>IF(Q68="ERROR",0,Q68)</f>
        <v>0</v>
      </c>
      <c r="D70" s="1373"/>
      <c r="E70" s="1373"/>
      <c r="F70" s="42" t="s">
        <v>1791</v>
      </c>
      <c r="G70" s="1346">
        <v>320</v>
      </c>
      <c r="H70" s="1346"/>
      <c r="I70" s="1346"/>
      <c r="J70" s="375" t="s">
        <v>1793</v>
      </c>
      <c r="K70" s="1468">
        <f>C70*G70</f>
        <v>0</v>
      </c>
      <c r="L70" s="1468"/>
      <c r="M70" s="1468"/>
      <c r="N70" s="1469"/>
      <c r="O70" s="1469"/>
      <c r="P70" s="10"/>
      <c r="Q70" s="1512"/>
      <c r="T70" s="446">
        <v>38353</v>
      </c>
      <c r="U70" s="215" t="s">
        <v>1887</v>
      </c>
      <c r="V70" s="215" t="s">
        <v>1888</v>
      </c>
      <c r="W70" s="215" t="s">
        <v>1889</v>
      </c>
    </row>
    <row r="71" spans="2:23" ht="24.75" customHeight="1" x14ac:dyDescent="0.2">
      <c r="B71" s="442"/>
      <c r="C71" s="1487" t="s">
        <v>365</v>
      </c>
      <c r="D71" s="1487"/>
      <c r="E71" s="1487"/>
      <c r="F71" s="443"/>
      <c r="G71" s="1516" t="s">
        <v>365</v>
      </c>
      <c r="H71" s="1517"/>
      <c r="I71" s="1518"/>
      <c r="J71" s="443"/>
      <c r="K71" s="1519" t="s">
        <v>1890</v>
      </c>
      <c r="L71" s="1520"/>
      <c r="M71" s="1521"/>
      <c r="N71" s="1487" t="s">
        <v>33</v>
      </c>
      <c r="O71" s="1487"/>
      <c r="P71" s="1516"/>
      <c r="Q71" s="1512"/>
      <c r="T71" s="440"/>
      <c r="U71" s="315"/>
      <c r="V71" s="315"/>
      <c r="W71" s="315"/>
    </row>
    <row r="72" spans="2:23" ht="19.5" customHeight="1" x14ac:dyDescent="0.2">
      <c r="B72" s="17" t="s">
        <v>1891</v>
      </c>
      <c r="C72" s="1346" t="str">
        <f>IF(N51="","DOI?",IF(N51&lt;T69,U69,U70))</f>
        <v>DOI?</v>
      </c>
      <c r="D72" s="1346"/>
      <c r="E72" s="1346"/>
      <c r="F72" s="23"/>
      <c r="G72" s="1468">
        <f>IF(C72="DOI?",0,IF(K70&gt;T72,T72,K70))</f>
        <v>0</v>
      </c>
      <c r="H72" s="1468"/>
      <c r="I72" s="1468"/>
      <c r="J72" s="23" t="s">
        <v>1791</v>
      </c>
      <c r="K72" s="1514" t="e">
        <f>'Dol Per Deg'!H8</f>
        <v>#N/A</v>
      </c>
      <c r="L72" s="1515"/>
      <c r="M72" s="23" t="s">
        <v>1793</v>
      </c>
      <c r="N72" s="1522" t="e">
        <f>G72*K72</f>
        <v>#N/A</v>
      </c>
      <c r="O72" s="1522"/>
      <c r="P72" s="1360"/>
      <c r="Q72" s="1512"/>
      <c r="T72" s="185">
        <f>IF(N51="",0,IF(N51&lt;T69,U73,U74))</f>
        <v>0</v>
      </c>
    </row>
    <row r="73" spans="2:23" ht="19.5" customHeight="1" x14ac:dyDescent="0.2">
      <c r="B73" s="17" t="s">
        <v>1892</v>
      </c>
      <c r="C73" s="1346" t="str">
        <f>IF(N51="","DOI?",IF(N51&lt;T69,V69,V70))</f>
        <v>DOI?</v>
      </c>
      <c r="D73" s="1346"/>
      <c r="E73" s="1346"/>
      <c r="F73" s="23"/>
      <c r="G73" s="1468">
        <f>IF(C73="DOI?",0,IF(K70&gt;T73,T73-T72,IF(K70&gt;T72,K70-T72,0)))</f>
        <v>0</v>
      </c>
      <c r="H73" s="1468"/>
      <c r="I73" s="1468"/>
      <c r="J73" s="23" t="s">
        <v>1791</v>
      </c>
      <c r="K73" s="1360" t="e">
        <f>'Dol Per Deg'!H9</f>
        <v>#N/A</v>
      </c>
      <c r="L73" s="1470"/>
      <c r="M73" s="23" t="s">
        <v>1793</v>
      </c>
      <c r="N73" s="1522" t="e">
        <f>G73*K73</f>
        <v>#N/A</v>
      </c>
      <c r="O73" s="1522"/>
      <c r="P73" s="1360"/>
      <c r="Q73" s="1512"/>
      <c r="T73" s="185">
        <f>IF(N51="",0,IF(N51&lt;T69,V73,V74))</f>
        <v>0</v>
      </c>
      <c r="U73" s="765">
        <v>96</v>
      </c>
      <c r="V73" s="765">
        <v>192</v>
      </c>
      <c r="W73" s="764">
        <v>320</v>
      </c>
    </row>
    <row r="74" spans="2:23" ht="19.5" customHeight="1" x14ac:dyDescent="0.2">
      <c r="B74" s="17" t="s">
        <v>1893</v>
      </c>
      <c r="C74" s="1346" t="str">
        <f>IF(N51="","DOI?",IF(N51&lt;T69,W69,W70))</f>
        <v>DOI?</v>
      </c>
      <c r="D74" s="1346"/>
      <c r="E74" s="1346"/>
      <c r="F74" s="23"/>
      <c r="G74" s="1468">
        <f>IF(C74="DOI?",0,IF(K70&gt;T73,K70-T73,0))</f>
        <v>0</v>
      </c>
      <c r="H74" s="1468"/>
      <c r="I74" s="1468"/>
      <c r="J74" s="23" t="s">
        <v>1791</v>
      </c>
      <c r="K74" s="1360" t="e">
        <f>'Dol Per Deg'!H10</f>
        <v>#N/A</v>
      </c>
      <c r="L74" s="1470"/>
      <c r="M74" s="23" t="s">
        <v>1793</v>
      </c>
      <c r="N74" s="1522" t="e">
        <f>G74*K74</f>
        <v>#N/A</v>
      </c>
      <c r="O74" s="1522"/>
      <c r="P74" s="1360"/>
      <c r="Q74" s="1513"/>
      <c r="T74" s="185">
        <f>IF(N51="",0,IF(N51&lt;T69,W73,W74))</f>
        <v>0</v>
      </c>
      <c r="U74" s="765">
        <v>64</v>
      </c>
      <c r="V74" s="765">
        <v>160</v>
      </c>
      <c r="W74" s="764">
        <v>320</v>
      </c>
    </row>
    <row r="75" spans="2:23" ht="19.5" customHeight="1" x14ac:dyDescent="0.2">
      <c r="B75" s="1525" t="s">
        <v>1894</v>
      </c>
      <c r="C75" s="1526"/>
      <c r="D75" s="1526"/>
      <c r="E75" s="1526"/>
      <c r="F75" s="1526"/>
      <c r="G75" s="1526"/>
      <c r="H75" s="1526"/>
      <c r="I75" s="1526"/>
      <c r="J75" s="1526"/>
      <c r="K75" s="1526"/>
      <c r="L75" s="1526"/>
      <c r="M75" s="1526"/>
      <c r="N75" s="1526"/>
      <c r="O75" s="1526"/>
      <c r="P75" s="1527"/>
      <c r="Q75" s="444" t="e">
        <f>SUM(N72:N74)</f>
        <v>#N/A</v>
      </c>
    </row>
    <row r="76" spans="2:23" ht="19.5" customHeight="1" x14ac:dyDescent="0.2">
      <c r="B76" s="1525" t="s">
        <v>688</v>
      </c>
      <c r="C76" s="1526"/>
      <c r="D76" s="1526"/>
      <c r="E76" s="1526"/>
      <c r="F76" s="1526"/>
      <c r="G76" s="1526"/>
      <c r="H76" s="1526"/>
      <c r="I76" s="1526"/>
      <c r="J76" s="1526"/>
      <c r="K76" s="1526"/>
      <c r="L76" s="1526"/>
      <c r="M76" s="1526"/>
      <c r="N76" s="1526"/>
      <c r="O76" s="1526"/>
      <c r="P76" s="1527"/>
      <c r="Q76" s="444" t="e">
        <f>Q75+Q40</f>
        <v>#N/A</v>
      </c>
    </row>
    <row r="77" spans="2:23" ht="15.75" customHeight="1" x14ac:dyDescent="0.25">
      <c r="B77" s="1510" t="s">
        <v>887</v>
      </c>
      <c r="C77" s="1510"/>
      <c r="D77" s="1510"/>
      <c r="E77" s="1510"/>
      <c r="F77" s="1510"/>
      <c r="G77" s="1510"/>
      <c r="H77" s="1510"/>
      <c r="I77" s="1510"/>
      <c r="J77" s="1510"/>
      <c r="K77" s="1510"/>
      <c r="L77" s="1510"/>
      <c r="M77" s="1510"/>
      <c r="N77" s="1510"/>
      <c r="O77" s="1510"/>
      <c r="P77" s="1510"/>
      <c r="Q77" s="1510"/>
      <c r="R77" s="189"/>
    </row>
    <row r="79" spans="2:23" ht="18" hidden="1" customHeight="1" x14ac:dyDescent="0.2">
      <c r="B79" s="35" t="s">
        <v>366</v>
      </c>
      <c r="C79" s="35" t="s">
        <v>1138</v>
      </c>
    </row>
    <row r="80" spans="2:23" ht="18" hidden="1" customHeight="1" x14ac:dyDescent="0.2"/>
    <row r="81" spans="1:163" ht="18" hidden="1" customHeight="1" x14ac:dyDescent="0.2">
      <c r="A81" s="185" t="s">
        <v>278</v>
      </c>
      <c r="B81" s="23">
        <v>1</v>
      </c>
      <c r="C81" s="23">
        <v>2</v>
      </c>
      <c r="D81" s="23">
        <v>3</v>
      </c>
      <c r="E81" s="23">
        <v>4</v>
      </c>
      <c r="F81" s="23">
        <v>5</v>
      </c>
      <c r="G81" s="23">
        <v>6</v>
      </c>
      <c r="H81" s="23">
        <v>7</v>
      </c>
      <c r="I81" s="23">
        <v>8</v>
      </c>
      <c r="J81" s="23">
        <v>9</v>
      </c>
      <c r="K81" s="681"/>
      <c r="L81" s="680" t="s">
        <v>2181</v>
      </c>
      <c r="M81" s="680"/>
      <c r="N81" s="680"/>
      <c r="O81" s="680"/>
      <c r="P81" s="680"/>
      <c r="Q81" s="680"/>
      <c r="R81" s="680"/>
      <c r="S81" s="680"/>
      <c r="T81" s="680"/>
      <c r="U81" s="680"/>
      <c r="V81" s="680"/>
      <c r="W81" s="680"/>
    </row>
    <row r="82" spans="1:163" ht="18" hidden="1" customHeight="1" x14ac:dyDescent="0.2">
      <c r="A82" s="185">
        <v>4</v>
      </c>
      <c r="B82" s="23">
        <v>4</v>
      </c>
      <c r="C82" s="23">
        <v>4</v>
      </c>
      <c r="D82" s="23">
        <v>3</v>
      </c>
      <c r="E82" s="23">
        <v>3</v>
      </c>
      <c r="F82" s="23">
        <v>2</v>
      </c>
      <c r="G82" s="23">
        <v>2</v>
      </c>
      <c r="H82" s="23">
        <v>1</v>
      </c>
      <c r="I82" s="23">
        <v>1</v>
      </c>
      <c r="J82" s="23">
        <v>1</v>
      </c>
      <c r="K82" s="2"/>
      <c r="L82" s="2"/>
      <c r="M82" s="2"/>
      <c r="N82" s="2"/>
    </row>
    <row r="83" spans="1:163" ht="18" hidden="1" customHeight="1" x14ac:dyDescent="0.2">
      <c r="B83" s="2"/>
      <c r="C83" s="2"/>
      <c r="D83" s="2"/>
      <c r="E83" s="2"/>
      <c r="F83" s="2"/>
      <c r="G83" s="2"/>
      <c r="H83" s="2"/>
      <c r="I83" s="2"/>
      <c r="J83" s="2"/>
      <c r="K83" s="2"/>
      <c r="L83" s="2"/>
      <c r="M83" s="2"/>
      <c r="N83" s="2"/>
    </row>
    <row r="84" spans="1:163" ht="18" hidden="1" customHeight="1" x14ac:dyDescent="0.2">
      <c r="B84" s="2"/>
      <c r="C84" s="2"/>
      <c r="D84" s="2"/>
      <c r="E84" s="2"/>
      <c r="F84" s="2"/>
      <c r="G84" s="2"/>
      <c r="H84" s="2"/>
      <c r="I84" s="2"/>
      <c r="J84" s="2"/>
      <c r="K84" s="680"/>
      <c r="L84" s="680" t="s">
        <v>2182</v>
      </c>
      <c r="M84" s="680"/>
      <c r="N84" s="680"/>
      <c r="O84" s="680"/>
      <c r="P84" s="680"/>
      <c r="Q84" s="680"/>
      <c r="R84" s="680"/>
      <c r="S84" s="680"/>
      <c r="T84" s="680"/>
      <c r="U84" s="680"/>
      <c r="V84" s="680"/>
      <c r="W84" s="680"/>
      <c r="X84" s="680"/>
      <c r="Y84" s="680"/>
      <c r="Z84" s="680"/>
      <c r="AA84" s="680"/>
      <c r="AB84" s="680"/>
    </row>
    <row r="85" spans="1:163" ht="18" hidden="1" customHeight="1" x14ac:dyDescent="0.2">
      <c r="B85" s="23" t="s">
        <v>354</v>
      </c>
      <c r="C85" s="23" t="s">
        <v>355</v>
      </c>
      <c r="D85" s="23" t="s">
        <v>356</v>
      </c>
      <c r="E85" s="23" t="s">
        <v>357</v>
      </c>
      <c r="F85" s="23" t="s">
        <v>358</v>
      </c>
      <c r="G85" s="23"/>
      <c r="H85" s="23" t="s">
        <v>359</v>
      </c>
      <c r="I85" s="23" t="s">
        <v>354</v>
      </c>
      <c r="J85" s="23" t="s">
        <v>360</v>
      </c>
      <c r="K85" s="23" t="s">
        <v>355</v>
      </c>
      <c r="L85" s="23" t="s">
        <v>361</v>
      </c>
      <c r="M85" s="23" t="s">
        <v>356</v>
      </c>
      <c r="N85" s="23" t="s">
        <v>362</v>
      </c>
      <c r="O85" s="185" t="s">
        <v>357</v>
      </c>
      <c r="P85" s="185" t="s">
        <v>358</v>
      </c>
      <c r="Q85" s="185"/>
      <c r="R85" s="185"/>
      <c r="S85" s="185"/>
      <c r="T85" s="185"/>
      <c r="U85" s="185"/>
      <c r="V85" s="185"/>
      <c r="W85" s="23"/>
      <c r="X85" s="185"/>
      <c r="Y85" s="185"/>
      <c r="Z85" s="185"/>
      <c r="AA85" s="185"/>
      <c r="AB85" s="185"/>
      <c r="AC85" s="185"/>
      <c r="AD85" s="185"/>
      <c r="AE85" s="185"/>
      <c r="AF85" s="185"/>
      <c r="AG85" s="185"/>
      <c r="AH85" s="185"/>
      <c r="AI85" s="185"/>
      <c r="AJ85" s="185"/>
      <c r="AK85" s="185"/>
      <c r="AL85" s="185"/>
      <c r="AM85" s="185"/>
      <c r="AN85" s="185"/>
      <c r="AO85" s="185"/>
      <c r="AP85" s="185"/>
      <c r="AQ85" s="185"/>
      <c r="AR85" s="185"/>
      <c r="AS85" s="185"/>
      <c r="AT85" s="185"/>
    </row>
    <row r="86" spans="1:163" ht="18" hidden="1" customHeight="1" x14ac:dyDescent="0.2">
      <c r="B86" s="23" t="s">
        <v>1929</v>
      </c>
      <c r="C86" s="23" t="s">
        <v>1930</v>
      </c>
      <c r="D86" s="23" t="s">
        <v>1675</v>
      </c>
      <c r="E86" s="23" t="s">
        <v>1463</v>
      </c>
      <c r="F86" s="23" t="s">
        <v>1464</v>
      </c>
      <c r="G86" s="23" t="s">
        <v>1465</v>
      </c>
      <c r="H86" s="23" t="s">
        <v>1466</v>
      </c>
      <c r="I86" s="23" t="s">
        <v>1467</v>
      </c>
      <c r="J86" s="23" t="s">
        <v>1468</v>
      </c>
      <c r="K86" s="23" t="s">
        <v>1469</v>
      </c>
      <c r="L86" s="23" t="s">
        <v>1589</v>
      </c>
      <c r="M86" s="23" t="s">
        <v>958</v>
      </c>
      <c r="N86" s="23" t="s">
        <v>959</v>
      </c>
      <c r="O86" s="185" t="s">
        <v>960</v>
      </c>
      <c r="P86" s="185" t="s">
        <v>961</v>
      </c>
      <c r="Q86" s="185" t="s">
        <v>962</v>
      </c>
      <c r="R86" s="185" t="s">
        <v>963</v>
      </c>
      <c r="S86" s="185" t="s">
        <v>964</v>
      </c>
      <c r="T86" s="185" t="s">
        <v>965</v>
      </c>
      <c r="U86" s="185" t="s">
        <v>644</v>
      </c>
      <c r="V86" s="23" t="s">
        <v>645</v>
      </c>
      <c r="W86" s="185" t="s">
        <v>646</v>
      </c>
      <c r="X86" s="185" t="s">
        <v>647</v>
      </c>
      <c r="Y86" s="185" t="s">
        <v>648</v>
      </c>
      <c r="Z86" s="185" t="s">
        <v>649</v>
      </c>
      <c r="AA86" s="185" t="s">
        <v>650</v>
      </c>
      <c r="AB86" s="185" t="s">
        <v>651</v>
      </c>
      <c r="AC86" s="185" t="s">
        <v>652</v>
      </c>
      <c r="AD86" s="185" t="s">
        <v>653</v>
      </c>
      <c r="AE86" s="185" t="s">
        <v>654</v>
      </c>
      <c r="AF86" s="185" t="s">
        <v>655</v>
      </c>
      <c r="AG86" s="185" t="s">
        <v>656</v>
      </c>
      <c r="AH86" s="185" t="s">
        <v>657</v>
      </c>
      <c r="AI86" s="185" t="s">
        <v>658</v>
      </c>
      <c r="AJ86" s="185" t="s">
        <v>659</v>
      </c>
      <c r="AK86" s="185" t="s">
        <v>660</v>
      </c>
      <c r="AL86" s="185" t="s">
        <v>661</v>
      </c>
      <c r="AM86" s="185" t="s">
        <v>662</v>
      </c>
      <c r="AN86" s="185" t="s">
        <v>1064</v>
      </c>
      <c r="AO86" s="185" t="s">
        <v>378</v>
      </c>
      <c r="AP86" s="185" t="s">
        <v>379</v>
      </c>
      <c r="AQ86" s="185" t="s">
        <v>44</v>
      </c>
      <c r="AR86" s="185" t="s">
        <v>45</v>
      </c>
      <c r="AS86" s="185" t="s">
        <v>46</v>
      </c>
      <c r="AT86" s="185" t="s">
        <v>47</v>
      </c>
    </row>
    <row r="87" spans="1:163" ht="18" hidden="1" customHeight="1" x14ac:dyDescent="0.2">
      <c r="B87" s="23">
        <v>2</v>
      </c>
      <c r="C87" s="23">
        <v>1</v>
      </c>
      <c r="D87" s="23">
        <v>1</v>
      </c>
      <c r="E87" s="23">
        <v>1</v>
      </c>
      <c r="F87" s="23">
        <v>1</v>
      </c>
      <c r="G87" s="23">
        <v>1</v>
      </c>
      <c r="H87" s="23">
        <v>1</v>
      </c>
      <c r="I87" s="23">
        <v>1</v>
      </c>
      <c r="J87" s="23">
        <v>1</v>
      </c>
      <c r="K87" s="23">
        <v>4</v>
      </c>
      <c r="L87" s="23">
        <v>3</v>
      </c>
      <c r="M87" s="23">
        <v>2</v>
      </c>
      <c r="N87" s="23">
        <v>1</v>
      </c>
      <c r="O87" s="185">
        <v>1</v>
      </c>
      <c r="P87" s="185">
        <v>1</v>
      </c>
      <c r="Q87" s="185">
        <v>1</v>
      </c>
      <c r="R87" s="185">
        <v>1</v>
      </c>
      <c r="S87" s="185">
        <v>1</v>
      </c>
      <c r="T87" s="185">
        <v>6</v>
      </c>
      <c r="U87" s="185">
        <v>5</v>
      </c>
      <c r="V87" s="23">
        <v>4</v>
      </c>
      <c r="W87" s="185">
        <v>3</v>
      </c>
      <c r="X87" s="185">
        <v>2</v>
      </c>
      <c r="Y87" s="185">
        <v>1</v>
      </c>
      <c r="Z87" s="185">
        <v>1</v>
      </c>
      <c r="AA87" s="185">
        <v>1</v>
      </c>
      <c r="AB87" s="185">
        <v>1</v>
      </c>
      <c r="AC87" s="185">
        <v>7</v>
      </c>
      <c r="AD87" s="185">
        <v>6</v>
      </c>
      <c r="AE87" s="185">
        <v>6</v>
      </c>
      <c r="AF87" s="185">
        <v>5</v>
      </c>
      <c r="AG87" s="185">
        <v>4</v>
      </c>
      <c r="AH87" s="185">
        <v>3</v>
      </c>
      <c r="AI87" s="185">
        <v>2</v>
      </c>
      <c r="AJ87" s="185">
        <v>1</v>
      </c>
      <c r="AK87" s="185">
        <v>1</v>
      </c>
      <c r="AL87" s="185">
        <v>7</v>
      </c>
      <c r="AM87" s="185">
        <v>7</v>
      </c>
      <c r="AN87" s="185">
        <v>6</v>
      </c>
      <c r="AO87" s="185">
        <v>5</v>
      </c>
      <c r="AP87" s="185">
        <v>4</v>
      </c>
      <c r="AQ87" s="185">
        <v>3</v>
      </c>
      <c r="AR87" s="185">
        <v>2</v>
      </c>
      <c r="AS87" s="185">
        <v>1</v>
      </c>
      <c r="AT87" s="185">
        <v>1</v>
      </c>
    </row>
    <row r="88" spans="1:163" ht="18" hidden="1" customHeight="1" x14ac:dyDescent="0.2">
      <c r="B88" s="23"/>
      <c r="C88" s="23"/>
      <c r="D88" s="23"/>
      <c r="E88" s="23"/>
      <c r="F88" s="23"/>
      <c r="G88" s="23"/>
      <c r="H88" s="23"/>
      <c r="I88" s="23"/>
      <c r="J88" s="23"/>
      <c r="K88" s="23"/>
      <c r="L88" s="23"/>
      <c r="M88" s="23"/>
      <c r="N88" s="23"/>
      <c r="O88" s="185"/>
      <c r="P88" s="185"/>
      <c r="Q88" s="185"/>
      <c r="R88" s="185"/>
      <c r="S88" s="185"/>
      <c r="T88" s="185"/>
      <c r="U88" s="185"/>
      <c r="V88" s="23"/>
      <c r="W88" s="185"/>
      <c r="X88" s="185"/>
      <c r="Y88" s="185"/>
      <c r="Z88" s="185"/>
      <c r="AA88" s="185"/>
      <c r="AB88" s="185"/>
      <c r="AC88" s="185"/>
      <c r="AD88" s="185"/>
      <c r="AE88" s="185"/>
      <c r="AF88" s="185"/>
      <c r="AG88" s="185"/>
      <c r="AH88" s="185"/>
      <c r="AI88" s="185"/>
      <c r="AJ88" s="185"/>
      <c r="AK88" s="185"/>
      <c r="AL88" s="185"/>
      <c r="AM88" s="185"/>
      <c r="AN88" s="185"/>
      <c r="AO88" s="185"/>
      <c r="AP88" s="185"/>
      <c r="AQ88" s="185"/>
      <c r="AR88" s="185"/>
      <c r="AS88" s="185"/>
      <c r="AT88" s="185"/>
    </row>
    <row r="89" spans="1:163" ht="18" hidden="1" customHeight="1" x14ac:dyDescent="0.2">
      <c r="B89" s="2"/>
      <c r="C89" s="2"/>
      <c r="D89" s="2"/>
      <c r="E89" s="2"/>
      <c r="F89" s="2"/>
      <c r="G89" s="2"/>
      <c r="H89" s="2"/>
      <c r="I89" s="2"/>
      <c r="J89" s="2"/>
      <c r="K89" s="680"/>
      <c r="L89" s="680" t="s">
        <v>2183</v>
      </c>
      <c r="M89" s="680"/>
      <c r="N89" s="680"/>
      <c r="O89" s="680"/>
      <c r="P89" s="680"/>
      <c r="Q89" s="680"/>
      <c r="R89" s="680"/>
      <c r="S89" s="680"/>
      <c r="T89" s="680"/>
      <c r="U89" s="680"/>
      <c r="V89" s="680"/>
      <c r="W89" s="680"/>
      <c r="X89" s="680"/>
      <c r="Y89" s="680"/>
    </row>
    <row r="90" spans="1:163" ht="18" hidden="1" customHeight="1" x14ac:dyDescent="0.2">
      <c r="A90" s="191"/>
      <c r="B90" s="201">
        <v>0.01</v>
      </c>
      <c r="C90" s="201">
        <v>0.02</v>
      </c>
      <c r="D90" s="201">
        <v>0.03</v>
      </c>
      <c r="E90" s="201">
        <v>0.04</v>
      </c>
      <c r="F90" s="201">
        <v>0.05</v>
      </c>
      <c r="G90" s="201">
        <v>0.06</v>
      </c>
      <c r="H90" s="201">
        <v>7.0000000000000007E-2</v>
      </c>
      <c r="I90" s="201">
        <v>0.08</v>
      </c>
      <c r="J90" s="201">
        <v>0.09</v>
      </c>
      <c r="K90" s="201">
        <v>0.1</v>
      </c>
      <c r="L90" s="201">
        <v>0.11</v>
      </c>
      <c r="M90" s="201">
        <v>0.12</v>
      </c>
      <c r="N90" s="201">
        <v>0.13</v>
      </c>
      <c r="O90" s="201">
        <v>0.14000000000000001</v>
      </c>
      <c r="P90" s="201">
        <v>0.15</v>
      </c>
      <c r="Q90" s="201">
        <v>0.16</v>
      </c>
      <c r="R90" s="201">
        <v>0.17</v>
      </c>
      <c r="S90" s="201">
        <v>0.18</v>
      </c>
      <c r="T90" s="201">
        <v>0.19</v>
      </c>
      <c r="U90" s="201">
        <v>0.2</v>
      </c>
      <c r="V90" s="201">
        <v>0.21</v>
      </c>
      <c r="W90" s="201">
        <v>0.22</v>
      </c>
      <c r="X90" s="201">
        <v>0.23</v>
      </c>
      <c r="Y90" s="201">
        <v>0.24</v>
      </c>
      <c r="Z90" s="201">
        <v>0.25</v>
      </c>
      <c r="AA90" s="201">
        <v>0.26</v>
      </c>
      <c r="AB90" s="201">
        <v>0.27</v>
      </c>
      <c r="AC90" s="201">
        <v>0.28000000000000003</v>
      </c>
      <c r="AD90" s="201">
        <v>0.28999999999999998</v>
      </c>
      <c r="AE90" s="201">
        <v>0.3</v>
      </c>
      <c r="AF90" s="201">
        <v>0.31</v>
      </c>
      <c r="AG90" s="201">
        <v>0.32</v>
      </c>
      <c r="AH90" s="201">
        <v>0.33</v>
      </c>
      <c r="AI90" s="201">
        <v>0.34</v>
      </c>
      <c r="AJ90" s="201">
        <v>0.35</v>
      </c>
      <c r="AK90" s="201">
        <v>0.36</v>
      </c>
      <c r="AL90" s="201">
        <v>0.37</v>
      </c>
      <c r="AM90" s="201">
        <v>0.38</v>
      </c>
      <c r="AN90" s="201">
        <v>0.39</v>
      </c>
      <c r="AO90" s="201">
        <v>0.4</v>
      </c>
      <c r="AP90" s="201">
        <v>0.41</v>
      </c>
      <c r="AQ90" s="201">
        <v>0.42</v>
      </c>
      <c r="AR90" s="201">
        <v>0.43</v>
      </c>
      <c r="AS90" s="201">
        <v>0.44</v>
      </c>
      <c r="AT90" s="201">
        <v>0.45</v>
      </c>
      <c r="AU90" s="201">
        <v>0.46</v>
      </c>
      <c r="AV90" s="201">
        <v>0.47</v>
      </c>
      <c r="AW90" s="201">
        <v>0.48</v>
      </c>
      <c r="AX90" s="201">
        <v>0.49</v>
      </c>
      <c r="AY90" s="201">
        <v>0.5</v>
      </c>
      <c r="AZ90" s="201">
        <v>0.51</v>
      </c>
      <c r="BA90" s="201">
        <v>0.52</v>
      </c>
      <c r="BB90" s="201">
        <v>0.53</v>
      </c>
      <c r="BC90" s="201">
        <v>0.54</v>
      </c>
      <c r="BD90" s="201">
        <v>0.55000000000000004</v>
      </c>
      <c r="BE90" s="201">
        <v>0.56000000000000005</v>
      </c>
      <c r="BF90" s="201">
        <v>0.56999999999999995</v>
      </c>
      <c r="BG90" s="201">
        <v>0.57999999999999996</v>
      </c>
      <c r="BH90" s="201">
        <v>0.59</v>
      </c>
      <c r="BI90" s="201">
        <v>0.6</v>
      </c>
      <c r="BJ90" s="201">
        <v>0.61</v>
      </c>
      <c r="BK90" s="201">
        <v>0.62</v>
      </c>
      <c r="BL90" s="201">
        <v>0.63</v>
      </c>
      <c r="BM90" s="201">
        <v>0.64</v>
      </c>
      <c r="BN90" s="201">
        <v>0.65</v>
      </c>
      <c r="BO90" s="201">
        <v>0.66</v>
      </c>
      <c r="BP90" s="201">
        <v>0.67</v>
      </c>
      <c r="BQ90" s="201">
        <v>0.68</v>
      </c>
      <c r="BR90" s="201">
        <v>0.69</v>
      </c>
      <c r="BS90" s="201">
        <v>0.7</v>
      </c>
      <c r="BT90" s="201">
        <v>0.71</v>
      </c>
      <c r="BU90" s="201">
        <v>0.72</v>
      </c>
      <c r="BV90" s="201">
        <v>0.73</v>
      </c>
      <c r="BW90" s="201">
        <v>0.74</v>
      </c>
      <c r="BX90" s="201">
        <v>0.75</v>
      </c>
      <c r="BY90" s="201">
        <v>0.76</v>
      </c>
      <c r="BZ90" s="201">
        <v>0.77</v>
      </c>
      <c r="CA90" s="201">
        <v>0.78</v>
      </c>
      <c r="CB90" s="201">
        <v>0.79</v>
      </c>
      <c r="CC90" s="201">
        <v>0.8</v>
      </c>
      <c r="CD90" s="201">
        <v>0.81</v>
      </c>
      <c r="CE90" s="201">
        <v>0.82</v>
      </c>
      <c r="CF90" s="201">
        <v>0.83</v>
      </c>
      <c r="CG90" s="201">
        <v>0.84</v>
      </c>
      <c r="CH90" s="201">
        <v>0.85</v>
      </c>
      <c r="CI90" s="201">
        <v>0.86</v>
      </c>
      <c r="CJ90" s="201">
        <v>0.87</v>
      </c>
      <c r="CK90" s="201">
        <v>0.88</v>
      </c>
      <c r="CL90" s="201">
        <v>0.89</v>
      </c>
      <c r="CM90" s="201">
        <v>0.9</v>
      </c>
      <c r="CN90" s="201">
        <v>0.91</v>
      </c>
      <c r="CO90" s="201">
        <v>0.92</v>
      </c>
      <c r="CP90" s="201">
        <v>0.93</v>
      </c>
      <c r="CQ90" s="201">
        <v>0.94</v>
      </c>
      <c r="CR90" s="201">
        <v>0.95</v>
      </c>
      <c r="CS90" s="201">
        <v>0.96</v>
      </c>
      <c r="CT90" s="201">
        <v>0.97</v>
      </c>
      <c r="CU90" s="201">
        <v>0.98</v>
      </c>
      <c r="CV90" s="201">
        <v>0.99</v>
      </c>
      <c r="CW90" s="201">
        <v>1</v>
      </c>
      <c r="CX90" s="191"/>
      <c r="CY90" s="191"/>
      <c r="CZ90" s="191"/>
      <c r="DA90" s="191"/>
      <c r="DB90" s="191"/>
      <c r="DC90" s="191"/>
      <c r="DD90" s="191"/>
      <c r="DE90" s="191"/>
      <c r="DF90" s="191"/>
      <c r="DG90" s="191"/>
      <c r="DH90" s="191"/>
      <c r="DI90" s="191"/>
      <c r="DJ90" s="191"/>
      <c r="DK90" s="191"/>
      <c r="DL90" s="191"/>
      <c r="DM90" s="191"/>
      <c r="DN90" s="191"/>
      <c r="DO90" s="191"/>
      <c r="DP90" s="191"/>
      <c r="DQ90" s="191"/>
      <c r="DR90" s="191"/>
      <c r="DS90" s="191"/>
      <c r="DT90" s="191"/>
      <c r="DU90" s="191"/>
      <c r="DV90" s="191"/>
      <c r="DW90" s="191"/>
      <c r="DX90" s="191"/>
      <c r="DY90" s="191"/>
      <c r="DZ90" s="191"/>
      <c r="EA90" s="191"/>
      <c r="EB90" s="191"/>
      <c r="EC90" s="191"/>
      <c r="ED90" s="191"/>
      <c r="EE90" s="191"/>
      <c r="EF90" s="191"/>
      <c r="EG90" s="191"/>
      <c r="EH90" s="191"/>
      <c r="EI90" s="191"/>
      <c r="EJ90" s="191"/>
      <c r="EK90" s="191"/>
      <c r="EL90" s="191"/>
      <c r="EN90" s="191"/>
      <c r="EO90" s="191"/>
      <c r="EP90" s="191"/>
      <c r="EQ90" s="191"/>
      <c r="ER90" s="191"/>
      <c r="ES90" s="191"/>
      <c r="ET90" s="191"/>
      <c r="EU90" s="191"/>
      <c r="EV90" s="191"/>
      <c r="EW90" s="191"/>
      <c r="EX90" s="191"/>
      <c r="EY90" s="191"/>
      <c r="EZ90" s="191"/>
      <c r="FA90" s="191"/>
      <c r="FB90" s="191"/>
      <c r="FC90" s="191"/>
      <c r="FD90" s="191"/>
      <c r="FE90" s="191"/>
      <c r="FF90" s="191"/>
      <c r="FG90" s="191"/>
    </row>
    <row r="91" spans="1:163" ht="18" hidden="1" customHeight="1" x14ac:dyDescent="0.2">
      <c r="B91" s="23">
        <v>1</v>
      </c>
      <c r="C91" s="23">
        <v>1</v>
      </c>
      <c r="D91" s="23">
        <v>1</v>
      </c>
      <c r="E91" s="23">
        <v>1</v>
      </c>
      <c r="F91" s="23">
        <v>1</v>
      </c>
      <c r="G91" s="23">
        <v>1</v>
      </c>
      <c r="H91" s="23">
        <v>1</v>
      </c>
      <c r="I91" s="23">
        <v>1</v>
      </c>
      <c r="J91" s="23">
        <v>1</v>
      </c>
      <c r="K91" s="23">
        <v>2</v>
      </c>
      <c r="L91" s="23">
        <v>2</v>
      </c>
      <c r="M91" s="23">
        <v>2</v>
      </c>
      <c r="N91" s="23">
        <v>2</v>
      </c>
      <c r="O91" s="185">
        <v>2</v>
      </c>
      <c r="P91" s="185">
        <v>2</v>
      </c>
      <c r="Q91" s="185">
        <v>2</v>
      </c>
      <c r="R91" s="185">
        <v>2</v>
      </c>
      <c r="S91" s="185">
        <v>2</v>
      </c>
      <c r="T91" s="185">
        <v>2</v>
      </c>
      <c r="U91" s="185">
        <v>3</v>
      </c>
      <c r="V91" s="23">
        <v>3</v>
      </c>
      <c r="W91" s="185">
        <v>3</v>
      </c>
      <c r="X91" s="185">
        <v>3</v>
      </c>
      <c r="Y91" s="185">
        <v>3</v>
      </c>
      <c r="Z91" s="185">
        <v>3</v>
      </c>
      <c r="AA91" s="185">
        <v>3</v>
      </c>
      <c r="AB91" s="185">
        <v>3</v>
      </c>
      <c r="AC91" s="185">
        <v>3</v>
      </c>
      <c r="AD91" s="185">
        <v>3</v>
      </c>
      <c r="AE91" s="185">
        <v>4</v>
      </c>
      <c r="AF91" s="185">
        <v>4</v>
      </c>
      <c r="AG91" s="185">
        <v>4</v>
      </c>
      <c r="AH91" s="185">
        <v>4</v>
      </c>
      <c r="AI91" s="185">
        <v>4</v>
      </c>
      <c r="AJ91" s="185">
        <v>4</v>
      </c>
      <c r="AK91" s="185">
        <v>4</v>
      </c>
      <c r="AL91" s="185">
        <v>4</v>
      </c>
      <c r="AM91" s="185">
        <v>4</v>
      </c>
      <c r="AN91" s="185">
        <v>4</v>
      </c>
      <c r="AO91" s="185">
        <v>5</v>
      </c>
      <c r="AP91" s="185">
        <v>5</v>
      </c>
      <c r="AQ91" s="185">
        <v>5</v>
      </c>
      <c r="AR91" s="185">
        <v>5</v>
      </c>
      <c r="AS91" s="185">
        <v>5</v>
      </c>
      <c r="AT91" s="185">
        <v>5</v>
      </c>
      <c r="AU91" s="185">
        <v>5</v>
      </c>
      <c r="AV91" s="185">
        <v>5</v>
      </c>
      <c r="AW91" s="185">
        <v>5</v>
      </c>
      <c r="AX91" s="185">
        <v>5</v>
      </c>
      <c r="AY91" s="185">
        <v>6</v>
      </c>
      <c r="AZ91" s="185">
        <v>6</v>
      </c>
      <c r="BA91" s="185">
        <v>6</v>
      </c>
      <c r="BB91" s="185">
        <v>6</v>
      </c>
      <c r="BC91" s="185">
        <v>6</v>
      </c>
      <c r="BD91" s="185">
        <v>6</v>
      </c>
      <c r="BE91" s="185">
        <v>6</v>
      </c>
      <c r="BF91" s="185">
        <v>6</v>
      </c>
      <c r="BG91" s="185">
        <v>6</v>
      </c>
      <c r="BH91" s="185">
        <v>6</v>
      </c>
      <c r="BI91" s="185">
        <v>7</v>
      </c>
      <c r="BJ91" s="185">
        <v>7</v>
      </c>
      <c r="BK91" s="185">
        <v>7</v>
      </c>
      <c r="BL91" s="185">
        <v>7</v>
      </c>
      <c r="BM91" s="185">
        <v>7</v>
      </c>
      <c r="BN91" s="185">
        <v>7</v>
      </c>
      <c r="BO91" s="185">
        <v>7</v>
      </c>
      <c r="BP91" s="185">
        <v>7</v>
      </c>
      <c r="BQ91" s="185">
        <v>7</v>
      </c>
      <c r="BR91" s="185">
        <v>7</v>
      </c>
      <c r="BS91" s="185">
        <v>7</v>
      </c>
      <c r="BT91" s="185">
        <v>7</v>
      </c>
      <c r="BU91" s="185">
        <v>7</v>
      </c>
      <c r="BV91" s="185">
        <v>7</v>
      </c>
      <c r="BW91" s="185">
        <v>7</v>
      </c>
      <c r="BX91" s="185">
        <v>7</v>
      </c>
      <c r="BY91" s="185">
        <v>7</v>
      </c>
      <c r="BZ91" s="185">
        <v>7</v>
      </c>
      <c r="CA91" s="185">
        <v>7</v>
      </c>
      <c r="CB91" s="185">
        <v>7</v>
      </c>
      <c r="CC91" s="185">
        <v>7</v>
      </c>
      <c r="CD91" s="185">
        <v>7</v>
      </c>
      <c r="CE91" s="185">
        <v>7</v>
      </c>
      <c r="CF91" s="185">
        <v>7</v>
      </c>
      <c r="CG91" s="185">
        <v>7</v>
      </c>
      <c r="CH91" s="185">
        <v>7</v>
      </c>
      <c r="CI91" s="185">
        <v>7</v>
      </c>
      <c r="CJ91" s="185">
        <v>7</v>
      </c>
      <c r="CK91" s="185">
        <v>7</v>
      </c>
      <c r="CL91" s="185">
        <v>7</v>
      </c>
      <c r="CM91" s="185">
        <v>7</v>
      </c>
      <c r="CN91" s="185">
        <v>7</v>
      </c>
      <c r="CO91" s="185">
        <v>7</v>
      </c>
      <c r="CP91" s="185">
        <v>7</v>
      </c>
      <c r="CQ91" s="185">
        <v>7</v>
      </c>
      <c r="CR91" s="185">
        <v>7</v>
      </c>
      <c r="CS91" s="185">
        <v>7</v>
      </c>
      <c r="CT91" s="185">
        <v>7</v>
      </c>
      <c r="CU91" s="185">
        <v>7</v>
      </c>
      <c r="CV91" s="185">
        <v>7</v>
      </c>
      <c r="CW91" s="185">
        <v>7</v>
      </c>
    </row>
    <row r="92" spans="1:163" ht="18" hidden="1" customHeight="1" x14ac:dyDescent="0.2">
      <c r="B92" s="2"/>
      <c r="C92" s="2"/>
      <c r="D92" s="2"/>
      <c r="E92" s="2"/>
      <c r="F92" s="2"/>
      <c r="G92" s="2"/>
      <c r="H92" s="2"/>
      <c r="I92" s="2"/>
      <c r="J92" s="2"/>
      <c r="K92" s="2"/>
      <c r="L92" s="2"/>
      <c r="M92" s="2"/>
      <c r="N92" s="2"/>
    </row>
    <row r="93" spans="1:163" hidden="1" x14ac:dyDescent="0.2"/>
    <row r="94" spans="1:163" hidden="1" x14ac:dyDescent="0.2"/>
  </sheetData>
  <sheetProtection sheet="1" objects="1" scenarios="1"/>
  <mergeCells count="231">
    <mergeCell ref="G18:I18"/>
    <mergeCell ref="G19:I19"/>
    <mergeCell ref="C15:E15"/>
    <mergeCell ref="C16:E16"/>
    <mergeCell ref="N17:O17"/>
    <mergeCell ref="N18:O18"/>
    <mergeCell ref="G11:I11"/>
    <mergeCell ref="G12:I12"/>
    <mergeCell ref="B4:Q4"/>
    <mergeCell ref="C6:E6"/>
    <mergeCell ref="C5:E5"/>
    <mergeCell ref="G5:I5"/>
    <mergeCell ref="G6:I6"/>
    <mergeCell ref="K5:L5"/>
    <mergeCell ref="K6:L6"/>
    <mergeCell ref="N6:O6"/>
    <mergeCell ref="C13:E13"/>
    <mergeCell ref="B42:Q42"/>
    <mergeCell ref="C9:E9"/>
    <mergeCell ref="C10:E10"/>
    <mergeCell ref="C11:E11"/>
    <mergeCell ref="C12:E12"/>
    <mergeCell ref="G9:I9"/>
    <mergeCell ref="K9:L9"/>
    <mergeCell ref="K12:L12"/>
    <mergeCell ref="N9:O9"/>
    <mergeCell ref="N12:O12"/>
    <mergeCell ref="K10:L10"/>
    <mergeCell ref="C17:E17"/>
    <mergeCell ref="C18:E18"/>
    <mergeCell ref="C19:E19"/>
    <mergeCell ref="G14:I14"/>
    <mergeCell ref="G17:I17"/>
    <mergeCell ref="K19:L19"/>
    <mergeCell ref="G15:I15"/>
    <mergeCell ref="N11:O11"/>
    <mergeCell ref="K11:L11"/>
    <mergeCell ref="K18:L18"/>
    <mergeCell ref="G16:I16"/>
    <mergeCell ref="K15:L15"/>
    <mergeCell ref="K16:L16"/>
    <mergeCell ref="B1:C1"/>
    <mergeCell ref="D1:K1"/>
    <mergeCell ref="M1:Q1"/>
    <mergeCell ref="B2:Q2"/>
    <mergeCell ref="B3:Q3"/>
    <mergeCell ref="G10:I10"/>
    <mergeCell ref="N10:O10"/>
    <mergeCell ref="C7:E7"/>
    <mergeCell ref="K7:L7"/>
    <mergeCell ref="K8:L8"/>
    <mergeCell ref="N5:O5"/>
    <mergeCell ref="N7:O7"/>
    <mergeCell ref="N8:O8"/>
    <mergeCell ref="G7:I7"/>
    <mergeCell ref="G8:I8"/>
    <mergeCell ref="C8:E8"/>
    <mergeCell ref="C21:E21"/>
    <mergeCell ref="C25:E25"/>
    <mergeCell ref="C26:E26"/>
    <mergeCell ref="C27:E27"/>
    <mergeCell ref="C14:E14"/>
    <mergeCell ref="C35:E35"/>
    <mergeCell ref="C34:E34"/>
    <mergeCell ref="C23:E23"/>
    <mergeCell ref="C22:E22"/>
    <mergeCell ref="C28:E28"/>
    <mergeCell ref="C29:E29"/>
    <mergeCell ref="C24:E24"/>
    <mergeCell ref="C20:E20"/>
    <mergeCell ref="N21:O21"/>
    <mergeCell ref="G13:I13"/>
    <mergeCell ref="G24:I24"/>
    <mergeCell ref="N24:O24"/>
    <mergeCell ref="K21:L21"/>
    <mergeCell ref="G21:I21"/>
    <mergeCell ref="K24:L24"/>
    <mergeCell ref="N13:O13"/>
    <mergeCell ref="K14:L14"/>
    <mergeCell ref="N14:O14"/>
    <mergeCell ref="G22:I22"/>
    <mergeCell ref="G23:I23"/>
    <mergeCell ref="K22:L22"/>
    <mergeCell ref="K23:L23"/>
    <mergeCell ref="K17:L17"/>
    <mergeCell ref="G20:I20"/>
    <mergeCell ref="N22:O22"/>
    <mergeCell ref="N23:O23"/>
    <mergeCell ref="K13:L13"/>
    <mergeCell ref="N20:O20"/>
    <mergeCell ref="K20:L20"/>
    <mergeCell ref="N19:O19"/>
    <mergeCell ref="N15:O15"/>
    <mergeCell ref="N16:O16"/>
    <mergeCell ref="B77:Q77"/>
    <mergeCell ref="C74:E74"/>
    <mergeCell ref="G74:I74"/>
    <mergeCell ref="K74:L74"/>
    <mergeCell ref="Q69:Q74"/>
    <mergeCell ref="C70:E70"/>
    <mergeCell ref="G70:I70"/>
    <mergeCell ref="G72:I72"/>
    <mergeCell ref="K72:L72"/>
    <mergeCell ref="C71:E71"/>
    <mergeCell ref="G71:I71"/>
    <mergeCell ref="K71:M71"/>
    <mergeCell ref="N71:P71"/>
    <mergeCell ref="N73:P73"/>
    <mergeCell ref="K70:M70"/>
    <mergeCell ref="C72:E72"/>
    <mergeCell ref="N72:P72"/>
    <mergeCell ref="C69:F69"/>
    <mergeCell ref="G69:I69"/>
    <mergeCell ref="K69:M69"/>
    <mergeCell ref="N69:O69"/>
    <mergeCell ref="B76:P76"/>
    <mergeCell ref="N74:P74"/>
    <mergeCell ref="B75:P75"/>
    <mergeCell ref="N25:O25"/>
    <mergeCell ref="G25:I25"/>
    <mergeCell ref="G26:I26"/>
    <mergeCell ref="N26:O26"/>
    <mergeCell ref="K25:L25"/>
    <mergeCell ref="K26:L26"/>
    <mergeCell ref="C36:E36"/>
    <mergeCell ref="C38:E38"/>
    <mergeCell ref="K33:L33"/>
    <mergeCell ref="K30:L30"/>
    <mergeCell ref="C32:E32"/>
    <mergeCell ref="C33:E33"/>
    <mergeCell ref="G35:I35"/>
    <mergeCell ref="K38:L38"/>
    <mergeCell ref="C37:E37"/>
    <mergeCell ref="C30:E30"/>
    <mergeCell ref="G34:I34"/>
    <mergeCell ref="G33:I33"/>
    <mergeCell ref="G31:I31"/>
    <mergeCell ref="G32:I32"/>
    <mergeCell ref="G30:I30"/>
    <mergeCell ref="C31:E31"/>
    <mergeCell ref="N37:O37"/>
    <mergeCell ref="N36:O36"/>
    <mergeCell ref="G27:I27"/>
    <mergeCell ref="K27:L27"/>
    <mergeCell ref="K31:L31"/>
    <mergeCell ref="K32:L32"/>
    <mergeCell ref="N27:O27"/>
    <mergeCell ref="N32:O32"/>
    <mergeCell ref="N34:O34"/>
    <mergeCell ref="K34:L34"/>
    <mergeCell ref="K35:L35"/>
    <mergeCell ref="G36:I36"/>
    <mergeCell ref="K37:L37"/>
    <mergeCell ref="K36:L36"/>
    <mergeCell ref="G37:I37"/>
    <mergeCell ref="N35:O35"/>
    <mergeCell ref="N28:O28"/>
    <mergeCell ref="N29:O29"/>
    <mergeCell ref="N30:O30"/>
    <mergeCell ref="N31:O31"/>
    <mergeCell ref="G28:I28"/>
    <mergeCell ref="G29:I29"/>
    <mergeCell ref="K28:L28"/>
    <mergeCell ref="K29:L29"/>
    <mergeCell ref="N40:P40"/>
    <mergeCell ref="N39:O39"/>
    <mergeCell ref="G39:I39"/>
    <mergeCell ref="K39:L39"/>
    <mergeCell ref="G38:I38"/>
    <mergeCell ref="N38:O38"/>
    <mergeCell ref="G68:P68"/>
    <mergeCell ref="C39:E39"/>
    <mergeCell ref="B66:E68"/>
    <mergeCell ref="G61:M61"/>
    <mergeCell ref="G60:M60"/>
    <mergeCell ref="G65:P65"/>
    <mergeCell ref="G67:P67"/>
    <mergeCell ref="G62:M62"/>
    <mergeCell ref="N60:P60"/>
    <mergeCell ref="C60:E60"/>
    <mergeCell ref="N61:P61"/>
    <mergeCell ref="N62:P62"/>
    <mergeCell ref="C56:E56"/>
    <mergeCell ref="G66:P66"/>
    <mergeCell ref="N56:P56"/>
    <mergeCell ref="N54:P54"/>
    <mergeCell ref="N55:P55"/>
    <mergeCell ref="B41:Q41"/>
    <mergeCell ref="C73:E73"/>
    <mergeCell ref="G73:I73"/>
    <mergeCell ref="N70:O70"/>
    <mergeCell ref="K73:L73"/>
    <mergeCell ref="N33:O33"/>
    <mergeCell ref="C63:E63"/>
    <mergeCell ref="G63:P63"/>
    <mergeCell ref="G43:Q43"/>
    <mergeCell ref="C44:E44"/>
    <mergeCell ref="C46:E46"/>
    <mergeCell ref="C47:E47"/>
    <mergeCell ref="C45:E45"/>
    <mergeCell ref="H44:Q47"/>
    <mergeCell ref="G44:G47"/>
    <mergeCell ref="C59:E59"/>
    <mergeCell ref="C61:E61"/>
    <mergeCell ref="C62:E62"/>
    <mergeCell ref="N59:P59"/>
    <mergeCell ref="C57:E57"/>
    <mergeCell ref="G56:M56"/>
    <mergeCell ref="G54:M54"/>
    <mergeCell ref="C54:E54"/>
    <mergeCell ref="G55:M55"/>
    <mergeCell ref="C55:E55"/>
    <mergeCell ref="G59:M59"/>
    <mergeCell ref="G57:Q58"/>
    <mergeCell ref="Q59:Q62"/>
    <mergeCell ref="C58:E58"/>
    <mergeCell ref="G64:P64"/>
    <mergeCell ref="G48:P50"/>
    <mergeCell ref="C53:E53"/>
    <mergeCell ref="C52:E52"/>
    <mergeCell ref="N51:P51"/>
    <mergeCell ref="C48:E48"/>
    <mergeCell ref="C49:E49"/>
    <mergeCell ref="C50:E50"/>
    <mergeCell ref="G53:M53"/>
    <mergeCell ref="N53:P53"/>
    <mergeCell ref="C51:E51"/>
    <mergeCell ref="G52:M52"/>
    <mergeCell ref="G51:M51"/>
    <mergeCell ref="N52:P52"/>
    <mergeCell ref="Q48:Q53"/>
  </mergeCells>
  <phoneticPr fontId="0" type="noConversion"/>
  <conditionalFormatting sqref="G48:P50">
    <cfRule type="cellIs" dxfId="28" priority="1" stopIfTrue="1" operator="equal">
      <formula>$T$13</formula>
    </cfRule>
    <cfRule type="cellIs" dxfId="27" priority="2" stopIfTrue="1" operator="equal">
      <formula>$T$12</formula>
    </cfRule>
  </conditionalFormatting>
  <dataValidations xWindow="1006" yWindow="497" count="9">
    <dataValidation type="list" allowBlank="1" showInputMessage="1" showErrorMessage="1" promptTitle="Education" prompt="If the worker does not have a high school diploma or GED, add value of 1." sqref="N55:P55" xr:uid="{00000000-0002-0000-0200-000000000000}">
      <formula1>$A$79:$C$79</formula1>
    </dataValidation>
    <dataValidation type="list" allowBlank="1" showInputMessage="1" showErrorMessage="1" promptTitle="Specific vocational preparation" prompt="Click on the hyperlink to see descriptions of vocational preparation levels. " sqref="N56:P56" xr:uid="{00000000-0002-0000-0200-000001000000}">
      <formula1>$A$81:$J$81</formula1>
    </dataValidation>
    <dataValidation type="list" allowBlank="1" showInputMessage="1" showErrorMessage="1" promptTitle="Base Functional Capacity (BFC)" prompt="BFC means an individual's demonstrated physical capacity before the injury or disease." sqref="N60:P60" xr:uid="{00000000-0002-0000-0200-000002000000}">
      <formula1>$A$85:$F$85</formula1>
    </dataValidation>
    <dataValidation type="list" allowBlank="1" showInputMessage="1" showErrorMessage="1" promptTitle="Residual Functional Capacity" prompt="Residual functional capacity (RFC) means an individual's remaining ability to perform work-related activites despite medically determinable impairment resulting from the accepted compensable condition." sqref="N61:P61" xr:uid="{00000000-0002-0000-0200-000003000000}">
      <formula1>$G$85:$P$85</formula1>
    </dataValidation>
    <dataValidation allowBlank="1" showInputMessage="1" showErrorMessage="1" promptTitle="End of worksheet" prompt="Press TAB to return to top of sheet." sqref="R77" xr:uid="{00000000-0002-0000-0200-000004000000}"/>
    <dataValidation allowBlank="1" showInputMessage="1" showErrorMessage="1" promptTitle="Pre-2005 Worksheet" prompt="Press TAB to continue." sqref="A3" xr:uid="{00000000-0002-0000-0200-000005000000}"/>
    <dataValidation allowBlank="1" showInputMessage="1" showErrorMessage="1" promptTitle="Return &amp; Release for Work" prompt="Check the box next to true statement, if any." sqref="F45" xr:uid="{00000000-0002-0000-0200-000006000000}"/>
    <dataValidation allowBlank="1" showInputMessage="1" showErrorMessage="1" promptTitle="Department use only" prompt="Enter percent of impairment under Temporary Rule OAR 436-035-0500." sqref="C62:E62" xr:uid="{00000000-0002-0000-0200-000007000000}"/>
    <dataValidation allowBlank="1" showInputMessage="1" showErrorMessage="1" promptTitle="OAR 436-035-0500" prompt="Department use only_x000a_Name of body part or system" sqref="B62" xr:uid="{00000000-0002-0000-0200-000008000000}"/>
  </dataValidations>
  <hyperlinks>
    <hyperlink ref="B44" location="'Shoulder-Right'!A1" display="Right shoulder" xr:uid="{00000000-0004-0000-0200-000000000000}"/>
    <hyperlink ref="B45" location="'Shoulder-Left'!A1" display="Left shoulder" xr:uid="{00000000-0004-0000-0200-000001000000}"/>
    <hyperlink ref="B46" location="'Hip-Right'!A1" display="Right hip" xr:uid="{00000000-0004-0000-0200-000002000000}"/>
    <hyperlink ref="B47" location="'Hip-Left'!A1" display="Left hip" xr:uid="{00000000-0004-0000-0200-000003000000}"/>
    <hyperlink ref="B48" location="Spine!A1" display="Spine" xr:uid="{00000000-0004-0000-0200-000004000000}"/>
    <hyperlink ref="B49" location="Pelvis!A1" display="Pelvis" xr:uid="{00000000-0004-0000-0200-000005000000}"/>
    <hyperlink ref="B50" location="Abdomen!A1" display="Abdomen" xr:uid="{00000000-0004-0000-0200-000006000000}"/>
    <hyperlink ref="B52" location="Cardiovascular!A1" display="Cardiovascular system" xr:uid="{00000000-0004-0000-0200-000007000000}"/>
    <hyperlink ref="B53" location="Respiratory!A1" display="Respiratory system" xr:uid="{00000000-0004-0000-0200-000008000000}"/>
    <hyperlink ref="B54" location="'Cranial Nerves-Brain'!A1" display="Cranial nerves/brain" xr:uid="{00000000-0004-0000-0200-000009000000}"/>
    <hyperlink ref="B55" location="'Spinal cord'!A1" display="Spinal cord" xr:uid="{00000000-0004-0000-0200-00000A000000}"/>
    <hyperlink ref="B56" location="'Mental illness'!A1" display="Mental illness" xr:uid="{00000000-0004-0000-0200-00000B000000}"/>
    <hyperlink ref="B57" location="Hematopoietic!A1" display="Hematopoietic system" xr:uid="{00000000-0004-0000-0200-00000C000000}"/>
    <hyperlink ref="B58" location="'GI &amp; GU'!A1" display="Gastrointestinal and genitourinary systems" xr:uid="{00000000-0004-0000-0200-00000D000000}"/>
    <hyperlink ref="B59" location="Endocrine!A1" display="Endocrine system" xr:uid="{00000000-0004-0000-0200-00000E000000}"/>
    <hyperlink ref="B60" location="'Integument &amp; Lacrimal'!A1" display="Integument and lacrimal system" xr:uid="{00000000-0004-0000-0200-00000F000000}"/>
    <hyperlink ref="B61" location="'Immune system'!A1" display="Immune system" xr:uid="{00000000-0004-0000-0200-000010000000}"/>
    <hyperlink ref="G56:M56" location="Rules!A22" display="Specific vocational preparation:" xr:uid="{00000000-0004-0000-0200-000011000000}"/>
    <hyperlink ref="G59:M59" location="Rules!A46" display="Rules!A46" xr:uid="{00000000-0004-0000-0200-000012000000}"/>
    <hyperlink ref="B13" location="'Upper Extremity-Left'!A556" display="Left arm" xr:uid="{00000000-0004-0000-0200-000013000000}"/>
    <hyperlink ref="B34" location="Hearing!A1" display="Hearing" xr:uid="{00000000-0004-0000-0200-000014000000}"/>
    <hyperlink ref="B37" location="Vision!A1" display="Vision" xr:uid="{00000000-0004-0000-0200-000015000000}"/>
    <hyperlink ref="B27" location="'Lower Extremity-Left'!A371" display="Left leg" xr:uid="{00000000-0004-0000-0200-000016000000}"/>
    <hyperlink ref="B20" location="'Lower Extremity-Right'!A371" display="Right leg" xr:uid="{00000000-0004-0000-0200-000017000000}"/>
    <hyperlink ref="B21" location="'Lower Extremity-Right'!A204" display="Right foot" xr:uid="{00000000-0004-0000-0200-000018000000}"/>
    <hyperlink ref="B24" location="'Lower Extremity-Right'!A84" display="Right 3rd toe" xr:uid="{00000000-0004-0000-0200-000019000000}"/>
    <hyperlink ref="B25" location="'Lower Extremity-Right'!A124" display="Right 4th toe" xr:uid="{00000000-0004-0000-0200-00001A000000}"/>
    <hyperlink ref="B26" location="'Lower Extremity-Right'!A164" display="Right 5th toe" xr:uid="{00000000-0004-0000-0200-00001B000000}"/>
    <hyperlink ref="B30" location="'Lower Extremity-Left'!A44" display="Left second toe" xr:uid="{00000000-0004-0000-0200-00001C000000}"/>
    <hyperlink ref="B31" location="'Lower Extremity-Left'!A84" display="Left third toe" xr:uid="{00000000-0004-0000-0200-00001D000000}"/>
    <hyperlink ref="B32" location="'Lower Extremity-Left'!A124" display="Left fourth toe" xr:uid="{00000000-0004-0000-0200-00001E000000}"/>
    <hyperlink ref="B33" location="'Lower Extremity-Left'!A164" display="Left fifth toe" xr:uid="{00000000-0004-0000-0200-00001F000000}"/>
    <hyperlink ref="B38" location="Vision!A1" display="Vision" xr:uid="{00000000-0004-0000-0200-000020000000}"/>
    <hyperlink ref="B35" location="Hearing!A1" display="Hearing!A1" xr:uid="{00000000-0004-0000-0200-000021000000}"/>
    <hyperlink ref="B36" location="Hearing!A1" display="Hearing!A1" xr:uid="{00000000-0004-0000-0200-000022000000}"/>
    <hyperlink ref="B39" location="Vision!A1" display="Vision!A1" xr:uid="{00000000-0004-0000-0200-000023000000}"/>
    <hyperlink ref="G61:M61" location="Rules!B57" display="Rules!B57" xr:uid="{00000000-0004-0000-0200-000024000000}"/>
    <hyperlink ref="B6" location="'Upper Extremity-Right'!A556" display="Right arm" xr:uid="{00000000-0004-0000-0200-000025000000}"/>
    <hyperlink ref="B7" location="'Upper Extremity-Right'!A383" display="Right hand" xr:uid="{00000000-0004-0000-0200-000026000000}"/>
    <hyperlink ref="B8" location="'Upper Extremity-Right'!A5" display="Right thumb" xr:uid="{00000000-0004-0000-0200-000027000000}"/>
    <hyperlink ref="B9" location="'Upper Extremity-Right'!A80" display="Right index finger" xr:uid="{00000000-0004-0000-0200-000028000000}"/>
    <hyperlink ref="B10" location="'Upper Extremity-Right'!A156" display="Right middle finger" xr:uid="{00000000-0004-0000-0200-000029000000}"/>
    <hyperlink ref="B11" location="'Upper Extremity-Right'!A233" display="Right ring finger" xr:uid="{00000000-0004-0000-0200-00002A000000}"/>
    <hyperlink ref="B12" location="'Upper Extremity-Right'!A364" display="Right little finger" xr:uid="{00000000-0004-0000-0200-00002B000000}"/>
    <hyperlink ref="B14" location="'Upper Extremity-Left'!A383" display="Left hand" xr:uid="{00000000-0004-0000-0200-00002C000000}"/>
    <hyperlink ref="B15" location="'Upper Extremity-Left'!A5" display="Left thumb" xr:uid="{00000000-0004-0000-0200-00002D000000}"/>
    <hyperlink ref="B16" location="'Upper Extremity-Left'!A80" display="Left index finger" xr:uid="{00000000-0004-0000-0200-00002E000000}"/>
    <hyperlink ref="B17" location="'Upper Extremity-Left'!A156" display="Left middle finger" xr:uid="{00000000-0004-0000-0200-00002F000000}"/>
    <hyperlink ref="B18" location="'Upper Extremity-Left'!A233" display="Left ring finger" xr:uid="{00000000-0004-0000-0200-000030000000}"/>
    <hyperlink ref="B19" location="'Upper Extremity-Left'!A308" display="Left little finger" xr:uid="{00000000-0004-0000-0200-000031000000}"/>
    <hyperlink ref="B22" location="'Lower Extremity-Right'!A6" display="Right great toe" xr:uid="{00000000-0004-0000-0200-000032000000}"/>
    <hyperlink ref="B23" location="'Lower Extremity-Right'!A44" display="Right 2nd toe" xr:uid="{00000000-0004-0000-0200-000033000000}"/>
    <hyperlink ref="B28" location="'Lower Extremity-Left'!A204" display="Left foot" xr:uid="{00000000-0004-0000-0200-000034000000}"/>
    <hyperlink ref="B29" location="'Lower Extremity-Left'!A6" display="Left great toe" xr:uid="{00000000-0004-0000-0200-000035000000}"/>
    <hyperlink ref="G60:M60" location="Rules!B45" display="Rules!B45" xr:uid="{00000000-0004-0000-0200-000036000000}"/>
    <hyperlink ref="G62:M62" location="Rules!B45" display="Rules!B45" xr:uid="{00000000-0004-0000-0200-000037000000}"/>
    <hyperlink ref="B51" location="Chest!A1" display="Chest" xr:uid="{00000000-0004-0000-0200-000038000000}"/>
  </hyperlinks>
  <pageMargins left="0.75" right="0.75" top="0.52" bottom="0.55000000000000004" header="0.47" footer="0.28000000000000003"/>
  <pageSetup orientation="portrait" horizontalDpi="300" verticalDpi="300" r:id="rId1"/>
  <headerFooter alignWithMargins="0">
    <oddFooter>&amp;LDate of injury prior to 1/1/2005&amp;CPage &amp;P&amp;RPermanent Partial Disability</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6" r:id="rId4" name="Check Box 16">
              <controlPr defaultSize="0" autoFill="0" autoLine="0" autoPict="0">
                <anchor moveWithCells="1">
                  <from>
                    <xdr:col>6</xdr:col>
                    <xdr:colOff>19050</xdr:colOff>
                    <xdr:row>42</xdr:row>
                    <xdr:rowOff>247650</xdr:rowOff>
                  </from>
                  <to>
                    <xdr:col>7</xdr:col>
                    <xdr:colOff>95250</xdr:colOff>
                    <xdr:row>43</xdr:row>
                    <xdr:rowOff>200025</xdr:rowOff>
                  </to>
                </anchor>
              </controlPr>
            </control>
          </mc:Choice>
        </mc:AlternateContent>
        <mc:AlternateContent xmlns:mc="http://schemas.openxmlformats.org/markup-compatibility/2006">
          <mc:Choice Requires="x14">
            <control shapeId="51217" r:id="rId5" name="Check Box 17">
              <controlPr defaultSize="0" autoFill="0" autoLine="0" autoPict="0">
                <anchor moveWithCells="1">
                  <from>
                    <xdr:col>6</xdr:col>
                    <xdr:colOff>19050</xdr:colOff>
                    <xdr:row>43</xdr:row>
                    <xdr:rowOff>114300</xdr:rowOff>
                  </from>
                  <to>
                    <xdr:col>7</xdr:col>
                    <xdr:colOff>95250</xdr:colOff>
                    <xdr:row>44</xdr:row>
                    <xdr:rowOff>114300</xdr:rowOff>
                  </to>
                </anchor>
              </controlPr>
            </control>
          </mc:Choice>
        </mc:AlternateContent>
        <mc:AlternateContent xmlns:mc="http://schemas.openxmlformats.org/markup-compatibility/2006">
          <mc:Choice Requires="x14">
            <control shapeId="51218" r:id="rId6" name="Check Box 18">
              <controlPr defaultSize="0" autoFill="0" autoLine="0" autoPict="0">
                <anchor moveWithCells="1">
                  <from>
                    <xdr:col>6</xdr:col>
                    <xdr:colOff>19050</xdr:colOff>
                    <xdr:row>44</xdr:row>
                    <xdr:rowOff>152400</xdr:rowOff>
                  </from>
                  <to>
                    <xdr:col>7</xdr:col>
                    <xdr:colOff>95250</xdr:colOff>
                    <xdr:row>45</xdr:row>
                    <xdr:rowOff>104775</xdr:rowOff>
                  </to>
                </anchor>
              </controlPr>
            </control>
          </mc:Choice>
        </mc:AlternateContent>
        <mc:AlternateContent xmlns:mc="http://schemas.openxmlformats.org/markup-compatibility/2006">
          <mc:Choice Requires="x14">
            <control shapeId="51311" r:id="rId7" name="Check Box 111">
              <controlPr defaultSize="0" autoFill="0" autoLine="0" autoPict="0">
                <anchor moveWithCells="1">
                  <from>
                    <xdr:col>6</xdr:col>
                    <xdr:colOff>19050</xdr:colOff>
                    <xdr:row>45</xdr:row>
                    <xdr:rowOff>190500</xdr:rowOff>
                  </from>
                  <to>
                    <xdr:col>6</xdr:col>
                    <xdr:colOff>209550</xdr:colOff>
                    <xdr:row>46</xdr:row>
                    <xdr:rowOff>142875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dimension ref="A1:AY253"/>
  <sheetViews>
    <sheetView zoomScaleNormal="100" workbookViewId="0">
      <pane ySplit="2" topLeftCell="A3" activePane="bottomLeft" state="frozen"/>
      <selection pane="bottomLeft"/>
    </sheetView>
  </sheetViews>
  <sheetFormatPr defaultColWidth="9.140625" defaultRowHeight="12.75" x14ac:dyDescent="0.2"/>
  <cols>
    <col min="1" max="1" width="12.42578125" style="18" customWidth="1"/>
    <col min="2" max="7" width="9.140625" style="18"/>
    <col min="8" max="8" width="10" style="18" bestFit="1" customWidth="1"/>
    <col min="9" max="9" width="11.28515625" style="18" customWidth="1"/>
    <col min="10" max="11" width="9.7109375" style="18" bestFit="1" customWidth="1"/>
    <col min="12" max="12" width="9.42578125" style="18" customWidth="1"/>
    <col min="13" max="14" width="9.140625" style="18"/>
    <col min="15" max="15" width="9.85546875" style="18" customWidth="1"/>
    <col min="16" max="28" width="9.140625" style="18"/>
    <col min="29" max="29" width="8.5703125" style="18" customWidth="1"/>
    <col min="30" max="31" width="9.140625" style="18"/>
    <col min="32" max="32" width="8.42578125" style="18" customWidth="1"/>
    <col min="33" max="33" width="40.140625" style="18" customWidth="1"/>
    <col min="34" max="36" width="9.140625" style="18"/>
    <col min="37" max="37" width="5.5703125" style="18" customWidth="1"/>
    <col min="38" max="38" width="25.28515625" style="18" customWidth="1"/>
    <col min="39" max="42" width="9.140625" style="18"/>
    <col min="43" max="43" width="31.7109375" style="18" bestFit="1" customWidth="1"/>
    <col min="44" max="45" width="9" style="18" customWidth="1"/>
    <col min="46" max="46" width="5.85546875" style="18" bestFit="1" customWidth="1"/>
    <col min="47" max="47" width="9.140625" style="18"/>
    <col min="48" max="48" width="19.140625" style="18" bestFit="1" customWidth="1"/>
    <col min="49" max="50" width="7.85546875" style="18" customWidth="1"/>
    <col min="51" max="51" width="11" style="18" customWidth="1"/>
    <col min="52" max="16384" width="9.140625" style="18"/>
  </cols>
  <sheetData>
    <row r="1" spans="1:51" ht="37.5" customHeight="1" x14ac:dyDescent="0.2">
      <c r="A1" s="1249" t="s">
        <v>2307</v>
      </c>
      <c r="B1" s="1247" t="s">
        <v>1722</v>
      </c>
      <c r="C1" s="1247" t="s">
        <v>1722</v>
      </c>
      <c r="D1" s="1247" t="s">
        <v>1722</v>
      </c>
      <c r="E1" s="1247" t="s">
        <v>1722</v>
      </c>
      <c r="F1" s="1247" t="s">
        <v>1722</v>
      </c>
      <c r="G1" s="1247" t="s">
        <v>1722</v>
      </c>
      <c r="H1" s="1247" t="s">
        <v>1723</v>
      </c>
      <c r="I1" s="1247" t="s">
        <v>1724</v>
      </c>
      <c r="J1" s="1247" t="s">
        <v>1724</v>
      </c>
      <c r="K1" s="1247" t="s">
        <v>1724</v>
      </c>
      <c r="L1" s="1248" t="s">
        <v>1725</v>
      </c>
      <c r="M1" s="1248" t="s">
        <v>1725</v>
      </c>
      <c r="N1" s="1248" t="s">
        <v>671</v>
      </c>
      <c r="O1" s="1248" t="s">
        <v>671</v>
      </c>
      <c r="P1" s="1248" t="s">
        <v>671</v>
      </c>
      <c r="Q1" s="1248" t="s">
        <v>671</v>
      </c>
      <c r="R1" s="1248" t="s">
        <v>1726</v>
      </c>
      <c r="S1" s="1248" t="s">
        <v>1726</v>
      </c>
      <c r="T1" s="1248" t="s">
        <v>1726</v>
      </c>
      <c r="U1" s="1248" t="s">
        <v>1726</v>
      </c>
      <c r="V1" s="1248" t="s">
        <v>1725</v>
      </c>
      <c r="W1" s="1248" t="s">
        <v>1727</v>
      </c>
      <c r="X1" s="1248" t="s">
        <v>1727</v>
      </c>
      <c r="Y1" s="1248" t="s">
        <v>1727</v>
      </c>
      <c r="Z1" s="1248" t="s">
        <v>1963</v>
      </c>
      <c r="AA1" s="1248" t="s">
        <v>1963</v>
      </c>
      <c r="AB1" s="1248" t="s">
        <v>1963</v>
      </c>
      <c r="AC1" s="1248" t="s">
        <v>1963</v>
      </c>
      <c r="AD1" s="1248" t="s">
        <v>1963</v>
      </c>
      <c r="AE1" s="1248" t="s">
        <v>1963</v>
      </c>
      <c r="AG1" s="1248" t="s">
        <v>575</v>
      </c>
      <c r="AQ1" s="1248" t="s">
        <v>728</v>
      </c>
    </row>
    <row r="2" spans="1:51" ht="106.5" x14ac:dyDescent="0.2">
      <c r="A2" s="1247" t="s">
        <v>1964</v>
      </c>
      <c r="B2" s="1282" t="s">
        <v>1005</v>
      </c>
      <c r="C2" s="1282" t="s">
        <v>1006</v>
      </c>
      <c r="D2" s="1282" t="s">
        <v>1007</v>
      </c>
      <c r="E2" s="1282" t="s">
        <v>1008</v>
      </c>
      <c r="F2" s="1282" t="s">
        <v>1009</v>
      </c>
      <c r="G2" s="1282" t="s">
        <v>1010</v>
      </c>
      <c r="H2" s="1282" t="s">
        <v>1007</v>
      </c>
      <c r="I2" s="1282" t="s">
        <v>1008</v>
      </c>
      <c r="J2" s="1282" t="s">
        <v>1009</v>
      </c>
      <c r="K2" s="1282" t="s">
        <v>1010</v>
      </c>
      <c r="L2" s="1259" t="s">
        <v>1011</v>
      </c>
      <c r="M2" s="1282" t="s">
        <v>1012</v>
      </c>
      <c r="N2" s="1282" t="s">
        <v>598</v>
      </c>
      <c r="O2" s="1282" t="s">
        <v>1013</v>
      </c>
      <c r="P2" s="1282" t="s">
        <v>486</v>
      </c>
      <c r="Q2" s="1282" t="s">
        <v>1014</v>
      </c>
      <c r="R2" s="1282" t="s">
        <v>1335</v>
      </c>
      <c r="S2" s="1282" t="s">
        <v>1015</v>
      </c>
      <c r="T2" s="1260" t="s">
        <v>1016</v>
      </c>
      <c r="U2" s="1260" t="s">
        <v>1017</v>
      </c>
      <c r="V2" s="1259" t="s">
        <v>1018</v>
      </c>
      <c r="W2" s="1259" t="s">
        <v>852</v>
      </c>
      <c r="X2" s="1259" t="s">
        <v>1195</v>
      </c>
      <c r="Y2" s="1259" t="s">
        <v>853</v>
      </c>
      <c r="Z2" s="1259" t="s">
        <v>195</v>
      </c>
      <c r="AA2" s="1259" t="s">
        <v>1941</v>
      </c>
      <c r="AB2" s="1259" t="s">
        <v>691</v>
      </c>
      <c r="AC2" s="1259" t="s">
        <v>695</v>
      </c>
      <c r="AD2" s="1258" t="s">
        <v>699</v>
      </c>
      <c r="AE2" s="1259" t="s">
        <v>592</v>
      </c>
      <c r="AF2" s="400"/>
      <c r="AG2" s="1253" t="s">
        <v>1163</v>
      </c>
      <c r="AH2" s="1280" t="s">
        <v>2312</v>
      </c>
      <c r="AI2" s="1257" t="s">
        <v>1307</v>
      </c>
      <c r="AJ2" s="1257" t="s">
        <v>2313</v>
      </c>
      <c r="AK2" s="402"/>
      <c r="AL2" s="401"/>
      <c r="AM2" s="1284" t="s">
        <v>2312</v>
      </c>
      <c r="AN2" s="1284" t="s">
        <v>1307</v>
      </c>
      <c r="AO2" s="1284" t="s">
        <v>2313</v>
      </c>
      <c r="AP2" s="401"/>
      <c r="AQ2" s="1253" t="s">
        <v>1163</v>
      </c>
      <c r="AR2" s="1280" t="s">
        <v>2312</v>
      </c>
      <c r="AS2" s="1257" t="s">
        <v>1307</v>
      </c>
      <c r="AT2" s="1257" t="s">
        <v>2313</v>
      </c>
      <c r="AU2" s="402"/>
      <c r="AV2" s="401"/>
      <c r="AW2" s="1284" t="s">
        <v>2312</v>
      </c>
      <c r="AX2" s="1284" t="s">
        <v>1307</v>
      </c>
      <c r="AY2" s="1284" t="s">
        <v>2313</v>
      </c>
    </row>
    <row r="3" spans="1:51" x14ac:dyDescent="0.2">
      <c r="A3" s="1248">
        <v>0</v>
      </c>
      <c r="B3" s="1255">
        <v>0.45</v>
      </c>
      <c r="C3" s="1255">
        <v>0.45</v>
      </c>
      <c r="D3" s="1255">
        <v>0.34</v>
      </c>
      <c r="E3" s="1255">
        <v>0.55000000000000004</v>
      </c>
      <c r="F3" s="1255">
        <v>0.21</v>
      </c>
      <c r="G3" s="1255">
        <v>0.55500000000000005</v>
      </c>
      <c r="H3" s="1255">
        <v>0.28999999999999998</v>
      </c>
      <c r="I3" s="1255">
        <v>0.5</v>
      </c>
      <c r="J3" s="1255">
        <v>0.21</v>
      </c>
      <c r="K3" s="1255">
        <v>0.5</v>
      </c>
      <c r="L3" s="1254">
        <v>0</v>
      </c>
      <c r="M3" s="749">
        <v>0</v>
      </c>
      <c r="N3" s="1255">
        <v>0.05</v>
      </c>
      <c r="O3" s="1255">
        <v>0.1</v>
      </c>
      <c r="P3" s="1255">
        <v>0.04</v>
      </c>
      <c r="Q3" s="1255">
        <v>0.1</v>
      </c>
      <c r="R3" s="1255">
        <v>7.0000000000000007E-2</v>
      </c>
      <c r="S3" s="1255">
        <v>0.3</v>
      </c>
      <c r="T3" s="1255">
        <v>0.14000000000000001</v>
      </c>
      <c r="U3" s="1255">
        <v>0.3</v>
      </c>
      <c r="V3" s="1255">
        <v>0</v>
      </c>
      <c r="W3" s="1255">
        <v>0.53</v>
      </c>
      <c r="X3" s="1255">
        <v>0.53</v>
      </c>
      <c r="Y3" s="1255">
        <v>0</v>
      </c>
      <c r="Z3" s="1255">
        <v>0.18</v>
      </c>
      <c r="AA3" s="1255">
        <v>0.05</v>
      </c>
      <c r="AB3" s="1255">
        <v>0.16</v>
      </c>
      <c r="AC3" s="1255">
        <v>0.08</v>
      </c>
      <c r="AD3" s="1255">
        <v>0.1</v>
      </c>
      <c r="AE3" s="1255">
        <v>0.13</v>
      </c>
      <c r="AF3" s="111"/>
      <c r="AG3" s="1254" t="s">
        <v>1196</v>
      </c>
      <c r="AH3" s="1252" t="str">
        <f>IF('Lower Extremity-Right'!T13="","",'Lower Extremity-Right'!T13)</f>
        <v/>
      </c>
      <c r="AI3" s="1252" t="str">
        <f>IF(AH3="","",ROUND(AH3,0))</f>
        <v/>
      </c>
      <c r="AJ3" s="243">
        <f>IF(AI3="",0,VLOOKUP(AI3,$A$3:$AE$154,2))</f>
        <v>0</v>
      </c>
      <c r="AK3" s="74"/>
      <c r="AL3" s="1254" t="s">
        <v>1197</v>
      </c>
      <c r="AM3" s="1252" t="str">
        <f>IF('Lower Extremity-Right'!V13="","",'Lower Extremity-Right'!V13)</f>
        <v/>
      </c>
      <c r="AN3" s="1252" t="str">
        <f>IF(AM3="","",ROUND(AM3,0))</f>
        <v/>
      </c>
      <c r="AO3" s="243">
        <f>IF(AN3="",0,VLOOKUP(AN3,$A$3:$AE$154,2))</f>
        <v>0</v>
      </c>
      <c r="AP3" s="19"/>
      <c r="AQ3" s="1254" t="s">
        <v>1196</v>
      </c>
      <c r="AR3" s="1252" t="str">
        <f>IF('Lower Extremity-Left'!T13="","",'Lower Extremity-Left'!T13)</f>
        <v/>
      </c>
      <c r="AS3" s="1252" t="str">
        <f>IF(AR3="","",ROUND(AR3,0))</f>
        <v/>
      </c>
      <c r="AT3" s="243">
        <f>IF(AS3="",0,VLOOKUP(AS3,$A$3:$AE$154,2))</f>
        <v>0</v>
      </c>
      <c r="AU3" s="74"/>
      <c r="AV3" s="1254" t="s">
        <v>1197</v>
      </c>
      <c r="AW3" s="1252" t="str">
        <f>IF('Lower Extremity-Left'!V13="","",'Lower Extremity-Left'!V13)</f>
        <v/>
      </c>
      <c r="AX3" s="1252" t="str">
        <f>IF(AW3="","",ROUND(AW3,0))</f>
        <v/>
      </c>
      <c r="AY3" s="243">
        <f>IF(AX3="",0,VLOOKUP(AX3,$A$3:$AE$154,2))</f>
        <v>0</v>
      </c>
    </row>
    <row r="4" spans="1:51" x14ac:dyDescent="0.2">
      <c r="A4" s="1248">
        <v>1</v>
      </c>
      <c r="B4" s="1255">
        <v>0.435</v>
      </c>
      <c r="C4" s="1255">
        <v>0.46</v>
      </c>
      <c r="D4" s="1255">
        <v>0.33400000000000002</v>
      </c>
      <c r="E4" s="1255">
        <v>0.54400000000000004</v>
      </c>
      <c r="F4" s="1255">
        <v>0.20300000000000001</v>
      </c>
      <c r="G4" s="1255">
        <v>0.56499999999999995</v>
      </c>
      <c r="H4" s="1255">
        <v>0.28199999999999997</v>
      </c>
      <c r="I4" s="1255">
        <v>0.51300000000000001</v>
      </c>
      <c r="J4" s="1255">
        <v>0.20300000000000001</v>
      </c>
      <c r="K4" s="1255">
        <v>0.51700000000000002</v>
      </c>
      <c r="L4" s="1254">
        <v>0.01</v>
      </c>
      <c r="M4" s="749">
        <v>0.01</v>
      </c>
      <c r="N4" s="1255">
        <v>4.9000000000000002E-2</v>
      </c>
      <c r="O4" s="1255">
        <v>0.13300000000000001</v>
      </c>
      <c r="P4" s="1255">
        <v>3.7999999999999999E-2</v>
      </c>
      <c r="Q4" s="1255">
        <v>0.14000000000000001</v>
      </c>
      <c r="R4" s="1255">
        <v>6.7000000000000004E-2</v>
      </c>
      <c r="S4" s="1255">
        <v>0.32</v>
      </c>
      <c r="T4" s="1255">
        <v>0.13700000000000001</v>
      </c>
      <c r="U4" s="1255">
        <v>0.31</v>
      </c>
      <c r="V4" s="1255">
        <v>0.01</v>
      </c>
      <c r="W4" s="1255">
        <v>0.52600000000000002</v>
      </c>
      <c r="X4" s="1255">
        <v>0.52700000000000002</v>
      </c>
      <c r="Y4" s="1255">
        <v>1E-3</v>
      </c>
      <c r="Z4" s="1255">
        <v>0.17799999999999999</v>
      </c>
      <c r="AA4" s="1255">
        <v>4.9000000000000002E-2</v>
      </c>
      <c r="AB4" s="1255">
        <v>0.156</v>
      </c>
      <c r="AC4" s="1255">
        <v>7.5999999999999998E-2</v>
      </c>
      <c r="AD4" s="1255">
        <v>9.8000000000000004E-2</v>
      </c>
      <c r="AE4" s="1255">
        <v>0.127</v>
      </c>
      <c r="AF4" s="111"/>
      <c r="AG4" s="1254" t="s">
        <v>1198</v>
      </c>
      <c r="AH4" s="1252" t="str">
        <f>IF('Lower Extremity-Right'!T14="","",'Lower Extremity-Right'!T14)</f>
        <v/>
      </c>
      <c r="AI4" s="1252" t="str">
        <f>IF(AH4="","",ROUND(AH4,0))</f>
        <v/>
      </c>
      <c r="AJ4" s="243">
        <f>IF(AI4="",0,VLOOKUP(AI4,$A$3:$AE$154,3))</f>
        <v>0</v>
      </c>
      <c r="AK4" s="74"/>
      <c r="AL4" s="19"/>
      <c r="AM4" s="74"/>
      <c r="AN4" s="74"/>
      <c r="AO4" s="113"/>
      <c r="AP4" s="19"/>
      <c r="AQ4" s="1254" t="s">
        <v>1198</v>
      </c>
      <c r="AR4" s="1252" t="str">
        <f>IF('Lower Extremity-Left'!T14="","",'Lower Extremity-Left'!T14)</f>
        <v/>
      </c>
      <c r="AS4" s="1252" t="str">
        <f>IF(AR4="","",ROUND(AR4,0))</f>
        <v/>
      </c>
      <c r="AT4" s="243">
        <f>IF(AS4="",0,VLOOKUP(AS4,$A$3:$AE$154,3))</f>
        <v>0</v>
      </c>
      <c r="AU4" s="74"/>
      <c r="AV4" s="19"/>
      <c r="AW4" s="74"/>
      <c r="AX4" s="74"/>
      <c r="AY4" s="113"/>
    </row>
    <row r="5" spans="1:51" x14ac:dyDescent="0.2">
      <c r="A5" s="1248">
        <v>2</v>
      </c>
      <c r="B5" s="1255">
        <v>0.42</v>
      </c>
      <c r="C5" s="1255">
        <v>0.47</v>
      </c>
      <c r="D5" s="1255">
        <v>0.32800000000000001</v>
      </c>
      <c r="E5" s="1255">
        <v>0.53800000000000003</v>
      </c>
      <c r="F5" s="1255">
        <v>0.19600000000000001</v>
      </c>
      <c r="G5" s="1255">
        <v>0.57999999999999996</v>
      </c>
      <c r="H5" s="1255">
        <v>0.27400000000000002</v>
      </c>
      <c r="I5" s="1255">
        <v>0.52600000000000002</v>
      </c>
      <c r="J5" s="1255">
        <v>0.19600000000000001</v>
      </c>
      <c r="K5" s="1255">
        <v>0.53400000000000003</v>
      </c>
      <c r="L5" s="1254">
        <v>0.01</v>
      </c>
      <c r="M5" s="749">
        <v>0.01</v>
      </c>
      <c r="N5" s="1255">
        <v>4.8000000000000001E-2</v>
      </c>
      <c r="O5" s="1255">
        <v>0.16600000000000001</v>
      </c>
      <c r="P5" s="1255">
        <v>3.5999999999999997E-2</v>
      </c>
      <c r="Q5" s="1255">
        <v>0.18</v>
      </c>
      <c r="R5" s="1255">
        <v>6.4000000000000001E-2</v>
      </c>
      <c r="S5" s="1255">
        <v>0.34</v>
      </c>
      <c r="T5" s="1255">
        <v>0.13400000000000001</v>
      </c>
      <c r="U5" s="1255">
        <v>0.32</v>
      </c>
      <c r="V5" s="1255">
        <v>0.02</v>
      </c>
      <c r="W5" s="1255">
        <v>0.52200000000000002</v>
      </c>
      <c r="X5" s="1255">
        <v>0.52400000000000002</v>
      </c>
      <c r="Y5" s="1255">
        <v>2E-3</v>
      </c>
      <c r="Z5" s="1255">
        <v>0.17599999999999999</v>
      </c>
      <c r="AA5" s="1255">
        <v>4.8000000000000001E-2</v>
      </c>
      <c r="AB5" s="1255">
        <v>0.152</v>
      </c>
      <c r="AC5" s="1255">
        <v>7.1999999999999995E-2</v>
      </c>
      <c r="AD5" s="1255">
        <v>9.6000000000000002E-2</v>
      </c>
      <c r="AE5" s="1255">
        <v>0.124</v>
      </c>
      <c r="AF5" s="111"/>
      <c r="AG5" s="19"/>
      <c r="AH5" s="74"/>
      <c r="AI5" s="74"/>
      <c r="AJ5" s="19"/>
      <c r="AK5" s="74"/>
      <c r="AL5" s="19"/>
      <c r="AM5" s="19"/>
      <c r="AN5" s="19"/>
      <c r="AO5" s="19"/>
      <c r="AP5" s="19"/>
      <c r="AQ5" s="19"/>
      <c r="AR5" s="74"/>
      <c r="AS5" s="74"/>
      <c r="AT5" s="19"/>
      <c r="AU5" s="74"/>
      <c r="AV5" s="19"/>
      <c r="AW5" s="19"/>
      <c r="AX5" s="19"/>
      <c r="AY5" s="19"/>
    </row>
    <row r="6" spans="1:51" x14ac:dyDescent="0.2">
      <c r="A6" s="1248">
        <v>3</v>
      </c>
      <c r="B6" s="1255">
        <v>0.40500000000000003</v>
      </c>
      <c r="C6" s="1255">
        <v>0.48</v>
      </c>
      <c r="D6" s="1255">
        <v>0.32200000000000001</v>
      </c>
      <c r="E6" s="1255">
        <v>0.53200000000000003</v>
      </c>
      <c r="F6" s="1255">
        <v>0.189</v>
      </c>
      <c r="G6" s="1255">
        <v>0.59499999999999997</v>
      </c>
      <c r="H6" s="1255">
        <v>0.26600000000000001</v>
      </c>
      <c r="I6" s="1255">
        <v>0.53900000000000003</v>
      </c>
      <c r="J6" s="1255">
        <v>0.189</v>
      </c>
      <c r="K6" s="1255">
        <v>0.55100000000000005</v>
      </c>
      <c r="L6" s="1254">
        <v>0.01</v>
      </c>
      <c r="M6" s="749">
        <v>0.01</v>
      </c>
      <c r="N6" s="1255">
        <v>4.7E-2</v>
      </c>
      <c r="O6" s="1255">
        <v>0.19900000000000001</v>
      </c>
      <c r="P6" s="1255">
        <v>3.4000000000000002E-2</v>
      </c>
      <c r="Q6" s="1255">
        <v>0.22</v>
      </c>
      <c r="R6" s="1255">
        <v>6.0999999999999999E-2</v>
      </c>
      <c r="S6" s="1255">
        <v>0.36</v>
      </c>
      <c r="T6" s="1255">
        <v>0.13100000000000001</v>
      </c>
      <c r="U6" s="1255">
        <v>0.33</v>
      </c>
      <c r="V6" s="1255">
        <v>0.03</v>
      </c>
      <c r="W6" s="1255">
        <v>0.51800000000000002</v>
      </c>
      <c r="X6" s="1255">
        <v>0.52100000000000002</v>
      </c>
      <c r="Y6" s="1255">
        <v>3.0000000000000001E-3</v>
      </c>
      <c r="Z6" s="1255">
        <v>0.17399999999999999</v>
      </c>
      <c r="AA6" s="1255">
        <v>4.7E-2</v>
      </c>
      <c r="AB6" s="1255">
        <v>0.14799999999999999</v>
      </c>
      <c r="AC6" s="1255">
        <v>6.8000000000000005E-2</v>
      </c>
      <c r="AD6" s="1255">
        <v>9.4E-2</v>
      </c>
      <c r="AE6" s="1255">
        <v>0.121</v>
      </c>
      <c r="AF6" s="111"/>
      <c r="AG6" s="1254" t="s">
        <v>1421</v>
      </c>
      <c r="AH6" s="1252" t="str">
        <f>IF('Lower Extremity-Right'!T16="","",'Lower Extremity-Right'!T16)</f>
        <v/>
      </c>
      <c r="AI6" s="1252" t="str">
        <f>IF(AH6="","",ROUND(AH6,0))</f>
        <v/>
      </c>
      <c r="AJ6" s="243">
        <f>IF(AI6="",0,VLOOKUP(AI6,$A$3:$AE$154,4))</f>
        <v>0</v>
      </c>
      <c r="AK6" s="74"/>
      <c r="AL6" s="1254" t="s">
        <v>1422</v>
      </c>
      <c r="AM6" s="1252" t="str">
        <f>IF('Lower Extremity-Right'!V16="","",'Lower Extremity-Right'!V16)</f>
        <v/>
      </c>
      <c r="AN6" s="1252" t="str">
        <f>IF(AM6="","",ROUND(AM6,0))</f>
        <v/>
      </c>
      <c r="AO6" s="243">
        <f>IF(AN6="",0,VLOOKUP(AN6,$A$3:$AE$154,4))</f>
        <v>0</v>
      </c>
      <c r="AP6" s="19"/>
      <c r="AQ6" s="1254" t="s">
        <v>1421</v>
      </c>
      <c r="AR6" s="1252" t="str">
        <f>IF('Lower Extremity-Left'!T16="","",'Lower Extremity-Left'!T16)</f>
        <v/>
      </c>
      <c r="AS6" s="1252" t="str">
        <f>IF(AR6="","",ROUND(AR6,0))</f>
        <v/>
      </c>
      <c r="AT6" s="243">
        <f>IF(AS6="",0,VLOOKUP(AS6,$A$3:$AE$154,4))</f>
        <v>0</v>
      </c>
      <c r="AU6" s="74"/>
      <c r="AV6" s="1254" t="s">
        <v>1422</v>
      </c>
      <c r="AW6" s="1252" t="str">
        <f>IF('Lower Extremity-Left'!V16="","",'Lower Extremity-Left'!V16)</f>
        <v/>
      </c>
      <c r="AX6" s="1252" t="str">
        <f>IF(AW6="","",ROUND(AW6,0))</f>
        <v/>
      </c>
      <c r="AY6" s="243">
        <f>IF(AX6="",0,VLOOKUP(AX6,$A$3:$AE$154,4))</f>
        <v>0</v>
      </c>
    </row>
    <row r="7" spans="1:51" x14ac:dyDescent="0.2">
      <c r="A7" s="1248">
        <v>4</v>
      </c>
      <c r="B7" s="1255">
        <v>0.39</v>
      </c>
      <c r="C7" s="1255">
        <v>0.49</v>
      </c>
      <c r="D7" s="1255">
        <v>0.316</v>
      </c>
      <c r="E7" s="1255">
        <v>0.52600000000000002</v>
      </c>
      <c r="F7" s="1255">
        <v>0.182</v>
      </c>
      <c r="G7" s="1255">
        <v>0.61</v>
      </c>
      <c r="H7" s="1255">
        <v>0.25800000000000001</v>
      </c>
      <c r="I7" s="1255">
        <v>0.55200000000000005</v>
      </c>
      <c r="J7" s="1255">
        <v>0.182</v>
      </c>
      <c r="K7" s="1255">
        <v>0.56799999999999995</v>
      </c>
      <c r="L7" s="1254">
        <v>0.01</v>
      </c>
      <c r="M7" s="749">
        <v>0.01</v>
      </c>
      <c r="N7" s="1255">
        <v>4.5999999999999999E-2</v>
      </c>
      <c r="O7" s="1255">
        <v>0.23200000000000001</v>
      </c>
      <c r="P7" s="1255">
        <v>3.2000000000000001E-2</v>
      </c>
      <c r="Q7" s="1255">
        <v>0.26</v>
      </c>
      <c r="R7" s="1255">
        <v>5.8000000000000003E-2</v>
      </c>
      <c r="S7" s="1255">
        <v>0.38</v>
      </c>
      <c r="T7" s="1255">
        <v>0.128</v>
      </c>
      <c r="U7" s="1255">
        <v>0.34</v>
      </c>
      <c r="V7" s="1255">
        <v>0.04</v>
      </c>
      <c r="W7" s="1255">
        <v>0.51400000000000001</v>
      </c>
      <c r="X7" s="1255">
        <v>0.51800000000000002</v>
      </c>
      <c r="Y7" s="1255">
        <v>4.0000000000000001E-3</v>
      </c>
      <c r="Z7" s="1255">
        <v>0.17199999999999999</v>
      </c>
      <c r="AA7" s="1255">
        <v>4.5999999999999999E-2</v>
      </c>
      <c r="AB7" s="1255">
        <v>0.14399999999999999</v>
      </c>
      <c r="AC7" s="1255">
        <v>6.4000000000000001E-2</v>
      </c>
      <c r="AD7" s="1255">
        <v>9.1999999999999998E-2</v>
      </c>
      <c r="AE7" s="1255">
        <v>0.11799999999999999</v>
      </c>
      <c r="AF7" s="111"/>
      <c r="AG7" s="1254" t="s">
        <v>1423</v>
      </c>
      <c r="AH7" s="1252" t="str">
        <f>IF('Lower Extremity-Right'!T17="","",'Lower Extremity-Right'!T17)</f>
        <v/>
      </c>
      <c r="AI7" s="1252" t="str">
        <f>IF(AH7="","",ROUND(AH7,0))</f>
        <v/>
      </c>
      <c r="AJ7" s="243">
        <f>IF(AI7="",0,VLOOKUP(AI7,$A$3:$AE$154,5))</f>
        <v>0</v>
      </c>
      <c r="AK7" s="74"/>
      <c r="AL7" s="19"/>
      <c r="AM7" s="19"/>
      <c r="AN7" s="19"/>
      <c r="AO7" s="19"/>
      <c r="AP7" s="19"/>
      <c r="AQ7" s="1254" t="s">
        <v>1423</v>
      </c>
      <c r="AR7" s="1252" t="str">
        <f>IF('Lower Extremity-Left'!T17="","",'Lower Extremity-Left'!T17)</f>
        <v/>
      </c>
      <c r="AS7" s="1252" t="str">
        <f>IF(AR7="","",ROUND(AR7,0))</f>
        <v/>
      </c>
      <c r="AT7" s="243">
        <f>IF(AS7="",0,VLOOKUP(AS7,$A$3:$AE$154,5))</f>
        <v>0</v>
      </c>
      <c r="AU7" s="74"/>
      <c r="AV7" s="19"/>
      <c r="AW7" s="19"/>
      <c r="AX7" s="19"/>
      <c r="AY7" s="19"/>
    </row>
    <row r="8" spans="1:51" x14ac:dyDescent="0.2">
      <c r="A8" s="1248">
        <v>5</v>
      </c>
      <c r="B8" s="1255">
        <v>0.375</v>
      </c>
      <c r="C8" s="1255">
        <v>0.5</v>
      </c>
      <c r="D8" s="1255">
        <v>0.31</v>
      </c>
      <c r="E8" s="1255">
        <v>0.52</v>
      </c>
      <c r="F8" s="1255">
        <v>0.17499999999999999</v>
      </c>
      <c r="G8" s="1255">
        <v>0.625</v>
      </c>
      <c r="H8" s="1255">
        <v>0.25</v>
      </c>
      <c r="I8" s="1255">
        <v>0.56499999999999995</v>
      </c>
      <c r="J8" s="1255">
        <v>0.17499999999999999</v>
      </c>
      <c r="K8" s="1255">
        <v>0.58499999999999996</v>
      </c>
      <c r="L8" s="1254">
        <v>0.01</v>
      </c>
      <c r="M8" s="749">
        <v>0.01</v>
      </c>
      <c r="N8" s="1255">
        <v>4.4999999999999998E-2</v>
      </c>
      <c r="O8" s="1255">
        <v>0.26500000000000001</v>
      </c>
      <c r="P8" s="1255">
        <v>0.03</v>
      </c>
      <c r="Q8" s="1255">
        <v>0.3</v>
      </c>
      <c r="R8" s="1255">
        <v>5.5E-2</v>
      </c>
      <c r="S8" s="1255">
        <v>0.4</v>
      </c>
      <c r="T8" s="1255">
        <v>0.125</v>
      </c>
      <c r="U8" s="1255">
        <v>0.35</v>
      </c>
      <c r="V8" s="1255">
        <v>0.05</v>
      </c>
      <c r="W8" s="1255">
        <v>0.51</v>
      </c>
      <c r="X8" s="1255">
        <v>0.51500000000000001</v>
      </c>
      <c r="Y8" s="1255">
        <v>5.0000000000000001E-3</v>
      </c>
      <c r="Z8" s="1255">
        <v>0.17</v>
      </c>
      <c r="AA8" s="1255">
        <v>4.4999999999999998E-2</v>
      </c>
      <c r="AB8" s="1255">
        <v>0.14000000000000001</v>
      </c>
      <c r="AC8" s="1255">
        <v>0.06</v>
      </c>
      <c r="AD8" s="1255">
        <v>0.09</v>
      </c>
      <c r="AE8" s="1255">
        <v>0.115</v>
      </c>
      <c r="AF8" s="111"/>
      <c r="AG8" s="1254" t="s">
        <v>1424</v>
      </c>
      <c r="AH8" s="1252" t="str">
        <f>IF('Lower Extremity-Right'!T18="","",'Lower Extremity-Right'!T18)</f>
        <v/>
      </c>
      <c r="AI8" s="1252" t="str">
        <f>IF(AH8="","",ROUND(AH8,0))</f>
        <v/>
      </c>
      <c r="AJ8" s="243">
        <f>IF(AI8="",0,VLOOKUP(AI8,$A$3:$AE$154,6))</f>
        <v>0</v>
      </c>
      <c r="AK8" s="74"/>
      <c r="AL8" s="19" t="s">
        <v>1422</v>
      </c>
      <c r="AM8" s="74" t="str">
        <f>IF('Lower Extremity-Right'!V18="","",'Lower Extremity-Right'!V18)</f>
        <v/>
      </c>
      <c r="AN8" s="74" t="str">
        <f>IF(AM8="","",ROUND(AM8,0))</f>
        <v/>
      </c>
      <c r="AO8" s="113">
        <f>IF(AN8="",0,VLOOKUP(AN8,$A$3:$AE$154,6))</f>
        <v>0</v>
      </c>
      <c r="AP8" s="19"/>
      <c r="AQ8" s="1254" t="s">
        <v>1424</v>
      </c>
      <c r="AR8" s="1252" t="str">
        <f>IF('Lower Extremity-Left'!T18="","",'Lower Extremity-Left'!T18)</f>
        <v/>
      </c>
      <c r="AS8" s="1252" t="str">
        <f>IF(AR8="","",ROUND(AR8,0))</f>
        <v/>
      </c>
      <c r="AT8" s="243">
        <f>IF(AS8="",0,VLOOKUP(AS8,$A$3:$AE$154,6))</f>
        <v>0</v>
      </c>
      <c r="AU8" s="74"/>
      <c r="AV8" s="1254" t="s">
        <v>1422</v>
      </c>
      <c r="AW8" s="1252" t="str">
        <f>IF('Lower Extremity-Left'!V18="","",'Lower Extremity-Left'!V18)</f>
        <v/>
      </c>
      <c r="AX8" s="1252" t="str">
        <f>IF(AW8="","",ROUND(AW8,0))</f>
        <v/>
      </c>
      <c r="AY8" s="243">
        <f>IF(AX8="",0,VLOOKUP(AX8,$A$3:$AE$154,6))</f>
        <v>0</v>
      </c>
    </row>
    <row r="9" spans="1:51" x14ac:dyDescent="0.2">
      <c r="A9" s="1248">
        <v>6</v>
      </c>
      <c r="B9" s="1255">
        <v>0.36</v>
      </c>
      <c r="C9" s="1255">
        <v>0.51</v>
      </c>
      <c r="D9" s="1255">
        <v>0.30399999999999999</v>
      </c>
      <c r="E9" s="1255">
        <v>0.51400000000000001</v>
      </c>
      <c r="F9" s="1255">
        <v>0.16800000000000001</v>
      </c>
      <c r="G9" s="1255">
        <v>0.64</v>
      </c>
      <c r="H9" s="1255">
        <v>0.24199999999999999</v>
      </c>
      <c r="I9" s="1255">
        <v>0.57799999999999996</v>
      </c>
      <c r="J9" s="1255">
        <v>0.16800000000000001</v>
      </c>
      <c r="K9" s="1255">
        <v>0.60199999999999998</v>
      </c>
      <c r="L9" s="1254">
        <v>0.01</v>
      </c>
      <c r="M9" s="749">
        <v>0.01</v>
      </c>
      <c r="N9" s="1255">
        <v>4.3999999999999997E-2</v>
      </c>
      <c r="O9" s="1255">
        <v>0.29799999999999999</v>
      </c>
      <c r="P9" s="1255">
        <v>2.8000000000000001E-2</v>
      </c>
      <c r="Q9" s="1255">
        <v>0.34</v>
      </c>
      <c r="R9" s="1255">
        <v>5.1999999999999998E-2</v>
      </c>
      <c r="S9" s="1255">
        <v>0.42</v>
      </c>
      <c r="T9" s="1255">
        <v>0.122</v>
      </c>
      <c r="U9" s="1255">
        <v>0.36</v>
      </c>
      <c r="V9" s="1255">
        <v>0.05</v>
      </c>
      <c r="W9" s="1255">
        <v>0.50600000000000001</v>
      </c>
      <c r="X9" s="1255">
        <v>0.51200000000000001</v>
      </c>
      <c r="Y9" s="1255">
        <v>6.0000000000000001E-3</v>
      </c>
      <c r="Z9" s="1255">
        <v>0.16800000000000001</v>
      </c>
      <c r="AA9" s="1255">
        <v>4.3999999999999997E-2</v>
      </c>
      <c r="AB9" s="1255">
        <v>0.13600000000000001</v>
      </c>
      <c r="AC9" s="1255">
        <v>5.6000000000000001E-2</v>
      </c>
      <c r="AD9" s="1255">
        <v>8.7999999999999995E-2</v>
      </c>
      <c r="AE9" s="1255">
        <v>0.112</v>
      </c>
      <c r="AF9" s="111"/>
      <c r="AG9" s="1254" t="s">
        <v>1425</v>
      </c>
      <c r="AH9" s="1252" t="str">
        <f>IF('Lower Extremity-Right'!T19="","",'Lower Extremity-Right'!T19)</f>
        <v/>
      </c>
      <c r="AI9" s="1252" t="str">
        <f>IF(AH9="","",ROUND(AH9,0))</f>
        <v/>
      </c>
      <c r="AJ9" s="243">
        <f>IF(AI9="",0,VLOOKUP(AI9,$A$3:$AE$154,7))</f>
        <v>0</v>
      </c>
      <c r="AK9" s="74"/>
      <c r="AL9" s="19"/>
      <c r="AM9" s="19"/>
      <c r="AN9" s="19"/>
      <c r="AO9" s="19"/>
      <c r="AP9" s="19"/>
      <c r="AQ9" s="1254" t="s">
        <v>1425</v>
      </c>
      <c r="AR9" s="1252" t="str">
        <f>IF('Lower Extremity-Left'!T19="","",'Lower Extremity-Left'!T19)</f>
        <v/>
      </c>
      <c r="AS9" s="1252" t="str">
        <f>IF(AR9="","",ROUND(AR9,0))</f>
        <v/>
      </c>
      <c r="AT9" s="243">
        <f>IF(AS9="",0,VLOOKUP(AS9,$A$3:$AE$154,7))</f>
        <v>0</v>
      </c>
      <c r="AU9" s="74"/>
      <c r="AV9" s="19"/>
      <c r="AW9" s="19"/>
      <c r="AX9" s="19"/>
      <c r="AY9" s="19"/>
    </row>
    <row r="10" spans="1:51" x14ac:dyDescent="0.2">
      <c r="A10" s="1248">
        <v>7</v>
      </c>
      <c r="B10" s="1255">
        <v>0.34499999999999997</v>
      </c>
      <c r="C10" s="1255">
        <v>0.52</v>
      </c>
      <c r="D10" s="1255">
        <v>0.29799999999999999</v>
      </c>
      <c r="E10" s="1255">
        <v>0.50800000000000001</v>
      </c>
      <c r="F10" s="1255">
        <v>0.161</v>
      </c>
      <c r="G10" s="1255">
        <v>0.65500000000000003</v>
      </c>
      <c r="H10" s="1255">
        <v>0.23400000000000001</v>
      </c>
      <c r="I10" s="1255">
        <v>0.59099999999999997</v>
      </c>
      <c r="J10" s="1255">
        <v>0.161</v>
      </c>
      <c r="K10" s="1255">
        <v>0.61899999999999999</v>
      </c>
      <c r="L10" s="1254">
        <v>0.01</v>
      </c>
      <c r="M10" s="749">
        <v>0.01</v>
      </c>
      <c r="N10" s="1255">
        <v>4.2999999999999997E-2</v>
      </c>
      <c r="O10" s="1255">
        <v>0.33100000000000002</v>
      </c>
      <c r="P10" s="1255">
        <v>2.5999999999999999E-2</v>
      </c>
      <c r="Q10" s="1255">
        <v>0.38</v>
      </c>
      <c r="R10" s="1255">
        <v>4.9000000000000002E-2</v>
      </c>
      <c r="S10" s="1255">
        <v>0.44</v>
      </c>
      <c r="T10" s="1255">
        <v>0.11899999999999999</v>
      </c>
      <c r="U10" s="1255">
        <v>0.37</v>
      </c>
      <c r="V10" s="1255">
        <v>0.06</v>
      </c>
      <c r="W10" s="1255">
        <v>0.502</v>
      </c>
      <c r="X10" s="1255">
        <v>0.50900000000000001</v>
      </c>
      <c r="Y10" s="1255">
        <v>7.0000000000000001E-3</v>
      </c>
      <c r="Z10" s="1255">
        <v>0.16600000000000001</v>
      </c>
      <c r="AA10" s="1255">
        <v>4.2999999999999997E-2</v>
      </c>
      <c r="AB10" s="1255">
        <v>0.13200000000000001</v>
      </c>
      <c r="AC10" s="1255">
        <v>5.1999999999999998E-2</v>
      </c>
      <c r="AD10" s="1255">
        <v>8.5999999999999993E-2</v>
      </c>
      <c r="AE10" s="1255">
        <v>0.109</v>
      </c>
      <c r="AF10" s="111"/>
      <c r="AG10" s="19"/>
      <c r="AH10" s="74"/>
      <c r="AI10" s="74"/>
      <c r="AJ10" s="19"/>
      <c r="AK10" s="74"/>
      <c r="AL10" s="19"/>
      <c r="AM10" s="19"/>
      <c r="AN10" s="19"/>
      <c r="AO10" s="19"/>
      <c r="AP10" s="19"/>
      <c r="AQ10" s="19"/>
      <c r="AR10" s="74"/>
      <c r="AS10" s="74"/>
      <c r="AT10" s="19"/>
      <c r="AU10" s="74"/>
      <c r="AV10" s="19"/>
      <c r="AW10" s="19"/>
      <c r="AX10" s="19"/>
      <c r="AY10" s="19"/>
    </row>
    <row r="11" spans="1:51" x14ac:dyDescent="0.2">
      <c r="A11" s="1248">
        <v>8</v>
      </c>
      <c r="B11" s="1255">
        <v>0.33</v>
      </c>
      <c r="C11" s="1255">
        <v>0.53</v>
      </c>
      <c r="D11" s="1255">
        <v>0.29199999999999998</v>
      </c>
      <c r="E11" s="1255">
        <v>0.502</v>
      </c>
      <c r="F11" s="1255">
        <v>0.154</v>
      </c>
      <c r="G11" s="1255">
        <v>0.67</v>
      </c>
      <c r="H11" s="1255">
        <v>0.22600000000000001</v>
      </c>
      <c r="I11" s="1255">
        <v>0.60399999999999998</v>
      </c>
      <c r="J11" s="1255">
        <v>0.154</v>
      </c>
      <c r="K11" s="1255">
        <v>0.63600000000000001</v>
      </c>
      <c r="L11" s="1254">
        <v>0.02</v>
      </c>
      <c r="M11" s="749">
        <v>0.01</v>
      </c>
      <c r="N11" s="1255">
        <v>4.2000000000000003E-2</v>
      </c>
      <c r="O11" s="1255">
        <v>0.36399999999999999</v>
      </c>
      <c r="P11" s="1255">
        <v>2.4E-2</v>
      </c>
      <c r="Q11" s="1255">
        <v>0.42</v>
      </c>
      <c r="R11" s="1255">
        <v>4.5999999999999999E-2</v>
      </c>
      <c r="S11" s="1255">
        <v>0.46</v>
      </c>
      <c r="T11" s="1255">
        <v>0.11600000000000001</v>
      </c>
      <c r="U11" s="1255">
        <v>0.38</v>
      </c>
      <c r="V11" s="1255">
        <v>7.0000000000000007E-2</v>
      </c>
      <c r="W11" s="1255">
        <v>0.498</v>
      </c>
      <c r="X11" s="1255">
        <v>0.50600000000000001</v>
      </c>
      <c r="Y11" s="1255">
        <v>8.0000000000000002E-3</v>
      </c>
      <c r="Z11" s="1255">
        <v>0.16400000000000001</v>
      </c>
      <c r="AA11" s="1255">
        <v>4.2000000000000003E-2</v>
      </c>
      <c r="AB11" s="1255">
        <v>0.128</v>
      </c>
      <c r="AC11" s="1255">
        <v>4.8000000000000001E-2</v>
      </c>
      <c r="AD11" s="1255">
        <v>8.4000000000000005E-2</v>
      </c>
      <c r="AE11" s="1255">
        <v>0.106</v>
      </c>
      <c r="AF11" s="111"/>
      <c r="AG11" s="1254" t="s">
        <v>1426</v>
      </c>
      <c r="AH11" s="74"/>
      <c r="AI11" s="74"/>
      <c r="AJ11" s="19"/>
      <c r="AK11" s="74"/>
      <c r="AL11" s="19"/>
      <c r="AM11" s="19"/>
      <c r="AN11" s="19"/>
      <c r="AO11" s="19"/>
      <c r="AP11" s="19"/>
      <c r="AQ11" s="1254" t="s">
        <v>1426</v>
      </c>
      <c r="AR11" s="74"/>
      <c r="AS11" s="74"/>
      <c r="AT11" s="19"/>
      <c r="AU11" s="74"/>
      <c r="AV11" s="19"/>
      <c r="AW11" s="19"/>
      <c r="AX11" s="19"/>
      <c r="AY11" s="19"/>
    </row>
    <row r="12" spans="1:51" x14ac:dyDescent="0.2">
      <c r="A12" s="1248">
        <v>9</v>
      </c>
      <c r="B12" s="1255">
        <v>0.315</v>
      </c>
      <c r="C12" s="1255">
        <v>0.54</v>
      </c>
      <c r="D12" s="1255">
        <v>0.28599999999999998</v>
      </c>
      <c r="E12" s="1255">
        <v>0.496</v>
      </c>
      <c r="F12" s="1255">
        <v>0.14699999999999999</v>
      </c>
      <c r="G12" s="1255">
        <v>0.68500000000000005</v>
      </c>
      <c r="H12" s="1255">
        <v>0.218</v>
      </c>
      <c r="I12" s="1255">
        <v>0.61699999999999999</v>
      </c>
      <c r="J12" s="1255">
        <v>0.14699999999999999</v>
      </c>
      <c r="K12" s="1255">
        <v>0.65300000000000002</v>
      </c>
      <c r="L12" s="1254">
        <v>0.02</v>
      </c>
      <c r="M12" s="749">
        <v>0.01</v>
      </c>
      <c r="N12" s="1255">
        <v>4.1000000000000002E-2</v>
      </c>
      <c r="O12" s="1255">
        <v>0.39700000000000002</v>
      </c>
      <c r="P12" s="1255">
        <v>2.1999999999999999E-2</v>
      </c>
      <c r="Q12" s="1255">
        <v>0.46</v>
      </c>
      <c r="R12" s="1255">
        <v>4.2999999999999997E-2</v>
      </c>
      <c r="S12" s="1255">
        <v>0.48</v>
      </c>
      <c r="T12" s="1255">
        <v>0.113</v>
      </c>
      <c r="U12" s="1255">
        <v>0.39</v>
      </c>
      <c r="V12" s="1255">
        <v>0.08</v>
      </c>
      <c r="W12" s="1255">
        <v>0.49399999999999999</v>
      </c>
      <c r="X12" s="1255">
        <v>0.503</v>
      </c>
      <c r="Y12" s="1255">
        <v>8.9999999999999993E-3</v>
      </c>
      <c r="Z12" s="1255">
        <v>0.16200000000000001</v>
      </c>
      <c r="AA12" s="1255">
        <v>4.1000000000000002E-2</v>
      </c>
      <c r="AB12" s="1255">
        <v>0.124</v>
      </c>
      <c r="AC12" s="1255">
        <v>4.3999999999999997E-2</v>
      </c>
      <c r="AD12" s="1255">
        <v>8.2000000000000003E-2</v>
      </c>
      <c r="AE12" s="1255">
        <v>0.10299999999999999</v>
      </c>
      <c r="AF12" s="111"/>
      <c r="AG12" s="1254" t="s">
        <v>1421</v>
      </c>
      <c r="AH12" s="1252" t="str">
        <f>IF('Lower Extremity-Right'!T54="","",'Lower Extremity-Right'!T54)</f>
        <v/>
      </c>
      <c r="AI12" s="1252" t="str">
        <f>IF(AH12="","",ROUND(AH12,0))</f>
        <v/>
      </c>
      <c r="AJ12" s="243">
        <f>IF(AI12="",0,VLOOKUP(AI12,$A$3:$AE$154,8))</f>
        <v>0</v>
      </c>
      <c r="AK12" s="74"/>
      <c r="AL12" s="1254" t="s">
        <v>1422</v>
      </c>
      <c r="AM12" s="1252" t="str">
        <f>IF('Lower Extremity-Right'!V54="","",'Lower Extremity-Right'!V54)</f>
        <v/>
      </c>
      <c r="AN12" s="1252" t="str">
        <f>IF(AM12="","",ROUND(AM12,0))</f>
        <v/>
      </c>
      <c r="AO12" s="243">
        <f>IF(AN12="",0,VLOOKUP(AN12,$A$3:$AE$154,8))</f>
        <v>0</v>
      </c>
      <c r="AP12" s="19"/>
      <c r="AQ12" s="1254" t="s">
        <v>1421</v>
      </c>
      <c r="AR12" s="1252" t="str">
        <f>IF('Lower Extremity-Left'!T54="","",'Lower Extremity-Left'!T54)</f>
        <v/>
      </c>
      <c r="AS12" s="1252" t="str">
        <f>IF(AR12="","",ROUND(AR12,0))</f>
        <v/>
      </c>
      <c r="AT12" s="243">
        <f>IF(AS12="",0,VLOOKUP(AS12,$A$3:$AE$154,8))</f>
        <v>0</v>
      </c>
      <c r="AU12" s="74"/>
      <c r="AV12" s="1254" t="s">
        <v>1422</v>
      </c>
      <c r="AW12" s="1252" t="str">
        <f>IF('Lower Extremity-Left'!V54="","",'Lower Extremity-Left'!V54)</f>
        <v/>
      </c>
      <c r="AX12" s="1252" t="str">
        <f>IF(AW12="","",ROUND(AW12,0))</f>
        <v/>
      </c>
      <c r="AY12" s="243">
        <f>IF(AX12="",0,VLOOKUP(AX12,$A$3:$AE$154,8))</f>
        <v>0</v>
      </c>
    </row>
    <row r="13" spans="1:51" x14ac:dyDescent="0.2">
      <c r="A13" s="1248">
        <v>10</v>
      </c>
      <c r="B13" s="1255">
        <v>0.3</v>
      </c>
      <c r="C13" s="1255">
        <v>0.55000000000000004</v>
      </c>
      <c r="D13" s="1255">
        <v>0.28000000000000003</v>
      </c>
      <c r="E13" s="1255">
        <v>0.49</v>
      </c>
      <c r="F13" s="1255">
        <v>0.14000000000000001</v>
      </c>
      <c r="G13" s="1255">
        <v>0.7</v>
      </c>
      <c r="H13" s="1255">
        <v>0.21</v>
      </c>
      <c r="I13" s="1255">
        <v>0.63</v>
      </c>
      <c r="J13" s="1255">
        <v>0.14000000000000001</v>
      </c>
      <c r="K13" s="1255">
        <v>0.67</v>
      </c>
      <c r="L13" s="1254">
        <v>0.02</v>
      </c>
      <c r="M13" s="749">
        <v>0.01</v>
      </c>
      <c r="N13" s="1255">
        <v>0.04</v>
      </c>
      <c r="O13" s="1255">
        <v>0.43</v>
      </c>
      <c r="P13" s="1255">
        <v>0.02</v>
      </c>
      <c r="Q13" s="1255">
        <v>0.5</v>
      </c>
      <c r="R13" s="1255">
        <v>0.04</v>
      </c>
      <c r="S13" s="1255">
        <v>0.5</v>
      </c>
      <c r="T13" s="1255">
        <v>0.11</v>
      </c>
      <c r="U13" s="1255">
        <v>0.4</v>
      </c>
      <c r="V13" s="1255">
        <v>0.09</v>
      </c>
      <c r="W13" s="1255">
        <v>0.49</v>
      </c>
      <c r="X13" s="1255">
        <v>0.5</v>
      </c>
      <c r="Y13" s="1255">
        <v>0.01</v>
      </c>
      <c r="Z13" s="1255">
        <v>0.16</v>
      </c>
      <c r="AA13" s="1255">
        <v>0.04</v>
      </c>
      <c r="AB13" s="1255">
        <v>0.12</v>
      </c>
      <c r="AC13" s="1255">
        <v>0.04</v>
      </c>
      <c r="AD13" s="1255">
        <v>0.08</v>
      </c>
      <c r="AE13" s="1255">
        <v>0.1</v>
      </c>
      <c r="AF13" s="111"/>
      <c r="AG13" s="1254" t="s">
        <v>1423</v>
      </c>
      <c r="AH13" s="1252" t="str">
        <f>IF('Lower Extremity-Right'!T55="","",'Lower Extremity-Right'!T55)</f>
        <v/>
      </c>
      <c r="AI13" s="1252" t="str">
        <f>IF(AH13="","",ROUND(AH13,0))</f>
        <v/>
      </c>
      <c r="AJ13" s="243">
        <f>IF(AI13="",0,VLOOKUP(AI13,$A$3:$AE$154,9))</f>
        <v>0</v>
      </c>
      <c r="AK13" s="74"/>
      <c r="AL13" s="19"/>
      <c r="AM13" s="19"/>
      <c r="AN13" s="19"/>
      <c r="AO13" s="19"/>
      <c r="AP13" s="19"/>
      <c r="AQ13" s="1254" t="s">
        <v>1423</v>
      </c>
      <c r="AR13" s="1252" t="str">
        <f>IF('Lower Extremity-Left'!T55="","",'Lower Extremity-Left'!T55)</f>
        <v/>
      </c>
      <c r="AS13" s="1252" t="str">
        <f>IF(AR13="","",ROUND(AR13,0))</f>
        <v/>
      </c>
      <c r="AT13" s="243">
        <f>IF(AS13="",0,VLOOKUP(AS13,$A$3:$AE$154,9))</f>
        <v>0</v>
      </c>
      <c r="AU13" s="74"/>
      <c r="AV13" s="19"/>
      <c r="AW13" s="19"/>
      <c r="AX13" s="19"/>
      <c r="AY13" s="19"/>
    </row>
    <row r="14" spans="1:51" x14ac:dyDescent="0.2">
      <c r="A14" s="1248">
        <v>11</v>
      </c>
      <c r="B14" s="1255">
        <v>0.28499999999999998</v>
      </c>
      <c r="C14" s="1255">
        <v>0.56000000000000005</v>
      </c>
      <c r="D14" s="1255">
        <v>0.27300000000000002</v>
      </c>
      <c r="E14" s="1255">
        <v>0.503</v>
      </c>
      <c r="F14" s="1255">
        <v>0.13300000000000001</v>
      </c>
      <c r="G14" s="1255">
        <v>0.71499999999999997</v>
      </c>
      <c r="H14" s="1255">
        <v>0.20300000000000001</v>
      </c>
      <c r="I14" s="1255">
        <v>0.64200000000000002</v>
      </c>
      <c r="J14" s="1255">
        <v>0.13300000000000001</v>
      </c>
      <c r="K14" s="1255">
        <v>0.68600000000000005</v>
      </c>
      <c r="L14" s="1254">
        <v>0.02</v>
      </c>
      <c r="M14" s="749">
        <v>0.01</v>
      </c>
      <c r="N14" s="1255">
        <v>3.7999999999999999E-2</v>
      </c>
      <c r="O14" s="1255">
        <v>0.44400000000000001</v>
      </c>
      <c r="P14" s="1255">
        <v>1.7999999999999999E-2</v>
      </c>
      <c r="Q14" s="1255">
        <v>0.51</v>
      </c>
      <c r="R14" s="1255">
        <v>3.5999999999999997E-2</v>
      </c>
      <c r="S14" s="1255">
        <v>0.52</v>
      </c>
      <c r="T14" s="1255">
        <v>0.106</v>
      </c>
      <c r="U14" s="1255">
        <v>0.41</v>
      </c>
      <c r="V14" s="1255">
        <v>0.1</v>
      </c>
      <c r="W14" s="1255">
        <v>0.48699999999999999</v>
      </c>
      <c r="X14" s="1255">
        <v>0.51</v>
      </c>
      <c r="Y14" s="1255">
        <v>1.6E-2</v>
      </c>
      <c r="Z14" s="1255">
        <v>0.158</v>
      </c>
      <c r="AA14" s="1255">
        <v>3.7999999999999999E-2</v>
      </c>
      <c r="AB14" s="1255">
        <v>0.11600000000000001</v>
      </c>
      <c r="AC14" s="1255">
        <v>3.5999999999999997E-2</v>
      </c>
      <c r="AD14" s="1255">
        <v>7.6999999999999999E-2</v>
      </c>
      <c r="AE14" s="1255">
        <v>9.8000000000000004E-2</v>
      </c>
      <c r="AF14" s="111"/>
      <c r="AG14" s="1254" t="s">
        <v>1424</v>
      </c>
      <c r="AH14" s="1252" t="str">
        <f>IF('Lower Extremity-Right'!T56="","",'Lower Extremity-Right'!T56)</f>
        <v/>
      </c>
      <c r="AI14" s="1252" t="str">
        <f>IF(AH14="","",ROUND(AH14,0))</f>
        <v/>
      </c>
      <c r="AJ14" s="243">
        <f>IF(AI14="",0,VLOOKUP(AI14,$A$3:$AE$154,10))</f>
        <v>0</v>
      </c>
      <c r="AK14" s="74"/>
      <c r="AL14" s="1254" t="s">
        <v>1422</v>
      </c>
      <c r="AM14" s="1252" t="str">
        <f>IF('Lower Extremity-Right'!V56="","",'Lower Extremity-Right'!V56)</f>
        <v/>
      </c>
      <c r="AN14" s="1252" t="str">
        <f>IF(AM14="","",ROUND(AM14,0))</f>
        <v/>
      </c>
      <c r="AO14" s="243">
        <f>IF(AN14="",0,VLOOKUP(AN14,$A$3:$AE$154,10))</f>
        <v>0</v>
      </c>
      <c r="AP14" s="19"/>
      <c r="AQ14" s="1254" t="s">
        <v>1424</v>
      </c>
      <c r="AR14" s="1252" t="str">
        <f>IF('Lower Extremity-Left'!T56="","",'Lower Extremity-Left'!T56)</f>
        <v/>
      </c>
      <c r="AS14" s="1252" t="str">
        <f>IF(AR14="","",ROUND(AR14,0))</f>
        <v/>
      </c>
      <c r="AT14" s="243">
        <f>IF(AS14="",0,VLOOKUP(AS14,$A$3:$AE$154,10))</f>
        <v>0</v>
      </c>
      <c r="AU14" s="74"/>
      <c r="AV14" s="1254" t="s">
        <v>1422</v>
      </c>
      <c r="AW14" s="1252" t="str">
        <f>IF('Lower Extremity-Left'!V56="","",'Lower Extremity-Left'!V56)</f>
        <v/>
      </c>
      <c r="AX14" s="1252" t="str">
        <f>IF(AW14="","",ROUND(AW14,0))</f>
        <v/>
      </c>
      <c r="AY14" s="243">
        <f>IF(AX14="",0,VLOOKUP(AX14,$A$3:$AE$154,10))</f>
        <v>0</v>
      </c>
    </row>
    <row r="15" spans="1:51" x14ac:dyDescent="0.2">
      <c r="A15" s="1248">
        <v>12</v>
      </c>
      <c r="B15" s="1255">
        <v>0.27</v>
      </c>
      <c r="C15" s="1255">
        <v>0.56999999999999995</v>
      </c>
      <c r="D15" s="1255">
        <v>0.26600000000000001</v>
      </c>
      <c r="E15" s="1255">
        <v>0.51600000000000001</v>
      </c>
      <c r="F15" s="1255">
        <v>0.126</v>
      </c>
      <c r="G15" s="1255">
        <v>0.73</v>
      </c>
      <c r="H15" s="1255">
        <v>0.19600000000000001</v>
      </c>
      <c r="I15" s="1255">
        <v>0.65400000000000003</v>
      </c>
      <c r="J15" s="1255">
        <v>0.126</v>
      </c>
      <c r="K15" s="1255">
        <v>0.70199999999999996</v>
      </c>
      <c r="L15" s="1254">
        <v>0.02</v>
      </c>
      <c r="M15" s="749">
        <v>0.01</v>
      </c>
      <c r="N15" s="1255">
        <v>3.5999999999999997E-2</v>
      </c>
      <c r="O15" s="1255">
        <v>0.45800000000000002</v>
      </c>
      <c r="P15" s="1255">
        <v>1.6E-2</v>
      </c>
      <c r="Q15" s="1255">
        <v>0.52</v>
      </c>
      <c r="R15" s="1255">
        <v>3.2000000000000001E-2</v>
      </c>
      <c r="S15" s="1255">
        <v>0.54</v>
      </c>
      <c r="T15" s="1255">
        <v>0.10199999999999999</v>
      </c>
      <c r="U15" s="1255">
        <v>0.42</v>
      </c>
      <c r="V15" s="1255">
        <v>0.11</v>
      </c>
      <c r="W15" s="1255">
        <v>0.48399999999999999</v>
      </c>
      <c r="X15" s="1255">
        <v>0.52</v>
      </c>
      <c r="Y15" s="1255">
        <v>2.1999999999999999E-2</v>
      </c>
      <c r="Z15" s="1255">
        <v>0.156</v>
      </c>
      <c r="AA15" s="1255">
        <v>3.5999999999999997E-2</v>
      </c>
      <c r="AB15" s="1255">
        <v>0.112</v>
      </c>
      <c r="AC15" s="1255">
        <v>3.2000000000000001E-2</v>
      </c>
      <c r="AD15" s="1255">
        <v>7.3999999999999996E-2</v>
      </c>
      <c r="AE15" s="1255">
        <v>9.6000000000000002E-2</v>
      </c>
      <c r="AF15" s="111"/>
      <c r="AG15" s="1254" t="s">
        <v>1425</v>
      </c>
      <c r="AH15" s="1252" t="str">
        <f>IF('Lower Extremity-Right'!T57="","",'Lower Extremity-Right'!T57)</f>
        <v/>
      </c>
      <c r="AI15" s="1252" t="str">
        <f>IF(AH15="","",ROUND(AH15,0))</f>
        <v/>
      </c>
      <c r="AJ15" s="243">
        <f>IF(AI15="",0,VLOOKUP(AI15,$A$3:$AE$154,11))</f>
        <v>0</v>
      </c>
      <c r="AK15" s="74"/>
      <c r="AL15" s="19"/>
      <c r="AM15" s="19"/>
      <c r="AN15" s="19"/>
      <c r="AO15" s="19"/>
      <c r="AP15" s="19"/>
      <c r="AQ15" s="1254" t="s">
        <v>1425</v>
      </c>
      <c r="AR15" s="1252" t="str">
        <f>IF('Lower Extremity-Left'!T57="","",'Lower Extremity-Left'!T57)</f>
        <v/>
      </c>
      <c r="AS15" s="1252" t="str">
        <f>IF(AR15="","",ROUND(AR15,0))</f>
        <v/>
      </c>
      <c r="AT15" s="243">
        <f>IF(AS15="",0,VLOOKUP(AS15,$A$3:$AE$154,11))</f>
        <v>0</v>
      </c>
      <c r="AU15" s="74"/>
      <c r="AV15" s="19"/>
      <c r="AW15" s="19"/>
      <c r="AX15" s="19"/>
      <c r="AY15" s="19"/>
    </row>
    <row r="16" spans="1:51" x14ac:dyDescent="0.2">
      <c r="A16" s="1248">
        <v>13</v>
      </c>
      <c r="B16" s="1255">
        <v>0.255</v>
      </c>
      <c r="C16" s="1255">
        <v>0.57999999999999996</v>
      </c>
      <c r="D16" s="1255">
        <v>0.25900000000000001</v>
      </c>
      <c r="E16" s="1255">
        <v>0.52900000000000003</v>
      </c>
      <c r="F16" s="1255">
        <v>0.11899999999999999</v>
      </c>
      <c r="G16" s="1255">
        <v>0.745</v>
      </c>
      <c r="H16" s="1255">
        <v>0.189</v>
      </c>
      <c r="I16" s="1255">
        <v>0.66600000000000004</v>
      </c>
      <c r="J16" s="1255">
        <v>0.11899999999999999</v>
      </c>
      <c r="K16" s="1255">
        <v>0.71799999999999997</v>
      </c>
      <c r="L16" s="1254">
        <v>0.02</v>
      </c>
      <c r="M16" s="749">
        <v>0.01</v>
      </c>
      <c r="N16" s="1255">
        <v>3.4000000000000002E-2</v>
      </c>
      <c r="O16" s="1255">
        <v>0.47199999999999998</v>
      </c>
      <c r="P16" s="1255">
        <v>1.4E-2</v>
      </c>
      <c r="Q16" s="1255">
        <v>0.53</v>
      </c>
      <c r="R16" s="1255">
        <v>2.8000000000000001E-2</v>
      </c>
      <c r="S16" s="1255">
        <v>0.56000000000000005</v>
      </c>
      <c r="T16" s="1255">
        <v>9.8000000000000004E-2</v>
      </c>
      <c r="U16" s="1255">
        <v>0.43</v>
      </c>
      <c r="V16" s="1255">
        <v>0.12</v>
      </c>
      <c r="W16" s="1255">
        <v>0.48099999999999998</v>
      </c>
      <c r="X16" s="1255">
        <v>0.53</v>
      </c>
      <c r="Y16" s="1255">
        <v>2.8000000000000001E-2</v>
      </c>
      <c r="Z16" s="1255">
        <v>0.154</v>
      </c>
      <c r="AA16" s="1255">
        <v>3.4000000000000002E-2</v>
      </c>
      <c r="AB16" s="1255">
        <v>0.108</v>
      </c>
      <c r="AC16" s="1255">
        <v>2.8000000000000001E-2</v>
      </c>
      <c r="AD16" s="1255">
        <v>7.0999999999999994E-2</v>
      </c>
      <c r="AE16" s="1255">
        <v>9.4E-2</v>
      </c>
      <c r="AF16" s="111"/>
      <c r="AG16" s="19"/>
      <c r="AH16" s="74"/>
      <c r="AI16" s="74"/>
      <c r="AJ16" s="113"/>
      <c r="AK16" s="74"/>
      <c r="AL16" s="19"/>
      <c r="AM16" s="74"/>
      <c r="AN16" s="74"/>
      <c r="AO16" s="113"/>
      <c r="AP16" s="19"/>
      <c r="AQ16" s="19"/>
      <c r="AR16" s="74"/>
      <c r="AS16" s="74"/>
      <c r="AT16" s="113"/>
      <c r="AU16" s="74"/>
      <c r="AV16" s="19"/>
      <c r="AW16" s="74"/>
      <c r="AX16" s="74"/>
      <c r="AY16" s="113"/>
    </row>
    <row r="17" spans="1:51" x14ac:dyDescent="0.2">
      <c r="A17" s="1248">
        <v>14</v>
      </c>
      <c r="B17" s="1255">
        <v>0.24</v>
      </c>
      <c r="C17" s="1255">
        <v>0.59</v>
      </c>
      <c r="D17" s="1255">
        <v>0.252</v>
      </c>
      <c r="E17" s="1255">
        <v>0.54200000000000004</v>
      </c>
      <c r="F17" s="1255">
        <v>0.112</v>
      </c>
      <c r="G17" s="1255">
        <v>0.76</v>
      </c>
      <c r="H17" s="1255">
        <v>0.182</v>
      </c>
      <c r="I17" s="1255">
        <v>0.67800000000000005</v>
      </c>
      <c r="J17" s="1255">
        <v>0.112</v>
      </c>
      <c r="K17" s="1255">
        <v>0.73399999999999999</v>
      </c>
      <c r="L17" s="1254">
        <v>0.02</v>
      </c>
      <c r="M17" s="749">
        <v>0.01</v>
      </c>
      <c r="N17" s="1255">
        <v>3.2000000000000001E-2</v>
      </c>
      <c r="O17" s="1255">
        <v>0.48599999999999999</v>
      </c>
      <c r="P17" s="1255">
        <v>1.2E-2</v>
      </c>
      <c r="Q17" s="1255">
        <v>0.54</v>
      </c>
      <c r="R17" s="1255">
        <v>2.4E-2</v>
      </c>
      <c r="S17" s="1255">
        <v>0.57999999999999996</v>
      </c>
      <c r="T17" s="1255">
        <v>9.4E-2</v>
      </c>
      <c r="U17" s="1255">
        <v>0.44</v>
      </c>
      <c r="V17" s="1255">
        <v>0.13</v>
      </c>
      <c r="W17" s="1255">
        <v>0.47799999999999998</v>
      </c>
      <c r="X17" s="1255">
        <v>0.54</v>
      </c>
      <c r="Y17" s="1255">
        <v>3.4000000000000002E-2</v>
      </c>
      <c r="Z17" s="1255">
        <v>0.152</v>
      </c>
      <c r="AA17" s="1255">
        <v>3.2000000000000001E-2</v>
      </c>
      <c r="AB17" s="1255">
        <v>0.104</v>
      </c>
      <c r="AC17" s="1255">
        <v>2.4E-2</v>
      </c>
      <c r="AD17" s="1255">
        <v>6.8000000000000005E-2</v>
      </c>
      <c r="AE17" s="1255">
        <v>9.1999999999999998E-2</v>
      </c>
      <c r="AF17" s="111"/>
      <c r="AG17" s="1254" t="s">
        <v>1427</v>
      </c>
      <c r="AH17" s="74"/>
      <c r="AI17" s="74"/>
      <c r="AJ17" s="19"/>
      <c r="AK17" s="74"/>
      <c r="AL17" s="19"/>
      <c r="AM17" s="19"/>
      <c r="AN17" s="19"/>
      <c r="AO17" s="19"/>
      <c r="AP17" s="19"/>
      <c r="AQ17" s="1254" t="s">
        <v>1427</v>
      </c>
      <c r="AR17" s="74"/>
      <c r="AS17" s="74"/>
      <c r="AT17" s="19"/>
      <c r="AU17" s="74"/>
      <c r="AV17" s="19"/>
      <c r="AW17" s="19"/>
      <c r="AX17" s="19"/>
      <c r="AY17" s="19"/>
    </row>
    <row r="18" spans="1:51" x14ac:dyDescent="0.2">
      <c r="A18" s="1248">
        <v>15</v>
      </c>
      <c r="B18" s="1255">
        <v>0.22500000000000001</v>
      </c>
      <c r="C18" s="1255">
        <v>0.6</v>
      </c>
      <c r="D18" s="1255">
        <v>0.245</v>
      </c>
      <c r="E18" s="1255">
        <v>0.55500000000000005</v>
      </c>
      <c r="F18" s="1255">
        <v>0.105</v>
      </c>
      <c r="G18" s="1255">
        <v>0.77500000000000002</v>
      </c>
      <c r="H18" s="1255">
        <v>0.17499999999999999</v>
      </c>
      <c r="I18" s="1255">
        <v>0.69</v>
      </c>
      <c r="J18" s="1255">
        <v>0.105</v>
      </c>
      <c r="K18" s="1255">
        <v>0.75</v>
      </c>
      <c r="L18" s="1254">
        <v>0.03</v>
      </c>
      <c r="M18" s="749">
        <v>0.01</v>
      </c>
      <c r="N18" s="1255">
        <v>0.03</v>
      </c>
      <c r="O18" s="1255">
        <v>0.5</v>
      </c>
      <c r="P18" s="1255">
        <v>0.01</v>
      </c>
      <c r="Q18" s="1255">
        <v>0.55000000000000004</v>
      </c>
      <c r="R18" s="1255">
        <v>0.02</v>
      </c>
      <c r="S18" s="1255">
        <v>0.6</v>
      </c>
      <c r="T18" s="1255">
        <v>0.09</v>
      </c>
      <c r="U18" s="1255">
        <v>0.45</v>
      </c>
      <c r="V18" s="1255">
        <v>0.14000000000000001</v>
      </c>
      <c r="W18" s="1255">
        <v>0.47499999999999998</v>
      </c>
      <c r="X18" s="1255">
        <v>0.55000000000000004</v>
      </c>
      <c r="Y18" s="1255">
        <v>0.04</v>
      </c>
      <c r="Z18" s="1255">
        <v>0.15</v>
      </c>
      <c r="AA18" s="1255">
        <v>0.03</v>
      </c>
      <c r="AB18" s="1255">
        <v>0.1</v>
      </c>
      <c r="AC18" s="1255">
        <v>0.02</v>
      </c>
      <c r="AD18" s="1255">
        <v>6.5000000000000002E-2</v>
      </c>
      <c r="AE18" s="1255">
        <v>0.09</v>
      </c>
      <c r="AF18" s="111"/>
      <c r="AG18" s="1254" t="s">
        <v>1421</v>
      </c>
      <c r="AH18" s="821" t="str">
        <f>IF('Lower Extremity-Right'!T94="","",'Lower Extremity-Right'!T94)</f>
        <v/>
      </c>
      <c r="AI18" s="1252" t="str">
        <f>IF(AH18="","",ROUND(AH18,0))</f>
        <v/>
      </c>
      <c r="AJ18" s="243">
        <f>IF(AI18="",0,VLOOKUP(AI18,$A$3:$AE$154,8))</f>
        <v>0</v>
      </c>
      <c r="AK18" s="74"/>
      <c r="AL18" s="1254" t="s">
        <v>1422</v>
      </c>
      <c r="AM18" s="1252" t="str">
        <f>IF('Lower Extremity-Right'!V94="","",'Lower Extremity-Right'!V94)</f>
        <v/>
      </c>
      <c r="AN18" s="1252" t="str">
        <f>IF(AM18="","",ROUND(AM18,0))</f>
        <v/>
      </c>
      <c r="AO18" s="243">
        <f>IF(AN18="",0,VLOOKUP(AN18,$A$3:$AE$154,8))</f>
        <v>0</v>
      </c>
      <c r="AP18" s="19"/>
      <c r="AQ18" s="1254" t="s">
        <v>1421</v>
      </c>
      <c r="AR18" s="1252" t="str">
        <f>IF('Lower Extremity-Left'!T94="","",'Lower Extremity-Left'!T94)</f>
        <v/>
      </c>
      <c r="AS18" s="1252" t="str">
        <f>IF(AR18="","",ROUND(AR18,0))</f>
        <v/>
      </c>
      <c r="AT18" s="243">
        <f>IF(AS18="",0,VLOOKUP(AS18,$A$3:$AE$154,8))</f>
        <v>0</v>
      </c>
      <c r="AU18" s="74"/>
      <c r="AV18" s="1254" t="s">
        <v>1422</v>
      </c>
      <c r="AW18" s="1252" t="str">
        <f>IF('Lower Extremity-Left'!V94="","",'Lower Extremity-Left'!V94)</f>
        <v/>
      </c>
      <c r="AX18" s="1252" t="str">
        <f>IF(AW18="","",ROUND(AW18,0))</f>
        <v/>
      </c>
      <c r="AY18" s="243">
        <f>IF(AX18="",0,VLOOKUP(AX18,$A$3:$AE$154,8))</f>
        <v>0</v>
      </c>
    </row>
    <row r="19" spans="1:51" x14ac:dyDescent="0.2">
      <c r="A19" s="1248">
        <v>16</v>
      </c>
      <c r="B19" s="1255">
        <v>0.21</v>
      </c>
      <c r="C19" s="1255">
        <v>0.61</v>
      </c>
      <c r="D19" s="1255">
        <v>0.23799999999999999</v>
      </c>
      <c r="E19" s="1255">
        <v>0.56799999999999995</v>
      </c>
      <c r="F19" s="1255">
        <v>9.8000000000000004E-2</v>
      </c>
      <c r="G19" s="1255">
        <v>0.79</v>
      </c>
      <c r="H19" s="1255">
        <v>0.16800000000000001</v>
      </c>
      <c r="I19" s="1255">
        <v>0.70199999999999996</v>
      </c>
      <c r="J19" s="1255">
        <v>9.8000000000000004E-2</v>
      </c>
      <c r="K19" s="1255">
        <v>0.76600000000000001</v>
      </c>
      <c r="L19" s="1254">
        <v>0.03</v>
      </c>
      <c r="M19" s="749">
        <v>0.01</v>
      </c>
      <c r="N19" s="1255">
        <v>2.8000000000000001E-2</v>
      </c>
      <c r="O19" s="1255">
        <v>0.51400000000000001</v>
      </c>
      <c r="P19" s="1255">
        <v>8.0000000000000002E-3</v>
      </c>
      <c r="Q19" s="1255">
        <v>0.56000000000000005</v>
      </c>
      <c r="R19" s="1255">
        <v>1.6E-2</v>
      </c>
      <c r="S19" s="1255">
        <v>0.62</v>
      </c>
      <c r="T19" s="1255">
        <v>8.5999999999999993E-2</v>
      </c>
      <c r="U19" s="1255">
        <v>0.46</v>
      </c>
      <c r="V19" s="1255">
        <v>0.14000000000000001</v>
      </c>
      <c r="W19" s="1255">
        <v>0.47199999999999998</v>
      </c>
      <c r="X19" s="1255">
        <v>0.56000000000000005</v>
      </c>
      <c r="Y19" s="1255">
        <v>4.5999999999999999E-2</v>
      </c>
      <c r="Z19" s="1255">
        <v>0.14799999999999999</v>
      </c>
      <c r="AA19" s="1255">
        <v>2.8000000000000001E-2</v>
      </c>
      <c r="AB19" s="1255">
        <v>9.6000000000000002E-2</v>
      </c>
      <c r="AC19" s="1255">
        <v>1.6E-2</v>
      </c>
      <c r="AD19" s="1255">
        <v>6.2E-2</v>
      </c>
      <c r="AE19" s="1255">
        <v>8.7999999999999995E-2</v>
      </c>
      <c r="AF19" s="111"/>
      <c r="AG19" s="1254" t="s">
        <v>1423</v>
      </c>
      <c r="AH19" s="821" t="str">
        <f>IF('Lower Extremity-Right'!T95="","",'Lower Extremity-Right'!T95)</f>
        <v/>
      </c>
      <c r="AI19" s="1252" t="str">
        <f>IF(AH19="","",ROUND(AH19,0))</f>
        <v/>
      </c>
      <c r="AJ19" s="243">
        <f>IF(AI19="",0,VLOOKUP(AI19,$A$3:$AE$154,9))</f>
        <v>0</v>
      </c>
      <c r="AK19" s="74"/>
      <c r="AL19" s="19"/>
      <c r="AM19" s="19"/>
      <c r="AN19" s="19"/>
      <c r="AO19" s="19"/>
      <c r="AP19" s="19"/>
      <c r="AQ19" s="1254" t="s">
        <v>1423</v>
      </c>
      <c r="AR19" s="1252" t="str">
        <f>IF('Lower Extremity-Left'!T95="","",'Lower Extremity-Left'!T95)</f>
        <v/>
      </c>
      <c r="AS19" s="1252" t="str">
        <f>IF(AR19="","",ROUND(AR19,0))</f>
        <v/>
      </c>
      <c r="AT19" s="243">
        <f>IF(AS19="",0,VLOOKUP(AS19,$A$3:$AE$154,9))</f>
        <v>0</v>
      </c>
      <c r="AU19" s="74"/>
      <c r="AV19" s="19"/>
      <c r="AW19" s="19"/>
      <c r="AX19" s="19"/>
      <c r="AY19" s="19"/>
    </row>
    <row r="20" spans="1:51" x14ac:dyDescent="0.2">
      <c r="A20" s="1248">
        <v>17</v>
      </c>
      <c r="B20" s="1255">
        <v>0.19500000000000001</v>
      </c>
      <c r="C20" s="1255">
        <v>0.62</v>
      </c>
      <c r="D20" s="1255">
        <v>0.23100000000000001</v>
      </c>
      <c r="E20" s="1255">
        <v>0.58099999999999996</v>
      </c>
      <c r="F20" s="1255">
        <v>9.0999999999999998E-2</v>
      </c>
      <c r="G20" s="1255">
        <v>0.80500000000000005</v>
      </c>
      <c r="H20" s="1255">
        <v>0.161</v>
      </c>
      <c r="I20" s="1255">
        <v>0.71399999999999997</v>
      </c>
      <c r="J20" s="1255">
        <v>9.0999999999999998E-2</v>
      </c>
      <c r="K20" s="1255">
        <v>0.78200000000000003</v>
      </c>
      <c r="L20" s="1254">
        <v>0.03</v>
      </c>
      <c r="M20" s="749">
        <v>0.01</v>
      </c>
      <c r="N20" s="1255">
        <v>2.5999999999999999E-2</v>
      </c>
      <c r="O20" s="1255">
        <v>0.52800000000000002</v>
      </c>
      <c r="P20" s="1255">
        <v>6.0000000000000001E-3</v>
      </c>
      <c r="Q20" s="1255">
        <v>0.56999999999999995</v>
      </c>
      <c r="R20" s="1255">
        <v>1.2E-2</v>
      </c>
      <c r="S20" s="1255">
        <v>0.64</v>
      </c>
      <c r="T20" s="1255">
        <v>8.2000000000000003E-2</v>
      </c>
      <c r="U20" s="1255">
        <v>0.47</v>
      </c>
      <c r="V20" s="1255">
        <v>0.15</v>
      </c>
      <c r="W20" s="1255">
        <v>0.46899999999999997</v>
      </c>
      <c r="X20" s="1255">
        <v>0.56999999999999995</v>
      </c>
      <c r="Y20" s="1255">
        <v>5.1999999999999998E-2</v>
      </c>
      <c r="Z20" s="1255">
        <v>0.14599999999999999</v>
      </c>
      <c r="AA20" s="1255">
        <v>2.5999999999999999E-2</v>
      </c>
      <c r="AB20" s="1255">
        <v>9.1999999999999998E-2</v>
      </c>
      <c r="AC20" s="1255">
        <v>1.2E-2</v>
      </c>
      <c r="AD20" s="1255">
        <v>5.8999999999999997E-2</v>
      </c>
      <c r="AE20" s="1255">
        <v>8.5999999999999993E-2</v>
      </c>
      <c r="AF20" s="111"/>
      <c r="AG20" s="1254" t="s">
        <v>1424</v>
      </c>
      <c r="AH20" s="821" t="str">
        <f>IF('Lower Extremity-Right'!T96="","",'Lower Extremity-Right'!T96)</f>
        <v/>
      </c>
      <c r="AI20" s="1252" t="str">
        <f>IF(AH20="","",ROUND(AH20,0))</f>
        <v/>
      </c>
      <c r="AJ20" s="243">
        <f>IF(AI20="",0,VLOOKUP(AI20,$A$3:$AE$154,10))</f>
        <v>0</v>
      </c>
      <c r="AK20" s="74"/>
      <c r="AL20" s="1254" t="s">
        <v>1422</v>
      </c>
      <c r="AM20" s="1252" t="str">
        <f>IF('Lower Extremity-Right'!V96="","",'Lower Extremity-Right'!V96)</f>
        <v/>
      </c>
      <c r="AN20" s="1252" t="str">
        <f>IF(AM20="","",ROUND(AM20,0))</f>
        <v/>
      </c>
      <c r="AO20" s="243">
        <f>IF(AN20="",0,VLOOKUP(AN20,$A$3:$AE$154,10))</f>
        <v>0</v>
      </c>
      <c r="AP20" s="19"/>
      <c r="AQ20" s="1254" t="s">
        <v>1424</v>
      </c>
      <c r="AR20" s="1252" t="str">
        <f>IF('Lower Extremity-Left'!T96="","",'Lower Extremity-Left'!T96)</f>
        <v/>
      </c>
      <c r="AS20" s="1252" t="str">
        <f>IF(AR20="","",ROUND(AR20,0))</f>
        <v/>
      </c>
      <c r="AT20" s="243">
        <f>IF(AS20="",0,VLOOKUP(AS20,$A$3:$AE$154,10))</f>
        <v>0</v>
      </c>
      <c r="AU20" s="74"/>
      <c r="AV20" s="1254" t="s">
        <v>1422</v>
      </c>
      <c r="AW20" s="1252" t="str">
        <f>IF('Lower Extremity-Left'!V96="","",'Lower Extremity-Left'!V96)</f>
        <v/>
      </c>
      <c r="AX20" s="1252" t="str">
        <f>IF(AW20="","",ROUND(AW20,0))</f>
        <v/>
      </c>
      <c r="AY20" s="243">
        <f>IF(AX20="",0,VLOOKUP(AX20,$A$3:$AE$154,10))</f>
        <v>0</v>
      </c>
    </row>
    <row r="21" spans="1:51" x14ac:dyDescent="0.2">
      <c r="A21" s="1248">
        <v>18</v>
      </c>
      <c r="B21" s="1255">
        <v>0.18</v>
      </c>
      <c r="C21" s="1255">
        <v>0.63</v>
      </c>
      <c r="D21" s="1255">
        <v>0.224</v>
      </c>
      <c r="E21" s="1255">
        <v>0.59399999999999997</v>
      </c>
      <c r="F21" s="1255">
        <v>8.4000000000000005E-2</v>
      </c>
      <c r="G21" s="1255">
        <v>0.82</v>
      </c>
      <c r="H21" s="1255">
        <v>0.154</v>
      </c>
      <c r="I21" s="1255">
        <v>0.72599999999999998</v>
      </c>
      <c r="J21" s="1255">
        <v>8.4000000000000005E-2</v>
      </c>
      <c r="K21" s="1255">
        <v>0.79800000000000004</v>
      </c>
      <c r="L21" s="1254">
        <v>0.03</v>
      </c>
      <c r="M21" s="749">
        <v>0.01</v>
      </c>
      <c r="N21" s="1255">
        <v>2.4E-2</v>
      </c>
      <c r="O21" s="1255">
        <v>0.54200000000000004</v>
      </c>
      <c r="P21" s="1255">
        <v>4.0000000000000001E-3</v>
      </c>
      <c r="Q21" s="1255">
        <v>0.57999999999999996</v>
      </c>
      <c r="R21" s="1255">
        <v>8.0000000000000002E-3</v>
      </c>
      <c r="S21" s="1255">
        <v>0.66</v>
      </c>
      <c r="T21" s="1255">
        <v>7.8E-2</v>
      </c>
      <c r="U21" s="1255">
        <v>0.48</v>
      </c>
      <c r="V21" s="1255">
        <v>0.16</v>
      </c>
      <c r="W21" s="1255">
        <v>0.46600000000000003</v>
      </c>
      <c r="X21" s="1255">
        <v>0.57999999999999996</v>
      </c>
      <c r="Y21" s="1255">
        <v>5.8000000000000003E-2</v>
      </c>
      <c r="Z21" s="1255">
        <v>0.14399999999999999</v>
      </c>
      <c r="AA21" s="1255">
        <v>2.4E-2</v>
      </c>
      <c r="AB21" s="1255">
        <v>8.7999999999999995E-2</v>
      </c>
      <c r="AC21" s="1255">
        <v>8.0000000000000002E-3</v>
      </c>
      <c r="AD21" s="1255">
        <v>5.6000000000000001E-2</v>
      </c>
      <c r="AE21" s="1255">
        <v>8.4000000000000005E-2</v>
      </c>
      <c r="AF21" s="111"/>
      <c r="AG21" s="1254" t="s">
        <v>1425</v>
      </c>
      <c r="AH21" s="821" t="str">
        <f>IF('Lower Extremity-Right'!T97="","",'Lower Extremity-Right'!T97)</f>
        <v/>
      </c>
      <c r="AI21" s="1252" t="str">
        <f>IF(AH21="","",ROUND(AH21,0))</f>
        <v/>
      </c>
      <c r="AJ21" s="243">
        <f>IF(AI21="",0,VLOOKUP(AI21,$A$3:$AE$154,11))</f>
        <v>0</v>
      </c>
      <c r="AK21" s="74"/>
      <c r="AL21" s="19"/>
      <c r="AM21" s="19"/>
      <c r="AN21" s="19"/>
      <c r="AO21" s="19"/>
      <c r="AP21" s="19"/>
      <c r="AQ21" s="1254" t="s">
        <v>1425</v>
      </c>
      <c r="AR21" s="1252" t="str">
        <f>IF('Lower Extremity-Left'!T97="","",'Lower Extremity-Left'!T97)</f>
        <v/>
      </c>
      <c r="AS21" s="1252" t="str">
        <f>IF(AR21="","",ROUND(AR21,0))</f>
        <v/>
      </c>
      <c r="AT21" s="243">
        <f>IF(AS21="",0,VLOOKUP(AS21,$A$3:$AE$154,11))</f>
        <v>0</v>
      </c>
      <c r="AU21" s="74"/>
      <c r="AV21" s="19"/>
      <c r="AW21" s="19"/>
      <c r="AX21" s="19"/>
      <c r="AY21" s="19"/>
    </row>
    <row r="22" spans="1:51" x14ac:dyDescent="0.2">
      <c r="A22" s="1248">
        <v>19</v>
      </c>
      <c r="B22" s="1255">
        <v>0.16500000000000001</v>
      </c>
      <c r="C22" s="1255">
        <v>0.64</v>
      </c>
      <c r="D22" s="1255">
        <v>0.217</v>
      </c>
      <c r="E22" s="1255">
        <v>0.60699999999999998</v>
      </c>
      <c r="F22" s="1255">
        <v>7.6999999999999999E-2</v>
      </c>
      <c r="G22" s="1255">
        <v>0.83499999999999996</v>
      </c>
      <c r="H22" s="1255">
        <v>0.14699999999999999</v>
      </c>
      <c r="I22" s="1255">
        <v>0.73799999999999999</v>
      </c>
      <c r="J22" s="1255">
        <v>7.6999999999999999E-2</v>
      </c>
      <c r="K22" s="1255">
        <v>0.81399999999999995</v>
      </c>
      <c r="L22" s="1254">
        <v>0.03</v>
      </c>
      <c r="M22" s="749">
        <v>0.01</v>
      </c>
      <c r="N22" s="1255">
        <v>2.1999999999999999E-2</v>
      </c>
      <c r="O22" s="1255">
        <v>0.55600000000000005</v>
      </c>
      <c r="P22" s="1255">
        <v>2E-3</v>
      </c>
      <c r="Q22" s="1255">
        <v>0.59</v>
      </c>
      <c r="R22" s="1255">
        <v>4.0000000000000001E-3</v>
      </c>
      <c r="S22" s="1255">
        <v>0.68</v>
      </c>
      <c r="T22" s="1255">
        <v>7.3999999999999996E-2</v>
      </c>
      <c r="U22" s="1255">
        <v>0.49</v>
      </c>
      <c r="V22" s="1255">
        <v>0.17</v>
      </c>
      <c r="W22" s="1255">
        <v>0.46300000000000002</v>
      </c>
      <c r="X22" s="1255">
        <v>0.59</v>
      </c>
      <c r="Y22" s="1255">
        <v>6.4000000000000001E-2</v>
      </c>
      <c r="Z22" s="1255">
        <v>0.14199999999999999</v>
      </c>
      <c r="AA22" s="1255">
        <v>2.1999999999999999E-2</v>
      </c>
      <c r="AB22" s="1255">
        <v>8.4000000000000005E-2</v>
      </c>
      <c r="AC22" s="1255">
        <v>4.0000000000000001E-3</v>
      </c>
      <c r="AD22" s="1255">
        <v>5.2999999999999999E-2</v>
      </c>
      <c r="AE22" s="1255">
        <v>8.2000000000000003E-2</v>
      </c>
      <c r="AF22" s="111"/>
      <c r="AG22" s="19"/>
      <c r="AH22" s="74"/>
      <c r="AI22" s="74"/>
      <c r="AJ22" s="19"/>
      <c r="AK22" s="74"/>
      <c r="AL22" s="19"/>
      <c r="AM22" s="19"/>
      <c r="AN22" s="19"/>
      <c r="AO22" s="19"/>
      <c r="AP22" s="19"/>
      <c r="AQ22" s="19"/>
      <c r="AR22" s="74"/>
      <c r="AS22" s="74"/>
      <c r="AT22" s="19"/>
      <c r="AU22" s="74"/>
      <c r="AV22" s="19"/>
      <c r="AW22" s="19"/>
      <c r="AX22" s="19"/>
      <c r="AY22" s="19"/>
    </row>
    <row r="23" spans="1:51" x14ac:dyDescent="0.2">
      <c r="A23" s="1248">
        <v>20</v>
      </c>
      <c r="B23" s="1255">
        <v>0.15</v>
      </c>
      <c r="C23" s="1255">
        <v>0.65</v>
      </c>
      <c r="D23" s="1255">
        <v>0.21</v>
      </c>
      <c r="E23" s="1255">
        <v>0.62</v>
      </c>
      <c r="F23" s="1255">
        <v>7.0000000000000007E-2</v>
      </c>
      <c r="G23" s="1255">
        <v>0.85</v>
      </c>
      <c r="H23" s="1255">
        <v>0.14000000000000001</v>
      </c>
      <c r="I23" s="1255">
        <v>0.75</v>
      </c>
      <c r="J23" s="1255">
        <v>7.0000000000000007E-2</v>
      </c>
      <c r="K23" s="1255">
        <v>0.83</v>
      </c>
      <c r="L23" s="1254">
        <v>0.03</v>
      </c>
      <c r="M23" s="749">
        <v>0.01</v>
      </c>
      <c r="N23" s="1255">
        <v>0.02</v>
      </c>
      <c r="O23" s="1255">
        <v>0.56999999999999995</v>
      </c>
      <c r="P23" s="1255">
        <v>0</v>
      </c>
      <c r="Q23" s="1255">
        <v>0.6</v>
      </c>
      <c r="R23" s="1255">
        <v>0</v>
      </c>
      <c r="S23" s="1255">
        <v>0.7</v>
      </c>
      <c r="T23" s="1255">
        <v>7.0000000000000007E-2</v>
      </c>
      <c r="U23" s="1255">
        <v>0.5</v>
      </c>
      <c r="V23" s="1255">
        <v>0.18</v>
      </c>
      <c r="W23" s="1255">
        <v>0.46</v>
      </c>
      <c r="X23" s="1255">
        <v>0.6</v>
      </c>
      <c r="Y23" s="1255">
        <v>7.0000000000000007E-2</v>
      </c>
      <c r="Z23" s="1255">
        <v>0.14000000000000001</v>
      </c>
      <c r="AA23" s="1255">
        <v>0.02</v>
      </c>
      <c r="AB23" s="1255">
        <v>0.08</v>
      </c>
      <c r="AC23" s="1255">
        <v>0</v>
      </c>
      <c r="AD23" s="1255">
        <v>0.05</v>
      </c>
      <c r="AE23" s="1255">
        <v>0.08</v>
      </c>
      <c r="AF23" s="111"/>
      <c r="AG23" s="1254" t="s">
        <v>1428</v>
      </c>
      <c r="AH23" s="74"/>
      <c r="AI23" s="74"/>
      <c r="AJ23" s="19"/>
      <c r="AK23" s="74"/>
      <c r="AL23" s="19"/>
      <c r="AM23" s="19"/>
      <c r="AN23" s="19"/>
      <c r="AO23" s="19"/>
      <c r="AP23" s="19"/>
      <c r="AQ23" s="1254" t="s">
        <v>1428</v>
      </c>
      <c r="AR23" s="74"/>
      <c r="AS23" s="74"/>
      <c r="AT23" s="19"/>
      <c r="AU23" s="74"/>
      <c r="AV23" s="19"/>
      <c r="AW23" s="19"/>
      <c r="AX23" s="19"/>
      <c r="AY23" s="19"/>
    </row>
    <row r="24" spans="1:51" x14ac:dyDescent="0.2">
      <c r="A24" s="1248">
        <v>21</v>
      </c>
      <c r="B24" s="1255">
        <v>0.13500000000000001</v>
      </c>
      <c r="C24" s="1255">
        <v>0.66</v>
      </c>
      <c r="D24" s="1255">
        <v>0.20300000000000001</v>
      </c>
      <c r="E24" s="1255">
        <v>0.63200000000000001</v>
      </c>
      <c r="F24" s="1255">
        <v>6.3E-2</v>
      </c>
      <c r="G24" s="1255">
        <v>0.86499999999999999</v>
      </c>
      <c r="H24" s="1255">
        <v>0.13300000000000001</v>
      </c>
      <c r="I24" s="1255">
        <v>0.76300000000000001</v>
      </c>
      <c r="J24" s="1255">
        <v>6.3E-2</v>
      </c>
      <c r="K24" s="1255">
        <v>0.84699999999999998</v>
      </c>
      <c r="L24" s="1254">
        <v>0.03</v>
      </c>
      <c r="M24" s="749">
        <v>0.01</v>
      </c>
      <c r="N24" s="1255">
        <v>1.7999999999999999E-2</v>
      </c>
      <c r="O24" s="1255">
        <v>0.58299999999999996</v>
      </c>
      <c r="P24" s="684"/>
      <c r="Q24" s="1254"/>
      <c r="R24" s="646"/>
      <c r="S24" s="1254"/>
      <c r="T24" s="1255">
        <v>6.7000000000000004E-2</v>
      </c>
      <c r="U24" s="1255">
        <v>0.51</v>
      </c>
      <c r="V24" s="1255">
        <v>0.19</v>
      </c>
      <c r="W24" s="1255">
        <v>0.45600000000000002</v>
      </c>
      <c r="X24" s="1255">
        <v>0.61</v>
      </c>
      <c r="Y24" s="1255">
        <v>0.08</v>
      </c>
      <c r="Z24" s="1255">
        <v>0.13800000000000001</v>
      </c>
      <c r="AA24" s="1255">
        <v>1.7999999999999999E-2</v>
      </c>
      <c r="AB24" s="1255">
        <v>7.5999999999999998E-2</v>
      </c>
      <c r="AC24" s="1255"/>
      <c r="AD24" s="1255">
        <v>4.8000000000000001E-2</v>
      </c>
      <c r="AE24" s="1255">
        <v>7.6999999999999999E-2</v>
      </c>
      <c r="AF24" s="111"/>
      <c r="AG24" s="1254" t="s">
        <v>1421</v>
      </c>
      <c r="AH24" s="821" t="str">
        <f>IF('Lower Extremity-Right'!T134="","",'Lower Extremity-Right'!T134)</f>
        <v/>
      </c>
      <c r="AI24" s="1252" t="str">
        <f>IF(AH24="","",ROUND(AH24,0))</f>
        <v/>
      </c>
      <c r="AJ24" s="243">
        <f>IF(AI24="",0,VLOOKUP(AI24,$A$3:$AE$154,8))</f>
        <v>0</v>
      </c>
      <c r="AK24" s="74"/>
      <c r="AL24" s="1254" t="s">
        <v>1422</v>
      </c>
      <c r="AM24" s="1252" t="str">
        <f>IF('Lower Extremity-Right'!V134="","",'Lower Extremity-Right'!V134)</f>
        <v/>
      </c>
      <c r="AN24" s="1252" t="str">
        <f>IF(AM24="","",ROUND(AM24,0))</f>
        <v/>
      </c>
      <c r="AO24" s="243">
        <f>IF(AN24="",0,VLOOKUP(AN24,$A$3:$AE$154,8))</f>
        <v>0</v>
      </c>
      <c r="AP24" s="19"/>
      <c r="AQ24" s="1254" t="s">
        <v>1421</v>
      </c>
      <c r="AR24" s="1252" t="str">
        <f>IF('Lower Extremity-Left'!T134="","",'Lower Extremity-Left'!T134)</f>
        <v/>
      </c>
      <c r="AS24" s="1252" t="str">
        <f>IF(AR24="","",ROUND(AR24,0))</f>
        <v/>
      </c>
      <c r="AT24" s="243">
        <f>IF(AS24="",0,VLOOKUP(AS24,$A$3:$AE$154,8))</f>
        <v>0</v>
      </c>
      <c r="AU24" s="74"/>
      <c r="AV24" s="1254" t="s">
        <v>1422</v>
      </c>
      <c r="AW24" s="1252" t="str">
        <f>IF('Lower Extremity-Left'!V134="","",'Lower Extremity-Left'!V134)</f>
        <v/>
      </c>
      <c r="AX24" s="1252" t="str">
        <f>IF(AW24="","",ROUND(AW24,0))</f>
        <v/>
      </c>
      <c r="AY24" s="243">
        <f>IF(AX24="",0,VLOOKUP(AX24,$A$3:$AE$154,8))</f>
        <v>0</v>
      </c>
    </row>
    <row r="25" spans="1:51" x14ac:dyDescent="0.2">
      <c r="A25" s="1248">
        <v>22</v>
      </c>
      <c r="B25" s="1255">
        <v>0.12</v>
      </c>
      <c r="C25" s="1255">
        <v>0.67</v>
      </c>
      <c r="D25" s="1255">
        <v>0.19600000000000001</v>
      </c>
      <c r="E25" s="1255">
        <v>0.64400000000000002</v>
      </c>
      <c r="F25" s="1255">
        <v>5.6000000000000001E-2</v>
      </c>
      <c r="G25" s="1255">
        <v>0.88</v>
      </c>
      <c r="H25" s="1255">
        <v>0.126</v>
      </c>
      <c r="I25" s="1255">
        <v>0.77600000000000002</v>
      </c>
      <c r="J25" s="1255">
        <v>5.6000000000000001E-2</v>
      </c>
      <c r="K25" s="1255">
        <v>0.86399999999999999</v>
      </c>
      <c r="L25" s="1254">
        <v>0.04</v>
      </c>
      <c r="M25" s="749">
        <v>0.01</v>
      </c>
      <c r="N25" s="1255">
        <v>1.6E-2</v>
      </c>
      <c r="O25" s="1255">
        <v>0.59599999999999997</v>
      </c>
      <c r="P25" s="684"/>
      <c r="Q25" s="1254"/>
      <c r="R25" s="646"/>
      <c r="S25" s="1254"/>
      <c r="T25" s="1255">
        <v>6.4000000000000001E-2</v>
      </c>
      <c r="U25" s="1255">
        <v>0.52</v>
      </c>
      <c r="V25" s="1255">
        <v>0.2</v>
      </c>
      <c r="W25" s="1255">
        <v>0.45200000000000001</v>
      </c>
      <c r="X25" s="1255">
        <v>0.62</v>
      </c>
      <c r="Y25" s="1255">
        <v>0.09</v>
      </c>
      <c r="Z25" s="1255">
        <v>0.13600000000000001</v>
      </c>
      <c r="AA25" s="1255">
        <v>1.6E-2</v>
      </c>
      <c r="AB25" s="1255">
        <v>7.1999999999999995E-2</v>
      </c>
      <c r="AC25" s="1255"/>
      <c r="AD25" s="1255">
        <v>4.5999999999999999E-2</v>
      </c>
      <c r="AE25" s="1255">
        <v>7.3999999999999996E-2</v>
      </c>
      <c r="AF25" s="111"/>
      <c r="AG25" s="1254" t="s">
        <v>1423</v>
      </c>
      <c r="AH25" s="821" t="str">
        <f>IF('Lower Extremity-Right'!T135="","",'Lower Extremity-Right'!T135)</f>
        <v/>
      </c>
      <c r="AI25" s="1252" t="str">
        <f>IF(AH25="","",ROUND(AH25,0))</f>
        <v/>
      </c>
      <c r="AJ25" s="243">
        <f>IF(AI25="",0,VLOOKUP(AI25,$A$3:$AE$154,9))</f>
        <v>0</v>
      </c>
      <c r="AK25" s="74"/>
      <c r="AL25" s="19"/>
      <c r="AM25" s="19"/>
      <c r="AN25" s="19"/>
      <c r="AO25" s="19"/>
      <c r="AP25" s="19"/>
      <c r="AQ25" s="1254" t="s">
        <v>1423</v>
      </c>
      <c r="AR25" s="1252" t="str">
        <f>IF('Lower Extremity-Left'!T135="","",'Lower Extremity-Left'!T135)</f>
        <v/>
      </c>
      <c r="AS25" s="1252" t="str">
        <f>IF(AR25="","",ROUND(AR25,0))</f>
        <v/>
      </c>
      <c r="AT25" s="243">
        <f>IF(AS25="",0,VLOOKUP(AS25,$A$3:$AE$154,9))</f>
        <v>0</v>
      </c>
      <c r="AU25" s="74"/>
      <c r="AV25" s="19"/>
      <c r="AW25" s="19"/>
      <c r="AX25" s="19"/>
      <c r="AY25" s="19"/>
    </row>
    <row r="26" spans="1:51" x14ac:dyDescent="0.2">
      <c r="A26" s="1248">
        <v>23</v>
      </c>
      <c r="B26" s="1255">
        <v>0.105</v>
      </c>
      <c r="C26" s="1255">
        <v>0.68</v>
      </c>
      <c r="D26" s="1255">
        <v>0.189</v>
      </c>
      <c r="E26" s="1255">
        <v>0.65600000000000003</v>
      </c>
      <c r="F26" s="1255">
        <v>4.9000000000000002E-2</v>
      </c>
      <c r="G26" s="1255">
        <v>0.89500000000000002</v>
      </c>
      <c r="H26" s="1255">
        <v>0.11899999999999999</v>
      </c>
      <c r="I26" s="1255">
        <v>0.78900000000000003</v>
      </c>
      <c r="J26" s="1255">
        <v>4.9000000000000002E-2</v>
      </c>
      <c r="K26" s="1255">
        <v>0.88100000000000001</v>
      </c>
      <c r="L26" s="1254">
        <v>0.04</v>
      </c>
      <c r="M26" s="749">
        <v>0.01</v>
      </c>
      <c r="N26" s="1255">
        <v>1.4E-2</v>
      </c>
      <c r="O26" s="1261">
        <v>0.60899999999999999</v>
      </c>
      <c r="P26" s="684"/>
      <c r="Q26" s="1254"/>
      <c r="R26" s="646"/>
      <c r="S26" s="1254"/>
      <c r="T26" s="1255">
        <v>6.0999999999999999E-2</v>
      </c>
      <c r="U26" s="1255">
        <v>0.53</v>
      </c>
      <c r="V26" s="1255">
        <v>0.21</v>
      </c>
      <c r="W26" s="1255">
        <v>0.44800000000000001</v>
      </c>
      <c r="X26" s="1255">
        <v>0.63</v>
      </c>
      <c r="Y26" s="1255">
        <v>0.1</v>
      </c>
      <c r="Z26" s="1255">
        <v>0.13400000000000001</v>
      </c>
      <c r="AA26" s="1255">
        <v>1.4E-2</v>
      </c>
      <c r="AB26" s="1255">
        <v>6.8000000000000005E-2</v>
      </c>
      <c r="AC26" s="1255"/>
      <c r="AD26" s="1255">
        <v>4.3999999999999997E-2</v>
      </c>
      <c r="AE26" s="1255">
        <v>7.0999999999999994E-2</v>
      </c>
      <c r="AF26" s="111"/>
      <c r="AG26" s="1254" t="s">
        <v>1424</v>
      </c>
      <c r="AH26" s="821" t="str">
        <f>IF('Lower Extremity-Right'!T136="","",'Lower Extremity-Right'!T136)</f>
        <v/>
      </c>
      <c r="AI26" s="1252" t="str">
        <f>IF(AH26="","",ROUND(AH26,0))</f>
        <v/>
      </c>
      <c r="AJ26" s="243">
        <f>IF(AI26="",0,VLOOKUP(AI26,$A$3:$AE$154,10))</f>
        <v>0</v>
      </c>
      <c r="AK26" s="74"/>
      <c r="AL26" s="1254" t="s">
        <v>1422</v>
      </c>
      <c r="AM26" s="1252" t="str">
        <f>IF('Lower Extremity-Right'!V136="","",'Lower Extremity-Right'!V136)</f>
        <v/>
      </c>
      <c r="AN26" s="1252" t="str">
        <f>IF(AM26="","",ROUND(AM26,0))</f>
        <v/>
      </c>
      <c r="AO26" s="243">
        <f>IF(AN26="",0,VLOOKUP(AN26,$A$3:$AE$154,10))</f>
        <v>0</v>
      </c>
      <c r="AP26" s="19"/>
      <c r="AQ26" s="1254" t="s">
        <v>1424</v>
      </c>
      <c r="AR26" s="1252" t="str">
        <f>IF('Lower Extremity-Left'!T136="","",'Lower Extremity-Left'!T136)</f>
        <v/>
      </c>
      <c r="AS26" s="1252" t="str">
        <f>IF(AR26="","",ROUND(AR26,0))</f>
        <v/>
      </c>
      <c r="AT26" s="243">
        <f>IF(AS26="",0,VLOOKUP(AS26,$A$3:$AE$154,10))</f>
        <v>0</v>
      </c>
      <c r="AU26" s="74"/>
      <c r="AV26" s="1254" t="s">
        <v>1422</v>
      </c>
      <c r="AW26" s="1252" t="str">
        <f>IF('Lower Extremity-Left'!V136="","",'Lower Extremity-Left'!V136)</f>
        <v/>
      </c>
      <c r="AX26" s="1252" t="str">
        <f>IF(AW26="","",ROUND(AW26,0))</f>
        <v/>
      </c>
      <c r="AY26" s="243">
        <f>IF(AX26="",0,VLOOKUP(AX26,$A$3:$AE$154,10))</f>
        <v>0</v>
      </c>
    </row>
    <row r="27" spans="1:51" x14ac:dyDescent="0.2">
      <c r="A27" s="1248">
        <v>24</v>
      </c>
      <c r="B27" s="1255">
        <v>0.09</v>
      </c>
      <c r="C27" s="1255">
        <v>0.69</v>
      </c>
      <c r="D27" s="1255">
        <v>0.182</v>
      </c>
      <c r="E27" s="1255">
        <v>0.66800000000000004</v>
      </c>
      <c r="F27" s="1255">
        <v>4.2000000000000003E-2</v>
      </c>
      <c r="G27" s="1255">
        <v>0.91</v>
      </c>
      <c r="H27" s="1255">
        <v>0.112</v>
      </c>
      <c r="I27" s="1255">
        <v>0.80200000000000005</v>
      </c>
      <c r="J27" s="1255">
        <v>4.2000000000000003E-2</v>
      </c>
      <c r="K27" s="1255">
        <v>0.89800000000000002</v>
      </c>
      <c r="L27" s="1254">
        <v>0.04</v>
      </c>
      <c r="M27" s="749">
        <v>0.01</v>
      </c>
      <c r="N27" s="1255">
        <v>1.2E-2</v>
      </c>
      <c r="O27" s="1255">
        <v>0.622</v>
      </c>
      <c r="P27" s="684"/>
      <c r="Q27" s="1254"/>
      <c r="R27" s="646"/>
      <c r="S27" s="1254"/>
      <c r="T27" s="1255">
        <v>5.8000000000000003E-2</v>
      </c>
      <c r="U27" s="1255">
        <v>0.54</v>
      </c>
      <c r="V27" s="1255">
        <v>0.22</v>
      </c>
      <c r="W27" s="1255">
        <v>0.44400000000000001</v>
      </c>
      <c r="X27" s="1255">
        <v>0.64</v>
      </c>
      <c r="Y27" s="1255">
        <v>0.11</v>
      </c>
      <c r="Z27" s="1255">
        <v>0.13200000000000001</v>
      </c>
      <c r="AA27" s="1255">
        <v>1.2E-2</v>
      </c>
      <c r="AB27" s="1255">
        <v>6.4000000000000001E-2</v>
      </c>
      <c r="AC27" s="1255"/>
      <c r="AD27" s="1255">
        <v>4.2000000000000003E-2</v>
      </c>
      <c r="AE27" s="1255">
        <v>6.8000000000000005E-2</v>
      </c>
      <c r="AF27" s="111"/>
      <c r="AG27" s="1254" t="s">
        <v>1425</v>
      </c>
      <c r="AH27" s="821" t="str">
        <f>IF('Lower Extremity-Right'!T137="","",'Lower Extremity-Right'!T137)</f>
        <v/>
      </c>
      <c r="AI27" s="1252" t="str">
        <f>IF(AH27="","",ROUND(AH27,0))</f>
        <v/>
      </c>
      <c r="AJ27" s="243">
        <f>IF(AI27="",0,VLOOKUP(AI27,$A$3:$AE$154,11))</f>
        <v>0</v>
      </c>
      <c r="AK27" s="74"/>
      <c r="AL27" s="19"/>
      <c r="AM27" s="19"/>
      <c r="AN27" s="19"/>
      <c r="AO27" s="19"/>
      <c r="AP27" s="19"/>
      <c r="AQ27" s="1254" t="s">
        <v>1425</v>
      </c>
      <c r="AR27" s="1252" t="str">
        <f>IF('Lower Extremity-Left'!T137="","",'Lower Extremity-Left'!T137)</f>
        <v/>
      </c>
      <c r="AS27" s="1252" t="str">
        <f>IF(AR27="","",ROUND(AR27,0))</f>
        <v/>
      </c>
      <c r="AT27" s="243">
        <f>IF(AS27="",0,VLOOKUP(AS27,$A$3:$AE$154,11))</f>
        <v>0</v>
      </c>
      <c r="AU27" s="74"/>
      <c r="AV27" s="19"/>
      <c r="AW27" s="19"/>
      <c r="AX27" s="19"/>
      <c r="AY27" s="19"/>
    </row>
    <row r="28" spans="1:51" x14ac:dyDescent="0.2">
      <c r="A28" s="1248">
        <v>25</v>
      </c>
      <c r="B28" s="1255">
        <v>7.4999999999999997E-2</v>
      </c>
      <c r="C28" s="1255">
        <v>0.7</v>
      </c>
      <c r="D28" s="1255">
        <v>0.17499999999999999</v>
      </c>
      <c r="E28" s="1255">
        <v>0.67</v>
      </c>
      <c r="F28" s="1255">
        <v>3.5000000000000003E-2</v>
      </c>
      <c r="G28" s="1255">
        <v>0.92500000000000004</v>
      </c>
      <c r="H28" s="1255">
        <v>0.105</v>
      </c>
      <c r="I28" s="1255">
        <v>0.81499999999999995</v>
      </c>
      <c r="J28" s="1255">
        <v>3.5000000000000003E-2</v>
      </c>
      <c r="K28" s="1255">
        <v>0.91500000000000004</v>
      </c>
      <c r="L28" s="1254">
        <v>0.04</v>
      </c>
      <c r="M28" s="749">
        <v>0.01</v>
      </c>
      <c r="N28" s="1255">
        <v>0.01</v>
      </c>
      <c r="O28" s="1255">
        <v>0.63500000000000001</v>
      </c>
      <c r="P28" s="684"/>
      <c r="Q28" s="1254"/>
      <c r="R28" s="646"/>
      <c r="S28" s="1254"/>
      <c r="T28" s="1255">
        <v>5.5E-2</v>
      </c>
      <c r="U28" s="1255">
        <v>0.55000000000000004</v>
      </c>
      <c r="V28" s="1255">
        <v>0.23</v>
      </c>
      <c r="W28" s="1255">
        <v>0.44</v>
      </c>
      <c r="X28" s="1255">
        <v>0.65</v>
      </c>
      <c r="Y28" s="1255">
        <v>0.12</v>
      </c>
      <c r="Z28" s="1261">
        <v>0.13</v>
      </c>
      <c r="AA28" s="1255">
        <v>0.01</v>
      </c>
      <c r="AB28" s="1255">
        <v>0.06</v>
      </c>
      <c r="AC28" s="1255"/>
      <c r="AD28" s="1255">
        <v>0.04</v>
      </c>
      <c r="AE28" s="1255">
        <v>6.5000000000000002E-2</v>
      </c>
      <c r="AF28" s="111"/>
      <c r="AG28" s="19"/>
      <c r="AH28" s="74"/>
      <c r="AI28" s="74"/>
      <c r="AJ28" s="19"/>
      <c r="AK28" s="74"/>
      <c r="AL28" s="19"/>
      <c r="AM28" s="19"/>
      <c r="AN28" s="19"/>
      <c r="AO28" s="19"/>
      <c r="AP28" s="19"/>
      <c r="AQ28" s="19"/>
      <c r="AR28" s="74"/>
      <c r="AS28" s="74"/>
      <c r="AT28" s="19"/>
      <c r="AU28" s="74"/>
      <c r="AV28" s="19"/>
      <c r="AW28" s="19"/>
      <c r="AX28" s="19"/>
      <c r="AY28" s="19"/>
    </row>
    <row r="29" spans="1:51" x14ac:dyDescent="0.2">
      <c r="A29" s="1248">
        <v>26</v>
      </c>
      <c r="B29" s="1255">
        <v>0.06</v>
      </c>
      <c r="C29" s="1255">
        <v>0.71</v>
      </c>
      <c r="D29" s="1255">
        <v>0.16800000000000001</v>
      </c>
      <c r="E29" s="1255">
        <v>0.69199999999999995</v>
      </c>
      <c r="F29" s="1255">
        <v>2.8000000000000001E-2</v>
      </c>
      <c r="G29" s="1255">
        <v>0.94</v>
      </c>
      <c r="H29" s="1255">
        <v>9.8000000000000004E-2</v>
      </c>
      <c r="I29" s="1255">
        <v>0.82799999999999996</v>
      </c>
      <c r="J29" s="1255">
        <v>2.8000000000000001E-2</v>
      </c>
      <c r="K29" s="1255">
        <v>0.93200000000000005</v>
      </c>
      <c r="L29" s="1254">
        <v>0.04</v>
      </c>
      <c r="M29" s="749">
        <v>0.01</v>
      </c>
      <c r="N29" s="1255">
        <v>8.0000000000000002E-3</v>
      </c>
      <c r="O29" s="1255">
        <v>0.64800000000000002</v>
      </c>
      <c r="P29" s="684"/>
      <c r="Q29" s="1254"/>
      <c r="R29" s="646"/>
      <c r="S29" s="1254"/>
      <c r="T29" s="1255">
        <v>5.1999999999999998E-2</v>
      </c>
      <c r="U29" s="1255">
        <v>0.56000000000000005</v>
      </c>
      <c r="V29" s="1255">
        <v>0.23</v>
      </c>
      <c r="W29" s="1255">
        <v>0.436</v>
      </c>
      <c r="X29" s="1255">
        <v>0.66</v>
      </c>
      <c r="Y29" s="1255">
        <v>0.13</v>
      </c>
      <c r="Z29" s="1255">
        <v>0.128</v>
      </c>
      <c r="AA29" s="1255">
        <v>8.0000000000000002E-3</v>
      </c>
      <c r="AB29" s="1255">
        <v>5.6000000000000001E-2</v>
      </c>
      <c r="AC29" s="1255"/>
      <c r="AD29" s="1255">
        <v>3.7999999999999999E-2</v>
      </c>
      <c r="AE29" s="1255">
        <v>6.2E-2</v>
      </c>
      <c r="AF29" s="111"/>
      <c r="AG29" s="1254" t="s">
        <v>1429</v>
      </c>
      <c r="AH29" s="74"/>
      <c r="AI29" s="74"/>
      <c r="AJ29" s="19"/>
      <c r="AK29" s="74"/>
      <c r="AL29" s="19"/>
      <c r="AM29" s="19"/>
      <c r="AN29" s="19"/>
      <c r="AO29" s="19"/>
      <c r="AP29" s="19"/>
      <c r="AQ29" s="1254" t="s">
        <v>1429</v>
      </c>
      <c r="AR29" s="74"/>
      <c r="AS29" s="74"/>
      <c r="AT29" s="19"/>
      <c r="AU29" s="74"/>
      <c r="AV29" s="19"/>
      <c r="AW29" s="19"/>
      <c r="AX29" s="19"/>
      <c r="AY29" s="19"/>
    </row>
    <row r="30" spans="1:51" x14ac:dyDescent="0.2">
      <c r="A30" s="1248">
        <v>27</v>
      </c>
      <c r="B30" s="1255">
        <v>4.4999999999999998E-2</v>
      </c>
      <c r="C30" s="1255">
        <v>0.72</v>
      </c>
      <c r="D30" s="1255">
        <v>0.161</v>
      </c>
      <c r="E30" s="1255">
        <v>0.70399999999999996</v>
      </c>
      <c r="F30" s="1255">
        <v>2.1000000000000001E-2</v>
      </c>
      <c r="G30" s="1255">
        <v>0.95499999999999996</v>
      </c>
      <c r="H30" s="1255">
        <v>9.0999999999999998E-2</v>
      </c>
      <c r="I30" s="1255">
        <v>0.84099999999999997</v>
      </c>
      <c r="J30" s="1255">
        <v>2.1000000000000001E-2</v>
      </c>
      <c r="K30" s="1255">
        <v>0.94899999999999995</v>
      </c>
      <c r="L30" s="1254">
        <v>0.04</v>
      </c>
      <c r="M30" s="749">
        <v>0.01</v>
      </c>
      <c r="N30" s="1255">
        <v>6.0000000000000001E-3</v>
      </c>
      <c r="O30" s="1255">
        <v>0.66100000000000003</v>
      </c>
      <c r="P30" s="684"/>
      <c r="Q30" s="1254"/>
      <c r="R30" s="646"/>
      <c r="S30" s="1254"/>
      <c r="T30" s="1255">
        <v>4.9000000000000002E-2</v>
      </c>
      <c r="U30" s="1255">
        <v>0.56999999999999995</v>
      </c>
      <c r="V30" s="1255">
        <v>0.24</v>
      </c>
      <c r="W30" s="1255">
        <v>0.432</v>
      </c>
      <c r="X30" s="1255">
        <v>0.67</v>
      </c>
      <c r="Y30" s="1255">
        <v>0.14000000000000001</v>
      </c>
      <c r="Z30" s="1255">
        <v>0.126</v>
      </c>
      <c r="AA30" s="1255">
        <v>6.0000000000000001E-3</v>
      </c>
      <c r="AB30" s="1255">
        <v>5.1999999999999998E-2</v>
      </c>
      <c r="AC30" s="1255"/>
      <c r="AD30" s="1255">
        <v>3.5999999999999997E-2</v>
      </c>
      <c r="AE30" s="1255">
        <v>5.8999999999999997E-2</v>
      </c>
      <c r="AF30" s="111"/>
      <c r="AG30" s="1254" t="s">
        <v>1421</v>
      </c>
      <c r="AH30" s="821" t="str">
        <f>IF('Lower Extremity-Right'!T174="","",'Lower Extremity-Right'!T174)</f>
        <v/>
      </c>
      <c r="AI30" s="1252" t="str">
        <f>IF(AH30="","",ROUND(AH30,0))</f>
        <v/>
      </c>
      <c r="AJ30" s="243">
        <f>IF(AI30="",0,VLOOKUP(AI30,$A$3:$AE$154,8))</f>
        <v>0</v>
      </c>
      <c r="AK30" s="74"/>
      <c r="AL30" s="1254" t="s">
        <v>1422</v>
      </c>
      <c r="AM30" s="1252" t="str">
        <f>IF('Lower Extremity-Right'!V174="","",'Lower Extremity-Right'!V174)</f>
        <v/>
      </c>
      <c r="AN30" s="1252" t="str">
        <f>IF(AM30="","",ROUND(AM30,0))</f>
        <v/>
      </c>
      <c r="AO30" s="243">
        <f>IF(AN30="",0,VLOOKUP(AN30,$A$3:$AE$154,8))</f>
        <v>0</v>
      </c>
      <c r="AP30" s="19"/>
      <c r="AQ30" s="1251" t="s">
        <v>1421</v>
      </c>
      <c r="AR30" s="1252" t="str">
        <f>IF('Lower Extremity-Left'!T174="","",'Lower Extremity-Left'!T174)</f>
        <v/>
      </c>
      <c r="AS30" s="1252" t="str">
        <f>IF(AR30="","",ROUND(AR30,0))</f>
        <v/>
      </c>
      <c r="AT30" s="243">
        <f>IF(AS30="",0,VLOOKUP(AS30,$A$3:$AE$154,8))</f>
        <v>0</v>
      </c>
      <c r="AU30" s="74"/>
      <c r="AV30" s="1254" t="s">
        <v>1422</v>
      </c>
      <c r="AW30" s="1252" t="str">
        <f>IF('Lower Extremity-Left'!V174="","",'Lower Extremity-Left'!V174)</f>
        <v/>
      </c>
      <c r="AX30" s="1252" t="str">
        <f>IF(AW30="","",ROUND(AW30,0))</f>
        <v/>
      </c>
      <c r="AY30" s="243">
        <f>IF(AX30="",0,VLOOKUP(AX30,$A$3:$AE$154,8))</f>
        <v>0</v>
      </c>
    </row>
    <row r="31" spans="1:51" x14ac:dyDescent="0.2">
      <c r="A31" s="1248">
        <v>28</v>
      </c>
      <c r="B31" s="1255">
        <v>0.03</v>
      </c>
      <c r="C31" s="1255">
        <v>0.73</v>
      </c>
      <c r="D31" s="1255">
        <v>0.154</v>
      </c>
      <c r="E31" s="1255">
        <v>0.71599999999999997</v>
      </c>
      <c r="F31" s="1255">
        <v>1.4E-2</v>
      </c>
      <c r="G31" s="1255">
        <v>0.97</v>
      </c>
      <c r="H31" s="1255">
        <v>8.4000000000000005E-2</v>
      </c>
      <c r="I31" s="1255">
        <v>0.85399999999999998</v>
      </c>
      <c r="J31" s="1255">
        <v>1.4E-2</v>
      </c>
      <c r="K31" s="1255">
        <v>0.96599999999999997</v>
      </c>
      <c r="L31" s="1254">
        <v>0.04</v>
      </c>
      <c r="M31" s="749">
        <v>0.01</v>
      </c>
      <c r="N31" s="1255">
        <v>4.0000000000000001E-3</v>
      </c>
      <c r="O31" s="1255">
        <v>0.67400000000000004</v>
      </c>
      <c r="P31" s="684"/>
      <c r="Q31" s="1254"/>
      <c r="R31" s="646"/>
      <c r="S31" s="1254"/>
      <c r="T31" s="1255">
        <v>4.5999999999999999E-2</v>
      </c>
      <c r="U31" s="1255">
        <v>0.57999999999999996</v>
      </c>
      <c r="V31" s="1255">
        <v>0.25</v>
      </c>
      <c r="W31" s="1255">
        <v>0.42799999999999999</v>
      </c>
      <c r="X31" s="1255">
        <v>0.68</v>
      </c>
      <c r="Y31" s="1255">
        <v>0.15</v>
      </c>
      <c r="Z31" s="1255">
        <v>0.124</v>
      </c>
      <c r="AA31" s="1255">
        <v>4.0000000000000001E-3</v>
      </c>
      <c r="AB31" s="1255">
        <v>4.8000000000000001E-2</v>
      </c>
      <c r="AC31" s="1255"/>
      <c r="AD31" s="1255">
        <v>3.4000000000000002E-2</v>
      </c>
      <c r="AE31" s="1255">
        <v>5.6000000000000001E-2</v>
      </c>
      <c r="AF31" s="111"/>
      <c r="AG31" s="1254" t="s">
        <v>1423</v>
      </c>
      <c r="AH31" s="821" t="str">
        <f>IF('Lower Extremity-Right'!T175="","",'Lower Extremity-Right'!T175)</f>
        <v/>
      </c>
      <c r="AI31" s="1252" t="str">
        <f>IF(AH31="","",ROUND(AH31,0))</f>
        <v/>
      </c>
      <c r="AJ31" s="243">
        <f>IF(AI31="",0,VLOOKUP(AI31,$A$3:$AE$154,9))</f>
        <v>0</v>
      </c>
      <c r="AK31" s="74"/>
      <c r="AL31" s="19"/>
      <c r="AM31" s="19"/>
      <c r="AN31" s="19"/>
      <c r="AO31" s="19"/>
      <c r="AP31" s="19"/>
      <c r="AQ31" s="1251" t="s">
        <v>1423</v>
      </c>
      <c r="AR31" s="1252" t="str">
        <f>IF('Lower Extremity-Left'!T175="","",'Lower Extremity-Left'!T175)</f>
        <v/>
      </c>
      <c r="AS31" s="1252" t="str">
        <f>IF(AR31="","",ROUND(AR31,0))</f>
        <v/>
      </c>
      <c r="AT31" s="243">
        <f>IF(AS31="",0,VLOOKUP(AS31,$A$3:$AE$154,9))</f>
        <v>0</v>
      </c>
      <c r="AU31" s="74"/>
      <c r="AV31" s="19"/>
      <c r="AW31" s="19"/>
      <c r="AX31" s="19"/>
      <c r="AY31" s="19"/>
    </row>
    <row r="32" spans="1:51" x14ac:dyDescent="0.2">
      <c r="A32" s="1248">
        <v>29</v>
      </c>
      <c r="B32" s="1255">
        <v>1.4999999999999999E-2</v>
      </c>
      <c r="C32" s="1255">
        <v>0.74</v>
      </c>
      <c r="D32" s="1255">
        <v>0.14699999999999999</v>
      </c>
      <c r="E32" s="1255">
        <v>0.72799999999999998</v>
      </c>
      <c r="F32" s="1255">
        <v>7.0000000000000001E-3</v>
      </c>
      <c r="G32" s="1255">
        <v>0.98499999999999999</v>
      </c>
      <c r="H32" s="1255">
        <v>7.6999999999999999E-2</v>
      </c>
      <c r="I32" s="1255">
        <v>0.86699999999999999</v>
      </c>
      <c r="J32" s="1255">
        <v>7.0000000000000001E-3</v>
      </c>
      <c r="K32" s="1255">
        <v>0.98299999999999998</v>
      </c>
      <c r="L32" s="1254">
        <v>0.05</v>
      </c>
      <c r="M32" s="749">
        <v>0.01</v>
      </c>
      <c r="N32" s="1255">
        <v>2E-3</v>
      </c>
      <c r="O32" s="1255">
        <v>0.68700000000000006</v>
      </c>
      <c r="P32" s="684"/>
      <c r="Q32" s="1254"/>
      <c r="R32" s="646"/>
      <c r="S32" s="1254"/>
      <c r="T32" s="1255">
        <v>4.2999999999999997E-2</v>
      </c>
      <c r="U32" s="1255">
        <v>0.59</v>
      </c>
      <c r="V32" s="1255">
        <v>0.26</v>
      </c>
      <c r="W32" s="1255">
        <v>0.42399999999999999</v>
      </c>
      <c r="X32" s="1255">
        <v>0.69</v>
      </c>
      <c r="Y32" s="1255">
        <v>0.16</v>
      </c>
      <c r="Z32" s="1255">
        <v>0.122</v>
      </c>
      <c r="AA32" s="1255">
        <v>2E-3</v>
      </c>
      <c r="AB32" s="1255">
        <v>4.3999999999999997E-2</v>
      </c>
      <c r="AC32" s="1255"/>
      <c r="AD32" s="1255">
        <v>3.2000000000000001E-2</v>
      </c>
      <c r="AE32" s="1255">
        <v>5.2999999999999999E-2</v>
      </c>
      <c r="AF32" s="111"/>
      <c r="AG32" s="1254" t="s">
        <v>1424</v>
      </c>
      <c r="AH32" s="821" t="str">
        <f>IF('Lower Extremity-Right'!T176="","",'Lower Extremity-Right'!T176)</f>
        <v/>
      </c>
      <c r="AI32" s="1252" t="str">
        <f>IF(AH32="","",ROUND(AH32,0))</f>
        <v/>
      </c>
      <c r="AJ32" s="243">
        <f>IF(AI32="",0,VLOOKUP(AI32,$A$3:$AE$154,10))</f>
        <v>0</v>
      </c>
      <c r="AK32" s="74"/>
      <c r="AL32" s="1254" t="s">
        <v>1422</v>
      </c>
      <c r="AM32" s="1252" t="str">
        <f>IF('Lower Extremity-Right'!V176="","",'Lower Extremity-Right'!V176)</f>
        <v/>
      </c>
      <c r="AN32" s="1252" t="str">
        <f>IF(AM32="","",ROUND(AM32,0))</f>
        <v/>
      </c>
      <c r="AO32" s="243">
        <f>IF(AN32="",0,VLOOKUP(AN32,$A$3:$AE$154,10))</f>
        <v>0</v>
      </c>
      <c r="AP32" s="19"/>
      <c r="AQ32" s="1251" t="s">
        <v>1424</v>
      </c>
      <c r="AR32" s="1252" t="str">
        <f>IF('Lower Extremity-Left'!T176="","",'Lower Extremity-Left'!T176)</f>
        <v/>
      </c>
      <c r="AS32" s="1252" t="str">
        <f>IF(AR32="","",ROUND(AR32,0))</f>
        <v/>
      </c>
      <c r="AT32" s="243">
        <f>IF(AS32="",0,VLOOKUP(AS32,$A$3:$AE$154,10))</f>
        <v>0</v>
      </c>
      <c r="AU32" s="74"/>
      <c r="AV32" s="1254" t="s">
        <v>1422</v>
      </c>
      <c r="AW32" s="1252" t="str">
        <f>IF('Lower Extremity-Left'!V176="","",'Lower Extremity-Left'!V176)</f>
        <v/>
      </c>
      <c r="AX32" s="1252" t="str">
        <f>IF(AW32="","",ROUND(AW32,0))</f>
        <v/>
      </c>
      <c r="AY32" s="243">
        <f>IF(AX32="",0,VLOOKUP(AX32,$A$3:$AE$154,10))</f>
        <v>0</v>
      </c>
    </row>
    <row r="33" spans="1:51" x14ac:dyDescent="0.2">
      <c r="A33" s="1248">
        <v>30</v>
      </c>
      <c r="B33" s="1255">
        <v>0</v>
      </c>
      <c r="C33" s="1255">
        <v>0.75</v>
      </c>
      <c r="D33" s="1255">
        <v>0.14000000000000001</v>
      </c>
      <c r="E33" s="1255">
        <v>0.74</v>
      </c>
      <c r="F33" s="1255">
        <v>0</v>
      </c>
      <c r="G33" s="1255">
        <v>1</v>
      </c>
      <c r="H33" s="1255">
        <v>7.0000000000000007E-2</v>
      </c>
      <c r="I33" s="1255">
        <v>0.88</v>
      </c>
      <c r="J33" s="1255">
        <v>0</v>
      </c>
      <c r="K33" s="1255">
        <v>1</v>
      </c>
      <c r="L33" s="1254">
        <v>0.05</v>
      </c>
      <c r="M33" s="749">
        <v>0.01</v>
      </c>
      <c r="N33" s="1255">
        <v>0</v>
      </c>
      <c r="O33" s="1255">
        <v>0.7</v>
      </c>
      <c r="P33" s="684"/>
      <c r="Q33" s="1254"/>
      <c r="R33" s="646"/>
      <c r="S33" s="1254"/>
      <c r="T33" s="1255">
        <v>0.04</v>
      </c>
      <c r="U33" s="1255">
        <v>0.6</v>
      </c>
      <c r="V33" s="1255">
        <v>0.27</v>
      </c>
      <c r="W33" s="1255">
        <v>0.42</v>
      </c>
      <c r="X33" s="1255">
        <v>0.7</v>
      </c>
      <c r="Y33" s="1255">
        <v>0.17</v>
      </c>
      <c r="Z33" s="1255">
        <v>0.12</v>
      </c>
      <c r="AA33" s="1255">
        <v>0</v>
      </c>
      <c r="AB33" s="1255">
        <v>0.04</v>
      </c>
      <c r="AC33" s="1255"/>
      <c r="AD33" s="1255">
        <v>0.03</v>
      </c>
      <c r="AE33" s="1255">
        <v>0.05</v>
      </c>
      <c r="AF33" s="111"/>
      <c r="AG33" s="1254" t="s">
        <v>1425</v>
      </c>
      <c r="AH33" s="821" t="str">
        <f>IF('Lower Extremity-Right'!T177="","",'Lower Extremity-Right'!T177)</f>
        <v/>
      </c>
      <c r="AI33" s="1252" t="str">
        <f>IF(AH33="","",ROUND(AH33,0))</f>
        <v/>
      </c>
      <c r="AJ33" s="243">
        <f>IF(AI33="",0,VLOOKUP(AI33,$A$3:$AE$154,11))</f>
        <v>0</v>
      </c>
      <c r="AK33" s="74"/>
      <c r="AL33" s="19"/>
      <c r="AM33" s="19"/>
      <c r="AN33" s="19"/>
      <c r="AO33" s="19"/>
      <c r="AP33" s="19"/>
      <c r="AQ33" s="19" t="s">
        <v>1425</v>
      </c>
      <c r="AR33" s="1252" t="str">
        <f>IF('Lower Extremity-Left'!T177="","",'Lower Extremity-Left'!T177)</f>
        <v/>
      </c>
      <c r="AS33" s="1252" t="str">
        <f>IF(AR33="","",ROUND(AR33,0))</f>
        <v/>
      </c>
      <c r="AT33" s="243">
        <f>IF(AS33="",0,VLOOKUP(AS33,$A$3:$AE$154,11))</f>
        <v>0</v>
      </c>
      <c r="AU33" s="74"/>
      <c r="AV33" s="19"/>
      <c r="AW33" s="19"/>
      <c r="AX33" s="19"/>
      <c r="AY33" s="19"/>
    </row>
    <row r="34" spans="1:51" x14ac:dyDescent="0.2">
      <c r="A34" s="1248">
        <v>31</v>
      </c>
      <c r="B34" s="684"/>
      <c r="C34" s="684"/>
      <c r="D34" s="1255">
        <v>0.13300000000000001</v>
      </c>
      <c r="E34" s="1255">
        <v>0.753</v>
      </c>
      <c r="F34" s="684"/>
      <c r="G34" s="684"/>
      <c r="H34" s="1255">
        <v>6.3E-2</v>
      </c>
      <c r="I34" s="1255">
        <v>0.89200000000000002</v>
      </c>
      <c r="J34" s="684"/>
      <c r="K34" s="1255"/>
      <c r="L34" s="1254">
        <v>0.05</v>
      </c>
      <c r="M34" s="749">
        <v>0.01</v>
      </c>
      <c r="N34" s="684"/>
      <c r="O34" s="684"/>
      <c r="P34" s="684"/>
      <c r="Q34" s="1254"/>
      <c r="R34" s="646"/>
      <c r="S34" s="1254"/>
      <c r="T34" s="1255">
        <v>3.5999999999999997E-2</v>
      </c>
      <c r="U34" s="1255">
        <v>0.61</v>
      </c>
      <c r="V34" s="1255">
        <v>0.28000000000000003</v>
      </c>
      <c r="W34" s="1255">
        <v>0.41699999999999998</v>
      </c>
      <c r="X34" s="1255">
        <v>0.71</v>
      </c>
      <c r="Y34" s="1255">
        <v>0.18</v>
      </c>
      <c r="Z34" s="1255">
        <v>0.11899999999999999</v>
      </c>
      <c r="AA34" s="1255"/>
      <c r="AB34" s="1255">
        <v>3.5999999999999997E-2</v>
      </c>
      <c r="AC34" s="1255"/>
      <c r="AD34" s="1255">
        <v>2.7E-2</v>
      </c>
      <c r="AE34" s="1255">
        <v>4.8000000000000001E-2</v>
      </c>
      <c r="AF34" s="111"/>
      <c r="AG34" s="19"/>
      <c r="AH34" s="74"/>
      <c r="AI34" s="74"/>
      <c r="AJ34" s="19"/>
      <c r="AK34" s="74"/>
      <c r="AL34" s="19"/>
      <c r="AM34" s="19"/>
      <c r="AN34" s="19"/>
      <c r="AO34" s="19"/>
      <c r="AP34" s="19"/>
      <c r="AQ34" s="19"/>
      <c r="AR34" s="74"/>
      <c r="AS34" s="74"/>
      <c r="AT34" s="19"/>
      <c r="AU34" s="74"/>
      <c r="AV34" s="19"/>
      <c r="AW34" s="19"/>
      <c r="AX34" s="19"/>
      <c r="AY34" s="19"/>
    </row>
    <row r="35" spans="1:51" x14ac:dyDescent="0.2">
      <c r="A35" s="1248">
        <v>32</v>
      </c>
      <c r="B35" s="684"/>
      <c r="C35" s="684"/>
      <c r="D35" s="1255">
        <v>0.126</v>
      </c>
      <c r="E35" s="1255">
        <v>0.76600000000000001</v>
      </c>
      <c r="F35" s="684"/>
      <c r="G35" s="684"/>
      <c r="H35" s="1255">
        <v>5.6000000000000001E-2</v>
      </c>
      <c r="I35" s="1255">
        <v>0.90400000000000003</v>
      </c>
      <c r="J35" s="684"/>
      <c r="K35" s="1255"/>
      <c r="L35" s="1254">
        <v>0.05</v>
      </c>
      <c r="M35" s="749">
        <v>0.01</v>
      </c>
      <c r="N35" s="684"/>
      <c r="O35" s="684"/>
      <c r="P35" s="684"/>
      <c r="Q35" s="1254"/>
      <c r="R35" s="646"/>
      <c r="S35" s="1254"/>
      <c r="T35" s="1255">
        <v>3.2000000000000001E-2</v>
      </c>
      <c r="U35" s="1255">
        <v>0.62</v>
      </c>
      <c r="V35" s="1255">
        <v>0.28999999999999998</v>
      </c>
      <c r="W35" s="1255">
        <v>0.41399999999999998</v>
      </c>
      <c r="X35" s="1255">
        <v>0.72</v>
      </c>
      <c r="Y35" s="1255">
        <v>0.19</v>
      </c>
      <c r="Z35" s="1255">
        <v>0.11799999999999999</v>
      </c>
      <c r="AA35" s="1255"/>
      <c r="AB35" s="1255">
        <v>3.2000000000000001E-2</v>
      </c>
      <c r="AC35" s="1255"/>
      <c r="AD35" s="1255">
        <v>2.4E-2</v>
      </c>
      <c r="AE35" s="1255">
        <v>4.5999999999999999E-2</v>
      </c>
      <c r="AF35" s="111"/>
      <c r="AG35" s="1254" t="s">
        <v>671</v>
      </c>
      <c r="AH35" s="74"/>
      <c r="AI35" s="74"/>
      <c r="AJ35" s="19"/>
      <c r="AK35" s="74"/>
      <c r="AL35" s="19"/>
      <c r="AM35" s="19"/>
      <c r="AN35" s="19"/>
      <c r="AO35" s="19"/>
      <c r="AP35" s="19"/>
      <c r="AQ35" s="1254" t="s">
        <v>671</v>
      </c>
      <c r="AR35" s="74"/>
      <c r="AS35" s="74"/>
      <c r="AT35" s="19"/>
      <c r="AU35" s="74"/>
      <c r="AV35" s="19"/>
      <c r="AW35" s="19"/>
      <c r="AX35" s="19"/>
      <c r="AY35" s="19"/>
    </row>
    <row r="36" spans="1:51" x14ac:dyDescent="0.2">
      <c r="A36" s="1248">
        <v>33</v>
      </c>
      <c r="B36" s="684"/>
      <c r="C36" s="684"/>
      <c r="D36" s="1255">
        <v>0.11899999999999999</v>
      </c>
      <c r="E36" s="1255">
        <v>0.77900000000000003</v>
      </c>
      <c r="F36" s="684"/>
      <c r="G36" s="684"/>
      <c r="H36" s="1255">
        <v>4.9000000000000002E-2</v>
      </c>
      <c r="I36" s="1255">
        <v>0.91600000000000004</v>
      </c>
      <c r="J36" s="684"/>
      <c r="K36" s="1255"/>
      <c r="L36" s="1254">
        <v>0.05</v>
      </c>
      <c r="M36" s="749">
        <v>0.01</v>
      </c>
      <c r="N36" s="684"/>
      <c r="O36" s="684"/>
      <c r="P36" s="684"/>
      <c r="Q36" s="1254"/>
      <c r="R36" s="646"/>
      <c r="S36" s="1254"/>
      <c r="T36" s="1255">
        <v>2.8000000000000001E-2</v>
      </c>
      <c r="U36" s="1255">
        <v>0.63</v>
      </c>
      <c r="V36" s="1255">
        <v>0.3</v>
      </c>
      <c r="W36" s="1255">
        <v>0.41099999999999998</v>
      </c>
      <c r="X36" s="1255">
        <v>0.73</v>
      </c>
      <c r="Y36" s="1255">
        <v>0.2</v>
      </c>
      <c r="Z36" s="1255">
        <v>0.11700000000000001</v>
      </c>
      <c r="AA36" s="1255"/>
      <c r="AB36" s="1255">
        <v>2.8000000000000001E-2</v>
      </c>
      <c r="AC36" s="1255"/>
      <c r="AD36" s="1255">
        <v>2.1000000000000001E-2</v>
      </c>
      <c r="AE36" s="1255">
        <v>4.3999999999999997E-2</v>
      </c>
      <c r="AF36" s="111"/>
      <c r="AG36" s="1247" t="s">
        <v>598</v>
      </c>
      <c r="AH36" s="821" t="str">
        <f>IF('Lower Extremity-Right'!T222="","",'Lower Extremity-Right'!T222)</f>
        <v/>
      </c>
      <c r="AI36" s="1252" t="str">
        <f>IF(AH36="","",ROUND(AH36,0))</f>
        <v/>
      </c>
      <c r="AJ36" s="243">
        <f>IF(AI36="",0,VLOOKUP(AI36,$A$3:$AE$154,14))</f>
        <v>0</v>
      </c>
      <c r="AL36" s="1254" t="s">
        <v>1597</v>
      </c>
      <c r="AM36" s="1252" t="str">
        <f>IF('Lower Extremity-Right'!V222="","",'Lower Extremity-Right'!V222)</f>
        <v/>
      </c>
      <c r="AN36" s="1252" t="str">
        <f>IF(AM36="","",ROUND(AM36,0))</f>
        <v/>
      </c>
      <c r="AO36" s="243">
        <f>IF(AN36="",0,VLOOKUP(AN36,$A$3:$AE$154,14))</f>
        <v>0</v>
      </c>
      <c r="AQ36" s="1247" t="s">
        <v>598</v>
      </c>
      <c r="AR36" s="1252" t="str">
        <f>IF('Lower Extremity-Left'!T222="","",'Lower Extremity-Left'!T222)</f>
        <v/>
      </c>
      <c r="AS36" s="1252" t="str">
        <f>IF(AR36="","",ROUND(AR36,0))</f>
        <v/>
      </c>
      <c r="AT36" s="243">
        <f>IF(AS36="",0,VLOOKUP(AS36,$A$3:$AE$154,14))</f>
        <v>0</v>
      </c>
      <c r="AV36" s="1254" t="s">
        <v>1597</v>
      </c>
      <c r="AW36" s="1252" t="str">
        <f>IF('Lower Extremity-Left'!V222="","",'Lower Extremity-Left'!V222)</f>
        <v/>
      </c>
      <c r="AX36" s="1252" t="str">
        <f>IF(AW36="","",ROUND(AW36,0))</f>
        <v/>
      </c>
      <c r="AY36" s="243">
        <f>IF(AX36="",0,VLOOKUP(AX36,$A$3:$AE$154,14))</f>
        <v>0</v>
      </c>
    </row>
    <row r="37" spans="1:51" x14ac:dyDescent="0.2">
      <c r="A37" s="1248">
        <v>34</v>
      </c>
      <c r="B37" s="684"/>
      <c r="C37" s="684"/>
      <c r="D37" s="1255">
        <v>0.112</v>
      </c>
      <c r="E37" s="1255">
        <v>0.79200000000000004</v>
      </c>
      <c r="F37" s="684"/>
      <c r="G37" s="684"/>
      <c r="H37" s="1255">
        <v>4.2000000000000003E-2</v>
      </c>
      <c r="I37" s="1255">
        <v>0.92800000000000005</v>
      </c>
      <c r="J37" s="684"/>
      <c r="K37" s="1255"/>
      <c r="L37" s="1254">
        <v>0.05</v>
      </c>
      <c r="M37" s="749">
        <v>0.02</v>
      </c>
      <c r="N37" s="684"/>
      <c r="O37" s="684"/>
      <c r="P37" s="684"/>
      <c r="Q37" s="1254"/>
      <c r="R37" s="646"/>
      <c r="S37" s="1254"/>
      <c r="T37" s="1255">
        <v>2.4E-2</v>
      </c>
      <c r="U37" s="1255">
        <v>0.64</v>
      </c>
      <c r="V37" s="1255">
        <v>0.31</v>
      </c>
      <c r="W37" s="1255">
        <v>0.40799999999999997</v>
      </c>
      <c r="X37" s="1255">
        <v>0.74</v>
      </c>
      <c r="Y37" s="1255">
        <v>0.21</v>
      </c>
      <c r="Z37" s="1255">
        <v>0.11600000000000001</v>
      </c>
      <c r="AA37" s="1255"/>
      <c r="AB37" s="1255">
        <v>2.4E-2</v>
      </c>
      <c r="AC37" s="1255"/>
      <c r="AD37" s="1255">
        <v>1.7999999999999999E-2</v>
      </c>
      <c r="AE37" s="1255">
        <v>4.2000000000000003E-2</v>
      </c>
      <c r="AF37" s="111"/>
      <c r="AG37" s="1247" t="s">
        <v>1013</v>
      </c>
      <c r="AH37" s="821" t="str">
        <f>IF('Lower Extremity-Right'!T223="","",'Lower Extremity-Right'!T223)</f>
        <v/>
      </c>
      <c r="AI37" s="1252" t="str">
        <f>IF(AH37="","",ROUND(AH37,0))</f>
        <v/>
      </c>
      <c r="AJ37" s="243">
        <f>IF(AI37="",0,VLOOKUP(AI37,$A$3:$AE$154,15))</f>
        <v>0</v>
      </c>
      <c r="AP37" s="19"/>
      <c r="AQ37" s="1247" t="s">
        <v>1013</v>
      </c>
      <c r="AR37" s="1252" t="str">
        <f>IF('Lower Extremity-Left'!T223="","",'Lower Extremity-Left'!T223)</f>
        <v/>
      </c>
      <c r="AS37" s="1252" t="str">
        <f>IF(AR37="","",ROUND(AR37,0))</f>
        <v/>
      </c>
      <c r="AT37" s="243">
        <f>IF(AS37="",0,VLOOKUP(AS37,$A$3:$AE$154,15))</f>
        <v>0</v>
      </c>
    </row>
    <row r="38" spans="1:51" x14ac:dyDescent="0.2">
      <c r="A38" s="1248">
        <v>35</v>
      </c>
      <c r="B38" s="684"/>
      <c r="C38" s="684"/>
      <c r="D38" s="1255">
        <v>0.105</v>
      </c>
      <c r="E38" s="1255">
        <v>0.80500000000000005</v>
      </c>
      <c r="F38" s="684"/>
      <c r="G38" s="684"/>
      <c r="H38" s="1255">
        <v>3.5000000000000003E-2</v>
      </c>
      <c r="I38" s="1255">
        <v>0.94</v>
      </c>
      <c r="J38" s="684"/>
      <c r="K38" s="1255"/>
      <c r="L38" s="1254">
        <v>0.05</v>
      </c>
      <c r="M38" s="749">
        <v>0.02</v>
      </c>
      <c r="N38" s="684"/>
      <c r="O38" s="684"/>
      <c r="P38" s="684"/>
      <c r="Q38" s="1254"/>
      <c r="R38" s="646"/>
      <c r="S38" s="1254"/>
      <c r="T38" s="1255">
        <v>0.02</v>
      </c>
      <c r="U38" s="1255">
        <v>0.65</v>
      </c>
      <c r="V38" s="1255">
        <v>0.32</v>
      </c>
      <c r="W38" s="1255">
        <v>0.40500000000000003</v>
      </c>
      <c r="X38" s="1255">
        <v>0.75</v>
      </c>
      <c r="Y38" s="1255">
        <v>0.22</v>
      </c>
      <c r="Z38" s="1255">
        <v>0.115</v>
      </c>
      <c r="AA38" s="1255"/>
      <c r="AB38" s="1255">
        <v>0.02</v>
      </c>
      <c r="AC38" s="1255"/>
      <c r="AD38" s="1255">
        <v>1.4999999999999999E-2</v>
      </c>
      <c r="AE38" s="1255">
        <v>0.04</v>
      </c>
      <c r="AF38" s="111"/>
      <c r="AG38" s="1247" t="s">
        <v>486</v>
      </c>
      <c r="AH38" s="821" t="str">
        <f>IF('Lower Extremity-Right'!T224="","",'Lower Extremity-Right'!T224)</f>
        <v/>
      </c>
      <c r="AI38" s="1252" t="str">
        <f>IF(AH38="","",ROUND(AH38,0))</f>
        <v/>
      </c>
      <c r="AJ38" s="243">
        <f>IF(AI38="",0,VLOOKUP(AI38,$A$3:$AE$154,16))</f>
        <v>0</v>
      </c>
      <c r="AL38" s="1254" t="s">
        <v>1597</v>
      </c>
      <c r="AM38" s="1252" t="str">
        <f>IF('Lower Extremity-Right'!V224="","",'Lower Extremity-Right'!V224)</f>
        <v/>
      </c>
      <c r="AN38" s="1252" t="str">
        <f>IF(AM38="","",ROUND(AM38,0))</f>
        <v/>
      </c>
      <c r="AO38" s="243">
        <f>IF(AN38="",0,VLOOKUP(AN38,$A$3:$AE$154,16))</f>
        <v>0</v>
      </c>
      <c r="AP38" s="19"/>
      <c r="AQ38" s="1247" t="s">
        <v>486</v>
      </c>
      <c r="AR38" s="1252" t="str">
        <f>IF('Lower Extremity-Left'!T224="","",'Lower Extremity-Left'!T224)</f>
        <v/>
      </c>
      <c r="AS38" s="1252" t="str">
        <f>IF(AR38="","",ROUND(AR38,0))</f>
        <v/>
      </c>
      <c r="AT38" s="243">
        <f>IF(AS38="",0,VLOOKUP(AS38,$A$3:$AE$154,16))</f>
        <v>0</v>
      </c>
      <c r="AV38" s="1254" t="s">
        <v>1597</v>
      </c>
      <c r="AW38" s="1252" t="str">
        <f>IF('Lower Extremity-Left'!V224="","",'Lower Extremity-Left'!V224)</f>
        <v/>
      </c>
      <c r="AX38" s="1252" t="str">
        <f>IF(AW38="","",ROUND(AW38,0))</f>
        <v/>
      </c>
      <c r="AY38" s="243">
        <f>IF(AX38="",0,VLOOKUP(AX38,$A$3:$AE$154,16))</f>
        <v>0</v>
      </c>
    </row>
    <row r="39" spans="1:51" x14ac:dyDescent="0.2">
      <c r="A39" s="1248">
        <v>36</v>
      </c>
      <c r="B39" s="684"/>
      <c r="C39" s="684"/>
      <c r="D39" s="1255">
        <v>9.8000000000000004E-2</v>
      </c>
      <c r="E39" s="1255">
        <v>0.81799999999999995</v>
      </c>
      <c r="F39" s="684"/>
      <c r="G39" s="684"/>
      <c r="H39" s="1255">
        <v>2.8000000000000001E-2</v>
      </c>
      <c r="I39" s="1255">
        <v>0.95199999999999996</v>
      </c>
      <c r="J39" s="684"/>
      <c r="K39" s="1255"/>
      <c r="L39" s="1254">
        <v>0.06</v>
      </c>
      <c r="M39" s="749">
        <v>0.02</v>
      </c>
      <c r="N39" s="684"/>
      <c r="O39" s="684"/>
      <c r="P39" s="684"/>
      <c r="Q39" s="1254"/>
      <c r="R39" s="646"/>
      <c r="S39" s="1254"/>
      <c r="T39" s="1255">
        <v>1.6E-2</v>
      </c>
      <c r="U39" s="1255">
        <v>0.66</v>
      </c>
      <c r="V39" s="1255">
        <v>0.32</v>
      </c>
      <c r="W39" s="1255">
        <v>0.40200000000000002</v>
      </c>
      <c r="X39" s="1255">
        <v>0.76</v>
      </c>
      <c r="Y39" s="1255">
        <v>0.23</v>
      </c>
      <c r="Z39" s="1255">
        <v>0.114</v>
      </c>
      <c r="AA39" s="1255"/>
      <c r="AB39" s="1255">
        <v>1.6E-2</v>
      </c>
      <c r="AC39" s="1255"/>
      <c r="AD39" s="1255">
        <v>1.2E-2</v>
      </c>
      <c r="AE39" s="1255">
        <v>3.7999999999999999E-2</v>
      </c>
      <c r="AF39" s="111"/>
      <c r="AG39" s="1247" t="s">
        <v>1014</v>
      </c>
      <c r="AH39" s="821" t="str">
        <f>IF('Lower Extremity-Right'!T225="","",'Lower Extremity-Right'!T225)</f>
        <v/>
      </c>
      <c r="AI39" s="1252" t="str">
        <f>IF(AH39="","",ROUND(AH39,0))</f>
        <v/>
      </c>
      <c r="AJ39" s="243">
        <f>IF(AI39="",0,VLOOKUP(AI39,$A$3:$AE$154,17))</f>
        <v>0</v>
      </c>
      <c r="AM39" s="19"/>
      <c r="AN39" s="19"/>
      <c r="AO39" s="19"/>
      <c r="AP39" s="19"/>
      <c r="AQ39" s="1247" t="s">
        <v>1014</v>
      </c>
      <c r="AR39" s="1252" t="str">
        <f>IF('Lower Extremity-Left'!T225="","",'Lower Extremity-Left'!T225)</f>
        <v/>
      </c>
      <c r="AS39" s="1252" t="str">
        <f>IF(AR39="","",ROUND(AR39,0))</f>
        <v/>
      </c>
      <c r="AT39" s="243">
        <f>IF(AS39="",0,VLOOKUP(AS39,$A$3:$AE$154,17))</f>
        <v>0</v>
      </c>
      <c r="AW39" s="19"/>
      <c r="AX39" s="19"/>
      <c r="AY39" s="19"/>
    </row>
    <row r="40" spans="1:51" x14ac:dyDescent="0.2">
      <c r="A40" s="1248">
        <v>37</v>
      </c>
      <c r="B40" s="684"/>
      <c r="C40" s="684"/>
      <c r="D40" s="1255">
        <v>9.0999999999999998E-2</v>
      </c>
      <c r="E40" s="1255">
        <v>0.83099999999999996</v>
      </c>
      <c r="F40" s="684"/>
      <c r="G40" s="684"/>
      <c r="H40" s="1255">
        <v>2.1000000000000001E-2</v>
      </c>
      <c r="I40" s="1255">
        <v>0.96399999999999997</v>
      </c>
      <c r="J40" s="684"/>
      <c r="K40" s="1255"/>
      <c r="L40" s="1254">
        <v>0.06</v>
      </c>
      <c r="M40" s="749">
        <v>0.02</v>
      </c>
      <c r="N40" s="684"/>
      <c r="O40" s="684"/>
      <c r="P40" s="684"/>
      <c r="Q40" s="1254"/>
      <c r="R40" s="646"/>
      <c r="S40" s="1254"/>
      <c r="T40" s="1255">
        <v>1.2E-2</v>
      </c>
      <c r="U40" s="1255">
        <v>0.67</v>
      </c>
      <c r="V40" s="1255">
        <v>0.33</v>
      </c>
      <c r="W40" s="1255">
        <v>0.39900000000000002</v>
      </c>
      <c r="X40" s="1255">
        <v>0.77</v>
      </c>
      <c r="Y40" s="1255">
        <v>0.24</v>
      </c>
      <c r="Z40" s="1255">
        <v>0.113</v>
      </c>
      <c r="AA40" s="1255"/>
      <c r="AB40" s="1255">
        <v>1.2E-2</v>
      </c>
      <c r="AC40" s="1255"/>
      <c r="AD40" s="1255">
        <v>8.9999999999999993E-3</v>
      </c>
      <c r="AE40" s="1255">
        <v>3.5999999999999997E-2</v>
      </c>
      <c r="AF40" s="111"/>
      <c r="AL40" s="19"/>
      <c r="AM40" s="19"/>
      <c r="AN40" s="19"/>
      <c r="AO40" s="19"/>
      <c r="AP40" s="19"/>
      <c r="AV40" s="19"/>
      <c r="AW40" s="19"/>
      <c r="AX40" s="19"/>
      <c r="AY40" s="19"/>
    </row>
    <row r="41" spans="1:51" x14ac:dyDescent="0.2">
      <c r="A41" s="1248">
        <v>38</v>
      </c>
      <c r="B41" s="684"/>
      <c r="C41" s="684"/>
      <c r="D41" s="1255">
        <v>8.4000000000000005E-2</v>
      </c>
      <c r="E41" s="1255">
        <v>0.84399999999999997</v>
      </c>
      <c r="F41" s="684"/>
      <c r="G41" s="684"/>
      <c r="H41" s="1255">
        <v>1.4E-2</v>
      </c>
      <c r="I41" s="1255">
        <v>0.97599999999999998</v>
      </c>
      <c r="J41" s="684"/>
      <c r="K41" s="1255"/>
      <c r="L41" s="1254">
        <v>0.06</v>
      </c>
      <c r="M41" s="749">
        <v>0.02</v>
      </c>
      <c r="N41" s="684"/>
      <c r="O41" s="684"/>
      <c r="P41" s="684"/>
      <c r="Q41" s="1254"/>
      <c r="R41" s="646"/>
      <c r="S41" s="1254"/>
      <c r="T41" s="1255">
        <v>8.0000000000000002E-3</v>
      </c>
      <c r="U41" s="1255">
        <v>0.68</v>
      </c>
      <c r="V41" s="1255">
        <v>0.34</v>
      </c>
      <c r="W41" s="1255">
        <v>0.39600000000000002</v>
      </c>
      <c r="X41" s="1255">
        <v>0.78</v>
      </c>
      <c r="Y41" s="1255">
        <v>0.25</v>
      </c>
      <c r="Z41" s="1255">
        <v>0.112</v>
      </c>
      <c r="AA41" s="1255"/>
      <c r="AB41" s="1255">
        <v>8.0000000000000002E-3</v>
      </c>
      <c r="AC41" s="1255"/>
      <c r="AD41" s="1255">
        <v>6.0000000000000001E-3</v>
      </c>
      <c r="AE41" s="1255">
        <v>3.4000000000000002E-2</v>
      </c>
      <c r="AF41" s="111"/>
      <c r="AG41" s="1250" t="s">
        <v>1726</v>
      </c>
      <c r="AK41" s="74"/>
      <c r="AL41" s="19"/>
      <c r="AM41" s="19"/>
      <c r="AN41" s="19"/>
      <c r="AO41" s="19"/>
      <c r="AP41" s="19"/>
      <c r="AQ41" s="1250" t="s">
        <v>1726</v>
      </c>
      <c r="AU41" s="74"/>
      <c r="AV41" s="19"/>
      <c r="AW41" s="19"/>
      <c r="AX41" s="19"/>
      <c r="AY41" s="19"/>
    </row>
    <row r="42" spans="1:51" x14ac:dyDescent="0.2">
      <c r="A42" s="1248">
        <v>39</v>
      </c>
      <c r="B42" s="684"/>
      <c r="C42" s="684"/>
      <c r="D42" s="1255">
        <v>7.6999999999999999E-2</v>
      </c>
      <c r="E42" s="1255">
        <v>0.85699999999999998</v>
      </c>
      <c r="F42" s="684"/>
      <c r="G42" s="684"/>
      <c r="H42" s="1255">
        <v>7.0000000000000001E-3</v>
      </c>
      <c r="I42" s="1255">
        <v>0.98799999999999999</v>
      </c>
      <c r="J42" s="684"/>
      <c r="K42" s="1255"/>
      <c r="L42" s="1254">
        <v>0.06</v>
      </c>
      <c r="M42" s="749">
        <v>0.02</v>
      </c>
      <c r="N42" s="684"/>
      <c r="O42" s="684"/>
      <c r="P42" s="684"/>
      <c r="Q42" s="1254"/>
      <c r="R42" s="646"/>
      <c r="S42" s="1254"/>
      <c r="T42" s="1255">
        <v>4.0000000000000001E-3</v>
      </c>
      <c r="U42" s="1255">
        <v>0.69</v>
      </c>
      <c r="V42" s="1255">
        <v>0.35</v>
      </c>
      <c r="W42" s="1255">
        <v>0.39300000000000002</v>
      </c>
      <c r="X42" s="1261">
        <v>0.79</v>
      </c>
      <c r="Y42" s="1255">
        <v>0.26</v>
      </c>
      <c r="Z42" s="1255">
        <v>0.111</v>
      </c>
      <c r="AA42" s="1255"/>
      <c r="AB42" s="1255">
        <v>4.0000000000000001E-3</v>
      </c>
      <c r="AC42" s="1255"/>
      <c r="AD42" s="1255">
        <v>3.0000000000000001E-3</v>
      </c>
      <c r="AE42" s="1255">
        <v>3.2000000000000001E-2</v>
      </c>
      <c r="AF42" s="111"/>
      <c r="AG42" s="1247" t="s">
        <v>1335</v>
      </c>
      <c r="AH42" s="821" t="str">
        <f>IF('Lower Extremity-Right'!T228="","",'Lower Extremity-Right'!T228)</f>
        <v/>
      </c>
      <c r="AI42" s="1252" t="str">
        <f>IF(AH42="","",ROUND(AH42,0))</f>
        <v/>
      </c>
      <c r="AJ42" s="243">
        <f>IF(AI42="",0,VLOOKUP(AI42,$A$3:$AE$154,18))</f>
        <v>0</v>
      </c>
      <c r="AK42" s="74"/>
      <c r="AL42" s="1254" t="s">
        <v>1597</v>
      </c>
      <c r="AM42" s="1252" t="str">
        <f>IF('Lower Extremity-Right'!V228="","",'Lower Extremity-Right'!V228)</f>
        <v/>
      </c>
      <c r="AN42" s="1252" t="str">
        <f>IF(AM42="","",ROUND(AM42,0))</f>
        <v/>
      </c>
      <c r="AO42" s="243">
        <f>IF(AN42="",0,VLOOKUP(AN42,$A$3:$AE$154,18))</f>
        <v>0</v>
      </c>
      <c r="AP42" s="19"/>
      <c r="AQ42" s="1247" t="s">
        <v>1335</v>
      </c>
      <c r="AR42" s="1252" t="str">
        <f>IF('Lower Extremity-Left'!T228="","",'Lower Extremity-Left'!T228)</f>
        <v/>
      </c>
      <c r="AS42" s="1252" t="str">
        <f>IF(AR42="","",ROUND(AR42,0))</f>
        <v/>
      </c>
      <c r="AT42" s="243">
        <f>IF(AS42="",0,VLOOKUP(AS42,$A$3:$AE$154,18))</f>
        <v>0</v>
      </c>
      <c r="AU42" s="74"/>
      <c r="AV42" s="1254" t="s">
        <v>1597</v>
      </c>
      <c r="AW42" s="1252" t="str">
        <f>IF('Lower Extremity-Left'!V228="","",'Lower Extremity-Left'!V228)</f>
        <v/>
      </c>
      <c r="AX42" s="1252" t="str">
        <f>IF(AW42="","",ROUND(AW42,0))</f>
        <v/>
      </c>
      <c r="AY42" s="243">
        <f>IF(AX42="",0,VLOOKUP(AX42,$A$3:$AE$154,18))</f>
        <v>0</v>
      </c>
    </row>
    <row r="43" spans="1:51" x14ac:dyDescent="0.2">
      <c r="A43" s="1248">
        <v>40</v>
      </c>
      <c r="B43" s="684"/>
      <c r="C43" s="684"/>
      <c r="D43" s="1255">
        <v>7.0000000000000007E-2</v>
      </c>
      <c r="E43" s="1255">
        <v>0.87</v>
      </c>
      <c r="F43" s="684"/>
      <c r="G43" s="684"/>
      <c r="H43" s="1255">
        <v>0</v>
      </c>
      <c r="I43" s="1255">
        <v>1</v>
      </c>
      <c r="J43" s="684"/>
      <c r="K43" s="1255"/>
      <c r="L43" s="1254">
        <v>0.06</v>
      </c>
      <c r="M43" s="749">
        <v>0.02</v>
      </c>
      <c r="N43" s="684"/>
      <c r="O43" s="684"/>
      <c r="P43" s="684"/>
      <c r="Q43" s="1254"/>
      <c r="R43" s="646"/>
      <c r="S43" s="1254"/>
      <c r="T43" s="1255">
        <v>0</v>
      </c>
      <c r="U43" s="1255">
        <v>0.7</v>
      </c>
      <c r="V43" s="1255">
        <v>0.36</v>
      </c>
      <c r="W43" s="1255">
        <v>0.39</v>
      </c>
      <c r="X43" s="1261">
        <v>0.8</v>
      </c>
      <c r="Y43" s="1255">
        <v>0.27</v>
      </c>
      <c r="Z43" s="1255">
        <v>0.11</v>
      </c>
      <c r="AA43" s="1255"/>
      <c r="AB43" s="1255">
        <v>0</v>
      </c>
      <c r="AC43" s="1255"/>
      <c r="AD43" s="1255">
        <v>0</v>
      </c>
      <c r="AE43" s="1255">
        <v>0.03</v>
      </c>
      <c r="AF43" s="111"/>
      <c r="AG43" s="1247" t="s">
        <v>1015</v>
      </c>
      <c r="AH43" s="821" t="str">
        <f>IF('Lower Extremity-Right'!T229="","",'Lower Extremity-Right'!T229)</f>
        <v/>
      </c>
      <c r="AI43" s="1252" t="str">
        <f>IF(AH43="","",ROUND(AH43,0))</f>
        <v/>
      </c>
      <c r="AJ43" s="243">
        <f>IF(AI43="",0,VLOOKUP(AI43,$A$3:$AE$154,19))</f>
        <v>0</v>
      </c>
      <c r="AK43" s="74"/>
      <c r="AL43" s="19"/>
      <c r="AM43" s="19"/>
      <c r="AN43" s="19"/>
      <c r="AO43" s="19"/>
      <c r="AP43" s="19"/>
      <c r="AQ43" s="1247" t="s">
        <v>1015</v>
      </c>
      <c r="AR43" s="1252" t="str">
        <f>IF('Lower Extremity-Left'!T229="","",'Lower Extremity-Left'!T229)</f>
        <v/>
      </c>
      <c r="AS43" s="1252" t="str">
        <f>IF(AR43="","",ROUND(AR43,0))</f>
        <v/>
      </c>
      <c r="AT43" s="243">
        <f>IF(AS43="",0,VLOOKUP(AS43,$A$3:$AE$154,19))</f>
        <v>0</v>
      </c>
      <c r="AU43" s="74"/>
      <c r="AV43" s="19"/>
      <c r="AW43" s="19"/>
      <c r="AX43" s="19"/>
      <c r="AY43" s="19"/>
    </row>
    <row r="44" spans="1:51" x14ac:dyDescent="0.2">
      <c r="A44" s="1248">
        <v>41</v>
      </c>
      <c r="B44" s="684"/>
      <c r="C44" s="684"/>
      <c r="D44" s="1255">
        <v>6.3E-2</v>
      </c>
      <c r="E44" s="1255">
        <v>0.88300000000000001</v>
      </c>
      <c r="F44" s="684"/>
      <c r="G44" s="684"/>
      <c r="H44" s="684"/>
      <c r="I44" s="684"/>
      <c r="J44" s="684"/>
      <c r="K44" s="1255"/>
      <c r="L44" s="1254">
        <v>0.06</v>
      </c>
      <c r="M44" s="749">
        <v>0.02</v>
      </c>
      <c r="N44" s="684"/>
      <c r="O44" s="684"/>
      <c r="P44" s="684"/>
      <c r="Q44" s="1254"/>
      <c r="R44" s="646"/>
      <c r="S44" s="1254"/>
      <c r="T44" s="1254"/>
      <c r="U44" s="1254"/>
      <c r="V44" s="1255">
        <v>0.37</v>
      </c>
      <c r="W44" s="1255">
        <v>0.38600000000000001</v>
      </c>
      <c r="X44" s="1261">
        <v>0.81</v>
      </c>
      <c r="Y44" s="1255">
        <v>0.33300000000000002</v>
      </c>
      <c r="Z44" s="1255">
        <v>0.108</v>
      </c>
      <c r="AA44" s="1255"/>
      <c r="AB44" s="1255"/>
      <c r="AC44" s="1255"/>
      <c r="AD44" s="749"/>
      <c r="AE44" s="1255">
        <v>2.7E-2</v>
      </c>
      <c r="AF44" s="111"/>
      <c r="AG44" s="1253" t="s">
        <v>1016</v>
      </c>
      <c r="AH44" s="821" t="str">
        <f>IF('Lower Extremity-Right'!T230="","",'Lower Extremity-Right'!T230)</f>
        <v/>
      </c>
      <c r="AI44" s="1252" t="str">
        <f>IF(AH44="","",ROUND(AH44,0))</f>
        <v/>
      </c>
      <c r="AJ44" s="243">
        <f>IF(AI44="",0,VLOOKUP(AI44,$A$3:$AE$154,20))</f>
        <v>0</v>
      </c>
      <c r="AK44" s="74"/>
      <c r="AL44" s="1254" t="s">
        <v>1597</v>
      </c>
      <c r="AM44" s="1252" t="str">
        <f>IF('Lower Extremity-Right'!V230="","",'Lower Extremity-Right'!V230)</f>
        <v/>
      </c>
      <c r="AN44" s="1252" t="str">
        <f>IF(AM44="","",ROUND(AM44,0))</f>
        <v/>
      </c>
      <c r="AO44" s="243">
        <f>IF(AN44="",0,VLOOKUP(AN44,$A$3:$AE$154,20))</f>
        <v>0</v>
      </c>
      <c r="AP44" s="19"/>
      <c r="AQ44" s="1253" t="s">
        <v>1016</v>
      </c>
      <c r="AR44" s="1252" t="str">
        <f>IF('Lower Extremity-Left'!T230="","",'Lower Extremity-Left'!T230)</f>
        <v/>
      </c>
      <c r="AS44" s="1252" t="str">
        <f>IF(AR44="","",ROUND(AR44,0))</f>
        <v/>
      </c>
      <c r="AT44" s="243">
        <f>IF(AS44="",0,VLOOKUP(AS44,$A$3:$AE$154,20))</f>
        <v>0</v>
      </c>
      <c r="AU44" s="74"/>
      <c r="AV44" s="1254" t="s">
        <v>1597</v>
      </c>
      <c r="AW44" s="1252" t="str">
        <f>IF('Lower Extremity-Left'!V230="","",'Lower Extremity-Left'!V230)</f>
        <v/>
      </c>
      <c r="AX44" s="1252" t="str">
        <f>IF(AW44="","",ROUND(AW44,0))</f>
        <v/>
      </c>
      <c r="AY44" s="243">
        <f>IF(AX44="",0,VLOOKUP(AX44,$A$3:$AE$154,20))</f>
        <v>0</v>
      </c>
    </row>
    <row r="45" spans="1:51" x14ac:dyDescent="0.2">
      <c r="A45" s="1248">
        <v>42</v>
      </c>
      <c r="B45" s="684"/>
      <c r="C45" s="684"/>
      <c r="D45" s="1255">
        <v>5.6000000000000001E-2</v>
      </c>
      <c r="E45" s="1255">
        <v>0.89600000000000002</v>
      </c>
      <c r="F45" s="684"/>
      <c r="G45" s="684"/>
      <c r="H45" s="684"/>
      <c r="I45" s="684"/>
      <c r="J45" s="684"/>
      <c r="K45" s="1255"/>
      <c r="L45" s="1254">
        <v>0.06</v>
      </c>
      <c r="M45" s="749">
        <v>0.02</v>
      </c>
      <c r="N45" s="684"/>
      <c r="O45" s="684"/>
      <c r="P45" s="684"/>
      <c r="Q45" s="1254"/>
      <c r="R45" s="646"/>
      <c r="S45" s="1254"/>
      <c r="T45" s="1254"/>
      <c r="U45" s="1254"/>
      <c r="V45" s="1255">
        <v>0.38</v>
      </c>
      <c r="W45" s="1255">
        <v>0.38200000000000001</v>
      </c>
      <c r="X45" s="1261">
        <v>0.82</v>
      </c>
      <c r="Y45" s="1255">
        <v>0.39600000000000002</v>
      </c>
      <c r="Z45" s="1255">
        <v>0.106</v>
      </c>
      <c r="AA45" s="1255"/>
      <c r="AB45" s="1255"/>
      <c r="AC45" s="1255"/>
      <c r="AD45" s="749"/>
      <c r="AE45" s="1255">
        <v>2.4E-2</v>
      </c>
      <c r="AF45" s="111"/>
      <c r="AG45" s="1253" t="s">
        <v>1017</v>
      </c>
      <c r="AH45" s="821" t="str">
        <f>IF('Lower Extremity-Right'!T231="","",'Lower Extremity-Right'!T231)</f>
        <v/>
      </c>
      <c r="AI45" s="1252" t="str">
        <f>IF(AH45="","",ROUND(AH45,0))</f>
        <v/>
      </c>
      <c r="AJ45" s="243">
        <f>IF(AI45="",0,VLOOKUP(AI45,$A$3:$AE$154,21))</f>
        <v>0</v>
      </c>
      <c r="AK45" s="74"/>
      <c r="AL45" s="19"/>
      <c r="AM45" s="19"/>
      <c r="AN45" s="19"/>
      <c r="AO45" s="19"/>
      <c r="AP45" s="19"/>
      <c r="AQ45" s="1253" t="s">
        <v>1017</v>
      </c>
      <c r="AR45" s="1252" t="str">
        <f>IF('Lower Extremity-Left'!T231="","",'Lower Extremity-Left'!T231)</f>
        <v/>
      </c>
      <c r="AS45" s="1252" t="str">
        <f>IF(AR45="","",ROUND(AR45,0))</f>
        <v/>
      </c>
      <c r="AT45" s="243">
        <f>IF(AS45="",0,VLOOKUP(AS45,$A$3:$AE$154,21))</f>
        <v>0</v>
      </c>
      <c r="AU45" s="74"/>
      <c r="AV45" s="19"/>
      <c r="AW45" s="19"/>
      <c r="AX45" s="19"/>
      <c r="AY45" s="19"/>
    </row>
    <row r="46" spans="1:51" x14ac:dyDescent="0.2">
      <c r="A46" s="1248">
        <v>43</v>
      </c>
      <c r="B46" s="684"/>
      <c r="C46" s="684"/>
      <c r="D46" s="1255">
        <v>4.9000000000000002E-2</v>
      </c>
      <c r="E46" s="1255">
        <v>0.90900000000000003</v>
      </c>
      <c r="F46" s="684"/>
      <c r="G46" s="684"/>
      <c r="H46" s="684"/>
      <c r="I46" s="684"/>
      <c r="J46" s="684"/>
      <c r="K46" s="1255"/>
      <c r="L46" s="1254">
        <v>7.0000000000000007E-2</v>
      </c>
      <c r="M46" s="749">
        <v>0.02</v>
      </c>
      <c r="N46" s="684"/>
      <c r="O46" s="684"/>
      <c r="P46" s="684"/>
      <c r="Q46" s="1254"/>
      <c r="R46" s="646"/>
      <c r="S46" s="1254"/>
      <c r="T46" s="1254"/>
      <c r="U46" s="1254"/>
      <c r="V46" s="1255">
        <v>0.39</v>
      </c>
      <c r="W46" s="1255">
        <v>0.378</v>
      </c>
      <c r="X46" s="1261">
        <v>0.83</v>
      </c>
      <c r="Y46" s="1255">
        <v>0.45900000000000002</v>
      </c>
      <c r="Z46" s="1255">
        <v>0.104</v>
      </c>
      <c r="AA46" s="1255"/>
      <c r="AB46" s="1255"/>
      <c r="AC46" s="1255"/>
      <c r="AD46" s="749"/>
      <c r="AE46" s="1255">
        <v>2.1000000000000001E-2</v>
      </c>
      <c r="AF46" s="111"/>
      <c r="AG46" s="19"/>
      <c r="AH46" s="74"/>
      <c r="AI46" s="74"/>
      <c r="AJ46" s="19"/>
      <c r="AK46" s="74"/>
      <c r="AL46" s="19"/>
      <c r="AM46" s="19"/>
      <c r="AN46" s="19"/>
      <c r="AO46" s="19"/>
      <c r="AP46" s="19"/>
      <c r="AQ46" s="19"/>
      <c r="AR46" s="74"/>
      <c r="AS46" s="74"/>
      <c r="AT46" s="19"/>
      <c r="AU46" s="74"/>
      <c r="AV46" s="19"/>
      <c r="AW46" s="19"/>
      <c r="AX46" s="19"/>
      <c r="AY46" s="19"/>
    </row>
    <row r="47" spans="1:51" x14ac:dyDescent="0.2">
      <c r="A47" s="1248">
        <v>44</v>
      </c>
      <c r="B47" s="684"/>
      <c r="C47" s="684"/>
      <c r="D47" s="1255">
        <v>4.2000000000000003E-2</v>
      </c>
      <c r="E47" s="1255">
        <v>0.92200000000000004</v>
      </c>
      <c r="F47" s="684"/>
      <c r="G47" s="684"/>
      <c r="H47" s="684"/>
      <c r="I47" s="684"/>
      <c r="J47" s="684"/>
      <c r="K47" s="1255"/>
      <c r="L47" s="1254">
        <v>7.0000000000000007E-2</v>
      </c>
      <c r="M47" s="749">
        <v>0.02</v>
      </c>
      <c r="N47" s="684"/>
      <c r="O47" s="684"/>
      <c r="P47" s="684"/>
      <c r="Q47" s="1254"/>
      <c r="R47" s="646"/>
      <c r="S47" s="1254"/>
      <c r="T47" s="1254"/>
      <c r="U47" s="1254"/>
      <c r="V47" s="1255">
        <v>0.4</v>
      </c>
      <c r="W47" s="1255">
        <v>0.374</v>
      </c>
      <c r="X47" s="1261">
        <v>0.84</v>
      </c>
      <c r="Y47" s="1255">
        <v>0.52200000000000002</v>
      </c>
      <c r="Z47" s="1255">
        <v>0.10199999999999999</v>
      </c>
      <c r="AA47" s="1255"/>
      <c r="AB47" s="1255"/>
      <c r="AC47" s="1255"/>
      <c r="AD47" s="749"/>
      <c r="AE47" s="1255">
        <v>1.7999999999999999E-2</v>
      </c>
      <c r="AF47" s="111"/>
      <c r="AG47" s="1254" t="s">
        <v>1430</v>
      </c>
      <c r="AH47" s="74"/>
      <c r="AI47" s="74"/>
      <c r="AJ47" s="19"/>
      <c r="AK47" s="74"/>
      <c r="AL47" s="19"/>
      <c r="AM47" s="19"/>
      <c r="AN47" s="19"/>
      <c r="AO47" s="19"/>
      <c r="AP47" s="19"/>
      <c r="AQ47" s="1254" t="s">
        <v>1430</v>
      </c>
      <c r="AR47" s="74"/>
      <c r="AS47" s="74"/>
      <c r="AT47" s="19"/>
      <c r="AU47" s="74"/>
      <c r="AV47" s="19"/>
      <c r="AW47" s="19"/>
      <c r="AX47" s="19"/>
      <c r="AY47" s="19"/>
    </row>
    <row r="48" spans="1:51" x14ac:dyDescent="0.2">
      <c r="A48" s="1248">
        <v>45</v>
      </c>
      <c r="B48" s="684"/>
      <c r="C48" s="684"/>
      <c r="D48" s="1255">
        <v>3.5000000000000003E-2</v>
      </c>
      <c r="E48" s="1255">
        <v>0.93500000000000005</v>
      </c>
      <c r="F48" s="684"/>
      <c r="G48" s="684"/>
      <c r="H48" s="684"/>
      <c r="I48" s="684"/>
      <c r="J48" s="684"/>
      <c r="K48" s="1255"/>
      <c r="L48" s="1254">
        <v>7.0000000000000007E-2</v>
      </c>
      <c r="M48" s="749">
        <v>0.02</v>
      </c>
      <c r="N48" s="684"/>
      <c r="O48" s="684"/>
      <c r="P48" s="684"/>
      <c r="Q48" s="1254"/>
      <c r="R48" s="646"/>
      <c r="S48" s="1254"/>
      <c r="T48" s="1254"/>
      <c r="U48" s="1254"/>
      <c r="V48" s="1255">
        <v>0.41</v>
      </c>
      <c r="W48" s="1255">
        <v>0.37</v>
      </c>
      <c r="X48" s="1261">
        <v>0.85</v>
      </c>
      <c r="Y48" s="1255">
        <v>0.58499999999999996</v>
      </c>
      <c r="Z48" s="1255">
        <v>0.1</v>
      </c>
      <c r="AA48" s="1255"/>
      <c r="AB48" s="1255"/>
      <c r="AC48" s="1255"/>
      <c r="AD48" s="749"/>
      <c r="AE48" s="1255">
        <v>1.4999999999999999E-2</v>
      </c>
      <c r="AF48" s="111"/>
      <c r="AG48" s="1254" t="s">
        <v>1163</v>
      </c>
      <c r="AH48" s="1283">
        <f>IF('Lower Extremity-Right'!C270="","",'Lower Extremity-Right'!C270*100)</f>
        <v>0</v>
      </c>
      <c r="AI48" s="1252">
        <f>IF(AH48="","",ROUND(AH48,0))</f>
        <v>0</v>
      </c>
      <c r="AJ48" s="1255">
        <f>IF(AI48="",0,VLOOKUP(AI48,$A$3:$AE$154,12))</f>
        <v>0</v>
      </c>
      <c r="AK48" s="74"/>
      <c r="AL48" s="19"/>
      <c r="AM48" s="19"/>
      <c r="AN48" s="19"/>
      <c r="AO48" s="19"/>
      <c r="AP48" s="19"/>
      <c r="AQ48" s="1254" t="s">
        <v>1163</v>
      </c>
      <c r="AR48" s="736">
        <f>IF('Lower Extremity-Left'!C270="","",'Lower Extremity-Left'!C270*100)</f>
        <v>0</v>
      </c>
      <c r="AS48" s="1252">
        <f>IF(AR48="","",ROUND(AR48,0))</f>
        <v>0</v>
      </c>
      <c r="AT48" s="1255">
        <f>IF(AS48="",0,VLOOKUP(AS48,$A$3:$AE$154,12))</f>
        <v>0</v>
      </c>
      <c r="AU48" s="74"/>
      <c r="AV48" s="19"/>
      <c r="AW48" s="19"/>
      <c r="AX48" s="19"/>
      <c r="AY48" s="19"/>
    </row>
    <row r="49" spans="1:51" x14ac:dyDescent="0.2">
      <c r="A49" s="1248">
        <v>46</v>
      </c>
      <c r="B49" s="684"/>
      <c r="C49" s="684"/>
      <c r="D49" s="1255">
        <v>2.8000000000000001E-2</v>
      </c>
      <c r="E49" s="1255">
        <v>0.94799999999999995</v>
      </c>
      <c r="F49" s="684"/>
      <c r="G49" s="684"/>
      <c r="H49" s="684"/>
      <c r="I49" s="684"/>
      <c r="J49" s="684"/>
      <c r="K49" s="1255"/>
      <c r="L49" s="1254">
        <v>7.0000000000000007E-2</v>
      </c>
      <c r="M49" s="749">
        <v>0.02</v>
      </c>
      <c r="N49" s="684"/>
      <c r="O49" s="684"/>
      <c r="P49" s="684"/>
      <c r="Q49" s="1254"/>
      <c r="R49" s="646"/>
      <c r="S49" s="1254"/>
      <c r="T49" s="1254"/>
      <c r="U49" s="1254"/>
      <c r="V49" s="1255">
        <v>0.41</v>
      </c>
      <c r="W49" s="1255">
        <v>0.36599999999999999</v>
      </c>
      <c r="X49" s="1261">
        <v>0.86</v>
      </c>
      <c r="Y49" s="1255">
        <v>0.64800000000000002</v>
      </c>
      <c r="Z49" s="1255">
        <v>9.8000000000000004E-2</v>
      </c>
      <c r="AA49" s="1255"/>
      <c r="AB49" s="1255"/>
      <c r="AC49" s="1255"/>
      <c r="AD49" s="749"/>
      <c r="AE49" s="1255">
        <v>1.2E-2</v>
      </c>
      <c r="AF49" s="111"/>
      <c r="AG49" s="1254" t="s">
        <v>863</v>
      </c>
      <c r="AH49" s="1283">
        <f>IF('Lower Extremity-Right'!C271="","",'Lower Extremity-Right'!C271*100)</f>
        <v>0</v>
      </c>
      <c r="AI49" s="1252">
        <f>IF(AH49="","",ROUND(AH49,0))</f>
        <v>0</v>
      </c>
      <c r="AJ49" s="1255">
        <f>IF(AI49="",0,VLOOKUP(AI49,$A$3:$AE$154,13))</f>
        <v>0</v>
      </c>
      <c r="AK49" s="74"/>
      <c r="AL49" s="19"/>
      <c r="AM49" s="19"/>
      <c r="AN49" s="19"/>
      <c r="AO49" s="19"/>
      <c r="AP49" s="19"/>
      <c r="AQ49" s="1254" t="s">
        <v>863</v>
      </c>
      <c r="AR49" s="736">
        <f>IF('Lower Extremity-Left'!C271="","",'Lower Extremity-Left'!C271*100)</f>
        <v>0</v>
      </c>
      <c r="AS49" s="1252">
        <f>IF(AR49="","",ROUND(AR49,0))</f>
        <v>0</v>
      </c>
      <c r="AT49" s="1255">
        <f>IF(AS49="",0,VLOOKUP(AS49,$A$3:$AE$154,13))</f>
        <v>0</v>
      </c>
      <c r="AU49" s="74"/>
      <c r="AV49" s="19"/>
      <c r="AW49" s="19"/>
      <c r="AX49" s="19"/>
      <c r="AY49" s="19"/>
    </row>
    <row r="50" spans="1:51" x14ac:dyDescent="0.2">
      <c r="A50" s="1248">
        <v>47</v>
      </c>
      <c r="B50" s="684"/>
      <c r="C50" s="684"/>
      <c r="D50" s="1255">
        <v>2.1000000000000001E-2</v>
      </c>
      <c r="E50" s="1255">
        <v>0.96099999999999997</v>
      </c>
      <c r="F50" s="684"/>
      <c r="G50" s="684"/>
      <c r="H50" s="684"/>
      <c r="I50" s="684"/>
      <c r="J50" s="684"/>
      <c r="K50" s="1255"/>
      <c r="L50" s="1254">
        <v>7.0000000000000007E-2</v>
      </c>
      <c r="M50" s="749">
        <v>0.02</v>
      </c>
      <c r="N50" s="684"/>
      <c r="O50" s="684"/>
      <c r="P50" s="684"/>
      <c r="Q50" s="1254"/>
      <c r="R50" s="646"/>
      <c r="S50" s="1254"/>
      <c r="T50" s="1254"/>
      <c r="U50" s="1254"/>
      <c r="V50" s="1255">
        <v>0.42</v>
      </c>
      <c r="W50" s="1255">
        <v>0.36199999999999999</v>
      </c>
      <c r="X50" s="1261">
        <v>0.87</v>
      </c>
      <c r="Y50" s="1255">
        <v>0.71099999999999997</v>
      </c>
      <c r="Z50" s="1255">
        <v>9.6000000000000002E-2</v>
      </c>
      <c r="AA50" s="1255"/>
      <c r="AB50" s="1255"/>
      <c r="AC50" s="1255"/>
      <c r="AD50" s="749"/>
      <c r="AE50" s="1255">
        <v>8.9999999999999993E-3</v>
      </c>
      <c r="AF50" s="111"/>
      <c r="AG50" s="1254" t="s">
        <v>865</v>
      </c>
      <c r="AH50" s="1283">
        <f>IF('Lower Extremity-Right'!C272="","",'Lower Extremity-Right'!C272*100)</f>
        <v>0</v>
      </c>
      <c r="AI50" s="1252">
        <f>IF(AH50="","",ROUND(AH50,0))</f>
        <v>0</v>
      </c>
      <c r="AJ50" s="1255">
        <f>IF(AI50="",0,VLOOKUP(AI50,$A$3:$AE$154,13))</f>
        <v>0</v>
      </c>
      <c r="AK50" s="74"/>
      <c r="AL50" s="19"/>
      <c r="AM50" s="19"/>
      <c r="AN50" s="19"/>
      <c r="AO50" s="19"/>
      <c r="AP50" s="19"/>
      <c r="AQ50" s="1254" t="s">
        <v>865</v>
      </c>
      <c r="AR50" s="736">
        <f>IF('Lower Extremity-Left'!C272="","",'Lower Extremity-Left'!C272*100)</f>
        <v>0</v>
      </c>
      <c r="AS50" s="1252">
        <f>IF(AR50="","",ROUND(AR50,0))</f>
        <v>0</v>
      </c>
      <c r="AT50" s="1255">
        <f>IF(AS50="",0,VLOOKUP(AS50,$A$3:$AE$154,13))</f>
        <v>0</v>
      </c>
      <c r="AU50" s="74"/>
      <c r="AV50" s="19"/>
      <c r="AW50" s="19"/>
      <c r="AX50" s="19"/>
      <c r="AY50" s="19"/>
    </row>
    <row r="51" spans="1:51" x14ac:dyDescent="0.2">
      <c r="A51" s="1248">
        <v>48</v>
      </c>
      <c r="B51" s="684"/>
      <c r="C51" s="684"/>
      <c r="D51" s="1255">
        <v>1.4E-2</v>
      </c>
      <c r="E51" s="1255">
        <v>0.97399999999999998</v>
      </c>
      <c r="F51" s="684"/>
      <c r="G51" s="684"/>
      <c r="H51" s="684"/>
      <c r="I51" s="684"/>
      <c r="J51" s="684"/>
      <c r="K51" s="1255"/>
      <c r="L51" s="1254">
        <v>7.0000000000000007E-2</v>
      </c>
      <c r="M51" s="749">
        <v>0.02</v>
      </c>
      <c r="N51" s="684"/>
      <c r="O51" s="684"/>
      <c r="P51" s="684"/>
      <c r="Q51" s="1254"/>
      <c r="R51" s="646"/>
      <c r="S51" s="1254"/>
      <c r="T51" s="1254"/>
      <c r="U51" s="1254"/>
      <c r="V51" s="1255">
        <v>0.43</v>
      </c>
      <c r="W51" s="1255">
        <v>0.35799999999999998</v>
      </c>
      <c r="X51" s="1261">
        <v>0.88</v>
      </c>
      <c r="Y51" s="1255">
        <v>0.77400000000000002</v>
      </c>
      <c r="Z51" s="1255">
        <v>9.4E-2</v>
      </c>
      <c r="AA51" s="1255"/>
      <c r="AB51" s="1255"/>
      <c r="AC51" s="1255"/>
      <c r="AD51" s="749"/>
      <c r="AE51" s="1255">
        <v>6.0000000000000001E-3</v>
      </c>
      <c r="AF51" s="111"/>
      <c r="AG51" s="1254" t="s">
        <v>866</v>
      </c>
      <c r="AH51" s="1283">
        <f>IF('Lower Extremity-Right'!C273="","",'Lower Extremity-Right'!C273*100)</f>
        <v>0</v>
      </c>
      <c r="AI51" s="1252">
        <f>IF(AH51="","",ROUND(AH51,0))</f>
        <v>0</v>
      </c>
      <c r="AJ51" s="1255">
        <f>IF(AI51="",0,VLOOKUP(AI51,$A$3:$AE$154,13))</f>
        <v>0</v>
      </c>
      <c r="AK51" s="74"/>
      <c r="AL51" s="19"/>
      <c r="AM51" s="19"/>
      <c r="AN51" s="19"/>
      <c r="AO51" s="19"/>
      <c r="AP51" s="19"/>
      <c r="AQ51" s="1254" t="s">
        <v>866</v>
      </c>
      <c r="AR51" s="736">
        <f>IF('Lower Extremity-Left'!C273="","",'Lower Extremity-Left'!C273*100)</f>
        <v>0</v>
      </c>
      <c r="AS51" s="1252">
        <f>IF(AR51="","",ROUND(AR51,0))</f>
        <v>0</v>
      </c>
      <c r="AT51" s="1255">
        <f>IF(AS51="",0,VLOOKUP(AS51,$A$3:$AE$154,13))</f>
        <v>0</v>
      </c>
      <c r="AU51" s="74"/>
      <c r="AV51" s="19"/>
      <c r="AW51" s="19"/>
      <c r="AX51" s="19"/>
      <c r="AY51" s="19"/>
    </row>
    <row r="52" spans="1:51" x14ac:dyDescent="0.2">
      <c r="A52" s="1248">
        <v>49</v>
      </c>
      <c r="B52" s="684"/>
      <c r="C52" s="684"/>
      <c r="D52" s="1255">
        <v>7.0000000000000001E-3</v>
      </c>
      <c r="E52" s="1255">
        <v>0.98699999999999999</v>
      </c>
      <c r="F52" s="684"/>
      <c r="G52" s="684"/>
      <c r="H52" s="684"/>
      <c r="I52" s="684"/>
      <c r="J52" s="684"/>
      <c r="K52" s="1255"/>
      <c r="L52" s="1254">
        <v>7.0000000000000007E-2</v>
      </c>
      <c r="M52" s="749">
        <v>0.02</v>
      </c>
      <c r="N52" s="684"/>
      <c r="O52" s="684"/>
      <c r="P52" s="684"/>
      <c r="Q52" s="1254"/>
      <c r="R52" s="646"/>
      <c r="S52" s="1254"/>
      <c r="T52" s="1254"/>
      <c r="U52" s="1254"/>
      <c r="V52" s="1261">
        <v>0.44</v>
      </c>
      <c r="W52" s="1255">
        <v>0.35399999999999998</v>
      </c>
      <c r="X52" s="1261">
        <v>0.89</v>
      </c>
      <c r="Y52" s="1255">
        <v>0.83699999999999997</v>
      </c>
      <c r="Z52" s="1255">
        <v>9.1999999999999998E-2</v>
      </c>
      <c r="AA52" s="1255"/>
      <c r="AB52" s="1255"/>
      <c r="AC52" s="1255"/>
      <c r="AD52" s="749"/>
      <c r="AE52" s="1255">
        <v>3.0000000000000001E-3</v>
      </c>
      <c r="AF52" s="111"/>
      <c r="AG52" s="1254" t="s">
        <v>867</v>
      </c>
      <c r="AH52" s="1283">
        <f>IF('Lower Extremity-Right'!C274="","",'Lower Extremity-Right'!C274*100)</f>
        <v>0</v>
      </c>
      <c r="AI52" s="1252">
        <f>IF(AH52="","",ROUND(AH52,0))</f>
        <v>0</v>
      </c>
      <c r="AJ52" s="1255">
        <f>IF(AI52="",0,VLOOKUP(AI52,$A$3:$AE$154,13))</f>
        <v>0</v>
      </c>
      <c r="AK52" s="74"/>
      <c r="AL52" s="19"/>
      <c r="AM52" s="19"/>
      <c r="AN52" s="19"/>
      <c r="AO52" s="19"/>
      <c r="AP52" s="19"/>
      <c r="AQ52" s="1254" t="s">
        <v>867</v>
      </c>
      <c r="AR52" s="736">
        <f>IF('Lower Extremity-Left'!C274="","",'Lower Extremity-Left'!C274*100)</f>
        <v>0</v>
      </c>
      <c r="AS52" s="1252">
        <f>IF(AR52="","",ROUND(AR52,0))</f>
        <v>0</v>
      </c>
      <c r="AT52" s="1255">
        <f>IF(AS52="",0,VLOOKUP(AS52,$A$3:$AE$154,13))</f>
        <v>0</v>
      </c>
      <c r="AU52" s="74"/>
      <c r="AV52" s="19"/>
      <c r="AW52" s="19"/>
      <c r="AX52" s="19"/>
      <c r="AY52" s="19"/>
    </row>
    <row r="53" spans="1:51" x14ac:dyDescent="0.2">
      <c r="A53" s="1248">
        <v>50</v>
      </c>
      <c r="B53" s="684"/>
      <c r="C53" s="684"/>
      <c r="D53" s="1255">
        <v>0</v>
      </c>
      <c r="E53" s="1255">
        <v>1</v>
      </c>
      <c r="F53" s="684"/>
      <c r="G53" s="684"/>
      <c r="H53" s="684"/>
      <c r="I53" s="684"/>
      <c r="J53" s="684"/>
      <c r="K53" s="1255"/>
      <c r="L53" s="1254">
        <v>7.0000000000000007E-2</v>
      </c>
      <c r="M53" s="749">
        <v>0.02</v>
      </c>
      <c r="N53" s="684"/>
      <c r="O53" s="684"/>
      <c r="P53" s="684"/>
      <c r="Q53" s="1254"/>
      <c r="R53" s="646"/>
      <c r="S53" s="1254"/>
      <c r="T53" s="1254"/>
      <c r="U53" s="1254"/>
      <c r="V53" s="1255">
        <v>0.45</v>
      </c>
      <c r="W53" s="1255">
        <v>0.35</v>
      </c>
      <c r="X53" s="1264">
        <v>0.9</v>
      </c>
      <c r="Y53" s="1264">
        <v>0.9</v>
      </c>
      <c r="Z53" s="1255">
        <v>0.09</v>
      </c>
      <c r="AA53" s="1255"/>
      <c r="AB53" s="1255"/>
      <c r="AC53" s="1255"/>
      <c r="AD53" s="749"/>
      <c r="AE53" s="1255">
        <v>0</v>
      </c>
      <c r="AF53" s="111"/>
      <c r="AG53" s="19"/>
      <c r="AH53" s="74"/>
      <c r="AI53" s="74"/>
      <c r="AJ53" s="19"/>
      <c r="AK53" s="74"/>
      <c r="AL53" s="19"/>
      <c r="AM53" s="19"/>
      <c r="AN53" s="19"/>
      <c r="AO53" s="19"/>
      <c r="AP53" s="19"/>
      <c r="AQ53" s="19"/>
      <c r="AR53" s="74"/>
      <c r="AS53" s="74"/>
      <c r="AT53" s="19"/>
      <c r="AU53" s="74"/>
      <c r="AV53" s="19"/>
      <c r="AW53" s="19"/>
      <c r="AX53" s="19"/>
      <c r="AY53" s="19"/>
    </row>
    <row r="54" spans="1:51" x14ac:dyDescent="0.2">
      <c r="A54" s="1248">
        <v>51</v>
      </c>
      <c r="B54" s="684"/>
      <c r="C54" s="684"/>
      <c r="D54" s="684"/>
      <c r="E54" s="684"/>
      <c r="F54" s="684"/>
      <c r="G54" s="684"/>
      <c r="H54" s="684"/>
      <c r="I54" s="684"/>
      <c r="J54" s="684"/>
      <c r="K54" s="1255"/>
      <c r="L54" s="1254">
        <v>0.08</v>
      </c>
      <c r="M54" s="749">
        <v>0.02</v>
      </c>
      <c r="N54" s="684"/>
      <c r="O54" s="684"/>
      <c r="P54" s="684"/>
      <c r="Q54" s="1254"/>
      <c r="R54" s="646"/>
      <c r="S54" s="1254"/>
      <c r="T54" s="1254"/>
      <c r="U54" s="1254"/>
      <c r="V54" s="1255">
        <v>0.46</v>
      </c>
      <c r="W54" s="1255">
        <v>0.34699999999999998</v>
      </c>
      <c r="X54" s="1264">
        <v>0.9</v>
      </c>
      <c r="Y54" s="1264">
        <v>0.9</v>
      </c>
      <c r="Z54" s="1255">
        <v>8.7999999999999995E-2</v>
      </c>
      <c r="AA54" s="1255"/>
      <c r="AB54" s="1255"/>
      <c r="AC54" s="1255"/>
      <c r="AD54" s="749"/>
      <c r="AE54" s="1255"/>
      <c r="AF54" s="111"/>
      <c r="AG54" s="1250" t="s">
        <v>1727</v>
      </c>
      <c r="AK54" s="74"/>
      <c r="AL54" s="19"/>
      <c r="AM54" s="19"/>
      <c r="AN54" s="19"/>
      <c r="AO54" s="19"/>
      <c r="AP54" s="19"/>
      <c r="AQ54" s="1250" t="s">
        <v>1727</v>
      </c>
      <c r="AU54" s="74"/>
      <c r="AV54" s="19"/>
      <c r="AW54" s="19"/>
      <c r="AX54" s="19"/>
      <c r="AY54" s="19"/>
    </row>
    <row r="55" spans="1:51" x14ac:dyDescent="0.2">
      <c r="A55" s="1248">
        <v>52</v>
      </c>
      <c r="B55" s="684"/>
      <c r="C55" s="684"/>
      <c r="D55" s="684"/>
      <c r="E55" s="684"/>
      <c r="F55" s="684"/>
      <c r="G55" s="684"/>
      <c r="H55" s="684"/>
      <c r="I55" s="684"/>
      <c r="J55" s="684"/>
      <c r="K55" s="1255"/>
      <c r="L55" s="1254">
        <v>0.08</v>
      </c>
      <c r="M55" s="749">
        <v>0.02</v>
      </c>
      <c r="N55" s="684"/>
      <c r="O55" s="684"/>
      <c r="P55" s="684"/>
      <c r="Q55" s="1254"/>
      <c r="R55" s="646"/>
      <c r="S55" s="1254"/>
      <c r="T55" s="1254"/>
      <c r="U55" s="1254"/>
      <c r="V55" s="1255">
        <v>0.47</v>
      </c>
      <c r="W55" s="1255">
        <v>0.34399999999999997</v>
      </c>
      <c r="X55" s="1264">
        <v>0.9</v>
      </c>
      <c r="Y55" s="1264">
        <v>0.9</v>
      </c>
      <c r="Z55" s="1255">
        <v>8.5999999999999993E-2</v>
      </c>
      <c r="AA55" s="1255"/>
      <c r="AB55" s="1255"/>
      <c r="AC55" s="1255"/>
      <c r="AD55" s="749"/>
      <c r="AE55" s="1255"/>
      <c r="AF55" s="111"/>
      <c r="AG55" s="1247" t="s">
        <v>852</v>
      </c>
      <c r="AH55" s="821" t="str">
        <f>IF('Lower Extremity-Right'!T377="","",'Lower Extremity-Right'!T377)</f>
        <v/>
      </c>
      <c r="AI55" s="1252" t="str">
        <f>IF(AH55="","",ROUND(AH55,0))</f>
        <v/>
      </c>
      <c r="AJ55" s="243">
        <f>IF(AI55="",0,VLOOKUP(AI55,$A$3:$AE$154,23))</f>
        <v>0</v>
      </c>
      <c r="AK55" s="74"/>
      <c r="AL55" s="1254" t="s">
        <v>1597</v>
      </c>
      <c r="AM55" s="1252" t="str">
        <f>IF('Lower Extremity-Right'!V377="","",'Lower Extremity-Right'!V377)</f>
        <v/>
      </c>
      <c r="AN55" s="1252" t="str">
        <f>IF(AM55="","",ROUND(AM55,0))</f>
        <v/>
      </c>
      <c r="AO55" s="243">
        <f>IF(AN55="",0,VLOOKUP(AN55,$A$3:$AE$154,23))</f>
        <v>0</v>
      </c>
      <c r="AP55" s="19"/>
      <c r="AQ55" s="1247" t="s">
        <v>852</v>
      </c>
      <c r="AR55" s="1252" t="str">
        <f>IF('Lower Extremity-Left'!T377="","",'Lower Extremity-Left'!T377)</f>
        <v/>
      </c>
      <c r="AS55" s="1252" t="str">
        <f>IF(AR55="","",ROUND(AR55,0))</f>
        <v/>
      </c>
      <c r="AT55" s="243">
        <f>IF(AS55="",0,VLOOKUP(AS55,$A$3:$AE$154,23))</f>
        <v>0</v>
      </c>
      <c r="AU55" s="74"/>
      <c r="AV55" s="1254" t="s">
        <v>1597</v>
      </c>
      <c r="AW55" s="1252" t="str">
        <f>IF('Lower Extremity-Left'!V377="","",'Lower Extremity-Left'!V377)</f>
        <v/>
      </c>
      <c r="AX55" s="1252" t="str">
        <f>IF(AW55="","",ROUND(AW55,0))</f>
        <v/>
      </c>
      <c r="AY55" s="243">
        <f>IF(AX55="",0,VLOOKUP(AX55,$A$3:$AE$154,23))</f>
        <v>0</v>
      </c>
    </row>
    <row r="56" spans="1:51" x14ac:dyDescent="0.2">
      <c r="A56" s="1248">
        <v>53</v>
      </c>
      <c r="B56" s="684"/>
      <c r="C56" s="684"/>
      <c r="D56" s="684"/>
      <c r="E56" s="684"/>
      <c r="F56" s="684"/>
      <c r="G56" s="684"/>
      <c r="H56" s="684"/>
      <c r="I56" s="684"/>
      <c r="J56" s="684"/>
      <c r="K56" s="1255"/>
      <c r="L56" s="1254">
        <v>0.08</v>
      </c>
      <c r="M56" s="749">
        <v>0.02</v>
      </c>
      <c r="N56" s="684"/>
      <c r="O56" s="684"/>
      <c r="P56" s="684"/>
      <c r="Q56" s="1254"/>
      <c r="R56" s="646"/>
      <c r="S56" s="1254"/>
      <c r="T56" s="1254"/>
      <c r="U56" s="1254"/>
      <c r="V56" s="1255">
        <v>0.48</v>
      </c>
      <c r="W56" s="1255">
        <v>0.34100000000000003</v>
      </c>
      <c r="X56" s="1264">
        <v>0.9</v>
      </c>
      <c r="Y56" s="1264">
        <v>0.9</v>
      </c>
      <c r="Z56" s="1255">
        <v>8.4000000000000005E-2</v>
      </c>
      <c r="AA56" s="1255"/>
      <c r="AB56" s="1255"/>
      <c r="AC56" s="1255"/>
      <c r="AD56" s="749"/>
      <c r="AE56" s="1255"/>
      <c r="AF56" s="111"/>
      <c r="AG56" s="1247" t="s">
        <v>1204</v>
      </c>
      <c r="AH56" s="821" t="str">
        <f>IF('Lower Extremity-Right'!T378="","",'Lower Extremity-Right'!T378)</f>
        <v/>
      </c>
      <c r="AI56" s="1252" t="str">
        <f>IF(AH56="","",ROUND(AH56,0))</f>
        <v/>
      </c>
      <c r="AJ56" s="243">
        <f>IF(AI56="",0,VLOOKUP(AI56,$A$3:$AE$154,24))</f>
        <v>0</v>
      </c>
      <c r="AK56" s="74"/>
      <c r="AL56" s="19"/>
      <c r="AM56" s="19"/>
      <c r="AN56" s="19"/>
      <c r="AO56" s="19"/>
      <c r="AP56" s="19"/>
      <c r="AQ56" s="1247" t="s">
        <v>1204</v>
      </c>
      <c r="AR56" s="1252" t="str">
        <f>IF('Lower Extremity-Left'!T378="","",'Lower Extremity-Left'!T378)</f>
        <v/>
      </c>
      <c r="AS56" s="1252" t="str">
        <f>IF(AR56="","",ROUND(AR56,0))</f>
        <v/>
      </c>
      <c r="AT56" s="243">
        <f>IF(AS56="",0,VLOOKUP(AS56,$A$3:$AE$154,24))</f>
        <v>0</v>
      </c>
      <c r="AU56" s="74"/>
      <c r="AV56" s="19"/>
      <c r="AW56" s="19"/>
      <c r="AX56" s="19"/>
      <c r="AY56" s="19"/>
    </row>
    <row r="57" spans="1:51" x14ac:dyDescent="0.2">
      <c r="A57" s="1248">
        <v>54</v>
      </c>
      <c r="B57" s="684"/>
      <c r="C57" s="684"/>
      <c r="D57" s="684"/>
      <c r="E57" s="684"/>
      <c r="F57" s="684"/>
      <c r="G57" s="684"/>
      <c r="H57" s="684"/>
      <c r="I57" s="684"/>
      <c r="J57" s="684"/>
      <c r="K57" s="1255"/>
      <c r="L57" s="1254">
        <v>0.08</v>
      </c>
      <c r="M57" s="749">
        <v>0.02</v>
      </c>
      <c r="N57" s="684"/>
      <c r="O57" s="684"/>
      <c r="P57" s="684"/>
      <c r="Q57" s="1254"/>
      <c r="R57" s="646"/>
      <c r="S57" s="1254"/>
      <c r="T57" s="1254"/>
      <c r="U57" s="1254"/>
      <c r="V57" s="1255">
        <v>0.49</v>
      </c>
      <c r="W57" s="1255">
        <v>0.33800000000000002</v>
      </c>
      <c r="X57" s="1264">
        <v>0.9</v>
      </c>
      <c r="Y57" s="1264">
        <v>0.9</v>
      </c>
      <c r="Z57" s="1255">
        <v>8.2000000000000003E-2</v>
      </c>
      <c r="AA57" s="1255"/>
      <c r="AB57" s="1255"/>
      <c r="AC57" s="1255"/>
      <c r="AD57" s="749"/>
      <c r="AE57" s="1255"/>
      <c r="AF57" s="111"/>
      <c r="AG57" s="1253" t="s">
        <v>853</v>
      </c>
      <c r="AH57" s="821" t="str">
        <f>IF('Lower Extremity-Right'!T379="","",'Lower Extremity-Right'!T379)</f>
        <v/>
      </c>
      <c r="AI57" s="1252" t="str">
        <f>IF(AH57="","",ROUND(AH57,0))</f>
        <v/>
      </c>
      <c r="AJ57" s="243">
        <f>IF(AI57="",0,VLOOKUP(AI57,$A$3:$AE$154,25))</f>
        <v>0</v>
      </c>
      <c r="AK57" s="74"/>
      <c r="AL57" s="1254" t="s">
        <v>1597</v>
      </c>
      <c r="AM57" s="1252" t="str">
        <f>IF('Lower Extremity-Right'!V379="","",'Lower Extremity-Right'!V379)</f>
        <v/>
      </c>
      <c r="AN57" s="1252" t="str">
        <f>IF(AM57="","",ROUND(AM57,0))</f>
        <v/>
      </c>
      <c r="AO57" s="243">
        <f>IF(AN57="",0,VLOOKUP(AN57,$A$3:$AE$154,25))</f>
        <v>0</v>
      </c>
      <c r="AP57" s="19"/>
      <c r="AQ57" s="1253" t="s">
        <v>853</v>
      </c>
      <c r="AR57" s="1252" t="str">
        <f>IF('Lower Extremity-Left'!T379="","",'Lower Extremity-Left'!T379)</f>
        <v/>
      </c>
      <c r="AS57" s="1252" t="str">
        <f>IF(AR57="","",ROUND(AR57,0))</f>
        <v/>
      </c>
      <c r="AT57" s="243">
        <f>IF(AS57="",0,VLOOKUP(AS57,$A$3:$AE$154,25))</f>
        <v>0</v>
      </c>
      <c r="AU57" s="74"/>
      <c r="AV57" s="1254" t="s">
        <v>1597</v>
      </c>
      <c r="AW57" s="1252" t="str">
        <f>IF('Lower Extremity-Left'!V379="","",'Lower Extremity-Left'!V379)</f>
        <v/>
      </c>
      <c r="AX57" s="1252" t="str">
        <f>IF(AW57="","",ROUND(AW57,0))</f>
        <v/>
      </c>
      <c r="AY57" s="243">
        <f>IF(AX57="",0,VLOOKUP(AX57,$A$3:$AE$154,25))</f>
        <v>0</v>
      </c>
    </row>
    <row r="58" spans="1:51" x14ac:dyDescent="0.2">
      <c r="A58" s="1248">
        <v>55</v>
      </c>
      <c r="B58" s="684"/>
      <c r="C58" s="684"/>
      <c r="D58" s="684"/>
      <c r="E58" s="684"/>
      <c r="F58" s="684"/>
      <c r="G58" s="684"/>
      <c r="H58" s="684"/>
      <c r="I58" s="684"/>
      <c r="J58" s="684"/>
      <c r="K58" s="1255"/>
      <c r="L58" s="1254">
        <v>0.08</v>
      </c>
      <c r="M58" s="749">
        <v>0.02</v>
      </c>
      <c r="N58" s="684"/>
      <c r="O58" s="684"/>
      <c r="P58" s="684"/>
      <c r="Q58" s="1254"/>
      <c r="R58" s="646"/>
      <c r="S58" s="1254"/>
      <c r="T58" s="1254"/>
      <c r="U58" s="1254"/>
      <c r="V58" s="1255">
        <v>0.5</v>
      </c>
      <c r="W58" s="1255">
        <v>0.33500000000000002</v>
      </c>
      <c r="X58" s="1264">
        <v>0.9</v>
      </c>
      <c r="Y58" s="1264">
        <v>0.9</v>
      </c>
      <c r="Z58" s="1255">
        <v>0.08</v>
      </c>
      <c r="AA58" s="1255"/>
      <c r="AB58" s="1255"/>
      <c r="AC58" s="1255"/>
      <c r="AD58" s="749"/>
      <c r="AE58" s="1255"/>
      <c r="AF58" s="111"/>
      <c r="AG58" s="1253" t="s">
        <v>1206</v>
      </c>
      <c r="AH58" s="821" t="str">
        <f>IF('Lower Extremity-Right'!T380="","",'Lower Extremity-Right'!T380)</f>
        <v/>
      </c>
      <c r="AI58" s="1252" t="str">
        <f>IF(AH58="","",ROUND(AH58,0))</f>
        <v/>
      </c>
      <c r="AJ58" s="243">
        <f>IF(AI58="",0,VLOOKUP(AI58,$A$3:$AE$154,24))</f>
        <v>0</v>
      </c>
      <c r="AK58" s="74"/>
      <c r="AL58" s="19"/>
      <c r="AM58" s="19"/>
      <c r="AN58" s="19"/>
      <c r="AO58" s="19"/>
      <c r="AP58" s="19"/>
      <c r="AQ58" s="1253" t="s">
        <v>1206</v>
      </c>
      <c r="AR58" s="1252" t="str">
        <f>IF('Lower Extremity-Left'!T380="","",'Lower Extremity-Left'!T380)</f>
        <v/>
      </c>
      <c r="AS58" s="1252" t="str">
        <f>IF(AR58="","",ROUND(AR58,0))</f>
        <v/>
      </c>
      <c r="AT58" s="243">
        <f>IF(AS58="",0,VLOOKUP(AS58,$A$3:$AE$154,24))</f>
        <v>0</v>
      </c>
      <c r="AU58" s="74"/>
      <c r="AV58" s="19"/>
      <c r="AW58" s="19"/>
      <c r="AX58" s="19"/>
      <c r="AY58" s="19"/>
    </row>
    <row r="59" spans="1:51" x14ac:dyDescent="0.2">
      <c r="A59" s="1248">
        <v>56</v>
      </c>
      <c r="B59" s="684"/>
      <c r="C59" s="684"/>
      <c r="D59" s="684"/>
      <c r="E59" s="684"/>
      <c r="F59" s="684"/>
      <c r="G59" s="684"/>
      <c r="H59" s="684"/>
      <c r="I59" s="684"/>
      <c r="J59" s="684"/>
      <c r="K59" s="1255"/>
      <c r="L59" s="1254">
        <v>0.08</v>
      </c>
      <c r="M59" s="749">
        <v>0.02</v>
      </c>
      <c r="N59" s="684"/>
      <c r="O59" s="684"/>
      <c r="P59" s="684"/>
      <c r="Q59" s="1254"/>
      <c r="R59" s="646"/>
      <c r="S59" s="1254"/>
      <c r="T59" s="1254"/>
      <c r="U59" s="1254"/>
      <c r="V59" s="1255">
        <v>0.5</v>
      </c>
      <c r="W59" s="1255">
        <v>0.33200000000000002</v>
      </c>
      <c r="X59" s="1264">
        <v>0.9</v>
      </c>
      <c r="Y59" s="1264">
        <v>0.9</v>
      </c>
      <c r="Z59" s="1255">
        <v>7.8E-2</v>
      </c>
      <c r="AA59" s="1255"/>
      <c r="AB59" s="1255"/>
      <c r="AC59" s="1255"/>
      <c r="AD59" s="749"/>
      <c r="AE59" s="1255"/>
      <c r="AF59" s="111"/>
      <c r="AG59" s="19"/>
      <c r="AH59" s="74"/>
      <c r="AI59" s="74"/>
      <c r="AJ59" s="19"/>
      <c r="AK59" s="74"/>
      <c r="AL59" s="19"/>
      <c r="AM59" s="19"/>
      <c r="AN59" s="19"/>
      <c r="AO59" s="19"/>
      <c r="AP59" s="19"/>
      <c r="AQ59" s="19"/>
      <c r="AR59" s="74"/>
      <c r="AS59" s="74"/>
      <c r="AT59" s="19"/>
      <c r="AU59" s="74"/>
      <c r="AV59" s="19"/>
      <c r="AW59" s="19"/>
      <c r="AX59" s="19"/>
      <c r="AY59" s="19"/>
    </row>
    <row r="60" spans="1:51" x14ac:dyDescent="0.2">
      <c r="A60" s="1248">
        <v>57</v>
      </c>
      <c r="B60" s="684"/>
      <c r="C60" s="684"/>
      <c r="D60" s="684"/>
      <c r="E60" s="684"/>
      <c r="F60" s="684"/>
      <c r="G60" s="684"/>
      <c r="H60" s="684"/>
      <c r="I60" s="684"/>
      <c r="J60" s="684"/>
      <c r="K60" s="1255"/>
      <c r="L60" s="1254">
        <v>0.08</v>
      </c>
      <c r="M60" s="749">
        <v>0.02</v>
      </c>
      <c r="N60" s="684"/>
      <c r="O60" s="684"/>
      <c r="P60" s="684"/>
      <c r="Q60" s="1254"/>
      <c r="R60" s="646"/>
      <c r="S60" s="1254"/>
      <c r="T60" s="1254"/>
      <c r="U60" s="1254"/>
      <c r="V60" s="1255">
        <v>0.51</v>
      </c>
      <c r="W60" s="1255">
        <v>0.32900000000000001</v>
      </c>
      <c r="X60" s="1264">
        <v>0.9</v>
      </c>
      <c r="Y60" s="1264">
        <v>0.9</v>
      </c>
      <c r="Z60" s="1255">
        <v>7.5999999999999998E-2</v>
      </c>
      <c r="AA60" s="1255"/>
      <c r="AB60" s="1255"/>
      <c r="AC60" s="1255"/>
      <c r="AD60" s="749"/>
      <c r="AE60" s="1255"/>
      <c r="AF60" s="111"/>
      <c r="AG60" s="1254" t="s">
        <v>1963</v>
      </c>
      <c r="AH60" s="74"/>
      <c r="AI60" s="74"/>
      <c r="AJ60" s="19"/>
      <c r="AK60" s="74"/>
      <c r="AL60" s="19"/>
      <c r="AM60" s="19"/>
      <c r="AN60" s="19"/>
      <c r="AO60" s="19"/>
      <c r="AP60" s="19"/>
      <c r="AQ60" s="1254" t="s">
        <v>1963</v>
      </c>
      <c r="AR60" s="74"/>
      <c r="AS60" s="74"/>
      <c r="AT60" s="19"/>
      <c r="AU60" s="74"/>
      <c r="AV60" s="19"/>
      <c r="AW60" s="19"/>
      <c r="AX60" s="19"/>
      <c r="AY60" s="19"/>
    </row>
    <row r="61" spans="1:51" x14ac:dyDescent="0.2">
      <c r="A61" s="1248">
        <v>58</v>
      </c>
      <c r="B61" s="684"/>
      <c r="C61" s="684"/>
      <c r="D61" s="684"/>
      <c r="E61" s="684"/>
      <c r="F61" s="684"/>
      <c r="G61" s="684"/>
      <c r="H61" s="684"/>
      <c r="I61" s="684"/>
      <c r="J61" s="684"/>
      <c r="K61" s="1255"/>
      <c r="L61" s="1254">
        <v>0.09</v>
      </c>
      <c r="M61" s="749">
        <v>0.02</v>
      </c>
      <c r="N61" s="684"/>
      <c r="O61" s="684"/>
      <c r="P61" s="684"/>
      <c r="Q61" s="1254"/>
      <c r="R61" s="646"/>
      <c r="S61" s="1254"/>
      <c r="T61" s="1254"/>
      <c r="U61" s="1254"/>
      <c r="V61" s="1255">
        <v>0.52</v>
      </c>
      <c r="W61" s="1255">
        <v>0.32600000000000001</v>
      </c>
      <c r="X61" s="1264">
        <v>0.9</v>
      </c>
      <c r="Y61" s="1264">
        <v>0.9</v>
      </c>
      <c r="Z61" s="1255">
        <v>7.3999999999999996E-2</v>
      </c>
      <c r="AA61" s="1255"/>
      <c r="AB61" s="1255"/>
      <c r="AC61" s="1255"/>
      <c r="AD61" s="749"/>
      <c r="AE61" s="1255"/>
      <c r="AF61" s="111"/>
      <c r="AG61" s="1254" t="s">
        <v>195</v>
      </c>
      <c r="AH61" s="821" t="str">
        <f>IF('Lower Extremity-Right'!T382="","",'Lower Extremity-Right'!T382)</f>
        <v/>
      </c>
      <c r="AI61" s="1252" t="str">
        <f t="shared" ref="AI61:AI68" si="0">IF(AH61="","",ROUND(AH61,0))</f>
        <v/>
      </c>
      <c r="AJ61" s="243">
        <f>IF(AI61="",0,VLOOKUP(AI61,$A$3:$AE$154,26))</f>
        <v>0</v>
      </c>
      <c r="AK61" s="74"/>
      <c r="AL61" s="1254" t="s">
        <v>1597</v>
      </c>
      <c r="AM61" s="1252" t="str">
        <f>IF('Lower Extremity-Right'!V382="","",'Lower Extremity-Right'!V382)</f>
        <v/>
      </c>
      <c r="AN61" s="1252" t="str">
        <f t="shared" ref="AN61:AN66" si="1">IF(AM61="","",ROUND(AM61,0))</f>
        <v/>
      </c>
      <c r="AO61" s="243">
        <f>IF(AN61="",0,VLOOKUP(AN61,$A$3:$AE$154,26))</f>
        <v>0</v>
      </c>
      <c r="AP61" s="19"/>
      <c r="AQ61" s="1254" t="s">
        <v>195</v>
      </c>
      <c r="AR61" s="1252" t="str">
        <f>IF('Lower Extremity-Left'!T382="","",'Lower Extremity-Left'!T382)</f>
        <v/>
      </c>
      <c r="AS61" s="1252" t="str">
        <f t="shared" ref="AS61:AS66" si="2">IF(AR61="","",ROUND(AR61,0))</f>
        <v/>
      </c>
      <c r="AT61" s="243">
        <f>IF(AS61="",0,VLOOKUP(AS61,$A$3:$AE$154,26))</f>
        <v>0</v>
      </c>
      <c r="AU61" s="74"/>
      <c r="AV61" s="1254" t="s">
        <v>1597</v>
      </c>
      <c r="AW61" s="1252" t="str">
        <f>IF('Lower Extremity-Left'!V382="","",'Lower Extremity-Left'!V382)</f>
        <v/>
      </c>
      <c r="AX61" s="1252" t="str">
        <f t="shared" ref="AX61:AX66" si="3">IF(AW61="","",ROUND(AW61,0))</f>
        <v/>
      </c>
      <c r="AY61" s="243">
        <f>IF(AX61="",0,VLOOKUP(AX61,$A$3:$AE$154,26))</f>
        <v>0</v>
      </c>
    </row>
    <row r="62" spans="1:51" x14ac:dyDescent="0.2">
      <c r="A62" s="1248">
        <v>59</v>
      </c>
      <c r="B62" s="684"/>
      <c r="C62" s="684"/>
      <c r="D62" s="684"/>
      <c r="E62" s="684"/>
      <c r="F62" s="684"/>
      <c r="G62" s="684"/>
      <c r="H62" s="684"/>
      <c r="I62" s="684"/>
      <c r="J62" s="684"/>
      <c r="K62" s="1255"/>
      <c r="L62" s="1254">
        <v>0.09</v>
      </c>
      <c r="M62" s="749">
        <v>0.02</v>
      </c>
      <c r="N62" s="684"/>
      <c r="O62" s="684"/>
      <c r="P62" s="684"/>
      <c r="Q62" s="1254"/>
      <c r="R62" s="646"/>
      <c r="S62" s="1254"/>
      <c r="T62" s="1254"/>
      <c r="U62" s="1254"/>
      <c r="V62" s="1255">
        <v>0.53</v>
      </c>
      <c r="W62" s="1255">
        <v>0.32300000000000001</v>
      </c>
      <c r="X62" s="1264">
        <v>0.9</v>
      </c>
      <c r="Y62" s="1264">
        <v>0.9</v>
      </c>
      <c r="Z62" s="1255">
        <v>7.1999999999999995E-2</v>
      </c>
      <c r="AA62" s="1255"/>
      <c r="AB62" s="1255"/>
      <c r="AC62" s="1255"/>
      <c r="AD62" s="749"/>
      <c r="AE62" s="1255"/>
      <c r="AF62" s="111"/>
      <c r="AG62" s="1254" t="s">
        <v>1941</v>
      </c>
      <c r="AH62" s="821" t="str">
        <f>IF('Lower Extremity-Right'!T383="","",'Lower Extremity-Right'!T383)</f>
        <v/>
      </c>
      <c r="AI62" s="1252" t="str">
        <f t="shared" si="0"/>
        <v/>
      </c>
      <c r="AJ62" s="243">
        <f>IF(AI62="",0,VLOOKUP(AI62,$A$3:$AE$154,27))</f>
        <v>0</v>
      </c>
      <c r="AK62" s="74"/>
      <c r="AL62" s="1254" t="s">
        <v>1597</v>
      </c>
      <c r="AM62" s="1252" t="str">
        <f>IF('Lower Extremity-Right'!V383="","",'Lower Extremity-Right'!V383)</f>
        <v/>
      </c>
      <c r="AN62" s="1252" t="str">
        <f t="shared" si="1"/>
        <v/>
      </c>
      <c r="AO62" s="243">
        <f>IF(AN62="",0,VLOOKUP(AN62,$A$3:$AE$154,27))</f>
        <v>0</v>
      </c>
      <c r="AP62" s="19"/>
      <c r="AQ62" s="1254" t="s">
        <v>1941</v>
      </c>
      <c r="AR62" s="1252" t="str">
        <f>IF('Lower Extremity-Left'!T383="","",'Lower Extremity-Left'!T383)</f>
        <v/>
      </c>
      <c r="AS62" s="1252" t="str">
        <f t="shared" si="2"/>
        <v/>
      </c>
      <c r="AT62" s="243">
        <f>IF(AS62="",0,VLOOKUP(AS62,$A$3:$AE$154,27))</f>
        <v>0</v>
      </c>
      <c r="AU62" s="74"/>
      <c r="AV62" s="1254" t="s">
        <v>1597</v>
      </c>
      <c r="AW62" s="1252" t="str">
        <f>IF('Lower Extremity-Left'!V383="","",'Lower Extremity-Left'!V383)</f>
        <v/>
      </c>
      <c r="AX62" s="1252" t="str">
        <f t="shared" si="3"/>
        <v/>
      </c>
      <c r="AY62" s="243">
        <f>IF(AX62="",0,VLOOKUP(AX62,$A$3:$AE$154,27))</f>
        <v>0</v>
      </c>
    </row>
    <row r="63" spans="1:51" x14ac:dyDescent="0.2">
      <c r="A63" s="1248">
        <v>60</v>
      </c>
      <c r="B63" s="684"/>
      <c r="C63" s="684"/>
      <c r="D63" s="684"/>
      <c r="E63" s="684"/>
      <c r="F63" s="684"/>
      <c r="G63" s="684"/>
      <c r="H63" s="684"/>
      <c r="I63" s="684"/>
      <c r="J63" s="684"/>
      <c r="K63" s="1255"/>
      <c r="L63" s="1254">
        <v>0.09</v>
      </c>
      <c r="M63" s="749">
        <v>0.02</v>
      </c>
      <c r="N63" s="684"/>
      <c r="O63" s="684"/>
      <c r="P63" s="684"/>
      <c r="Q63" s="1254"/>
      <c r="R63" s="646"/>
      <c r="S63" s="1254"/>
      <c r="T63" s="1254"/>
      <c r="U63" s="1254"/>
      <c r="V63" s="1255">
        <v>0.54</v>
      </c>
      <c r="W63" s="1255">
        <v>0.32</v>
      </c>
      <c r="X63" s="1264">
        <v>0.9</v>
      </c>
      <c r="Y63" s="1264">
        <v>0.9</v>
      </c>
      <c r="Z63" s="1255">
        <v>7.0000000000000007E-2</v>
      </c>
      <c r="AA63" s="1255"/>
      <c r="AB63" s="1255"/>
      <c r="AC63" s="1255"/>
      <c r="AD63" s="749"/>
      <c r="AE63" s="1255"/>
      <c r="AF63" s="111"/>
      <c r="AG63" s="1254" t="s">
        <v>691</v>
      </c>
      <c r="AH63" s="821" t="str">
        <f>IF('Lower Extremity-Right'!T384="","",'Lower Extremity-Right'!T384)</f>
        <v/>
      </c>
      <c r="AI63" s="1252" t="str">
        <f t="shared" si="0"/>
        <v/>
      </c>
      <c r="AJ63" s="243">
        <f>IF(AI63="",0,VLOOKUP(AI63,$A$3:$AE$154,28))</f>
        <v>0</v>
      </c>
      <c r="AK63" s="74"/>
      <c r="AL63" s="1254" t="s">
        <v>1597</v>
      </c>
      <c r="AM63" s="1252" t="str">
        <f>IF('Lower Extremity-Right'!V384="","",'Lower Extremity-Right'!V384)</f>
        <v/>
      </c>
      <c r="AN63" s="1252" t="str">
        <f t="shared" si="1"/>
        <v/>
      </c>
      <c r="AO63" s="243">
        <f>IF(AN63="",0,VLOOKUP(AN63,$A$3:$AE$154,28))</f>
        <v>0</v>
      </c>
      <c r="AP63" s="19"/>
      <c r="AQ63" s="1254" t="s">
        <v>691</v>
      </c>
      <c r="AR63" s="1252" t="str">
        <f>IF('Lower Extremity-Left'!T384="","",'Lower Extremity-Left'!T384)</f>
        <v/>
      </c>
      <c r="AS63" s="1252" t="str">
        <f t="shared" si="2"/>
        <v/>
      </c>
      <c r="AT63" s="243">
        <f>IF(AS63="",0,VLOOKUP(AS63,$A$3:$AE$154,28))</f>
        <v>0</v>
      </c>
      <c r="AU63" s="74"/>
      <c r="AV63" s="1254" t="s">
        <v>1597</v>
      </c>
      <c r="AW63" s="1252" t="str">
        <f>IF('Lower Extremity-Left'!V384="","",'Lower Extremity-Left'!V384)</f>
        <v/>
      </c>
      <c r="AX63" s="1252" t="str">
        <f t="shared" si="3"/>
        <v/>
      </c>
      <c r="AY63" s="243">
        <f>IF(AX63="",0,VLOOKUP(AX63,$A$3:$AE$154,28))</f>
        <v>0</v>
      </c>
    </row>
    <row r="64" spans="1:51" x14ac:dyDescent="0.2">
      <c r="A64" s="1248">
        <v>61</v>
      </c>
      <c r="B64" s="684"/>
      <c r="C64" s="684"/>
      <c r="D64" s="684"/>
      <c r="E64" s="1248"/>
      <c r="F64" s="1248"/>
      <c r="G64" s="1248"/>
      <c r="H64" s="684"/>
      <c r="I64" s="684"/>
      <c r="J64" s="684"/>
      <c r="K64" s="1255"/>
      <c r="L64" s="1254">
        <v>0.09</v>
      </c>
      <c r="M64" s="749">
        <v>0.02</v>
      </c>
      <c r="N64" s="684"/>
      <c r="O64" s="684"/>
      <c r="P64" s="684"/>
      <c r="Q64" s="1254"/>
      <c r="R64" s="646"/>
      <c r="S64" s="1254"/>
      <c r="T64" s="1254"/>
      <c r="U64" s="1254"/>
      <c r="V64" s="1255">
        <v>0.55000000000000004</v>
      </c>
      <c r="W64" s="1255">
        <v>0.316</v>
      </c>
      <c r="X64" s="1264">
        <v>0.9</v>
      </c>
      <c r="Y64" s="1264">
        <v>0.9</v>
      </c>
      <c r="Z64" s="1255">
        <v>6.8000000000000005E-2</v>
      </c>
      <c r="AA64" s="1255"/>
      <c r="AB64" s="1255"/>
      <c r="AC64" s="1255"/>
      <c r="AD64" s="749"/>
      <c r="AE64" s="1255"/>
      <c r="AF64" s="111"/>
      <c r="AG64" s="1254" t="s">
        <v>695</v>
      </c>
      <c r="AH64" s="821" t="str">
        <f>IF('Lower Extremity-Right'!T385="","",'Lower Extremity-Right'!T385)</f>
        <v/>
      </c>
      <c r="AI64" s="1252" t="str">
        <f t="shared" si="0"/>
        <v/>
      </c>
      <c r="AJ64" s="243">
        <f>IF(AI64="",0,VLOOKUP(AI64,$A$3:$AE$154,29))</f>
        <v>0</v>
      </c>
      <c r="AK64" s="74"/>
      <c r="AL64" s="1254" t="s">
        <v>1597</v>
      </c>
      <c r="AM64" s="1252" t="str">
        <f>IF('Lower Extremity-Right'!V385="","",'Lower Extremity-Right'!V385)</f>
        <v/>
      </c>
      <c r="AN64" s="1252" t="str">
        <f t="shared" si="1"/>
        <v/>
      </c>
      <c r="AO64" s="243">
        <f>IF(AN64="",0,VLOOKUP(AN64,$A$3:$AE$154,29))</f>
        <v>0</v>
      </c>
      <c r="AP64" s="19"/>
      <c r="AQ64" s="1254" t="s">
        <v>695</v>
      </c>
      <c r="AR64" s="1252" t="str">
        <f>IF('Lower Extremity-Left'!T385="","",'Lower Extremity-Left'!T385)</f>
        <v/>
      </c>
      <c r="AS64" s="1252" t="str">
        <f t="shared" si="2"/>
        <v/>
      </c>
      <c r="AT64" s="243">
        <f>IF(AS64="",0,VLOOKUP(AS64,$A$3:$AE$154,29))</f>
        <v>0</v>
      </c>
      <c r="AU64" s="74"/>
      <c r="AV64" s="1254" t="s">
        <v>1597</v>
      </c>
      <c r="AW64" s="1252" t="str">
        <f>IF('Lower Extremity-Left'!V385="","",'Lower Extremity-Left'!V385)</f>
        <v/>
      </c>
      <c r="AX64" s="1252" t="str">
        <f t="shared" si="3"/>
        <v/>
      </c>
      <c r="AY64" s="243">
        <f>IF(AX64="",0,VLOOKUP(AX64,$A$3:$AE$154,29))</f>
        <v>0</v>
      </c>
    </row>
    <row r="65" spans="1:51" x14ac:dyDescent="0.2">
      <c r="A65" s="1248">
        <v>62</v>
      </c>
      <c r="B65" s="684"/>
      <c r="C65" s="684"/>
      <c r="D65" s="684"/>
      <c r="E65" s="1248"/>
      <c r="F65" s="1248"/>
      <c r="G65" s="1248"/>
      <c r="H65" s="684"/>
      <c r="I65" s="684"/>
      <c r="J65" s="684"/>
      <c r="K65" s="1255"/>
      <c r="L65" s="1254">
        <v>0.09</v>
      </c>
      <c r="M65" s="749">
        <v>0.02</v>
      </c>
      <c r="N65" s="684"/>
      <c r="O65" s="684"/>
      <c r="P65" s="684"/>
      <c r="Q65" s="1254"/>
      <c r="R65" s="646"/>
      <c r="S65" s="1254"/>
      <c r="T65" s="1254"/>
      <c r="U65" s="1254"/>
      <c r="V65" s="1255">
        <v>0.56000000000000005</v>
      </c>
      <c r="W65" s="1255">
        <v>0.312</v>
      </c>
      <c r="X65" s="1264">
        <v>0.9</v>
      </c>
      <c r="Y65" s="1264">
        <v>0.9</v>
      </c>
      <c r="Z65" s="1255">
        <v>6.6000000000000003E-2</v>
      </c>
      <c r="AA65" s="1255"/>
      <c r="AB65" s="1255"/>
      <c r="AC65" s="1255"/>
      <c r="AD65" s="749"/>
      <c r="AE65" s="1255"/>
      <c r="AF65" s="111"/>
      <c r="AG65" s="1254" t="s">
        <v>699</v>
      </c>
      <c r="AH65" s="821" t="str">
        <f>IF('Lower Extremity-Right'!T386="","",'Lower Extremity-Right'!T386)</f>
        <v/>
      </c>
      <c r="AI65" s="1252" t="str">
        <f t="shared" si="0"/>
        <v/>
      </c>
      <c r="AJ65" s="243">
        <f>IF(AI65="",0,VLOOKUP(AI65,$A$3:$AE$154,30))</f>
        <v>0</v>
      </c>
      <c r="AK65" s="74"/>
      <c r="AL65" s="1254" t="s">
        <v>1597</v>
      </c>
      <c r="AM65" s="1252" t="str">
        <f>IF('Lower Extremity-Right'!V386="","",'Lower Extremity-Right'!V386)</f>
        <v/>
      </c>
      <c r="AN65" s="1252" t="str">
        <f t="shared" si="1"/>
        <v/>
      </c>
      <c r="AO65" s="243">
        <f>IF(AN65="",0,VLOOKUP(AN65,$A$3:$AE$154,30))</f>
        <v>0</v>
      </c>
      <c r="AP65" s="19"/>
      <c r="AQ65" s="1254" t="s">
        <v>699</v>
      </c>
      <c r="AR65" s="1252" t="str">
        <f>IF('Lower Extremity-Left'!T386="","",'Lower Extremity-Left'!T386)</f>
        <v/>
      </c>
      <c r="AS65" s="1252" t="str">
        <f t="shared" si="2"/>
        <v/>
      </c>
      <c r="AT65" s="243">
        <f>IF(AS65="",0,VLOOKUP(AS65,$A$3:$AE$154,30))</f>
        <v>0</v>
      </c>
      <c r="AU65" s="74"/>
      <c r="AV65" s="1254" t="s">
        <v>1597</v>
      </c>
      <c r="AW65" s="1252" t="str">
        <f>IF('Lower Extremity-Left'!V386="","",'Lower Extremity-Left'!V386)</f>
        <v/>
      </c>
      <c r="AX65" s="1252" t="str">
        <f t="shared" si="3"/>
        <v/>
      </c>
      <c r="AY65" s="243">
        <f>IF(AX65="",0,VLOOKUP(AX65,$A$3:$AE$154,30))</f>
        <v>0</v>
      </c>
    </row>
    <row r="66" spans="1:51" x14ac:dyDescent="0.2">
      <c r="A66" s="1248">
        <v>63</v>
      </c>
      <c r="B66" s="684"/>
      <c r="C66" s="684"/>
      <c r="D66" s="684"/>
      <c r="E66" s="1248"/>
      <c r="F66" s="1248"/>
      <c r="G66" s="1248"/>
      <c r="H66" s="684"/>
      <c r="I66" s="684"/>
      <c r="J66" s="684"/>
      <c r="K66" s="1255"/>
      <c r="L66" s="1254">
        <v>0.09</v>
      </c>
      <c r="M66" s="749">
        <v>0.02</v>
      </c>
      <c r="N66" s="684"/>
      <c r="O66" s="684"/>
      <c r="P66" s="684"/>
      <c r="Q66" s="1254"/>
      <c r="R66" s="646"/>
      <c r="S66" s="1254"/>
      <c r="T66" s="1254"/>
      <c r="U66" s="1254"/>
      <c r="V66" s="1255">
        <v>0.56999999999999995</v>
      </c>
      <c r="W66" s="1255">
        <v>0.308</v>
      </c>
      <c r="X66" s="1264">
        <v>0.9</v>
      </c>
      <c r="Y66" s="1264">
        <v>0.9</v>
      </c>
      <c r="Z66" s="1255">
        <v>6.4000000000000001E-2</v>
      </c>
      <c r="AA66" s="1255"/>
      <c r="AB66" s="1255"/>
      <c r="AC66" s="1255"/>
      <c r="AD66" s="749"/>
      <c r="AE66" s="1255"/>
      <c r="AF66" s="111"/>
      <c r="AG66" s="1254" t="s">
        <v>592</v>
      </c>
      <c r="AH66" s="821" t="str">
        <f>IF('Lower Extremity-Right'!T387="","",'Lower Extremity-Right'!T387)</f>
        <v/>
      </c>
      <c r="AI66" s="1252" t="str">
        <f t="shared" si="0"/>
        <v/>
      </c>
      <c r="AJ66" s="243">
        <f>IF(AI66="",0,VLOOKUP(AI66,$A$3:$AE$154,31))</f>
        <v>0</v>
      </c>
      <c r="AK66" s="74"/>
      <c r="AL66" s="1254" t="s">
        <v>1597</v>
      </c>
      <c r="AM66" s="1252" t="str">
        <f>IF('Lower Extremity-Right'!V387="","",'Lower Extremity-Right'!V387)</f>
        <v/>
      </c>
      <c r="AN66" s="1252" t="str">
        <f t="shared" si="1"/>
        <v/>
      </c>
      <c r="AO66" s="243">
        <f>IF(AN66="",0,VLOOKUP(AN66,$A$3:$AE$154,31))</f>
        <v>0</v>
      </c>
      <c r="AP66" s="19"/>
      <c r="AQ66" s="1254" t="s">
        <v>592</v>
      </c>
      <c r="AR66" s="1252" t="str">
        <f>IF('Lower Extremity-Left'!T387="","",'Lower Extremity-Left'!T387)</f>
        <v/>
      </c>
      <c r="AS66" s="1252" t="str">
        <f t="shared" si="2"/>
        <v/>
      </c>
      <c r="AT66" s="243">
        <f>IF(AS66="",0,VLOOKUP(AS66,$A$3:$AE$154,31))</f>
        <v>0</v>
      </c>
      <c r="AU66" s="74"/>
      <c r="AV66" s="1254" t="s">
        <v>1597</v>
      </c>
      <c r="AW66" s="1252" t="str">
        <f>IF('Lower Extremity-Left'!V387="","",'Lower Extremity-Left'!V387)</f>
        <v/>
      </c>
      <c r="AX66" s="1252" t="str">
        <f t="shared" si="3"/>
        <v/>
      </c>
      <c r="AY66" s="243">
        <f>IF(AX66="",0,VLOOKUP(AX66,$A$3:$AE$154,31))</f>
        <v>0</v>
      </c>
    </row>
    <row r="67" spans="1:51" x14ac:dyDescent="0.2">
      <c r="A67" s="1248">
        <v>64</v>
      </c>
      <c r="B67" s="684"/>
      <c r="C67" s="684"/>
      <c r="D67" s="684"/>
      <c r="E67" s="1248"/>
      <c r="F67" s="1248"/>
      <c r="G67" s="1248"/>
      <c r="H67" s="684"/>
      <c r="I67" s="684"/>
      <c r="J67" s="684"/>
      <c r="K67" s="1255"/>
      <c r="L67" s="1254">
        <v>0.09</v>
      </c>
      <c r="M67" s="749">
        <v>0.02</v>
      </c>
      <c r="N67" s="684"/>
      <c r="O67" s="684"/>
      <c r="P67" s="684"/>
      <c r="Q67" s="1254"/>
      <c r="R67" s="646"/>
      <c r="S67" s="1254"/>
      <c r="T67" s="1254"/>
      <c r="U67" s="1254"/>
      <c r="V67" s="1255">
        <v>0.57999999999999996</v>
      </c>
      <c r="W67" s="1255">
        <v>0.30399999999999999</v>
      </c>
      <c r="X67" s="1264">
        <v>0.9</v>
      </c>
      <c r="Y67" s="1264">
        <v>0.9</v>
      </c>
      <c r="Z67" s="1255">
        <v>6.2E-2</v>
      </c>
      <c r="AA67" s="1255"/>
      <c r="AB67" s="1255"/>
      <c r="AC67" s="1255"/>
      <c r="AD67" s="749"/>
      <c r="AE67" s="1255"/>
      <c r="AF67" s="111"/>
      <c r="AG67" s="19"/>
      <c r="AH67" s="74"/>
      <c r="AI67" s="74"/>
      <c r="AJ67" s="19"/>
      <c r="AK67" s="74"/>
      <c r="AL67" s="19"/>
      <c r="AM67" s="19"/>
      <c r="AN67" s="19"/>
      <c r="AO67" s="19"/>
      <c r="AP67" s="19"/>
      <c r="AQ67" s="19"/>
      <c r="AR67" s="74"/>
      <c r="AS67" s="74"/>
      <c r="AT67" s="19"/>
      <c r="AU67" s="74"/>
      <c r="AV67" s="19"/>
      <c r="AW67" s="19"/>
      <c r="AX67" s="19"/>
      <c r="AY67" s="19"/>
    </row>
    <row r="68" spans="1:51" x14ac:dyDescent="0.2">
      <c r="A68" s="1248">
        <v>65</v>
      </c>
      <c r="B68" s="684"/>
      <c r="C68" s="684"/>
      <c r="D68" s="684"/>
      <c r="E68" s="1248"/>
      <c r="F68" s="1248"/>
      <c r="G68" s="1248"/>
      <c r="H68" s="684"/>
      <c r="I68" s="684"/>
      <c r="J68" s="684"/>
      <c r="K68" s="1255"/>
      <c r="L68" s="1254">
        <v>0.1</v>
      </c>
      <c r="M68" s="749">
        <v>0.02</v>
      </c>
      <c r="N68" s="684"/>
      <c r="O68" s="684"/>
      <c r="P68" s="684"/>
      <c r="Q68" s="1254"/>
      <c r="R68" s="646"/>
      <c r="S68" s="1254"/>
      <c r="T68" s="1254"/>
      <c r="U68" s="1254"/>
      <c r="V68" s="1255">
        <v>0.59</v>
      </c>
      <c r="W68" s="1255">
        <v>0.3</v>
      </c>
      <c r="X68" s="1264">
        <v>0.9</v>
      </c>
      <c r="Y68" s="1264">
        <v>0.9</v>
      </c>
      <c r="Z68" s="1255">
        <v>0.06</v>
      </c>
      <c r="AA68" s="1255"/>
      <c r="AB68" s="1255"/>
      <c r="AC68" s="1255"/>
      <c r="AD68" s="749"/>
      <c r="AE68" s="1255"/>
      <c r="AF68" s="111"/>
      <c r="AG68" s="1254" t="s">
        <v>1431</v>
      </c>
      <c r="AH68" s="1252">
        <f>'Lower Extremity-Right'!C446*100</f>
        <v>0</v>
      </c>
      <c r="AI68" s="1252">
        <f t="shared" si="0"/>
        <v>0</v>
      </c>
      <c r="AJ68" s="243">
        <f>IF(AI68="",0,VLOOKUP(AI68,$A$3:$AE$154,22))</f>
        <v>0</v>
      </c>
      <c r="AK68" s="74"/>
      <c r="AL68" s="19"/>
      <c r="AM68" s="19"/>
      <c r="AN68" s="19"/>
      <c r="AO68" s="19"/>
      <c r="AP68" s="19"/>
      <c r="AQ68" s="1254" t="s">
        <v>1431</v>
      </c>
      <c r="AR68" s="1252">
        <f>'Lower Extremity-Left'!C446*100</f>
        <v>0</v>
      </c>
      <c r="AS68" s="1252">
        <f>IF(AR68="","",ROUND(AR68,0))</f>
        <v>0</v>
      </c>
      <c r="AT68" s="243">
        <f>IF(AS68="",0,VLOOKUP(AS68,$A$3:$AE$154,22))</f>
        <v>0</v>
      </c>
      <c r="AU68" s="74"/>
      <c r="AV68" s="19"/>
      <c r="AW68" s="19"/>
      <c r="AX68" s="19"/>
      <c r="AY68" s="19"/>
    </row>
    <row r="69" spans="1:51" x14ac:dyDescent="0.2">
      <c r="A69" s="1248">
        <v>66</v>
      </c>
      <c r="B69" s="684"/>
      <c r="C69" s="684"/>
      <c r="D69" s="684"/>
      <c r="E69" s="1248"/>
      <c r="F69" s="1248"/>
      <c r="G69" s="1248"/>
      <c r="H69" s="684"/>
      <c r="I69" s="684"/>
      <c r="J69" s="684"/>
      <c r="K69" s="1255"/>
      <c r="L69" s="1254">
        <v>0.1</v>
      </c>
      <c r="M69" s="749">
        <v>0.02</v>
      </c>
      <c r="N69" s="684"/>
      <c r="O69" s="684"/>
      <c r="P69" s="684"/>
      <c r="Q69" s="1254"/>
      <c r="R69" s="646"/>
      <c r="S69" s="1254"/>
      <c r="T69" s="1254"/>
      <c r="U69" s="1254"/>
      <c r="V69" s="1255">
        <v>0.59</v>
      </c>
      <c r="W69" s="1255">
        <v>0.29599999999999999</v>
      </c>
      <c r="X69" s="1264">
        <v>0.9</v>
      </c>
      <c r="Y69" s="1264">
        <v>0.9</v>
      </c>
      <c r="Z69" s="1255">
        <v>5.8000000000000003E-2</v>
      </c>
      <c r="AA69" s="1255"/>
      <c r="AB69" s="1255"/>
      <c r="AC69" s="1255"/>
      <c r="AD69" s="749"/>
      <c r="AE69" s="1255"/>
      <c r="AF69" s="111"/>
      <c r="AG69" s="19"/>
      <c r="AH69" s="74"/>
      <c r="AI69" s="74"/>
      <c r="AJ69" s="19"/>
      <c r="AK69" s="74"/>
      <c r="AL69" s="19"/>
      <c r="AM69" s="19"/>
      <c r="AN69" s="19"/>
      <c r="AO69" s="19"/>
      <c r="AP69" s="19"/>
    </row>
    <row r="70" spans="1:51" x14ac:dyDescent="0.2">
      <c r="A70" s="1248">
        <v>67</v>
      </c>
      <c r="B70" s="684"/>
      <c r="C70" s="684"/>
      <c r="D70" s="684"/>
      <c r="E70" s="1248"/>
      <c r="F70" s="1248"/>
      <c r="G70" s="1248"/>
      <c r="H70" s="684"/>
      <c r="I70" s="684"/>
      <c r="J70" s="684"/>
      <c r="K70" s="1255"/>
      <c r="L70" s="1254">
        <v>0.1</v>
      </c>
      <c r="M70" s="749">
        <v>0.02</v>
      </c>
      <c r="N70" s="684"/>
      <c r="O70" s="684"/>
      <c r="P70" s="684"/>
      <c r="Q70" s="1254"/>
      <c r="R70" s="646"/>
      <c r="S70" s="1254"/>
      <c r="T70" s="1254"/>
      <c r="U70" s="1254"/>
      <c r="V70" s="1255">
        <v>0.6</v>
      </c>
      <c r="W70" s="1255">
        <v>0.29199999999999998</v>
      </c>
      <c r="X70" s="1264">
        <v>0.9</v>
      </c>
      <c r="Y70" s="1264">
        <v>0.9</v>
      </c>
      <c r="Z70" s="1255">
        <v>5.6000000000000001E-2</v>
      </c>
      <c r="AA70" s="1255"/>
      <c r="AB70" s="1255"/>
      <c r="AC70" s="1255"/>
      <c r="AD70" s="749"/>
      <c r="AE70" s="1255"/>
      <c r="AF70" s="111"/>
      <c r="AG70" s="19"/>
      <c r="AH70" s="74"/>
      <c r="AI70" s="74"/>
      <c r="AJ70" s="19"/>
      <c r="AK70" s="74"/>
      <c r="AL70" s="19"/>
      <c r="AM70" s="19"/>
      <c r="AN70" s="19"/>
      <c r="AO70" s="19"/>
      <c r="AP70" s="19"/>
    </row>
    <row r="71" spans="1:51" x14ac:dyDescent="0.2">
      <c r="A71" s="1248">
        <v>68</v>
      </c>
      <c r="B71" s="684"/>
      <c r="C71" s="684"/>
      <c r="D71" s="684"/>
      <c r="E71" s="1248"/>
      <c r="F71" s="1248"/>
      <c r="G71" s="1248"/>
      <c r="H71" s="684"/>
      <c r="I71" s="684"/>
      <c r="J71" s="684"/>
      <c r="K71" s="1255"/>
      <c r="L71" s="1254">
        <v>0.1</v>
      </c>
      <c r="M71" s="749">
        <v>0.03</v>
      </c>
      <c r="N71" s="684"/>
      <c r="O71" s="684"/>
      <c r="P71" s="684"/>
      <c r="Q71" s="1254"/>
      <c r="R71" s="646"/>
      <c r="S71" s="1254"/>
      <c r="T71" s="1254"/>
      <c r="U71" s="1254"/>
      <c r="V71" s="1255">
        <v>0.61</v>
      </c>
      <c r="W71" s="1255">
        <v>0.28799999999999998</v>
      </c>
      <c r="X71" s="1264">
        <v>0.9</v>
      </c>
      <c r="Y71" s="1264">
        <v>0.9</v>
      </c>
      <c r="Z71" s="1255">
        <v>5.3999999999999999E-2</v>
      </c>
      <c r="AA71" s="1255"/>
      <c r="AB71" s="1255"/>
      <c r="AC71" s="1255"/>
      <c r="AD71" s="749"/>
      <c r="AE71" s="1255"/>
      <c r="AF71" s="111"/>
      <c r="AG71" s="19"/>
      <c r="AH71" s="74"/>
      <c r="AI71" s="74"/>
      <c r="AJ71" s="19"/>
      <c r="AK71" s="74"/>
      <c r="AL71" s="19"/>
      <c r="AM71" s="19"/>
      <c r="AN71" s="19"/>
      <c r="AO71" s="19"/>
      <c r="AP71" s="19"/>
    </row>
    <row r="72" spans="1:51" x14ac:dyDescent="0.2">
      <c r="A72" s="1248">
        <v>69</v>
      </c>
      <c r="B72" s="684"/>
      <c r="C72" s="684"/>
      <c r="D72" s="684"/>
      <c r="E72" s="1248"/>
      <c r="F72" s="1248"/>
      <c r="G72" s="1248"/>
      <c r="H72" s="684"/>
      <c r="I72" s="684"/>
      <c r="J72" s="684"/>
      <c r="K72" s="1255"/>
      <c r="L72" s="1254">
        <v>0.1</v>
      </c>
      <c r="M72" s="749">
        <v>0.03</v>
      </c>
      <c r="N72" s="684"/>
      <c r="O72" s="684"/>
      <c r="P72" s="684"/>
      <c r="Q72" s="1254"/>
      <c r="R72" s="646"/>
      <c r="S72" s="1254"/>
      <c r="T72" s="1254"/>
      <c r="U72" s="1254"/>
      <c r="V72" s="1255">
        <v>0.62</v>
      </c>
      <c r="W72" s="1255">
        <v>0.28399999999999997</v>
      </c>
      <c r="X72" s="1264">
        <v>0.9</v>
      </c>
      <c r="Y72" s="1264">
        <v>0.9</v>
      </c>
      <c r="Z72" s="1255">
        <v>5.1999999999999998E-2</v>
      </c>
      <c r="AA72" s="1255"/>
      <c r="AB72" s="1255"/>
      <c r="AC72" s="1255"/>
      <c r="AD72" s="749"/>
      <c r="AE72" s="1255"/>
      <c r="AF72" s="111"/>
      <c r="AG72" s="19"/>
      <c r="AH72" s="74"/>
      <c r="AI72" s="74"/>
      <c r="AJ72" s="19"/>
      <c r="AK72" s="74"/>
      <c r="AL72" s="19"/>
      <c r="AM72" s="19"/>
      <c r="AN72" s="19"/>
      <c r="AO72" s="19"/>
      <c r="AP72" s="19"/>
    </row>
    <row r="73" spans="1:51" x14ac:dyDescent="0.2">
      <c r="A73" s="1248">
        <v>70</v>
      </c>
      <c r="B73" s="684"/>
      <c r="C73" s="684"/>
      <c r="D73" s="684"/>
      <c r="E73" s="1248"/>
      <c r="F73" s="1248"/>
      <c r="G73" s="1248"/>
      <c r="H73" s="684"/>
      <c r="I73" s="684"/>
      <c r="J73" s="684"/>
      <c r="K73" s="1255"/>
      <c r="L73" s="1254">
        <v>0.1</v>
      </c>
      <c r="M73" s="749">
        <v>0.03</v>
      </c>
      <c r="N73" s="684"/>
      <c r="O73" s="684"/>
      <c r="P73" s="684"/>
      <c r="Q73" s="1254"/>
      <c r="R73" s="646"/>
      <c r="S73" s="1254"/>
      <c r="T73" s="1254"/>
      <c r="U73" s="1254"/>
      <c r="V73" s="1255">
        <v>0.63</v>
      </c>
      <c r="W73" s="1255">
        <v>0.28000000000000003</v>
      </c>
      <c r="X73" s="1264">
        <v>0.9</v>
      </c>
      <c r="Y73" s="1264">
        <v>0.9</v>
      </c>
      <c r="Z73" s="1255">
        <v>0.05</v>
      </c>
      <c r="AA73" s="1255"/>
      <c r="AB73" s="1255"/>
      <c r="AC73" s="1255"/>
      <c r="AD73" s="749"/>
      <c r="AE73" s="1255"/>
      <c r="AF73" s="111"/>
      <c r="AG73" s="19"/>
      <c r="AH73" s="74"/>
      <c r="AI73" s="74"/>
      <c r="AJ73" s="19"/>
      <c r="AK73" s="74"/>
      <c r="AL73" s="19"/>
      <c r="AM73" s="19"/>
      <c r="AN73" s="19"/>
      <c r="AO73" s="19"/>
      <c r="AP73" s="19"/>
    </row>
    <row r="74" spans="1:51" x14ac:dyDescent="0.2">
      <c r="A74" s="1248">
        <v>71</v>
      </c>
      <c r="B74" s="684"/>
      <c r="C74" s="684"/>
      <c r="D74" s="684"/>
      <c r="E74" s="1248"/>
      <c r="F74" s="1248"/>
      <c r="G74" s="1248"/>
      <c r="H74" s="1248"/>
      <c r="I74" s="1248"/>
      <c r="J74" s="1248"/>
      <c r="K74" s="1255"/>
      <c r="L74" s="1254">
        <v>0.1</v>
      </c>
      <c r="M74" s="749">
        <v>0.03</v>
      </c>
      <c r="N74" s="684"/>
      <c r="O74" s="684"/>
      <c r="P74" s="684"/>
      <c r="Q74" s="1254"/>
      <c r="R74" s="646"/>
      <c r="S74" s="1254"/>
      <c r="T74" s="1254"/>
      <c r="U74" s="1254"/>
      <c r="V74" s="1255">
        <v>0.64</v>
      </c>
      <c r="W74" s="1255">
        <v>0.27700000000000002</v>
      </c>
      <c r="X74" s="1264">
        <v>0.9</v>
      </c>
      <c r="Y74" s="1264">
        <v>0.9</v>
      </c>
      <c r="Z74" s="1255">
        <v>4.9000000000000002E-2</v>
      </c>
      <c r="AA74" s="1255"/>
      <c r="AB74" s="1255"/>
      <c r="AC74" s="1255"/>
      <c r="AD74" s="749"/>
      <c r="AE74" s="1255"/>
      <c r="AF74" s="111"/>
      <c r="AG74" s="19"/>
      <c r="AH74" s="74"/>
      <c r="AI74" s="74"/>
      <c r="AJ74" s="19"/>
      <c r="AK74" s="74"/>
      <c r="AL74" s="19"/>
      <c r="AM74" s="19"/>
      <c r="AN74" s="19"/>
      <c r="AO74" s="19"/>
      <c r="AP74" s="19"/>
    </row>
    <row r="75" spans="1:51" x14ac:dyDescent="0.2">
      <c r="A75" s="1248">
        <v>72</v>
      </c>
      <c r="B75" s="684"/>
      <c r="C75" s="684"/>
      <c r="D75" s="684"/>
      <c r="E75" s="1248"/>
      <c r="F75" s="1248"/>
      <c r="G75" s="1248"/>
      <c r="H75" s="1248"/>
      <c r="I75" s="1248"/>
      <c r="J75" s="1248"/>
      <c r="K75" s="1255"/>
      <c r="L75" s="1254">
        <v>0.11</v>
      </c>
      <c r="M75" s="749">
        <v>0.03</v>
      </c>
      <c r="N75" s="684"/>
      <c r="O75" s="684"/>
      <c r="P75" s="684"/>
      <c r="Q75" s="1254"/>
      <c r="R75" s="646"/>
      <c r="S75" s="1254"/>
      <c r="T75" s="1254"/>
      <c r="U75" s="1254"/>
      <c r="V75" s="1255">
        <v>0.65</v>
      </c>
      <c r="W75" s="1255">
        <v>0.27400000000000002</v>
      </c>
      <c r="X75" s="1264">
        <v>0.9</v>
      </c>
      <c r="Y75" s="1264">
        <v>0.9</v>
      </c>
      <c r="Z75" s="1255">
        <v>4.8000000000000001E-2</v>
      </c>
      <c r="AA75" s="1255"/>
      <c r="AB75" s="1255"/>
      <c r="AC75" s="1255"/>
      <c r="AD75" s="749"/>
      <c r="AE75" s="1255"/>
      <c r="AF75" s="111"/>
      <c r="AG75" s="19"/>
      <c r="AH75" s="74"/>
      <c r="AI75" s="74"/>
      <c r="AJ75" s="19"/>
      <c r="AK75" s="74"/>
      <c r="AL75" s="19"/>
      <c r="AM75" s="19"/>
      <c r="AN75" s="19"/>
      <c r="AO75" s="19"/>
      <c r="AP75" s="19"/>
    </row>
    <row r="76" spans="1:51" x14ac:dyDescent="0.2">
      <c r="A76" s="1248">
        <v>73</v>
      </c>
      <c r="B76" s="684"/>
      <c r="C76" s="684"/>
      <c r="D76" s="684"/>
      <c r="E76" s="1248"/>
      <c r="F76" s="1248"/>
      <c r="G76" s="1248"/>
      <c r="H76" s="1248"/>
      <c r="I76" s="1248"/>
      <c r="J76" s="1248"/>
      <c r="K76" s="1255"/>
      <c r="L76" s="1254">
        <v>0.11</v>
      </c>
      <c r="M76" s="749">
        <v>0.03</v>
      </c>
      <c r="N76" s="684"/>
      <c r="O76" s="684"/>
      <c r="P76" s="684"/>
      <c r="Q76" s="1254"/>
      <c r="R76" s="646"/>
      <c r="S76" s="1254"/>
      <c r="T76" s="1254"/>
      <c r="U76" s="1254"/>
      <c r="V76" s="1255">
        <v>0.66</v>
      </c>
      <c r="W76" s="1255">
        <v>0.27100000000000002</v>
      </c>
      <c r="X76" s="1264">
        <v>0.9</v>
      </c>
      <c r="Y76" s="1264">
        <v>0.9</v>
      </c>
      <c r="Z76" s="1255">
        <v>4.7E-2</v>
      </c>
      <c r="AA76" s="1255"/>
      <c r="AB76" s="1255"/>
      <c r="AC76" s="1255"/>
      <c r="AD76" s="749"/>
      <c r="AE76" s="1255"/>
      <c r="AF76" s="111"/>
      <c r="AG76" s="19"/>
      <c r="AH76" s="74"/>
      <c r="AI76" s="74"/>
      <c r="AJ76" s="19"/>
      <c r="AK76" s="74"/>
      <c r="AL76" s="19"/>
      <c r="AM76" s="19"/>
      <c r="AN76" s="19"/>
      <c r="AO76" s="19"/>
      <c r="AP76" s="19"/>
    </row>
    <row r="77" spans="1:51" x14ac:dyDescent="0.2">
      <c r="A77" s="1248">
        <v>74</v>
      </c>
      <c r="B77" s="684"/>
      <c r="C77" s="684"/>
      <c r="D77" s="684"/>
      <c r="E77" s="1248"/>
      <c r="F77" s="1248"/>
      <c r="G77" s="1248"/>
      <c r="H77" s="1248"/>
      <c r="I77" s="1248"/>
      <c r="J77" s="1248"/>
      <c r="K77" s="1255"/>
      <c r="L77" s="1254">
        <v>0.11</v>
      </c>
      <c r="M77" s="749">
        <v>0.03</v>
      </c>
      <c r="N77" s="684"/>
      <c r="O77" s="684"/>
      <c r="P77" s="684"/>
      <c r="Q77" s="1254"/>
      <c r="R77" s="646"/>
      <c r="S77" s="1254"/>
      <c r="T77" s="1254"/>
      <c r="U77" s="1254"/>
      <c r="V77" s="1255">
        <v>0.67</v>
      </c>
      <c r="W77" s="1255">
        <v>0.26800000000000002</v>
      </c>
      <c r="X77" s="1264">
        <v>0.9</v>
      </c>
      <c r="Y77" s="1264">
        <v>0.9</v>
      </c>
      <c r="Z77" s="1255">
        <v>4.5999999999999999E-2</v>
      </c>
      <c r="AA77" s="1255"/>
      <c r="AB77" s="1255"/>
      <c r="AC77" s="1255"/>
      <c r="AD77" s="749"/>
      <c r="AE77" s="1255"/>
      <c r="AF77" s="111"/>
      <c r="AG77" s="19"/>
      <c r="AH77" s="74"/>
      <c r="AI77" s="74"/>
      <c r="AJ77" s="19"/>
      <c r="AK77" s="74"/>
      <c r="AL77" s="19"/>
      <c r="AM77" s="19"/>
      <c r="AN77" s="19"/>
      <c r="AO77" s="19"/>
      <c r="AP77" s="19"/>
    </row>
    <row r="78" spans="1:51" x14ac:dyDescent="0.2">
      <c r="A78" s="1248">
        <v>75</v>
      </c>
      <c r="B78" s="684"/>
      <c r="C78" s="684"/>
      <c r="D78" s="684"/>
      <c r="E78" s="1248"/>
      <c r="F78" s="1248"/>
      <c r="G78" s="1248"/>
      <c r="H78" s="1248"/>
      <c r="I78" s="1248"/>
      <c r="J78" s="1248"/>
      <c r="K78" s="1255"/>
      <c r="L78" s="1254">
        <v>0.11</v>
      </c>
      <c r="M78" s="749">
        <v>0.03</v>
      </c>
      <c r="N78" s="684"/>
      <c r="O78" s="684"/>
      <c r="P78" s="684"/>
      <c r="Q78" s="1254"/>
      <c r="R78" s="646"/>
      <c r="S78" s="1254"/>
      <c r="T78" s="1254"/>
      <c r="U78" s="1254"/>
      <c r="V78" s="1255">
        <v>0.68</v>
      </c>
      <c r="W78" s="1255">
        <v>0.26500000000000001</v>
      </c>
      <c r="X78" s="1264">
        <v>0.9</v>
      </c>
      <c r="Y78" s="1264">
        <v>0.9</v>
      </c>
      <c r="Z78" s="1255">
        <v>4.4999999999999998E-2</v>
      </c>
      <c r="AA78" s="1255"/>
      <c r="AB78" s="1255"/>
      <c r="AC78" s="1255"/>
      <c r="AD78" s="749"/>
      <c r="AE78" s="1255"/>
      <c r="AF78" s="111"/>
      <c r="AG78" s="19"/>
      <c r="AH78" s="74"/>
      <c r="AI78" s="74"/>
      <c r="AJ78" s="19"/>
      <c r="AK78" s="74"/>
      <c r="AL78" s="19"/>
      <c r="AM78" s="19"/>
      <c r="AN78" s="19"/>
      <c r="AO78" s="19"/>
      <c r="AP78" s="19"/>
    </row>
    <row r="79" spans="1:51" x14ac:dyDescent="0.2">
      <c r="A79" s="1248">
        <v>76</v>
      </c>
      <c r="B79" s="684"/>
      <c r="C79" s="684"/>
      <c r="D79" s="684"/>
      <c r="E79" s="1248"/>
      <c r="F79" s="1248"/>
      <c r="G79" s="1248"/>
      <c r="H79" s="1248"/>
      <c r="I79" s="1248"/>
      <c r="J79" s="1248"/>
      <c r="K79" s="1255"/>
      <c r="L79" s="1254">
        <v>0.11</v>
      </c>
      <c r="M79" s="749">
        <v>0.03</v>
      </c>
      <c r="N79" s="684"/>
      <c r="O79" s="684"/>
      <c r="P79" s="684"/>
      <c r="Q79" s="1254"/>
      <c r="R79" s="646"/>
      <c r="S79" s="1254"/>
      <c r="T79" s="1254"/>
      <c r="U79" s="1254"/>
      <c r="V79" s="1255">
        <v>0.68</v>
      </c>
      <c r="W79" s="1255">
        <v>0.26200000000000001</v>
      </c>
      <c r="X79" s="1264">
        <v>0.9</v>
      </c>
      <c r="Y79" s="1264">
        <v>0.9</v>
      </c>
      <c r="Z79" s="1255">
        <v>4.3999999999999997E-2</v>
      </c>
      <c r="AA79" s="1255"/>
      <c r="AB79" s="1255"/>
      <c r="AC79" s="1255"/>
      <c r="AD79" s="749"/>
      <c r="AE79" s="1255"/>
      <c r="AF79" s="111"/>
      <c r="AG79" s="19"/>
      <c r="AH79" s="74"/>
      <c r="AI79" s="74"/>
      <c r="AJ79" s="19"/>
      <c r="AK79" s="74"/>
      <c r="AL79" s="19"/>
      <c r="AM79" s="19"/>
      <c r="AN79" s="19"/>
      <c r="AO79" s="19"/>
      <c r="AP79" s="19"/>
    </row>
    <row r="80" spans="1:51" x14ac:dyDescent="0.2">
      <c r="A80" s="1248">
        <v>77</v>
      </c>
      <c r="B80" s="684"/>
      <c r="C80" s="684"/>
      <c r="D80" s="684"/>
      <c r="E80" s="1248"/>
      <c r="F80" s="1248"/>
      <c r="G80" s="1248"/>
      <c r="H80" s="1248"/>
      <c r="I80" s="1248"/>
      <c r="J80" s="1248"/>
      <c r="K80" s="1255"/>
      <c r="L80" s="1254">
        <v>0.11</v>
      </c>
      <c r="M80" s="749">
        <v>0.03</v>
      </c>
      <c r="N80" s="684"/>
      <c r="O80" s="684"/>
      <c r="P80" s="684"/>
      <c r="Q80" s="1254"/>
      <c r="R80" s="646"/>
      <c r="S80" s="1254"/>
      <c r="T80" s="1254"/>
      <c r="U80" s="1254"/>
      <c r="V80" s="1255">
        <v>0.69</v>
      </c>
      <c r="W80" s="1255">
        <v>0.25900000000000001</v>
      </c>
      <c r="X80" s="1264">
        <v>0.9</v>
      </c>
      <c r="Y80" s="1264">
        <v>0.9</v>
      </c>
      <c r="Z80" s="1255">
        <v>4.2999999999999997E-2</v>
      </c>
      <c r="AA80" s="1255"/>
      <c r="AB80" s="1255"/>
      <c r="AC80" s="1255"/>
      <c r="AD80" s="749"/>
      <c r="AE80" s="1255"/>
      <c r="AF80" s="111"/>
      <c r="AG80" s="19"/>
      <c r="AH80" s="74"/>
      <c r="AI80" s="74"/>
      <c r="AJ80" s="19"/>
      <c r="AK80" s="74"/>
      <c r="AL80" s="19"/>
      <c r="AM80" s="19"/>
      <c r="AN80" s="19"/>
      <c r="AO80" s="19"/>
      <c r="AP80" s="19"/>
    </row>
    <row r="81" spans="1:42" x14ac:dyDescent="0.2">
      <c r="A81" s="1248">
        <v>78</v>
      </c>
      <c r="B81" s="684"/>
      <c r="C81" s="684"/>
      <c r="D81" s="684"/>
      <c r="E81" s="1248"/>
      <c r="F81" s="1248"/>
      <c r="G81" s="1248"/>
      <c r="H81" s="1248"/>
      <c r="I81" s="1248"/>
      <c r="J81" s="1248"/>
      <c r="K81" s="1255"/>
      <c r="L81" s="1254">
        <v>0.11</v>
      </c>
      <c r="M81" s="749">
        <v>0.03</v>
      </c>
      <c r="N81" s="684"/>
      <c r="O81" s="684"/>
      <c r="P81" s="684"/>
      <c r="Q81" s="1254"/>
      <c r="R81" s="646"/>
      <c r="S81" s="1254"/>
      <c r="T81" s="1254"/>
      <c r="U81" s="1254"/>
      <c r="V81" s="1255">
        <v>0.7</v>
      </c>
      <c r="W81" s="1255">
        <v>0.25600000000000001</v>
      </c>
      <c r="X81" s="1264">
        <v>0.9</v>
      </c>
      <c r="Y81" s="1264">
        <v>0.9</v>
      </c>
      <c r="Z81" s="1255">
        <v>4.2000000000000003E-2</v>
      </c>
      <c r="AA81" s="1255"/>
      <c r="AB81" s="1255"/>
      <c r="AC81" s="1255"/>
      <c r="AD81" s="749"/>
      <c r="AE81" s="1255"/>
      <c r="AF81" s="111"/>
      <c r="AG81" s="19"/>
      <c r="AH81" s="74"/>
      <c r="AI81" s="74"/>
      <c r="AJ81" s="19"/>
      <c r="AK81" s="74"/>
      <c r="AL81" s="19"/>
      <c r="AM81" s="19"/>
      <c r="AN81" s="19"/>
      <c r="AO81" s="19"/>
      <c r="AP81" s="19"/>
    </row>
    <row r="82" spans="1:42" x14ac:dyDescent="0.2">
      <c r="A82" s="1248">
        <v>79</v>
      </c>
      <c r="B82" s="684"/>
      <c r="C82" s="684"/>
      <c r="D82" s="684"/>
      <c r="E82" s="1248"/>
      <c r="F82" s="1248"/>
      <c r="G82" s="1248"/>
      <c r="H82" s="1248"/>
      <c r="I82" s="1248"/>
      <c r="J82" s="1248"/>
      <c r="K82" s="1255"/>
      <c r="L82" s="1254">
        <v>0.12</v>
      </c>
      <c r="M82" s="749">
        <v>0.03</v>
      </c>
      <c r="N82" s="684"/>
      <c r="O82" s="684"/>
      <c r="P82" s="684"/>
      <c r="Q82" s="1254"/>
      <c r="R82" s="646"/>
      <c r="S82" s="1254"/>
      <c r="T82" s="1254"/>
      <c r="U82" s="1254"/>
      <c r="V82" s="1255">
        <v>0.71</v>
      </c>
      <c r="W82" s="1255">
        <v>0.253</v>
      </c>
      <c r="X82" s="1264">
        <v>0.9</v>
      </c>
      <c r="Y82" s="1264">
        <v>0.9</v>
      </c>
      <c r="Z82" s="1255">
        <v>4.1000000000000002E-2</v>
      </c>
      <c r="AA82" s="1255"/>
      <c r="AB82" s="1255"/>
      <c r="AC82" s="1255"/>
      <c r="AD82" s="749"/>
      <c r="AE82" s="1255"/>
      <c r="AF82" s="111"/>
      <c r="AG82" s="19"/>
      <c r="AH82" s="74"/>
      <c r="AI82" s="74"/>
      <c r="AJ82" s="19"/>
      <c r="AK82" s="74"/>
      <c r="AL82" s="19"/>
      <c r="AM82" s="19"/>
      <c r="AN82" s="19"/>
      <c r="AO82" s="19"/>
      <c r="AP82" s="19"/>
    </row>
    <row r="83" spans="1:42" x14ac:dyDescent="0.2">
      <c r="A83" s="1248">
        <v>80</v>
      </c>
      <c r="B83" s="684"/>
      <c r="C83" s="684"/>
      <c r="D83" s="684"/>
      <c r="E83" s="1248"/>
      <c r="F83" s="1248"/>
      <c r="G83" s="1248"/>
      <c r="H83" s="1248"/>
      <c r="I83" s="1248"/>
      <c r="J83" s="1248"/>
      <c r="K83" s="1255"/>
      <c r="L83" s="1254">
        <v>0.12</v>
      </c>
      <c r="M83" s="749">
        <v>0.03</v>
      </c>
      <c r="N83" s="684"/>
      <c r="O83" s="684"/>
      <c r="P83" s="684"/>
      <c r="Q83" s="1254"/>
      <c r="R83" s="646"/>
      <c r="S83" s="1254"/>
      <c r="T83" s="1254"/>
      <c r="U83" s="1254"/>
      <c r="V83" s="1255">
        <v>0.72</v>
      </c>
      <c r="W83" s="1255">
        <v>0.25</v>
      </c>
      <c r="X83" s="1264">
        <v>0.9</v>
      </c>
      <c r="Y83" s="1264">
        <v>0.9</v>
      </c>
      <c r="Z83" s="1255">
        <v>0.04</v>
      </c>
      <c r="AA83" s="1255"/>
      <c r="AB83" s="1255"/>
      <c r="AC83" s="1255"/>
      <c r="AD83" s="749"/>
      <c r="AE83" s="1255"/>
      <c r="AF83" s="111"/>
      <c r="AG83" s="19"/>
      <c r="AH83" s="74"/>
      <c r="AI83" s="74"/>
      <c r="AJ83" s="19"/>
      <c r="AK83" s="74"/>
      <c r="AL83" s="19"/>
      <c r="AM83" s="19"/>
      <c r="AN83" s="19"/>
      <c r="AO83" s="19"/>
      <c r="AP83" s="19"/>
    </row>
    <row r="84" spans="1:42" x14ac:dyDescent="0.2">
      <c r="A84" s="1248">
        <v>81</v>
      </c>
      <c r="B84" s="1248"/>
      <c r="C84" s="1248"/>
      <c r="D84" s="1248"/>
      <c r="E84" s="1248"/>
      <c r="F84" s="1248"/>
      <c r="G84" s="1248"/>
      <c r="H84" s="1248"/>
      <c r="I84" s="1248"/>
      <c r="J84" s="1248"/>
      <c r="K84" s="1255"/>
      <c r="L84" s="1254">
        <v>0.12</v>
      </c>
      <c r="M84" s="749">
        <v>0.03</v>
      </c>
      <c r="N84" s="684"/>
      <c r="O84" s="684"/>
      <c r="P84" s="684"/>
      <c r="Q84" s="1254"/>
      <c r="R84" s="646"/>
      <c r="S84" s="1254"/>
      <c r="T84" s="1254"/>
      <c r="U84" s="1254"/>
      <c r="V84" s="1255">
        <v>0.73</v>
      </c>
      <c r="W84" s="1255">
        <v>0.246</v>
      </c>
      <c r="X84" s="1264">
        <v>0.9</v>
      </c>
      <c r="Y84" s="1264">
        <v>0.9</v>
      </c>
      <c r="Z84" s="1255">
        <v>3.7999999999999999E-2</v>
      </c>
      <c r="AA84" s="1255"/>
      <c r="AB84" s="1255"/>
      <c r="AC84" s="1255"/>
      <c r="AD84" s="749"/>
      <c r="AE84" s="1255"/>
      <c r="AF84" s="111"/>
      <c r="AG84" s="19"/>
      <c r="AH84" s="74"/>
      <c r="AI84" s="74"/>
      <c r="AJ84" s="19"/>
      <c r="AK84" s="74"/>
      <c r="AL84" s="19"/>
      <c r="AM84" s="19"/>
      <c r="AN84" s="19"/>
      <c r="AO84" s="19"/>
      <c r="AP84" s="19"/>
    </row>
    <row r="85" spans="1:42" x14ac:dyDescent="0.2">
      <c r="A85" s="1248">
        <v>82</v>
      </c>
      <c r="B85" s="1248"/>
      <c r="C85" s="1248"/>
      <c r="D85" s="1248"/>
      <c r="E85" s="1248"/>
      <c r="F85" s="1248"/>
      <c r="G85" s="1248"/>
      <c r="H85" s="1248"/>
      <c r="I85" s="1248"/>
      <c r="J85" s="1248"/>
      <c r="K85" s="1255"/>
      <c r="L85" s="1254">
        <v>0.12</v>
      </c>
      <c r="M85" s="749">
        <v>0.03</v>
      </c>
      <c r="N85" s="684"/>
      <c r="O85" s="684"/>
      <c r="P85" s="684"/>
      <c r="Q85" s="1254"/>
      <c r="R85" s="646"/>
      <c r="S85" s="1254"/>
      <c r="T85" s="1254"/>
      <c r="U85" s="1254"/>
      <c r="V85" s="1255">
        <v>0.74</v>
      </c>
      <c r="W85" s="1255">
        <v>0.24199999999999999</v>
      </c>
      <c r="X85" s="1264">
        <v>0.9</v>
      </c>
      <c r="Y85" s="1264">
        <v>0.9</v>
      </c>
      <c r="Z85" s="1255">
        <v>3.5999999999999997E-2</v>
      </c>
      <c r="AA85" s="1255"/>
      <c r="AB85" s="1255"/>
      <c r="AC85" s="1255"/>
      <c r="AD85" s="749"/>
      <c r="AE85" s="1255"/>
      <c r="AF85" s="111"/>
      <c r="AG85" s="19"/>
      <c r="AH85" s="74"/>
      <c r="AI85" s="74"/>
      <c r="AJ85" s="19"/>
      <c r="AK85" s="74"/>
      <c r="AL85" s="19"/>
      <c r="AM85" s="19"/>
      <c r="AN85" s="19"/>
      <c r="AO85" s="19"/>
      <c r="AP85" s="19"/>
    </row>
    <row r="86" spans="1:42" x14ac:dyDescent="0.2">
      <c r="A86" s="1248">
        <v>83</v>
      </c>
      <c r="B86" s="1248"/>
      <c r="C86" s="1248"/>
      <c r="D86" s="1248"/>
      <c r="E86" s="1248"/>
      <c r="F86" s="1248"/>
      <c r="G86" s="1248"/>
      <c r="H86" s="1248"/>
      <c r="I86" s="1248"/>
      <c r="J86" s="1248"/>
      <c r="K86" s="1255"/>
      <c r="L86" s="1254">
        <v>0.12</v>
      </c>
      <c r="M86" s="749">
        <v>0.03</v>
      </c>
      <c r="N86" s="684"/>
      <c r="O86" s="684"/>
      <c r="P86" s="684"/>
      <c r="Q86" s="1254"/>
      <c r="R86" s="646"/>
      <c r="S86" s="1254"/>
      <c r="T86" s="1254"/>
      <c r="U86" s="1254"/>
      <c r="V86" s="1255">
        <v>0.75</v>
      </c>
      <c r="W86" s="1255">
        <v>0.23799999999999999</v>
      </c>
      <c r="X86" s="1264">
        <v>0.9</v>
      </c>
      <c r="Y86" s="1264">
        <v>0.9</v>
      </c>
      <c r="Z86" s="1255">
        <v>3.4000000000000002E-2</v>
      </c>
      <c r="AA86" s="1255"/>
      <c r="AB86" s="1255"/>
      <c r="AC86" s="1255"/>
      <c r="AD86" s="749"/>
      <c r="AE86" s="1255"/>
      <c r="AF86" s="111"/>
      <c r="AG86" s="19"/>
      <c r="AH86" s="74"/>
      <c r="AI86" s="74"/>
      <c r="AJ86" s="19"/>
      <c r="AK86" s="74"/>
      <c r="AL86" s="19"/>
      <c r="AM86" s="19"/>
      <c r="AN86" s="19"/>
      <c r="AO86" s="19"/>
      <c r="AP86" s="19"/>
    </row>
    <row r="87" spans="1:42" x14ac:dyDescent="0.2">
      <c r="A87" s="1248">
        <v>84</v>
      </c>
      <c r="B87" s="1248"/>
      <c r="C87" s="1248"/>
      <c r="D87" s="1248"/>
      <c r="E87" s="1248"/>
      <c r="F87" s="1248"/>
      <c r="G87" s="1248"/>
      <c r="H87" s="1248"/>
      <c r="I87" s="1248"/>
      <c r="J87" s="1248"/>
      <c r="K87" s="1255"/>
      <c r="L87" s="1254">
        <v>0.12</v>
      </c>
      <c r="M87" s="749">
        <v>0.03</v>
      </c>
      <c r="N87" s="684"/>
      <c r="O87" s="684"/>
      <c r="P87" s="684"/>
      <c r="Q87" s="1254"/>
      <c r="R87" s="646"/>
      <c r="S87" s="1254"/>
      <c r="T87" s="1254"/>
      <c r="U87" s="1254"/>
      <c r="V87" s="1255">
        <v>0.76</v>
      </c>
      <c r="W87" s="1255">
        <v>0.23400000000000001</v>
      </c>
      <c r="X87" s="1264">
        <v>0.9</v>
      </c>
      <c r="Y87" s="1264">
        <v>0.9</v>
      </c>
      <c r="Z87" s="1255">
        <v>3.2000000000000001E-2</v>
      </c>
      <c r="AA87" s="1255"/>
      <c r="AB87" s="1255"/>
      <c r="AC87" s="1255"/>
      <c r="AD87" s="749"/>
      <c r="AE87" s="1255"/>
      <c r="AF87" s="111"/>
      <c r="AG87" s="19"/>
      <c r="AH87" s="74"/>
      <c r="AI87" s="74"/>
      <c r="AJ87" s="19"/>
      <c r="AK87" s="74"/>
      <c r="AL87" s="19"/>
      <c r="AM87" s="19"/>
      <c r="AN87" s="19"/>
      <c r="AO87" s="19"/>
      <c r="AP87" s="19"/>
    </row>
    <row r="88" spans="1:42" x14ac:dyDescent="0.2">
      <c r="A88" s="1248">
        <v>85</v>
      </c>
      <c r="B88" s="1248"/>
      <c r="C88" s="1248"/>
      <c r="D88" s="1248"/>
      <c r="E88" s="1248"/>
      <c r="F88" s="1248"/>
      <c r="G88" s="1248"/>
      <c r="H88" s="1248"/>
      <c r="I88" s="1248"/>
      <c r="J88" s="1248"/>
      <c r="K88" s="1255"/>
      <c r="L88" s="1254">
        <v>0.12</v>
      </c>
      <c r="M88" s="749">
        <v>0.03</v>
      </c>
      <c r="N88" s="684"/>
      <c r="O88" s="684"/>
      <c r="P88" s="684"/>
      <c r="Q88" s="1254"/>
      <c r="R88" s="646"/>
      <c r="S88" s="1254"/>
      <c r="T88" s="1254"/>
      <c r="U88" s="1254"/>
      <c r="V88" s="1255">
        <v>0.77</v>
      </c>
      <c r="W88" s="1255">
        <v>0.23</v>
      </c>
      <c r="X88" s="1264">
        <v>0.9</v>
      </c>
      <c r="Y88" s="1264">
        <v>0.9</v>
      </c>
      <c r="Z88" s="1255">
        <v>0.03</v>
      </c>
      <c r="AA88" s="1255"/>
      <c r="AB88" s="1255"/>
      <c r="AC88" s="1255"/>
      <c r="AD88" s="749"/>
      <c r="AE88" s="1255"/>
      <c r="AF88" s="111"/>
      <c r="AG88" s="19"/>
      <c r="AH88" s="74"/>
      <c r="AI88" s="74"/>
      <c r="AJ88" s="19"/>
      <c r="AK88" s="74"/>
      <c r="AL88" s="19"/>
      <c r="AM88" s="19"/>
      <c r="AN88" s="19"/>
      <c r="AO88" s="19"/>
      <c r="AP88" s="19"/>
    </row>
    <row r="89" spans="1:42" x14ac:dyDescent="0.2">
      <c r="A89" s="1248">
        <v>86</v>
      </c>
      <c r="B89" s="1248"/>
      <c r="C89" s="1248"/>
      <c r="D89" s="1248"/>
      <c r="E89" s="1248"/>
      <c r="F89" s="1248"/>
      <c r="G89" s="1248"/>
      <c r="H89" s="1248"/>
      <c r="I89" s="1248"/>
      <c r="J89" s="1248"/>
      <c r="K89" s="1255"/>
      <c r="L89" s="1254">
        <v>0.13</v>
      </c>
      <c r="M89" s="749">
        <v>0.03</v>
      </c>
      <c r="N89" s="684"/>
      <c r="O89" s="684"/>
      <c r="P89" s="684"/>
      <c r="Q89" s="1254"/>
      <c r="R89" s="646"/>
      <c r="S89" s="1254"/>
      <c r="T89" s="1254"/>
      <c r="U89" s="1254"/>
      <c r="V89" s="1255">
        <v>0.77</v>
      </c>
      <c r="W89" s="1255">
        <v>0.22600000000000001</v>
      </c>
      <c r="X89" s="1264">
        <v>0.9</v>
      </c>
      <c r="Y89" s="1264">
        <v>0.9</v>
      </c>
      <c r="Z89" s="1255">
        <v>2.8000000000000001E-2</v>
      </c>
      <c r="AA89" s="1255"/>
      <c r="AB89" s="1255"/>
      <c r="AC89" s="1255"/>
      <c r="AD89" s="749"/>
      <c r="AE89" s="1255"/>
      <c r="AF89" s="111"/>
      <c r="AG89" s="19"/>
      <c r="AH89" s="74"/>
      <c r="AI89" s="74"/>
      <c r="AJ89" s="19"/>
      <c r="AK89" s="74"/>
      <c r="AL89" s="19"/>
      <c r="AM89" s="19"/>
      <c r="AN89" s="19"/>
      <c r="AO89" s="19"/>
      <c r="AP89" s="19"/>
    </row>
    <row r="90" spans="1:42" x14ac:dyDescent="0.2">
      <c r="A90" s="1248">
        <v>87</v>
      </c>
      <c r="B90" s="1248"/>
      <c r="C90" s="1248"/>
      <c r="D90" s="1248"/>
      <c r="E90" s="1248"/>
      <c r="F90" s="1248"/>
      <c r="G90" s="1248"/>
      <c r="H90" s="1248"/>
      <c r="I90" s="1248"/>
      <c r="J90" s="1248"/>
      <c r="K90" s="1255"/>
      <c r="L90" s="1254">
        <v>0.13</v>
      </c>
      <c r="M90" s="749">
        <v>0.03</v>
      </c>
      <c r="N90" s="684"/>
      <c r="O90" s="684"/>
      <c r="P90" s="684"/>
      <c r="Q90" s="1254"/>
      <c r="R90" s="646"/>
      <c r="S90" s="1254"/>
      <c r="T90" s="1254"/>
      <c r="U90" s="1254"/>
      <c r="V90" s="1255">
        <v>0.78</v>
      </c>
      <c r="W90" s="1255">
        <v>0.222</v>
      </c>
      <c r="X90" s="1264">
        <v>0.9</v>
      </c>
      <c r="Y90" s="1264">
        <v>0.9</v>
      </c>
      <c r="Z90" s="1255">
        <v>2.5999999999999999E-2</v>
      </c>
      <c r="AA90" s="1255"/>
      <c r="AB90" s="1255"/>
      <c r="AC90" s="1255"/>
      <c r="AD90" s="749"/>
      <c r="AE90" s="1255"/>
      <c r="AF90" s="111"/>
      <c r="AG90" s="19"/>
      <c r="AH90" s="74"/>
      <c r="AI90" s="74"/>
      <c r="AJ90" s="19"/>
      <c r="AK90" s="74"/>
      <c r="AL90" s="19"/>
      <c r="AM90" s="19"/>
      <c r="AN90" s="19"/>
      <c r="AO90" s="19"/>
      <c r="AP90" s="19"/>
    </row>
    <row r="91" spans="1:42" x14ac:dyDescent="0.2">
      <c r="A91" s="1248">
        <v>88</v>
      </c>
      <c r="B91" s="1248"/>
      <c r="C91" s="1248"/>
      <c r="D91" s="1248"/>
      <c r="E91" s="1248"/>
      <c r="F91" s="1248"/>
      <c r="G91" s="1248"/>
      <c r="H91" s="1248"/>
      <c r="I91" s="1248"/>
      <c r="J91" s="1248"/>
      <c r="K91" s="1255"/>
      <c r="L91" s="1254">
        <v>0.13</v>
      </c>
      <c r="M91" s="749">
        <v>0.03</v>
      </c>
      <c r="N91" s="684"/>
      <c r="O91" s="684"/>
      <c r="P91" s="684"/>
      <c r="Q91" s="1254"/>
      <c r="R91" s="646"/>
      <c r="S91" s="1254"/>
      <c r="T91" s="1254"/>
      <c r="U91" s="1254"/>
      <c r="V91" s="1255">
        <v>0.79</v>
      </c>
      <c r="W91" s="1255">
        <v>0.218</v>
      </c>
      <c r="X91" s="1264">
        <v>0.9</v>
      </c>
      <c r="Y91" s="1264">
        <v>0.9</v>
      </c>
      <c r="Z91" s="1255">
        <v>2.4E-2</v>
      </c>
      <c r="AA91" s="1255"/>
      <c r="AB91" s="1255"/>
      <c r="AC91" s="1255"/>
      <c r="AD91" s="749"/>
      <c r="AE91" s="1255"/>
      <c r="AF91" s="111"/>
      <c r="AG91" s="19"/>
      <c r="AH91" s="74"/>
      <c r="AI91" s="74"/>
      <c r="AJ91" s="19"/>
      <c r="AK91" s="74"/>
      <c r="AL91" s="19"/>
      <c r="AM91" s="19"/>
      <c r="AN91" s="19"/>
      <c r="AO91" s="19"/>
      <c r="AP91" s="19"/>
    </row>
    <row r="92" spans="1:42" x14ac:dyDescent="0.2">
      <c r="A92" s="1248">
        <v>89</v>
      </c>
      <c r="B92" s="1248"/>
      <c r="C92" s="1248"/>
      <c r="D92" s="1248"/>
      <c r="E92" s="1248"/>
      <c r="F92" s="1248"/>
      <c r="G92" s="1248"/>
      <c r="H92" s="1248"/>
      <c r="I92" s="1248"/>
      <c r="J92" s="1248"/>
      <c r="K92" s="1255"/>
      <c r="L92" s="1254">
        <v>0.13</v>
      </c>
      <c r="M92" s="749">
        <v>0.03</v>
      </c>
      <c r="N92" s="684"/>
      <c r="O92" s="684"/>
      <c r="P92" s="684"/>
      <c r="Q92" s="1254"/>
      <c r="R92" s="646"/>
      <c r="S92" s="1254"/>
      <c r="T92" s="1254"/>
      <c r="U92" s="1254"/>
      <c r="V92" s="1255">
        <v>0.8</v>
      </c>
      <c r="W92" s="1255">
        <v>0.214</v>
      </c>
      <c r="X92" s="1264">
        <v>0.9</v>
      </c>
      <c r="Y92" s="1264">
        <v>0.9</v>
      </c>
      <c r="Z92" s="1255">
        <v>2.1999999999999999E-2</v>
      </c>
      <c r="AA92" s="1255"/>
      <c r="AB92" s="1255"/>
      <c r="AC92" s="1255"/>
      <c r="AD92" s="749"/>
      <c r="AE92" s="1255"/>
      <c r="AF92" s="111"/>
      <c r="AG92" s="19"/>
      <c r="AH92" s="74"/>
      <c r="AI92" s="74"/>
      <c r="AJ92" s="19"/>
      <c r="AK92" s="74"/>
      <c r="AL92" s="19"/>
      <c r="AM92" s="19"/>
      <c r="AN92" s="19"/>
      <c r="AO92" s="19"/>
      <c r="AP92" s="19"/>
    </row>
    <row r="93" spans="1:42" x14ac:dyDescent="0.2">
      <c r="A93" s="1248">
        <v>90</v>
      </c>
      <c r="B93" s="1248"/>
      <c r="C93" s="1248"/>
      <c r="D93" s="1248"/>
      <c r="E93" s="1248"/>
      <c r="F93" s="1248"/>
      <c r="G93" s="1248"/>
      <c r="H93" s="1248"/>
      <c r="I93" s="1248"/>
      <c r="J93" s="1248"/>
      <c r="K93" s="1255"/>
      <c r="L93" s="1254">
        <v>0.13</v>
      </c>
      <c r="M93" s="749">
        <v>0.03</v>
      </c>
      <c r="N93" s="684"/>
      <c r="O93" s="684"/>
      <c r="P93" s="684"/>
      <c r="Q93" s="1254"/>
      <c r="R93" s="646"/>
      <c r="S93" s="1254"/>
      <c r="T93" s="1254"/>
      <c r="U93" s="1254"/>
      <c r="V93" s="1255">
        <v>0.81</v>
      </c>
      <c r="W93" s="1255">
        <v>0.21</v>
      </c>
      <c r="X93" s="1264">
        <v>0.9</v>
      </c>
      <c r="Y93" s="1264">
        <v>0.9</v>
      </c>
      <c r="Z93" s="1255">
        <v>0.02</v>
      </c>
      <c r="AA93" s="1255"/>
      <c r="AB93" s="1255"/>
      <c r="AC93" s="1255"/>
      <c r="AD93" s="749"/>
      <c r="AE93" s="1255"/>
      <c r="AF93" s="111"/>
      <c r="AG93" s="19"/>
      <c r="AH93" s="74"/>
      <c r="AI93" s="74"/>
      <c r="AJ93" s="19"/>
      <c r="AK93" s="74"/>
      <c r="AL93" s="19"/>
      <c r="AM93" s="19"/>
      <c r="AN93" s="19"/>
      <c r="AO93" s="19"/>
      <c r="AP93" s="19"/>
    </row>
    <row r="94" spans="1:42" x14ac:dyDescent="0.2">
      <c r="A94" s="1248">
        <v>91</v>
      </c>
      <c r="B94" s="1248"/>
      <c r="C94" s="1248"/>
      <c r="D94" s="1248"/>
      <c r="E94" s="1248"/>
      <c r="F94" s="1248"/>
      <c r="G94" s="1248"/>
      <c r="H94" s="1248"/>
      <c r="I94" s="1248"/>
      <c r="J94" s="1248"/>
      <c r="K94" s="1255"/>
      <c r="L94" s="1254">
        <v>0.13</v>
      </c>
      <c r="M94" s="749">
        <v>0.03</v>
      </c>
      <c r="N94" s="1248"/>
      <c r="O94" s="1248"/>
      <c r="P94" s="1248"/>
      <c r="Q94" s="1254"/>
      <c r="R94" s="646"/>
      <c r="S94" s="1254"/>
      <c r="T94" s="1254"/>
      <c r="U94" s="1254"/>
      <c r="V94" s="1255">
        <v>0.82</v>
      </c>
      <c r="W94" s="1255">
        <v>0.20699999999999999</v>
      </c>
      <c r="X94" s="1264">
        <v>0.9</v>
      </c>
      <c r="Y94" s="1264">
        <v>0.9</v>
      </c>
      <c r="Z94" s="1255">
        <v>1.7999999999999999E-2</v>
      </c>
      <c r="AA94" s="1255"/>
      <c r="AB94" s="1255"/>
      <c r="AC94" s="1255"/>
      <c r="AD94" s="749"/>
      <c r="AE94" s="1255"/>
      <c r="AF94" s="111"/>
      <c r="AG94" s="19"/>
      <c r="AH94" s="74"/>
      <c r="AI94" s="74"/>
      <c r="AJ94" s="19"/>
      <c r="AK94" s="74"/>
      <c r="AL94" s="19"/>
      <c r="AM94" s="19"/>
      <c r="AN94" s="19"/>
      <c r="AO94" s="19"/>
      <c r="AP94" s="19"/>
    </row>
    <row r="95" spans="1:42" x14ac:dyDescent="0.2">
      <c r="A95" s="1248">
        <v>92</v>
      </c>
      <c r="B95" s="1248"/>
      <c r="C95" s="1248"/>
      <c r="D95" s="1248"/>
      <c r="E95" s="1248"/>
      <c r="F95" s="1248"/>
      <c r="G95" s="1248"/>
      <c r="H95" s="1248"/>
      <c r="I95" s="1248"/>
      <c r="J95" s="1248"/>
      <c r="K95" s="1255"/>
      <c r="L95" s="1254">
        <v>0.13</v>
      </c>
      <c r="M95" s="749">
        <v>0.03</v>
      </c>
      <c r="N95" s="1248"/>
      <c r="O95" s="1248"/>
      <c r="P95" s="1248"/>
      <c r="Q95" s="1254"/>
      <c r="R95" s="646"/>
      <c r="S95" s="1254"/>
      <c r="T95" s="1254"/>
      <c r="U95" s="1254"/>
      <c r="V95" s="1255">
        <v>0.83</v>
      </c>
      <c r="W95" s="1255">
        <v>0.20399999999999999</v>
      </c>
      <c r="X95" s="1264">
        <v>0.9</v>
      </c>
      <c r="Y95" s="1264">
        <v>0.9</v>
      </c>
      <c r="Z95" s="1255">
        <v>1.6E-2</v>
      </c>
      <c r="AA95" s="1255"/>
      <c r="AB95" s="1255"/>
      <c r="AC95" s="1255"/>
      <c r="AD95" s="749"/>
      <c r="AE95" s="1255"/>
      <c r="AF95" s="111"/>
      <c r="AG95" s="19"/>
      <c r="AH95" s="74"/>
      <c r="AI95" s="74"/>
      <c r="AJ95" s="19"/>
      <c r="AK95" s="74"/>
      <c r="AL95" s="19"/>
      <c r="AM95" s="19"/>
      <c r="AN95" s="19"/>
      <c r="AO95" s="19"/>
      <c r="AP95" s="19"/>
    </row>
    <row r="96" spans="1:42" x14ac:dyDescent="0.2">
      <c r="A96" s="1248">
        <v>93</v>
      </c>
      <c r="B96" s="1248"/>
      <c r="C96" s="1248"/>
      <c r="D96" s="1248"/>
      <c r="E96" s="1248"/>
      <c r="F96" s="1248"/>
      <c r="G96" s="1248"/>
      <c r="H96" s="1248"/>
      <c r="I96" s="1248"/>
      <c r="J96" s="1248"/>
      <c r="K96" s="1255"/>
      <c r="L96" s="1254">
        <v>0.14000000000000001</v>
      </c>
      <c r="M96" s="749">
        <v>0.03</v>
      </c>
      <c r="N96" s="1248"/>
      <c r="O96" s="1248"/>
      <c r="P96" s="1248"/>
      <c r="Q96" s="1254"/>
      <c r="R96" s="646"/>
      <c r="S96" s="1254"/>
      <c r="T96" s="1254"/>
      <c r="U96" s="1254"/>
      <c r="V96" s="1255">
        <v>0.84</v>
      </c>
      <c r="W96" s="1255">
        <v>0.20100000000000001</v>
      </c>
      <c r="X96" s="1264">
        <v>0.9</v>
      </c>
      <c r="Y96" s="1264">
        <v>0.9</v>
      </c>
      <c r="Z96" s="1255">
        <v>1.4E-2</v>
      </c>
      <c r="AA96" s="1255"/>
      <c r="AB96" s="1255"/>
      <c r="AC96" s="1255"/>
      <c r="AD96" s="749"/>
      <c r="AE96" s="1255"/>
      <c r="AF96" s="111"/>
      <c r="AG96" s="19"/>
      <c r="AH96" s="74"/>
      <c r="AI96" s="74"/>
      <c r="AJ96" s="19"/>
      <c r="AK96" s="74"/>
      <c r="AL96" s="19"/>
      <c r="AM96" s="19"/>
      <c r="AN96" s="19"/>
      <c r="AO96" s="19"/>
      <c r="AP96" s="19"/>
    </row>
    <row r="97" spans="1:42" x14ac:dyDescent="0.2">
      <c r="A97" s="1248">
        <v>94</v>
      </c>
      <c r="B97" s="1248"/>
      <c r="C97" s="1248"/>
      <c r="D97" s="1248"/>
      <c r="E97" s="1248"/>
      <c r="F97" s="1248"/>
      <c r="G97" s="1248"/>
      <c r="H97" s="1248"/>
      <c r="I97" s="1248"/>
      <c r="J97" s="1248"/>
      <c r="K97" s="1255"/>
      <c r="L97" s="1254">
        <v>0.14000000000000001</v>
      </c>
      <c r="M97" s="749">
        <v>0.03</v>
      </c>
      <c r="N97" s="1248"/>
      <c r="O97" s="1248"/>
      <c r="P97" s="1248"/>
      <c r="Q97" s="1254"/>
      <c r="R97" s="646"/>
      <c r="S97" s="1254"/>
      <c r="T97" s="1254"/>
      <c r="U97" s="1254"/>
      <c r="V97" s="1255">
        <v>0.85</v>
      </c>
      <c r="W97" s="1255">
        <v>0.19800000000000001</v>
      </c>
      <c r="X97" s="1264">
        <v>0.9</v>
      </c>
      <c r="Y97" s="1264">
        <v>0.9</v>
      </c>
      <c r="Z97" s="1255">
        <v>1.2E-2</v>
      </c>
      <c r="AA97" s="1255"/>
      <c r="AB97" s="1255"/>
      <c r="AC97" s="1255"/>
      <c r="AD97" s="749"/>
      <c r="AE97" s="1255"/>
      <c r="AF97" s="111"/>
      <c r="AG97" s="19"/>
      <c r="AH97" s="74"/>
      <c r="AI97" s="74"/>
      <c r="AJ97" s="19"/>
      <c r="AK97" s="74"/>
      <c r="AL97" s="19"/>
      <c r="AM97" s="19"/>
      <c r="AN97" s="19"/>
      <c r="AO97" s="19"/>
      <c r="AP97" s="19"/>
    </row>
    <row r="98" spans="1:42" x14ac:dyDescent="0.2">
      <c r="A98" s="1248">
        <v>95</v>
      </c>
      <c r="B98" s="1248"/>
      <c r="C98" s="1248"/>
      <c r="D98" s="1248"/>
      <c r="E98" s="1248"/>
      <c r="F98" s="1248"/>
      <c r="G98" s="1248"/>
      <c r="H98" s="1248"/>
      <c r="I98" s="1248"/>
      <c r="J98" s="1248"/>
      <c r="K98" s="1255"/>
      <c r="L98" s="1254">
        <v>0.14000000000000001</v>
      </c>
      <c r="M98" s="749">
        <v>0.03</v>
      </c>
      <c r="N98" s="1248"/>
      <c r="O98" s="1248"/>
      <c r="P98" s="1248"/>
      <c r="Q98" s="1254"/>
      <c r="R98" s="646"/>
      <c r="S98" s="1254"/>
      <c r="T98" s="1254"/>
      <c r="U98" s="1254"/>
      <c r="V98" s="1255">
        <v>0.86</v>
      </c>
      <c r="W98" s="1255">
        <v>0.19500000000000001</v>
      </c>
      <c r="X98" s="1264">
        <v>0.9</v>
      </c>
      <c r="Y98" s="1264">
        <v>0.9</v>
      </c>
      <c r="Z98" s="1255">
        <v>0.01</v>
      </c>
      <c r="AA98" s="1255"/>
      <c r="AB98" s="1255"/>
      <c r="AC98" s="1255"/>
      <c r="AD98" s="749"/>
      <c r="AE98" s="1255"/>
      <c r="AF98" s="111"/>
      <c r="AG98" s="19"/>
      <c r="AH98" s="74"/>
      <c r="AI98" s="74"/>
      <c r="AJ98" s="19"/>
      <c r="AK98" s="74"/>
      <c r="AL98" s="19"/>
      <c r="AM98" s="19"/>
      <c r="AN98" s="19"/>
      <c r="AO98" s="19"/>
      <c r="AP98" s="19"/>
    </row>
    <row r="99" spans="1:42" x14ac:dyDescent="0.2">
      <c r="A99" s="1248">
        <v>96</v>
      </c>
      <c r="B99" s="1248"/>
      <c r="C99" s="1248"/>
      <c r="D99" s="1248"/>
      <c r="E99" s="1248"/>
      <c r="F99" s="1248"/>
      <c r="G99" s="1248"/>
      <c r="H99" s="1248"/>
      <c r="I99" s="1248"/>
      <c r="J99" s="1248"/>
      <c r="K99" s="1255"/>
      <c r="L99" s="1254">
        <v>0.14000000000000001</v>
      </c>
      <c r="M99" s="749">
        <v>0.03</v>
      </c>
      <c r="N99" s="1248"/>
      <c r="O99" s="1248"/>
      <c r="P99" s="1248"/>
      <c r="Q99" s="1254"/>
      <c r="R99" s="646"/>
      <c r="S99" s="1254"/>
      <c r="T99" s="1254"/>
      <c r="U99" s="1254"/>
      <c r="V99" s="1255">
        <v>0.86</v>
      </c>
      <c r="W99" s="1255">
        <v>0.192</v>
      </c>
      <c r="X99" s="1264">
        <v>0.9</v>
      </c>
      <c r="Y99" s="1264">
        <v>0.9</v>
      </c>
      <c r="Z99" s="1255">
        <v>8.0000000000000002E-3</v>
      </c>
      <c r="AA99" s="1255"/>
      <c r="AB99" s="1255"/>
      <c r="AC99" s="1255"/>
      <c r="AD99" s="749"/>
      <c r="AE99" s="1255"/>
      <c r="AF99" s="111"/>
      <c r="AG99" s="19"/>
      <c r="AH99" s="74"/>
      <c r="AI99" s="74"/>
      <c r="AJ99" s="19"/>
      <c r="AK99" s="74"/>
      <c r="AL99" s="19"/>
      <c r="AM99" s="19"/>
      <c r="AN99" s="19"/>
      <c r="AO99" s="19"/>
      <c r="AP99" s="19"/>
    </row>
    <row r="100" spans="1:42" x14ac:dyDescent="0.2">
      <c r="A100" s="1248">
        <v>97</v>
      </c>
      <c r="B100" s="1248"/>
      <c r="C100" s="1248"/>
      <c r="D100" s="1248"/>
      <c r="E100" s="1248"/>
      <c r="F100" s="1248"/>
      <c r="G100" s="1248"/>
      <c r="H100" s="1248"/>
      <c r="I100" s="1248"/>
      <c r="J100" s="1248"/>
      <c r="K100" s="1255"/>
      <c r="L100" s="1254">
        <v>0.14000000000000001</v>
      </c>
      <c r="M100" s="749">
        <v>0.03</v>
      </c>
      <c r="N100" s="1248"/>
      <c r="O100" s="1248"/>
      <c r="P100" s="1248"/>
      <c r="Q100" s="1254"/>
      <c r="R100" s="646"/>
      <c r="S100" s="1254"/>
      <c r="T100" s="1254"/>
      <c r="U100" s="1254"/>
      <c r="V100" s="1255">
        <v>0.87</v>
      </c>
      <c r="W100" s="1255">
        <v>0.189</v>
      </c>
      <c r="X100" s="1264">
        <v>0.9</v>
      </c>
      <c r="Y100" s="1264">
        <v>0.9</v>
      </c>
      <c r="Z100" s="1255">
        <v>6.0000000000000001E-3</v>
      </c>
      <c r="AA100" s="1255"/>
      <c r="AB100" s="1255"/>
      <c r="AC100" s="1255"/>
      <c r="AD100" s="749"/>
      <c r="AE100" s="1255"/>
      <c r="AF100" s="111"/>
      <c r="AG100" s="19"/>
      <c r="AH100" s="74"/>
      <c r="AI100" s="74"/>
      <c r="AJ100" s="19"/>
      <c r="AK100" s="74"/>
      <c r="AL100" s="19"/>
      <c r="AM100" s="19"/>
      <c r="AN100" s="19"/>
      <c r="AO100" s="19"/>
      <c r="AP100" s="19"/>
    </row>
    <row r="101" spans="1:42" x14ac:dyDescent="0.2">
      <c r="A101" s="1248">
        <v>98</v>
      </c>
      <c r="B101" s="1248"/>
      <c r="C101" s="1248"/>
      <c r="D101" s="1248"/>
      <c r="E101" s="1248"/>
      <c r="F101" s="1248"/>
      <c r="G101" s="1248"/>
      <c r="H101" s="1248"/>
      <c r="I101" s="1248"/>
      <c r="J101" s="1248"/>
      <c r="K101" s="1255"/>
      <c r="L101" s="1254">
        <v>0.14000000000000001</v>
      </c>
      <c r="M101" s="749">
        <v>0.03</v>
      </c>
      <c r="N101" s="1248"/>
      <c r="O101" s="1248"/>
      <c r="P101" s="1248"/>
      <c r="Q101" s="1254"/>
      <c r="R101" s="646"/>
      <c r="S101" s="1254"/>
      <c r="T101" s="1254"/>
      <c r="U101" s="1254"/>
      <c r="V101" s="1255">
        <v>0.88</v>
      </c>
      <c r="W101" s="1255">
        <v>0.186</v>
      </c>
      <c r="X101" s="1264">
        <v>0.9</v>
      </c>
      <c r="Y101" s="1264">
        <v>0.9</v>
      </c>
      <c r="Z101" s="1255">
        <v>4.0000000000000001E-3</v>
      </c>
      <c r="AA101" s="1255"/>
      <c r="AB101" s="1255"/>
      <c r="AC101" s="1255"/>
      <c r="AD101" s="749"/>
      <c r="AE101" s="1255"/>
      <c r="AF101" s="111"/>
      <c r="AG101" s="19"/>
      <c r="AH101" s="74"/>
      <c r="AI101" s="74"/>
      <c r="AJ101" s="19"/>
      <c r="AK101" s="74"/>
      <c r="AL101" s="19"/>
      <c r="AM101" s="19"/>
      <c r="AN101" s="19"/>
      <c r="AO101" s="19"/>
      <c r="AP101" s="19"/>
    </row>
    <row r="102" spans="1:42" x14ac:dyDescent="0.2">
      <c r="A102" s="1248">
        <v>99</v>
      </c>
      <c r="B102" s="1248"/>
      <c r="C102" s="1248"/>
      <c r="D102" s="1248"/>
      <c r="E102" s="1248"/>
      <c r="F102" s="1248"/>
      <c r="G102" s="1248"/>
      <c r="H102" s="1248"/>
      <c r="I102" s="1248"/>
      <c r="J102" s="1248"/>
      <c r="K102" s="1255"/>
      <c r="L102" s="1254">
        <v>0.14000000000000001</v>
      </c>
      <c r="M102" s="749">
        <v>0.03</v>
      </c>
      <c r="N102" s="1248"/>
      <c r="O102" s="1248"/>
      <c r="P102" s="1248"/>
      <c r="Q102" s="1254"/>
      <c r="R102" s="646"/>
      <c r="S102" s="1254"/>
      <c r="T102" s="1254"/>
      <c r="U102" s="1254"/>
      <c r="V102" s="1255">
        <v>0.89</v>
      </c>
      <c r="W102" s="1255">
        <v>0.183</v>
      </c>
      <c r="X102" s="1264">
        <v>0.9</v>
      </c>
      <c r="Y102" s="1264">
        <v>0.9</v>
      </c>
      <c r="Z102" s="1255">
        <v>2E-3</v>
      </c>
      <c r="AA102" s="1255"/>
      <c r="AB102" s="1255"/>
      <c r="AC102" s="1255"/>
      <c r="AD102" s="749"/>
      <c r="AE102" s="1255"/>
      <c r="AF102" s="111"/>
      <c r="AG102" s="19"/>
      <c r="AH102" s="74"/>
      <c r="AI102" s="74"/>
      <c r="AJ102" s="19"/>
      <c r="AK102" s="74"/>
      <c r="AL102" s="19"/>
      <c r="AM102" s="19"/>
      <c r="AN102" s="19"/>
      <c r="AO102" s="19"/>
      <c r="AP102" s="19"/>
    </row>
    <row r="103" spans="1:42" x14ac:dyDescent="0.2">
      <c r="A103" s="1248">
        <v>100</v>
      </c>
      <c r="B103" s="1248"/>
      <c r="C103" s="1248"/>
      <c r="D103" s="1248"/>
      <c r="E103" s="1248"/>
      <c r="F103" s="1248"/>
      <c r="G103" s="1248"/>
      <c r="H103" s="1248"/>
      <c r="I103" s="1248"/>
      <c r="J103" s="1248"/>
      <c r="K103" s="1261"/>
      <c r="L103" s="1254">
        <v>0.14000000000000001</v>
      </c>
      <c r="M103" s="749">
        <v>0.03</v>
      </c>
      <c r="N103" s="1248"/>
      <c r="O103" s="1248"/>
      <c r="P103" s="1248"/>
      <c r="Q103" s="1254"/>
      <c r="R103" s="646"/>
      <c r="S103" s="1254"/>
      <c r="T103" s="1254"/>
      <c r="U103" s="1254"/>
      <c r="V103" s="1255">
        <v>0.9</v>
      </c>
      <c r="W103" s="1255">
        <v>0.18</v>
      </c>
      <c r="X103" s="1264">
        <v>0.9</v>
      </c>
      <c r="Y103" s="1264">
        <v>0.9</v>
      </c>
      <c r="Z103" s="1255">
        <v>0</v>
      </c>
      <c r="AA103" s="1255"/>
      <c r="AB103" s="1255"/>
      <c r="AC103" s="1255"/>
      <c r="AD103" s="749"/>
      <c r="AE103" s="1255"/>
      <c r="AF103" s="111"/>
      <c r="AG103" s="19"/>
      <c r="AH103" s="74"/>
      <c r="AI103" s="74"/>
      <c r="AJ103" s="19"/>
      <c r="AK103" s="74"/>
      <c r="AL103" s="19"/>
      <c r="AM103" s="19"/>
      <c r="AN103" s="19"/>
      <c r="AO103" s="19"/>
      <c r="AP103" s="19"/>
    </row>
    <row r="104" spans="1:42" x14ac:dyDescent="0.2">
      <c r="A104" s="1248">
        <v>101</v>
      </c>
      <c r="B104" s="1248"/>
      <c r="C104" s="1248"/>
      <c r="D104" s="1248"/>
      <c r="E104" s="1248"/>
      <c r="F104" s="1248"/>
      <c r="G104" s="1248"/>
      <c r="H104" s="1248"/>
      <c r="I104" s="1248"/>
      <c r="J104" s="1248"/>
      <c r="K104" s="1255"/>
      <c r="L104" s="1255"/>
      <c r="M104" s="1255"/>
      <c r="N104" s="1248"/>
      <c r="O104" s="1248"/>
      <c r="P104" s="1248"/>
      <c r="Q104" s="1254"/>
      <c r="R104" s="1254"/>
      <c r="S104" s="1254"/>
      <c r="T104" s="1254"/>
      <c r="U104" s="1254"/>
      <c r="V104" s="1255"/>
      <c r="W104" s="1255">
        <v>0.17599999999999999</v>
      </c>
      <c r="X104" s="1264">
        <v>0.9</v>
      </c>
      <c r="Y104" s="1264">
        <v>0.9</v>
      </c>
      <c r="Z104" s="1255"/>
      <c r="AA104" s="1255"/>
      <c r="AB104" s="1255"/>
      <c r="AC104" s="1255"/>
      <c r="AD104" s="749"/>
      <c r="AE104" s="1255"/>
      <c r="AF104" s="111"/>
      <c r="AG104" s="19"/>
      <c r="AH104" s="74"/>
      <c r="AI104" s="74"/>
      <c r="AJ104" s="19"/>
      <c r="AK104" s="74"/>
      <c r="AL104" s="19"/>
      <c r="AM104" s="19"/>
      <c r="AN104" s="19"/>
      <c r="AO104" s="19"/>
      <c r="AP104" s="19"/>
    </row>
    <row r="105" spans="1:42" x14ac:dyDescent="0.2">
      <c r="A105" s="1248">
        <v>102</v>
      </c>
      <c r="B105" s="1248"/>
      <c r="C105" s="1248"/>
      <c r="D105" s="1248"/>
      <c r="E105" s="1248"/>
      <c r="F105" s="1248"/>
      <c r="G105" s="1248"/>
      <c r="H105" s="1248"/>
      <c r="I105" s="1248"/>
      <c r="J105" s="1248"/>
      <c r="K105" s="1255"/>
      <c r="L105" s="1255"/>
      <c r="M105" s="1255"/>
      <c r="N105" s="1248"/>
      <c r="O105" s="1248"/>
      <c r="P105" s="1248"/>
      <c r="Q105" s="1254"/>
      <c r="R105" s="1254"/>
      <c r="S105" s="1254"/>
      <c r="T105" s="1254"/>
      <c r="U105" s="1254"/>
      <c r="V105" s="1255"/>
      <c r="W105" s="1255">
        <v>0.17199999999999999</v>
      </c>
      <c r="X105" s="1264">
        <v>0.9</v>
      </c>
      <c r="Y105" s="1264">
        <v>0.9</v>
      </c>
      <c r="Z105" s="1255"/>
      <c r="AA105" s="1255"/>
      <c r="AB105" s="1255"/>
      <c r="AC105" s="1255"/>
      <c r="AD105" s="749"/>
      <c r="AE105" s="1255"/>
      <c r="AF105" s="111"/>
      <c r="AG105" s="19"/>
      <c r="AH105" s="74"/>
      <c r="AI105" s="74"/>
      <c r="AJ105" s="19"/>
      <c r="AK105" s="74"/>
      <c r="AL105" s="19"/>
      <c r="AM105" s="19"/>
      <c r="AN105" s="19"/>
      <c r="AO105" s="19"/>
      <c r="AP105" s="19"/>
    </row>
    <row r="106" spans="1:42" x14ac:dyDescent="0.2">
      <c r="A106" s="1248">
        <v>103</v>
      </c>
      <c r="B106" s="1248"/>
      <c r="C106" s="1248"/>
      <c r="D106" s="1248"/>
      <c r="E106" s="1248"/>
      <c r="F106" s="1248"/>
      <c r="G106" s="1248"/>
      <c r="H106" s="1248"/>
      <c r="I106" s="1248"/>
      <c r="J106" s="1248"/>
      <c r="K106" s="1255"/>
      <c r="L106" s="1255"/>
      <c r="M106" s="1255"/>
      <c r="N106" s="1248"/>
      <c r="O106" s="1248"/>
      <c r="P106" s="1248"/>
      <c r="Q106" s="1254"/>
      <c r="R106" s="1254"/>
      <c r="S106" s="1254"/>
      <c r="T106" s="1254"/>
      <c r="U106" s="1254"/>
      <c r="V106" s="1255"/>
      <c r="W106" s="1255">
        <v>0.16800000000000001</v>
      </c>
      <c r="X106" s="1264">
        <v>0.9</v>
      </c>
      <c r="Y106" s="1264">
        <v>0.9</v>
      </c>
      <c r="Z106" s="1255"/>
      <c r="AA106" s="1255"/>
      <c r="AB106" s="1255"/>
      <c r="AC106" s="1255"/>
      <c r="AD106" s="749"/>
      <c r="AE106" s="1255"/>
      <c r="AF106" s="111"/>
      <c r="AG106" s="19"/>
      <c r="AH106" s="74"/>
      <c r="AI106" s="74"/>
      <c r="AJ106" s="19"/>
      <c r="AK106" s="74"/>
      <c r="AL106" s="19"/>
      <c r="AM106" s="19"/>
      <c r="AN106" s="19"/>
      <c r="AO106" s="19"/>
      <c r="AP106" s="19"/>
    </row>
    <row r="107" spans="1:42" x14ac:dyDescent="0.2">
      <c r="A107" s="1248">
        <v>104</v>
      </c>
      <c r="B107" s="1248"/>
      <c r="C107" s="1248"/>
      <c r="D107" s="1248"/>
      <c r="E107" s="1248"/>
      <c r="F107" s="1248"/>
      <c r="G107" s="1248"/>
      <c r="H107" s="1248"/>
      <c r="I107" s="1248"/>
      <c r="J107" s="1248"/>
      <c r="K107" s="1255"/>
      <c r="L107" s="1255"/>
      <c r="M107" s="1255"/>
      <c r="N107" s="1248"/>
      <c r="O107" s="1248"/>
      <c r="P107" s="1248"/>
      <c r="Q107" s="1254"/>
      <c r="R107" s="1254"/>
      <c r="S107" s="1254"/>
      <c r="T107" s="1254"/>
      <c r="U107" s="1254"/>
      <c r="V107" s="1255"/>
      <c r="W107" s="1255">
        <v>0.16400000000000001</v>
      </c>
      <c r="X107" s="1264">
        <v>0.9</v>
      </c>
      <c r="Y107" s="1264">
        <v>0.9</v>
      </c>
      <c r="Z107" s="1255"/>
      <c r="AA107" s="1255"/>
      <c r="AB107" s="1255"/>
      <c r="AC107" s="1255"/>
      <c r="AD107" s="749"/>
      <c r="AE107" s="1255"/>
      <c r="AF107" s="111"/>
      <c r="AG107" s="19"/>
      <c r="AH107" s="74"/>
      <c r="AI107" s="74"/>
      <c r="AJ107" s="19"/>
      <c r="AK107" s="74"/>
      <c r="AL107" s="19"/>
      <c r="AM107" s="19"/>
      <c r="AN107" s="19"/>
      <c r="AO107" s="19"/>
      <c r="AP107" s="19"/>
    </row>
    <row r="108" spans="1:42" x14ac:dyDescent="0.2">
      <c r="A108" s="1248">
        <v>105</v>
      </c>
      <c r="B108" s="1248"/>
      <c r="C108" s="1248"/>
      <c r="D108" s="1248"/>
      <c r="E108" s="1248"/>
      <c r="F108" s="1248"/>
      <c r="G108" s="1248"/>
      <c r="H108" s="1248"/>
      <c r="I108" s="1248"/>
      <c r="J108" s="1248"/>
      <c r="K108" s="1255"/>
      <c r="L108" s="1255"/>
      <c r="M108" s="1255"/>
      <c r="N108" s="1248"/>
      <c r="O108" s="1248"/>
      <c r="P108" s="1248"/>
      <c r="Q108" s="1254"/>
      <c r="R108" s="1254"/>
      <c r="S108" s="1254"/>
      <c r="T108" s="1254"/>
      <c r="U108" s="1254"/>
      <c r="V108" s="1255"/>
      <c r="W108" s="1255">
        <v>0.16</v>
      </c>
      <c r="X108" s="1264">
        <v>0.9</v>
      </c>
      <c r="Y108" s="1264">
        <v>0.9</v>
      </c>
      <c r="Z108" s="1255"/>
      <c r="AA108" s="1255"/>
      <c r="AB108" s="1255"/>
      <c r="AC108" s="1255"/>
      <c r="AD108" s="749"/>
      <c r="AE108" s="1255"/>
      <c r="AF108" s="111"/>
      <c r="AG108" s="19"/>
      <c r="AH108" s="74"/>
      <c r="AI108" s="74"/>
      <c r="AJ108" s="19"/>
      <c r="AK108" s="74"/>
      <c r="AL108" s="19"/>
      <c r="AM108" s="19"/>
      <c r="AN108" s="19"/>
      <c r="AO108" s="19"/>
      <c r="AP108" s="19"/>
    </row>
    <row r="109" spans="1:42" x14ac:dyDescent="0.2">
      <c r="A109" s="1248">
        <v>106</v>
      </c>
      <c r="B109" s="1248"/>
      <c r="C109" s="1248"/>
      <c r="D109" s="1248"/>
      <c r="E109" s="1248"/>
      <c r="F109" s="1248"/>
      <c r="G109" s="1248"/>
      <c r="H109" s="1248"/>
      <c r="I109" s="1248"/>
      <c r="J109" s="1248"/>
      <c r="K109" s="1255"/>
      <c r="L109" s="1255"/>
      <c r="M109" s="1255"/>
      <c r="N109" s="1248"/>
      <c r="O109" s="1248"/>
      <c r="P109" s="1248"/>
      <c r="Q109" s="1254"/>
      <c r="R109" s="1254"/>
      <c r="S109" s="1254"/>
      <c r="T109" s="1254"/>
      <c r="U109" s="1254"/>
      <c r="V109" s="1255"/>
      <c r="W109" s="1255">
        <v>0.156</v>
      </c>
      <c r="X109" s="1264">
        <v>0.9</v>
      </c>
      <c r="Y109" s="1264">
        <v>0.9</v>
      </c>
      <c r="Z109" s="1255"/>
      <c r="AA109" s="1255"/>
      <c r="AB109" s="1255"/>
      <c r="AC109" s="1255"/>
      <c r="AD109" s="749"/>
      <c r="AE109" s="1255"/>
      <c r="AF109" s="111"/>
      <c r="AG109" s="19"/>
      <c r="AH109" s="74"/>
      <c r="AI109" s="74"/>
      <c r="AJ109" s="19"/>
      <c r="AK109" s="74"/>
      <c r="AL109" s="19"/>
      <c r="AM109" s="19"/>
      <c r="AN109" s="19"/>
      <c r="AO109" s="19"/>
      <c r="AP109" s="19"/>
    </row>
    <row r="110" spans="1:42" x14ac:dyDescent="0.2">
      <c r="A110" s="1248">
        <v>107</v>
      </c>
      <c r="B110" s="1248"/>
      <c r="C110" s="1248"/>
      <c r="D110" s="1248"/>
      <c r="E110" s="1248"/>
      <c r="F110" s="1248"/>
      <c r="G110" s="1248"/>
      <c r="H110" s="1248"/>
      <c r="I110" s="1248"/>
      <c r="J110" s="1248"/>
      <c r="K110" s="1255"/>
      <c r="L110" s="1255"/>
      <c r="M110" s="1255"/>
      <c r="N110" s="1248"/>
      <c r="O110" s="1248"/>
      <c r="P110" s="1248"/>
      <c r="Q110" s="1254"/>
      <c r="R110" s="1254"/>
      <c r="S110" s="1254"/>
      <c r="T110" s="1254"/>
      <c r="U110" s="1254"/>
      <c r="V110" s="1255"/>
      <c r="W110" s="1255">
        <v>0.152</v>
      </c>
      <c r="X110" s="1264">
        <v>0.9</v>
      </c>
      <c r="Y110" s="1264">
        <v>0.9</v>
      </c>
      <c r="Z110" s="1255"/>
      <c r="AA110" s="1255"/>
      <c r="AB110" s="1255"/>
      <c r="AC110" s="1255"/>
      <c r="AD110" s="749"/>
      <c r="AE110" s="1255"/>
      <c r="AF110" s="111"/>
      <c r="AG110" s="19"/>
      <c r="AH110" s="74"/>
      <c r="AI110" s="74"/>
      <c r="AJ110" s="19"/>
      <c r="AK110" s="74"/>
      <c r="AL110" s="19"/>
      <c r="AM110" s="19"/>
      <c r="AN110" s="19"/>
      <c r="AO110" s="19"/>
      <c r="AP110" s="19"/>
    </row>
    <row r="111" spans="1:42" x14ac:dyDescent="0.2">
      <c r="A111" s="1248">
        <v>108</v>
      </c>
      <c r="B111" s="1248"/>
      <c r="C111" s="1248"/>
      <c r="D111" s="1248"/>
      <c r="E111" s="1248"/>
      <c r="F111" s="1248"/>
      <c r="G111" s="1248"/>
      <c r="H111" s="1248"/>
      <c r="I111" s="1248"/>
      <c r="J111" s="1248"/>
      <c r="K111" s="1255"/>
      <c r="L111" s="1255"/>
      <c r="M111" s="1255"/>
      <c r="N111" s="1248"/>
      <c r="O111" s="1248"/>
      <c r="P111" s="1248"/>
      <c r="Q111" s="1254"/>
      <c r="R111" s="1254"/>
      <c r="S111" s="1254"/>
      <c r="T111" s="1254"/>
      <c r="U111" s="1254"/>
      <c r="V111" s="1255"/>
      <c r="W111" s="1255">
        <v>0.14799999999999999</v>
      </c>
      <c r="X111" s="1264">
        <v>0.9</v>
      </c>
      <c r="Y111" s="1264">
        <v>0.9</v>
      </c>
      <c r="Z111" s="1255"/>
      <c r="AA111" s="1255"/>
      <c r="AB111" s="1255"/>
      <c r="AC111" s="1255"/>
      <c r="AD111" s="749"/>
      <c r="AE111" s="1255"/>
      <c r="AF111" s="111"/>
      <c r="AG111" s="19"/>
      <c r="AH111" s="74"/>
      <c r="AI111" s="74"/>
      <c r="AJ111" s="19"/>
      <c r="AK111" s="74"/>
      <c r="AL111" s="19"/>
      <c r="AM111" s="19"/>
      <c r="AN111" s="19"/>
      <c r="AO111" s="19"/>
      <c r="AP111" s="19"/>
    </row>
    <row r="112" spans="1:42" x14ac:dyDescent="0.2">
      <c r="A112" s="1248">
        <v>109</v>
      </c>
      <c r="B112" s="1248"/>
      <c r="C112" s="1248"/>
      <c r="D112" s="1248"/>
      <c r="E112" s="1248"/>
      <c r="F112" s="1248"/>
      <c r="G112" s="1248"/>
      <c r="H112" s="1248"/>
      <c r="I112" s="1248"/>
      <c r="J112" s="1248"/>
      <c r="K112" s="1255"/>
      <c r="L112" s="1255"/>
      <c r="M112" s="1255"/>
      <c r="N112" s="1248"/>
      <c r="O112" s="1248"/>
      <c r="P112" s="1248"/>
      <c r="Q112" s="1254"/>
      <c r="R112" s="1254"/>
      <c r="S112" s="1254"/>
      <c r="T112" s="1254"/>
      <c r="U112" s="1254"/>
      <c r="V112" s="1255"/>
      <c r="W112" s="1255">
        <v>0.14399999999999999</v>
      </c>
      <c r="X112" s="1264">
        <v>0.9</v>
      </c>
      <c r="Y112" s="1264">
        <v>0.9</v>
      </c>
      <c r="Z112" s="1255"/>
      <c r="AA112" s="1255"/>
      <c r="AB112" s="1255"/>
      <c r="AC112" s="1255"/>
      <c r="AD112" s="749"/>
      <c r="AE112" s="1255"/>
      <c r="AF112" s="111"/>
      <c r="AG112" s="19"/>
      <c r="AH112" s="74"/>
      <c r="AI112" s="74"/>
      <c r="AJ112" s="19"/>
      <c r="AK112" s="74"/>
      <c r="AL112" s="19"/>
      <c r="AM112" s="19"/>
      <c r="AN112" s="19"/>
      <c r="AO112" s="19"/>
      <c r="AP112" s="19"/>
    </row>
    <row r="113" spans="1:42" x14ac:dyDescent="0.2">
      <c r="A113" s="1248">
        <v>110</v>
      </c>
      <c r="B113" s="1248"/>
      <c r="C113" s="1248"/>
      <c r="D113" s="1248"/>
      <c r="E113" s="1248"/>
      <c r="F113" s="1248"/>
      <c r="G113" s="1248"/>
      <c r="H113" s="1248"/>
      <c r="I113" s="1248"/>
      <c r="J113" s="1248"/>
      <c r="K113" s="1255"/>
      <c r="L113" s="1255"/>
      <c r="M113" s="1255"/>
      <c r="N113" s="1248"/>
      <c r="O113" s="1248"/>
      <c r="P113" s="1248"/>
      <c r="Q113" s="1254"/>
      <c r="R113" s="1254"/>
      <c r="S113" s="1254"/>
      <c r="T113" s="1254"/>
      <c r="U113" s="1254"/>
      <c r="V113" s="1255"/>
      <c r="W113" s="1255">
        <v>0.14000000000000001</v>
      </c>
      <c r="X113" s="1264">
        <v>0.9</v>
      </c>
      <c r="Y113" s="1264">
        <v>0.9</v>
      </c>
      <c r="Z113" s="1255"/>
      <c r="AA113" s="1255"/>
      <c r="AB113" s="1255"/>
      <c r="AC113" s="1255"/>
      <c r="AD113" s="749"/>
      <c r="AE113" s="1255"/>
      <c r="AF113" s="111"/>
      <c r="AG113" s="19"/>
      <c r="AH113" s="74"/>
      <c r="AI113" s="74"/>
      <c r="AJ113" s="19"/>
      <c r="AK113" s="74"/>
      <c r="AL113" s="19"/>
      <c r="AM113" s="19"/>
      <c r="AN113" s="19"/>
      <c r="AO113" s="19"/>
      <c r="AP113" s="19"/>
    </row>
    <row r="114" spans="1:42" x14ac:dyDescent="0.2">
      <c r="A114" s="1248">
        <v>111</v>
      </c>
      <c r="B114" s="1248"/>
      <c r="C114" s="1248"/>
      <c r="D114" s="1248"/>
      <c r="E114" s="1248"/>
      <c r="F114" s="1248"/>
      <c r="G114" s="1248"/>
      <c r="H114" s="1248"/>
      <c r="I114" s="1248"/>
      <c r="J114" s="1248"/>
      <c r="K114" s="1255"/>
      <c r="L114" s="1255"/>
      <c r="M114" s="1255"/>
      <c r="N114" s="1248"/>
      <c r="O114" s="1248"/>
      <c r="P114" s="1248"/>
      <c r="Q114" s="1254"/>
      <c r="R114" s="1254"/>
      <c r="S114" s="1254"/>
      <c r="T114" s="1254"/>
      <c r="U114" s="1254"/>
      <c r="V114" s="1255"/>
      <c r="W114" s="1255">
        <v>0.13700000000000001</v>
      </c>
      <c r="X114" s="1264">
        <v>0.9</v>
      </c>
      <c r="Y114" s="1264">
        <v>0.9</v>
      </c>
      <c r="Z114" s="1255"/>
      <c r="AA114" s="1255"/>
      <c r="AB114" s="1255"/>
      <c r="AC114" s="1255"/>
      <c r="AD114" s="749"/>
      <c r="AE114" s="1255"/>
      <c r="AF114" s="111"/>
      <c r="AG114" s="19"/>
      <c r="AH114" s="74"/>
      <c r="AI114" s="74"/>
      <c r="AJ114" s="19"/>
      <c r="AK114" s="74"/>
      <c r="AL114" s="19"/>
      <c r="AM114" s="19"/>
      <c r="AN114" s="19"/>
      <c r="AO114" s="19"/>
      <c r="AP114" s="19"/>
    </row>
    <row r="115" spans="1:42" x14ac:dyDescent="0.2">
      <c r="A115" s="1248">
        <v>112</v>
      </c>
      <c r="B115" s="1248"/>
      <c r="C115" s="1248"/>
      <c r="D115" s="1248"/>
      <c r="E115" s="1248"/>
      <c r="F115" s="1248"/>
      <c r="G115" s="1248"/>
      <c r="H115" s="1248"/>
      <c r="I115" s="1248"/>
      <c r="J115" s="1248"/>
      <c r="K115" s="1255"/>
      <c r="L115" s="1255"/>
      <c r="M115" s="1255"/>
      <c r="N115" s="1248"/>
      <c r="O115" s="1248"/>
      <c r="P115" s="1248"/>
      <c r="Q115" s="1254"/>
      <c r="R115" s="1254"/>
      <c r="S115" s="1254"/>
      <c r="T115" s="1254"/>
      <c r="U115" s="1254"/>
      <c r="V115" s="1255"/>
      <c r="W115" s="1255">
        <v>0.13400000000000001</v>
      </c>
      <c r="X115" s="1264">
        <v>0.9</v>
      </c>
      <c r="Y115" s="1264">
        <v>0.9</v>
      </c>
      <c r="Z115" s="1255"/>
      <c r="AA115" s="1255"/>
      <c r="AB115" s="1255"/>
      <c r="AC115" s="1255"/>
      <c r="AD115" s="749"/>
      <c r="AE115" s="1255"/>
      <c r="AF115" s="111"/>
      <c r="AG115" s="19"/>
      <c r="AH115" s="74"/>
      <c r="AI115" s="74"/>
      <c r="AJ115" s="19"/>
      <c r="AK115" s="74"/>
      <c r="AL115" s="19"/>
      <c r="AM115" s="19"/>
      <c r="AN115" s="19"/>
      <c r="AO115" s="19"/>
      <c r="AP115" s="19"/>
    </row>
    <row r="116" spans="1:42" x14ac:dyDescent="0.2">
      <c r="A116" s="1248">
        <v>113</v>
      </c>
      <c r="B116" s="1248"/>
      <c r="C116" s="1248"/>
      <c r="D116" s="1248"/>
      <c r="E116" s="1248"/>
      <c r="F116" s="1248"/>
      <c r="G116" s="1248"/>
      <c r="H116" s="1248"/>
      <c r="I116" s="1248"/>
      <c r="J116" s="1248"/>
      <c r="K116" s="1255"/>
      <c r="L116" s="1255"/>
      <c r="M116" s="1255"/>
      <c r="N116" s="1248"/>
      <c r="O116" s="1248"/>
      <c r="P116" s="1248"/>
      <c r="Q116" s="1254"/>
      <c r="R116" s="1254"/>
      <c r="S116" s="1254"/>
      <c r="T116" s="1254"/>
      <c r="U116" s="1254"/>
      <c r="V116" s="1255"/>
      <c r="W116" s="1255">
        <v>0.13100000000000001</v>
      </c>
      <c r="X116" s="1264">
        <v>0.9</v>
      </c>
      <c r="Y116" s="1264">
        <v>0.9</v>
      </c>
      <c r="Z116" s="1255"/>
      <c r="AA116" s="1255"/>
      <c r="AB116" s="1255"/>
      <c r="AC116" s="1255"/>
      <c r="AD116" s="749"/>
      <c r="AE116" s="1255"/>
      <c r="AF116" s="111"/>
      <c r="AG116" s="19"/>
      <c r="AH116" s="74"/>
      <c r="AI116" s="74"/>
      <c r="AJ116" s="19"/>
      <c r="AK116" s="74"/>
      <c r="AL116" s="19"/>
      <c r="AM116" s="19"/>
      <c r="AN116" s="19"/>
      <c r="AO116" s="19"/>
      <c r="AP116" s="19"/>
    </row>
    <row r="117" spans="1:42" x14ac:dyDescent="0.2">
      <c r="A117" s="1248">
        <v>114</v>
      </c>
      <c r="B117" s="1248"/>
      <c r="C117" s="1248"/>
      <c r="D117" s="1248"/>
      <c r="E117" s="1248"/>
      <c r="F117" s="1248"/>
      <c r="G117" s="1248"/>
      <c r="H117" s="1248"/>
      <c r="I117" s="1248"/>
      <c r="J117" s="1248"/>
      <c r="K117" s="1255"/>
      <c r="L117" s="1255"/>
      <c r="M117" s="1255"/>
      <c r="N117" s="1248"/>
      <c r="O117" s="1248"/>
      <c r="P117" s="1248"/>
      <c r="Q117" s="1254"/>
      <c r="R117" s="1254"/>
      <c r="S117" s="1254"/>
      <c r="T117" s="1254"/>
      <c r="U117" s="1254"/>
      <c r="V117" s="1255"/>
      <c r="W117" s="1255">
        <v>0.128</v>
      </c>
      <c r="X117" s="1264">
        <v>0.9</v>
      </c>
      <c r="Y117" s="1264">
        <v>0.9</v>
      </c>
      <c r="Z117" s="1255"/>
      <c r="AA117" s="1255"/>
      <c r="AB117" s="1255"/>
      <c r="AC117" s="1255"/>
      <c r="AD117" s="749"/>
      <c r="AE117" s="1255"/>
      <c r="AF117" s="111"/>
      <c r="AG117" s="19"/>
      <c r="AH117" s="74"/>
      <c r="AI117" s="74"/>
      <c r="AJ117" s="19"/>
      <c r="AK117" s="74"/>
      <c r="AL117" s="19"/>
      <c r="AM117" s="19"/>
      <c r="AN117" s="19"/>
      <c r="AO117" s="19"/>
      <c r="AP117" s="19"/>
    </row>
    <row r="118" spans="1:42" x14ac:dyDescent="0.2">
      <c r="A118" s="1248">
        <v>115</v>
      </c>
      <c r="B118" s="1248"/>
      <c r="C118" s="1248"/>
      <c r="D118" s="1248"/>
      <c r="E118" s="1248"/>
      <c r="F118" s="1248"/>
      <c r="G118" s="1248"/>
      <c r="H118" s="1248"/>
      <c r="I118" s="1248"/>
      <c r="J118" s="1248"/>
      <c r="K118" s="1255"/>
      <c r="L118" s="1255"/>
      <c r="M118" s="1255"/>
      <c r="N118" s="1248"/>
      <c r="O118" s="1248"/>
      <c r="P118" s="1248"/>
      <c r="Q118" s="1254"/>
      <c r="R118" s="1254"/>
      <c r="S118" s="1254"/>
      <c r="T118" s="1254"/>
      <c r="U118" s="1254"/>
      <c r="V118" s="1255"/>
      <c r="W118" s="1255">
        <v>0.125</v>
      </c>
      <c r="X118" s="1264">
        <v>0.9</v>
      </c>
      <c r="Y118" s="1264">
        <v>0.9</v>
      </c>
      <c r="Z118" s="1255"/>
      <c r="AA118" s="1255"/>
      <c r="AB118" s="1255"/>
      <c r="AC118" s="1255"/>
      <c r="AD118" s="749"/>
      <c r="AE118" s="1255"/>
      <c r="AF118" s="111"/>
      <c r="AG118" s="19"/>
      <c r="AH118" s="74"/>
      <c r="AI118" s="74"/>
      <c r="AJ118" s="19"/>
      <c r="AK118" s="74"/>
      <c r="AL118" s="19"/>
      <c r="AM118" s="19"/>
      <c r="AN118" s="19"/>
      <c r="AO118" s="19"/>
      <c r="AP118" s="19"/>
    </row>
    <row r="119" spans="1:42" x14ac:dyDescent="0.2">
      <c r="A119" s="1248">
        <v>116</v>
      </c>
      <c r="B119" s="1248"/>
      <c r="C119" s="1248"/>
      <c r="D119" s="1248"/>
      <c r="E119" s="1248"/>
      <c r="F119" s="1248"/>
      <c r="G119" s="1248"/>
      <c r="H119" s="1248"/>
      <c r="I119" s="1248"/>
      <c r="J119" s="1248"/>
      <c r="K119" s="1255"/>
      <c r="L119" s="1255"/>
      <c r="M119" s="1255"/>
      <c r="N119" s="1248"/>
      <c r="O119" s="1248"/>
      <c r="P119" s="1248"/>
      <c r="Q119" s="1254"/>
      <c r="R119" s="1254"/>
      <c r="S119" s="1254"/>
      <c r="T119" s="1254"/>
      <c r="U119" s="1254"/>
      <c r="V119" s="1255"/>
      <c r="W119" s="1255">
        <v>0.122</v>
      </c>
      <c r="X119" s="1264">
        <v>0.9</v>
      </c>
      <c r="Y119" s="1264">
        <v>0.9</v>
      </c>
      <c r="Z119" s="1255"/>
      <c r="AA119" s="1255"/>
      <c r="AB119" s="1255"/>
      <c r="AC119" s="1255"/>
      <c r="AD119" s="749"/>
      <c r="AE119" s="1255"/>
      <c r="AF119" s="111"/>
      <c r="AG119" s="19"/>
      <c r="AH119" s="74"/>
      <c r="AI119" s="74"/>
      <c r="AJ119" s="19"/>
      <c r="AK119" s="74"/>
      <c r="AL119" s="19"/>
      <c r="AM119" s="19"/>
      <c r="AN119" s="19"/>
      <c r="AO119" s="19"/>
      <c r="AP119" s="19"/>
    </row>
    <row r="120" spans="1:42" x14ac:dyDescent="0.2">
      <c r="A120" s="1248">
        <v>117</v>
      </c>
      <c r="B120" s="1248"/>
      <c r="C120" s="1248"/>
      <c r="D120" s="1248"/>
      <c r="E120" s="1248"/>
      <c r="F120" s="1248"/>
      <c r="G120" s="1248"/>
      <c r="H120" s="1248"/>
      <c r="I120" s="1248"/>
      <c r="J120" s="1248"/>
      <c r="K120" s="1255"/>
      <c r="L120" s="1255"/>
      <c r="M120" s="1255"/>
      <c r="N120" s="1248"/>
      <c r="O120" s="1248"/>
      <c r="P120" s="1248"/>
      <c r="Q120" s="1254"/>
      <c r="R120" s="1254"/>
      <c r="S120" s="1254"/>
      <c r="T120" s="1254"/>
      <c r="U120" s="1254"/>
      <c r="V120" s="1255"/>
      <c r="W120" s="1255">
        <v>0.11899999999999999</v>
      </c>
      <c r="X120" s="1264">
        <v>0.9</v>
      </c>
      <c r="Y120" s="1264">
        <v>0.9</v>
      </c>
      <c r="Z120" s="1255"/>
      <c r="AA120" s="1255"/>
      <c r="AB120" s="1255"/>
      <c r="AC120" s="1255"/>
      <c r="AD120" s="749"/>
      <c r="AE120" s="1255"/>
      <c r="AF120" s="111"/>
      <c r="AG120" s="19"/>
      <c r="AH120" s="74"/>
      <c r="AI120" s="74"/>
      <c r="AJ120" s="19"/>
      <c r="AK120" s="74"/>
      <c r="AL120" s="19"/>
      <c r="AM120" s="19"/>
      <c r="AN120" s="19"/>
      <c r="AO120" s="19"/>
      <c r="AP120" s="19"/>
    </row>
    <row r="121" spans="1:42" x14ac:dyDescent="0.2">
      <c r="A121" s="1248">
        <v>118</v>
      </c>
      <c r="B121" s="1248"/>
      <c r="C121" s="1248"/>
      <c r="D121" s="1248"/>
      <c r="E121" s="1248"/>
      <c r="F121" s="1248"/>
      <c r="G121" s="1248"/>
      <c r="H121" s="1248"/>
      <c r="I121" s="1248"/>
      <c r="J121" s="1248"/>
      <c r="K121" s="1255"/>
      <c r="L121" s="1255"/>
      <c r="M121" s="1255"/>
      <c r="N121" s="1248"/>
      <c r="O121" s="1248"/>
      <c r="P121" s="1248"/>
      <c r="Q121" s="1254"/>
      <c r="R121" s="1254"/>
      <c r="S121" s="1254"/>
      <c r="T121" s="1254"/>
      <c r="U121" s="1254"/>
      <c r="V121" s="1255"/>
      <c r="W121" s="1255">
        <v>0.11600000000000001</v>
      </c>
      <c r="X121" s="1264">
        <v>0.9</v>
      </c>
      <c r="Y121" s="1264">
        <v>0.9</v>
      </c>
      <c r="Z121" s="1255"/>
      <c r="AA121" s="1255"/>
      <c r="AB121" s="1255"/>
      <c r="AC121" s="1255"/>
      <c r="AD121" s="749"/>
      <c r="AE121" s="1255"/>
      <c r="AF121" s="111"/>
      <c r="AG121" s="19"/>
      <c r="AH121" s="74"/>
      <c r="AI121" s="74"/>
      <c r="AJ121" s="19"/>
      <c r="AK121" s="74"/>
      <c r="AL121" s="19"/>
      <c r="AM121" s="19"/>
      <c r="AN121" s="19"/>
      <c r="AO121" s="19"/>
      <c r="AP121" s="19"/>
    </row>
    <row r="122" spans="1:42" x14ac:dyDescent="0.2">
      <c r="A122" s="1248">
        <v>119</v>
      </c>
      <c r="B122" s="1248"/>
      <c r="C122" s="1248"/>
      <c r="D122" s="1248"/>
      <c r="E122" s="1248"/>
      <c r="F122" s="1248"/>
      <c r="G122" s="1248"/>
      <c r="H122" s="1248"/>
      <c r="I122" s="1248"/>
      <c r="J122" s="1248"/>
      <c r="K122" s="1255"/>
      <c r="L122" s="1255"/>
      <c r="M122" s="1255"/>
      <c r="N122" s="1248"/>
      <c r="O122" s="1248"/>
      <c r="P122" s="1248"/>
      <c r="Q122" s="1254"/>
      <c r="R122" s="1254"/>
      <c r="S122" s="1254"/>
      <c r="T122" s="1254"/>
      <c r="U122" s="1254"/>
      <c r="V122" s="1255"/>
      <c r="W122" s="1255">
        <v>0.113</v>
      </c>
      <c r="X122" s="1264">
        <v>0.9</v>
      </c>
      <c r="Y122" s="1264">
        <v>0.9</v>
      </c>
      <c r="Z122" s="1255"/>
      <c r="AA122" s="1255"/>
      <c r="AB122" s="1255"/>
      <c r="AC122" s="1255"/>
      <c r="AD122" s="749"/>
      <c r="AE122" s="1255"/>
      <c r="AF122" s="111"/>
      <c r="AG122" s="19"/>
      <c r="AH122" s="74"/>
      <c r="AI122" s="74"/>
      <c r="AJ122" s="19"/>
      <c r="AK122" s="74"/>
      <c r="AL122" s="19"/>
      <c r="AM122" s="19"/>
      <c r="AN122" s="19"/>
      <c r="AO122" s="19"/>
      <c r="AP122" s="19"/>
    </row>
    <row r="123" spans="1:42" x14ac:dyDescent="0.2">
      <c r="A123" s="1248">
        <v>120</v>
      </c>
      <c r="B123" s="1248"/>
      <c r="C123" s="1248"/>
      <c r="D123" s="1248"/>
      <c r="E123" s="1248"/>
      <c r="F123" s="1248"/>
      <c r="G123" s="1248"/>
      <c r="H123" s="1248"/>
      <c r="I123" s="1248"/>
      <c r="J123" s="1248"/>
      <c r="K123" s="1255"/>
      <c r="L123" s="1255"/>
      <c r="M123" s="1255"/>
      <c r="N123" s="1248"/>
      <c r="O123" s="1248"/>
      <c r="P123" s="1248"/>
      <c r="Q123" s="1254"/>
      <c r="R123" s="1254"/>
      <c r="S123" s="1254"/>
      <c r="T123" s="1254"/>
      <c r="U123" s="1254"/>
      <c r="V123" s="1255"/>
      <c r="W123" s="1255">
        <v>0.11</v>
      </c>
      <c r="X123" s="1264">
        <v>0.9</v>
      </c>
      <c r="Y123" s="1264">
        <v>0.9</v>
      </c>
      <c r="Z123" s="1255"/>
      <c r="AA123" s="1255"/>
      <c r="AB123" s="1255"/>
      <c r="AC123" s="1255"/>
      <c r="AD123" s="749"/>
      <c r="AE123" s="1255"/>
      <c r="AF123" s="111"/>
      <c r="AG123" s="19"/>
      <c r="AH123" s="74"/>
      <c r="AI123" s="74"/>
      <c r="AJ123" s="19"/>
      <c r="AK123" s="74"/>
      <c r="AL123" s="19"/>
      <c r="AM123" s="19"/>
      <c r="AN123" s="19"/>
      <c r="AO123" s="19"/>
      <c r="AP123" s="19"/>
    </row>
    <row r="124" spans="1:42" x14ac:dyDescent="0.2">
      <c r="A124" s="1248">
        <v>121</v>
      </c>
      <c r="B124" s="1248"/>
      <c r="C124" s="1248"/>
      <c r="D124" s="1248"/>
      <c r="E124" s="1248"/>
      <c r="F124" s="1248"/>
      <c r="G124" s="1248"/>
      <c r="H124" s="1248"/>
      <c r="I124" s="1248"/>
      <c r="J124" s="1248"/>
      <c r="K124" s="1255"/>
      <c r="L124" s="1255"/>
      <c r="M124" s="1255"/>
      <c r="N124" s="1248"/>
      <c r="O124" s="1248"/>
      <c r="P124" s="1248"/>
      <c r="Q124" s="1254"/>
      <c r="R124" s="1254"/>
      <c r="S124" s="1254"/>
      <c r="T124" s="1254"/>
      <c r="U124" s="1254"/>
      <c r="V124" s="1255"/>
      <c r="W124" s="1255">
        <v>0.106</v>
      </c>
      <c r="X124" s="1264">
        <v>0.9</v>
      </c>
      <c r="Y124" s="1264">
        <v>0.9</v>
      </c>
      <c r="Z124" s="1255"/>
      <c r="AA124" s="1255"/>
      <c r="AB124" s="1255"/>
      <c r="AC124" s="1255"/>
      <c r="AD124" s="749"/>
      <c r="AE124" s="1255"/>
      <c r="AF124" s="111"/>
      <c r="AG124" s="19"/>
      <c r="AH124" s="74"/>
      <c r="AI124" s="74"/>
      <c r="AJ124" s="19"/>
      <c r="AK124" s="74"/>
      <c r="AL124" s="19"/>
      <c r="AM124" s="19"/>
      <c r="AN124" s="19"/>
      <c r="AO124" s="19"/>
      <c r="AP124" s="19"/>
    </row>
    <row r="125" spans="1:42" x14ac:dyDescent="0.2">
      <c r="A125" s="1248">
        <v>122</v>
      </c>
      <c r="B125" s="1248"/>
      <c r="C125" s="1248"/>
      <c r="D125" s="1248"/>
      <c r="E125" s="1248"/>
      <c r="F125" s="1248"/>
      <c r="G125" s="1248"/>
      <c r="H125" s="1248"/>
      <c r="I125" s="1248"/>
      <c r="J125" s="1248"/>
      <c r="K125" s="1255"/>
      <c r="L125" s="1255"/>
      <c r="M125" s="1255"/>
      <c r="N125" s="1248"/>
      <c r="O125" s="1248"/>
      <c r="P125" s="1248"/>
      <c r="Q125" s="1254"/>
      <c r="R125" s="1254"/>
      <c r="S125" s="1254"/>
      <c r="T125" s="1254"/>
      <c r="U125" s="1254"/>
      <c r="V125" s="1255"/>
      <c r="W125" s="1255">
        <v>0.10199999999999999</v>
      </c>
      <c r="X125" s="1264">
        <v>0.9</v>
      </c>
      <c r="Y125" s="1264">
        <v>0.9</v>
      </c>
      <c r="Z125" s="1255"/>
      <c r="AA125" s="1255"/>
      <c r="AB125" s="1255"/>
      <c r="AC125" s="1255"/>
      <c r="AD125" s="749"/>
      <c r="AE125" s="1255"/>
      <c r="AF125" s="111"/>
      <c r="AG125" s="19"/>
      <c r="AH125" s="74"/>
      <c r="AI125" s="74"/>
      <c r="AJ125" s="19"/>
      <c r="AK125" s="74"/>
      <c r="AL125" s="19"/>
      <c r="AM125" s="19"/>
      <c r="AN125" s="19"/>
      <c r="AO125" s="19"/>
      <c r="AP125" s="19"/>
    </row>
    <row r="126" spans="1:42" x14ac:dyDescent="0.2">
      <c r="A126" s="1248">
        <v>123</v>
      </c>
      <c r="B126" s="1248"/>
      <c r="C126" s="1248"/>
      <c r="D126" s="1248"/>
      <c r="E126" s="1248"/>
      <c r="F126" s="1248"/>
      <c r="G126" s="1248"/>
      <c r="H126" s="1248"/>
      <c r="I126" s="1248"/>
      <c r="J126" s="1248"/>
      <c r="K126" s="1255"/>
      <c r="L126" s="1255"/>
      <c r="M126" s="1255"/>
      <c r="N126" s="1248"/>
      <c r="O126" s="1248"/>
      <c r="P126" s="1248"/>
      <c r="Q126" s="1254"/>
      <c r="R126" s="1254"/>
      <c r="S126" s="1254"/>
      <c r="T126" s="1254"/>
      <c r="U126" s="1254"/>
      <c r="V126" s="1255"/>
      <c r="W126" s="1255">
        <v>9.8000000000000004E-2</v>
      </c>
      <c r="X126" s="1264">
        <v>0.9</v>
      </c>
      <c r="Y126" s="1264">
        <v>0.9</v>
      </c>
      <c r="Z126" s="1255"/>
      <c r="AA126" s="1255"/>
      <c r="AB126" s="1255"/>
      <c r="AC126" s="1255"/>
      <c r="AD126" s="749"/>
      <c r="AE126" s="1255"/>
      <c r="AF126" s="111"/>
      <c r="AG126" s="19"/>
      <c r="AH126" s="74"/>
      <c r="AI126" s="74"/>
      <c r="AJ126" s="19"/>
      <c r="AK126" s="74"/>
      <c r="AL126" s="19"/>
      <c r="AM126" s="19"/>
      <c r="AN126" s="19"/>
      <c r="AO126" s="19"/>
      <c r="AP126" s="19"/>
    </row>
    <row r="127" spans="1:42" x14ac:dyDescent="0.2">
      <c r="A127" s="1248">
        <v>124</v>
      </c>
      <c r="B127" s="1248"/>
      <c r="C127" s="1248"/>
      <c r="D127" s="1248"/>
      <c r="E127" s="1248"/>
      <c r="F127" s="1248"/>
      <c r="G127" s="1248"/>
      <c r="H127" s="1248"/>
      <c r="I127" s="1248"/>
      <c r="J127" s="1248"/>
      <c r="K127" s="1255"/>
      <c r="L127" s="1255"/>
      <c r="M127" s="1255"/>
      <c r="N127" s="1248"/>
      <c r="O127" s="1248"/>
      <c r="P127" s="1248"/>
      <c r="Q127" s="1254"/>
      <c r="R127" s="1254"/>
      <c r="S127" s="1254"/>
      <c r="T127" s="1254"/>
      <c r="U127" s="1254"/>
      <c r="V127" s="1255"/>
      <c r="W127" s="1255">
        <v>9.4E-2</v>
      </c>
      <c r="X127" s="1264">
        <v>0.9</v>
      </c>
      <c r="Y127" s="1264">
        <v>0.9</v>
      </c>
      <c r="Z127" s="1255"/>
      <c r="AA127" s="1255"/>
      <c r="AB127" s="1255"/>
      <c r="AC127" s="1255"/>
      <c r="AD127" s="749"/>
      <c r="AE127" s="1255"/>
      <c r="AF127" s="111"/>
      <c r="AG127" s="19"/>
      <c r="AH127" s="74"/>
      <c r="AI127" s="74"/>
      <c r="AJ127" s="19"/>
      <c r="AK127" s="74"/>
      <c r="AL127" s="19"/>
      <c r="AM127" s="19"/>
      <c r="AN127" s="19"/>
      <c r="AO127" s="19"/>
      <c r="AP127" s="19"/>
    </row>
    <row r="128" spans="1:42" x14ac:dyDescent="0.2">
      <c r="A128" s="1248">
        <v>125</v>
      </c>
      <c r="B128" s="1248"/>
      <c r="C128" s="1248"/>
      <c r="D128" s="1248"/>
      <c r="E128" s="1248"/>
      <c r="F128" s="1248"/>
      <c r="G128" s="1248"/>
      <c r="H128" s="1248"/>
      <c r="I128" s="1248"/>
      <c r="J128" s="1248"/>
      <c r="K128" s="1255"/>
      <c r="L128" s="1255"/>
      <c r="M128" s="1255"/>
      <c r="N128" s="1248"/>
      <c r="O128" s="1248"/>
      <c r="P128" s="1248"/>
      <c r="Q128" s="1254"/>
      <c r="R128" s="1254"/>
      <c r="S128" s="1254"/>
      <c r="T128" s="1254"/>
      <c r="U128" s="1254"/>
      <c r="V128" s="1255"/>
      <c r="W128" s="1255">
        <v>0.09</v>
      </c>
      <c r="X128" s="1264">
        <v>0.9</v>
      </c>
      <c r="Y128" s="1264">
        <v>0.9</v>
      </c>
      <c r="Z128" s="1255"/>
      <c r="AA128" s="1255"/>
      <c r="AB128" s="1255"/>
      <c r="AC128" s="1255"/>
      <c r="AD128" s="749"/>
      <c r="AE128" s="1255"/>
      <c r="AF128" s="111"/>
      <c r="AG128" s="19"/>
      <c r="AH128" s="74"/>
      <c r="AI128" s="74"/>
      <c r="AJ128" s="19"/>
      <c r="AK128" s="74"/>
      <c r="AL128" s="19"/>
      <c r="AM128" s="19"/>
      <c r="AN128" s="19"/>
      <c r="AO128" s="19"/>
      <c r="AP128" s="19"/>
    </row>
    <row r="129" spans="1:42" x14ac:dyDescent="0.2">
      <c r="A129" s="1248">
        <v>126</v>
      </c>
      <c r="B129" s="1248"/>
      <c r="C129" s="1248"/>
      <c r="D129" s="1248"/>
      <c r="E129" s="1248"/>
      <c r="F129" s="1248"/>
      <c r="G129" s="1248"/>
      <c r="H129" s="1248"/>
      <c r="I129" s="1248"/>
      <c r="J129" s="1248"/>
      <c r="K129" s="1255"/>
      <c r="L129" s="1255"/>
      <c r="M129" s="1255"/>
      <c r="N129" s="1248"/>
      <c r="O129" s="1248"/>
      <c r="P129" s="1248"/>
      <c r="Q129" s="1254"/>
      <c r="R129" s="1254"/>
      <c r="S129" s="1254"/>
      <c r="T129" s="1254"/>
      <c r="U129" s="1254"/>
      <c r="V129" s="1255"/>
      <c r="W129" s="1255">
        <v>8.5999999999999993E-2</v>
      </c>
      <c r="X129" s="1264">
        <v>0.9</v>
      </c>
      <c r="Y129" s="1264">
        <v>0.9</v>
      </c>
      <c r="Z129" s="1255"/>
      <c r="AA129" s="1255"/>
      <c r="AB129" s="1255"/>
      <c r="AC129" s="1255"/>
      <c r="AD129" s="749"/>
      <c r="AE129" s="1255"/>
      <c r="AF129" s="111"/>
      <c r="AG129" s="19"/>
      <c r="AH129" s="74"/>
      <c r="AI129" s="74"/>
      <c r="AJ129" s="19"/>
      <c r="AK129" s="74"/>
      <c r="AL129" s="19"/>
      <c r="AM129" s="19"/>
      <c r="AN129" s="19"/>
      <c r="AO129" s="19"/>
      <c r="AP129" s="19"/>
    </row>
    <row r="130" spans="1:42" x14ac:dyDescent="0.2">
      <c r="A130" s="1248">
        <v>127</v>
      </c>
      <c r="B130" s="1248"/>
      <c r="C130" s="1248"/>
      <c r="D130" s="1248"/>
      <c r="E130" s="1248"/>
      <c r="F130" s="1248"/>
      <c r="G130" s="1248"/>
      <c r="H130" s="1248"/>
      <c r="I130" s="1248"/>
      <c r="J130" s="1248"/>
      <c r="K130" s="1255"/>
      <c r="L130" s="1255"/>
      <c r="M130" s="1255"/>
      <c r="N130" s="1248"/>
      <c r="O130" s="1248"/>
      <c r="P130" s="1248"/>
      <c r="Q130" s="1254"/>
      <c r="R130" s="1254"/>
      <c r="S130" s="1254"/>
      <c r="T130" s="1254"/>
      <c r="U130" s="1254"/>
      <c r="V130" s="1255"/>
      <c r="W130" s="1255">
        <v>8.2000000000000003E-2</v>
      </c>
      <c r="X130" s="1264">
        <v>0.9</v>
      </c>
      <c r="Y130" s="1264">
        <v>0.9</v>
      </c>
      <c r="Z130" s="1255"/>
      <c r="AA130" s="1255"/>
      <c r="AB130" s="1255"/>
      <c r="AC130" s="1255"/>
      <c r="AD130" s="749"/>
      <c r="AE130" s="1255"/>
      <c r="AF130" s="111"/>
      <c r="AG130" s="19"/>
      <c r="AH130" s="74"/>
      <c r="AI130" s="74"/>
      <c r="AJ130" s="19"/>
      <c r="AK130" s="74"/>
      <c r="AL130" s="19"/>
      <c r="AM130" s="19"/>
      <c r="AN130" s="19"/>
      <c r="AO130" s="19"/>
      <c r="AP130" s="19"/>
    </row>
    <row r="131" spans="1:42" x14ac:dyDescent="0.2">
      <c r="A131" s="1248">
        <v>128</v>
      </c>
      <c r="B131" s="1248"/>
      <c r="C131" s="1248"/>
      <c r="D131" s="1248"/>
      <c r="E131" s="1248"/>
      <c r="F131" s="1248"/>
      <c r="G131" s="1248"/>
      <c r="H131" s="1248"/>
      <c r="I131" s="1248"/>
      <c r="J131" s="1248"/>
      <c r="K131" s="1255"/>
      <c r="L131" s="1255"/>
      <c r="M131" s="1255"/>
      <c r="N131" s="1248"/>
      <c r="O131" s="1248"/>
      <c r="P131" s="1248"/>
      <c r="Q131" s="1254"/>
      <c r="R131" s="1254"/>
      <c r="S131" s="1254"/>
      <c r="T131" s="1254"/>
      <c r="U131" s="1254"/>
      <c r="V131" s="1255"/>
      <c r="W131" s="1255">
        <v>7.8E-2</v>
      </c>
      <c r="X131" s="1264">
        <v>0.9</v>
      </c>
      <c r="Y131" s="1264">
        <v>0.9</v>
      </c>
      <c r="Z131" s="1255"/>
      <c r="AA131" s="1255"/>
      <c r="AB131" s="1255"/>
      <c r="AC131" s="1255"/>
      <c r="AD131" s="749"/>
      <c r="AE131" s="1255"/>
      <c r="AF131" s="111"/>
      <c r="AG131" s="19"/>
      <c r="AH131" s="74"/>
      <c r="AI131" s="74"/>
      <c r="AJ131" s="19"/>
      <c r="AK131" s="74"/>
      <c r="AL131" s="19"/>
      <c r="AM131" s="19"/>
      <c r="AN131" s="19"/>
      <c r="AO131" s="19"/>
      <c r="AP131" s="19"/>
    </row>
    <row r="132" spans="1:42" x14ac:dyDescent="0.2">
      <c r="A132" s="1248">
        <v>129</v>
      </c>
      <c r="B132" s="1248"/>
      <c r="C132" s="1248"/>
      <c r="D132" s="1248"/>
      <c r="E132" s="1248"/>
      <c r="F132" s="1248"/>
      <c r="G132" s="1248"/>
      <c r="H132" s="1248"/>
      <c r="I132" s="1248"/>
      <c r="J132" s="1248"/>
      <c r="K132" s="1255"/>
      <c r="L132" s="1255"/>
      <c r="M132" s="1255"/>
      <c r="N132" s="1248"/>
      <c r="O132" s="1248"/>
      <c r="P132" s="1248"/>
      <c r="Q132" s="1254"/>
      <c r="R132" s="1254"/>
      <c r="S132" s="1254"/>
      <c r="T132" s="1254"/>
      <c r="U132" s="1254"/>
      <c r="V132" s="1255"/>
      <c r="W132" s="1255">
        <v>7.3999999999999996E-2</v>
      </c>
      <c r="X132" s="1264">
        <v>0.9</v>
      </c>
      <c r="Y132" s="1264">
        <v>0.9</v>
      </c>
      <c r="Z132" s="1255"/>
      <c r="AA132" s="1255"/>
      <c r="AB132" s="1255"/>
      <c r="AC132" s="1255"/>
      <c r="AD132" s="749"/>
      <c r="AE132" s="1255"/>
      <c r="AF132" s="111"/>
      <c r="AG132" s="19"/>
      <c r="AH132" s="74"/>
      <c r="AI132" s="74"/>
      <c r="AJ132" s="19"/>
      <c r="AK132" s="74"/>
      <c r="AL132" s="19"/>
      <c r="AM132" s="19"/>
      <c r="AN132" s="19"/>
      <c r="AO132" s="19"/>
      <c r="AP132" s="19"/>
    </row>
    <row r="133" spans="1:42" x14ac:dyDescent="0.2">
      <c r="A133" s="1248">
        <v>130</v>
      </c>
      <c r="B133" s="1248"/>
      <c r="C133" s="1248"/>
      <c r="D133" s="1248"/>
      <c r="E133" s="1248"/>
      <c r="F133" s="1248"/>
      <c r="G133" s="1248"/>
      <c r="H133" s="1248"/>
      <c r="I133" s="1248"/>
      <c r="J133" s="1248"/>
      <c r="K133" s="1255"/>
      <c r="L133" s="1255"/>
      <c r="M133" s="1255"/>
      <c r="N133" s="1248"/>
      <c r="O133" s="1248"/>
      <c r="P133" s="1248"/>
      <c r="Q133" s="1254"/>
      <c r="R133" s="1254"/>
      <c r="S133" s="1254"/>
      <c r="T133" s="1254"/>
      <c r="U133" s="1254"/>
      <c r="V133" s="1255"/>
      <c r="W133" s="1255">
        <v>7.0000000000000007E-2</v>
      </c>
      <c r="X133" s="1264">
        <v>0.9</v>
      </c>
      <c r="Y133" s="1264">
        <v>0.9</v>
      </c>
      <c r="Z133" s="1255"/>
      <c r="AA133" s="1255"/>
      <c r="AB133" s="1255"/>
      <c r="AC133" s="1255"/>
      <c r="AD133" s="749"/>
      <c r="AE133" s="1255"/>
      <c r="AF133" s="111"/>
      <c r="AG133" s="19"/>
      <c r="AH133" s="74"/>
      <c r="AI133" s="74"/>
      <c r="AJ133" s="19"/>
      <c r="AK133" s="74"/>
      <c r="AL133" s="19"/>
      <c r="AM133" s="19"/>
      <c r="AN133" s="19"/>
      <c r="AO133" s="19"/>
      <c r="AP133" s="19"/>
    </row>
    <row r="134" spans="1:42" x14ac:dyDescent="0.2">
      <c r="A134" s="1248">
        <v>131</v>
      </c>
      <c r="B134" s="1248"/>
      <c r="C134" s="1248"/>
      <c r="D134" s="1248"/>
      <c r="E134" s="1248"/>
      <c r="F134" s="1248"/>
      <c r="G134" s="1248"/>
      <c r="H134" s="1248"/>
      <c r="I134" s="1248"/>
      <c r="J134" s="1248"/>
      <c r="K134" s="1255"/>
      <c r="L134" s="1255"/>
      <c r="M134" s="1255"/>
      <c r="N134" s="1248"/>
      <c r="O134" s="1248"/>
      <c r="P134" s="1248"/>
      <c r="Q134" s="1254"/>
      <c r="R134" s="1254"/>
      <c r="S134" s="1254"/>
      <c r="T134" s="1254"/>
      <c r="U134" s="1254"/>
      <c r="V134" s="1255"/>
      <c r="W134" s="1255">
        <v>6.7000000000000004E-2</v>
      </c>
      <c r="X134" s="1264">
        <v>0.9</v>
      </c>
      <c r="Y134" s="1264">
        <v>0.9</v>
      </c>
      <c r="Z134" s="1255"/>
      <c r="AA134" s="1255"/>
      <c r="AB134" s="1255"/>
      <c r="AC134" s="1255"/>
      <c r="AD134" s="749"/>
      <c r="AE134" s="1255"/>
      <c r="AF134" s="111"/>
      <c r="AG134" s="19"/>
      <c r="AH134" s="74"/>
      <c r="AI134" s="74"/>
      <c r="AJ134" s="19"/>
      <c r="AK134" s="74"/>
      <c r="AL134" s="19"/>
      <c r="AM134" s="19"/>
      <c r="AN134" s="19"/>
      <c r="AO134" s="19"/>
      <c r="AP134" s="19"/>
    </row>
    <row r="135" spans="1:42" x14ac:dyDescent="0.2">
      <c r="A135" s="1248">
        <v>132</v>
      </c>
      <c r="B135" s="1248"/>
      <c r="C135" s="1248"/>
      <c r="D135" s="1248"/>
      <c r="E135" s="1248"/>
      <c r="F135" s="1248"/>
      <c r="G135" s="1248"/>
      <c r="H135" s="1248"/>
      <c r="I135" s="1248"/>
      <c r="J135" s="1248"/>
      <c r="K135" s="1255"/>
      <c r="L135" s="1255"/>
      <c r="M135" s="1255"/>
      <c r="N135" s="1248"/>
      <c r="O135" s="1248"/>
      <c r="P135" s="1248"/>
      <c r="Q135" s="1254"/>
      <c r="R135" s="1254"/>
      <c r="S135" s="1254"/>
      <c r="T135" s="1254"/>
      <c r="U135" s="1254"/>
      <c r="V135" s="1255"/>
      <c r="W135" s="1255">
        <v>6.4000000000000001E-2</v>
      </c>
      <c r="X135" s="1264">
        <v>0.9</v>
      </c>
      <c r="Y135" s="1264">
        <v>0.9</v>
      </c>
      <c r="Z135" s="1255"/>
      <c r="AA135" s="1255"/>
      <c r="AB135" s="1255"/>
      <c r="AC135" s="1255"/>
      <c r="AD135" s="749"/>
      <c r="AE135" s="1255"/>
      <c r="AF135" s="111"/>
      <c r="AG135" s="19"/>
      <c r="AH135" s="74"/>
      <c r="AI135" s="74"/>
      <c r="AJ135" s="19"/>
      <c r="AK135" s="74"/>
      <c r="AL135" s="19"/>
      <c r="AM135" s="19"/>
      <c r="AN135" s="19"/>
      <c r="AO135" s="19"/>
      <c r="AP135" s="19"/>
    </row>
    <row r="136" spans="1:42" x14ac:dyDescent="0.2">
      <c r="A136" s="1248">
        <v>133</v>
      </c>
      <c r="B136" s="1248"/>
      <c r="C136" s="1248"/>
      <c r="D136" s="1248"/>
      <c r="E136" s="1248"/>
      <c r="F136" s="1248"/>
      <c r="G136" s="1248"/>
      <c r="H136" s="1248"/>
      <c r="I136" s="1248"/>
      <c r="J136" s="1248"/>
      <c r="K136" s="1255"/>
      <c r="L136" s="1255"/>
      <c r="M136" s="1255"/>
      <c r="N136" s="1248"/>
      <c r="O136" s="1248"/>
      <c r="P136" s="1248"/>
      <c r="Q136" s="1254"/>
      <c r="R136" s="1254"/>
      <c r="S136" s="1254"/>
      <c r="T136" s="1254"/>
      <c r="U136" s="1254"/>
      <c r="V136" s="1255"/>
      <c r="W136" s="1255">
        <v>6.0999999999999999E-2</v>
      </c>
      <c r="X136" s="1264">
        <v>0.9</v>
      </c>
      <c r="Y136" s="1264">
        <v>0.9</v>
      </c>
      <c r="Z136" s="1255"/>
      <c r="AA136" s="1255"/>
      <c r="AB136" s="1255"/>
      <c r="AC136" s="1255"/>
      <c r="AD136" s="749"/>
      <c r="AE136" s="1255"/>
      <c r="AF136" s="111"/>
      <c r="AG136" s="19"/>
      <c r="AH136" s="74"/>
      <c r="AI136" s="74"/>
      <c r="AJ136" s="19"/>
      <c r="AK136" s="74"/>
      <c r="AL136" s="19"/>
      <c r="AM136" s="19"/>
      <c r="AN136" s="19"/>
      <c r="AO136" s="19"/>
      <c r="AP136" s="19"/>
    </row>
    <row r="137" spans="1:42" x14ac:dyDescent="0.2">
      <c r="A137" s="1248">
        <v>134</v>
      </c>
      <c r="B137" s="1248"/>
      <c r="C137" s="1248"/>
      <c r="D137" s="1248"/>
      <c r="E137" s="1248"/>
      <c r="F137" s="1248"/>
      <c r="G137" s="1248"/>
      <c r="H137" s="1248"/>
      <c r="I137" s="1248"/>
      <c r="J137" s="1248"/>
      <c r="K137" s="1255"/>
      <c r="L137" s="1255"/>
      <c r="M137" s="1255"/>
      <c r="N137" s="1248"/>
      <c r="O137" s="1248"/>
      <c r="P137" s="1248"/>
      <c r="Q137" s="1254"/>
      <c r="R137" s="1254"/>
      <c r="S137" s="1254"/>
      <c r="T137" s="1254"/>
      <c r="U137" s="1254"/>
      <c r="V137" s="1255"/>
      <c r="W137" s="1255">
        <v>5.8000000000000003E-2</v>
      </c>
      <c r="X137" s="1264">
        <v>0.9</v>
      </c>
      <c r="Y137" s="1264">
        <v>0.9</v>
      </c>
      <c r="Z137" s="1255"/>
      <c r="AA137" s="1255"/>
      <c r="AB137" s="1255"/>
      <c r="AC137" s="1255"/>
      <c r="AD137" s="749"/>
      <c r="AE137" s="1255"/>
      <c r="AF137" s="111"/>
      <c r="AG137" s="19"/>
      <c r="AH137" s="74"/>
      <c r="AI137" s="74"/>
      <c r="AJ137" s="19"/>
      <c r="AK137" s="74"/>
      <c r="AL137" s="19"/>
      <c r="AM137" s="19"/>
      <c r="AN137" s="19"/>
      <c r="AO137" s="19"/>
      <c r="AP137" s="19"/>
    </row>
    <row r="138" spans="1:42" x14ac:dyDescent="0.2">
      <c r="A138" s="1248">
        <v>135</v>
      </c>
      <c r="B138" s="1248"/>
      <c r="C138" s="1248"/>
      <c r="D138" s="1248"/>
      <c r="E138" s="1248"/>
      <c r="F138" s="1248"/>
      <c r="G138" s="1248"/>
      <c r="H138" s="1248"/>
      <c r="I138" s="1248"/>
      <c r="J138" s="1248"/>
      <c r="K138" s="1255"/>
      <c r="L138" s="1255"/>
      <c r="M138" s="1255"/>
      <c r="N138" s="1248"/>
      <c r="O138" s="1248"/>
      <c r="P138" s="1248"/>
      <c r="Q138" s="1254"/>
      <c r="R138" s="1254"/>
      <c r="S138" s="1254"/>
      <c r="T138" s="1254"/>
      <c r="U138" s="1254"/>
      <c r="V138" s="1255"/>
      <c r="W138" s="1255">
        <v>5.5E-2</v>
      </c>
      <c r="X138" s="1264">
        <v>0.9</v>
      </c>
      <c r="Y138" s="1264">
        <v>0.9</v>
      </c>
      <c r="Z138" s="1255"/>
      <c r="AA138" s="1255"/>
      <c r="AB138" s="1255"/>
      <c r="AC138" s="1255"/>
      <c r="AD138" s="749"/>
      <c r="AE138" s="1255"/>
      <c r="AF138" s="111"/>
      <c r="AG138" s="19"/>
      <c r="AH138" s="74"/>
      <c r="AI138" s="74"/>
      <c r="AJ138" s="19"/>
      <c r="AK138" s="74"/>
      <c r="AL138" s="19"/>
      <c r="AM138" s="19"/>
      <c r="AN138" s="19"/>
      <c r="AO138" s="19"/>
      <c r="AP138" s="19"/>
    </row>
    <row r="139" spans="1:42" x14ac:dyDescent="0.2">
      <c r="A139" s="1248">
        <v>136</v>
      </c>
      <c r="B139" s="1248"/>
      <c r="C139" s="1248"/>
      <c r="D139" s="1248"/>
      <c r="E139" s="1248"/>
      <c r="F139" s="1248"/>
      <c r="G139" s="1248"/>
      <c r="H139" s="1248"/>
      <c r="I139" s="1248"/>
      <c r="J139" s="1248"/>
      <c r="K139" s="1255"/>
      <c r="L139" s="1255"/>
      <c r="M139" s="1255"/>
      <c r="N139" s="1248"/>
      <c r="O139" s="1248"/>
      <c r="P139" s="1248"/>
      <c r="Q139" s="1254"/>
      <c r="R139" s="1254"/>
      <c r="S139" s="1254"/>
      <c r="T139" s="1254"/>
      <c r="U139" s="1254"/>
      <c r="V139" s="1255"/>
      <c r="W139" s="1255">
        <v>5.1999999999999998E-2</v>
      </c>
      <c r="X139" s="1264">
        <v>0.9</v>
      </c>
      <c r="Y139" s="1264">
        <v>0.9</v>
      </c>
      <c r="Z139" s="1255"/>
      <c r="AA139" s="1255"/>
      <c r="AB139" s="1255"/>
      <c r="AC139" s="1255"/>
      <c r="AD139" s="749"/>
      <c r="AE139" s="1255"/>
      <c r="AF139" s="111"/>
      <c r="AG139" s="19"/>
      <c r="AH139" s="74"/>
      <c r="AI139" s="74"/>
      <c r="AJ139" s="19"/>
      <c r="AK139" s="74"/>
      <c r="AL139" s="19"/>
      <c r="AM139" s="19"/>
      <c r="AN139" s="19"/>
      <c r="AO139" s="19"/>
      <c r="AP139" s="19"/>
    </row>
    <row r="140" spans="1:42" x14ac:dyDescent="0.2">
      <c r="A140" s="1248">
        <v>137</v>
      </c>
      <c r="B140" s="1248"/>
      <c r="C140" s="1248"/>
      <c r="D140" s="1248"/>
      <c r="E140" s="1248"/>
      <c r="F140" s="1248"/>
      <c r="G140" s="1248"/>
      <c r="H140" s="1248"/>
      <c r="I140" s="1248"/>
      <c r="J140" s="1248"/>
      <c r="K140" s="1255"/>
      <c r="L140" s="1255"/>
      <c r="M140" s="1255"/>
      <c r="N140" s="1248"/>
      <c r="O140" s="1248"/>
      <c r="P140" s="1248"/>
      <c r="Q140" s="1254"/>
      <c r="R140" s="1254"/>
      <c r="S140" s="1254"/>
      <c r="T140" s="1254"/>
      <c r="U140" s="1254"/>
      <c r="V140" s="1255"/>
      <c r="W140" s="1255">
        <v>4.9000000000000002E-2</v>
      </c>
      <c r="X140" s="1264">
        <v>0.9</v>
      </c>
      <c r="Y140" s="1264">
        <v>0.9</v>
      </c>
      <c r="Z140" s="1255"/>
      <c r="AA140" s="1255"/>
      <c r="AB140" s="1255"/>
      <c r="AC140" s="1255"/>
      <c r="AD140" s="749"/>
      <c r="AE140" s="1255"/>
      <c r="AF140" s="111"/>
      <c r="AG140" s="19"/>
      <c r="AH140" s="74"/>
      <c r="AI140" s="74"/>
      <c r="AJ140" s="19"/>
      <c r="AK140" s="74"/>
      <c r="AL140" s="19"/>
      <c r="AM140" s="19"/>
      <c r="AN140" s="19"/>
      <c r="AO140" s="19"/>
      <c r="AP140" s="19"/>
    </row>
    <row r="141" spans="1:42" x14ac:dyDescent="0.2">
      <c r="A141" s="1248">
        <v>138</v>
      </c>
      <c r="B141" s="1248"/>
      <c r="C141" s="1248"/>
      <c r="D141" s="1248"/>
      <c r="E141" s="1248"/>
      <c r="F141" s="1248"/>
      <c r="G141" s="1248"/>
      <c r="H141" s="1248"/>
      <c r="I141" s="1248"/>
      <c r="J141" s="1248"/>
      <c r="K141" s="1255"/>
      <c r="L141" s="1255"/>
      <c r="M141" s="1255"/>
      <c r="N141" s="1248"/>
      <c r="O141" s="1248"/>
      <c r="P141" s="1248"/>
      <c r="Q141" s="1254"/>
      <c r="R141" s="1254"/>
      <c r="S141" s="1254"/>
      <c r="T141" s="1254"/>
      <c r="U141" s="1254"/>
      <c r="V141" s="1255"/>
      <c r="W141" s="1255">
        <v>4.5999999999999999E-2</v>
      </c>
      <c r="X141" s="1264">
        <v>0.9</v>
      </c>
      <c r="Y141" s="1264">
        <v>0.9</v>
      </c>
      <c r="Z141" s="1255"/>
      <c r="AA141" s="1255"/>
      <c r="AB141" s="1255"/>
      <c r="AC141" s="1255"/>
      <c r="AD141" s="749"/>
      <c r="AE141" s="1255"/>
      <c r="AF141" s="111"/>
      <c r="AG141" s="19"/>
      <c r="AH141" s="74"/>
      <c r="AI141" s="74"/>
      <c r="AJ141" s="19"/>
      <c r="AK141" s="74"/>
      <c r="AL141" s="19"/>
      <c r="AM141" s="19"/>
      <c r="AN141" s="19"/>
      <c r="AO141" s="19"/>
      <c r="AP141" s="19"/>
    </row>
    <row r="142" spans="1:42" x14ac:dyDescent="0.2">
      <c r="A142" s="1248">
        <v>139</v>
      </c>
      <c r="B142" s="1248"/>
      <c r="C142" s="1248"/>
      <c r="D142" s="1248"/>
      <c r="E142" s="1248"/>
      <c r="F142" s="1248"/>
      <c r="G142" s="1248"/>
      <c r="H142" s="1248"/>
      <c r="I142" s="1248"/>
      <c r="J142" s="1248"/>
      <c r="K142" s="1255"/>
      <c r="L142" s="1255"/>
      <c r="M142" s="1255"/>
      <c r="N142" s="1248"/>
      <c r="O142" s="1248"/>
      <c r="P142" s="1248"/>
      <c r="Q142" s="1254"/>
      <c r="R142" s="1254"/>
      <c r="S142" s="1254"/>
      <c r="T142" s="1254"/>
      <c r="U142" s="1254"/>
      <c r="V142" s="1255"/>
      <c r="W142" s="1255">
        <v>4.2999999999999997E-2</v>
      </c>
      <c r="X142" s="1264">
        <v>0.9</v>
      </c>
      <c r="Y142" s="1264">
        <v>0.9</v>
      </c>
      <c r="Z142" s="1255"/>
      <c r="AA142" s="1255"/>
      <c r="AB142" s="1255"/>
      <c r="AC142" s="1255"/>
      <c r="AD142" s="749"/>
      <c r="AE142" s="1255"/>
      <c r="AF142" s="111"/>
      <c r="AG142" s="19"/>
      <c r="AH142" s="74"/>
      <c r="AI142" s="74"/>
      <c r="AJ142" s="19"/>
      <c r="AK142" s="74"/>
      <c r="AL142" s="19"/>
      <c r="AM142" s="19"/>
      <c r="AN142" s="19"/>
      <c r="AO142" s="19"/>
      <c r="AP142" s="19"/>
    </row>
    <row r="143" spans="1:42" x14ac:dyDescent="0.2">
      <c r="A143" s="1248">
        <v>140</v>
      </c>
      <c r="B143" s="1248"/>
      <c r="C143" s="1248"/>
      <c r="D143" s="1248"/>
      <c r="E143" s="1248"/>
      <c r="F143" s="1248"/>
      <c r="G143" s="1248"/>
      <c r="H143" s="1248"/>
      <c r="I143" s="1248"/>
      <c r="J143" s="1248"/>
      <c r="K143" s="1255"/>
      <c r="L143" s="1255"/>
      <c r="M143" s="1255"/>
      <c r="N143" s="1248"/>
      <c r="O143" s="1248"/>
      <c r="P143" s="1248"/>
      <c r="Q143" s="1254"/>
      <c r="R143" s="1254"/>
      <c r="S143" s="1254"/>
      <c r="T143" s="1254"/>
      <c r="U143" s="1254"/>
      <c r="V143" s="1255"/>
      <c r="W143" s="1255">
        <v>0.04</v>
      </c>
      <c r="X143" s="1264">
        <v>0.9</v>
      </c>
      <c r="Y143" s="1264">
        <v>0.9</v>
      </c>
      <c r="Z143" s="1255"/>
      <c r="AA143" s="1255"/>
      <c r="AB143" s="1255"/>
      <c r="AC143" s="1255"/>
      <c r="AD143" s="749"/>
      <c r="AE143" s="1255"/>
      <c r="AF143" s="111"/>
      <c r="AG143" s="19"/>
      <c r="AH143" s="74"/>
      <c r="AI143" s="74"/>
      <c r="AJ143" s="19"/>
      <c r="AK143" s="74"/>
      <c r="AL143" s="19"/>
      <c r="AM143" s="19"/>
      <c r="AN143" s="19"/>
      <c r="AO143" s="19"/>
      <c r="AP143" s="19"/>
    </row>
    <row r="144" spans="1:42" x14ac:dyDescent="0.2">
      <c r="A144" s="1248">
        <v>141</v>
      </c>
      <c r="B144" s="1248"/>
      <c r="C144" s="1248"/>
      <c r="D144" s="1248"/>
      <c r="E144" s="1248"/>
      <c r="F144" s="1248"/>
      <c r="G144" s="1248"/>
      <c r="H144" s="1248"/>
      <c r="I144" s="1248"/>
      <c r="J144" s="1248"/>
      <c r="K144" s="1255"/>
      <c r="L144" s="1255"/>
      <c r="M144" s="1255"/>
      <c r="N144" s="1248"/>
      <c r="O144" s="1248"/>
      <c r="P144" s="1248"/>
      <c r="Q144" s="1254"/>
      <c r="R144" s="1254"/>
      <c r="S144" s="1254"/>
      <c r="T144" s="1254"/>
      <c r="U144" s="1254"/>
      <c r="V144" s="1255"/>
      <c r="W144" s="1255">
        <v>3.5999999999999997E-2</v>
      </c>
      <c r="X144" s="1264">
        <v>0.9</v>
      </c>
      <c r="Y144" s="1264">
        <v>0.9</v>
      </c>
      <c r="Z144" s="1255"/>
      <c r="AA144" s="1255"/>
      <c r="AB144" s="1255"/>
      <c r="AC144" s="1255"/>
      <c r="AD144" s="749"/>
      <c r="AE144" s="1255"/>
      <c r="AF144" s="111"/>
      <c r="AG144" s="19"/>
      <c r="AH144" s="74"/>
      <c r="AI144" s="74"/>
      <c r="AJ144" s="19"/>
      <c r="AK144" s="74"/>
      <c r="AL144" s="19"/>
      <c r="AM144" s="19"/>
      <c r="AN144" s="19"/>
      <c r="AO144" s="19"/>
      <c r="AP144" s="19"/>
    </row>
    <row r="145" spans="1:42" x14ac:dyDescent="0.2">
      <c r="A145" s="1248">
        <v>142</v>
      </c>
      <c r="B145" s="1248"/>
      <c r="C145" s="1248"/>
      <c r="D145" s="1248"/>
      <c r="E145" s="1248"/>
      <c r="F145" s="1248"/>
      <c r="G145" s="1248"/>
      <c r="H145" s="1248"/>
      <c r="I145" s="1248"/>
      <c r="J145" s="1248"/>
      <c r="K145" s="1255"/>
      <c r="L145" s="1255"/>
      <c r="M145" s="1255"/>
      <c r="N145" s="1248"/>
      <c r="O145" s="1248"/>
      <c r="P145" s="1248"/>
      <c r="Q145" s="1254"/>
      <c r="R145" s="1254"/>
      <c r="S145" s="1254"/>
      <c r="T145" s="1254"/>
      <c r="U145" s="1254"/>
      <c r="V145" s="1255"/>
      <c r="W145" s="1255">
        <v>3.2000000000000001E-2</v>
      </c>
      <c r="X145" s="1264">
        <v>0.9</v>
      </c>
      <c r="Y145" s="1264">
        <v>0.9</v>
      </c>
      <c r="Z145" s="1255"/>
      <c r="AA145" s="1255"/>
      <c r="AB145" s="1255"/>
      <c r="AC145" s="1255"/>
      <c r="AD145" s="749"/>
      <c r="AE145" s="1255"/>
      <c r="AF145" s="111"/>
      <c r="AG145" s="19"/>
      <c r="AH145" s="74"/>
      <c r="AI145" s="74"/>
      <c r="AJ145" s="19"/>
      <c r="AK145" s="74"/>
      <c r="AL145" s="19"/>
      <c r="AM145" s="19"/>
      <c r="AN145" s="19"/>
      <c r="AO145" s="19"/>
      <c r="AP145" s="19"/>
    </row>
    <row r="146" spans="1:42" x14ac:dyDescent="0.2">
      <c r="A146" s="1248">
        <v>143</v>
      </c>
      <c r="B146" s="1248"/>
      <c r="C146" s="1248"/>
      <c r="D146" s="1248"/>
      <c r="E146" s="1248"/>
      <c r="F146" s="1248"/>
      <c r="G146" s="1248"/>
      <c r="H146" s="1248"/>
      <c r="I146" s="1248"/>
      <c r="J146" s="1248"/>
      <c r="K146" s="1255"/>
      <c r="L146" s="1255"/>
      <c r="M146" s="1255"/>
      <c r="N146" s="1248"/>
      <c r="O146" s="1248"/>
      <c r="P146" s="1248"/>
      <c r="Q146" s="1254"/>
      <c r="R146" s="1254"/>
      <c r="S146" s="1254"/>
      <c r="T146" s="1254"/>
      <c r="U146" s="1254"/>
      <c r="V146" s="1255"/>
      <c r="W146" s="1255">
        <v>2.8000000000000001E-2</v>
      </c>
      <c r="X146" s="1264">
        <v>0.9</v>
      </c>
      <c r="Y146" s="1264">
        <v>0.9</v>
      </c>
      <c r="Z146" s="1255"/>
      <c r="AA146" s="1255"/>
      <c r="AB146" s="1255"/>
      <c r="AC146" s="1255"/>
      <c r="AD146" s="749"/>
      <c r="AE146" s="1255"/>
      <c r="AF146" s="111"/>
      <c r="AG146" s="19"/>
      <c r="AH146" s="74"/>
      <c r="AI146" s="74"/>
      <c r="AJ146" s="19"/>
      <c r="AK146" s="74"/>
      <c r="AL146" s="19"/>
      <c r="AM146" s="19"/>
      <c r="AN146" s="19"/>
      <c r="AO146" s="19"/>
      <c r="AP146" s="19"/>
    </row>
    <row r="147" spans="1:42" x14ac:dyDescent="0.2">
      <c r="A147" s="1248">
        <v>144</v>
      </c>
      <c r="B147" s="1248"/>
      <c r="C147" s="1248"/>
      <c r="D147" s="1248"/>
      <c r="E147" s="1248"/>
      <c r="F147" s="1248"/>
      <c r="G147" s="1248"/>
      <c r="H147" s="1248"/>
      <c r="I147" s="1248"/>
      <c r="J147" s="1248"/>
      <c r="K147" s="1255"/>
      <c r="L147" s="1255"/>
      <c r="M147" s="1255"/>
      <c r="N147" s="1248"/>
      <c r="O147" s="1248"/>
      <c r="P147" s="1248"/>
      <c r="Q147" s="1254"/>
      <c r="R147" s="1254"/>
      <c r="S147" s="1254"/>
      <c r="T147" s="1254"/>
      <c r="U147" s="1254"/>
      <c r="V147" s="1255"/>
      <c r="W147" s="1255">
        <v>2.4E-2</v>
      </c>
      <c r="X147" s="1264">
        <v>0.9</v>
      </c>
      <c r="Y147" s="1264">
        <v>0.9</v>
      </c>
      <c r="Z147" s="1255"/>
      <c r="AA147" s="1255"/>
      <c r="AB147" s="1255"/>
      <c r="AC147" s="1255"/>
      <c r="AD147" s="749"/>
      <c r="AE147" s="1255"/>
      <c r="AF147" s="111"/>
      <c r="AG147" s="19"/>
      <c r="AH147" s="74"/>
      <c r="AI147" s="74"/>
      <c r="AJ147" s="19"/>
      <c r="AK147" s="74"/>
      <c r="AL147" s="19"/>
      <c r="AM147" s="19"/>
      <c r="AN147" s="19"/>
      <c r="AO147" s="19"/>
      <c r="AP147" s="19"/>
    </row>
    <row r="148" spans="1:42" x14ac:dyDescent="0.2">
      <c r="A148" s="1248">
        <v>145</v>
      </c>
      <c r="B148" s="1248"/>
      <c r="C148" s="1248"/>
      <c r="D148" s="1248"/>
      <c r="E148" s="1248"/>
      <c r="F148" s="1248"/>
      <c r="G148" s="1248"/>
      <c r="H148" s="1248"/>
      <c r="I148" s="1248"/>
      <c r="J148" s="1248"/>
      <c r="K148" s="1255"/>
      <c r="L148" s="1255"/>
      <c r="M148" s="1255"/>
      <c r="N148" s="1248"/>
      <c r="O148" s="1248"/>
      <c r="P148" s="1248"/>
      <c r="Q148" s="1254"/>
      <c r="R148" s="1254"/>
      <c r="S148" s="1254"/>
      <c r="T148" s="1254"/>
      <c r="U148" s="1254"/>
      <c r="V148" s="1255"/>
      <c r="W148" s="1255">
        <v>0.02</v>
      </c>
      <c r="X148" s="1264">
        <v>0.9</v>
      </c>
      <c r="Y148" s="1264">
        <v>0.9</v>
      </c>
      <c r="Z148" s="1255"/>
      <c r="AA148" s="1255"/>
      <c r="AB148" s="1255"/>
      <c r="AC148" s="1255"/>
      <c r="AD148" s="749"/>
      <c r="AE148" s="1255"/>
      <c r="AF148" s="111"/>
      <c r="AG148" s="19"/>
      <c r="AH148" s="74"/>
      <c r="AI148" s="74"/>
      <c r="AJ148" s="19"/>
      <c r="AK148" s="74"/>
      <c r="AL148" s="19"/>
      <c r="AM148" s="19"/>
      <c r="AN148" s="19"/>
      <c r="AO148" s="19"/>
      <c r="AP148" s="19"/>
    </row>
    <row r="149" spans="1:42" x14ac:dyDescent="0.2">
      <c r="A149" s="1248">
        <v>146</v>
      </c>
      <c r="B149" s="1248"/>
      <c r="C149" s="1248"/>
      <c r="D149" s="1248"/>
      <c r="E149" s="1248"/>
      <c r="F149" s="1248"/>
      <c r="G149" s="1248"/>
      <c r="H149" s="1248"/>
      <c r="I149" s="1248"/>
      <c r="J149" s="1248"/>
      <c r="K149" s="1255"/>
      <c r="L149" s="1255"/>
      <c r="M149" s="1255"/>
      <c r="N149" s="1248"/>
      <c r="O149" s="1248"/>
      <c r="P149" s="1248"/>
      <c r="Q149" s="1254"/>
      <c r="R149" s="1254"/>
      <c r="S149" s="1254"/>
      <c r="T149" s="1254"/>
      <c r="U149" s="1254"/>
      <c r="V149" s="1255"/>
      <c r="W149" s="1255">
        <v>1.6E-2</v>
      </c>
      <c r="X149" s="1264">
        <v>0.9</v>
      </c>
      <c r="Y149" s="1264">
        <v>0.9</v>
      </c>
      <c r="Z149" s="1255"/>
      <c r="AA149" s="1255"/>
      <c r="AB149" s="1255"/>
      <c r="AC149" s="1255"/>
      <c r="AD149" s="749"/>
      <c r="AE149" s="1255"/>
      <c r="AF149" s="111"/>
      <c r="AG149" s="19"/>
      <c r="AH149" s="74"/>
      <c r="AI149" s="74"/>
      <c r="AJ149" s="19"/>
      <c r="AK149" s="74"/>
      <c r="AL149" s="19"/>
      <c r="AM149" s="19"/>
      <c r="AN149" s="19"/>
      <c r="AO149" s="19"/>
      <c r="AP149" s="19"/>
    </row>
    <row r="150" spans="1:42" x14ac:dyDescent="0.2">
      <c r="A150" s="1248">
        <v>147</v>
      </c>
      <c r="B150" s="1248"/>
      <c r="C150" s="1248"/>
      <c r="D150" s="1248"/>
      <c r="E150" s="1248"/>
      <c r="F150" s="1248"/>
      <c r="G150" s="1248"/>
      <c r="H150" s="1248"/>
      <c r="I150" s="1248"/>
      <c r="J150" s="1248"/>
      <c r="K150" s="1255"/>
      <c r="L150" s="1255"/>
      <c r="M150" s="1255"/>
      <c r="N150" s="1248"/>
      <c r="O150" s="1248"/>
      <c r="P150" s="1248"/>
      <c r="Q150" s="1254"/>
      <c r="R150" s="1254"/>
      <c r="S150" s="1254"/>
      <c r="T150" s="1254"/>
      <c r="U150" s="1254"/>
      <c r="V150" s="1255"/>
      <c r="W150" s="1255">
        <v>1.2E-2</v>
      </c>
      <c r="X150" s="1264">
        <v>0.9</v>
      </c>
      <c r="Y150" s="1264">
        <v>0.9</v>
      </c>
      <c r="Z150" s="1255"/>
      <c r="AA150" s="1255"/>
      <c r="AB150" s="1255"/>
      <c r="AC150" s="1255"/>
      <c r="AD150" s="749"/>
      <c r="AE150" s="1255"/>
      <c r="AF150" s="111"/>
      <c r="AG150" s="19"/>
      <c r="AH150" s="74"/>
      <c r="AI150" s="74"/>
      <c r="AJ150" s="19"/>
      <c r="AK150" s="74"/>
      <c r="AL150" s="19"/>
      <c r="AM150" s="19"/>
      <c r="AN150" s="19"/>
      <c r="AO150" s="19"/>
      <c r="AP150" s="19"/>
    </row>
    <row r="151" spans="1:42" x14ac:dyDescent="0.2">
      <c r="A151" s="1248">
        <v>148</v>
      </c>
      <c r="B151" s="1248"/>
      <c r="C151" s="1248"/>
      <c r="D151" s="1248"/>
      <c r="E151" s="1248"/>
      <c r="F151" s="1248"/>
      <c r="G151" s="1248"/>
      <c r="H151" s="1248"/>
      <c r="I151" s="1248"/>
      <c r="J151" s="1248"/>
      <c r="K151" s="1255"/>
      <c r="L151" s="1255"/>
      <c r="M151" s="1255"/>
      <c r="N151" s="1248"/>
      <c r="O151" s="1248"/>
      <c r="P151" s="1248"/>
      <c r="Q151" s="1254"/>
      <c r="R151" s="1254"/>
      <c r="S151" s="1254"/>
      <c r="T151" s="1254"/>
      <c r="U151" s="1254"/>
      <c r="V151" s="1255"/>
      <c r="W151" s="1255">
        <v>8.0000000000000002E-3</v>
      </c>
      <c r="X151" s="1264">
        <v>0.9</v>
      </c>
      <c r="Y151" s="1264">
        <v>0.9</v>
      </c>
      <c r="Z151" s="1255"/>
      <c r="AA151" s="1255"/>
      <c r="AB151" s="1255"/>
      <c r="AC151" s="1255"/>
      <c r="AD151" s="749"/>
      <c r="AE151" s="1255"/>
      <c r="AF151" s="111"/>
      <c r="AG151" s="19"/>
      <c r="AH151" s="74"/>
      <c r="AI151" s="74"/>
      <c r="AJ151" s="19"/>
      <c r="AK151" s="74"/>
      <c r="AL151" s="19"/>
      <c r="AM151" s="19"/>
      <c r="AN151" s="19"/>
      <c r="AO151" s="19"/>
      <c r="AP151" s="19"/>
    </row>
    <row r="152" spans="1:42" x14ac:dyDescent="0.2">
      <c r="A152" s="1248">
        <v>149</v>
      </c>
      <c r="B152" s="1248"/>
      <c r="C152" s="1248"/>
      <c r="D152" s="1248"/>
      <c r="E152" s="1248"/>
      <c r="F152" s="1248"/>
      <c r="G152" s="1248"/>
      <c r="H152" s="1248"/>
      <c r="I152" s="1248"/>
      <c r="J152" s="1248"/>
      <c r="K152" s="1255"/>
      <c r="L152" s="1255"/>
      <c r="M152" s="1255"/>
      <c r="N152" s="1248"/>
      <c r="O152" s="1248"/>
      <c r="P152" s="1248"/>
      <c r="Q152" s="1254"/>
      <c r="R152" s="1254"/>
      <c r="S152" s="1254"/>
      <c r="T152" s="1254"/>
      <c r="U152" s="1254"/>
      <c r="V152" s="1255"/>
      <c r="W152" s="1255">
        <v>4.0000000000000001E-3</v>
      </c>
      <c r="X152" s="1264">
        <v>0.9</v>
      </c>
      <c r="Y152" s="1264">
        <v>0.9</v>
      </c>
      <c r="Z152" s="1255"/>
      <c r="AA152" s="1255"/>
      <c r="AB152" s="1255"/>
      <c r="AC152" s="1255"/>
      <c r="AD152" s="749"/>
      <c r="AE152" s="1255"/>
      <c r="AF152" s="111"/>
      <c r="AG152" s="19"/>
      <c r="AH152" s="74"/>
      <c r="AI152" s="74"/>
      <c r="AJ152" s="19"/>
      <c r="AK152" s="74"/>
      <c r="AL152" s="19"/>
      <c r="AM152" s="19"/>
      <c r="AN152" s="19"/>
      <c r="AO152" s="19"/>
      <c r="AP152" s="19"/>
    </row>
    <row r="153" spans="1:42" x14ac:dyDescent="0.2">
      <c r="A153" s="1248">
        <v>150</v>
      </c>
      <c r="B153" s="1248"/>
      <c r="C153" s="1248"/>
      <c r="D153" s="1248"/>
      <c r="E153" s="1248"/>
      <c r="F153" s="1248"/>
      <c r="G153" s="1248"/>
      <c r="H153" s="1248"/>
      <c r="I153" s="1248"/>
      <c r="J153" s="1248"/>
      <c r="K153" s="1255"/>
      <c r="L153" s="1255"/>
      <c r="M153" s="1255"/>
      <c r="N153" s="1248"/>
      <c r="O153" s="1248"/>
      <c r="P153" s="1248"/>
      <c r="Q153" s="1254"/>
      <c r="R153" s="1254"/>
      <c r="S153" s="1254"/>
      <c r="T153" s="1254"/>
      <c r="U153" s="1254"/>
      <c r="V153" s="1255"/>
      <c r="W153" s="1255">
        <v>0</v>
      </c>
      <c r="X153" s="1264">
        <v>0.9</v>
      </c>
      <c r="Y153" s="1264">
        <v>0.9</v>
      </c>
      <c r="Z153" s="1255"/>
      <c r="AA153" s="1255"/>
      <c r="AB153" s="1255"/>
      <c r="AC153" s="1255"/>
      <c r="AD153" s="749"/>
      <c r="AE153" s="1255"/>
      <c r="AF153" s="111"/>
      <c r="AG153" s="19"/>
      <c r="AH153" s="74"/>
      <c r="AI153" s="74"/>
      <c r="AJ153" s="19"/>
      <c r="AK153" s="74"/>
      <c r="AL153" s="19"/>
      <c r="AM153" s="19"/>
      <c r="AN153" s="19"/>
      <c r="AO153" s="19"/>
      <c r="AP153" s="19"/>
    </row>
    <row r="154" spans="1:42" x14ac:dyDescent="0.2">
      <c r="K154" s="111"/>
      <c r="L154" s="111"/>
      <c r="M154" s="111"/>
      <c r="Q154" s="19"/>
      <c r="R154" s="19"/>
      <c r="S154" s="19"/>
      <c r="T154" s="19"/>
      <c r="U154" s="19"/>
      <c r="V154" s="111"/>
      <c r="W154" s="111"/>
      <c r="X154" s="111"/>
      <c r="Y154" s="111"/>
      <c r="Z154" s="111"/>
      <c r="AA154" s="111"/>
      <c r="AB154" s="111"/>
      <c r="AC154" s="111"/>
      <c r="AD154" s="112"/>
      <c r="AE154" s="111"/>
      <c r="AF154" s="111"/>
      <c r="AG154" s="19"/>
      <c r="AH154" s="74"/>
      <c r="AI154" s="74"/>
      <c r="AJ154" s="19"/>
      <c r="AK154" s="74"/>
      <c r="AL154" s="19"/>
      <c r="AM154" s="19"/>
      <c r="AN154" s="19"/>
      <c r="AO154" s="19"/>
      <c r="AP154" s="19"/>
    </row>
    <row r="155" spans="1:42" x14ac:dyDescent="0.2">
      <c r="K155" s="111"/>
      <c r="L155" s="111"/>
      <c r="M155" s="111"/>
      <c r="Q155" s="19"/>
      <c r="R155" s="19"/>
      <c r="S155" s="19"/>
      <c r="T155" s="19"/>
      <c r="U155" s="19"/>
      <c r="V155" s="111"/>
      <c r="W155" s="111"/>
      <c r="X155" s="111"/>
      <c r="Y155" s="111"/>
      <c r="Z155" s="111"/>
      <c r="AA155" s="111"/>
      <c r="AB155" s="111"/>
      <c r="AC155" s="111"/>
      <c r="AD155" s="112"/>
      <c r="AE155" s="111"/>
      <c r="AF155" s="111"/>
      <c r="AG155" s="19"/>
      <c r="AH155" s="74"/>
      <c r="AI155" s="74"/>
      <c r="AJ155" s="19"/>
      <c r="AK155" s="74"/>
      <c r="AL155" s="19"/>
      <c r="AM155" s="19"/>
      <c r="AN155" s="19"/>
      <c r="AO155" s="19"/>
      <c r="AP155" s="19"/>
    </row>
    <row r="156" spans="1:42" x14ac:dyDescent="0.2">
      <c r="K156" s="111"/>
      <c r="L156" s="111"/>
      <c r="M156" s="111"/>
      <c r="Q156" s="19"/>
      <c r="R156" s="19"/>
      <c r="S156" s="19"/>
      <c r="T156" s="19"/>
      <c r="U156" s="19"/>
      <c r="V156" s="111"/>
      <c r="W156" s="111"/>
      <c r="X156" s="111"/>
      <c r="Y156" s="111"/>
      <c r="Z156" s="111"/>
      <c r="AA156" s="111"/>
      <c r="AB156" s="111"/>
      <c r="AC156" s="111"/>
      <c r="AD156" s="112"/>
      <c r="AE156" s="111"/>
      <c r="AF156" s="111"/>
      <c r="AG156" s="19"/>
      <c r="AH156" s="74"/>
      <c r="AI156" s="74"/>
      <c r="AJ156" s="19"/>
      <c r="AK156" s="74"/>
      <c r="AL156" s="19"/>
      <c r="AM156" s="19"/>
      <c r="AN156" s="19"/>
      <c r="AO156" s="19"/>
      <c r="AP156" s="19"/>
    </row>
    <row r="157" spans="1:42" x14ac:dyDescent="0.2">
      <c r="K157" s="111"/>
      <c r="L157" s="111"/>
      <c r="M157" s="111"/>
      <c r="Q157" s="19"/>
      <c r="R157" s="19"/>
      <c r="S157" s="19"/>
      <c r="T157" s="19"/>
      <c r="U157" s="19"/>
      <c r="V157" s="111"/>
      <c r="W157" s="111"/>
      <c r="X157" s="111"/>
      <c r="Y157" s="111"/>
      <c r="Z157" s="111"/>
      <c r="AA157" s="111"/>
      <c r="AB157" s="111"/>
      <c r="AC157" s="111"/>
      <c r="AD157" s="112"/>
      <c r="AE157" s="111"/>
      <c r="AF157" s="111"/>
      <c r="AG157" s="19"/>
      <c r="AH157" s="74"/>
      <c r="AI157" s="74"/>
      <c r="AJ157" s="19"/>
      <c r="AK157" s="74"/>
      <c r="AL157" s="19"/>
      <c r="AM157" s="19"/>
      <c r="AN157" s="19"/>
      <c r="AO157" s="19"/>
      <c r="AP157" s="19"/>
    </row>
    <row r="158" spans="1:42" x14ac:dyDescent="0.2">
      <c r="K158" s="111"/>
      <c r="L158" s="111"/>
      <c r="M158" s="111"/>
      <c r="Q158" s="19"/>
      <c r="R158" s="19"/>
      <c r="S158" s="19"/>
      <c r="T158" s="19"/>
      <c r="U158" s="19"/>
      <c r="V158" s="111"/>
      <c r="W158" s="111"/>
      <c r="X158" s="111"/>
      <c r="Y158" s="111"/>
      <c r="Z158" s="111"/>
      <c r="AA158" s="111"/>
      <c r="AB158" s="111"/>
      <c r="AC158" s="111"/>
      <c r="AD158" s="112"/>
      <c r="AE158" s="111"/>
      <c r="AF158" s="111"/>
      <c r="AG158" s="19"/>
      <c r="AH158" s="74"/>
      <c r="AI158" s="74"/>
      <c r="AJ158" s="19"/>
      <c r="AK158" s="74"/>
      <c r="AL158" s="19"/>
      <c r="AM158" s="19"/>
      <c r="AN158" s="19"/>
      <c r="AO158" s="19"/>
      <c r="AP158" s="19"/>
    </row>
    <row r="159" spans="1:42" x14ac:dyDescent="0.2">
      <c r="K159" s="111"/>
      <c r="L159" s="111"/>
      <c r="M159" s="111"/>
      <c r="Q159" s="19"/>
      <c r="R159" s="19"/>
      <c r="S159" s="19"/>
      <c r="T159" s="19"/>
      <c r="U159" s="19"/>
      <c r="V159" s="111"/>
      <c r="W159" s="111"/>
      <c r="X159" s="111"/>
      <c r="Y159" s="111"/>
      <c r="Z159" s="111"/>
      <c r="AA159" s="111"/>
      <c r="AB159" s="111"/>
      <c r="AC159" s="111"/>
      <c r="AD159" s="112"/>
      <c r="AE159" s="111"/>
      <c r="AF159" s="111"/>
      <c r="AG159" s="19"/>
      <c r="AH159" s="74"/>
      <c r="AI159" s="74"/>
      <c r="AJ159" s="19"/>
      <c r="AK159" s="74"/>
      <c r="AL159" s="19"/>
      <c r="AM159" s="19"/>
      <c r="AN159" s="19"/>
      <c r="AO159" s="19"/>
      <c r="AP159" s="19"/>
    </row>
    <row r="160" spans="1:42" x14ac:dyDescent="0.2">
      <c r="K160" s="111"/>
      <c r="L160" s="111"/>
      <c r="M160" s="111"/>
      <c r="Q160" s="19"/>
      <c r="R160" s="19"/>
      <c r="S160" s="19"/>
      <c r="T160" s="19"/>
      <c r="U160" s="19"/>
      <c r="V160" s="111"/>
      <c r="W160" s="111"/>
      <c r="X160" s="111"/>
      <c r="Y160" s="111"/>
      <c r="Z160" s="111"/>
      <c r="AA160" s="111"/>
      <c r="AB160" s="111"/>
      <c r="AC160" s="111"/>
      <c r="AD160" s="112"/>
      <c r="AE160" s="111"/>
      <c r="AF160" s="111"/>
      <c r="AG160" s="19"/>
      <c r="AH160" s="74"/>
      <c r="AI160" s="74"/>
      <c r="AJ160" s="19"/>
      <c r="AK160" s="74"/>
      <c r="AL160" s="19"/>
      <c r="AM160" s="19"/>
      <c r="AN160" s="19"/>
      <c r="AO160" s="19"/>
      <c r="AP160" s="19"/>
    </row>
    <row r="161" spans="11:42" x14ac:dyDescent="0.2">
      <c r="K161" s="111"/>
      <c r="L161" s="111"/>
      <c r="M161" s="111"/>
      <c r="Q161" s="19"/>
      <c r="R161" s="19"/>
      <c r="S161" s="19"/>
      <c r="T161" s="19"/>
      <c r="U161" s="19"/>
      <c r="V161" s="111"/>
      <c r="W161" s="111"/>
      <c r="X161" s="111"/>
      <c r="Y161" s="111"/>
      <c r="Z161" s="111"/>
      <c r="AA161" s="111"/>
      <c r="AB161" s="111"/>
      <c r="AC161" s="111"/>
      <c r="AD161" s="112"/>
      <c r="AE161" s="111"/>
      <c r="AF161" s="111"/>
      <c r="AG161" s="19"/>
      <c r="AH161" s="74"/>
      <c r="AI161" s="74"/>
      <c r="AJ161" s="19"/>
      <c r="AK161" s="74"/>
      <c r="AL161" s="19"/>
      <c r="AM161" s="19"/>
      <c r="AN161" s="19"/>
      <c r="AO161" s="19"/>
      <c r="AP161" s="19"/>
    </row>
    <row r="162" spans="11:42" x14ac:dyDescent="0.2">
      <c r="K162" s="111"/>
      <c r="L162" s="111"/>
      <c r="M162" s="111"/>
      <c r="Q162" s="19"/>
      <c r="R162" s="19"/>
      <c r="S162" s="19"/>
      <c r="T162" s="19"/>
      <c r="U162" s="19"/>
      <c r="V162" s="111"/>
      <c r="W162" s="111"/>
      <c r="X162" s="111"/>
      <c r="Y162" s="111"/>
      <c r="Z162" s="111"/>
      <c r="AA162" s="111"/>
      <c r="AB162" s="111"/>
      <c r="AC162" s="111"/>
      <c r="AD162" s="112"/>
      <c r="AE162" s="111"/>
      <c r="AF162" s="111"/>
      <c r="AG162" s="19"/>
      <c r="AH162" s="74"/>
      <c r="AI162" s="74"/>
      <c r="AJ162" s="19"/>
      <c r="AK162" s="74"/>
      <c r="AL162" s="19"/>
      <c r="AM162" s="19"/>
      <c r="AN162" s="19"/>
      <c r="AO162" s="19"/>
      <c r="AP162" s="19"/>
    </row>
    <row r="163" spans="11:42" x14ac:dyDescent="0.2">
      <c r="K163" s="111"/>
      <c r="L163" s="111"/>
      <c r="M163" s="111"/>
      <c r="Q163" s="19"/>
      <c r="R163" s="19"/>
      <c r="S163" s="19"/>
      <c r="T163" s="19"/>
      <c r="U163" s="19"/>
      <c r="V163" s="111"/>
      <c r="W163" s="111"/>
      <c r="X163" s="111"/>
      <c r="Y163" s="111"/>
      <c r="Z163" s="111"/>
      <c r="AA163" s="111"/>
      <c r="AB163" s="111"/>
      <c r="AC163" s="111"/>
      <c r="AD163" s="112"/>
      <c r="AE163" s="111"/>
      <c r="AF163" s="111"/>
      <c r="AG163" s="19"/>
      <c r="AH163" s="74"/>
      <c r="AI163" s="74"/>
      <c r="AJ163" s="19"/>
      <c r="AK163" s="74"/>
      <c r="AL163" s="19"/>
      <c r="AM163" s="19"/>
      <c r="AN163" s="19"/>
      <c r="AO163" s="19"/>
      <c r="AP163" s="19"/>
    </row>
    <row r="164" spans="11:42" x14ac:dyDescent="0.2">
      <c r="K164" s="111"/>
      <c r="L164" s="111"/>
      <c r="M164" s="111"/>
      <c r="Q164" s="19"/>
      <c r="R164" s="19"/>
      <c r="S164" s="19"/>
      <c r="T164" s="19"/>
      <c r="U164" s="19"/>
      <c r="V164" s="111"/>
      <c r="W164" s="111"/>
      <c r="X164" s="111"/>
      <c r="Y164" s="111"/>
      <c r="Z164" s="111"/>
      <c r="AA164" s="111"/>
      <c r="AB164" s="111"/>
      <c r="AC164" s="111"/>
      <c r="AD164" s="112"/>
      <c r="AE164" s="111"/>
      <c r="AF164" s="111"/>
      <c r="AG164" s="19"/>
      <c r="AH164" s="74"/>
      <c r="AI164" s="74"/>
      <c r="AJ164" s="19"/>
      <c r="AK164" s="74"/>
      <c r="AL164" s="19"/>
      <c r="AM164" s="19"/>
      <c r="AN164" s="19"/>
      <c r="AO164" s="19"/>
      <c r="AP164" s="19"/>
    </row>
    <row r="165" spans="11:42" x14ac:dyDescent="0.2">
      <c r="K165" s="111"/>
      <c r="L165" s="111"/>
      <c r="M165" s="111"/>
      <c r="Q165" s="19"/>
      <c r="R165" s="19"/>
      <c r="S165" s="19"/>
      <c r="T165" s="19"/>
      <c r="U165" s="19"/>
      <c r="V165" s="111"/>
      <c r="W165" s="111"/>
      <c r="X165" s="111"/>
      <c r="Y165" s="111"/>
      <c r="Z165" s="111"/>
      <c r="AA165" s="111"/>
      <c r="AB165" s="111"/>
      <c r="AC165" s="111"/>
      <c r="AD165" s="112"/>
      <c r="AE165" s="111"/>
      <c r="AF165" s="111"/>
      <c r="AG165" s="19"/>
      <c r="AH165" s="74"/>
      <c r="AI165" s="74"/>
      <c r="AJ165" s="19"/>
      <c r="AK165" s="74"/>
      <c r="AL165" s="19"/>
      <c r="AM165" s="19"/>
      <c r="AN165" s="19"/>
      <c r="AO165" s="19"/>
      <c r="AP165" s="19"/>
    </row>
    <row r="166" spans="11:42" x14ac:dyDescent="0.2">
      <c r="K166" s="111"/>
      <c r="L166" s="111"/>
      <c r="M166" s="111"/>
      <c r="Q166" s="19"/>
      <c r="R166" s="19"/>
      <c r="S166" s="19"/>
      <c r="T166" s="19"/>
      <c r="U166" s="19"/>
      <c r="V166" s="111"/>
      <c r="W166" s="111"/>
      <c r="X166" s="111"/>
      <c r="Y166" s="111"/>
      <c r="Z166" s="111"/>
      <c r="AA166" s="111"/>
      <c r="AB166" s="111"/>
      <c r="AC166" s="111"/>
      <c r="AD166" s="112"/>
      <c r="AE166" s="111"/>
      <c r="AF166" s="111"/>
      <c r="AG166" s="19"/>
      <c r="AH166" s="74"/>
      <c r="AI166" s="74"/>
      <c r="AJ166" s="19"/>
      <c r="AK166" s="74"/>
      <c r="AL166" s="19"/>
      <c r="AM166" s="19"/>
      <c r="AN166" s="19"/>
      <c r="AO166" s="19"/>
      <c r="AP166" s="19"/>
    </row>
    <row r="167" spans="11:42" x14ac:dyDescent="0.2">
      <c r="K167" s="111"/>
      <c r="L167" s="111"/>
      <c r="M167" s="111"/>
      <c r="Q167" s="19"/>
      <c r="R167" s="19"/>
      <c r="S167" s="19"/>
      <c r="T167" s="19"/>
      <c r="U167" s="19"/>
      <c r="V167" s="111"/>
      <c r="W167" s="111"/>
      <c r="X167" s="111"/>
      <c r="Y167" s="111"/>
      <c r="Z167" s="111"/>
      <c r="AA167" s="111"/>
      <c r="AB167" s="111"/>
      <c r="AC167" s="111"/>
      <c r="AD167" s="112"/>
      <c r="AE167" s="111"/>
      <c r="AF167" s="111"/>
      <c r="AG167" s="19"/>
      <c r="AH167" s="74"/>
      <c r="AI167" s="74"/>
      <c r="AJ167" s="19"/>
      <c r="AK167" s="74"/>
      <c r="AL167" s="19"/>
      <c r="AM167" s="19"/>
      <c r="AN167" s="19"/>
      <c r="AO167" s="19"/>
      <c r="AP167" s="19"/>
    </row>
    <row r="168" spans="11:42" x14ac:dyDescent="0.2">
      <c r="K168" s="111"/>
      <c r="L168" s="111"/>
      <c r="M168" s="111"/>
      <c r="Q168" s="19"/>
      <c r="R168" s="19"/>
      <c r="S168" s="19"/>
      <c r="T168" s="19"/>
      <c r="U168" s="19"/>
      <c r="V168" s="111"/>
      <c r="W168" s="111"/>
      <c r="X168" s="111"/>
      <c r="Y168" s="111"/>
      <c r="Z168" s="111"/>
      <c r="AA168" s="111"/>
      <c r="AB168" s="111"/>
      <c r="AC168" s="111"/>
      <c r="AD168" s="112"/>
      <c r="AE168" s="111"/>
      <c r="AF168" s="111"/>
      <c r="AG168" s="19"/>
      <c r="AH168" s="74"/>
      <c r="AI168" s="74"/>
      <c r="AJ168" s="19"/>
      <c r="AK168" s="74"/>
      <c r="AL168" s="19"/>
      <c r="AM168" s="19"/>
      <c r="AN168" s="19"/>
      <c r="AO168" s="19"/>
      <c r="AP168" s="19"/>
    </row>
    <row r="169" spans="11:42" x14ac:dyDescent="0.2">
      <c r="K169" s="111"/>
      <c r="L169" s="111"/>
      <c r="M169" s="111"/>
      <c r="Q169" s="19"/>
      <c r="R169" s="19"/>
      <c r="S169" s="19"/>
      <c r="T169" s="19"/>
      <c r="U169" s="19"/>
      <c r="V169" s="111"/>
      <c r="W169" s="111"/>
      <c r="X169" s="111"/>
      <c r="Y169" s="111"/>
      <c r="Z169" s="111"/>
      <c r="AA169" s="111"/>
      <c r="AB169" s="111"/>
      <c r="AC169" s="111"/>
      <c r="AD169" s="112"/>
      <c r="AE169" s="111"/>
      <c r="AF169" s="111"/>
      <c r="AG169" s="19"/>
      <c r="AH169" s="74"/>
      <c r="AI169" s="74"/>
      <c r="AJ169" s="19"/>
      <c r="AK169" s="74"/>
      <c r="AL169" s="19"/>
      <c r="AM169" s="19"/>
      <c r="AN169" s="19"/>
      <c r="AO169" s="19"/>
      <c r="AP169" s="19"/>
    </row>
    <row r="170" spans="11:42" x14ac:dyDescent="0.2">
      <c r="K170" s="111"/>
      <c r="L170" s="111"/>
      <c r="M170" s="111"/>
      <c r="Q170" s="19"/>
      <c r="R170" s="19"/>
      <c r="S170" s="19"/>
      <c r="T170" s="19"/>
      <c r="U170" s="19"/>
      <c r="V170" s="111"/>
      <c r="W170" s="111"/>
      <c r="X170" s="111"/>
      <c r="Y170" s="111"/>
      <c r="Z170" s="111"/>
      <c r="AA170" s="111"/>
      <c r="AB170" s="111"/>
      <c r="AC170" s="111"/>
      <c r="AD170" s="112"/>
      <c r="AE170" s="111"/>
      <c r="AF170" s="111"/>
      <c r="AG170" s="19"/>
      <c r="AH170" s="74"/>
      <c r="AI170" s="74"/>
      <c r="AJ170" s="19"/>
      <c r="AK170" s="74"/>
      <c r="AL170" s="19"/>
      <c r="AM170" s="19"/>
      <c r="AN170" s="19"/>
      <c r="AO170" s="19"/>
      <c r="AP170" s="19"/>
    </row>
    <row r="171" spans="11:42" x14ac:dyDescent="0.2">
      <c r="K171" s="111"/>
      <c r="L171" s="111"/>
      <c r="M171" s="111"/>
      <c r="Q171" s="19"/>
      <c r="R171" s="19"/>
      <c r="S171" s="19"/>
      <c r="T171" s="19"/>
      <c r="U171" s="19"/>
      <c r="V171" s="111"/>
      <c r="W171" s="111"/>
      <c r="X171" s="111"/>
      <c r="Y171" s="111"/>
      <c r="Z171" s="111"/>
      <c r="AA171" s="111"/>
      <c r="AB171" s="111"/>
      <c r="AC171" s="111"/>
      <c r="AD171" s="112"/>
      <c r="AE171" s="111"/>
      <c r="AF171" s="111"/>
      <c r="AG171" s="19"/>
      <c r="AH171" s="74"/>
      <c r="AI171" s="74"/>
      <c r="AJ171" s="19"/>
      <c r="AK171" s="74"/>
      <c r="AL171" s="19"/>
      <c r="AM171" s="19"/>
      <c r="AN171" s="19"/>
      <c r="AO171" s="19"/>
      <c r="AP171" s="19"/>
    </row>
    <row r="172" spans="11:42" x14ac:dyDescent="0.2">
      <c r="K172" s="111"/>
      <c r="L172" s="111"/>
      <c r="M172" s="111"/>
      <c r="Q172" s="19"/>
      <c r="R172" s="19"/>
      <c r="S172" s="19"/>
      <c r="T172" s="19"/>
      <c r="U172" s="19"/>
      <c r="V172" s="111"/>
      <c r="W172" s="111"/>
      <c r="X172" s="111"/>
      <c r="Y172" s="111"/>
      <c r="Z172" s="111"/>
      <c r="AA172" s="111"/>
      <c r="AB172" s="111"/>
      <c r="AC172" s="111"/>
      <c r="AD172" s="112"/>
      <c r="AE172" s="111"/>
      <c r="AF172" s="111"/>
      <c r="AG172" s="19"/>
      <c r="AH172" s="74"/>
      <c r="AI172" s="74"/>
      <c r="AJ172" s="19"/>
      <c r="AK172" s="74"/>
      <c r="AL172" s="19"/>
      <c r="AM172" s="19"/>
      <c r="AN172" s="19"/>
      <c r="AO172" s="19"/>
      <c r="AP172" s="19"/>
    </row>
    <row r="173" spans="11:42" x14ac:dyDescent="0.2">
      <c r="K173" s="111"/>
      <c r="L173" s="111"/>
      <c r="M173" s="111"/>
      <c r="Q173" s="19"/>
      <c r="R173" s="19"/>
      <c r="S173" s="19"/>
      <c r="T173" s="19"/>
      <c r="U173" s="19"/>
      <c r="V173" s="111"/>
      <c r="W173" s="111"/>
      <c r="X173" s="111"/>
      <c r="Y173" s="111"/>
      <c r="Z173" s="111"/>
      <c r="AA173" s="111"/>
      <c r="AB173" s="111"/>
      <c r="AC173" s="111"/>
      <c r="AD173" s="112"/>
      <c r="AE173" s="111"/>
      <c r="AF173" s="111"/>
      <c r="AG173" s="19"/>
      <c r="AH173" s="74"/>
      <c r="AI173" s="74"/>
      <c r="AJ173" s="19"/>
      <c r="AK173" s="74"/>
      <c r="AL173" s="19"/>
      <c r="AM173" s="19"/>
      <c r="AN173" s="19"/>
      <c r="AO173" s="19"/>
      <c r="AP173" s="19"/>
    </row>
    <row r="174" spans="11:42" x14ac:dyDescent="0.2">
      <c r="K174" s="111"/>
      <c r="L174" s="111"/>
      <c r="M174" s="111"/>
      <c r="Q174" s="19"/>
      <c r="R174" s="19"/>
      <c r="S174" s="19"/>
      <c r="T174" s="19"/>
      <c r="U174" s="19"/>
      <c r="V174" s="111"/>
      <c r="W174" s="111"/>
      <c r="X174" s="111"/>
      <c r="Y174" s="111"/>
      <c r="Z174" s="111"/>
      <c r="AA174" s="111"/>
      <c r="AB174" s="111"/>
      <c r="AC174" s="111"/>
      <c r="AD174" s="112"/>
      <c r="AE174" s="111"/>
      <c r="AF174" s="111"/>
      <c r="AG174" s="19"/>
      <c r="AH174" s="74"/>
      <c r="AI174" s="74"/>
      <c r="AJ174" s="19"/>
      <c r="AK174" s="74"/>
      <c r="AL174" s="19"/>
      <c r="AM174" s="19"/>
      <c r="AN174" s="19"/>
      <c r="AO174" s="19"/>
      <c r="AP174" s="19"/>
    </row>
    <row r="175" spans="11:42" x14ac:dyDescent="0.2">
      <c r="K175" s="111"/>
      <c r="L175" s="111"/>
      <c r="M175" s="111"/>
      <c r="Q175" s="19"/>
      <c r="R175" s="19"/>
      <c r="S175" s="19"/>
      <c r="T175" s="19"/>
      <c r="U175" s="19"/>
      <c r="V175" s="111"/>
      <c r="W175" s="111"/>
      <c r="X175" s="111"/>
      <c r="Y175" s="111"/>
      <c r="Z175" s="111"/>
      <c r="AA175" s="111"/>
      <c r="AB175" s="111"/>
      <c r="AC175" s="111"/>
      <c r="AD175" s="112"/>
      <c r="AE175" s="111"/>
      <c r="AF175" s="111"/>
      <c r="AG175" s="19"/>
      <c r="AH175" s="74"/>
      <c r="AI175" s="74"/>
      <c r="AJ175" s="19"/>
      <c r="AK175" s="74"/>
      <c r="AL175" s="19"/>
      <c r="AM175" s="19"/>
      <c r="AN175" s="19"/>
      <c r="AO175" s="19"/>
      <c r="AP175" s="19"/>
    </row>
    <row r="176" spans="11:42" x14ac:dyDescent="0.2">
      <c r="K176" s="111"/>
      <c r="L176" s="111"/>
      <c r="M176" s="111"/>
      <c r="Q176" s="19"/>
      <c r="R176" s="19"/>
      <c r="S176" s="19"/>
      <c r="T176" s="19"/>
      <c r="U176" s="19"/>
      <c r="V176" s="111"/>
      <c r="W176" s="111"/>
      <c r="X176" s="111"/>
      <c r="Y176" s="111"/>
      <c r="Z176" s="111"/>
      <c r="AA176" s="111"/>
      <c r="AB176" s="111"/>
      <c r="AC176" s="111"/>
      <c r="AD176" s="112"/>
      <c r="AE176" s="111"/>
      <c r="AF176" s="111"/>
      <c r="AG176" s="19"/>
      <c r="AH176" s="74"/>
      <c r="AI176" s="74"/>
      <c r="AJ176" s="19"/>
      <c r="AK176" s="74"/>
      <c r="AL176" s="19"/>
      <c r="AM176" s="19"/>
      <c r="AN176" s="19"/>
      <c r="AO176" s="19"/>
      <c r="AP176" s="19"/>
    </row>
    <row r="177" spans="11:42" x14ac:dyDescent="0.2">
      <c r="K177" s="111"/>
      <c r="L177" s="111"/>
      <c r="M177" s="111"/>
      <c r="Q177" s="19"/>
      <c r="R177" s="19"/>
      <c r="S177" s="19"/>
      <c r="T177" s="19"/>
      <c r="U177" s="19"/>
      <c r="V177" s="111"/>
      <c r="W177" s="111"/>
      <c r="X177" s="111"/>
      <c r="Y177" s="111"/>
      <c r="Z177" s="111"/>
      <c r="AA177" s="111"/>
      <c r="AB177" s="111"/>
      <c r="AC177" s="111"/>
      <c r="AD177" s="112"/>
      <c r="AE177" s="111"/>
      <c r="AF177" s="111"/>
      <c r="AG177" s="19"/>
      <c r="AH177" s="74"/>
      <c r="AI177" s="74"/>
      <c r="AJ177" s="19"/>
      <c r="AK177" s="74"/>
      <c r="AL177" s="19"/>
      <c r="AM177" s="19"/>
      <c r="AN177" s="19"/>
      <c r="AO177" s="19"/>
      <c r="AP177" s="19"/>
    </row>
    <row r="178" spans="11:42" x14ac:dyDescent="0.2">
      <c r="K178" s="111"/>
      <c r="L178" s="111"/>
      <c r="M178" s="111"/>
      <c r="Q178" s="19"/>
      <c r="R178" s="19"/>
      <c r="S178" s="19"/>
      <c r="T178" s="19"/>
      <c r="U178" s="19"/>
      <c r="V178" s="111"/>
      <c r="W178" s="111"/>
      <c r="X178" s="111"/>
      <c r="Y178" s="111"/>
      <c r="Z178" s="111"/>
      <c r="AA178" s="111"/>
      <c r="AB178" s="111"/>
      <c r="AC178" s="111"/>
      <c r="AD178" s="112"/>
      <c r="AE178" s="111"/>
      <c r="AF178" s="111"/>
      <c r="AG178" s="19"/>
      <c r="AH178" s="74"/>
      <c r="AI178" s="74"/>
      <c r="AJ178" s="19"/>
      <c r="AK178" s="74"/>
      <c r="AL178" s="19"/>
      <c r="AM178" s="19"/>
      <c r="AN178" s="19"/>
      <c r="AO178" s="19"/>
      <c r="AP178" s="19"/>
    </row>
    <row r="179" spans="11:42" x14ac:dyDescent="0.2">
      <c r="K179" s="111"/>
      <c r="L179" s="111"/>
      <c r="M179" s="111"/>
      <c r="Q179" s="19"/>
      <c r="R179" s="19"/>
      <c r="S179" s="19"/>
      <c r="T179" s="19"/>
      <c r="U179" s="19"/>
      <c r="V179" s="111"/>
      <c r="W179" s="111"/>
      <c r="X179" s="111"/>
      <c r="Y179" s="111"/>
      <c r="Z179" s="111"/>
      <c r="AA179" s="111"/>
      <c r="AB179" s="111"/>
      <c r="AC179" s="111"/>
      <c r="AD179" s="112"/>
      <c r="AE179" s="111"/>
      <c r="AF179" s="111"/>
      <c r="AG179" s="19"/>
      <c r="AH179" s="74"/>
      <c r="AI179" s="74"/>
      <c r="AJ179" s="19"/>
      <c r="AK179" s="74"/>
      <c r="AL179" s="19"/>
      <c r="AM179" s="19"/>
      <c r="AN179" s="19"/>
      <c r="AO179" s="19"/>
      <c r="AP179" s="19"/>
    </row>
    <row r="180" spans="11:42" x14ac:dyDescent="0.2">
      <c r="K180" s="111"/>
      <c r="L180" s="111"/>
      <c r="M180" s="111"/>
      <c r="Q180" s="19"/>
      <c r="R180" s="19"/>
      <c r="S180" s="19"/>
      <c r="T180" s="19"/>
      <c r="U180" s="19"/>
      <c r="V180" s="111"/>
      <c r="W180" s="111"/>
      <c r="X180" s="111"/>
      <c r="Y180" s="111"/>
      <c r="Z180" s="111"/>
      <c r="AA180" s="111"/>
      <c r="AB180" s="111"/>
      <c r="AC180" s="111"/>
      <c r="AD180" s="112"/>
      <c r="AE180" s="111"/>
      <c r="AF180" s="111"/>
      <c r="AG180" s="19"/>
      <c r="AH180" s="74"/>
      <c r="AI180" s="74"/>
      <c r="AJ180" s="19"/>
      <c r="AK180" s="74"/>
      <c r="AL180" s="19"/>
      <c r="AM180" s="19"/>
      <c r="AN180" s="19"/>
      <c r="AO180" s="19"/>
      <c r="AP180" s="19"/>
    </row>
    <row r="181" spans="11:42" x14ac:dyDescent="0.2">
      <c r="K181" s="111"/>
      <c r="L181" s="111"/>
      <c r="M181" s="111"/>
      <c r="Q181" s="19"/>
      <c r="R181" s="19"/>
      <c r="S181" s="19"/>
      <c r="T181" s="19"/>
      <c r="U181" s="19"/>
      <c r="V181" s="111"/>
      <c r="W181" s="111"/>
      <c r="X181" s="111"/>
      <c r="Y181" s="111"/>
      <c r="Z181" s="111"/>
      <c r="AA181" s="111"/>
      <c r="AB181" s="111"/>
      <c r="AC181" s="111"/>
      <c r="AD181" s="112"/>
      <c r="AE181" s="111"/>
      <c r="AF181" s="111"/>
      <c r="AG181" s="19"/>
      <c r="AH181" s="74"/>
      <c r="AI181" s="74"/>
      <c r="AJ181" s="19"/>
      <c r="AK181" s="74"/>
      <c r="AL181" s="19"/>
      <c r="AM181" s="19"/>
      <c r="AN181" s="19"/>
      <c r="AO181" s="19"/>
      <c r="AP181" s="19"/>
    </row>
    <row r="182" spans="11:42" x14ac:dyDescent="0.2">
      <c r="K182" s="111"/>
      <c r="L182" s="111"/>
      <c r="M182" s="111"/>
      <c r="Q182" s="19"/>
      <c r="R182" s="19"/>
      <c r="S182" s="19"/>
      <c r="T182" s="19"/>
      <c r="U182" s="19"/>
      <c r="V182" s="111"/>
      <c r="W182" s="111"/>
      <c r="X182" s="111"/>
      <c r="Y182" s="111"/>
      <c r="Z182" s="111"/>
      <c r="AA182" s="111"/>
      <c r="AB182" s="111"/>
      <c r="AC182" s="111"/>
      <c r="AD182" s="112"/>
      <c r="AE182" s="111"/>
      <c r="AF182" s="111"/>
      <c r="AG182" s="19"/>
      <c r="AH182" s="74"/>
      <c r="AI182" s="74"/>
      <c r="AJ182" s="19"/>
      <c r="AK182" s="74"/>
      <c r="AL182" s="19"/>
      <c r="AM182" s="19"/>
      <c r="AN182" s="19"/>
      <c r="AO182" s="19"/>
      <c r="AP182" s="19"/>
    </row>
    <row r="183" spans="11:42" x14ac:dyDescent="0.2">
      <c r="K183" s="111"/>
      <c r="L183" s="111"/>
      <c r="M183" s="111"/>
      <c r="Q183" s="19"/>
      <c r="R183" s="19"/>
      <c r="S183" s="19"/>
      <c r="T183" s="19"/>
      <c r="U183" s="19"/>
      <c r="V183" s="111"/>
      <c r="W183" s="111"/>
      <c r="X183" s="111"/>
      <c r="Y183" s="111"/>
      <c r="Z183" s="111"/>
      <c r="AA183" s="111"/>
      <c r="AB183" s="111"/>
      <c r="AC183" s="111"/>
      <c r="AD183" s="112"/>
      <c r="AE183" s="111"/>
      <c r="AF183" s="111"/>
      <c r="AG183" s="19"/>
      <c r="AH183" s="74"/>
      <c r="AI183" s="74"/>
      <c r="AJ183" s="19"/>
      <c r="AK183" s="74"/>
      <c r="AL183" s="19"/>
      <c r="AM183" s="19"/>
      <c r="AN183" s="19"/>
      <c r="AO183" s="19"/>
      <c r="AP183" s="19"/>
    </row>
    <row r="184" spans="11:42" x14ac:dyDescent="0.2">
      <c r="K184" s="111"/>
      <c r="L184" s="111"/>
      <c r="M184" s="111"/>
      <c r="Q184" s="19"/>
      <c r="R184" s="19"/>
      <c r="S184" s="19"/>
      <c r="T184" s="19"/>
      <c r="U184" s="19"/>
      <c r="V184" s="111"/>
      <c r="W184" s="111"/>
      <c r="X184" s="111"/>
      <c r="Y184" s="111"/>
      <c r="Z184" s="111"/>
      <c r="AA184" s="111"/>
      <c r="AB184" s="111"/>
      <c r="AC184" s="111"/>
      <c r="AD184" s="112"/>
      <c r="AE184" s="111"/>
      <c r="AF184" s="111"/>
      <c r="AG184" s="19"/>
      <c r="AH184" s="74"/>
      <c r="AI184" s="74"/>
      <c r="AJ184" s="19"/>
      <c r="AK184" s="74"/>
      <c r="AL184" s="19"/>
      <c r="AM184" s="19"/>
      <c r="AN184" s="19"/>
      <c r="AO184" s="19"/>
      <c r="AP184" s="19"/>
    </row>
    <row r="185" spans="11:42" x14ac:dyDescent="0.2">
      <c r="K185" s="111"/>
      <c r="L185" s="111"/>
      <c r="M185" s="111"/>
      <c r="Q185" s="19"/>
      <c r="R185" s="19"/>
      <c r="S185" s="19"/>
      <c r="T185" s="19"/>
      <c r="U185" s="19"/>
      <c r="V185" s="111"/>
      <c r="W185" s="111"/>
      <c r="X185" s="111"/>
      <c r="Y185" s="111"/>
      <c r="Z185" s="111"/>
      <c r="AA185" s="111"/>
      <c r="AB185" s="111"/>
      <c r="AC185" s="111"/>
      <c r="AD185" s="112"/>
      <c r="AE185" s="111"/>
      <c r="AF185" s="111"/>
      <c r="AG185" s="19"/>
      <c r="AH185" s="74"/>
      <c r="AI185" s="74"/>
      <c r="AJ185" s="19"/>
      <c r="AK185" s="74"/>
      <c r="AL185" s="19"/>
      <c r="AM185" s="19"/>
      <c r="AN185" s="19"/>
      <c r="AO185" s="19"/>
      <c r="AP185" s="19"/>
    </row>
    <row r="186" spans="11:42" x14ac:dyDescent="0.2">
      <c r="K186" s="111"/>
      <c r="L186" s="111"/>
      <c r="M186" s="111"/>
      <c r="Q186" s="19"/>
      <c r="R186" s="19"/>
      <c r="S186" s="19"/>
      <c r="T186" s="19"/>
      <c r="U186" s="19"/>
      <c r="V186" s="111"/>
      <c r="W186" s="111"/>
      <c r="X186" s="111"/>
      <c r="Y186" s="111"/>
      <c r="Z186" s="111"/>
      <c r="AA186" s="111"/>
      <c r="AB186" s="111"/>
      <c r="AC186" s="111"/>
      <c r="AD186" s="112"/>
      <c r="AE186" s="111"/>
      <c r="AF186" s="111"/>
      <c r="AG186" s="19"/>
      <c r="AH186" s="74"/>
      <c r="AI186" s="74"/>
      <c r="AJ186" s="19"/>
      <c r="AK186" s="74"/>
      <c r="AL186" s="19"/>
      <c r="AM186" s="19"/>
      <c r="AN186" s="19"/>
      <c r="AO186" s="19"/>
      <c r="AP186" s="19"/>
    </row>
    <row r="187" spans="11:42" x14ac:dyDescent="0.2">
      <c r="K187" s="111"/>
      <c r="L187" s="111"/>
      <c r="M187" s="111"/>
      <c r="Q187" s="19"/>
      <c r="R187" s="19"/>
      <c r="S187" s="19"/>
      <c r="T187" s="19"/>
      <c r="U187" s="19"/>
      <c r="V187" s="111"/>
      <c r="W187" s="111"/>
      <c r="X187" s="111"/>
      <c r="Y187" s="111"/>
      <c r="Z187" s="111"/>
      <c r="AA187" s="111"/>
      <c r="AB187" s="111"/>
      <c r="AC187" s="111"/>
      <c r="AD187" s="112"/>
      <c r="AE187" s="111"/>
      <c r="AF187" s="111"/>
      <c r="AG187" s="19"/>
      <c r="AH187" s="74"/>
      <c r="AI187" s="74"/>
      <c r="AJ187" s="19"/>
      <c r="AK187" s="74"/>
      <c r="AL187" s="19"/>
      <c r="AM187" s="19"/>
      <c r="AN187" s="19"/>
      <c r="AO187" s="19"/>
      <c r="AP187" s="19"/>
    </row>
    <row r="188" spans="11:42" x14ac:dyDescent="0.2">
      <c r="K188" s="111"/>
      <c r="L188" s="111"/>
      <c r="M188" s="111"/>
      <c r="Q188" s="19"/>
      <c r="R188" s="19"/>
      <c r="S188" s="19"/>
      <c r="T188" s="19"/>
      <c r="U188" s="19"/>
      <c r="V188" s="111"/>
      <c r="W188" s="111"/>
      <c r="X188" s="111"/>
      <c r="Y188" s="111"/>
      <c r="Z188" s="111"/>
      <c r="AA188" s="111"/>
      <c r="AB188" s="111"/>
      <c r="AC188" s="111"/>
      <c r="AD188" s="112"/>
      <c r="AE188" s="111"/>
      <c r="AF188" s="111"/>
      <c r="AG188" s="19"/>
      <c r="AH188" s="74"/>
      <c r="AI188" s="74"/>
      <c r="AJ188" s="19"/>
      <c r="AK188" s="74"/>
      <c r="AL188" s="19"/>
      <c r="AM188" s="19"/>
      <c r="AN188" s="19"/>
      <c r="AO188" s="19"/>
      <c r="AP188" s="19"/>
    </row>
    <row r="189" spans="11:42" x14ac:dyDescent="0.2">
      <c r="K189" s="111"/>
      <c r="L189" s="111"/>
      <c r="M189" s="111"/>
      <c r="Q189" s="19"/>
      <c r="R189" s="19"/>
      <c r="S189" s="19"/>
      <c r="T189" s="19"/>
      <c r="U189" s="19"/>
      <c r="V189" s="111"/>
      <c r="W189" s="111"/>
      <c r="X189" s="111"/>
      <c r="Y189" s="111"/>
      <c r="Z189" s="111"/>
      <c r="AA189" s="111"/>
      <c r="AB189" s="111"/>
      <c r="AC189" s="111"/>
      <c r="AD189" s="112"/>
      <c r="AE189" s="111"/>
      <c r="AF189" s="111"/>
      <c r="AG189" s="19"/>
      <c r="AH189" s="74"/>
      <c r="AI189" s="74"/>
      <c r="AJ189" s="19"/>
      <c r="AK189" s="74"/>
      <c r="AL189" s="19"/>
      <c r="AM189" s="19"/>
      <c r="AN189" s="19"/>
      <c r="AO189" s="19"/>
      <c r="AP189" s="19"/>
    </row>
    <row r="190" spans="11:42" x14ac:dyDescent="0.2">
      <c r="K190" s="111"/>
      <c r="L190" s="111"/>
      <c r="M190" s="111"/>
      <c r="Q190" s="19"/>
      <c r="R190" s="19"/>
      <c r="S190" s="19"/>
      <c r="T190" s="19"/>
      <c r="U190" s="19"/>
      <c r="V190" s="111"/>
      <c r="W190" s="111"/>
      <c r="X190" s="111"/>
      <c r="Y190" s="111"/>
      <c r="Z190" s="111"/>
      <c r="AA190" s="111"/>
      <c r="AB190" s="111"/>
      <c r="AC190" s="111"/>
      <c r="AD190" s="112"/>
      <c r="AE190" s="111"/>
      <c r="AF190" s="111"/>
      <c r="AG190" s="19"/>
      <c r="AH190" s="74"/>
      <c r="AI190" s="74"/>
      <c r="AJ190" s="19"/>
      <c r="AK190" s="74"/>
      <c r="AL190" s="19"/>
      <c r="AM190" s="19"/>
      <c r="AN190" s="19"/>
      <c r="AO190" s="19"/>
      <c r="AP190" s="19"/>
    </row>
    <row r="191" spans="11:42" x14ac:dyDescent="0.2">
      <c r="K191" s="111"/>
      <c r="L191" s="111"/>
      <c r="M191" s="111"/>
      <c r="Q191" s="19"/>
      <c r="R191" s="19"/>
      <c r="S191" s="19"/>
      <c r="T191" s="19"/>
      <c r="U191" s="19"/>
      <c r="V191" s="111"/>
      <c r="W191" s="111"/>
      <c r="X191" s="111"/>
      <c r="Y191" s="111"/>
      <c r="Z191" s="111"/>
      <c r="AA191" s="111"/>
      <c r="AB191" s="111"/>
      <c r="AC191" s="111"/>
      <c r="AD191" s="112"/>
      <c r="AE191" s="111"/>
      <c r="AF191" s="111"/>
      <c r="AG191" s="19"/>
      <c r="AH191" s="74"/>
      <c r="AI191" s="74"/>
      <c r="AJ191" s="19"/>
      <c r="AK191" s="74"/>
      <c r="AL191" s="19"/>
      <c r="AM191" s="19"/>
      <c r="AN191" s="19"/>
      <c r="AO191" s="19"/>
      <c r="AP191" s="19"/>
    </row>
    <row r="192" spans="11:42" x14ac:dyDescent="0.2">
      <c r="K192" s="111"/>
      <c r="L192" s="111"/>
      <c r="M192" s="111"/>
      <c r="Q192" s="19"/>
      <c r="R192" s="19"/>
      <c r="S192" s="19"/>
      <c r="T192" s="19"/>
      <c r="U192" s="19"/>
      <c r="V192" s="111"/>
      <c r="W192" s="111"/>
      <c r="X192" s="111"/>
      <c r="Y192" s="111"/>
      <c r="Z192" s="111"/>
      <c r="AA192" s="111"/>
      <c r="AB192" s="111"/>
      <c r="AC192" s="111"/>
      <c r="AD192" s="112"/>
      <c r="AE192" s="111"/>
      <c r="AF192" s="111"/>
      <c r="AG192" s="19"/>
      <c r="AH192" s="74"/>
      <c r="AI192" s="74"/>
      <c r="AJ192" s="19"/>
      <c r="AK192" s="74"/>
      <c r="AL192" s="19"/>
      <c r="AM192" s="19"/>
      <c r="AN192" s="19"/>
      <c r="AO192" s="19"/>
      <c r="AP192" s="19"/>
    </row>
    <row r="193" spans="11:42" x14ac:dyDescent="0.2">
      <c r="K193" s="111"/>
      <c r="L193" s="111"/>
      <c r="M193" s="111"/>
      <c r="Q193" s="19"/>
      <c r="R193" s="19"/>
      <c r="S193" s="19"/>
      <c r="T193" s="19"/>
      <c r="U193" s="19"/>
      <c r="V193" s="111"/>
      <c r="W193" s="111"/>
      <c r="X193" s="111"/>
      <c r="Y193" s="111"/>
      <c r="Z193" s="111"/>
      <c r="AA193" s="111"/>
      <c r="AB193" s="111"/>
      <c r="AC193" s="111"/>
      <c r="AD193" s="112"/>
      <c r="AE193" s="111"/>
      <c r="AF193" s="111"/>
      <c r="AG193" s="19"/>
      <c r="AH193" s="74"/>
      <c r="AI193" s="74"/>
      <c r="AJ193" s="19"/>
      <c r="AK193" s="74"/>
      <c r="AL193" s="19"/>
      <c r="AM193" s="19"/>
      <c r="AN193" s="19"/>
      <c r="AO193" s="19"/>
      <c r="AP193" s="19"/>
    </row>
    <row r="194" spans="11:42" x14ac:dyDescent="0.2">
      <c r="K194" s="111"/>
      <c r="L194" s="111"/>
      <c r="M194" s="111"/>
      <c r="Q194" s="19"/>
      <c r="R194" s="19"/>
      <c r="S194" s="19"/>
      <c r="T194" s="19"/>
      <c r="U194" s="19"/>
      <c r="V194" s="111"/>
      <c r="W194" s="111"/>
      <c r="X194" s="111"/>
      <c r="Y194" s="111"/>
      <c r="Z194" s="111"/>
      <c r="AA194" s="111"/>
      <c r="AB194" s="111"/>
      <c r="AC194" s="111"/>
      <c r="AD194" s="112"/>
      <c r="AE194" s="111"/>
      <c r="AF194" s="111"/>
      <c r="AG194" s="19"/>
      <c r="AH194" s="74"/>
      <c r="AI194" s="74"/>
      <c r="AJ194" s="19"/>
      <c r="AK194" s="74"/>
      <c r="AL194" s="19"/>
      <c r="AM194" s="19"/>
      <c r="AN194" s="19"/>
      <c r="AO194" s="19"/>
      <c r="AP194" s="19"/>
    </row>
    <row r="195" spans="11:42" x14ac:dyDescent="0.2">
      <c r="K195" s="111"/>
      <c r="L195" s="111"/>
      <c r="M195" s="111"/>
      <c r="Q195" s="19"/>
      <c r="R195" s="19"/>
      <c r="S195" s="19"/>
      <c r="T195" s="19"/>
      <c r="U195" s="19"/>
      <c r="V195" s="111"/>
      <c r="W195" s="111"/>
      <c r="X195" s="111"/>
      <c r="Y195" s="111"/>
      <c r="Z195" s="111"/>
      <c r="AA195" s="111"/>
      <c r="AB195" s="111"/>
      <c r="AC195" s="111"/>
      <c r="AD195" s="112"/>
      <c r="AE195" s="111"/>
      <c r="AF195" s="111"/>
      <c r="AG195" s="19"/>
      <c r="AH195" s="74"/>
      <c r="AI195" s="74"/>
      <c r="AJ195" s="19"/>
      <c r="AK195" s="74"/>
      <c r="AL195" s="19"/>
      <c r="AM195" s="19"/>
      <c r="AN195" s="19"/>
      <c r="AO195" s="19"/>
      <c r="AP195" s="19"/>
    </row>
    <row r="196" spans="11:42" x14ac:dyDescent="0.2">
      <c r="K196" s="111"/>
      <c r="L196" s="111"/>
      <c r="M196" s="111"/>
      <c r="Q196" s="19"/>
      <c r="R196" s="19"/>
      <c r="S196" s="19"/>
      <c r="T196" s="19"/>
      <c r="U196" s="19"/>
      <c r="V196" s="111"/>
      <c r="W196" s="111"/>
      <c r="X196" s="111"/>
      <c r="Y196" s="111"/>
      <c r="Z196" s="111"/>
      <c r="AA196" s="111"/>
      <c r="AB196" s="111"/>
      <c r="AC196" s="111"/>
      <c r="AD196" s="112"/>
      <c r="AE196" s="111"/>
      <c r="AF196" s="111"/>
      <c r="AG196" s="19"/>
      <c r="AH196" s="74"/>
      <c r="AI196" s="74"/>
      <c r="AJ196" s="19"/>
      <c r="AK196" s="74"/>
      <c r="AL196" s="19"/>
      <c r="AM196" s="19"/>
      <c r="AN196" s="19"/>
      <c r="AO196" s="19"/>
      <c r="AP196" s="19"/>
    </row>
    <row r="197" spans="11:42" x14ac:dyDescent="0.2">
      <c r="K197" s="111"/>
      <c r="L197" s="111"/>
      <c r="M197" s="111"/>
      <c r="Q197" s="19"/>
      <c r="R197" s="19"/>
      <c r="S197" s="19"/>
      <c r="T197" s="19"/>
      <c r="U197" s="19"/>
      <c r="V197" s="111"/>
      <c r="W197" s="111"/>
      <c r="X197" s="111"/>
      <c r="Y197" s="111"/>
      <c r="Z197" s="111"/>
      <c r="AA197" s="111"/>
      <c r="AB197" s="111"/>
      <c r="AC197" s="111"/>
      <c r="AD197" s="112"/>
      <c r="AE197" s="111"/>
      <c r="AF197" s="111"/>
      <c r="AG197" s="19"/>
      <c r="AH197" s="74"/>
      <c r="AI197" s="74"/>
      <c r="AJ197" s="19"/>
      <c r="AK197" s="74"/>
      <c r="AL197" s="19"/>
      <c r="AM197" s="19"/>
      <c r="AN197" s="19"/>
      <c r="AO197" s="19"/>
      <c r="AP197" s="19"/>
    </row>
    <row r="198" spans="11:42" x14ac:dyDescent="0.2">
      <c r="K198" s="111"/>
      <c r="L198" s="111"/>
      <c r="M198" s="111"/>
      <c r="Q198" s="19"/>
      <c r="R198" s="19"/>
      <c r="S198" s="19"/>
      <c r="T198" s="19"/>
      <c r="U198" s="19"/>
      <c r="V198" s="111"/>
      <c r="W198" s="111"/>
      <c r="X198" s="111"/>
      <c r="Y198" s="111"/>
      <c r="Z198" s="111"/>
      <c r="AA198" s="111"/>
      <c r="AB198" s="111"/>
      <c r="AC198" s="111"/>
      <c r="AD198" s="112"/>
      <c r="AE198" s="111"/>
      <c r="AF198" s="111"/>
      <c r="AG198" s="19"/>
      <c r="AH198" s="74"/>
      <c r="AI198" s="74"/>
      <c r="AJ198" s="19"/>
      <c r="AK198" s="74"/>
      <c r="AL198" s="19"/>
      <c r="AM198" s="19"/>
      <c r="AN198" s="19"/>
      <c r="AO198" s="19"/>
      <c r="AP198" s="19"/>
    </row>
    <row r="199" spans="11:42" x14ac:dyDescent="0.2">
      <c r="K199" s="111"/>
      <c r="L199" s="111"/>
      <c r="M199" s="111"/>
      <c r="Q199" s="19"/>
      <c r="R199" s="19"/>
      <c r="S199" s="19"/>
      <c r="T199" s="19"/>
      <c r="U199" s="19"/>
      <c r="V199" s="111"/>
      <c r="W199" s="111"/>
      <c r="X199" s="111"/>
      <c r="Y199" s="111"/>
      <c r="Z199" s="111"/>
      <c r="AA199" s="111"/>
      <c r="AB199" s="111"/>
      <c r="AC199" s="111"/>
      <c r="AD199" s="112"/>
      <c r="AE199" s="111"/>
      <c r="AF199" s="111"/>
      <c r="AG199" s="19"/>
      <c r="AH199" s="74"/>
      <c r="AI199" s="74"/>
      <c r="AJ199" s="19"/>
      <c r="AK199" s="74"/>
      <c r="AL199" s="19"/>
      <c r="AM199" s="19"/>
      <c r="AN199" s="19"/>
      <c r="AO199" s="19"/>
      <c r="AP199" s="19"/>
    </row>
    <row r="200" spans="11:42" x14ac:dyDescent="0.2">
      <c r="K200" s="111"/>
      <c r="L200" s="111"/>
      <c r="M200" s="111"/>
      <c r="Q200" s="19"/>
      <c r="R200" s="19"/>
      <c r="S200" s="19"/>
      <c r="T200" s="19"/>
      <c r="U200" s="19"/>
      <c r="V200" s="111"/>
      <c r="W200" s="111"/>
      <c r="X200" s="111"/>
      <c r="Y200" s="111"/>
      <c r="Z200" s="111"/>
      <c r="AA200" s="111"/>
      <c r="AB200" s="111"/>
      <c r="AC200" s="111"/>
      <c r="AD200" s="112"/>
      <c r="AE200" s="111"/>
      <c r="AF200" s="111"/>
      <c r="AG200" s="19"/>
      <c r="AH200" s="74"/>
      <c r="AI200" s="74"/>
      <c r="AJ200" s="19"/>
      <c r="AK200" s="74"/>
      <c r="AL200" s="19"/>
      <c r="AM200" s="19"/>
      <c r="AN200" s="19"/>
      <c r="AO200" s="19"/>
      <c r="AP200" s="19"/>
    </row>
    <row r="201" spans="11:42" x14ac:dyDescent="0.2">
      <c r="K201" s="111"/>
      <c r="L201" s="111"/>
      <c r="M201" s="111"/>
      <c r="Q201" s="19"/>
      <c r="R201" s="19"/>
      <c r="S201" s="19"/>
      <c r="T201" s="19"/>
      <c r="U201" s="19"/>
      <c r="V201" s="111"/>
      <c r="W201" s="111"/>
      <c r="X201" s="111"/>
      <c r="Y201" s="111"/>
      <c r="Z201" s="111"/>
      <c r="AA201" s="111"/>
      <c r="AB201" s="111"/>
      <c r="AC201" s="111"/>
      <c r="AD201" s="112"/>
      <c r="AE201" s="111"/>
      <c r="AF201" s="111"/>
      <c r="AG201" s="19"/>
      <c r="AH201" s="74"/>
      <c r="AI201" s="74"/>
      <c r="AJ201" s="19"/>
      <c r="AK201" s="74"/>
      <c r="AL201" s="19"/>
      <c r="AM201" s="19"/>
      <c r="AN201" s="19"/>
      <c r="AO201" s="19"/>
      <c r="AP201" s="19"/>
    </row>
    <row r="202" spans="11:42" x14ac:dyDescent="0.2">
      <c r="K202" s="111"/>
      <c r="L202" s="111"/>
      <c r="M202" s="111"/>
      <c r="Q202" s="19"/>
      <c r="R202" s="19"/>
      <c r="S202" s="19"/>
      <c r="T202" s="19"/>
      <c r="U202" s="19"/>
      <c r="V202" s="111"/>
      <c r="W202" s="111"/>
      <c r="X202" s="111"/>
      <c r="Y202" s="111"/>
      <c r="Z202" s="111"/>
      <c r="AA202" s="111"/>
      <c r="AB202" s="111"/>
      <c r="AC202" s="111"/>
      <c r="AD202" s="112"/>
      <c r="AE202" s="111"/>
      <c r="AF202" s="111"/>
      <c r="AG202" s="19"/>
      <c r="AH202" s="74"/>
      <c r="AI202" s="74"/>
      <c r="AJ202" s="19"/>
      <c r="AK202" s="74"/>
      <c r="AL202" s="19"/>
      <c r="AM202" s="19"/>
      <c r="AN202" s="19"/>
      <c r="AO202" s="19"/>
      <c r="AP202" s="19"/>
    </row>
    <row r="203" spans="11:42" x14ac:dyDescent="0.2">
      <c r="K203" s="111"/>
      <c r="L203" s="111"/>
      <c r="M203" s="111"/>
      <c r="Q203" s="19"/>
      <c r="R203" s="19"/>
      <c r="S203" s="19"/>
      <c r="T203" s="19"/>
      <c r="U203" s="19"/>
      <c r="V203" s="111"/>
      <c r="W203" s="111"/>
      <c r="X203" s="111"/>
      <c r="Y203" s="111"/>
      <c r="Z203" s="111"/>
      <c r="AA203" s="111"/>
      <c r="AB203" s="111"/>
      <c r="AC203" s="111"/>
      <c r="AD203" s="112"/>
      <c r="AE203" s="111"/>
      <c r="AF203" s="111"/>
      <c r="AG203" s="19"/>
      <c r="AH203" s="74"/>
      <c r="AI203" s="74"/>
      <c r="AJ203" s="19"/>
      <c r="AK203" s="74"/>
      <c r="AL203" s="19"/>
      <c r="AM203" s="19"/>
      <c r="AN203" s="19"/>
      <c r="AO203" s="19"/>
      <c r="AP203" s="19"/>
    </row>
    <row r="204" spans="11:42" x14ac:dyDescent="0.2">
      <c r="K204" s="111"/>
      <c r="L204" s="111"/>
      <c r="M204" s="111"/>
      <c r="Q204" s="19"/>
      <c r="R204" s="19"/>
      <c r="S204" s="19"/>
      <c r="T204" s="19"/>
      <c r="U204" s="19"/>
      <c r="V204" s="111"/>
      <c r="W204" s="111"/>
      <c r="X204" s="111"/>
      <c r="Y204" s="111"/>
      <c r="Z204" s="111"/>
      <c r="AA204" s="111"/>
      <c r="AB204" s="111"/>
      <c r="AC204" s="111"/>
      <c r="AD204" s="112"/>
      <c r="AE204" s="111"/>
      <c r="AF204" s="111"/>
      <c r="AG204" s="19"/>
      <c r="AH204" s="74"/>
      <c r="AI204" s="74"/>
      <c r="AJ204" s="19"/>
      <c r="AK204" s="74"/>
      <c r="AL204" s="19"/>
      <c r="AM204" s="19"/>
      <c r="AN204" s="19"/>
      <c r="AO204" s="19"/>
      <c r="AP204" s="19"/>
    </row>
    <row r="205" spans="11:42" x14ac:dyDescent="0.2">
      <c r="K205" s="111"/>
      <c r="L205" s="111"/>
      <c r="M205" s="111"/>
      <c r="Q205" s="19"/>
      <c r="R205" s="19"/>
      <c r="S205" s="19"/>
      <c r="T205" s="19"/>
      <c r="U205" s="19"/>
      <c r="V205" s="111"/>
      <c r="W205" s="111"/>
      <c r="X205" s="111"/>
      <c r="Y205" s="111"/>
      <c r="Z205" s="111"/>
      <c r="AA205" s="111"/>
      <c r="AB205" s="111"/>
      <c r="AC205" s="111"/>
      <c r="AD205" s="112"/>
      <c r="AE205" s="111"/>
      <c r="AF205" s="111"/>
      <c r="AG205" s="19"/>
      <c r="AH205" s="74"/>
      <c r="AI205" s="74"/>
      <c r="AJ205" s="19"/>
      <c r="AK205" s="74"/>
      <c r="AL205" s="19"/>
      <c r="AM205" s="19"/>
      <c r="AN205" s="19"/>
      <c r="AO205" s="19"/>
      <c r="AP205" s="19"/>
    </row>
    <row r="206" spans="11:42" x14ac:dyDescent="0.2">
      <c r="K206" s="111"/>
      <c r="L206" s="111"/>
      <c r="M206" s="111"/>
      <c r="Q206" s="19"/>
      <c r="R206" s="19"/>
      <c r="S206" s="19"/>
      <c r="T206" s="19"/>
      <c r="U206" s="19"/>
      <c r="V206" s="111"/>
      <c r="W206" s="111"/>
      <c r="X206" s="111"/>
      <c r="Y206" s="111"/>
      <c r="Z206" s="111"/>
      <c r="AA206" s="111"/>
      <c r="AB206" s="111"/>
      <c r="AC206" s="111"/>
      <c r="AD206" s="112"/>
      <c r="AE206" s="111"/>
      <c r="AF206" s="111"/>
      <c r="AG206" s="19"/>
      <c r="AH206" s="74"/>
      <c r="AI206" s="74"/>
      <c r="AJ206" s="19"/>
      <c r="AK206" s="74"/>
      <c r="AL206" s="19"/>
      <c r="AM206" s="19"/>
      <c r="AN206" s="19"/>
      <c r="AO206" s="19"/>
      <c r="AP206" s="19"/>
    </row>
    <row r="207" spans="11:42" x14ac:dyDescent="0.2">
      <c r="K207" s="111"/>
      <c r="L207" s="111"/>
      <c r="M207" s="111"/>
      <c r="Q207" s="19"/>
      <c r="R207" s="19"/>
      <c r="S207" s="19"/>
      <c r="T207" s="19"/>
      <c r="U207" s="19"/>
      <c r="V207" s="111"/>
      <c r="W207" s="111"/>
      <c r="X207" s="111"/>
      <c r="Y207" s="111"/>
      <c r="Z207" s="111"/>
      <c r="AA207" s="111"/>
      <c r="AB207" s="111"/>
      <c r="AC207" s="111"/>
      <c r="AD207" s="112"/>
      <c r="AE207" s="111"/>
      <c r="AF207" s="111"/>
      <c r="AG207" s="19"/>
      <c r="AH207" s="74"/>
      <c r="AI207" s="74"/>
      <c r="AJ207" s="19"/>
      <c r="AK207" s="74"/>
      <c r="AL207" s="19"/>
      <c r="AM207" s="19"/>
      <c r="AN207" s="19"/>
      <c r="AO207" s="19"/>
      <c r="AP207" s="19"/>
    </row>
    <row r="208" spans="11:42" x14ac:dyDescent="0.2">
      <c r="K208" s="111"/>
      <c r="L208" s="111"/>
      <c r="M208" s="111"/>
      <c r="Q208" s="19"/>
      <c r="R208" s="19"/>
      <c r="S208" s="19"/>
      <c r="T208" s="19"/>
      <c r="U208" s="19"/>
      <c r="V208" s="111"/>
      <c r="W208" s="111"/>
      <c r="X208" s="111"/>
      <c r="Y208" s="111"/>
      <c r="Z208" s="111"/>
      <c r="AA208" s="111"/>
      <c r="AB208" s="111"/>
      <c r="AC208" s="111"/>
      <c r="AD208" s="112"/>
      <c r="AE208" s="111"/>
      <c r="AF208" s="111"/>
      <c r="AG208" s="19"/>
      <c r="AH208" s="74"/>
      <c r="AI208" s="74"/>
      <c r="AJ208" s="19"/>
      <c r="AK208" s="74"/>
      <c r="AL208" s="19"/>
      <c r="AM208" s="19"/>
      <c r="AN208" s="19"/>
      <c r="AO208" s="19"/>
      <c r="AP208" s="19"/>
    </row>
    <row r="209" spans="11:42" x14ac:dyDescent="0.2">
      <c r="K209" s="111"/>
      <c r="L209" s="111"/>
      <c r="M209" s="111"/>
      <c r="Q209" s="19"/>
      <c r="R209" s="19"/>
      <c r="S209" s="19"/>
      <c r="T209" s="19"/>
      <c r="U209" s="19"/>
      <c r="V209" s="111"/>
      <c r="W209" s="111"/>
      <c r="X209" s="111"/>
      <c r="Y209" s="111"/>
      <c r="Z209" s="111"/>
      <c r="AA209" s="111"/>
      <c r="AB209" s="111"/>
      <c r="AC209" s="111"/>
      <c r="AD209" s="112"/>
      <c r="AE209" s="111"/>
      <c r="AF209" s="111"/>
      <c r="AG209" s="19"/>
      <c r="AH209" s="74"/>
      <c r="AI209" s="74"/>
      <c r="AJ209" s="19"/>
      <c r="AK209" s="74"/>
      <c r="AL209" s="19"/>
      <c r="AM209" s="19"/>
      <c r="AN209" s="19"/>
      <c r="AO209" s="19"/>
      <c r="AP209" s="19"/>
    </row>
    <row r="210" spans="11:42" x14ac:dyDescent="0.2">
      <c r="K210" s="111"/>
      <c r="L210" s="111"/>
      <c r="M210" s="111"/>
      <c r="Q210" s="19"/>
      <c r="R210" s="19"/>
      <c r="S210" s="19"/>
      <c r="T210" s="19"/>
      <c r="U210" s="19"/>
      <c r="V210" s="111"/>
      <c r="W210" s="111"/>
      <c r="X210" s="111"/>
      <c r="Y210" s="111"/>
      <c r="Z210" s="111"/>
      <c r="AA210" s="111"/>
      <c r="AB210" s="111"/>
      <c r="AC210" s="111"/>
      <c r="AD210" s="112"/>
      <c r="AE210" s="111"/>
      <c r="AF210" s="111"/>
      <c r="AG210" s="19"/>
      <c r="AH210" s="74"/>
      <c r="AI210" s="74"/>
      <c r="AJ210" s="19"/>
      <c r="AK210" s="74"/>
      <c r="AL210" s="19"/>
      <c r="AM210" s="19"/>
      <c r="AN210" s="19"/>
      <c r="AO210" s="19"/>
      <c r="AP210" s="19"/>
    </row>
    <row r="211" spans="11:42" x14ac:dyDescent="0.2">
      <c r="K211" s="111"/>
      <c r="L211" s="111"/>
      <c r="M211" s="111"/>
      <c r="Q211" s="19"/>
      <c r="R211" s="19"/>
      <c r="S211" s="19"/>
      <c r="T211" s="19"/>
      <c r="U211" s="19"/>
      <c r="V211" s="111"/>
      <c r="W211" s="111"/>
      <c r="X211" s="111"/>
      <c r="Y211" s="111"/>
      <c r="Z211" s="111"/>
      <c r="AA211" s="111"/>
      <c r="AB211" s="111"/>
      <c r="AC211" s="111"/>
      <c r="AD211" s="112"/>
      <c r="AE211" s="111"/>
      <c r="AF211" s="111"/>
      <c r="AG211" s="19"/>
      <c r="AH211" s="74"/>
      <c r="AI211" s="74"/>
      <c r="AJ211" s="19"/>
      <c r="AK211" s="74"/>
      <c r="AL211" s="19"/>
      <c r="AM211" s="19"/>
      <c r="AN211" s="19"/>
      <c r="AO211" s="19"/>
      <c r="AP211" s="19"/>
    </row>
    <row r="212" spans="11:42" x14ac:dyDescent="0.2">
      <c r="K212" s="111"/>
      <c r="L212" s="111"/>
      <c r="M212" s="111"/>
      <c r="Q212" s="19"/>
      <c r="R212" s="19"/>
      <c r="S212" s="19"/>
      <c r="T212" s="19"/>
      <c r="U212" s="19"/>
      <c r="V212" s="111"/>
      <c r="W212" s="111"/>
      <c r="X212" s="111"/>
      <c r="Y212" s="111"/>
      <c r="Z212" s="111"/>
      <c r="AA212" s="111"/>
      <c r="AB212" s="111"/>
      <c r="AC212" s="111"/>
      <c r="AD212" s="112"/>
      <c r="AE212" s="111"/>
      <c r="AF212" s="111"/>
      <c r="AG212" s="19"/>
      <c r="AH212" s="74"/>
      <c r="AI212" s="74"/>
      <c r="AJ212" s="19"/>
      <c r="AK212" s="74"/>
      <c r="AL212" s="19"/>
      <c r="AM212" s="19"/>
      <c r="AN212" s="19"/>
      <c r="AO212" s="19"/>
      <c r="AP212" s="19"/>
    </row>
    <row r="213" spans="11:42" x14ac:dyDescent="0.2">
      <c r="K213" s="111"/>
      <c r="L213" s="111"/>
      <c r="M213" s="111"/>
      <c r="Q213" s="19"/>
      <c r="R213" s="19"/>
      <c r="S213" s="19"/>
      <c r="T213" s="19"/>
      <c r="U213" s="19"/>
      <c r="V213" s="111"/>
      <c r="W213" s="111"/>
      <c r="X213" s="111"/>
      <c r="Y213" s="111"/>
      <c r="Z213" s="111"/>
      <c r="AA213" s="111"/>
      <c r="AB213" s="111"/>
      <c r="AC213" s="111"/>
      <c r="AD213" s="112"/>
      <c r="AE213" s="111"/>
      <c r="AF213" s="111"/>
      <c r="AG213" s="19"/>
      <c r="AH213" s="74"/>
      <c r="AI213" s="74"/>
      <c r="AJ213" s="19"/>
      <c r="AK213" s="74"/>
      <c r="AL213" s="19"/>
      <c r="AM213" s="19"/>
      <c r="AN213" s="19"/>
      <c r="AO213" s="19"/>
      <c r="AP213" s="19"/>
    </row>
    <row r="214" spans="11:42" x14ac:dyDescent="0.2">
      <c r="K214" s="111"/>
      <c r="L214" s="111"/>
      <c r="M214" s="111"/>
      <c r="Q214" s="19"/>
      <c r="R214" s="19"/>
      <c r="S214" s="19"/>
      <c r="T214" s="19"/>
      <c r="U214" s="19"/>
      <c r="V214" s="111"/>
      <c r="W214" s="111"/>
      <c r="X214" s="111"/>
      <c r="Y214" s="111"/>
      <c r="Z214" s="111"/>
      <c r="AA214" s="111"/>
      <c r="AB214" s="111"/>
      <c r="AC214" s="111"/>
      <c r="AD214" s="112"/>
      <c r="AE214" s="111"/>
      <c r="AF214" s="111"/>
      <c r="AG214" s="19"/>
      <c r="AH214" s="74"/>
      <c r="AI214" s="74"/>
      <c r="AJ214" s="19"/>
      <c r="AK214" s="74"/>
      <c r="AL214" s="19"/>
      <c r="AM214" s="19"/>
      <c r="AN214" s="19"/>
      <c r="AO214" s="19"/>
      <c r="AP214" s="19"/>
    </row>
    <row r="215" spans="11:42" x14ac:dyDescent="0.2">
      <c r="K215" s="111"/>
      <c r="L215" s="111"/>
      <c r="M215" s="111"/>
      <c r="Q215" s="19"/>
      <c r="R215" s="19"/>
      <c r="S215" s="19"/>
      <c r="T215" s="19"/>
      <c r="U215" s="19"/>
      <c r="V215" s="111"/>
      <c r="W215" s="111"/>
      <c r="X215" s="111"/>
      <c r="Y215" s="111"/>
      <c r="Z215" s="111"/>
      <c r="AA215" s="111"/>
      <c r="AB215" s="111"/>
      <c r="AC215" s="111"/>
      <c r="AD215" s="112"/>
      <c r="AE215" s="111"/>
      <c r="AF215" s="111"/>
      <c r="AG215" s="19"/>
      <c r="AH215" s="74"/>
      <c r="AI215" s="74"/>
      <c r="AJ215" s="19"/>
      <c r="AK215" s="74"/>
      <c r="AL215" s="19"/>
      <c r="AM215" s="19"/>
      <c r="AN215" s="19"/>
      <c r="AO215" s="19"/>
      <c r="AP215" s="19"/>
    </row>
    <row r="216" spans="11:42" x14ac:dyDescent="0.2">
      <c r="K216" s="111"/>
      <c r="L216" s="111"/>
      <c r="M216" s="111"/>
      <c r="Q216" s="19"/>
      <c r="R216" s="19"/>
      <c r="S216" s="19"/>
      <c r="T216" s="19"/>
      <c r="U216" s="19"/>
      <c r="V216" s="111"/>
      <c r="W216" s="111"/>
      <c r="X216" s="111"/>
      <c r="Y216" s="111"/>
      <c r="Z216" s="111"/>
      <c r="AA216" s="111"/>
      <c r="AB216" s="111"/>
      <c r="AC216" s="111"/>
      <c r="AD216" s="112"/>
      <c r="AE216" s="111"/>
      <c r="AF216" s="111"/>
      <c r="AG216" s="19"/>
      <c r="AH216" s="74"/>
      <c r="AI216" s="74"/>
      <c r="AJ216" s="19"/>
      <c r="AK216" s="74"/>
      <c r="AL216" s="19"/>
      <c r="AM216" s="19"/>
      <c r="AN216" s="19"/>
      <c r="AO216" s="19"/>
      <c r="AP216" s="19"/>
    </row>
    <row r="217" spans="11:42" x14ac:dyDescent="0.2">
      <c r="K217" s="111"/>
      <c r="L217" s="111"/>
      <c r="M217" s="111"/>
      <c r="Q217" s="19"/>
      <c r="R217" s="19"/>
      <c r="S217" s="19"/>
      <c r="T217" s="19"/>
      <c r="U217" s="19"/>
      <c r="V217" s="111"/>
      <c r="W217" s="111"/>
      <c r="X217" s="111"/>
      <c r="Y217" s="111"/>
      <c r="Z217" s="111"/>
      <c r="AA217" s="111"/>
      <c r="AB217" s="111"/>
      <c r="AC217" s="111"/>
      <c r="AD217" s="112"/>
      <c r="AE217" s="111"/>
      <c r="AF217" s="111"/>
      <c r="AG217" s="19"/>
      <c r="AH217" s="74"/>
      <c r="AI217" s="74"/>
      <c r="AJ217" s="19"/>
      <c r="AK217" s="74"/>
      <c r="AL217" s="19"/>
      <c r="AM217" s="19"/>
      <c r="AN217" s="19"/>
      <c r="AO217" s="19"/>
      <c r="AP217" s="19"/>
    </row>
    <row r="218" spans="11:42" x14ac:dyDescent="0.2">
      <c r="K218" s="111"/>
      <c r="L218" s="111"/>
      <c r="M218" s="111"/>
      <c r="Q218" s="19"/>
      <c r="R218" s="19"/>
      <c r="S218" s="19"/>
      <c r="T218" s="19"/>
      <c r="U218" s="19"/>
      <c r="V218" s="111"/>
      <c r="W218" s="111"/>
      <c r="X218" s="111"/>
      <c r="Y218" s="111"/>
      <c r="Z218" s="111"/>
      <c r="AA218" s="111"/>
      <c r="AB218" s="111"/>
      <c r="AC218" s="111"/>
      <c r="AD218" s="112"/>
      <c r="AE218" s="111"/>
      <c r="AF218" s="111"/>
      <c r="AG218" s="19"/>
      <c r="AH218" s="74"/>
      <c r="AI218" s="74"/>
      <c r="AJ218" s="19"/>
      <c r="AK218" s="74"/>
      <c r="AL218" s="19"/>
      <c r="AM218" s="19"/>
      <c r="AN218" s="19"/>
      <c r="AO218" s="19"/>
      <c r="AP218" s="19"/>
    </row>
    <row r="219" spans="11:42" x14ac:dyDescent="0.2">
      <c r="K219" s="111"/>
      <c r="L219" s="111"/>
      <c r="M219" s="111"/>
      <c r="Q219" s="19"/>
      <c r="R219" s="19"/>
      <c r="S219" s="19"/>
      <c r="T219" s="19"/>
      <c r="U219" s="19"/>
      <c r="V219" s="111"/>
      <c r="W219" s="111"/>
      <c r="X219" s="111"/>
      <c r="Y219" s="111"/>
      <c r="Z219" s="111"/>
      <c r="AA219" s="111"/>
      <c r="AB219" s="111"/>
      <c r="AC219" s="111"/>
      <c r="AD219" s="112"/>
      <c r="AE219" s="111"/>
      <c r="AF219" s="111"/>
      <c r="AG219" s="19"/>
      <c r="AH219" s="74"/>
      <c r="AI219" s="74"/>
      <c r="AJ219" s="19"/>
      <c r="AK219" s="74"/>
      <c r="AL219" s="19"/>
      <c r="AM219" s="19"/>
      <c r="AN219" s="19"/>
      <c r="AO219" s="19"/>
      <c r="AP219" s="19"/>
    </row>
    <row r="220" spans="11:42" x14ac:dyDescent="0.2">
      <c r="K220" s="111"/>
      <c r="L220" s="111"/>
      <c r="M220" s="111"/>
      <c r="Q220" s="19"/>
      <c r="R220" s="19"/>
      <c r="S220" s="19"/>
      <c r="T220" s="19"/>
      <c r="U220" s="19"/>
      <c r="V220" s="111"/>
      <c r="W220" s="111"/>
      <c r="X220" s="111"/>
      <c r="Y220" s="111"/>
      <c r="Z220" s="111"/>
      <c r="AA220" s="111"/>
      <c r="AB220" s="111"/>
      <c r="AC220" s="111"/>
      <c r="AD220" s="112"/>
      <c r="AE220" s="111"/>
      <c r="AF220" s="111"/>
      <c r="AG220" s="19"/>
      <c r="AH220" s="74"/>
      <c r="AI220" s="74"/>
      <c r="AJ220" s="19"/>
      <c r="AK220" s="74"/>
      <c r="AL220" s="19"/>
      <c r="AM220" s="19"/>
      <c r="AN220" s="19"/>
      <c r="AO220" s="19"/>
      <c r="AP220" s="19"/>
    </row>
    <row r="221" spans="11:42" x14ac:dyDescent="0.2">
      <c r="K221" s="111"/>
      <c r="L221" s="111"/>
      <c r="M221" s="111"/>
      <c r="Q221" s="19"/>
      <c r="R221" s="19"/>
      <c r="S221" s="19"/>
      <c r="T221" s="19"/>
      <c r="U221" s="19"/>
      <c r="V221" s="111"/>
      <c r="W221" s="111"/>
      <c r="X221" s="111"/>
      <c r="Y221" s="111"/>
      <c r="Z221" s="111"/>
      <c r="AA221" s="111"/>
      <c r="AB221" s="111"/>
      <c r="AC221" s="111"/>
      <c r="AD221" s="112"/>
      <c r="AE221" s="111"/>
      <c r="AF221" s="111"/>
      <c r="AG221" s="19"/>
      <c r="AH221" s="74"/>
      <c r="AI221" s="74"/>
      <c r="AJ221" s="19"/>
      <c r="AK221" s="74"/>
      <c r="AL221" s="19"/>
      <c r="AM221" s="19"/>
      <c r="AN221" s="19"/>
      <c r="AO221" s="19"/>
      <c r="AP221" s="19"/>
    </row>
    <row r="222" spans="11:42" x14ac:dyDescent="0.2">
      <c r="K222" s="111"/>
      <c r="L222" s="111"/>
      <c r="M222" s="111"/>
      <c r="Q222" s="19"/>
      <c r="R222" s="19"/>
      <c r="S222" s="19"/>
      <c r="T222" s="19"/>
      <c r="U222" s="19"/>
      <c r="V222" s="111"/>
      <c r="W222" s="111"/>
      <c r="X222" s="111"/>
      <c r="Y222" s="111"/>
      <c r="Z222" s="111"/>
      <c r="AA222" s="111"/>
      <c r="AB222" s="111"/>
      <c r="AC222" s="111"/>
      <c r="AD222" s="112"/>
      <c r="AE222" s="111"/>
      <c r="AF222" s="111"/>
      <c r="AG222" s="19"/>
      <c r="AH222" s="74"/>
      <c r="AI222" s="74"/>
      <c r="AJ222" s="19"/>
      <c r="AK222" s="74"/>
      <c r="AL222" s="19"/>
      <c r="AM222" s="19"/>
      <c r="AN222" s="19"/>
      <c r="AO222" s="19"/>
      <c r="AP222" s="19"/>
    </row>
    <row r="223" spans="11:42" x14ac:dyDescent="0.2">
      <c r="K223" s="111"/>
      <c r="L223" s="111"/>
      <c r="M223" s="111"/>
      <c r="Q223" s="19"/>
      <c r="R223" s="19"/>
      <c r="S223" s="19"/>
      <c r="T223" s="19"/>
      <c r="U223" s="19"/>
      <c r="V223" s="111"/>
      <c r="W223" s="111"/>
      <c r="X223" s="111"/>
      <c r="Y223" s="111"/>
      <c r="Z223" s="111"/>
      <c r="AA223" s="111"/>
      <c r="AB223" s="111"/>
      <c r="AC223" s="111"/>
      <c r="AD223" s="112"/>
      <c r="AE223" s="111"/>
      <c r="AF223" s="111"/>
      <c r="AG223" s="19"/>
      <c r="AH223" s="74"/>
      <c r="AI223" s="74"/>
      <c r="AJ223" s="19"/>
      <c r="AK223" s="74"/>
      <c r="AL223" s="19"/>
      <c r="AM223" s="19"/>
      <c r="AN223" s="19"/>
      <c r="AO223" s="19"/>
      <c r="AP223" s="19"/>
    </row>
    <row r="224" spans="11:42" x14ac:dyDescent="0.2">
      <c r="K224" s="111"/>
      <c r="L224" s="111"/>
      <c r="M224" s="111"/>
      <c r="Q224" s="19"/>
      <c r="R224" s="19"/>
      <c r="S224" s="19"/>
      <c r="T224" s="19"/>
      <c r="U224" s="19"/>
      <c r="V224" s="111"/>
      <c r="W224" s="111"/>
      <c r="X224" s="111"/>
      <c r="Y224" s="111"/>
      <c r="Z224" s="111"/>
      <c r="AA224" s="111"/>
      <c r="AB224" s="111"/>
      <c r="AC224" s="111"/>
      <c r="AD224" s="112"/>
      <c r="AE224" s="111"/>
      <c r="AF224" s="111"/>
      <c r="AG224" s="19"/>
      <c r="AH224" s="74"/>
      <c r="AI224" s="74"/>
      <c r="AJ224" s="19"/>
      <c r="AK224" s="74"/>
      <c r="AL224" s="19"/>
      <c r="AM224" s="19"/>
      <c r="AN224" s="19"/>
      <c r="AO224" s="19"/>
      <c r="AP224" s="19"/>
    </row>
    <row r="225" spans="11:42" x14ac:dyDescent="0.2">
      <c r="K225" s="111"/>
      <c r="L225" s="111"/>
      <c r="M225" s="111"/>
      <c r="Q225" s="19"/>
      <c r="R225" s="19"/>
      <c r="S225" s="19"/>
      <c r="T225" s="19"/>
      <c r="U225" s="19"/>
      <c r="V225" s="111"/>
      <c r="W225" s="111"/>
      <c r="X225" s="111"/>
      <c r="Y225" s="111"/>
      <c r="Z225" s="111"/>
      <c r="AA225" s="111"/>
      <c r="AB225" s="111"/>
      <c r="AC225" s="111"/>
      <c r="AD225" s="112"/>
      <c r="AE225" s="111"/>
      <c r="AF225" s="111"/>
      <c r="AG225" s="19"/>
      <c r="AH225" s="74"/>
      <c r="AI225" s="74"/>
      <c r="AJ225" s="19"/>
      <c r="AK225" s="74"/>
      <c r="AL225" s="19"/>
      <c r="AM225" s="19"/>
      <c r="AN225" s="19"/>
      <c r="AO225" s="19"/>
      <c r="AP225" s="19"/>
    </row>
    <row r="226" spans="11:42" x14ac:dyDescent="0.2">
      <c r="K226" s="111"/>
      <c r="L226" s="111"/>
      <c r="M226" s="111"/>
      <c r="Q226" s="19"/>
      <c r="R226" s="19"/>
      <c r="S226" s="19"/>
      <c r="T226" s="19"/>
      <c r="U226" s="19"/>
      <c r="V226" s="111"/>
      <c r="W226" s="111"/>
      <c r="X226" s="111"/>
      <c r="Y226" s="111"/>
      <c r="Z226" s="111"/>
      <c r="AA226" s="111"/>
      <c r="AB226" s="111"/>
      <c r="AC226" s="111"/>
      <c r="AD226" s="112"/>
      <c r="AE226" s="111"/>
      <c r="AF226" s="111"/>
      <c r="AG226" s="19"/>
      <c r="AH226" s="74"/>
      <c r="AI226" s="74"/>
      <c r="AJ226" s="19"/>
      <c r="AK226" s="74"/>
      <c r="AL226" s="19"/>
      <c r="AM226" s="19"/>
      <c r="AN226" s="19"/>
      <c r="AO226" s="19"/>
      <c r="AP226" s="19"/>
    </row>
    <row r="227" spans="11:42" x14ac:dyDescent="0.2">
      <c r="K227" s="111"/>
      <c r="L227" s="111"/>
      <c r="M227" s="111"/>
      <c r="Q227" s="19"/>
      <c r="R227" s="19"/>
      <c r="S227" s="19"/>
      <c r="T227" s="19"/>
      <c r="U227" s="19"/>
      <c r="V227" s="111"/>
      <c r="W227" s="111"/>
      <c r="X227" s="111"/>
      <c r="Y227" s="111"/>
      <c r="Z227" s="111"/>
      <c r="AA227" s="111"/>
      <c r="AB227" s="111"/>
      <c r="AC227" s="111"/>
      <c r="AD227" s="112"/>
      <c r="AE227" s="111"/>
      <c r="AF227" s="111"/>
      <c r="AG227" s="19"/>
      <c r="AH227" s="74"/>
      <c r="AI227" s="74"/>
      <c r="AJ227" s="19"/>
      <c r="AK227" s="74"/>
      <c r="AL227" s="19"/>
      <c r="AM227" s="19"/>
      <c r="AN227" s="19"/>
      <c r="AO227" s="19"/>
      <c r="AP227" s="19"/>
    </row>
    <row r="228" spans="11:42" x14ac:dyDescent="0.2">
      <c r="K228" s="111"/>
      <c r="L228" s="111"/>
      <c r="M228" s="111"/>
      <c r="Q228" s="19"/>
      <c r="R228" s="19"/>
      <c r="S228" s="19"/>
      <c r="T228" s="19"/>
      <c r="U228" s="19"/>
      <c r="V228" s="111"/>
      <c r="W228" s="111"/>
      <c r="X228" s="111"/>
      <c r="Y228" s="111"/>
      <c r="Z228" s="111"/>
      <c r="AA228" s="111"/>
      <c r="AB228" s="111"/>
      <c r="AC228" s="111"/>
      <c r="AD228" s="112"/>
      <c r="AE228" s="111"/>
      <c r="AF228" s="111"/>
      <c r="AG228" s="19"/>
      <c r="AH228" s="74"/>
      <c r="AI228" s="74"/>
      <c r="AJ228" s="19"/>
      <c r="AK228" s="74"/>
      <c r="AL228" s="19"/>
      <c r="AM228" s="19"/>
      <c r="AN228" s="19"/>
      <c r="AO228" s="19"/>
      <c r="AP228" s="19"/>
    </row>
    <row r="229" spans="11:42" x14ac:dyDescent="0.2">
      <c r="K229" s="111"/>
      <c r="L229" s="111"/>
      <c r="M229" s="111"/>
      <c r="Q229" s="19"/>
      <c r="R229" s="19"/>
      <c r="S229" s="19"/>
      <c r="T229" s="19"/>
      <c r="U229" s="19"/>
      <c r="V229" s="111"/>
      <c r="W229" s="111"/>
      <c r="X229" s="111"/>
      <c r="Y229" s="111"/>
      <c r="Z229" s="111"/>
      <c r="AA229" s="111"/>
      <c r="AB229" s="111"/>
      <c r="AC229" s="111"/>
      <c r="AD229" s="112"/>
      <c r="AE229" s="111"/>
      <c r="AF229" s="111"/>
      <c r="AG229" s="19"/>
      <c r="AH229" s="74"/>
      <c r="AI229" s="74"/>
      <c r="AJ229" s="19"/>
      <c r="AK229" s="74"/>
      <c r="AL229" s="19"/>
      <c r="AM229" s="19"/>
      <c r="AN229" s="19"/>
      <c r="AO229" s="19"/>
      <c r="AP229" s="19"/>
    </row>
    <row r="230" spans="11:42" x14ac:dyDescent="0.2">
      <c r="K230" s="111"/>
      <c r="L230" s="111"/>
      <c r="M230" s="111"/>
      <c r="Q230" s="19"/>
      <c r="R230" s="19"/>
      <c r="S230" s="19"/>
      <c r="T230" s="19"/>
      <c r="U230" s="19"/>
      <c r="V230" s="111"/>
      <c r="W230" s="111"/>
      <c r="X230" s="111"/>
      <c r="Y230" s="111"/>
      <c r="Z230" s="111"/>
      <c r="AA230" s="111"/>
      <c r="AB230" s="111"/>
      <c r="AC230" s="111"/>
      <c r="AD230" s="112"/>
      <c r="AE230" s="111"/>
      <c r="AF230" s="111"/>
      <c r="AG230" s="19"/>
      <c r="AH230" s="74"/>
      <c r="AI230" s="74"/>
      <c r="AJ230" s="19"/>
      <c r="AK230" s="74"/>
      <c r="AL230" s="19"/>
      <c r="AM230" s="19"/>
      <c r="AN230" s="19"/>
      <c r="AO230" s="19"/>
      <c r="AP230" s="19"/>
    </row>
    <row r="231" spans="11:42" x14ac:dyDescent="0.2">
      <c r="K231" s="111"/>
      <c r="L231" s="111"/>
      <c r="M231" s="111"/>
      <c r="Q231" s="19"/>
      <c r="R231" s="19"/>
      <c r="S231" s="19"/>
      <c r="T231" s="19"/>
      <c r="U231" s="19"/>
      <c r="V231" s="111"/>
      <c r="W231" s="111"/>
      <c r="X231" s="111"/>
      <c r="Y231" s="111"/>
      <c r="Z231" s="111"/>
      <c r="AA231" s="111"/>
      <c r="AB231" s="111"/>
      <c r="AC231" s="111"/>
      <c r="AD231" s="112"/>
      <c r="AE231" s="111"/>
      <c r="AF231" s="111"/>
      <c r="AG231" s="19"/>
      <c r="AH231" s="74"/>
      <c r="AI231" s="74"/>
      <c r="AJ231" s="19"/>
      <c r="AK231" s="74"/>
      <c r="AL231" s="19"/>
      <c r="AM231" s="19"/>
      <c r="AN231" s="19"/>
      <c r="AO231" s="19"/>
      <c r="AP231" s="19"/>
    </row>
    <row r="232" spans="11:42" x14ac:dyDescent="0.2">
      <c r="K232" s="111"/>
      <c r="L232" s="111"/>
      <c r="M232" s="111"/>
      <c r="Q232" s="19"/>
      <c r="R232" s="19"/>
      <c r="S232" s="19"/>
      <c r="T232" s="19"/>
      <c r="U232" s="19"/>
      <c r="V232" s="111"/>
      <c r="W232" s="111"/>
      <c r="X232" s="111"/>
      <c r="Y232" s="111"/>
      <c r="Z232" s="111"/>
      <c r="AA232" s="111"/>
      <c r="AB232" s="111"/>
      <c r="AC232" s="111"/>
      <c r="AD232" s="112"/>
      <c r="AE232" s="111"/>
      <c r="AF232" s="111"/>
      <c r="AG232" s="19"/>
      <c r="AH232" s="74"/>
      <c r="AI232" s="74"/>
      <c r="AJ232" s="19"/>
      <c r="AK232" s="74"/>
      <c r="AL232" s="19"/>
      <c r="AM232" s="19"/>
      <c r="AN232" s="19"/>
      <c r="AO232" s="19"/>
      <c r="AP232" s="19"/>
    </row>
    <row r="233" spans="11:42" x14ac:dyDescent="0.2">
      <c r="K233" s="111"/>
      <c r="L233" s="111"/>
      <c r="M233" s="111"/>
      <c r="Q233" s="19"/>
      <c r="R233" s="19"/>
      <c r="S233" s="19"/>
      <c r="T233" s="19"/>
      <c r="U233" s="19"/>
      <c r="V233" s="111"/>
      <c r="W233" s="111"/>
      <c r="X233" s="111"/>
      <c r="Y233" s="111"/>
      <c r="Z233" s="111"/>
      <c r="AA233" s="111"/>
      <c r="AB233" s="111"/>
      <c r="AC233" s="111"/>
      <c r="AD233" s="112"/>
      <c r="AE233" s="111"/>
      <c r="AF233" s="111"/>
      <c r="AG233" s="19"/>
      <c r="AH233" s="74"/>
      <c r="AI233" s="74"/>
      <c r="AJ233" s="19"/>
      <c r="AK233" s="74"/>
      <c r="AL233" s="19"/>
      <c r="AM233" s="19"/>
      <c r="AN233" s="19"/>
      <c r="AO233" s="19"/>
      <c r="AP233" s="19"/>
    </row>
    <row r="234" spans="11:42" x14ac:dyDescent="0.2">
      <c r="K234" s="111"/>
      <c r="L234" s="111"/>
      <c r="M234" s="111"/>
      <c r="Q234" s="19"/>
      <c r="R234" s="19"/>
      <c r="S234" s="19"/>
      <c r="T234" s="19"/>
      <c r="U234" s="19"/>
      <c r="V234" s="111"/>
      <c r="W234" s="111"/>
      <c r="X234" s="111"/>
      <c r="Y234" s="111"/>
      <c r="Z234" s="111"/>
      <c r="AA234" s="111"/>
      <c r="AB234" s="111"/>
      <c r="AC234" s="111"/>
      <c r="AD234" s="112"/>
      <c r="AE234" s="111"/>
      <c r="AF234" s="111"/>
      <c r="AG234" s="19"/>
      <c r="AH234" s="74"/>
      <c r="AI234" s="74"/>
      <c r="AJ234" s="19"/>
      <c r="AK234" s="74"/>
      <c r="AL234" s="19"/>
      <c r="AM234" s="19"/>
      <c r="AN234" s="19"/>
      <c r="AO234" s="19"/>
      <c r="AP234" s="19"/>
    </row>
    <row r="235" spans="11:42" x14ac:dyDescent="0.2">
      <c r="K235" s="111"/>
      <c r="L235" s="111"/>
      <c r="M235" s="111"/>
      <c r="Q235" s="19"/>
      <c r="R235" s="19"/>
      <c r="S235" s="19"/>
      <c r="T235" s="19"/>
      <c r="U235" s="19"/>
      <c r="V235" s="111"/>
      <c r="W235" s="111"/>
      <c r="X235" s="111"/>
      <c r="Y235" s="111"/>
      <c r="Z235" s="111"/>
      <c r="AA235" s="111"/>
      <c r="AB235" s="111"/>
      <c r="AC235" s="111"/>
      <c r="AD235" s="112"/>
      <c r="AE235" s="111"/>
      <c r="AF235" s="111"/>
      <c r="AG235" s="19"/>
      <c r="AH235" s="74"/>
      <c r="AI235" s="74"/>
      <c r="AJ235" s="19"/>
      <c r="AK235" s="74"/>
      <c r="AL235" s="19"/>
      <c r="AM235" s="19"/>
      <c r="AN235" s="19"/>
      <c r="AO235" s="19"/>
      <c r="AP235" s="19"/>
    </row>
    <row r="236" spans="11:42" x14ac:dyDescent="0.2">
      <c r="K236" s="111"/>
      <c r="L236" s="111"/>
      <c r="M236" s="111"/>
      <c r="Q236" s="19"/>
      <c r="R236" s="19"/>
      <c r="S236" s="19"/>
      <c r="T236" s="19"/>
      <c r="U236" s="19"/>
      <c r="V236" s="111"/>
      <c r="W236" s="111"/>
      <c r="X236" s="111"/>
      <c r="Y236" s="111"/>
      <c r="Z236" s="111"/>
      <c r="AA236" s="111"/>
      <c r="AB236" s="111"/>
      <c r="AC236" s="111"/>
      <c r="AD236" s="112"/>
      <c r="AE236" s="111"/>
      <c r="AF236" s="111"/>
      <c r="AG236" s="19"/>
      <c r="AH236" s="74"/>
      <c r="AI236" s="74"/>
      <c r="AJ236" s="19"/>
      <c r="AK236" s="74"/>
      <c r="AL236" s="19"/>
      <c r="AM236" s="19"/>
      <c r="AN236" s="19"/>
      <c r="AO236" s="19"/>
      <c r="AP236" s="19"/>
    </row>
    <row r="237" spans="11:42" x14ac:dyDescent="0.2">
      <c r="K237" s="111"/>
      <c r="L237" s="111"/>
      <c r="M237" s="111"/>
      <c r="Q237" s="19"/>
      <c r="R237" s="19"/>
      <c r="S237" s="19"/>
      <c r="T237" s="19"/>
      <c r="U237" s="19"/>
      <c r="V237" s="111"/>
      <c r="W237" s="111"/>
      <c r="X237" s="111"/>
      <c r="Y237" s="111"/>
      <c r="Z237" s="111"/>
      <c r="AA237" s="111"/>
      <c r="AB237" s="111"/>
      <c r="AC237" s="111"/>
      <c r="AD237" s="112"/>
      <c r="AE237" s="111"/>
      <c r="AF237" s="111"/>
      <c r="AG237" s="19"/>
      <c r="AH237" s="74"/>
      <c r="AI237" s="74"/>
      <c r="AJ237" s="19"/>
      <c r="AK237" s="74"/>
      <c r="AL237" s="19"/>
      <c r="AM237" s="19"/>
      <c r="AN237" s="19"/>
      <c r="AO237" s="19"/>
      <c r="AP237" s="19"/>
    </row>
    <row r="238" spans="11:42" x14ac:dyDescent="0.2">
      <c r="K238" s="111"/>
      <c r="L238" s="111"/>
      <c r="M238" s="111"/>
      <c r="Q238" s="19"/>
      <c r="R238" s="19"/>
      <c r="S238" s="19"/>
      <c r="T238" s="19"/>
      <c r="U238" s="19"/>
      <c r="V238" s="111"/>
      <c r="W238" s="111"/>
      <c r="X238" s="111"/>
      <c r="Y238" s="111"/>
      <c r="Z238" s="111"/>
      <c r="AA238" s="111"/>
      <c r="AB238" s="111"/>
      <c r="AC238" s="111"/>
      <c r="AD238" s="112"/>
      <c r="AE238" s="111"/>
      <c r="AF238" s="111"/>
      <c r="AG238" s="19"/>
      <c r="AH238" s="74"/>
      <c r="AI238" s="74"/>
      <c r="AJ238" s="19"/>
      <c r="AK238" s="74"/>
      <c r="AL238" s="19"/>
      <c r="AM238" s="19"/>
      <c r="AN238" s="19"/>
      <c r="AO238" s="19"/>
      <c r="AP238" s="19"/>
    </row>
    <row r="239" spans="11:42" x14ac:dyDescent="0.2">
      <c r="K239" s="111"/>
      <c r="L239" s="111"/>
      <c r="M239" s="111"/>
      <c r="Q239" s="19"/>
      <c r="R239" s="19"/>
      <c r="S239" s="19"/>
      <c r="T239" s="19"/>
      <c r="U239" s="19"/>
      <c r="V239" s="111"/>
      <c r="W239" s="111"/>
      <c r="X239" s="111"/>
      <c r="Y239" s="111"/>
      <c r="Z239" s="111"/>
      <c r="AA239" s="111"/>
      <c r="AB239" s="111"/>
      <c r="AC239" s="111"/>
      <c r="AD239" s="112"/>
      <c r="AE239" s="111"/>
      <c r="AF239" s="111"/>
      <c r="AG239" s="19"/>
      <c r="AH239" s="74"/>
      <c r="AI239" s="74"/>
      <c r="AJ239" s="19"/>
      <c r="AK239" s="74"/>
      <c r="AL239" s="19"/>
      <c r="AM239" s="19"/>
      <c r="AN239" s="19"/>
      <c r="AO239" s="19"/>
      <c r="AP239" s="19"/>
    </row>
    <row r="240" spans="11:42" x14ac:dyDescent="0.2">
      <c r="K240" s="111"/>
      <c r="L240" s="111"/>
      <c r="M240" s="111"/>
      <c r="Q240" s="19"/>
      <c r="R240" s="19"/>
      <c r="S240" s="19"/>
      <c r="T240" s="19"/>
      <c r="U240" s="19"/>
      <c r="V240" s="111"/>
      <c r="W240" s="111"/>
      <c r="X240" s="111"/>
      <c r="Y240" s="111"/>
      <c r="Z240" s="111"/>
      <c r="AA240" s="111"/>
      <c r="AB240" s="111"/>
      <c r="AC240" s="111"/>
      <c r="AD240" s="112"/>
      <c r="AE240" s="111"/>
      <c r="AF240" s="111"/>
      <c r="AG240" s="19"/>
      <c r="AH240" s="74"/>
      <c r="AI240" s="74"/>
      <c r="AJ240" s="19"/>
      <c r="AK240" s="74"/>
      <c r="AL240" s="19"/>
      <c r="AM240" s="19"/>
      <c r="AN240" s="19"/>
      <c r="AO240" s="19"/>
      <c r="AP240" s="19"/>
    </row>
    <row r="241" spans="11:42" x14ac:dyDescent="0.2">
      <c r="K241" s="111"/>
      <c r="L241" s="111"/>
      <c r="M241" s="111"/>
      <c r="Q241" s="19"/>
      <c r="R241" s="19"/>
      <c r="S241" s="19"/>
      <c r="T241" s="19"/>
      <c r="U241" s="19"/>
      <c r="V241" s="111"/>
      <c r="W241" s="111"/>
      <c r="X241" s="111"/>
      <c r="Y241" s="111"/>
      <c r="Z241" s="111"/>
      <c r="AA241" s="111"/>
      <c r="AB241" s="111"/>
      <c r="AC241" s="111"/>
      <c r="AD241" s="112"/>
      <c r="AE241" s="111"/>
      <c r="AF241" s="111"/>
      <c r="AG241" s="19"/>
      <c r="AH241" s="74"/>
      <c r="AI241" s="74"/>
      <c r="AJ241" s="19"/>
      <c r="AK241" s="74"/>
      <c r="AL241" s="19"/>
      <c r="AM241" s="19"/>
      <c r="AN241" s="19"/>
      <c r="AO241" s="19"/>
      <c r="AP241" s="19"/>
    </row>
    <row r="242" spans="11:42" x14ac:dyDescent="0.2">
      <c r="K242" s="111"/>
      <c r="L242" s="111"/>
      <c r="M242" s="111"/>
      <c r="Q242" s="19"/>
      <c r="R242" s="19"/>
      <c r="S242" s="19"/>
      <c r="T242" s="19"/>
      <c r="U242" s="19"/>
      <c r="V242" s="111"/>
      <c r="W242" s="111"/>
      <c r="X242" s="111"/>
      <c r="Y242" s="111"/>
      <c r="Z242" s="111"/>
      <c r="AA242" s="111"/>
      <c r="AB242" s="111"/>
      <c r="AC242" s="111"/>
      <c r="AD242" s="112"/>
      <c r="AE242" s="111"/>
      <c r="AF242" s="111"/>
      <c r="AG242" s="19"/>
      <c r="AH242" s="74"/>
      <c r="AI242" s="74"/>
      <c r="AJ242" s="19"/>
      <c r="AK242" s="74"/>
      <c r="AL242" s="19"/>
      <c r="AM242" s="19"/>
      <c r="AN242" s="19"/>
      <c r="AO242" s="19"/>
      <c r="AP242" s="19"/>
    </row>
    <row r="243" spans="11:42" x14ac:dyDescent="0.2">
      <c r="K243" s="111"/>
      <c r="L243" s="111"/>
      <c r="M243" s="111"/>
      <c r="Q243" s="19"/>
      <c r="R243" s="19"/>
      <c r="S243" s="19"/>
      <c r="T243" s="19"/>
      <c r="U243" s="19"/>
      <c r="V243" s="111"/>
      <c r="W243" s="111"/>
      <c r="X243" s="111"/>
      <c r="Y243" s="111"/>
      <c r="Z243" s="111"/>
      <c r="AA243" s="111"/>
      <c r="AB243" s="111"/>
      <c r="AC243" s="111"/>
      <c r="AD243" s="112"/>
      <c r="AE243" s="111"/>
      <c r="AF243" s="111"/>
      <c r="AG243" s="19"/>
      <c r="AH243" s="74"/>
      <c r="AI243" s="74"/>
      <c r="AJ243" s="19"/>
      <c r="AK243" s="74"/>
      <c r="AL243" s="19"/>
      <c r="AM243" s="19"/>
      <c r="AN243" s="19"/>
      <c r="AO243" s="19"/>
      <c r="AP243" s="19"/>
    </row>
    <row r="244" spans="11:42" x14ac:dyDescent="0.2">
      <c r="K244" s="111"/>
      <c r="L244" s="111"/>
      <c r="M244" s="111"/>
      <c r="Q244" s="19"/>
      <c r="R244" s="19"/>
      <c r="S244" s="19"/>
      <c r="T244" s="19"/>
      <c r="U244" s="19"/>
      <c r="V244" s="111"/>
      <c r="W244" s="111"/>
      <c r="X244" s="111"/>
      <c r="Y244" s="111"/>
      <c r="Z244" s="111"/>
      <c r="AA244" s="111"/>
      <c r="AB244" s="111"/>
      <c r="AC244" s="111"/>
      <c r="AD244" s="112"/>
      <c r="AE244" s="111"/>
      <c r="AF244" s="111"/>
      <c r="AG244" s="19"/>
      <c r="AH244" s="74"/>
      <c r="AI244" s="74"/>
      <c r="AJ244" s="19"/>
      <c r="AK244" s="74"/>
      <c r="AL244" s="19"/>
      <c r="AM244" s="19"/>
      <c r="AN244" s="19"/>
      <c r="AO244" s="19"/>
      <c r="AP244" s="19"/>
    </row>
    <row r="245" spans="11:42" x14ac:dyDescent="0.2">
      <c r="K245" s="111"/>
      <c r="L245" s="111"/>
      <c r="M245" s="111"/>
      <c r="Q245" s="19"/>
      <c r="R245" s="19"/>
      <c r="S245" s="19"/>
      <c r="T245" s="19"/>
      <c r="U245" s="19"/>
      <c r="V245" s="111"/>
      <c r="W245" s="111"/>
      <c r="X245" s="111"/>
      <c r="Y245" s="111"/>
      <c r="Z245" s="111"/>
      <c r="AA245" s="111"/>
      <c r="AB245" s="111"/>
      <c r="AC245" s="111"/>
      <c r="AD245" s="112"/>
      <c r="AE245" s="111"/>
      <c r="AF245" s="111"/>
      <c r="AG245" s="19"/>
      <c r="AH245" s="74"/>
      <c r="AI245" s="74"/>
      <c r="AJ245" s="19"/>
      <c r="AK245" s="74"/>
      <c r="AL245" s="19"/>
      <c r="AM245" s="19"/>
      <c r="AN245" s="19"/>
      <c r="AO245" s="19"/>
      <c r="AP245" s="19"/>
    </row>
    <row r="246" spans="11:42" x14ac:dyDescent="0.2">
      <c r="K246" s="111"/>
      <c r="L246" s="111"/>
      <c r="M246" s="111"/>
      <c r="Q246" s="19"/>
      <c r="R246" s="19"/>
      <c r="S246" s="19"/>
      <c r="T246" s="19"/>
      <c r="U246" s="19"/>
      <c r="V246" s="111"/>
      <c r="W246" s="111"/>
      <c r="X246" s="111"/>
      <c r="Y246" s="111"/>
      <c r="Z246" s="111"/>
      <c r="AA246" s="111"/>
      <c r="AB246" s="111"/>
      <c r="AC246" s="111"/>
      <c r="AD246" s="112"/>
      <c r="AE246" s="111"/>
      <c r="AF246" s="111"/>
      <c r="AG246" s="19"/>
      <c r="AH246" s="74"/>
      <c r="AI246" s="74"/>
      <c r="AJ246" s="19"/>
      <c r="AK246" s="74"/>
      <c r="AL246" s="19"/>
      <c r="AM246" s="19"/>
      <c r="AN246" s="19"/>
      <c r="AO246" s="19"/>
      <c r="AP246" s="19"/>
    </row>
    <row r="247" spans="11:42" x14ac:dyDescent="0.2">
      <c r="K247" s="111"/>
      <c r="L247" s="111"/>
      <c r="M247" s="111"/>
      <c r="Q247" s="19"/>
      <c r="R247" s="19"/>
      <c r="S247" s="19"/>
      <c r="T247" s="19"/>
      <c r="U247" s="19"/>
      <c r="V247" s="111"/>
      <c r="W247" s="111"/>
      <c r="X247" s="111"/>
      <c r="Y247" s="111"/>
      <c r="Z247" s="111"/>
      <c r="AA247" s="111"/>
      <c r="AB247" s="111"/>
      <c r="AC247" s="111"/>
      <c r="AD247" s="112"/>
      <c r="AE247" s="111"/>
      <c r="AF247" s="111"/>
      <c r="AG247" s="19"/>
      <c r="AH247" s="74"/>
      <c r="AI247" s="74"/>
      <c r="AJ247" s="19"/>
      <c r="AK247" s="74"/>
      <c r="AL247" s="19"/>
      <c r="AM247" s="19"/>
      <c r="AN247" s="19"/>
      <c r="AO247" s="19"/>
      <c r="AP247" s="19"/>
    </row>
    <row r="248" spans="11:42" x14ac:dyDescent="0.2">
      <c r="K248" s="111"/>
      <c r="L248" s="111"/>
      <c r="M248" s="111"/>
      <c r="Q248" s="19"/>
      <c r="R248" s="19"/>
      <c r="S248" s="19"/>
      <c r="T248" s="19"/>
      <c r="U248" s="19"/>
      <c r="V248" s="111"/>
      <c r="W248" s="111"/>
      <c r="X248" s="111"/>
      <c r="Y248" s="111"/>
      <c r="Z248" s="111"/>
      <c r="AA248" s="111"/>
      <c r="AB248" s="111"/>
      <c r="AC248" s="111"/>
      <c r="AD248" s="112"/>
      <c r="AE248" s="111"/>
      <c r="AF248" s="111"/>
      <c r="AG248" s="19"/>
      <c r="AH248" s="74"/>
      <c r="AI248" s="74"/>
      <c r="AJ248" s="19"/>
      <c r="AK248" s="74"/>
      <c r="AL248" s="19"/>
      <c r="AM248" s="19"/>
      <c r="AN248" s="19"/>
      <c r="AO248" s="19"/>
      <c r="AP248" s="19"/>
    </row>
    <row r="249" spans="11:42" x14ac:dyDescent="0.2">
      <c r="K249" s="111"/>
      <c r="L249" s="111"/>
      <c r="M249" s="111"/>
      <c r="Q249" s="19"/>
      <c r="R249" s="19"/>
      <c r="S249" s="19"/>
      <c r="T249" s="19"/>
      <c r="U249" s="19"/>
      <c r="V249" s="111"/>
      <c r="W249" s="111"/>
      <c r="X249" s="111"/>
      <c r="Y249" s="111"/>
      <c r="Z249" s="111"/>
      <c r="AA249" s="111"/>
      <c r="AB249" s="111"/>
      <c r="AC249" s="111"/>
      <c r="AD249" s="112"/>
      <c r="AE249" s="111"/>
      <c r="AF249" s="111"/>
      <c r="AG249" s="19"/>
      <c r="AH249" s="74"/>
      <c r="AI249" s="74"/>
      <c r="AJ249" s="19"/>
      <c r="AK249" s="74"/>
      <c r="AL249" s="19"/>
      <c r="AM249" s="19"/>
      <c r="AN249" s="19"/>
      <c r="AO249" s="19"/>
      <c r="AP249" s="19"/>
    </row>
    <row r="250" spans="11:42" x14ac:dyDescent="0.2">
      <c r="K250" s="111"/>
      <c r="L250" s="111"/>
      <c r="M250" s="111"/>
      <c r="Q250" s="19"/>
      <c r="R250" s="19"/>
      <c r="S250" s="19"/>
      <c r="T250" s="19"/>
      <c r="U250" s="19"/>
      <c r="V250" s="111"/>
      <c r="W250" s="111"/>
      <c r="X250" s="111"/>
      <c r="Y250" s="111"/>
      <c r="Z250" s="111"/>
      <c r="AA250" s="111"/>
      <c r="AB250" s="111"/>
      <c r="AC250" s="111"/>
      <c r="AD250" s="112"/>
      <c r="AE250" s="111"/>
      <c r="AF250" s="111"/>
      <c r="AG250" s="19"/>
      <c r="AH250" s="74"/>
      <c r="AI250" s="74"/>
      <c r="AJ250" s="19"/>
      <c r="AK250" s="74"/>
      <c r="AL250" s="19"/>
      <c r="AM250" s="19"/>
      <c r="AN250" s="19"/>
      <c r="AO250" s="19"/>
      <c r="AP250" s="19"/>
    </row>
    <row r="251" spans="11:42" x14ac:dyDescent="0.2">
      <c r="K251" s="111"/>
      <c r="L251" s="111"/>
      <c r="M251" s="111"/>
      <c r="Q251" s="19"/>
      <c r="R251" s="19"/>
      <c r="S251" s="19"/>
      <c r="T251" s="19"/>
      <c r="U251" s="19"/>
      <c r="V251" s="111"/>
      <c r="W251" s="111"/>
      <c r="X251" s="111"/>
      <c r="Y251" s="111"/>
      <c r="Z251" s="111"/>
      <c r="AA251" s="111"/>
      <c r="AB251" s="111"/>
      <c r="AC251" s="111"/>
      <c r="AD251" s="112"/>
      <c r="AE251" s="111"/>
      <c r="AF251" s="111"/>
      <c r="AG251" s="19"/>
      <c r="AH251" s="74"/>
      <c r="AI251" s="74"/>
      <c r="AJ251" s="19"/>
      <c r="AK251" s="74"/>
      <c r="AL251" s="19"/>
      <c r="AM251" s="19"/>
      <c r="AN251" s="19"/>
      <c r="AO251" s="19"/>
      <c r="AP251" s="19"/>
    </row>
    <row r="252" spans="11:42" x14ac:dyDescent="0.2">
      <c r="K252" s="111"/>
      <c r="L252" s="111"/>
      <c r="M252" s="111"/>
      <c r="Q252" s="19"/>
      <c r="R252" s="19"/>
      <c r="S252" s="19"/>
      <c r="T252" s="19"/>
      <c r="U252" s="19"/>
      <c r="V252" s="111"/>
      <c r="W252" s="111"/>
      <c r="X252" s="111"/>
      <c r="Y252" s="111"/>
      <c r="Z252" s="111"/>
      <c r="AA252" s="111"/>
      <c r="AB252" s="111"/>
      <c r="AC252" s="111"/>
      <c r="AD252" s="112"/>
      <c r="AE252" s="111"/>
      <c r="AF252" s="111"/>
      <c r="AG252" s="19"/>
      <c r="AH252" s="74"/>
      <c r="AI252" s="74"/>
      <c r="AJ252" s="19"/>
      <c r="AK252" s="74"/>
      <c r="AL252" s="19"/>
      <c r="AM252" s="19"/>
      <c r="AN252" s="19"/>
      <c r="AO252" s="19"/>
      <c r="AP252" s="19"/>
    </row>
    <row r="253" spans="11:42" x14ac:dyDescent="0.2">
      <c r="K253" s="111"/>
      <c r="L253" s="111"/>
      <c r="M253" s="111"/>
      <c r="Q253" s="19"/>
      <c r="R253" s="19"/>
      <c r="S253" s="19"/>
      <c r="T253" s="19"/>
      <c r="U253" s="19"/>
      <c r="V253" s="111"/>
      <c r="W253" s="111"/>
      <c r="X253" s="111"/>
      <c r="Y253" s="111"/>
      <c r="Z253" s="111"/>
      <c r="AA253" s="111"/>
      <c r="AB253" s="111"/>
      <c r="AC253" s="111"/>
      <c r="AD253" s="112"/>
      <c r="AE253" s="111"/>
      <c r="AF253" s="111"/>
      <c r="AG253" s="19"/>
      <c r="AH253" s="74"/>
      <c r="AI253" s="74"/>
      <c r="AJ253" s="19"/>
      <c r="AK253" s="74"/>
      <c r="AL253" s="19"/>
      <c r="AM253" s="19"/>
      <c r="AN253" s="19"/>
      <c r="AO253" s="19"/>
      <c r="AP253" s="19"/>
    </row>
  </sheetData>
  <sheetProtection sheet="1" objects="1" scenarios="1"/>
  <phoneticPr fontId="0" type="noConversion"/>
  <pageMargins left="0.75" right="0.75" top="1" bottom="1" header="0.5" footer="0.5"/>
  <pageSetup orientation="portrait" horizontalDpi="300" verticalDpi="300"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866"/>
  <sheetViews>
    <sheetView workbookViewId="0">
      <selection activeCell="D1" sqref="D1"/>
    </sheetView>
  </sheetViews>
  <sheetFormatPr defaultColWidth="9.140625" defaultRowHeight="12.75" x14ac:dyDescent="0.2"/>
  <cols>
    <col min="1" max="1" width="14.42578125" style="14" bestFit="1" customWidth="1"/>
    <col min="2" max="2" width="9.42578125" style="14" customWidth="1"/>
    <col min="3" max="3" width="9" style="101" customWidth="1"/>
    <col min="4" max="4" width="4.42578125" style="14" customWidth="1"/>
    <col min="5" max="5" width="9.85546875" style="14" customWidth="1"/>
    <col min="6" max="6" width="12.28515625" style="14" customWidth="1"/>
    <col min="7" max="7" width="13.140625" style="14" customWidth="1"/>
    <col min="8" max="8" width="15.7109375" style="14" customWidth="1"/>
    <col min="9" max="16384" width="9.140625" style="14"/>
  </cols>
  <sheetData>
    <row r="1" spans="1:8" ht="25.5" customHeight="1" x14ac:dyDescent="0.2">
      <c r="B1" s="1265" t="s">
        <v>29</v>
      </c>
      <c r="C1" s="1265" t="s">
        <v>30</v>
      </c>
      <c r="E1" s="1248" t="s">
        <v>113</v>
      </c>
      <c r="F1" s="1286" t="s">
        <v>1319</v>
      </c>
      <c r="G1" s="1268" t="s">
        <v>65</v>
      </c>
      <c r="H1" s="1269" t="s">
        <v>741</v>
      </c>
    </row>
    <row r="2" spans="1:8" x14ac:dyDescent="0.2">
      <c r="A2" s="1265" t="s">
        <v>744</v>
      </c>
      <c r="B2" s="1265">
        <f>ROUND(Hearing!C24,0)</f>
        <v>0</v>
      </c>
      <c r="C2" s="1265">
        <f>ROUND(Hearing!F24,0)</f>
        <v>0</v>
      </c>
      <c r="E2" s="196">
        <f ca="1">TODAY()</f>
        <v>45089</v>
      </c>
      <c r="F2" s="1287" t="str">
        <f>IF('Start here'!A9="","",'Start here'!A9)</f>
        <v/>
      </c>
      <c r="G2" s="1287">
        <f>Hearing!F12</f>
        <v>0</v>
      </c>
      <c r="H2" s="1287">
        <f>Hearing!L12</f>
        <v>0</v>
      </c>
    </row>
    <row r="3" spans="1:8" x14ac:dyDescent="0.2">
      <c r="A3" s="1265" t="s">
        <v>745</v>
      </c>
      <c r="B3" s="1277">
        <f>IF(B2&lt;150,0,VLOOKUP(B2,A11:B711,2))</f>
        <v>0</v>
      </c>
      <c r="C3" s="1277">
        <f>IF(C2&lt;150,0,VLOOKUP(C2,A11:B711,2))</f>
        <v>0</v>
      </c>
      <c r="E3" s="119"/>
    </row>
    <row r="4" spans="1:8" x14ac:dyDescent="0.2">
      <c r="C4" s="14"/>
      <c r="G4" s="1536" t="s">
        <v>2315</v>
      </c>
      <c r="H4" s="1536" t="s">
        <v>2316</v>
      </c>
    </row>
    <row r="5" spans="1:8" x14ac:dyDescent="0.2">
      <c r="A5" s="1265" t="s">
        <v>746</v>
      </c>
      <c r="B5" s="1265">
        <f>ROUND(Hearing!I24,0)</f>
        <v>0</v>
      </c>
      <c r="C5" s="1265">
        <f>ROUND(Hearing!L24,0)</f>
        <v>0</v>
      </c>
      <c r="G5" s="1536"/>
      <c r="H5" s="1536"/>
    </row>
    <row r="6" spans="1:8" x14ac:dyDescent="0.2">
      <c r="A6" s="1265" t="s">
        <v>745</v>
      </c>
      <c r="B6" s="1277">
        <f>IF(B5&lt;150,0,VLOOKUP(B5,A11:B711,2))</f>
        <v>0</v>
      </c>
      <c r="C6" s="1277">
        <f>IF(C5&lt;150,0,VLOOKUP(C5,A11:B711,2))</f>
        <v>0</v>
      </c>
      <c r="G6" s="1285">
        <f>IF(Hearing!F5="",Hearing!F11,DATEDIF(F2,G2,"y"))</f>
        <v>0</v>
      </c>
      <c r="H6" s="1288">
        <f>IF(Hearing!F5="",Hearing!L11,DATEDIF(F2,H2,"y"))</f>
        <v>0</v>
      </c>
    </row>
    <row r="8" spans="1:8" x14ac:dyDescent="0.2">
      <c r="G8" s="1248" t="s">
        <v>149</v>
      </c>
      <c r="H8" s="1248" t="s">
        <v>151</v>
      </c>
    </row>
    <row r="9" spans="1:8" x14ac:dyDescent="0.2">
      <c r="A9" s="2479" t="s">
        <v>2318</v>
      </c>
      <c r="B9" s="2479"/>
      <c r="G9" s="1248" t="s">
        <v>150</v>
      </c>
      <c r="H9" s="1248" t="s">
        <v>150</v>
      </c>
    </row>
    <row r="10" spans="1:8" x14ac:dyDescent="0.2">
      <c r="A10" s="1293" t="s">
        <v>742</v>
      </c>
      <c r="B10" s="697" t="s">
        <v>743</v>
      </c>
      <c r="G10" s="1248">
        <f>IF(G6=0,0,IF(Hearing!$S$5=1,VLOOKUP(G6,$E$15:$G$114,2),IF(Hearing!$S$5=2,VLOOKUP(G6,$E$15:$G$114,3),0)))</f>
        <v>0</v>
      </c>
      <c r="H10" s="1248">
        <f>IF(H6=0,0,IF(Hearing!$S$5=1,VLOOKUP(H6,$E$15:$G$114,2),IF(Hearing!$S$5=2,VLOOKUP(H6,$E$15:$G$114,3),0)))</f>
        <v>0</v>
      </c>
    </row>
    <row r="11" spans="1:8" x14ac:dyDescent="0.2">
      <c r="A11" s="1265">
        <v>0</v>
      </c>
      <c r="B11" s="1277">
        <v>0</v>
      </c>
    </row>
    <row r="12" spans="1:8" x14ac:dyDescent="0.2">
      <c r="A12" s="1265">
        <v>1</v>
      </c>
      <c r="B12" s="1277">
        <v>0</v>
      </c>
      <c r="E12" s="1292" t="s">
        <v>2314</v>
      </c>
      <c r="F12" s="1292"/>
      <c r="G12" s="1292"/>
    </row>
    <row r="13" spans="1:8" x14ac:dyDescent="0.2">
      <c r="A13" s="1265">
        <v>2</v>
      </c>
      <c r="B13" s="1277">
        <v>0</v>
      </c>
      <c r="E13" s="1292"/>
      <c r="F13" s="1292"/>
      <c r="G13" s="1292"/>
    </row>
    <row r="14" spans="1:8" x14ac:dyDescent="0.2">
      <c r="A14" s="1265">
        <v>3</v>
      </c>
      <c r="B14" s="1277">
        <v>0</v>
      </c>
      <c r="E14" s="1248" t="s">
        <v>1408</v>
      </c>
      <c r="F14" s="1248" t="s">
        <v>1409</v>
      </c>
      <c r="G14" s="1252" t="s">
        <v>1410</v>
      </c>
    </row>
    <row r="15" spans="1:8" x14ac:dyDescent="0.2">
      <c r="A15" s="1265">
        <v>4</v>
      </c>
      <c r="B15" s="1277">
        <v>0</v>
      </c>
      <c r="E15" s="1248">
        <v>1</v>
      </c>
      <c r="F15" s="1248">
        <v>0</v>
      </c>
      <c r="G15" s="1252">
        <v>0</v>
      </c>
    </row>
    <row r="16" spans="1:8" x14ac:dyDescent="0.2">
      <c r="A16" s="1265">
        <v>5</v>
      </c>
      <c r="B16" s="1277">
        <v>0</v>
      </c>
      <c r="E16" s="1248">
        <v>2</v>
      </c>
      <c r="F16" s="1248">
        <v>0</v>
      </c>
      <c r="G16" s="1252">
        <v>0</v>
      </c>
    </row>
    <row r="17" spans="1:7" x14ac:dyDescent="0.2">
      <c r="A17" s="1265">
        <v>6</v>
      </c>
      <c r="B17" s="1277">
        <v>0</v>
      </c>
      <c r="E17" s="1248">
        <v>3</v>
      </c>
      <c r="F17" s="1248">
        <v>0</v>
      </c>
      <c r="G17" s="1252">
        <v>0</v>
      </c>
    </row>
    <row r="18" spans="1:7" x14ac:dyDescent="0.2">
      <c r="A18" s="1265">
        <v>7</v>
      </c>
      <c r="B18" s="1277">
        <v>0</v>
      </c>
      <c r="E18" s="1248">
        <v>4</v>
      </c>
      <c r="F18" s="1248">
        <v>0</v>
      </c>
      <c r="G18" s="1252">
        <v>0</v>
      </c>
    </row>
    <row r="19" spans="1:7" x14ac:dyDescent="0.2">
      <c r="A19" s="1265">
        <v>8</v>
      </c>
      <c r="B19" s="1277">
        <v>0</v>
      </c>
      <c r="E19" s="1248">
        <v>5</v>
      </c>
      <c r="F19" s="1248">
        <v>0</v>
      </c>
      <c r="G19" s="1252">
        <v>0</v>
      </c>
    </row>
    <row r="20" spans="1:7" x14ac:dyDescent="0.2">
      <c r="A20" s="1265">
        <v>9</v>
      </c>
      <c r="B20" s="1277">
        <v>0</v>
      </c>
      <c r="E20" s="1248">
        <v>6</v>
      </c>
      <c r="F20" s="1248">
        <v>0</v>
      </c>
      <c r="G20" s="1252">
        <v>0</v>
      </c>
    </row>
    <row r="21" spans="1:7" x14ac:dyDescent="0.2">
      <c r="A21" s="1265">
        <v>10</v>
      </c>
      <c r="B21" s="1277">
        <v>0</v>
      </c>
      <c r="E21" s="1248">
        <v>7</v>
      </c>
      <c r="F21" s="1248">
        <v>0</v>
      </c>
      <c r="G21" s="1252">
        <v>0</v>
      </c>
    </row>
    <row r="22" spans="1:7" x14ac:dyDescent="0.2">
      <c r="A22" s="1265">
        <v>11</v>
      </c>
      <c r="B22" s="1277">
        <v>0</v>
      </c>
      <c r="E22" s="1248">
        <v>8</v>
      </c>
      <c r="F22" s="1248">
        <v>0</v>
      </c>
      <c r="G22" s="1252">
        <v>0</v>
      </c>
    </row>
    <row r="23" spans="1:7" x14ac:dyDescent="0.2">
      <c r="A23" s="1265">
        <v>12</v>
      </c>
      <c r="B23" s="1277">
        <v>0</v>
      </c>
      <c r="E23" s="1248">
        <v>9</v>
      </c>
      <c r="F23" s="1248">
        <v>0</v>
      </c>
      <c r="G23" s="1252">
        <v>0</v>
      </c>
    </row>
    <row r="24" spans="1:7" x14ac:dyDescent="0.2">
      <c r="A24" s="1265">
        <v>13</v>
      </c>
      <c r="B24" s="1277">
        <v>0</v>
      </c>
      <c r="E24" s="1248">
        <v>10</v>
      </c>
      <c r="F24" s="1248">
        <v>0</v>
      </c>
      <c r="G24" s="1252">
        <v>0</v>
      </c>
    </row>
    <row r="25" spans="1:7" x14ac:dyDescent="0.2">
      <c r="A25" s="1265">
        <v>14</v>
      </c>
      <c r="B25" s="1277">
        <v>0</v>
      </c>
      <c r="E25" s="1248">
        <v>11</v>
      </c>
      <c r="F25" s="1248">
        <v>0</v>
      </c>
      <c r="G25" s="1252">
        <v>0</v>
      </c>
    </row>
    <row r="26" spans="1:7" x14ac:dyDescent="0.2">
      <c r="A26" s="1265">
        <v>15</v>
      </c>
      <c r="B26" s="1277">
        <v>0</v>
      </c>
      <c r="E26" s="1248">
        <v>12</v>
      </c>
      <c r="F26" s="1248">
        <v>0</v>
      </c>
      <c r="G26" s="1252">
        <v>0</v>
      </c>
    </row>
    <row r="27" spans="1:7" x14ac:dyDescent="0.2">
      <c r="A27" s="1265">
        <v>16</v>
      </c>
      <c r="B27" s="1277">
        <v>0</v>
      </c>
      <c r="E27" s="1248">
        <v>13</v>
      </c>
      <c r="F27" s="1248">
        <v>0</v>
      </c>
      <c r="G27" s="1252">
        <v>0</v>
      </c>
    </row>
    <row r="28" spans="1:7" x14ac:dyDescent="0.2">
      <c r="A28" s="1265">
        <v>17</v>
      </c>
      <c r="B28" s="1277">
        <v>0</v>
      </c>
      <c r="E28" s="1248">
        <v>14</v>
      </c>
      <c r="F28" s="1248">
        <v>0</v>
      </c>
      <c r="G28" s="1252">
        <v>0</v>
      </c>
    </row>
    <row r="29" spans="1:7" x14ac:dyDescent="0.2">
      <c r="A29" s="1265">
        <v>18</v>
      </c>
      <c r="B29" s="1277">
        <v>0</v>
      </c>
      <c r="E29" s="1248">
        <v>15</v>
      </c>
      <c r="F29" s="1248">
        <v>0</v>
      </c>
      <c r="G29" s="1252">
        <v>0</v>
      </c>
    </row>
    <row r="30" spans="1:7" x14ac:dyDescent="0.2">
      <c r="A30" s="1265">
        <v>19</v>
      </c>
      <c r="B30" s="1277">
        <v>0</v>
      </c>
      <c r="E30" s="1248">
        <v>16</v>
      </c>
      <c r="F30" s="1248">
        <v>0</v>
      </c>
      <c r="G30" s="1252">
        <v>0</v>
      </c>
    </row>
    <row r="31" spans="1:7" x14ac:dyDescent="0.2">
      <c r="A31" s="1265">
        <v>20</v>
      </c>
      <c r="B31" s="1277">
        <v>0</v>
      </c>
      <c r="E31" s="1248">
        <v>17</v>
      </c>
      <c r="F31" s="1248">
        <v>0</v>
      </c>
      <c r="G31" s="1252">
        <v>0</v>
      </c>
    </row>
    <row r="32" spans="1:7" x14ac:dyDescent="0.2">
      <c r="A32" s="1265">
        <v>21</v>
      </c>
      <c r="B32" s="1277">
        <v>0</v>
      </c>
      <c r="E32" s="1248">
        <v>18</v>
      </c>
      <c r="F32" s="1248">
        <v>0</v>
      </c>
      <c r="G32" s="1252">
        <v>0</v>
      </c>
    </row>
    <row r="33" spans="1:7" x14ac:dyDescent="0.2">
      <c r="A33" s="1265">
        <v>22</v>
      </c>
      <c r="B33" s="1277">
        <v>0</v>
      </c>
      <c r="E33" s="1248">
        <v>19</v>
      </c>
      <c r="F33" s="1248">
        <v>0</v>
      </c>
      <c r="G33" s="1252">
        <v>0</v>
      </c>
    </row>
    <row r="34" spans="1:7" x14ac:dyDescent="0.2">
      <c r="A34" s="1265">
        <v>23</v>
      </c>
      <c r="B34" s="1277">
        <v>0</v>
      </c>
      <c r="E34" s="1248">
        <v>20</v>
      </c>
      <c r="F34" s="1248">
        <v>0</v>
      </c>
      <c r="G34" s="1252">
        <v>0</v>
      </c>
    </row>
    <row r="35" spans="1:7" x14ac:dyDescent="0.2">
      <c r="A35" s="1265">
        <v>24</v>
      </c>
      <c r="B35" s="1277">
        <v>0</v>
      </c>
      <c r="E35" s="1248">
        <v>21</v>
      </c>
      <c r="F35" s="1248">
        <v>1</v>
      </c>
      <c r="G35" s="1252">
        <v>0</v>
      </c>
    </row>
    <row r="36" spans="1:7" x14ac:dyDescent="0.2">
      <c r="A36" s="1265">
        <v>25</v>
      </c>
      <c r="B36" s="1277">
        <v>0</v>
      </c>
      <c r="E36" s="1248">
        <v>22</v>
      </c>
      <c r="F36" s="1248">
        <v>1</v>
      </c>
      <c r="G36" s="1252">
        <v>1</v>
      </c>
    </row>
    <row r="37" spans="1:7" x14ac:dyDescent="0.2">
      <c r="A37" s="1265">
        <v>26</v>
      </c>
      <c r="B37" s="1277">
        <v>0</v>
      </c>
      <c r="E37" s="1248">
        <v>23</v>
      </c>
      <c r="F37" s="1248">
        <v>2</v>
      </c>
      <c r="G37" s="1252">
        <v>1</v>
      </c>
    </row>
    <row r="38" spans="1:7" x14ac:dyDescent="0.2">
      <c r="A38" s="1265">
        <v>27</v>
      </c>
      <c r="B38" s="1277">
        <v>0</v>
      </c>
      <c r="E38" s="1248">
        <v>24</v>
      </c>
      <c r="F38" s="1248">
        <v>2</v>
      </c>
      <c r="G38" s="1252">
        <v>2</v>
      </c>
    </row>
    <row r="39" spans="1:7" x14ac:dyDescent="0.2">
      <c r="A39" s="1265">
        <v>28</v>
      </c>
      <c r="B39" s="1277">
        <v>0</v>
      </c>
      <c r="E39" s="1248">
        <v>25</v>
      </c>
      <c r="F39" s="1248">
        <v>3</v>
      </c>
      <c r="G39" s="1252">
        <v>2</v>
      </c>
    </row>
    <row r="40" spans="1:7" x14ac:dyDescent="0.2">
      <c r="A40" s="1265">
        <v>29</v>
      </c>
      <c r="B40" s="1277">
        <v>0</v>
      </c>
      <c r="E40" s="1248">
        <v>26</v>
      </c>
      <c r="F40" s="1248">
        <v>4</v>
      </c>
      <c r="G40" s="1252">
        <v>3</v>
      </c>
    </row>
    <row r="41" spans="1:7" x14ac:dyDescent="0.2">
      <c r="A41" s="1265">
        <v>30</v>
      </c>
      <c r="B41" s="1277">
        <v>0</v>
      </c>
      <c r="E41" s="1248">
        <v>27</v>
      </c>
      <c r="F41" s="1248">
        <v>5</v>
      </c>
      <c r="G41" s="1252">
        <v>3</v>
      </c>
    </row>
    <row r="42" spans="1:7" x14ac:dyDescent="0.2">
      <c r="A42" s="1265">
        <v>31</v>
      </c>
      <c r="B42" s="1277">
        <v>0</v>
      </c>
      <c r="E42" s="1248">
        <v>28</v>
      </c>
      <c r="F42" s="1248">
        <v>6</v>
      </c>
      <c r="G42" s="1252">
        <v>4</v>
      </c>
    </row>
    <row r="43" spans="1:7" x14ac:dyDescent="0.2">
      <c r="A43" s="1265">
        <v>32</v>
      </c>
      <c r="B43" s="1277">
        <v>0</v>
      </c>
      <c r="E43" s="1248">
        <v>29</v>
      </c>
      <c r="F43" s="1248">
        <v>7</v>
      </c>
      <c r="G43" s="1252">
        <v>5</v>
      </c>
    </row>
    <row r="44" spans="1:7" x14ac:dyDescent="0.2">
      <c r="A44" s="1265">
        <v>33</v>
      </c>
      <c r="B44" s="1277">
        <v>0</v>
      </c>
      <c r="E44" s="1248">
        <v>30</v>
      </c>
      <c r="F44" s="1248">
        <v>9</v>
      </c>
      <c r="G44" s="1252">
        <v>6</v>
      </c>
    </row>
    <row r="45" spans="1:7" x14ac:dyDescent="0.2">
      <c r="A45" s="1265">
        <v>34</v>
      </c>
      <c r="B45" s="1277">
        <v>0</v>
      </c>
      <c r="E45" s="1248">
        <v>31</v>
      </c>
      <c r="F45" s="1248">
        <v>10</v>
      </c>
      <c r="G45" s="1252">
        <v>7</v>
      </c>
    </row>
    <row r="46" spans="1:7" x14ac:dyDescent="0.2">
      <c r="A46" s="1265">
        <v>35</v>
      </c>
      <c r="B46" s="1277">
        <v>0</v>
      </c>
      <c r="E46" s="1248">
        <v>32</v>
      </c>
      <c r="F46" s="1248">
        <v>12</v>
      </c>
      <c r="G46" s="1252">
        <v>8</v>
      </c>
    </row>
    <row r="47" spans="1:7" x14ac:dyDescent="0.2">
      <c r="A47" s="1265">
        <v>36</v>
      </c>
      <c r="B47" s="1277">
        <v>0</v>
      </c>
      <c r="E47" s="1248">
        <v>33</v>
      </c>
      <c r="F47" s="1248">
        <v>14</v>
      </c>
      <c r="G47" s="1252">
        <v>9</v>
      </c>
    </row>
    <row r="48" spans="1:7" x14ac:dyDescent="0.2">
      <c r="A48" s="1265">
        <v>37</v>
      </c>
      <c r="B48" s="1277">
        <v>0</v>
      </c>
      <c r="E48" s="1248">
        <v>34</v>
      </c>
      <c r="F48" s="1248">
        <v>15</v>
      </c>
      <c r="G48" s="1252">
        <v>11</v>
      </c>
    </row>
    <row r="49" spans="1:7" x14ac:dyDescent="0.2">
      <c r="A49" s="1265">
        <v>38</v>
      </c>
      <c r="B49" s="1277">
        <v>0</v>
      </c>
      <c r="E49" s="1248">
        <v>35</v>
      </c>
      <c r="F49" s="1248">
        <v>17</v>
      </c>
      <c r="G49" s="1252">
        <v>12</v>
      </c>
    </row>
    <row r="50" spans="1:7" x14ac:dyDescent="0.2">
      <c r="A50" s="1265">
        <v>39</v>
      </c>
      <c r="B50" s="1277">
        <v>0</v>
      </c>
      <c r="E50" s="1248">
        <v>36</v>
      </c>
      <c r="F50" s="1248">
        <v>19</v>
      </c>
      <c r="G50" s="1252">
        <v>14</v>
      </c>
    </row>
    <row r="51" spans="1:7" x14ac:dyDescent="0.2">
      <c r="A51" s="1265">
        <v>40</v>
      </c>
      <c r="B51" s="1277">
        <v>0</v>
      </c>
      <c r="E51" s="1248">
        <v>37</v>
      </c>
      <c r="F51" s="1248">
        <v>22</v>
      </c>
      <c r="G51" s="1252">
        <v>15</v>
      </c>
    </row>
    <row r="52" spans="1:7" x14ac:dyDescent="0.2">
      <c r="A52" s="1265">
        <v>41</v>
      </c>
      <c r="B52" s="1277">
        <v>0</v>
      </c>
      <c r="E52" s="1248">
        <v>38</v>
      </c>
      <c r="F52" s="1248">
        <v>24</v>
      </c>
      <c r="G52" s="1252">
        <v>17</v>
      </c>
    </row>
    <row r="53" spans="1:7" x14ac:dyDescent="0.2">
      <c r="A53" s="1265">
        <v>42</v>
      </c>
      <c r="B53" s="1277">
        <v>0</v>
      </c>
      <c r="E53" s="1248">
        <v>39</v>
      </c>
      <c r="F53" s="1248">
        <v>26</v>
      </c>
      <c r="G53" s="1252">
        <v>19</v>
      </c>
    </row>
    <row r="54" spans="1:7" x14ac:dyDescent="0.2">
      <c r="A54" s="1265">
        <v>43</v>
      </c>
      <c r="B54" s="1277">
        <v>0</v>
      </c>
      <c r="E54" s="1248">
        <v>40</v>
      </c>
      <c r="F54" s="1248">
        <v>29</v>
      </c>
      <c r="G54" s="1252">
        <v>20</v>
      </c>
    </row>
    <row r="55" spans="1:7" x14ac:dyDescent="0.2">
      <c r="A55" s="1265">
        <v>44</v>
      </c>
      <c r="B55" s="1277">
        <v>0</v>
      </c>
      <c r="E55" s="1248">
        <v>41</v>
      </c>
      <c r="F55" s="1248">
        <v>32</v>
      </c>
      <c r="G55" s="1252">
        <v>22</v>
      </c>
    </row>
    <row r="56" spans="1:7" x14ac:dyDescent="0.2">
      <c r="A56" s="1265">
        <v>45</v>
      </c>
      <c r="B56" s="1277">
        <v>0</v>
      </c>
      <c r="E56" s="1248">
        <v>42</v>
      </c>
      <c r="F56" s="1248">
        <v>35</v>
      </c>
      <c r="G56" s="1252">
        <v>24</v>
      </c>
    </row>
    <row r="57" spans="1:7" x14ac:dyDescent="0.2">
      <c r="A57" s="1265">
        <v>46</v>
      </c>
      <c r="B57" s="1277">
        <v>0</v>
      </c>
      <c r="E57" s="1248">
        <v>43</v>
      </c>
      <c r="F57" s="1248">
        <v>38</v>
      </c>
      <c r="G57" s="1252">
        <v>26</v>
      </c>
    </row>
    <row r="58" spans="1:7" x14ac:dyDescent="0.2">
      <c r="A58" s="1265">
        <v>47</v>
      </c>
      <c r="B58" s="1277">
        <v>0</v>
      </c>
      <c r="E58" s="1248">
        <v>44</v>
      </c>
      <c r="F58" s="1248">
        <v>41</v>
      </c>
      <c r="G58" s="1252">
        <v>28</v>
      </c>
    </row>
    <row r="59" spans="1:7" x14ac:dyDescent="0.2">
      <c r="A59" s="1265">
        <v>48</v>
      </c>
      <c r="B59" s="1277">
        <v>0</v>
      </c>
      <c r="E59" s="1248">
        <v>45</v>
      </c>
      <c r="F59" s="1248">
        <v>44</v>
      </c>
      <c r="G59" s="1252">
        <v>31</v>
      </c>
    </row>
    <row r="60" spans="1:7" x14ac:dyDescent="0.2">
      <c r="A60" s="1265">
        <v>49</v>
      </c>
      <c r="B60" s="1277">
        <v>0</v>
      </c>
      <c r="E60" s="1248">
        <v>46</v>
      </c>
      <c r="F60" s="1248">
        <v>47</v>
      </c>
      <c r="G60" s="1252">
        <v>33</v>
      </c>
    </row>
    <row r="61" spans="1:7" x14ac:dyDescent="0.2">
      <c r="A61" s="1265">
        <v>50</v>
      </c>
      <c r="B61" s="1277">
        <v>0</v>
      </c>
      <c r="E61" s="1248">
        <v>47</v>
      </c>
      <c r="F61" s="1248">
        <v>50</v>
      </c>
      <c r="G61" s="1252">
        <v>35</v>
      </c>
    </row>
    <row r="62" spans="1:7" x14ac:dyDescent="0.2">
      <c r="A62" s="1265">
        <v>51</v>
      </c>
      <c r="B62" s="1277">
        <v>0</v>
      </c>
      <c r="E62" s="1248">
        <v>48</v>
      </c>
      <c r="F62" s="1248">
        <v>54</v>
      </c>
      <c r="G62" s="1252">
        <v>38</v>
      </c>
    </row>
    <row r="63" spans="1:7" x14ac:dyDescent="0.2">
      <c r="A63" s="1265">
        <v>52</v>
      </c>
      <c r="B63" s="1277">
        <v>0</v>
      </c>
      <c r="E63" s="1248">
        <v>49</v>
      </c>
      <c r="F63" s="1248">
        <v>58</v>
      </c>
      <c r="G63" s="1252">
        <v>40</v>
      </c>
    </row>
    <row r="64" spans="1:7" x14ac:dyDescent="0.2">
      <c r="A64" s="1265">
        <v>53</v>
      </c>
      <c r="B64" s="1277">
        <v>0</v>
      </c>
      <c r="E64" s="1248">
        <v>50</v>
      </c>
      <c r="F64" s="1248">
        <v>61</v>
      </c>
      <c r="G64" s="1252">
        <v>43</v>
      </c>
    </row>
    <row r="65" spans="1:7" x14ac:dyDescent="0.2">
      <c r="A65" s="1265">
        <v>54</v>
      </c>
      <c r="B65" s="1277">
        <v>0</v>
      </c>
      <c r="E65" s="1248">
        <v>51</v>
      </c>
      <c r="F65" s="1248">
        <v>65</v>
      </c>
      <c r="G65" s="1252">
        <v>46</v>
      </c>
    </row>
    <row r="66" spans="1:7" x14ac:dyDescent="0.2">
      <c r="A66" s="1265">
        <v>55</v>
      </c>
      <c r="B66" s="1277">
        <v>0</v>
      </c>
      <c r="E66" s="1248">
        <v>52</v>
      </c>
      <c r="F66" s="1248">
        <v>69</v>
      </c>
      <c r="G66" s="1252">
        <v>49</v>
      </c>
    </row>
    <row r="67" spans="1:7" x14ac:dyDescent="0.2">
      <c r="A67" s="1265">
        <v>56</v>
      </c>
      <c r="B67" s="1277">
        <v>0</v>
      </c>
      <c r="E67" s="1248">
        <v>53</v>
      </c>
      <c r="F67" s="1248">
        <v>74</v>
      </c>
      <c r="G67" s="1252">
        <v>51</v>
      </c>
    </row>
    <row r="68" spans="1:7" x14ac:dyDescent="0.2">
      <c r="A68" s="1265">
        <v>57</v>
      </c>
      <c r="B68" s="1277">
        <v>0</v>
      </c>
      <c r="E68" s="1248">
        <v>54</v>
      </c>
      <c r="F68" s="1248">
        <v>78</v>
      </c>
      <c r="G68" s="1252">
        <v>54</v>
      </c>
    </row>
    <row r="69" spans="1:7" x14ac:dyDescent="0.2">
      <c r="A69" s="1265">
        <v>58</v>
      </c>
      <c r="B69" s="1277">
        <v>0</v>
      </c>
      <c r="E69" s="1248">
        <v>55</v>
      </c>
      <c r="F69" s="1248">
        <v>82</v>
      </c>
      <c r="G69" s="1252">
        <v>57</v>
      </c>
    </row>
    <row r="70" spans="1:7" x14ac:dyDescent="0.2">
      <c r="A70" s="1265">
        <v>59</v>
      </c>
      <c r="B70" s="1277">
        <v>0</v>
      </c>
      <c r="E70" s="1248">
        <v>56</v>
      </c>
      <c r="F70" s="1248">
        <v>87</v>
      </c>
      <c r="G70" s="1252">
        <v>61</v>
      </c>
    </row>
    <row r="71" spans="1:7" x14ac:dyDescent="0.2">
      <c r="A71" s="1265">
        <v>60</v>
      </c>
      <c r="B71" s="1277">
        <v>0</v>
      </c>
      <c r="E71" s="1248">
        <v>57</v>
      </c>
      <c r="F71" s="1248">
        <v>91</v>
      </c>
      <c r="G71" s="1252">
        <v>64</v>
      </c>
    </row>
    <row r="72" spans="1:7" x14ac:dyDescent="0.2">
      <c r="A72" s="1265">
        <v>61</v>
      </c>
      <c r="B72" s="1277">
        <v>0</v>
      </c>
      <c r="E72" s="1248">
        <v>58</v>
      </c>
      <c r="F72" s="1248">
        <v>96</v>
      </c>
      <c r="G72" s="1252">
        <v>67</v>
      </c>
    </row>
    <row r="73" spans="1:7" x14ac:dyDescent="0.2">
      <c r="A73" s="1265">
        <v>62</v>
      </c>
      <c r="B73" s="1277">
        <v>0</v>
      </c>
      <c r="E73" s="1248">
        <v>59</v>
      </c>
      <c r="F73" s="1248">
        <v>101</v>
      </c>
      <c r="G73" s="1252">
        <v>71</v>
      </c>
    </row>
    <row r="74" spans="1:7" x14ac:dyDescent="0.2">
      <c r="A74" s="1265">
        <v>63</v>
      </c>
      <c r="B74" s="1277">
        <v>0</v>
      </c>
      <c r="E74" s="1248">
        <v>60</v>
      </c>
      <c r="F74" s="1248">
        <v>106</v>
      </c>
      <c r="G74" s="1252">
        <v>74</v>
      </c>
    </row>
    <row r="75" spans="1:7" x14ac:dyDescent="0.2">
      <c r="A75" s="1265">
        <v>64</v>
      </c>
      <c r="B75" s="1277">
        <v>0</v>
      </c>
      <c r="E75" s="1248">
        <v>61</v>
      </c>
      <c r="F75" s="1248">
        <v>111</v>
      </c>
      <c r="G75" s="1252">
        <v>78</v>
      </c>
    </row>
    <row r="76" spans="1:7" x14ac:dyDescent="0.2">
      <c r="A76" s="1265">
        <v>65</v>
      </c>
      <c r="B76" s="1277">
        <v>0</v>
      </c>
      <c r="E76" s="1248">
        <v>62</v>
      </c>
      <c r="F76" s="1248">
        <v>116</v>
      </c>
      <c r="G76" s="1252">
        <v>81</v>
      </c>
    </row>
    <row r="77" spans="1:7" x14ac:dyDescent="0.2">
      <c r="A77" s="1265">
        <v>66</v>
      </c>
      <c r="B77" s="1277">
        <v>0</v>
      </c>
      <c r="E77" s="1248">
        <v>63</v>
      </c>
      <c r="F77" s="1248">
        <v>122</v>
      </c>
      <c r="G77" s="1252">
        <v>85</v>
      </c>
    </row>
    <row r="78" spans="1:7" x14ac:dyDescent="0.2">
      <c r="A78" s="1265">
        <v>67</v>
      </c>
      <c r="B78" s="1277">
        <v>0</v>
      </c>
      <c r="E78" s="1248">
        <v>64</v>
      </c>
      <c r="F78" s="1248">
        <v>127</v>
      </c>
      <c r="G78" s="1252">
        <v>89</v>
      </c>
    </row>
    <row r="79" spans="1:7" x14ac:dyDescent="0.2">
      <c r="A79" s="1265">
        <v>68</v>
      </c>
      <c r="B79" s="1277">
        <v>0</v>
      </c>
      <c r="E79" s="1248">
        <v>65</v>
      </c>
      <c r="F79" s="1248">
        <v>133</v>
      </c>
      <c r="G79" s="1252">
        <v>93</v>
      </c>
    </row>
    <row r="80" spans="1:7" x14ac:dyDescent="0.2">
      <c r="A80" s="1265">
        <v>69</v>
      </c>
      <c r="B80" s="1277">
        <v>0</v>
      </c>
      <c r="E80" s="1248">
        <v>66</v>
      </c>
      <c r="F80" s="1248">
        <v>138</v>
      </c>
      <c r="G80" s="1252">
        <v>97</v>
      </c>
    </row>
    <row r="81" spans="1:7" x14ac:dyDescent="0.2">
      <c r="A81" s="1265">
        <v>70</v>
      </c>
      <c r="B81" s="1277">
        <v>0</v>
      </c>
      <c r="E81" s="1248">
        <v>67</v>
      </c>
      <c r="F81" s="1248">
        <v>144</v>
      </c>
      <c r="G81" s="1252">
        <v>101</v>
      </c>
    </row>
    <row r="82" spans="1:7" x14ac:dyDescent="0.2">
      <c r="A82" s="1265">
        <v>71</v>
      </c>
      <c r="B82" s="1277">
        <v>0</v>
      </c>
      <c r="E82" s="1248">
        <v>68</v>
      </c>
      <c r="F82" s="1248">
        <v>150</v>
      </c>
      <c r="G82" s="1252">
        <v>105</v>
      </c>
    </row>
    <row r="83" spans="1:7" x14ac:dyDescent="0.2">
      <c r="A83" s="1265">
        <v>72</v>
      </c>
      <c r="B83" s="1277">
        <v>0</v>
      </c>
      <c r="E83" s="1248">
        <v>69</v>
      </c>
      <c r="F83" s="1248">
        <v>156</v>
      </c>
      <c r="G83" s="1252">
        <v>109</v>
      </c>
    </row>
    <row r="84" spans="1:7" x14ac:dyDescent="0.2">
      <c r="A84" s="1265">
        <v>73</v>
      </c>
      <c r="B84" s="1277">
        <v>0</v>
      </c>
      <c r="E84" s="1248">
        <v>70</v>
      </c>
      <c r="F84" s="1248">
        <v>162</v>
      </c>
      <c r="G84" s="1252">
        <v>114</v>
      </c>
    </row>
    <row r="85" spans="1:7" x14ac:dyDescent="0.2">
      <c r="A85" s="1265">
        <v>74</v>
      </c>
      <c r="B85" s="1277">
        <v>0</v>
      </c>
      <c r="E85" s="1248">
        <v>71</v>
      </c>
      <c r="F85" s="1248">
        <v>169</v>
      </c>
      <c r="G85" s="1252">
        <v>118</v>
      </c>
    </row>
    <row r="86" spans="1:7" x14ac:dyDescent="0.2">
      <c r="A86" s="1265">
        <v>75</v>
      </c>
      <c r="B86" s="1277">
        <v>0</v>
      </c>
      <c r="E86" s="1248">
        <v>72</v>
      </c>
      <c r="F86" s="1248">
        <v>175</v>
      </c>
      <c r="G86" s="1252">
        <v>122</v>
      </c>
    </row>
    <row r="87" spans="1:7" x14ac:dyDescent="0.2">
      <c r="A87" s="1265">
        <v>76</v>
      </c>
      <c r="B87" s="1277">
        <v>0</v>
      </c>
      <c r="E87" s="1248">
        <v>73</v>
      </c>
      <c r="F87" s="1248">
        <v>182</v>
      </c>
      <c r="G87" s="1252">
        <v>127</v>
      </c>
    </row>
    <row r="88" spans="1:7" x14ac:dyDescent="0.2">
      <c r="A88" s="1265">
        <v>77</v>
      </c>
      <c r="B88" s="1277">
        <v>0</v>
      </c>
      <c r="E88" s="1248">
        <v>74</v>
      </c>
      <c r="F88" s="1248">
        <v>188</v>
      </c>
      <c r="G88" s="1252">
        <v>132</v>
      </c>
    </row>
    <row r="89" spans="1:7" x14ac:dyDescent="0.2">
      <c r="A89" s="1265">
        <v>78</v>
      </c>
      <c r="B89" s="1277">
        <v>0</v>
      </c>
      <c r="E89" s="1248">
        <v>75</v>
      </c>
      <c r="F89" s="1248">
        <v>195</v>
      </c>
      <c r="G89" s="1252">
        <v>136</v>
      </c>
    </row>
    <row r="90" spans="1:7" x14ac:dyDescent="0.2">
      <c r="A90" s="1265">
        <v>79</v>
      </c>
      <c r="B90" s="1277">
        <v>0</v>
      </c>
      <c r="E90" s="1248">
        <v>76</v>
      </c>
      <c r="F90" s="1248">
        <v>202</v>
      </c>
      <c r="G90" s="1252">
        <v>141</v>
      </c>
    </row>
    <row r="91" spans="1:7" x14ac:dyDescent="0.2">
      <c r="A91" s="1265">
        <v>80</v>
      </c>
      <c r="B91" s="1277">
        <v>0</v>
      </c>
      <c r="E91" s="1248">
        <v>77</v>
      </c>
      <c r="F91" s="1248">
        <v>209</v>
      </c>
      <c r="G91" s="1252">
        <v>146</v>
      </c>
    </row>
    <row r="92" spans="1:7" x14ac:dyDescent="0.2">
      <c r="A92" s="1265">
        <v>81</v>
      </c>
      <c r="B92" s="1277">
        <v>0</v>
      </c>
      <c r="E92" s="1248">
        <v>78</v>
      </c>
      <c r="F92" s="1248">
        <v>216</v>
      </c>
      <c r="G92" s="1252">
        <v>151</v>
      </c>
    </row>
    <row r="93" spans="1:7" x14ac:dyDescent="0.2">
      <c r="A93" s="1265">
        <v>82</v>
      </c>
      <c r="B93" s="1277">
        <v>0</v>
      </c>
      <c r="E93" s="1248">
        <v>79</v>
      </c>
      <c r="F93" s="1248">
        <v>223</v>
      </c>
      <c r="G93" s="1252">
        <v>156</v>
      </c>
    </row>
    <row r="94" spans="1:7" x14ac:dyDescent="0.2">
      <c r="A94" s="1265">
        <v>83</v>
      </c>
      <c r="B94" s="1277">
        <v>0</v>
      </c>
      <c r="E94" s="1248">
        <v>80</v>
      </c>
      <c r="F94" s="1248">
        <v>231</v>
      </c>
      <c r="G94" s="1252">
        <v>161</v>
      </c>
    </row>
    <row r="95" spans="1:7" x14ac:dyDescent="0.2">
      <c r="A95" s="1265">
        <v>84</v>
      </c>
      <c r="B95" s="1277">
        <v>0</v>
      </c>
      <c r="E95" s="1248">
        <v>81</v>
      </c>
      <c r="F95" s="1248">
        <v>238</v>
      </c>
      <c r="G95" s="1252">
        <v>167</v>
      </c>
    </row>
    <row r="96" spans="1:7" x14ac:dyDescent="0.2">
      <c r="A96" s="1265">
        <v>85</v>
      </c>
      <c r="B96" s="1277">
        <v>0</v>
      </c>
      <c r="E96" s="1248">
        <v>82</v>
      </c>
      <c r="F96" s="1248">
        <v>246</v>
      </c>
      <c r="G96" s="1252">
        <v>172</v>
      </c>
    </row>
    <row r="97" spans="1:8" x14ac:dyDescent="0.2">
      <c r="A97" s="1265">
        <v>86</v>
      </c>
      <c r="B97" s="1277">
        <v>0</v>
      </c>
      <c r="E97" s="1248">
        <v>83</v>
      </c>
      <c r="F97" s="1248">
        <v>254</v>
      </c>
      <c r="G97" s="1252">
        <v>177</v>
      </c>
    </row>
    <row r="98" spans="1:8" x14ac:dyDescent="0.2">
      <c r="A98" s="1265">
        <v>87</v>
      </c>
      <c r="B98" s="1277">
        <v>0</v>
      </c>
      <c r="E98" s="1248">
        <v>84</v>
      </c>
      <c r="F98" s="1248">
        <v>261</v>
      </c>
      <c r="G98" s="1252">
        <v>183</v>
      </c>
    </row>
    <row r="99" spans="1:8" x14ac:dyDescent="0.2">
      <c r="A99" s="1265">
        <v>88</v>
      </c>
      <c r="B99" s="1277">
        <v>0</v>
      </c>
      <c r="E99" s="1248">
        <v>85</v>
      </c>
      <c r="F99" s="1248">
        <v>269</v>
      </c>
      <c r="G99" s="1252">
        <v>189</v>
      </c>
    </row>
    <row r="100" spans="1:8" x14ac:dyDescent="0.2">
      <c r="A100" s="1265">
        <v>89</v>
      </c>
      <c r="B100" s="1277">
        <v>0</v>
      </c>
      <c r="E100" s="1248">
        <v>86</v>
      </c>
      <c r="F100" s="1248">
        <v>269</v>
      </c>
      <c r="G100" s="1252">
        <v>189</v>
      </c>
    </row>
    <row r="101" spans="1:8" x14ac:dyDescent="0.2">
      <c r="A101" s="1265">
        <v>90</v>
      </c>
      <c r="B101" s="1277">
        <v>0</v>
      </c>
      <c r="E101" s="1248">
        <v>87</v>
      </c>
      <c r="F101" s="1248">
        <v>269</v>
      </c>
      <c r="G101" s="1252">
        <v>189</v>
      </c>
    </row>
    <row r="102" spans="1:8" x14ac:dyDescent="0.2">
      <c r="A102" s="1265">
        <v>91</v>
      </c>
      <c r="B102" s="1277">
        <v>0</v>
      </c>
      <c r="E102" s="1248">
        <v>88</v>
      </c>
      <c r="F102" s="1248">
        <v>269</v>
      </c>
      <c r="G102" s="1252">
        <v>189</v>
      </c>
    </row>
    <row r="103" spans="1:8" x14ac:dyDescent="0.2">
      <c r="A103" s="1265">
        <v>92</v>
      </c>
      <c r="B103" s="1277">
        <v>0</v>
      </c>
      <c r="E103" s="1248">
        <v>89</v>
      </c>
      <c r="F103" s="1248">
        <v>269</v>
      </c>
      <c r="G103" s="1252">
        <v>189</v>
      </c>
    </row>
    <row r="104" spans="1:8" x14ac:dyDescent="0.2">
      <c r="A104" s="1265">
        <v>93</v>
      </c>
      <c r="B104" s="1277">
        <v>0</v>
      </c>
      <c r="E104" s="1248">
        <v>90</v>
      </c>
      <c r="F104" s="1248">
        <v>269</v>
      </c>
      <c r="G104" s="1252">
        <v>189</v>
      </c>
    </row>
    <row r="105" spans="1:8" x14ac:dyDescent="0.2">
      <c r="A105" s="1265">
        <v>94</v>
      </c>
      <c r="B105" s="1277">
        <v>0</v>
      </c>
      <c r="E105" s="1248">
        <v>91</v>
      </c>
      <c r="F105" s="1248">
        <v>269</v>
      </c>
      <c r="G105" s="1252">
        <v>189</v>
      </c>
    </row>
    <row r="106" spans="1:8" x14ac:dyDescent="0.2">
      <c r="A106" s="1265">
        <v>95</v>
      </c>
      <c r="B106" s="1277">
        <v>0</v>
      </c>
      <c r="E106" s="1248">
        <v>92</v>
      </c>
      <c r="F106" s="1248">
        <v>269</v>
      </c>
      <c r="G106" s="1252">
        <v>189</v>
      </c>
    </row>
    <row r="107" spans="1:8" x14ac:dyDescent="0.2">
      <c r="A107" s="1265">
        <v>96</v>
      </c>
      <c r="B107" s="1277">
        <v>0</v>
      </c>
      <c r="E107" s="1248">
        <v>93</v>
      </c>
      <c r="F107" s="1248">
        <v>269</v>
      </c>
      <c r="G107" s="1252">
        <v>189</v>
      </c>
    </row>
    <row r="108" spans="1:8" x14ac:dyDescent="0.2">
      <c r="A108" s="1265">
        <v>97</v>
      </c>
      <c r="B108" s="1277">
        <v>0</v>
      </c>
      <c r="E108" s="1248">
        <v>94</v>
      </c>
      <c r="F108" s="1248">
        <v>269</v>
      </c>
      <c r="G108" s="1252">
        <v>189</v>
      </c>
      <c r="H108" s="1266"/>
    </row>
    <row r="109" spans="1:8" x14ac:dyDescent="0.2">
      <c r="A109" s="1265">
        <v>98</v>
      </c>
      <c r="B109" s="1277">
        <v>0</v>
      </c>
      <c r="E109" s="1248">
        <v>95</v>
      </c>
      <c r="F109" s="1248">
        <v>269</v>
      </c>
      <c r="G109" s="1252">
        <v>189</v>
      </c>
    </row>
    <row r="110" spans="1:8" x14ac:dyDescent="0.2">
      <c r="A110" s="1265">
        <v>99</v>
      </c>
      <c r="B110" s="1277">
        <v>0</v>
      </c>
      <c r="E110" s="1248">
        <v>96</v>
      </c>
      <c r="F110" s="1248">
        <v>269</v>
      </c>
      <c r="G110" s="1252">
        <v>189</v>
      </c>
    </row>
    <row r="111" spans="1:8" x14ac:dyDescent="0.2">
      <c r="A111" s="1265">
        <v>100</v>
      </c>
      <c r="B111" s="1277">
        <v>0</v>
      </c>
      <c r="E111" s="1248">
        <v>97</v>
      </c>
      <c r="F111" s="1248">
        <v>269</v>
      </c>
      <c r="G111" s="1252">
        <v>189</v>
      </c>
    </row>
    <row r="112" spans="1:8" x14ac:dyDescent="0.2">
      <c r="A112" s="1265">
        <v>101</v>
      </c>
      <c r="B112" s="1277">
        <v>0</v>
      </c>
      <c r="E112" s="1248">
        <v>98</v>
      </c>
      <c r="F112" s="1248">
        <v>269</v>
      </c>
      <c r="G112" s="1252">
        <v>189</v>
      </c>
    </row>
    <row r="113" spans="1:7" x14ac:dyDescent="0.2">
      <c r="A113" s="1265">
        <v>102</v>
      </c>
      <c r="B113" s="1277">
        <v>0</v>
      </c>
      <c r="E113" s="1248">
        <v>99</v>
      </c>
      <c r="F113" s="1248">
        <v>269</v>
      </c>
      <c r="G113" s="1252">
        <v>189</v>
      </c>
    </row>
    <row r="114" spans="1:7" x14ac:dyDescent="0.2">
      <c r="A114" s="1265">
        <v>103</v>
      </c>
      <c r="B114" s="1277">
        <v>0</v>
      </c>
      <c r="E114" s="1248">
        <v>100</v>
      </c>
      <c r="F114" s="1248">
        <v>269</v>
      </c>
      <c r="G114" s="1252">
        <v>189</v>
      </c>
    </row>
    <row r="115" spans="1:7" x14ac:dyDescent="0.2">
      <c r="A115" s="1265">
        <v>104</v>
      </c>
      <c r="B115" s="1277">
        <v>0</v>
      </c>
    </row>
    <row r="116" spans="1:7" x14ac:dyDescent="0.2">
      <c r="A116" s="1265">
        <v>105</v>
      </c>
      <c r="B116" s="1277">
        <v>0</v>
      </c>
    </row>
    <row r="117" spans="1:7" x14ac:dyDescent="0.2">
      <c r="A117" s="1265">
        <v>106</v>
      </c>
      <c r="B117" s="1277">
        <v>0</v>
      </c>
    </row>
    <row r="118" spans="1:7" x14ac:dyDescent="0.2">
      <c r="A118" s="1265">
        <v>107</v>
      </c>
      <c r="B118" s="1277">
        <v>0</v>
      </c>
    </row>
    <row r="119" spans="1:7" x14ac:dyDescent="0.2">
      <c r="A119" s="1265">
        <v>108</v>
      </c>
      <c r="B119" s="1277">
        <v>0</v>
      </c>
    </row>
    <row r="120" spans="1:7" x14ac:dyDescent="0.2">
      <c r="A120" s="1265">
        <v>109</v>
      </c>
      <c r="B120" s="1277">
        <v>0</v>
      </c>
    </row>
    <row r="121" spans="1:7" x14ac:dyDescent="0.2">
      <c r="A121" s="1265">
        <v>110</v>
      </c>
      <c r="B121" s="1277">
        <v>0</v>
      </c>
    </row>
    <row r="122" spans="1:7" x14ac:dyDescent="0.2">
      <c r="A122" s="1265">
        <v>111</v>
      </c>
      <c r="B122" s="1277">
        <v>0</v>
      </c>
    </row>
    <row r="123" spans="1:7" x14ac:dyDescent="0.2">
      <c r="A123" s="1265">
        <v>112</v>
      </c>
      <c r="B123" s="1277">
        <v>0</v>
      </c>
    </row>
    <row r="124" spans="1:7" x14ac:dyDescent="0.2">
      <c r="A124" s="1265">
        <v>113</v>
      </c>
      <c r="B124" s="1277">
        <v>0</v>
      </c>
    </row>
    <row r="125" spans="1:7" x14ac:dyDescent="0.2">
      <c r="A125" s="1265">
        <v>114</v>
      </c>
      <c r="B125" s="1277">
        <v>0</v>
      </c>
    </row>
    <row r="126" spans="1:7" x14ac:dyDescent="0.2">
      <c r="A126" s="1265">
        <v>115</v>
      </c>
      <c r="B126" s="1277">
        <v>0</v>
      </c>
    </row>
    <row r="127" spans="1:7" x14ac:dyDescent="0.2">
      <c r="A127" s="1265">
        <v>116</v>
      </c>
      <c r="B127" s="1277">
        <v>0</v>
      </c>
    </row>
    <row r="128" spans="1:7" x14ac:dyDescent="0.2">
      <c r="A128" s="1265">
        <v>117</v>
      </c>
      <c r="B128" s="1277">
        <v>0</v>
      </c>
    </row>
    <row r="129" spans="1:2" x14ac:dyDescent="0.2">
      <c r="A129" s="1265">
        <v>118</v>
      </c>
      <c r="B129" s="1277">
        <v>0</v>
      </c>
    </row>
    <row r="130" spans="1:2" x14ac:dyDescent="0.2">
      <c r="A130" s="1265">
        <v>119</v>
      </c>
      <c r="B130" s="1277">
        <v>0</v>
      </c>
    </row>
    <row r="131" spans="1:2" x14ac:dyDescent="0.2">
      <c r="A131" s="1265">
        <v>120</v>
      </c>
      <c r="B131" s="1277">
        <v>0</v>
      </c>
    </row>
    <row r="132" spans="1:2" x14ac:dyDescent="0.2">
      <c r="A132" s="1265">
        <v>121</v>
      </c>
      <c r="B132" s="1277">
        <v>0</v>
      </c>
    </row>
    <row r="133" spans="1:2" x14ac:dyDescent="0.2">
      <c r="A133" s="1265">
        <v>122</v>
      </c>
      <c r="B133" s="1277">
        <v>0</v>
      </c>
    </row>
    <row r="134" spans="1:2" x14ac:dyDescent="0.2">
      <c r="A134" s="1265">
        <v>123</v>
      </c>
      <c r="B134" s="1277">
        <v>0</v>
      </c>
    </row>
    <row r="135" spans="1:2" x14ac:dyDescent="0.2">
      <c r="A135" s="1265">
        <v>124</v>
      </c>
      <c r="B135" s="1277">
        <v>0</v>
      </c>
    </row>
    <row r="136" spans="1:2" x14ac:dyDescent="0.2">
      <c r="A136" s="1265">
        <v>125</v>
      </c>
      <c r="B136" s="1277">
        <v>0</v>
      </c>
    </row>
    <row r="137" spans="1:2" x14ac:dyDescent="0.2">
      <c r="A137" s="1265">
        <v>126</v>
      </c>
      <c r="B137" s="1277">
        <v>0</v>
      </c>
    </row>
    <row r="138" spans="1:2" x14ac:dyDescent="0.2">
      <c r="A138" s="1265">
        <v>127</v>
      </c>
      <c r="B138" s="1277">
        <v>0</v>
      </c>
    </row>
    <row r="139" spans="1:2" x14ac:dyDescent="0.2">
      <c r="A139" s="1265">
        <v>128</v>
      </c>
      <c r="B139" s="1277">
        <v>0</v>
      </c>
    </row>
    <row r="140" spans="1:2" x14ac:dyDescent="0.2">
      <c r="A140" s="1265">
        <v>129</v>
      </c>
      <c r="B140" s="1277">
        <v>0</v>
      </c>
    </row>
    <row r="141" spans="1:2" x14ac:dyDescent="0.2">
      <c r="A141" s="1265">
        <v>130</v>
      </c>
      <c r="B141" s="1277">
        <v>0</v>
      </c>
    </row>
    <row r="142" spans="1:2" x14ac:dyDescent="0.2">
      <c r="A142" s="1265">
        <v>131</v>
      </c>
      <c r="B142" s="1277">
        <v>0</v>
      </c>
    </row>
    <row r="143" spans="1:2" x14ac:dyDescent="0.2">
      <c r="A143" s="1265">
        <v>132</v>
      </c>
      <c r="B143" s="1277">
        <v>0</v>
      </c>
    </row>
    <row r="144" spans="1:2" x14ac:dyDescent="0.2">
      <c r="A144" s="1265">
        <v>133</v>
      </c>
      <c r="B144" s="1277">
        <v>0</v>
      </c>
    </row>
    <row r="145" spans="1:2" x14ac:dyDescent="0.2">
      <c r="A145" s="1265">
        <v>134</v>
      </c>
      <c r="B145" s="1277">
        <v>0</v>
      </c>
    </row>
    <row r="146" spans="1:2" x14ac:dyDescent="0.2">
      <c r="A146" s="1265">
        <v>135</v>
      </c>
      <c r="B146" s="1277">
        <v>0</v>
      </c>
    </row>
    <row r="147" spans="1:2" x14ac:dyDescent="0.2">
      <c r="A147" s="1265">
        <v>136</v>
      </c>
      <c r="B147" s="1277">
        <v>0</v>
      </c>
    </row>
    <row r="148" spans="1:2" x14ac:dyDescent="0.2">
      <c r="A148" s="1265">
        <v>137</v>
      </c>
      <c r="B148" s="1277">
        <v>0</v>
      </c>
    </row>
    <row r="149" spans="1:2" x14ac:dyDescent="0.2">
      <c r="A149" s="1265">
        <v>138</v>
      </c>
      <c r="B149" s="1277">
        <v>0</v>
      </c>
    </row>
    <row r="150" spans="1:2" x14ac:dyDescent="0.2">
      <c r="A150" s="1265">
        <v>139</v>
      </c>
      <c r="B150" s="1277">
        <v>0</v>
      </c>
    </row>
    <row r="151" spans="1:2" x14ac:dyDescent="0.2">
      <c r="A151" s="1265">
        <v>140</v>
      </c>
      <c r="B151" s="1277">
        <v>0</v>
      </c>
    </row>
    <row r="152" spans="1:2" x14ac:dyDescent="0.2">
      <c r="A152" s="1265">
        <v>141</v>
      </c>
      <c r="B152" s="1277">
        <v>0</v>
      </c>
    </row>
    <row r="153" spans="1:2" x14ac:dyDescent="0.2">
      <c r="A153" s="1265">
        <v>142</v>
      </c>
      <c r="B153" s="1277">
        <v>0</v>
      </c>
    </row>
    <row r="154" spans="1:2" x14ac:dyDescent="0.2">
      <c r="A154" s="1265">
        <v>143</v>
      </c>
      <c r="B154" s="1277">
        <v>0</v>
      </c>
    </row>
    <row r="155" spans="1:2" x14ac:dyDescent="0.2">
      <c r="A155" s="1265">
        <v>144</v>
      </c>
      <c r="B155" s="1277">
        <v>0</v>
      </c>
    </row>
    <row r="156" spans="1:2" x14ac:dyDescent="0.2">
      <c r="A156" s="1265">
        <v>145</v>
      </c>
      <c r="B156" s="1277">
        <v>0</v>
      </c>
    </row>
    <row r="157" spans="1:2" x14ac:dyDescent="0.2">
      <c r="A157" s="1265">
        <v>146</v>
      </c>
      <c r="B157" s="1277">
        <v>0</v>
      </c>
    </row>
    <row r="158" spans="1:2" x14ac:dyDescent="0.2">
      <c r="A158" s="1265">
        <v>147</v>
      </c>
      <c r="B158" s="1277">
        <v>0</v>
      </c>
    </row>
    <row r="159" spans="1:2" x14ac:dyDescent="0.2">
      <c r="A159" s="1265">
        <v>148</v>
      </c>
      <c r="B159" s="1277">
        <v>0</v>
      </c>
    </row>
    <row r="160" spans="1:2" x14ac:dyDescent="0.2">
      <c r="A160" s="1265">
        <v>149</v>
      </c>
      <c r="B160" s="1277">
        <v>0</v>
      </c>
    </row>
    <row r="161" spans="1:2" x14ac:dyDescent="0.2">
      <c r="A161" s="1293">
        <v>150</v>
      </c>
      <c r="B161" s="1277">
        <v>0</v>
      </c>
    </row>
    <row r="162" spans="1:2" x14ac:dyDescent="0.2">
      <c r="A162" s="1293">
        <v>151</v>
      </c>
      <c r="B162" s="1277">
        <v>2.5000000000000001E-3</v>
      </c>
    </row>
    <row r="163" spans="1:2" x14ac:dyDescent="0.2">
      <c r="A163" s="1293">
        <v>152</v>
      </c>
      <c r="B163" s="1277">
        <v>5.0000000000000001E-3</v>
      </c>
    </row>
    <row r="164" spans="1:2" x14ac:dyDescent="0.2">
      <c r="A164" s="1293">
        <v>153</v>
      </c>
      <c r="B164" s="1277">
        <v>7.4999999999999997E-3</v>
      </c>
    </row>
    <row r="165" spans="1:2" x14ac:dyDescent="0.2">
      <c r="A165" s="1293">
        <v>154</v>
      </c>
      <c r="B165" s="1277">
        <v>0.01</v>
      </c>
    </row>
    <row r="166" spans="1:2" x14ac:dyDescent="0.2">
      <c r="A166" s="1293">
        <v>155</v>
      </c>
      <c r="B166" s="1277">
        <v>1.2500000000000001E-2</v>
      </c>
    </row>
    <row r="167" spans="1:2" x14ac:dyDescent="0.2">
      <c r="A167" s="1293">
        <v>156</v>
      </c>
      <c r="B167" s="1277">
        <v>1.4999999999999999E-2</v>
      </c>
    </row>
    <row r="168" spans="1:2" x14ac:dyDescent="0.2">
      <c r="A168" s="1293">
        <v>157</v>
      </c>
      <c r="B168" s="1277">
        <v>1.7500000000000002E-2</v>
      </c>
    </row>
    <row r="169" spans="1:2" x14ac:dyDescent="0.2">
      <c r="A169" s="1293">
        <v>158</v>
      </c>
      <c r="B169" s="1277">
        <v>0.02</v>
      </c>
    </row>
    <row r="170" spans="1:2" x14ac:dyDescent="0.2">
      <c r="A170" s="1293">
        <v>159</v>
      </c>
      <c r="B170" s="1277">
        <v>2.2499999999999999E-2</v>
      </c>
    </row>
    <row r="171" spans="1:2" x14ac:dyDescent="0.2">
      <c r="A171" s="1293">
        <v>160</v>
      </c>
      <c r="B171" s="1277">
        <v>2.5000000000000001E-2</v>
      </c>
    </row>
    <row r="172" spans="1:2" x14ac:dyDescent="0.2">
      <c r="A172" s="1293">
        <v>161</v>
      </c>
      <c r="B172" s="1277">
        <v>2.75E-2</v>
      </c>
    </row>
    <row r="173" spans="1:2" x14ac:dyDescent="0.2">
      <c r="A173" s="1293">
        <v>162</v>
      </c>
      <c r="B173" s="1277">
        <v>0.03</v>
      </c>
    </row>
    <row r="174" spans="1:2" x14ac:dyDescent="0.2">
      <c r="A174" s="1293">
        <v>163</v>
      </c>
      <c r="B174" s="1277">
        <v>3.2500000000000001E-2</v>
      </c>
    </row>
    <row r="175" spans="1:2" x14ac:dyDescent="0.2">
      <c r="A175" s="1293">
        <v>164</v>
      </c>
      <c r="B175" s="1277">
        <v>3.5000000000000003E-2</v>
      </c>
    </row>
    <row r="176" spans="1:2" x14ac:dyDescent="0.2">
      <c r="A176" s="1293">
        <v>165</v>
      </c>
      <c r="B176" s="1277">
        <v>3.7499999999999999E-2</v>
      </c>
    </row>
    <row r="177" spans="1:2" x14ac:dyDescent="0.2">
      <c r="A177" s="1293">
        <v>166</v>
      </c>
      <c r="B177" s="1277">
        <v>0.04</v>
      </c>
    </row>
    <row r="178" spans="1:2" x14ac:dyDescent="0.2">
      <c r="A178" s="1293">
        <v>167</v>
      </c>
      <c r="B178" s="1277">
        <v>4.2500000000000003E-2</v>
      </c>
    </row>
    <row r="179" spans="1:2" x14ac:dyDescent="0.2">
      <c r="A179" s="1293">
        <v>168</v>
      </c>
      <c r="B179" s="1277">
        <v>4.4999999999999998E-2</v>
      </c>
    </row>
    <row r="180" spans="1:2" x14ac:dyDescent="0.2">
      <c r="A180" s="1293">
        <v>169</v>
      </c>
      <c r="B180" s="1277">
        <v>4.7500000000000001E-2</v>
      </c>
    </row>
    <row r="181" spans="1:2" x14ac:dyDescent="0.2">
      <c r="A181" s="1293">
        <v>170</v>
      </c>
      <c r="B181" s="1277">
        <v>0.05</v>
      </c>
    </row>
    <row r="182" spans="1:2" x14ac:dyDescent="0.2">
      <c r="A182" s="1293">
        <v>171</v>
      </c>
      <c r="B182" s="1277">
        <v>5.2499999999999998E-2</v>
      </c>
    </row>
    <row r="183" spans="1:2" x14ac:dyDescent="0.2">
      <c r="A183" s="1293">
        <v>172</v>
      </c>
      <c r="B183" s="1277">
        <v>5.5E-2</v>
      </c>
    </row>
    <row r="184" spans="1:2" x14ac:dyDescent="0.2">
      <c r="A184" s="1293">
        <v>173</v>
      </c>
      <c r="B184" s="1277">
        <v>5.7500000000000002E-2</v>
      </c>
    </row>
    <row r="185" spans="1:2" x14ac:dyDescent="0.2">
      <c r="A185" s="1293">
        <v>174</v>
      </c>
      <c r="B185" s="1277">
        <v>0.06</v>
      </c>
    </row>
    <row r="186" spans="1:2" x14ac:dyDescent="0.2">
      <c r="A186" s="1293">
        <v>175</v>
      </c>
      <c r="B186" s="1277">
        <v>6.25E-2</v>
      </c>
    </row>
    <row r="187" spans="1:2" x14ac:dyDescent="0.2">
      <c r="A187" s="1293">
        <v>176</v>
      </c>
      <c r="B187" s="1277">
        <v>6.5000000000000002E-2</v>
      </c>
    </row>
    <row r="188" spans="1:2" x14ac:dyDescent="0.2">
      <c r="A188" s="1293">
        <v>177</v>
      </c>
      <c r="B188" s="1277">
        <v>6.7500000000000004E-2</v>
      </c>
    </row>
    <row r="189" spans="1:2" x14ac:dyDescent="0.2">
      <c r="A189" s="1293">
        <v>178</v>
      </c>
      <c r="B189" s="1277">
        <v>7.0000000000000007E-2</v>
      </c>
    </row>
    <row r="190" spans="1:2" x14ac:dyDescent="0.2">
      <c r="A190" s="1293">
        <v>179</v>
      </c>
      <c r="B190" s="1277">
        <v>7.2499999999999995E-2</v>
      </c>
    </row>
    <row r="191" spans="1:2" x14ac:dyDescent="0.2">
      <c r="A191" s="1293">
        <v>180</v>
      </c>
      <c r="B191" s="1277">
        <v>7.4999999999999997E-2</v>
      </c>
    </row>
    <row r="192" spans="1:2" x14ac:dyDescent="0.2">
      <c r="A192" s="1293">
        <v>181</v>
      </c>
      <c r="B192" s="1277">
        <v>7.7499999999999999E-2</v>
      </c>
    </row>
    <row r="193" spans="1:2" x14ac:dyDescent="0.2">
      <c r="A193" s="1293">
        <v>182</v>
      </c>
      <c r="B193" s="1277">
        <v>0.08</v>
      </c>
    </row>
    <row r="194" spans="1:2" x14ac:dyDescent="0.2">
      <c r="A194" s="1293">
        <v>183</v>
      </c>
      <c r="B194" s="1277">
        <v>8.2500000000000004E-2</v>
      </c>
    </row>
    <row r="195" spans="1:2" x14ac:dyDescent="0.2">
      <c r="A195" s="1293">
        <v>184</v>
      </c>
      <c r="B195" s="1277">
        <v>8.5000000000000006E-2</v>
      </c>
    </row>
    <row r="196" spans="1:2" x14ac:dyDescent="0.2">
      <c r="A196" s="1293">
        <v>185</v>
      </c>
      <c r="B196" s="1277">
        <v>8.7499999999999994E-2</v>
      </c>
    </row>
    <row r="197" spans="1:2" x14ac:dyDescent="0.2">
      <c r="A197" s="1293">
        <v>186</v>
      </c>
      <c r="B197" s="1277">
        <v>0.09</v>
      </c>
    </row>
    <row r="198" spans="1:2" x14ac:dyDescent="0.2">
      <c r="A198" s="1293">
        <v>187</v>
      </c>
      <c r="B198" s="1277">
        <v>9.2499999999999999E-2</v>
      </c>
    </row>
    <row r="199" spans="1:2" x14ac:dyDescent="0.2">
      <c r="A199" s="1293">
        <v>188</v>
      </c>
      <c r="B199" s="1277">
        <v>9.5000000000000001E-2</v>
      </c>
    </row>
    <row r="200" spans="1:2" x14ac:dyDescent="0.2">
      <c r="A200" s="1293">
        <v>189</v>
      </c>
      <c r="B200" s="1277">
        <v>9.7500000000000003E-2</v>
      </c>
    </row>
    <row r="201" spans="1:2" x14ac:dyDescent="0.2">
      <c r="A201" s="1293">
        <v>190</v>
      </c>
      <c r="B201" s="1277">
        <v>0.1</v>
      </c>
    </row>
    <row r="202" spans="1:2" x14ac:dyDescent="0.2">
      <c r="A202" s="1293">
        <v>191</v>
      </c>
      <c r="B202" s="1277">
        <v>0.10249999999999999</v>
      </c>
    </row>
    <row r="203" spans="1:2" x14ac:dyDescent="0.2">
      <c r="A203" s="1293">
        <v>192</v>
      </c>
      <c r="B203" s="1277">
        <v>0.105</v>
      </c>
    </row>
    <row r="204" spans="1:2" x14ac:dyDescent="0.2">
      <c r="A204" s="1293">
        <v>193</v>
      </c>
      <c r="B204" s="1277">
        <v>0.1075</v>
      </c>
    </row>
    <row r="205" spans="1:2" x14ac:dyDescent="0.2">
      <c r="A205" s="1293">
        <v>194</v>
      </c>
      <c r="B205" s="1277">
        <v>0.11</v>
      </c>
    </row>
    <row r="206" spans="1:2" x14ac:dyDescent="0.2">
      <c r="A206" s="1293">
        <v>195</v>
      </c>
      <c r="B206" s="1277">
        <v>0.1125</v>
      </c>
    </row>
    <row r="207" spans="1:2" x14ac:dyDescent="0.2">
      <c r="A207" s="1293">
        <v>196</v>
      </c>
      <c r="B207" s="1277">
        <v>0.115</v>
      </c>
    </row>
    <row r="208" spans="1:2" x14ac:dyDescent="0.2">
      <c r="A208" s="1293">
        <v>197</v>
      </c>
      <c r="B208" s="1277">
        <v>0.11749999999999999</v>
      </c>
    </row>
    <row r="209" spans="1:2" x14ac:dyDescent="0.2">
      <c r="A209" s="1293">
        <v>198</v>
      </c>
      <c r="B209" s="1277">
        <v>0.12</v>
      </c>
    </row>
    <row r="210" spans="1:2" x14ac:dyDescent="0.2">
      <c r="A210" s="1293">
        <v>199</v>
      </c>
      <c r="B210" s="1277">
        <v>0.1225</v>
      </c>
    </row>
    <row r="211" spans="1:2" x14ac:dyDescent="0.2">
      <c r="A211" s="1293">
        <v>200</v>
      </c>
      <c r="B211" s="1277">
        <v>0.125</v>
      </c>
    </row>
    <row r="212" spans="1:2" x14ac:dyDescent="0.2">
      <c r="A212" s="1293">
        <v>201</v>
      </c>
      <c r="B212" s="1277">
        <v>0.1275</v>
      </c>
    </row>
    <row r="213" spans="1:2" x14ac:dyDescent="0.2">
      <c r="A213" s="1293">
        <v>202</v>
      </c>
      <c r="B213" s="1277">
        <v>0.13</v>
      </c>
    </row>
    <row r="214" spans="1:2" x14ac:dyDescent="0.2">
      <c r="A214" s="1293">
        <v>203</v>
      </c>
      <c r="B214" s="1277">
        <v>0.13250000000000001</v>
      </c>
    </row>
    <row r="215" spans="1:2" x14ac:dyDescent="0.2">
      <c r="A215" s="1293">
        <v>204</v>
      </c>
      <c r="B215" s="1277">
        <v>0.13500000000000001</v>
      </c>
    </row>
    <row r="216" spans="1:2" x14ac:dyDescent="0.2">
      <c r="A216" s="1293">
        <v>205</v>
      </c>
      <c r="B216" s="1277">
        <v>0.13750000000000001</v>
      </c>
    </row>
    <row r="217" spans="1:2" x14ac:dyDescent="0.2">
      <c r="A217" s="1293">
        <v>206</v>
      </c>
      <c r="B217" s="1277">
        <v>0.14000000000000001</v>
      </c>
    </row>
    <row r="218" spans="1:2" x14ac:dyDescent="0.2">
      <c r="A218" s="1293">
        <v>207</v>
      </c>
      <c r="B218" s="1277">
        <v>0.14249999999999999</v>
      </c>
    </row>
    <row r="219" spans="1:2" x14ac:dyDescent="0.2">
      <c r="A219" s="1293">
        <v>208</v>
      </c>
      <c r="B219" s="1277">
        <v>0.14499999999999999</v>
      </c>
    </row>
    <row r="220" spans="1:2" x14ac:dyDescent="0.2">
      <c r="A220" s="1293">
        <v>209</v>
      </c>
      <c r="B220" s="1277">
        <v>0.14749999999999999</v>
      </c>
    </row>
    <row r="221" spans="1:2" x14ac:dyDescent="0.2">
      <c r="A221" s="1293">
        <v>210</v>
      </c>
      <c r="B221" s="1277">
        <v>0.15</v>
      </c>
    </row>
    <row r="222" spans="1:2" x14ac:dyDescent="0.2">
      <c r="A222" s="1293">
        <v>211</v>
      </c>
      <c r="B222" s="1277">
        <v>0.1525</v>
      </c>
    </row>
    <row r="223" spans="1:2" x14ac:dyDescent="0.2">
      <c r="A223" s="1293">
        <v>212</v>
      </c>
      <c r="B223" s="1277">
        <v>0.155</v>
      </c>
    </row>
    <row r="224" spans="1:2" x14ac:dyDescent="0.2">
      <c r="A224" s="1293">
        <v>213</v>
      </c>
      <c r="B224" s="1277">
        <v>0.1575</v>
      </c>
    </row>
    <row r="225" spans="1:2" x14ac:dyDescent="0.2">
      <c r="A225" s="1293">
        <v>214</v>
      </c>
      <c r="B225" s="1277">
        <v>0.16</v>
      </c>
    </row>
    <row r="226" spans="1:2" x14ac:dyDescent="0.2">
      <c r="A226" s="1293">
        <v>215</v>
      </c>
      <c r="B226" s="1277">
        <v>0.16250000000000001</v>
      </c>
    </row>
    <row r="227" spans="1:2" x14ac:dyDescent="0.2">
      <c r="A227" s="1293">
        <v>216</v>
      </c>
      <c r="B227" s="1277">
        <v>0.16500000000000001</v>
      </c>
    </row>
    <row r="228" spans="1:2" x14ac:dyDescent="0.2">
      <c r="A228" s="1293">
        <v>217</v>
      </c>
      <c r="B228" s="1277">
        <v>0.16750000000000001</v>
      </c>
    </row>
    <row r="229" spans="1:2" x14ac:dyDescent="0.2">
      <c r="A229" s="1293">
        <v>218</v>
      </c>
      <c r="B229" s="1277">
        <v>0.17</v>
      </c>
    </row>
    <row r="230" spans="1:2" x14ac:dyDescent="0.2">
      <c r="A230" s="1293">
        <v>219</v>
      </c>
      <c r="B230" s="1277">
        <v>0.17249999999999999</v>
      </c>
    </row>
    <row r="231" spans="1:2" x14ac:dyDescent="0.2">
      <c r="A231" s="1293">
        <v>220</v>
      </c>
      <c r="B231" s="1277">
        <v>0.17499999999999999</v>
      </c>
    </row>
    <row r="232" spans="1:2" x14ac:dyDescent="0.2">
      <c r="A232" s="1293">
        <v>221</v>
      </c>
      <c r="B232" s="1277">
        <v>0.17749999999999999</v>
      </c>
    </row>
    <row r="233" spans="1:2" x14ac:dyDescent="0.2">
      <c r="A233" s="1293">
        <v>222</v>
      </c>
      <c r="B233" s="1277">
        <v>0.18</v>
      </c>
    </row>
    <row r="234" spans="1:2" x14ac:dyDescent="0.2">
      <c r="A234" s="1293">
        <v>223</v>
      </c>
      <c r="B234" s="1277">
        <v>0.1825</v>
      </c>
    </row>
    <row r="235" spans="1:2" x14ac:dyDescent="0.2">
      <c r="A235" s="1293">
        <v>224</v>
      </c>
      <c r="B235" s="1277">
        <v>0.185</v>
      </c>
    </row>
    <row r="236" spans="1:2" x14ac:dyDescent="0.2">
      <c r="A236" s="1293">
        <v>225</v>
      </c>
      <c r="B236" s="1277">
        <v>0.1875</v>
      </c>
    </row>
    <row r="237" spans="1:2" x14ac:dyDescent="0.2">
      <c r="A237" s="1293">
        <v>226</v>
      </c>
      <c r="B237" s="1277">
        <v>0.19</v>
      </c>
    </row>
    <row r="238" spans="1:2" x14ac:dyDescent="0.2">
      <c r="A238" s="1293">
        <v>227</v>
      </c>
      <c r="B238" s="1277">
        <v>0.1925</v>
      </c>
    </row>
    <row r="239" spans="1:2" x14ac:dyDescent="0.2">
      <c r="A239" s="1293">
        <v>228</v>
      </c>
      <c r="B239" s="1277">
        <v>0.19500000000000001</v>
      </c>
    </row>
    <row r="240" spans="1:2" x14ac:dyDescent="0.2">
      <c r="A240" s="1293">
        <v>229</v>
      </c>
      <c r="B240" s="1277">
        <v>0.19750000000000001</v>
      </c>
    </row>
    <row r="241" spans="1:2" x14ac:dyDescent="0.2">
      <c r="A241" s="1293">
        <v>230</v>
      </c>
      <c r="B241" s="1277">
        <v>0.2</v>
      </c>
    </row>
    <row r="242" spans="1:2" x14ac:dyDescent="0.2">
      <c r="A242" s="1293">
        <v>231</v>
      </c>
      <c r="B242" s="1277">
        <v>0.20250000000000001</v>
      </c>
    </row>
    <row r="243" spans="1:2" x14ac:dyDescent="0.2">
      <c r="A243" s="1293">
        <v>232</v>
      </c>
      <c r="B243" s="1277">
        <v>0.20499999999999999</v>
      </c>
    </row>
    <row r="244" spans="1:2" x14ac:dyDescent="0.2">
      <c r="A244" s="1293">
        <v>233</v>
      </c>
      <c r="B244" s="1277">
        <v>0.20749999999999999</v>
      </c>
    </row>
    <row r="245" spans="1:2" x14ac:dyDescent="0.2">
      <c r="A245" s="1293">
        <v>234</v>
      </c>
      <c r="B245" s="1277">
        <v>0.21</v>
      </c>
    </row>
    <row r="246" spans="1:2" x14ac:dyDescent="0.2">
      <c r="A246" s="1293">
        <v>235</v>
      </c>
      <c r="B246" s="1277">
        <v>0.21249999999999999</v>
      </c>
    </row>
    <row r="247" spans="1:2" x14ac:dyDescent="0.2">
      <c r="A247" s="1293">
        <v>236</v>
      </c>
      <c r="B247" s="1277">
        <v>0.215</v>
      </c>
    </row>
    <row r="248" spans="1:2" x14ac:dyDescent="0.2">
      <c r="A248" s="1293">
        <v>237</v>
      </c>
      <c r="B248" s="1277">
        <v>0.2175</v>
      </c>
    </row>
    <row r="249" spans="1:2" x14ac:dyDescent="0.2">
      <c r="A249" s="1293">
        <v>238</v>
      </c>
      <c r="B249" s="1277">
        <v>0.22</v>
      </c>
    </row>
    <row r="250" spans="1:2" x14ac:dyDescent="0.2">
      <c r="A250" s="1293">
        <v>239</v>
      </c>
      <c r="B250" s="1277">
        <v>0.2225</v>
      </c>
    </row>
    <row r="251" spans="1:2" x14ac:dyDescent="0.2">
      <c r="A251" s="1293">
        <v>240</v>
      </c>
      <c r="B251" s="1277">
        <v>0.22500000000000001</v>
      </c>
    </row>
    <row r="252" spans="1:2" x14ac:dyDescent="0.2">
      <c r="A252" s="1293">
        <v>241</v>
      </c>
      <c r="B252" s="1277">
        <v>0.22750000000000001</v>
      </c>
    </row>
    <row r="253" spans="1:2" x14ac:dyDescent="0.2">
      <c r="A253" s="1293">
        <v>242</v>
      </c>
      <c r="B253" s="1277">
        <v>0.23</v>
      </c>
    </row>
    <row r="254" spans="1:2" x14ac:dyDescent="0.2">
      <c r="A254" s="1293">
        <v>243</v>
      </c>
      <c r="B254" s="1277">
        <v>0.23250000000000001</v>
      </c>
    </row>
    <row r="255" spans="1:2" x14ac:dyDescent="0.2">
      <c r="A255" s="1293">
        <v>244</v>
      </c>
      <c r="B255" s="1277">
        <v>0.23499999999999999</v>
      </c>
    </row>
    <row r="256" spans="1:2" x14ac:dyDescent="0.2">
      <c r="A256" s="1293">
        <v>245</v>
      </c>
      <c r="B256" s="1277">
        <v>0.23749999999999999</v>
      </c>
    </row>
    <row r="257" spans="1:2" x14ac:dyDescent="0.2">
      <c r="A257" s="1293">
        <v>246</v>
      </c>
      <c r="B257" s="1277">
        <v>0.24</v>
      </c>
    </row>
    <row r="258" spans="1:2" x14ac:dyDescent="0.2">
      <c r="A258" s="1293">
        <v>247</v>
      </c>
      <c r="B258" s="1277">
        <v>0.24249999999999999</v>
      </c>
    </row>
    <row r="259" spans="1:2" x14ac:dyDescent="0.2">
      <c r="A259" s="1293">
        <v>248</v>
      </c>
      <c r="B259" s="1277">
        <v>0.245</v>
      </c>
    </row>
    <row r="260" spans="1:2" x14ac:dyDescent="0.2">
      <c r="A260" s="1293">
        <v>249</v>
      </c>
      <c r="B260" s="1277">
        <v>0.2475</v>
      </c>
    </row>
    <row r="261" spans="1:2" x14ac:dyDescent="0.2">
      <c r="A261" s="1293">
        <v>250</v>
      </c>
      <c r="B261" s="1277">
        <v>0.25</v>
      </c>
    </row>
    <row r="262" spans="1:2" x14ac:dyDescent="0.2">
      <c r="A262" s="1293">
        <v>251</v>
      </c>
      <c r="B262" s="1277">
        <v>0.2525</v>
      </c>
    </row>
    <row r="263" spans="1:2" x14ac:dyDescent="0.2">
      <c r="A263" s="1293">
        <v>252</v>
      </c>
      <c r="B263" s="1277">
        <v>0.255</v>
      </c>
    </row>
    <row r="264" spans="1:2" x14ac:dyDescent="0.2">
      <c r="A264" s="1293">
        <v>253</v>
      </c>
      <c r="B264" s="1277">
        <v>0.25750000000000001</v>
      </c>
    </row>
    <row r="265" spans="1:2" x14ac:dyDescent="0.2">
      <c r="A265" s="1293">
        <v>254</v>
      </c>
      <c r="B265" s="1277">
        <v>0.26</v>
      </c>
    </row>
    <row r="266" spans="1:2" x14ac:dyDescent="0.2">
      <c r="A266" s="1293">
        <v>255</v>
      </c>
      <c r="B266" s="1277">
        <v>0.26250000000000001</v>
      </c>
    </row>
    <row r="267" spans="1:2" x14ac:dyDescent="0.2">
      <c r="A267" s="1293">
        <v>256</v>
      </c>
      <c r="B267" s="1277">
        <v>0.26500000000000001</v>
      </c>
    </row>
    <row r="268" spans="1:2" x14ac:dyDescent="0.2">
      <c r="A268" s="1293">
        <v>257</v>
      </c>
      <c r="B268" s="1277">
        <v>0.26750000000000002</v>
      </c>
    </row>
    <row r="269" spans="1:2" x14ac:dyDescent="0.2">
      <c r="A269" s="1293">
        <v>258</v>
      </c>
      <c r="B269" s="1277">
        <v>0.27</v>
      </c>
    </row>
    <row r="270" spans="1:2" x14ac:dyDescent="0.2">
      <c r="A270" s="1293">
        <v>259</v>
      </c>
      <c r="B270" s="1277">
        <v>0.27250000000000002</v>
      </c>
    </row>
    <row r="271" spans="1:2" x14ac:dyDescent="0.2">
      <c r="A271" s="1293">
        <v>260</v>
      </c>
      <c r="B271" s="1277">
        <v>0.27500000000000002</v>
      </c>
    </row>
    <row r="272" spans="1:2" x14ac:dyDescent="0.2">
      <c r="A272" s="1293">
        <v>261</v>
      </c>
      <c r="B272" s="1277">
        <v>0.27750000000000002</v>
      </c>
    </row>
    <row r="273" spans="1:2" x14ac:dyDescent="0.2">
      <c r="A273" s="1293">
        <v>262</v>
      </c>
      <c r="B273" s="1277">
        <v>0.28000000000000003</v>
      </c>
    </row>
    <row r="274" spans="1:2" x14ac:dyDescent="0.2">
      <c r="A274" s="1293">
        <v>263</v>
      </c>
      <c r="B274" s="1277">
        <v>0.28249999999999997</v>
      </c>
    </row>
    <row r="275" spans="1:2" x14ac:dyDescent="0.2">
      <c r="A275" s="1293">
        <v>264</v>
      </c>
      <c r="B275" s="1277">
        <v>0.28499999999999998</v>
      </c>
    </row>
    <row r="276" spans="1:2" x14ac:dyDescent="0.2">
      <c r="A276" s="1293">
        <v>265</v>
      </c>
      <c r="B276" s="1277">
        <v>0.28749999999999998</v>
      </c>
    </row>
    <row r="277" spans="1:2" x14ac:dyDescent="0.2">
      <c r="A277" s="1293">
        <v>266</v>
      </c>
      <c r="B277" s="1277">
        <v>0.28999999999999998</v>
      </c>
    </row>
    <row r="278" spans="1:2" x14ac:dyDescent="0.2">
      <c r="A278" s="1293">
        <v>267</v>
      </c>
      <c r="B278" s="1277">
        <v>0.29249999999999998</v>
      </c>
    </row>
    <row r="279" spans="1:2" x14ac:dyDescent="0.2">
      <c r="A279" s="1293">
        <v>268</v>
      </c>
      <c r="B279" s="1277">
        <v>0.29499999999999998</v>
      </c>
    </row>
    <row r="280" spans="1:2" x14ac:dyDescent="0.2">
      <c r="A280" s="1293">
        <v>269</v>
      </c>
      <c r="B280" s="1277">
        <v>0.29749999999999999</v>
      </c>
    </row>
    <row r="281" spans="1:2" x14ac:dyDescent="0.2">
      <c r="A281" s="1293">
        <v>270</v>
      </c>
      <c r="B281" s="1277">
        <v>0.3</v>
      </c>
    </row>
    <row r="282" spans="1:2" x14ac:dyDescent="0.2">
      <c r="A282" s="1293">
        <v>271</v>
      </c>
      <c r="B282" s="1277">
        <v>0.30249999999999999</v>
      </c>
    </row>
    <row r="283" spans="1:2" x14ac:dyDescent="0.2">
      <c r="A283" s="1293">
        <v>272</v>
      </c>
      <c r="B283" s="1277">
        <v>0.30499999999999999</v>
      </c>
    </row>
    <row r="284" spans="1:2" x14ac:dyDescent="0.2">
      <c r="A284" s="1293">
        <v>273</v>
      </c>
      <c r="B284" s="1277">
        <v>0.3075</v>
      </c>
    </row>
    <row r="285" spans="1:2" x14ac:dyDescent="0.2">
      <c r="A285" s="1293">
        <v>274</v>
      </c>
      <c r="B285" s="1277">
        <v>0.31</v>
      </c>
    </row>
    <row r="286" spans="1:2" x14ac:dyDescent="0.2">
      <c r="A286" s="1293">
        <v>275</v>
      </c>
      <c r="B286" s="1277">
        <v>0.3125</v>
      </c>
    </row>
    <row r="287" spans="1:2" x14ac:dyDescent="0.2">
      <c r="A287" s="1293">
        <v>276</v>
      </c>
      <c r="B287" s="1277">
        <v>0.315</v>
      </c>
    </row>
    <row r="288" spans="1:2" x14ac:dyDescent="0.2">
      <c r="A288" s="1293">
        <v>277</v>
      </c>
      <c r="B288" s="1277">
        <v>0.3175</v>
      </c>
    </row>
    <row r="289" spans="1:2" x14ac:dyDescent="0.2">
      <c r="A289" s="1293">
        <v>278</v>
      </c>
      <c r="B289" s="1277">
        <v>0.32</v>
      </c>
    </row>
    <row r="290" spans="1:2" x14ac:dyDescent="0.2">
      <c r="A290" s="1293">
        <v>279</v>
      </c>
      <c r="B290" s="1277">
        <v>0.32250000000000001</v>
      </c>
    </row>
    <row r="291" spans="1:2" x14ac:dyDescent="0.2">
      <c r="A291" s="1293">
        <v>280</v>
      </c>
      <c r="B291" s="1277">
        <v>0.32500000000000001</v>
      </c>
    </row>
    <row r="292" spans="1:2" x14ac:dyDescent="0.2">
      <c r="A292" s="1293">
        <v>281</v>
      </c>
      <c r="B292" s="1277">
        <v>0.32750000000000001</v>
      </c>
    </row>
    <row r="293" spans="1:2" x14ac:dyDescent="0.2">
      <c r="A293" s="1293">
        <v>282</v>
      </c>
      <c r="B293" s="1277">
        <v>0.33</v>
      </c>
    </row>
    <row r="294" spans="1:2" x14ac:dyDescent="0.2">
      <c r="A294" s="1293">
        <v>283</v>
      </c>
      <c r="B294" s="1277">
        <v>0.33250000000000002</v>
      </c>
    </row>
    <row r="295" spans="1:2" x14ac:dyDescent="0.2">
      <c r="A295" s="1293">
        <v>284</v>
      </c>
      <c r="B295" s="1277">
        <v>0.33500000000000002</v>
      </c>
    </row>
    <row r="296" spans="1:2" x14ac:dyDescent="0.2">
      <c r="A296" s="1293">
        <v>285</v>
      </c>
      <c r="B296" s="1277">
        <v>0.33750000000000002</v>
      </c>
    </row>
    <row r="297" spans="1:2" x14ac:dyDescent="0.2">
      <c r="A297" s="1293">
        <v>286</v>
      </c>
      <c r="B297" s="1277">
        <v>0.34</v>
      </c>
    </row>
    <row r="298" spans="1:2" x14ac:dyDescent="0.2">
      <c r="A298" s="1293">
        <v>287</v>
      </c>
      <c r="B298" s="1277">
        <v>0.34250000000000003</v>
      </c>
    </row>
    <row r="299" spans="1:2" x14ac:dyDescent="0.2">
      <c r="A299" s="1293">
        <v>288</v>
      </c>
      <c r="B299" s="1277">
        <v>0.34499999999999997</v>
      </c>
    </row>
    <row r="300" spans="1:2" x14ac:dyDescent="0.2">
      <c r="A300" s="1293">
        <v>289</v>
      </c>
      <c r="B300" s="1277">
        <v>0.34749999999999998</v>
      </c>
    </row>
    <row r="301" spans="1:2" x14ac:dyDescent="0.2">
      <c r="A301" s="1293">
        <v>290</v>
      </c>
      <c r="B301" s="1277">
        <v>0.35</v>
      </c>
    </row>
    <row r="302" spans="1:2" x14ac:dyDescent="0.2">
      <c r="A302" s="1293">
        <v>291</v>
      </c>
      <c r="B302" s="1277">
        <v>0.35249999999999998</v>
      </c>
    </row>
    <row r="303" spans="1:2" x14ac:dyDescent="0.2">
      <c r="A303" s="1293">
        <v>292</v>
      </c>
      <c r="B303" s="1277">
        <v>0.35499999999999998</v>
      </c>
    </row>
    <row r="304" spans="1:2" x14ac:dyDescent="0.2">
      <c r="A304" s="1293">
        <v>293</v>
      </c>
      <c r="B304" s="1277">
        <v>0.35749999999999998</v>
      </c>
    </row>
    <row r="305" spans="1:2" x14ac:dyDescent="0.2">
      <c r="A305" s="1293">
        <v>294</v>
      </c>
      <c r="B305" s="1277">
        <v>0.36</v>
      </c>
    </row>
    <row r="306" spans="1:2" x14ac:dyDescent="0.2">
      <c r="A306" s="1293">
        <v>295</v>
      </c>
      <c r="B306" s="1277">
        <v>0.36249999999999999</v>
      </c>
    </row>
    <row r="307" spans="1:2" x14ac:dyDescent="0.2">
      <c r="A307" s="1293">
        <v>296</v>
      </c>
      <c r="B307" s="1277">
        <v>0.36499999999999999</v>
      </c>
    </row>
    <row r="308" spans="1:2" x14ac:dyDescent="0.2">
      <c r="A308" s="1293">
        <v>297</v>
      </c>
      <c r="B308" s="1277">
        <v>0.36749999999999999</v>
      </c>
    </row>
    <row r="309" spans="1:2" x14ac:dyDescent="0.2">
      <c r="A309" s="1293">
        <v>298</v>
      </c>
      <c r="B309" s="1277">
        <v>0.37</v>
      </c>
    </row>
    <row r="310" spans="1:2" x14ac:dyDescent="0.2">
      <c r="A310" s="1293">
        <v>299</v>
      </c>
      <c r="B310" s="1277">
        <v>0.3725</v>
      </c>
    </row>
    <row r="311" spans="1:2" x14ac:dyDescent="0.2">
      <c r="A311" s="1293">
        <v>300</v>
      </c>
      <c r="B311" s="1277">
        <v>0.375</v>
      </c>
    </row>
    <row r="312" spans="1:2" x14ac:dyDescent="0.2">
      <c r="A312" s="1293">
        <v>301</v>
      </c>
      <c r="B312" s="1277">
        <v>0.3775</v>
      </c>
    </row>
    <row r="313" spans="1:2" x14ac:dyDescent="0.2">
      <c r="A313" s="1293">
        <v>302</v>
      </c>
      <c r="B313" s="1277">
        <v>0.38</v>
      </c>
    </row>
    <row r="314" spans="1:2" x14ac:dyDescent="0.2">
      <c r="A314" s="1293">
        <v>303</v>
      </c>
      <c r="B314" s="1277">
        <v>0.38250000000000001</v>
      </c>
    </row>
    <row r="315" spans="1:2" x14ac:dyDescent="0.2">
      <c r="A315" s="1293">
        <v>304</v>
      </c>
      <c r="B315" s="1277">
        <v>0.38500000000000001</v>
      </c>
    </row>
    <row r="316" spans="1:2" x14ac:dyDescent="0.2">
      <c r="A316" s="1293">
        <v>305</v>
      </c>
      <c r="B316" s="1277">
        <v>0.38750000000000001</v>
      </c>
    </row>
    <row r="317" spans="1:2" x14ac:dyDescent="0.2">
      <c r="A317" s="1293">
        <v>306</v>
      </c>
      <c r="B317" s="1277">
        <v>0.39</v>
      </c>
    </row>
    <row r="318" spans="1:2" x14ac:dyDescent="0.2">
      <c r="A318" s="1293">
        <v>307</v>
      </c>
      <c r="B318" s="1277">
        <v>0.39250000000000002</v>
      </c>
    </row>
    <row r="319" spans="1:2" x14ac:dyDescent="0.2">
      <c r="A319" s="1293">
        <v>308</v>
      </c>
      <c r="B319" s="1277">
        <v>0.39500000000000002</v>
      </c>
    </row>
    <row r="320" spans="1:2" x14ac:dyDescent="0.2">
      <c r="A320" s="1293">
        <v>309</v>
      </c>
      <c r="B320" s="1277">
        <v>0.39750000000000002</v>
      </c>
    </row>
    <row r="321" spans="1:2" x14ac:dyDescent="0.2">
      <c r="A321" s="1293">
        <v>310</v>
      </c>
      <c r="B321" s="1277">
        <v>0.4</v>
      </c>
    </row>
    <row r="322" spans="1:2" x14ac:dyDescent="0.2">
      <c r="A322" s="1293">
        <v>311</v>
      </c>
      <c r="B322" s="1277">
        <v>0.40250000000000002</v>
      </c>
    </row>
    <row r="323" spans="1:2" x14ac:dyDescent="0.2">
      <c r="A323" s="1293">
        <v>312</v>
      </c>
      <c r="B323" s="1277">
        <v>0.40500000000000003</v>
      </c>
    </row>
    <row r="324" spans="1:2" x14ac:dyDescent="0.2">
      <c r="A324" s="1293">
        <v>313</v>
      </c>
      <c r="B324" s="1277">
        <v>0.40749999999999997</v>
      </c>
    </row>
    <row r="325" spans="1:2" x14ac:dyDescent="0.2">
      <c r="A325" s="1293">
        <v>314</v>
      </c>
      <c r="B325" s="1277">
        <v>0.41</v>
      </c>
    </row>
    <row r="326" spans="1:2" x14ac:dyDescent="0.2">
      <c r="A326" s="1293">
        <v>315</v>
      </c>
      <c r="B326" s="1277">
        <v>0.41249999999999998</v>
      </c>
    </row>
    <row r="327" spans="1:2" x14ac:dyDescent="0.2">
      <c r="A327" s="1293">
        <v>316</v>
      </c>
      <c r="B327" s="1277">
        <v>0.41499999999999998</v>
      </c>
    </row>
    <row r="328" spans="1:2" x14ac:dyDescent="0.2">
      <c r="A328" s="1293">
        <v>317</v>
      </c>
      <c r="B328" s="1277">
        <v>0.41749999999999998</v>
      </c>
    </row>
    <row r="329" spans="1:2" x14ac:dyDescent="0.2">
      <c r="A329" s="1293">
        <v>318</v>
      </c>
      <c r="B329" s="1277">
        <v>0.42</v>
      </c>
    </row>
    <row r="330" spans="1:2" x14ac:dyDescent="0.2">
      <c r="A330" s="1293">
        <v>319</v>
      </c>
      <c r="B330" s="1277">
        <v>0.42249999999999999</v>
      </c>
    </row>
    <row r="331" spans="1:2" x14ac:dyDescent="0.2">
      <c r="A331" s="1293">
        <v>320</v>
      </c>
      <c r="B331" s="1277">
        <v>0.42499999999999999</v>
      </c>
    </row>
    <row r="332" spans="1:2" x14ac:dyDescent="0.2">
      <c r="A332" s="1293">
        <v>321</v>
      </c>
      <c r="B332" s="1277">
        <v>0.42749999999999999</v>
      </c>
    </row>
    <row r="333" spans="1:2" x14ac:dyDescent="0.2">
      <c r="A333" s="1293">
        <v>322</v>
      </c>
      <c r="B333" s="1277">
        <v>0.43</v>
      </c>
    </row>
    <row r="334" spans="1:2" x14ac:dyDescent="0.2">
      <c r="A334" s="1293">
        <v>323</v>
      </c>
      <c r="B334" s="1277">
        <v>0.4325</v>
      </c>
    </row>
    <row r="335" spans="1:2" x14ac:dyDescent="0.2">
      <c r="A335" s="1293">
        <v>324</v>
      </c>
      <c r="B335" s="1277">
        <v>0.435</v>
      </c>
    </row>
    <row r="336" spans="1:2" x14ac:dyDescent="0.2">
      <c r="A336" s="1293">
        <v>325</v>
      </c>
      <c r="B336" s="1277">
        <v>0.4375</v>
      </c>
    </row>
    <row r="337" spans="1:2" x14ac:dyDescent="0.2">
      <c r="A337" s="1293">
        <v>326</v>
      </c>
      <c r="B337" s="1277">
        <v>0.44</v>
      </c>
    </row>
    <row r="338" spans="1:2" x14ac:dyDescent="0.2">
      <c r="A338" s="1293">
        <v>327</v>
      </c>
      <c r="B338" s="1277">
        <v>0.4425</v>
      </c>
    </row>
    <row r="339" spans="1:2" x14ac:dyDescent="0.2">
      <c r="A339" s="1293">
        <v>328</v>
      </c>
      <c r="B339" s="1277">
        <v>0.44500000000000001</v>
      </c>
    </row>
    <row r="340" spans="1:2" x14ac:dyDescent="0.2">
      <c r="A340" s="1293">
        <v>329</v>
      </c>
      <c r="B340" s="1277">
        <v>0.44750000000000001</v>
      </c>
    </row>
    <row r="341" spans="1:2" x14ac:dyDescent="0.2">
      <c r="A341" s="1293">
        <v>330</v>
      </c>
      <c r="B341" s="1277">
        <v>0.45</v>
      </c>
    </row>
    <row r="342" spans="1:2" x14ac:dyDescent="0.2">
      <c r="A342" s="1293">
        <v>331</v>
      </c>
      <c r="B342" s="1277">
        <v>0.45250000000000001</v>
      </c>
    </row>
    <row r="343" spans="1:2" x14ac:dyDescent="0.2">
      <c r="A343" s="1293">
        <v>332</v>
      </c>
      <c r="B343" s="1277">
        <v>0.45500000000000002</v>
      </c>
    </row>
    <row r="344" spans="1:2" x14ac:dyDescent="0.2">
      <c r="A344" s="1293">
        <v>333</v>
      </c>
      <c r="B344" s="1277">
        <v>0.45750000000000002</v>
      </c>
    </row>
    <row r="345" spans="1:2" x14ac:dyDescent="0.2">
      <c r="A345" s="1293">
        <v>334</v>
      </c>
      <c r="B345" s="1277">
        <v>0.46</v>
      </c>
    </row>
    <row r="346" spans="1:2" x14ac:dyDescent="0.2">
      <c r="A346" s="1293">
        <v>335</v>
      </c>
      <c r="B346" s="1277">
        <v>0.46250000000000002</v>
      </c>
    </row>
    <row r="347" spans="1:2" x14ac:dyDescent="0.2">
      <c r="A347" s="1293">
        <v>336</v>
      </c>
      <c r="B347" s="1277">
        <v>0.46500000000000002</v>
      </c>
    </row>
    <row r="348" spans="1:2" x14ac:dyDescent="0.2">
      <c r="A348" s="1293">
        <v>337</v>
      </c>
      <c r="B348" s="1277">
        <v>0.46750000000000003</v>
      </c>
    </row>
    <row r="349" spans="1:2" x14ac:dyDescent="0.2">
      <c r="A349" s="1293">
        <v>338</v>
      </c>
      <c r="B349" s="1277">
        <v>0.47</v>
      </c>
    </row>
    <row r="350" spans="1:2" x14ac:dyDescent="0.2">
      <c r="A350" s="1293">
        <v>339</v>
      </c>
      <c r="B350" s="1277">
        <v>0.47249999999999998</v>
      </c>
    </row>
    <row r="351" spans="1:2" x14ac:dyDescent="0.2">
      <c r="A351" s="1293">
        <v>340</v>
      </c>
      <c r="B351" s="1277">
        <v>0.47499999999999998</v>
      </c>
    </row>
    <row r="352" spans="1:2" x14ac:dyDescent="0.2">
      <c r="A352" s="1293">
        <v>341</v>
      </c>
      <c r="B352" s="1277">
        <v>0.47749999999999998</v>
      </c>
    </row>
    <row r="353" spans="1:2" x14ac:dyDescent="0.2">
      <c r="A353" s="1293">
        <v>342</v>
      </c>
      <c r="B353" s="1277">
        <v>0.48</v>
      </c>
    </row>
    <row r="354" spans="1:2" x14ac:dyDescent="0.2">
      <c r="A354" s="1293">
        <v>343</v>
      </c>
      <c r="B354" s="1277">
        <v>0.48249999999999998</v>
      </c>
    </row>
    <row r="355" spans="1:2" x14ac:dyDescent="0.2">
      <c r="A355" s="1293">
        <v>344</v>
      </c>
      <c r="B355" s="1277">
        <v>0.48499999999999999</v>
      </c>
    </row>
    <row r="356" spans="1:2" x14ac:dyDescent="0.2">
      <c r="A356" s="1293">
        <v>345</v>
      </c>
      <c r="B356" s="1277">
        <v>0.48749999999999999</v>
      </c>
    </row>
    <row r="357" spans="1:2" x14ac:dyDescent="0.2">
      <c r="A357" s="1293">
        <v>346</v>
      </c>
      <c r="B357" s="1277">
        <v>0.49</v>
      </c>
    </row>
    <row r="358" spans="1:2" x14ac:dyDescent="0.2">
      <c r="A358" s="1293">
        <v>347</v>
      </c>
      <c r="B358" s="1277">
        <v>0.49249999999999999</v>
      </c>
    </row>
    <row r="359" spans="1:2" x14ac:dyDescent="0.2">
      <c r="A359" s="1293">
        <v>348</v>
      </c>
      <c r="B359" s="1277">
        <v>0.495</v>
      </c>
    </row>
    <row r="360" spans="1:2" x14ac:dyDescent="0.2">
      <c r="A360" s="1293">
        <v>349</v>
      </c>
      <c r="B360" s="1277">
        <v>0.4975</v>
      </c>
    </row>
    <row r="361" spans="1:2" x14ac:dyDescent="0.2">
      <c r="A361" s="1293">
        <v>350</v>
      </c>
      <c r="B361" s="1277">
        <v>0.5</v>
      </c>
    </row>
    <row r="362" spans="1:2" x14ac:dyDescent="0.2">
      <c r="A362" s="1293">
        <v>351</v>
      </c>
      <c r="B362" s="1277">
        <v>0.50249999999999995</v>
      </c>
    </row>
    <row r="363" spans="1:2" x14ac:dyDescent="0.2">
      <c r="A363" s="1293">
        <v>352</v>
      </c>
      <c r="B363" s="1277">
        <v>0.505</v>
      </c>
    </row>
    <row r="364" spans="1:2" x14ac:dyDescent="0.2">
      <c r="A364" s="1293">
        <v>353</v>
      </c>
      <c r="B364" s="1277">
        <v>0.50749999999999995</v>
      </c>
    </row>
    <row r="365" spans="1:2" x14ac:dyDescent="0.2">
      <c r="A365" s="1293">
        <v>354</v>
      </c>
      <c r="B365" s="1277">
        <v>0.51</v>
      </c>
    </row>
    <row r="366" spans="1:2" x14ac:dyDescent="0.2">
      <c r="A366" s="1293">
        <v>355</v>
      </c>
      <c r="B366" s="1277">
        <v>0.51249999999999996</v>
      </c>
    </row>
    <row r="367" spans="1:2" x14ac:dyDescent="0.2">
      <c r="A367" s="1293">
        <v>356</v>
      </c>
      <c r="B367" s="1277">
        <v>0.51500000000000001</v>
      </c>
    </row>
    <row r="368" spans="1:2" x14ac:dyDescent="0.2">
      <c r="A368" s="1293">
        <v>357</v>
      </c>
      <c r="B368" s="1277">
        <v>0.51749999999999996</v>
      </c>
    </row>
    <row r="369" spans="1:2" x14ac:dyDescent="0.2">
      <c r="A369" s="1293">
        <v>358</v>
      </c>
      <c r="B369" s="1277">
        <v>0.52</v>
      </c>
    </row>
    <row r="370" spans="1:2" x14ac:dyDescent="0.2">
      <c r="A370" s="1293">
        <v>359</v>
      </c>
      <c r="B370" s="1277">
        <v>0.52249999999999996</v>
      </c>
    </row>
    <row r="371" spans="1:2" x14ac:dyDescent="0.2">
      <c r="A371" s="1293">
        <v>360</v>
      </c>
      <c r="B371" s="1277">
        <v>0.52500000000000002</v>
      </c>
    </row>
    <row r="372" spans="1:2" x14ac:dyDescent="0.2">
      <c r="A372" s="1293">
        <v>361</v>
      </c>
      <c r="B372" s="1277">
        <v>0.52749999999999997</v>
      </c>
    </row>
    <row r="373" spans="1:2" x14ac:dyDescent="0.2">
      <c r="A373" s="1293">
        <v>362</v>
      </c>
      <c r="B373" s="1277">
        <v>0.53</v>
      </c>
    </row>
    <row r="374" spans="1:2" x14ac:dyDescent="0.2">
      <c r="A374" s="1293">
        <v>363</v>
      </c>
      <c r="B374" s="1277">
        <v>0.53249999999999997</v>
      </c>
    </row>
    <row r="375" spans="1:2" x14ac:dyDescent="0.2">
      <c r="A375" s="1293">
        <v>364</v>
      </c>
      <c r="B375" s="1277">
        <v>0.53500000000000003</v>
      </c>
    </row>
    <row r="376" spans="1:2" x14ac:dyDescent="0.2">
      <c r="A376" s="1293">
        <v>365</v>
      </c>
      <c r="B376" s="1277">
        <v>0.53749999999999998</v>
      </c>
    </row>
    <row r="377" spans="1:2" x14ac:dyDescent="0.2">
      <c r="A377" s="1293">
        <v>366</v>
      </c>
      <c r="B377" s="1277">
        <v>0.54</v>
      </c>
    </row>
    <row r="378" spans="1:2" x14ac:dyDescent="0.2">
      <c r="A378" s="1293">
        <v>367</v>
      </c>
      <c r="B378" s="1277">
        <v>0.54249999999999998</v>
      </c>
    </row>
    <row r="379" spans="1:2" x14ac:dyDescent="0.2">
      <c r="A379" s="1293">
        <v>368</v>
      </c>
      <c r="B379" s="1277">
        <v>0.54500000000000004</v>
      </c>
    </row>
    <row r="380" spans="1:2" x14ac:dyDescent="0.2">
      <c r="A380" s="1293">
        <v>369</v>
      </c>
      <c r="B380" s="1277">
        <v>0.54749999999999999</v>
      </c>
    </row>
    <row r="381" spans="1:2" x14ac:dyDescent="0.2">
      <c r="A381" s="1293">
        <v>370</v>
      </c>
      <c r="B381" s="1277">
        <v>0.55000000000000004</v>
      </c>
    </row>
    <row r="382" spans="1:2" x14ac:dyDescent="0.2">
      <c r="A382" s="1293">
        <v>371</v>
      </c>
      <c r="B382" s="1277">
        <v>0.55249999999999999</v>
      </c>
    </row>
    <row r="383" spans="1:2" x14ac:dyDescent="0.2">
      <c r="A383" s="1293">
        <v>372</v>
      </c>
      <c r="B383" s="1277">
        <v>0.55500000000000005</v>
      </c>
    </row>
    <row r="384" spans="1:2" x14ac:dyDescent="0.2">
      <c r="A384" s="1293">
        <v>373</v>
      </c>
      <c r="B384" s="1277">
        <v>0.5575</v>
      </c>
    </row>
    <row r="385" spans="1:2" x14ac:dyDescent="0.2">
      <c r="A385" s="1293">
        <v>374</v>
      </c>
      <c r="B385" s="1277">
        <v>0.56000000000000005</v>
      </c>
    </row>
    <row r="386" spans="1:2" x14ac:dyDescent="0.2">
      <c r="A386" s="1293">
        <v>375</v>
      </c>
      <c r="B386" s="1277">
        <v>0.5625</v>
      </c>
    </row>
    <row r="387" spans="1:2" x14ac:dyDescent="0.2">
      <c r="A387" s="1293">
        <v>376</v>
      </c>
      <c r="B387" s="1277">
        <v>0.56499999999999995</v>
      </c>
    </row>
    <row r="388" spans="1:2" x14ac:dyDescent="0.2">
      <c r="A388" s="1293">
        <v>377</v>
      </c>
      <c r="B388" s="1277">
        <v>0.5675</v>
      </c>
    </row>
    <row r="389" spans="1:2" x14ac:dyDescent="0.2">
      <c r="A389" s="1293">
        <v>378</v>
      </c>
      <c r="B389" s="1277">
        <v>0.56999999999999995</v>
      </c>
    </row>
    <row r="390" spans="1:2" x14ac:dyDescent="0.2">
      <c r="A390" s="1293">
        <v>379</v>
      </c>
      <c r="B390" s="1277">
        <v>0.57250000000000001</v>
      </c>
    </row>
    <row r="391" spans="1:2" x14ac:dyDescent="0.2">
      <c r="A391" s="1293">
        <v>380</v>
      </c>
      <c r="B391" s="1277">
        <v>0.57499999999999996</v>
      </c>
    </row>
    <row r="392" spans="1:2" x14ac:dyDescent="0.2">
      <c r="A392" s="1293">
        <v>381</v>
      </c>
      <c r="B392" s="1277">
        <v>0.57750000000000001</v>
      </c>
    </row>
    <row r="393" spans="1:2" x14ac:dyDescent="0.2">
      <c r="A393" s="1293">
        <v>382</v>
      </c>
      <c r="B393" s="1277">
        <v>0.57999999999999996</v>
      </c>
    </row>
    <row r="394" spans="1:2" x14ac:dyDescent="0.2">
      <c r="A394" s="1293">
        <v>383</v>
      </c>
      <c r="B394" s="1277">
        <v>0.58250000000000002</v>
      </c>
    </row>
    <row r="395" spans="1:2" x14ac:dyDescent="0.2">
      <c r="A395" s="1293">
        <v>384</v>
      </c>
      <c r="B395" s="1277">
        <v>0.58499999999999996</v>
      </c>
    </row>
    <row r="396" spans="1:2" x14ac:dyDescent="0.2">
      <c r="A396" s="1293">
        <v>385</v>
      </c>
      <c r="B396" s="1277">
        <v>0.58750000000000002</v>
      </c>
    </row>
    <row r="397" spans="1:2" x14ac:dyDescent="0.2">
      <c r="A397" s="1293">
        <v>386</v>
      </c>
      <c r="B397" s="1277">
        <v>0.59</v>
      </c>
    </row>
    <row r="398" spans="1:2" x14ac:dyDescent="0.2">
      <c r="A398" s="1293">
        <v>387</v>
      </c>
      <c r="B398" s="1277">
        <v>0.59250000000000003</v>
      </c>
    </row>
    <row r="399" spans="1:2" x14ac:dyDescent="0.2">
      <c r="A399" s="1293">
        <v>388</v>
      </c>
      <c r="B399" s="1277">
        <v>0.59499999999999997</v>
      </c>
    </row>
    <row r="400" spans="1:2" x14ac:dyDescent="0.2">
      <c r="A400" s="1293">
        <v>389</v>
      </c>
      <c r="B400" s="1277">
        <v>0.59750000000000003</v>
      </c>
    </row>
    <row r="401" spans="1:2" x14ac:dyDescent="0.2">
      <c r="A401" s="1293">
        <v>390</v>
      </c>
      <c r="B401" s="1277">
        <v>0.6</v>
      </c>
    </row>
    <row r="402" spans="1:2" x14ac:dyDescent="0.2">
      <c r="A402" s="1293">
        <v>391</v>
      </c>
      <c r="B402" s="1277">
        <v>0.60250000000000004</v>
      </c>
    </row>
    <row r="403" spans="1:2" x14ac:dyDescent="0.2">
      <c r="A403" s="1293">
        <v>392</v>
      </c>
      <c r="B403" s="1277">
        <v>0.60499999999999998</v>
      </c>
    </row>
    <row r="404" spans="1:2" x14ac:dyDescent="0.2">
      <c r="A404" s="1293">
        <v>393</v>
      </c>
      <c r="B404" s="1277">
        <v>0.60750000000000004</v>
      </c>
    </row>
    <row r="405" spans="1:2" x14ac:dyDescent="0.2">
      <c r="A405" s="1293">
        <v>394</v>
      </c>
      <c r="B405" s="1277">
        <v>0.61</v>
      </c>
    </row>
    <row r="406" spans="1:2" x14ac:dyDescent="0.2">
      <c r="A406" s="1293">
        <v>395</v>
      </c>
      <c r="B406" s="1277">
        <v>0.61250000000000004</v>
      </c>
    </row>
    <row r="407" spans="1:2" x14ac:dyDescent="0.2">
      <c r="A407" s="1293">
        <v>396</v>
      </c>
      <c r="B407" s="1277">
        <v>0.61499999999999999</v>
      </c>
    </row>
    <row r="408" spans="1:2" x14ac:dyDescent="0.2">
      <c r="A408" s="1293">
        <v>397</v>
      </c>
      <c r="B408" s="1277">
        <v>0.61750000000000005</v>
      </c>
    </row>
    <row r="409" spans="1:2" x14ac:dyDescent="0.2">
      <c r="A409" s="1293">
        <v>398</v>
      </c>
      <c r="B409" s="1277">
        <v>0.62</v>
      </c>
    </row>
    <row r="410" spans="1:2" x14ac:dyDescent="0.2">
      <c r="A410" s="1293">
        <v>399</v>
      </c>
      <c r="B410" s="1277">
        <v>0.62250000000000005</v>
      </c>
    </row>
    <row r="411" spans="1:2" x14ac:dyDescent="0.2">
      <c r="A411" s="1293">
        <v>400</v>
      </c>
      <c r="B411" s="1277">
        <v>0.625</v>
      </c>
    </row>
    <row r="412" spans="1:2" x14ac:dyDescent="0.2">
      <c r="A412" s="1293">
        <v>401</v>
      </c>
      <c r="B412" s="1277">
        <v>0.62749999999999995</v>
      </c>
    </row>
    <row r="413" spans="1:2" x14ac:dyDescent="0.2">
      <c r="A413" s="1293">
        <v>402</v>
      </c>
      <c r="B413" s="1277">
        <v>0.63</v>
      </c>
    </row>
    <row r="414" spans="1:2" x14ac:dyDescent="0.2">
      <c r="A414" s="1293">
        <v>403</v>
      </c>
      <c r="B414" s="1277">
        <v>0.63249999999999995</v>
      </c>
    </row>
    <row r="415" spans="1:2" x14ac:dyDescent="0.2">
      <c r="A415" s="1293">
        <v>404</v>
      </c>
      <c r="B415" s="1277">
        <v>0.63500000000000001</v>
      </c>
    </row>
    <row r="416" spans="1:2" x14ac:dyDescent="0.2">
      <c r="A416" s="1293">
        <v>405</v>
      </c>
      <c r="B416" s="1277">
        <v>0.63749999999999996</v>
      </c>
    </row>
    <row r="417" spans="1:2" x14ac:dyDescent="0.2">
      <c r="A417" s="1293">
        <v>406</v>
      </c>
      <c r="B417" s="1277">
        <v>0.64</v>
      </c>
    </row>
    <row r="418" spans="1:2" x14ac:dyDescent="0.2">
      <c r="A418" s="1293">
        <v>407</v>
      </c>
      <c r="B418" s="1277">
        <v>0.64249999999999996</v>
      </c>
    </row>
    <row r="419" spans="1:2" x14ac:dyDescent="0.2">
      <c r="A419" s="1293">
        <v>408</v>
      </c>
      <c r="B419" s="1277">
        <v>0.64500000000000002</v>
      </c>
    </row>
    <row r="420" spans="1:2" x14ac:dyDescent="0.2">
      <c r="A420" s="1293">
        <v>409</v>
      </c>
      <c r="B420" s="1277">
        <v>0.64749999999999996</v>
      </c>
    </row>
    <row r="421" spans="1:2" x14ac:dyDescent="0.2">
      <c r="A421" s="1293">
        <v>410</v>
      </c>
      <c r="B421" s="1277">
        <v>0.65</v>
      </c>
    </row>
    <row r="422" spans="1:2" x14ac:dyDescent="0.2">
      <c r="A422" s="1293">
        <v>411</v>
      </c>
      <c r="B422" s="1277">
        <v>0.65249999999999997</v>
      </c>
    </row>
    <row r="423" spans="1:2" x14ac:dyDescent="0.2">
      <c r="A423" s="1293">
        <v>412</v>
      </c>
      <c r="B423" s="1277">
        <v>0.65500000000000003</v>
      </c>
    </row>
    <row r="424" spans="1:2" x14ac:dyDescent="0.2">
      <c r="A424" s="1293">
        <v>413</v>
      </c>
      <c r="B424" s="1277">
        <v>0.65749999999999997</v>
      </c>
    </row>
    <row r="425" spans="1:2" x14ac:dyDescent="0.2">
      <c r="A425" s="1293">
        <v>414</v>
      </c>
      <c r="B425" s="1277">
        <v>0.66</v>
      </c>
    </row>
    <row r="426" spans="1:2" x14ac:dyDescent="0.2">
      <c r="A426" s="1293">
        <v>415</v>
      </c>
      <c r="B426" s="1277">
        <v>0.66249999999999998</v>
      </c>
    </row>
    <row r="427" spans="1:2" x14ac:dyDescent="0.2">
      <c r="A427" s="1293">
        <v>416</v>
      </c>
      <c r="B427" s="1277">
        <v>0.66500000000000004</v>
      </c>
    </row>
    <row r="428" spans="1:2" x14ac:dyDescent="0.2">
      <c r="A428" s="1293">
        <v>417</v>
      </c>
      <c r="B428" s="1277">
        <v>0.66749999999999998</v>
      </c>
    </row>
    <row r="429" spans="1:2" x14ac:dyDescent="0.2">
      <c r="A429" s="1293">
        <v>418</v>
      </c>
      <c r="B429" s="1277">
        <v>0.67</v>
      </c>
    </row>
    <row r="430" spans="1:2" x14ac:dyDescent="0.2">
      <c r="A430" s="1293">
        <v>419</v>
      </c>
      <c r="B430" s="1277">
        <v>0.67249999999999999</v>
      </c>
    </row>
    <row r="431" spans="1:2" x14ac:dyDescent="0.2">
      <c r="A431" s="1293">
        <v>420</v>
      </c>
      <c r="B431" s="1277">
        <v>0.67500000000000004</v>
      </c>
    </row>
    <row r="432" spans="1:2" x14ac:dyDescent="0.2">
      <c r="A432" s="1293">
        <v>421</v>
      </c>
      <c r="B432" s="1277">
        <v>0.67749999999999999</v>
      </c>
    </row>
    <row r="433" spans="1:2" x14ac:dyDescent="0.2">
      <c r="A433" s="1293">
        <v>422</v>
      </c>
      <c r="B433" s="1277">
        <v>0.68</v>
      </c>
    </row>
    <row r="434" spans="1:2" x14ac:dyDescent="0.2">
      <c r="A434" s="1293">
        <v>423</v>
      </c>
      <c r="B434" s="1277">
        <v>0.6825</v>
      </c>
    </row>
    <row r="435" spans="1:2" x14ac:dyDescent="0.2">
      <c r="A435" s="1293">
        <v>424</v>
      </c>
      <c r="B435" s="1277">
        <v>0.68500000000000005</v>
      </c>
    </row>
    <row r="436" spans="1:2" x14ac:dyDescent="0.2">
      <c r="A436" s="1293">
        <v>425</v>
      </c>
      <c r="B436" s="1277">
        <v>0.6875</v>
      </c>
    </row>
    <row r="437" spans="1:2" x14ac:dyDescent="0.2">
      <c r="A437" s="1293">
        <v>426</v>
      </c>
      <c r="B437" s="1277">
        <v>0.69</v>
      </c>
    </row>
    <row r="438" spans="1:2" x14ac:dyDescent="0.2">
      <c r="A438" s="1293">
        <v>427</v>
      </c>
      <c r="B438" s="1277">
        <v>0.6925</v>
      </c>
    </row>
    <row r="439" spans="1:2" x14ac:dyDescent="0.2">
      <c r="A439" s="1293">
        <v>428</v>
      </c>
      <c r="B439" s="1277">
        <v>0.69499999999999995</v>
      </c>
    </row>
    <row r="440" spans="1:2" x14ac:dyDescent="0.2">
      <c r="A440" s="1293">
        <v>429</v>
      </c>
      <c r="B440" s="1277">
        <v>0.69750000000000001</v>
      </c>
    </row>
    <row r="441" spans="1:2" x14ac:dyDescent="0.2">
      <c r="A441" s="1293">
        <v>430</v>
      </c>
      <c r="B441" s="1277">
        <v>0.7</v>
      </c>
    </row>
    <row r="442" spans="1:2" x14ac:dyDescent="0.2">
      <c r="A442" s="1293">
        <v>431</v>
      </c>
      <c r="B442" s="1277">
        <v>0.70250000000000001</v>
      </c>
    </row>
    <row r="443" spans="1:2" x14ac:dyDescent="0.2">
      <c r="A443" s="1293">
        <v>432</v>
      </c>
      <c r="B443" s="1277">
        <v>0.70499999999999996</v>
      </c>
    </row>
    <row r="444" spans="1:2" x14ac:dyDescent="0.2">
      <c r="A444" s="1293">
        <v>433</v>
      </c>
      <c r="B444" s="1277">
        <v>0.70750000000000002</v>
      </c>
    </row>
    <row r="445" spans="1:2" x14ac:dyDescent="0.2">
      <c r="A445" s="1293">
        <v>434</v>
      </c>
      <c r="B445" s="1277">
        <v>0.71</v>
      </c>
    </row>
    <row r="446" spans="1:2" x14ac:dyDescent="0.2">
      <c r="A446" s="1293">
        <v>435</v>
      </c>
      <c r="B446" s="1277">
        <v>0.71250000000000002</v>
      </c>
    </row>
    <row r="447" spans="1:2" x14ac:dyDescent="0.2">
      <c r="A447" s="1293">
        <v>436</v>
      </c>
      <c r="B447" s="1277">
        <v>0.71499999999999997</v>
      </c>
    </row>
    <row r="448" spans="1:2" x14ac:dyDescent="0.2">
      <c r="A448" s="1293">
        <v>437</v>
      </c>
      <c r="B448" s="1277">
        <v>0.71750000000000003</v>
      </c>
    </row>
    <row r="449" spans="1:2" x14ac:dyDescent="0.2">
      <c r="A449" s="1293">
        <v>438</v>
      </c>
      <c r="B449" s="1277">
        <v>0.72</v>
      </c>
    </row>
    <row r="450" spans="1:2" x14ac:dyDescent="0.2">
      <c r="A450" s="1293">
        <v>439</v>
      </c>
      <c r="B450" s="1277">
        <v>0.72250000000000003</v>
      </c>
    </row>
    <row r="451" spans="1:2" x14ac:dyDescent="0.2">
      <c r="A451" s="1293">
        <v>440</v>
      </c>
      <c r="B451" s="1277">
        <v>0.72499999999999998</v>
      </c>
    </row>
    <row r="452" spans="1:2" x14ac:dyDescent="0.2">
      <c r="A452" s="1293">
        <v>441</v>
      </c>
      <c r="B452" s="1277">
        <v>0.72750000000000004</v>
      </c>
    </row>
    <row r="453" spans="1:2" x14ac:dyDescent="0.2">
      <c r="A453" s="1293">
        <v>442</v>
      </c>
      <c r="B453" s="1277">
        <v>0.73</v>
      </c>
    </row>
    <row r="454" spans="1:2" x14ac:dyDescent="0.2">
      <c r="A454" s="1293">
        <v>443</v>
      </c>
      <c r="B454" s="1277">
        <v>0.73250000000000004</v>
      </c>
    </row>
    <row r="455" spans="1:2" x14ac:dyDescent="0.2">
      <c r="A455" s="1293">
        <v>444</v>
      </c>
      <c r="B455" s="1277">
        <v>0.73499999999999999</v>
      </c>
    </row>
    <row r="456" spans="1:2" x14ac:dyDescent="0.2">
      <c r="A456" s="1293">
        <v>445</v>
      </c>
      <c r="B456" s="1277">
        <v>0.73750000000000004</v>
      </c>
    </row>
    <row r="457" spans="1:2" x14ac:dyDescent="0.2">
      <c r="A457" s="1293">
        <v>446</v>
      </c>
      <c r="B457" s="1277">
        <v>0.74</v>
      </c>
    </row>
    <row r="458" spans="1:2" x14ac:dyDescent="0.2">
      <c r="A458" s="1293">
        <v>447</v>
      </c>
      <c r="B458" s="1277">
        <v>0.74250000000000005</v>
      </c>
    </row>
    <row r="459" spans="1:2" x14ac:dyDescent="0.2">
      <c r="A459" s="1293">
        <v>448</v>
      </c>
      <c r="B459" s="1277">
        <v>0.745</v>
      </c>
    </row>
    <row r="460" spans="1:2" x14ac:dyDescent="0.2">
      <c r="A460" s="1293">
        <v>449</v>
      </c>
      <c r="B460" s="1277">
        <v>0.74750000000000005</v>
      </c>
    </row>
    <row r="461" spans="1:2" x14ac:dyDescent="0.2">
      <c r="A461" s="1293">
        <v>450</v>
      </c>
      <c r="B461" s="1277">
        <v>0.75</v>
      </c>
    </row>
    <row r="462" spans="1:2" x14ac:dyDescent="0.2">
      <c r="A462" s="1293">
        <v>451</v>
      </c>
      <c r="B462" s="1277">
        <v>0.75249999999999995</v>
      </c>
    </row>
    <row r="463" spans="1:2" x14ac:dyDescent="0.2">
      <c r="A463" s="1293">
        <v>452</v>
      </c>
      <c r="B463" s="1277">
        <v>0.755</v>
      </c>
    </row>
    <row r="464" spans="1:2" x14ac:dyDescent="0.2">
      <c r="A464" s="1293">
        <v>453</v>
      </c>
      <c r="B464" s="1277">
        <v>0.75749999999999995</v>
      </c>
    </row>
    <row r="465" spans="1:2" x14ac:dyDescent="0.2">
      <c r="A465" s="1293">
        <v>454</v>
      </c>
      <c r="B465" s="1277">
        <v>0.76</v>
      </c>
    </row>
    <row r="466" spans="1:2" x14ac:dyDescent="0.2">
      <c r="A466" s="1293">
        <v>455</v>
      </c>
      <c r="B466" s="1277">
        <v>0.76249999999999996</v>
      </c>
    </row>
    <row r="467" spans="1:2" x14ac:dyDescent="0.2">
      <c r="A467" s="1293">
        <v>456</v>
      </c>
      <c r="B467" s="1277">
        <v>0.76500000000000001</v>
      </c>
    </row>
    <row r="468" spans="1:2" x14ac:dyDescent="0.2">
      <c r="A468" s="1293">
        <v>457</v>
      </c>
      <c r="B468" s="1277">
        <v>0.76749999999999996</v>
      </c>
    </row>
    <row r="469" spans="1:2" x14ac:dyDescent="0.2">
      <c r="A469" s="1293">
        <v>458</v>
      </c>
      <c r="B469" s="1277">
        <v>0.77</v>
      </c>
    </row>
    <row r="470" spans="1:2" x14ac:dyDescent="0.2">
      <c r="A470" s="1293">
        <v>459</v>
      </c>
      <c r="B470" s="1277">
        <v>0.77249999999999996</v>
      </c>
    </row>
    <row r="471" spans="1:2" x14ac:dyDescent="0.2">
      <c r="A471" s="1293">
        <v>460</v>
      </c>
      <c r="B471" s="1277">
        <v>0.77500000000000002</v>
      </c>
    </row>
    <row r="472" spans="1:2" x14ac:dyDescent="0.2">
      <c r="A472" s="1293">
        <v>461</v>
      </c>
      <c r="B472" s="1277">
        <v>0.77749999999999997</v>
      </c>
    </row>
    <row r="473" spans="1:2" x14ac:dyDescent="0.2">
      <c r="A473" s="1293">
        <v>462</v>
      </c>
      <c r="B473" s="1277">
        <v>0.78</v>
      </c>
    </row>
    <row r="474" spans="1:2" x14ac:dyDescent="0.2">
      <c r="A474" s="1293">
        <v>463</v>
      </c>
      <c r="B474" s="1277">
        <v>0.78249999999999997</v>
      </c>
    </row>
    <row r="475" spans="1:2" x14ac:dyDescent="0.2">
      <c r="A475" s="1293">
        <v>464</v>
      </c>
      <c r="B475" s="1277">
        <v>0.78500000000000003</v>
      </c>
    </row>
    <row r="476" spans="1:2" x14ac:dyDescent="0.2">
      <c r="A476" s="1293">
        <v>465</v>
      </c>
      <c r="B476" s="1277">
        <v>0.78749999999999998</v>
      </c>
    </row>
    <row r="477" spans="1:2" x14ac:dyDescent="0.2">
      <c r="A477" s="1293">
        <v>466</v>
      </c>
      <c r="B477" s="1277">
        <v>0.79</v>
      </c>
    </row>
    <row r="478" spans="1:2" x14ac:dyDescent="0.2">
      <c r="A478" s="1293">
        <v>467</v>
      </c>
      <c r="B478" s="1277">
        <v>0.79249999999999998</v>
      </c>
    </row>
    <row r="479" spans="1:2" x14ac:dyDescent="0.2">
      <c r="A479" s="1293">
        <v>468</v>
      </c>
      <c r="B479" s="1277">
        <v>0.79500000000000004</v>
      </c>
    </row>
    <row r="480" spans="1:2" x14ac:dyDescent="0.2">
      <c r="A480" s="1293">
        <v>469</v>
      </c>
      <c r="B480" s="1277">
        <v>0.79749999999999999</v>
      </c>
    </row>
    <row r="481" spans="1:2" x14ac:dyDescent="0.2">
      <c r="A481" s="1293">
        <v>470</v>
      </c>
      <c r="B481" s="1277">
        <v>0.8</v>
      </c>
    </row>
    <row r="482" spans="1:2" x14ac:dyDescent="0.2">
      <c r="A482" s="1293">
        <v>471</v>
      </c>
      <c r="B482" s="1277">
        <v>0.80249999999999999</v>
      </c>
    </row>
    <row r="483" spans="1:2" x14ac:dyDescent="0.2">
      <c r="A483" s="1293">
        <v>472</v>
      </c>
      <c r="B483" s="1277">
        <v>0.80500000000000005</v>
      </c>
    </row>
    <row r="484" spans="1:2" x14ac:dyDescent="0.2">
      <c r="A484" s="1293">
        <v>473</v>
      </c>
      <c r="B484" s="1277">
        <v>0.8075</v>
      </c>
    </row>
    <row r="485" spans="1:2" x14ac:dyDescent="0.2">
      <c r="A485" s="1293">
        <v>474</v>
      </c>
      <c r="B485" s="1277">
        <v>0.81</v>
      </c>
    </row>
    <row r="486" spans="1:2" x14ac:dyDescent="0.2">
      <c r="A486" s="1293">
        <v>475</v>
      </c>
      <c r="B486" s="1277">
        <v>0.8125</v>
      </c>
    </row>
    <row r="487" spans="1:2" x14ac:dyDescent="0.2">
      <c r="A487" s="1293">
        <v>476</v>
      </c>
      <c r="B487" s="1277">
        <v>0.81499999999999995</v>
      </c>
    </row>
    <row r="488" spans="1:2" x14ac:dyDescent="0.2">
      <c r="A488" s="1293">
        <v>477</v>
      </c>
      <c r="B488" s="1277">
        <v>0.8175</v>
      </c>
    </row>
    <row r="489" spans="1:2" x14ac:dyDescent="0.2">
      <c r="A489" s="1293">
        <v>478</v>
      </c>
      <c r="B489" s="1277">
        <v>0.82</v>
      </c>
    </row>
    <row r="490" spans="1:2" x14ac:dyDescent="0.2">
      <c r="A490" s="1293">
        <v>479</v>
      </c>
      <c r="B490" s="1277">
        <v>0.82250000000000001</v>
      </c>
    </row>
    <row r="491" spans="1:2" x14ac:dyDescent="0.2">
      <c r="A491" s="1293">
        <v>480</v>
      </c>
      <c r="B491" s="1277">
        <v>0.82499999999999996</v>
      </c>
    </row>
    <row r="492" spans="1:2" x14ac:dyDescent="0.2">
      <c r="A492" s="1293">
        <v>481</v>
      </c>
      <c r="B492" s="1277">
        <v>0.82750000000000001</v>
      </c>
    </row>
    <row r="493" spans="1:2" x14ac:dyDescent="0.2">
      <c r="A493" s="1293">
        <v>482</v>
      </c>
      <c r="B493" s="1277">
        <v>0.83</v>
      </c>
    </row>
    <row r="494" spans="1:2" x14ac:dyDescent="0.2">
      <c r="A494" s="1293">
        <v>483</v>
      </c>
      <c r="B494" s="1277">
        <v>0.83250000000000002</v>
      </c>
    </row>
    <row r="495" spans="1:2" x14ac:dyDescent="0.2">
      <c r="A495" s="1293">
        <v>484</v>
      </c>
      <c r="B495" s="1277">
        <v>0.83499999999999996</v>
      </c>
    </row>
    <row r="496" spans="1:2" x14ac:dyDescent="0.2">
      <c r="A496" s="1293">
        <v>485</v>
      </c>
      <c r="B496" s="1277">
        <v>0.83750000000000002</v>
      </c>
    </row>
    <row r="497" spans="1:2" x14ac:dyDescent="0.2">
      <c r="A497" s="1293">
        <v>486</v>
      </c>
      <c r="B497" s="1277">
        <v>0.84</v>
      </c>
    </row>
    <row r="498" spans="1:2" x14ac:dyDescent="0.2">
      <c r="A498" s="1293">
        <v>487</v>
      </c>
      <c r="B498" s="1277">
        <v>0.84250000000000003</v>
      </c>
    </row>
    <row r="499" spans="1:2" x14ac:dyDescent="0.2">
      <c r="A499" s="1293">
        <v>488</v>
      </c>
      <c r="B499" s="1277">
        <v>0.84499999999999997</v>
      </c>
    </row>
    <row r="500" spans="1:2" x14ac:dyDescent="0.2">
      <c r="A500" s="1293">
        <v>489</v>
      </c>
      <c r="B500" s="1277">
        <v>0.84750000000000003</v>
      </c>
    </row>
    <row r="501" spans="1:2" x14ac:dyDescent="0.2">
      <c r="A501" s="1293">
        <v>490</v>
      </c>
      <c r="B501" s="1277">
        <v>0.85</v>
      </c>
    </row>
    <row r="502" spans="1:2" x14ac:dyDescent="0.2">
      <c r="A502" s="1293">
        <v>491</v>
      </c>
      <c r="B502" s="1277">
        <v>0.85250000000000004</v>
      </c>
    </row>
    <row r="503" spans="1:2" x14ac:dyDescent="0.2">
      <c r="A503" s="1293">
        <v>492</v>
      </c>
      <c r="B503" s="1277">
        <v>0.85499999999999998</v>
      </c>
    </row>
    <row r="504" spans="1:2" x14ac:dyDescent="0.2">
      <c r="A504" s="1293">
        <v>493</v>
      </c>
      <c r="B504" s="1277">
        <v>0.85750000000000004</v>
      </c>
    </row>
    <row r="505" spans="1:2" x14ac:dyDescent="0.2">
      <c r="A505" s="1293">
        <v>494</v>
      </c>
      <c r="B505" s="1277">
        <v>0.86</v>
      </c>
    </row>
    <row r="506" spans="1:2" x14ac:dyDescent="0.2">
      <c r="A506" s="1293">
        <v>495</v>
      </c>
      <c r="B506" s="1277">
        <v>0.86250000000000004</v>
      </c>
    </row>
    <row r="507" spans="1:2" x14ac:dyDescent="0.2">
      <c r="A507" s="1293">
        <v>496</v>
      </c>
      <c r="B507" s="1277">
        <v>0.86499999999999999</v>
      </c>
    </row>
    <row r="508" spans="1:2" x14ac:dyDescent="0.2">
      <c r="A508" s="1293">
        <v>497</v>
      </c>
      <c r="B508" s="1277">
        <v>0.86750000000000005</v>
      </c>
    </row>
    <row r="509" spans="1:2" x14ac:dyDescent="0.2">
      <c r="A509" s="1293">
        <v>498</v>
      </c>
      <c r="B509" s="1277">
        <v>0.87</v>
      </c>
    </row>
    <row r="510" spans="1:2" x14ac:dyDescent="0.2">
      <c r="A510" s="1293">
        <v>499</v>
      </c>
      <c r="B510" s="1277">
        <v>0.87250000000000005</v>
      </c>
    </row>
    <row r="511" spans="1:2" x14ac:dyDescent="0.2">
      <c r="A511" s="1293">
        <v>500</v>
      </c>
      <c r="B511" s="1277">
        <v>0.875</v>
      </c>
    </row>
    <row r="512" spans="1:2" x14ac:dyDescent="0.2">
      <c r="A512" s="1293">
        <v>501</v>
      </c>
      <c r="B512" s="1277">
        <v>0.87749999999999995</v>
      </c>
    </row>
    <row r="513" spans="1:2" x14ac:dyDescent="0.2">
      <c r="A513" s="1293">
        <v>502</v>
      </c>
      <c r="B513" s="1277">
        <v>0.88</v>
      </c>
    </row>
    <row r="514" spans="1:2" x14ac:dyDescent="0.2">
      <c r="A514" s="1293">
        <v>503</v>
      </c>
      <c r="B514" s="1277">
        <v>0.88249999999999995</v>
      </c>
    </row>
    <row r="515" spans="1:2" x14ac:dyDescent="0.2">
      <c r="A515" s="1293">
        <v>504</v>
      </c>
      <c r="B515" s="1277">
        <v>0.88500000000000001</v>
      </c>
    </row>
    <row r="516" spans="1:2" x14ac:dyDescent="0.2">
      <c r="A516" s="1293">
        <v>505</v>
      </c>
      <c r="B516" s="1277">
        <v>0.88749999999999996</v>
      </c>
    </row>
    <row r="517" spans="1:2" x14ac:dyDescent="0.2">
      <c r="A517" s="1293">
        <v>506</v>
      </c>
      <c r="B517" s="1277">
        <v>0.89</v>
      </c>
    </row>
    <row r="518" spans="1:2" x14ac:dyDescent="0.2">
      <c r="A518" s="1293">
        <v>507</v>
      </c>
      <c r="B518" s="1277">
        <v>0.89249999999999996</v>
      </c>
    </row>
    <row r="519" spans="1:2" x14ac:dyDescent="0.2">
      <c r="A519" s="1293">
        <v>508</v>
      </c>
      <c r="B519" s="1277">
        <v>0.89500000000000002</v>
      </c>
    </row>
    <row r="520" spans="1:2" x14ac:dyDescent="0.2">
      <c r="A520" s="1293">
        <v>509</v>
      </c>
      <c r="B520" s="1277">
        <v>0.89749999999999996</v>
      </c>
    </row>
    <row r="521" spans="1:2" x14ac:dyDescent="0.2">
      <c r="A521" s="1293">
        <v>510</v>
      </c>
      <c r="B521" s="1277">
        <v>0.9</v>
      </c>
    </row>
    <row r="522" spans="1:2" x14ac:dyDescent="0.2">
      <c r="A522" s="1293">
        <v>511</v>
      </c>
      <c r="B522" s="1277">
        <v>0.90249999999999997</v>
      </c>
    </row>
    <row r="523" spans="1:2" x14ac:dyDescent="0.2">
      <c r="A523" s="1293">
        <v>512</v>
      </c>
      <c r="B523" s="1277">
        <v>0.90500000000000003</v>
      </c>
    </row>
    <row r="524" spans="1:2" x14ac:dyDescent="0.2">
      <c r="A524" s="1293">
        <v>513</v>
      </c>
      <c r="B524" s="1277">
        <v>0.90749999999999997</v>
      </c>
    </row>
    <row r="525" spans="1:2" x14ac:dyDescent="0.2">
      <c r="A525" s="1293">
        <v>514</v>
      </c>
      <c r="B525" s="1277">
        <v>0.91</v>
      </c>
    </row>
    <row r="526" spans="1:2" x14ac:dyDescent="0.2">
      <c r="A526" s="1293">
        <v>515</v>
      </c>
      <c r="B526" s="1277">
        <v>0.91249999999999998</v>
      </c>
    </row>
    <row r="527" spans="1:2" x14ac:dyDescent="0.2">
      <c r="A527" s="1293">
        <v>516</v>
      </c>
      <c r="B527" s="1277">
        <v>0.91500000000000004</v>
      </c>
    </row>
    <row r="528" spans="1:2" x14ac:dyDescent="0.2">
      <c r="A528" s="1293">
        <v>517</v>
      </c>
      <c r="B528" s="1277">
        <v>0.91749999999999998</v>
      </c>
    </row>
    <row r="529" spans="1:2" x14ac:dyDescent="0.2">
      <c r="A529" s="1293">
        <v>518</v>
      </c>
      <c r="B529" s="1277">
        <v>0.92</v>
      </c>
    </row>
    <row r="530" spans="1:2" x14ac:dyDescent="0.2">
      <c r="A530" s="1293">
        <v>519</v>
      </c>
      <c r="B530" s="1277">
        <v>0.92249999999999999</v>
      </c>
    </row>
    <row r="531" spans="1:2" x14ac:dyDescent="0.2">
      <c r="A531" s="1293">
        <v>520</v>
      </c>
      <c r="B531" s="1277">
        <v>0.92500000000000004</v>
      </c>
    </row>
    <row r="532" spans="1:2" x14ac:dyDescent="0.2">
      <c r="A532" s="1293">
        <v>521</v>
      </c>
      <c r="B532" s="1277">
        <v>0.92749999999999999</v>
      </c>
    </row>
    <row r="533" spans="1:2" x14ac:dyDescent="0.2">
      <c r="A533" s="1293">
        <v>522</v>
      </c>
      <c r="B533" s="1277">
        <v>0.93</v>
      </c>
    </row>
    <row r="534" spans="1:2" x14ac:dyDescent="0.2">
      <c r="A534" s="1293">
        <v>523</v>
      </c>
      <c r="B534" s="1277">
        <v>0.9325</v>
      </c>
    </row>
    <row r="535" spans="1:2" x14ac:dyDescent="0.2">
      <c r="A535" s="1293">
        <v>524</v>
      </c>
      <c r="B535" s="1277">
        <v>0.93500000000000005</v>
      </c>
    </row>
    <row r="536" spans="1:2" x14ac:dyDescent="0.2">
      <c r="A536" s="1293">
        <v>525</v>
      </c>
      <c r="B536" s="1277">
        <v>0.9375</v>
      </c>
    </row>
    <row r="537" spans="1:2" x14ac:dyDescent="0.2">
      <c r="A537" s="1293">
        <v>526</v>
      </c>
      <c r="B537" s="1277">
        <v>0.94</v>
      </c>
    </row>
    <row r="538" spans="1:2" x14ac:dyDescent="0.2">
      <c r="A538" s="1293">
        <v>527</v>
      </c>
      <c r="B538" s="1277">
        <v>0.9425</v>
      </c>
    </row>
    <row r="539" spans="1:2" x14ac:dyDescent="0.2">
      <c r="A539" s="1293">
        <v>528</v>
      </c>
      <c r="B539" s="1277">
        <v>0.94499999999999995</v>
      </c>
    </row>
    <row r="540" spans="1:2" x14ac:dyDescent="0.2">
      <c r="A540" s="1293">
        <v>529</v>
      </c>
      <c r="B540" s="1277">
        <v>0.94750000000000001</v>
      </c>
    </row>
    <row r="541" spans="1:2" x14ac:dyDescent="0.2">
      <c r="A541" s="1293">
        <v>530</v>
      </c>
      <c r="B541" s="1277">
        <v>0.95</v>
      </c>
    </row>
    <row r="542" spans="1:2" x14ac:dyDescent="0.2">
      <c r="A542" s="1293">
        <v>531</v>
      </c>
      <c r="B542" s="1277">
        <v>0.95250000000000001</v>
      </c>
    </row>
    <row r="543" spans="1:2" x14ac:dyDescent="0.2">
      <c r="A543" s="1293">
        <v>532</v>
      </c>
      <c r="B543" s="1277">
        <v>0.95499999999999996</v>
      </c>
    </row>
    <row r="544" spans="1:2" x14ac:dyDescent="0.2">
      <c r="A544" s="1293">
        <v>533</v>
      </c>
      <c r="B544" s="1277">
        <v>0.95750000000000002</v>
      </c>
    </row>
    <row r="545" spans="1:2" x14ac:dyDescent="0.2">
      <c r="A545" s="1293">
        <v>534</v>
      </c>
      <c r="B545" s="1277">
        <v>0.96</v>
      </c>
    </row>
    <row r="546" spans="1:2" x14ac:dyDescent="0.2">
      <c r="A546" s="1293">
        <v>535</v>
      </c>
      <c r="B546" s="1277">
        <v>0.96250000000000002</v>
      </c>
    </row>
    <row r="547" spans="1:2" x14ac:dyDescent="0.2">
      <c r="A547" s="1293">
        <v>536</v>
      </c>
      <c r="B547" s="1277">
        <v>0.96499999999999997</v>
      </c>
    </row>
    <row r="548" spans="1:2" x14ac:dyDescent="0.2">
      <c r="A548" s="1293">
        <v>537</v>
      </c>
      <c r="B548" s="1277">
        <v>0.96750000000000003</v>
      </c>
    </row>
    <row r="549" spans="1:2" x14ac:dyDescent="0.2">
      <c r="A549" s="1293">
        <v>538</v>
      </c>
      <c r="B549" s="1277">
        <v>0.97</v>
      </c>
    </row>
    <row r="550" spans="1:2" x14ac:dyDescent="0.2">
      <c r="A550" s="1293">
        <v>539</v>
      </c>
      <c r="B550" s="1277">
        <v>0.97250000000000003</v>
      </c>
    </row>
    <row r="551" spans="1:2" x14ac:dyDescent="0.2">
      <c r="A551" s="1293">
        <v>540</v>
      </c>
      <c r="B551" s="1277">
        <v>0.97499999999999998</v>
      </c>
    </row>
    <row r="552" spans="1:2" x14ac:dyDescent="0.2">
      <c r="A552" s="1293">
        <v>541</v>
      </c>
      <c r="B552" s="1277">
        <v>0.97750000000000004</v>
      </c>
    </row>
    <row r="553" spans="1:2" x14ac:dyDescent="0.2">
      <c r="A553" s="1293">
        <v>542</v>
      </c>
      <c r="B553" s="1277">
        <v>0.98</v>
      </c>
    </row>
    <row r="554" spans="1:2" x14ac:dyDescent="0.2">
      <c r="A554" s="1293">
        <v>543</v>
      </c>
      <c r="B554" s="1277">
        <v>0.98250000000000004</v>
      </c>
    </row>
    <row r="555" spans="1:2" x14ac:dyDescent="0.2">
      <c r="A555" s="1293">
        <v>544</v>
      </c>
      <c r="B555" s="1277">
        <v>0.98499999999999999</v>
      </c>
    </row>
    <row r="556" spans="1:2" x14ac:dyDescent="0.2">
      <c r="A556" s="1293">
        <v>545</v>
      </c>
      <c r="B556" s="1277">
        <v>0.98750000000000004</v>
      </c>
    </row>
    <row r="557" spans="1:2" x14ac:dyDescent="0.2">
      <c r="A557" s="1293">
        <v>546</v>
      </c>
      <c r="B557" s="1277">
        <v>0.99</v>
      </c>
    </row>
    <row r="558" spans="1:2" x14ac:dyDescent="0.2">
      <c r="A558" s="1293">
        <v>547</v>
      </c>
      <c r="B558" s="1277">
        <v>0.99250000000000005</v>
      </c>
    </row>
    <row r="559" spans="1:2" x14ac:dyDescent="0.2">
      <c r="A559" s="1293">
        <v>548</v>
      </c>
      <c r="B559" s="1277">
        <v>0.995</v>
      </c>
    </row>
    <row r="560" spans="1:2" x14ac:dyDescent="0.2">
      <c r="A560" s="1293">
        <v>549</v>
      </c>
      <c r="B560" s="1277">
        <v>0.99750000000000005</v>
      </c>
    </row>
    <row r="561" spans="1:2" x14ac:dyDescent="0.2">
      <c r="A561" s="1293">
        <v>550</v>
      </c>
      <c r="B561" s="1277">
        <v>1</v>
      </c>
    </row>
    <row r="562" spans="1:2" x14ac:dyDescent="0.2">
      <c r="A562" s="1293">
        <v>551</v>
      </c>
      <c r="B562" s="1277">
        <v>1</v>
      </c>
    </row>
    <row r="563" spans="1:2" x14ac:dyDescent="0.2">
      <c r="A563" s="1293">
        <v>552</v>
      </c>
      <c r="B563" s="1277">
        <v>1</v>
      </c>
    </row>
    <row r="564" spans="1:2" x14ac:dyDescent="0.2">
      <c r="A564" s="1293">
        <v>553</v>
      </c>
      <c r="B564" s="1277">
        <v>1</v>
      </c>
    </row>
    <row r="565" spans="1:2" x14ac:dyDescent="0.2">
      <c r="A565" s="1293">
        <v>554</v>
      </c>
      <c r="B565" s="1277">
        <v>1</v>
      </c>
    </row>
    <row r="566" spans="1:2" x14ac:dyDescent="0.2">
      <c r="A566" s="1293">
        <v>555</v>
      </c>
      <c r="B566" s="1277">
        <v>1</v>
      </c>
    </row>
    <row r="567" spans="1:2" x14ac:dyDescent="0.2">
      <c r="A567" s="1293">
        <v>556</v>
      </c>
      <c r="B567" s="1277">
        <v>1</v>
      </c>
    </row>
    <row r="568" spans="1:2" x14ac:dyDescent="0.2">
      <c r="A568" s="1293">
        <v>557</v>
      </c>
      <c r="B568" s="1277">
        <v>1</v>
      </c>
    </row>
    <row r="569" spans="1:2" x14ac:dyDescent="0.2">
      <c r="A569" s="1293">
        <v>558</v>
      </c>
      <c r="B569" s="1277">
        <v>1</v>
      </c>
    </row>
    <row r="570" spans="1:2" x14ac:dyDescent="0.2">
      <c r="A570" s="1293">
        <v>559</v>
      </c>
      <c r="B570" s="1277">
        <v>1</v>
      </c>
    </row>
    <row r="571" spans="1:2" x14ac:dyDescent="0.2">
      <c r="A571" s="1293">
        <v>560</v>
      </c>
      <c r="B571" s="1277">
        <v>1</v>
      </c>
    </row>
    <row r="572" spans="1:2" x14ac:dyDescent="0.2">
      <c r="A572" s="1293">
        <v>561</v>
      </c>
      <c r="B572" s="1277">
        <v>1</v>
      </c>
    </row>
    <row r="573" spans="1:2" x14ac:dyDescent="0.2">
      <c r="A573" s="1293">
        <v>562</v>
      </c>
      <c r="B573" s="1277">
        <v>1</v>
      </c>
    </row>
    <row r="574" spans="1:2" x14ac:dyDescent="0.2">
      <c r="A574" s="1293">
        <v>563</v>
      </c>
      <c r="B574" s="1277">
        <v>1</v>
      </c>
    </row>
    <row r="575" spans="1:2" x14ac:dyDescent="0.2">
      <c r="A575" s="1293">
        <v>564</v>
      </c>
      <c r="B575" s="1277">
        <v>1</v>
      </c>
    </row>
    <row r="576" spans="1:2" x14ac:dyDescent="0.2">
      <c r="A576" s="1293">
        <v>565</v>
      </c>
      <c r="B576" s="1277">
        <v>1</v>
      </c>
    </row>
    <row r="577" spans="1:2" x14ac:dyDescent="0.2">
      <c r="A577" s="1293">
        <v>566</v>
      </c>
      <c r="B577" s="1277">
        <v>1</v>
      </c>
    </row>
    <row r="578" spans="1:2" x14ac:dyDescent="0.2">
      <c r="A578" s="1293">
        <v>567</v>
      </c>
      <c r="B578" s="1277">
        <v>1</v>
      </c>
    </row>
    <row r="579" spans="1:2" x14ac:dyDescent="0.2">
      <c r="A579" s="1293">
        <v>568</v>
      </c>
      <c r="B579" s="1277">
        <v>1</v>
      </c>
    </row>
    <row r="580" spans="1:2" x14ac:dyDescent="0.2">
      <c r="A580" s="1293">
        <v>569</v>
      </c>
      <c r="B580" s="1277">
        <v>1</v>
      </c>
    </row>
    <row r="581" spans="1:2" x14ac:dyDescent="0.2">
      <c r="A581" s="1293">
        <v>570</v>
      </c>
      <c r="B581" s="1277">
        <v>1</v>
      </c>
    </row>
    <row r="582" spans="1:2" x14ac:dyDescent="0.2">
      <c r="A582" s="1293">
        <v>571</v>
      </c>
      <c r="B582" s="1277">
        <v>1</v>
      </c>
    </row>
    <row r="583" spans="1:2" x14ac:dyDescent="0.2">
      <c r="A583" s="1293">
        <v>572</v>
      </c>
      <c r="B583" s="1277">
        <v>1</v>
      </c>
    </row>
    <row r="584" spans="1:2" x14ac:dyDescent="0.2">
      <c r="A584" s="1293">
        <v>573</v>
      </c>
      <c r="B584" s="1277">
        <v>1</v>
      </c>
    </row>
    <row r="585" spans="1:2" x14ac:dyDescent="0.2">
      <c r="A585" s="1293">
        <v>574</v>
      </c>
      <c r="B585" s="1277">
        <v>1</v>
      </c>
    </row>
    <row r="586" spans="1:2" x14ac:dyDescent="0.2">
      <c r="A586" s="1293">
        <v>575</v>
      </c>
      <c r="B586" s="1277">
        <v>1</v>
      </c>
    </row>
    <row r="587" spans="1:2" x14ac:dyDescent="0.2">
      <c r="A587" s="1293">
        <v>576</v>
      </c>
      <c r="B587" s="1277">
        <v>1</v>
      </c>
    </row>
    <row r="588" spans="1:2" x14ac:dyDescent="0.2">
      <c r="A588" s="1293">
        <v>577</v>
      </c>
      <c r="B588" s="1277">
        <v>1</v>
      </c>
    </row>
    <row r="589" spans="1:2" x14ac:dyDescent="0.2">
      <c r="A589" s="1293">
        <v>578</v>
      </c>
      <c r="B589" s="1277">
        <v>1</v>
      </c>
    </row>
    <row r="590" spans="1:2" x14ac:dyDescent="0.2">
      <c r="A590" s="1293">
        <v>579</v>
      </c>
      <c r="B590" s="1277">
        <v>1</v>
      </c>
    </row>
    <row r="591" spans="1:2" x14ac:dyDescent="0.2">
      <c r="A591" s="1293">
        <v>580</v>
      </c>
      <c r="B591" s="1277">
        <v>1</v>
      </c>
    </row>
    <row r="592" spans="1:2" x14ac:dyDescent="0.2">
      <c r="A592" s="1293">
        <v>581</v>
      </c>
      <c r="B592" s="1277">
        <v>1</v>
      </c>
    </row>
    <row r="593" spans="1:2" x14ac:dyDescent="0.2">
      <c r="A593" s="1293">
        <v>582</v>
      </c>
      <c r="B593" s="1277">
        <v>1</v>
      </c>
    </row>
    <row r="594" spans="1:2" x14ac:dyDescent="0.2">
      <c r="A594" s="1293">
        <v>583</v>
      </c>
      <c r="B594" s="1277">
        <v>1</v>
      </c>
    </row>
    <row r="595" spans="1:2" x14ac:dyDescent="0.2">
      <c r="A595" s="1293">
        <v>584</v>
      </c>
      <c r="B595" s="1277">
        <v>1</v>
      </c>
    </row>
    <row r="596" spans="1:2" x14ac:dyDescent="0.2">
      <c r="A596" s="1293">
        <v>585</v>
      </c>
      <c r="B596" s="1277">
        <v>1</v>
      </c>
    </row>
    <row r="597" spans="1:2" x14ac:dyDescent="0.2">
      <c r="A597" s="1293">
        <v>586</v>
      </c>
      <c r="B597" s="1277">
        <v>1</v>
      </c>
    </row>
    <row r="598" spans="1:2" x14ac:dyDescent="0.2">
      <c r="A598" s="1293">
        <v>587</v>
      </c>
      <c r="B598" s="1277">
        <v>1</v>
      </c>
    </row>
    <row r="599" spans="1:2" x14ac:dyDescent="0.2">
      <c r="A599" s="1293">
        <v>588</v>
      </c>
      <c r="B599" s="1277">
        <v>1</v>
      </c>
    </row>
    <row r="600" spans="1:2" x14ac:dyDescent="0.2">
      <c r="A600" s="1293">
        <v>589</v>
      </c>
      <c r="B600" s="1277">
        <v>1</v>
      </c>
    </row>
    <row r="601" spans="1:2" x14ac:dyDescent="0.2">
      <c r="A601" s="1293">
        <v>590</v>
      </c>
      <c r="B601" s="1277">
        <v>1</v>
      </c>
    </row>
    <row r="602" spans="1:2" x14ac:dyDescent="0.2">
      <c r="A602" s="1293">
        <v>591</v>
      </c>
      <c r="B602" s="1277">
        <v>1</v>
      </c>
    </row>
    <row r="603" spans="1:2" x14ac:dyDescent="0.2">
      <c r="A603" s="1293">
        <v>592</v>
      </c>
      <c r="B603" s="1277">
        <v>1</v>
      </c>
    </row>
    <row r="604" spans="1:2" x14ac:dyDescent="0.2">
      <c r="A604" s="1293">
        <v>593</v>
      </c>
      <c r="B604" s="1277">
        <v>1</v>
      </c>
    </row>
    <row r="605" spans="1:2" x14ac:dyDescent="0.2">
      <c r="A605" s="1293">
        <v>594</v>
      </c>
      <c r="B605" s="1277">
        <v>1</v>
      </c>
    </row>
    <row r="606" spans="1:2" x14ac:dyDescent="0.2">
      <c r="A606" s="1293">
        <v>595</v>
      </c>
      <c r="B606" s="1277">
        <v>1</v>
      </c>
    </row>
    <row r="607" spans="1:2" x14ac:dyDescent="0.2">
      <c r="A607" s="1293">
        <v>596</v>
      </c>
      <c r="B607" s="1277">
        <v>1</v>
      </c>
    </row>
    <row r="608" spans="1:2" x14ac:dyDescent="0.2">
      <c r="A608" s="1293">
        <v>597</v>
      </c>
      <c r="B608" s="1277">
        <v>1</v>
      </c>
    </row>
    <row r="609" spans="1:2" x14ac:dyDescent="0.2">
      <c r="A609" s="1293">
        <v>598</v>
      </c>
      <c r="B609" s="1277">
        <v>1</v>
      </c>
    </row>
    <row r="610" spans="1:2" x14ac:dyDescent="0.2">
      <c r="A610" s="1293">
        <v>599</v>
      </c>
      <c r="B610" s="1277">
        <v>1</v>
      </c>
    </row>
    <row r="611" spans="1:2" x14ac:dyDescent="0.2">
      <c r="A611" s="1293">
        <v>600</v>
      </c>
      <c r="B611" s="1277">
        <v>1</v>
      </c>
    </row>
    <row r="612" spans="1:2" x14ac:dyDescent="0.2">
      <c r="A612" s="1293">
        <v>601</v>
      </c>
      <c r="B612" s="1277">
        <v>1</v>
      </c>
    </row>
    <row r="613" spans="1:2" x14ac:dyDescent="0.2">
      <c r="A613" s="1293">
        <v>602</v>
      </c>
      <c r="B613" s="1277">
        <v>1</v>
      </c>
    </row>
    <row r="614" spans="1:2" x14ac:dyDescent="0.2">
      <c r="A614" s="1293">
        <v>603</v>
      </c>
      <c r="B614" s="1277">
        <v>1</v>
      </c>
    </row>
    <row r="615" spans="1:2" x14ac:dyDescent="0.2">
      <c r="A615" s="1293">
        <v>604</v>
      </c>
      <c r="B615" s="1277">
        <v>1</v>
      </c>
    </row>
    <row r="616" spans="1:2" x14ac:dyDescent="0.2">
      <c r="A616" s="1293">
        <v>605</v>
      </c>
      <c r="B616" s="1277">
        <v>1</v>
      </c>
    </row>
    <row r="617" spans="1:2" x14ac:dyDescent="0.2">
      <c r="A617" s="1293">
        <v>606</v>
      </c>
      <c r="B617" s="1277">
        <v>1</v>
      </c>
    </row>
    <row r="618" spans="1:2" x14ac:dyDescent="0.2">
      <c r="A618" s="1293">
        <v>607</v>
      </c>
      <c r="B618" s="1277">
        <v>1</v>
      </c>
    </row>
    <row r="619" spans="1:2" x14ac:dyDescent="0.2">
      <c r="A619" s="1293">
        <v>608</v>
      </c>
      <c r="B619" s="1277">
        <v>1</v>
      </c>
    </row>
    <row r="620" spans="1:2" x14ac:dyDescent="0.2">
      <c r="A620" s="1293">
        <v>609</v>
      </c>
      <c r="B620" s="1277">
        <v>1</v>
      </c>
    </row>
    <row r="621" spans="1:2" x14ac:dyDescent="0.2">
      <c r="A621" s="1293">
        <v>610</v>
      </c>
      <c r="B621" s="1277">
        <v>1</v>
      </c>
    </row>
    <row r="622" spans="1:2" x14ac:dyDescent="0.2">
      <c r="A622" s="1293">
        <v>611</v>
      </c>
      <c r="B622" s="1277">
        <v>1</v>
      </c>
    </row>
    <row r="623" spans="1:2" x14ac:dyDescent="0.2">
      <c r="A623" s="1293">
        <v>612</v>
      </c>
      <c r="B623" s="1277">
        <v>1</v>
      </c>
    </row>
    <row r="624" spans="1:2" x14ac:dyDescent="0.2">
      <c r="A624" s="1293">
        <v>613</v>
      </c>
      <c r="B624" s="1277">
        <v>1</v>
      </c>
    </row>
    <row r="625" spans="1:2" x14ac:dyDescent="0.2">
      <c r="A625" s="1293">
        <v>614</v>
      </c>
      <c r="B625" s="1277">
        <v>1</v>
      </c>
    </row>
    <row r="626" spans="1:2" x14ac:dyDescent="0.2">
      <c r="A626" s="1293">
        <v>615</v>
      </c>
      <c r="B626" s="1277">
        <v>1</v>
      </c>
    </row>
    <row r="627" spans="1:2" x14ac:dyDescent="0.2">
      <c r="A627" s="1293">
        <v>616</v>
      </c>
      <c r="B627" s="1277">
        <v>1</v>
      </c>
    </row>
    <row r="628" spans="1:2" x14ac:dyDescent="0.2">
      <c r="A628" s="1293">
        <v>617</v>
      </c>
      <c r="B628" s="1277">
        <v>1</v>
      </c>
    </row>
    <row r="629" spans="1:2" x14ac:dyDescent="0.2">
      <c r="A629" s="1293">
        <v>618</v>
      </c>
      <c r="B629" s="1277">
        <v>1</v>
      </c>
    </row>
    <row r="630" spans="1:2" x14ac:dyDescent="0.2">
      <c r="A630" s="1293">
        <v>619</v>
      </c>
      <c r="B630" s="1277">
        <v>1</v>
      </c>
    </row>
    <row r="631" spans="1:2" x14ac:dyDescent="0.2">
      <c r="A631" s="1293">
        <v>620</v>
      </c>
      <c r="B631" s="1277">
        <v>1</v>
      </c>
    </row>
    <row r="632" spans="1:2" x14ac:dyDescent="0.2">
      <c r="A632" s="1293">
        <v>621</v>
      </c>
      <c r="B632" s="1277">
        <v>1</v>
      </c>
    </row>
    <row r="633" spans="1:2" x14ac:dyDescent="0.2">
      <c r="A633" s="1293">
        <v>622</v>
      </c>
      <c r="B633" s="1277">
        <v>1</v>
      </c>
    </row>
    <row r="634" spans="1:2" x14ac:dyDescent="0.2">
      <c r="A634" s="1293">
        <v>623</v>
      </c>
      <c r="B634" s="1277">
        <v>1</v>
      </c>
    </row>
    <row r="635" spans="1:2" x14ac:dyDescent="0.2">
      <c r="A635" s="1293">
        <v>624</v>
      </c>
      <c r="B635" s="1277">
        <v>1</v>
      </c>
    </row>
    <row r="636" spans="1:2" x14ac:dyDescent="0.2">
      <c r="A636" s="1293">
        <v>625</v>
      </c>
      <c r="B636" s="1277">
        <v>1</v>
      </c>
    </row>
    <row r="637" spans="1:2" x14ac:dyDescent="0.2">
      <c r="A637" s="1293">
        <v>626</v>
      </c>
      <c r="B637" s="1277">
        <v>1</v>
      </c>
    </row>
    <row r="638" spans="1:2" x14ac:dyDescent="0.2">
      <c r="A638" s="1293">
        <v>627</v>
      </c>
      <c r="B638" s="1277">
        <v>1</v>
      </c>
    </row>
    <row r="639" spans="1:2" x14ac:dyDescent="0.2">
      <c r="A639" s="1293">
        <v>628</v>
      </c>
      <c r="B639" s="1277">
        <v>1</v>
      </c>
    </row>
    <row r="640" spans="1:2" x14ac:dyDescent="0.2">
      <c r="A640" s="1293">
        <v>629</v>
      </c>
      <c r="B640" s="1277">
        <v>1</v>
      </c>
    </row>
    <row r="641" spans="1:2" x14ac:dyDescent="0.2">
      <c r="A641" s="1293">
        <v>630</v>
      </c>
      <c r="B641" s="1277">
        <v>1</v>
      </c>
    </row>
    <row r="642" spans="1:2" x14ac:dyDescent="0.2">
      <c r="A642" s="1293">
        <v>631</v>
      </c>
      <c r="B642" s="1277">
        <v>1</v>
      </c>
    </row>
    <row r="643" spans="1:2" x14ac:dyDescent="0.2">
      <c r="A643" s="1293">
        <v>632</v>
      </c>
      <c r="B643" s="1277">
        <v>1</v>
      </c>
    </row>
    <row r="644" spans="1:2" x14ac:dyDescent="0.2">
      <c r="A644" s="1293">
        <v>633</v>
      </c>
      <c r="B644" s="1277">
        <v>1</v>
      </c>
    </row>
    <row r="645" spans="1:2" x14ac:dyDescent="0.2">
      <c r="A645" s="1293">
        <v>634</v>
      </c>
      <c r="B645" s="1277">
        <v>1</v>
      </c>
    </row>
    <row r="646" spans="1:2" x14ac:dyDescent="0.2">
      <c r="A646" s="1293">
        <v>635</v>
      </c>
      <c r="B646" s="1277">
        <v>1</v>
      </c>
    </row>
    <row r="647" spans="1:2" x14ac:dyDescent="0.2">
      <c r="A647" s="1293">
        <v>636</v>
      </c>
      <c r="B647" s="1277">
        <v>1</v>
      </c>
    </row>
    <row r="648" spans="1:2" x14ac:dyDescent="0.2">
      <c r="A648" s="1293">
        <v>637</v>
      </c>
      <c r="B648" s="1277">
        <v>1</v>
      </c>
    </row>
    <row r="649" spans="1:2" x14ac:dyDescent="0.2">
      <c r="A649" s="1293">
        <v>638</v>
      </c>
      <c r="B649" s="1277">
        <v>1</v>
      </c>
    </row>
    <row r="650" spans="1:2" x14ac:dyDescent="0.2">
      <c r="A650" s="1293">
        <v>639</v>
      </c>
      <c r="B650" s="1277">
        <v>1</v>
      </c>
    </row>
    <row r="651" spans="1:2" x14ac:dyDescent="0.2">
      <c r="A651" s="1293">
        <v>640</v>
      </c>
      <c r="B651" s="1277">
        <v>1</v>
      </c>
    </row>
    <row r="652" spans="1:2" x14ac:dyDescent="0.2">
      <c r="A652" s="1293">
        <v>641</v>
      </c>
      <c r="B652" s="1277">
        <v>1</v>
      </c>
    </row>
    <row r="653" spans="1:2" x14ac:dyDescent="0.2">
      <c r="A653" s="1293">
        <v>642</v>
      </c>
      <c r="B653" s="1277">
        <v>1</v>
      </c>
    </row>
    <row r="654" spans="1:2" x14ac:dyDescent="0.2">
      <c r="A654" s="1293">
        <v>643</v>
      </c>
      <c r="B654" s="1277">
        <v>1</v>
      </c>
    </row>
    <row r="655" spans="1:2" x14ac:dyDescent="0.2">
      <c r="A655" s="1293">
        <v>644</v>
      </c>
      <c r="B655" s="1277">
        <v>1</v>
      </c>
    </row>
    <row r="656" spans="1:2" x14ac:dyDescent="0.2">
      <c r="A656" s="1293">
        <v>645</v>
      </c>
      <c r="B656" s="1277">
        <v>1</v>
      </c>
    </row>
    <row r="657" spans="1:2" x14ac:dyDescent="0.2">
      <c r="A657" s="1293">
        <v>646</v>
      </c>
      <c r="B657" s="1277">
        <v>1</v>
      </c>
    </row>
    <row r="658" spans="1:2" x14ac:dyDescent="0.2">
      <c r="A658" s="1293">
        <v>647</v>
      </c>
      <c r="B658" s="1277">
        <v>1</v>
      </c>
    </row>
    <row r="659" spans="1:2" x14ac:dyDescent="0.2">
      <c r="A659" s="1293">
        <v>648</v>
      </c>
      <c r="B659" s="1277">
        <v>1</v>
      </c>
    </row>
    <row r="660" spans="1:2" x14ac:dyDescent="0.2">
      <c r="A660" s="1293">
        <v>649</v>
      </c>
      <c r="B660" s="1277">
        <v>1</v>
      </c>
    </row>
    <row r="661" spans="1:2" x14ac:dyDescent="0.2">
      <c r="A661" s="1293">
        <v>650</v>
      </c>
      <c r="B661" s="1277">
        <v>1</v>
      </c>
    </row>
    <row r="662" spans="1:2" x14ac:dyDescent="0.2">
      <c r="A662" s="1293">
        <v>651</v>
      </c>
      <c r="B662" s="1277">
        <v>1</v>
      </c>
    </row>
    <row r="663" spans="1:2" x14ac:dyDescent="0.2">
      <c r="A663" s="1293">
        <v>652</v>
      </c>
      <c r="B663" s="1277">
        <v>1</v>
      </c>
    </row>
    <row r="664" spans="1:2" x14ac:dyDescent="0.2">
      <c r="A664" s="1293">
        <v>653</v>
      </c>
      <c r="B664" s="1277">
        <v>1</v>
      </c>
    </row>
    <row r="665" spans="1:2" x14ac:dyDescent="0.2">
      <c r="A665" s="1293">
        <v>654</v>
      </c>
      <c r="B665" s="1277">
        <v>1</v>
      </c>
    </row>
    <row r="666" spans="1:2" x14ac:dyDescent="0.2">
      <c r="A666" s="1293">
        <v>655</v>
      </c>
      <c r="B666" s="1277">
        <v>1</v>
      </c>
    </row>
    <row r="667" spans="1:2" x14ac:dyDescent="0.2">
      <c r="A667" s="1293">
        <v>656</v>
      </c>
      <c r="B667" s="1277">
        <v>1</v>
      </c>
    </row>
    <row r="668" spans="1:2" x14ac:dyDescent="0.2">
      <c r="A668" s="1293">
        <v>657</v>
      </c>
      <c r="B668" s="1277">
        <v>1</v>
      </c>
    </row>
    <row r="669" spans="1:2" x14ac:dyDescent="0.2">
      <c r="A669" s="1293">
        <v>658</v>
      </c>
      <c r="B669" s="1277">
        <v>1</v>
      </c>
    </row>
    <row r="670" spans="1:2" x14ac:dyDescent="0.2">
      <c r="A670" s="1293">
        <v>659</v>
      </c>
      <c r="B670" s="1277">
        <v>1</v>
      </c>
    </row>
    <row r="671" spans="1:2" x14ac:dyDescent="0.2">
      <c r="A671" s="1293">
        <v>660</v>
      </c>
      <c r="B671" s="1277">
        <v>1</v>
      </c>
    </row>
    <row r="672" spans="1:2" x14ac:dyDescent="0.2">
      <c r="A672" s="1293">
        <v>661</v>
      </c>
      <c r="B672" s="1277">
        <v>1</v>
      </c>
    </row>
    <row r="673" spans="1:2" x14ac:dyDescent="0.2">
      <c r="A673" s="1293">
        <v>662</v>
      </c>
      <c r="B673" s="1277">
        <v>1</v>
      </c>
    </row>
    <row r="674" spans="1:2" x14ac:dyDescent="0.2">
      <c r="A674" s="1293">
        <v>663</v>
      </c>
      <c r="B674" s="1277">
        <v>1</v>
      </c>
    </row>
    <row r="675" spans="1:2" x14ac:dyDescent="0.2">
      <c r="A675" s="1293">
        <v>664</v>
      </c>
      <c r="B675" s="1277">
        <v>1</v>
      </c>
    </row>
    <row r="676" spans="1:2" x14ac:dyDescent="0.2">
      <c r="A676" s="1293">
        <v>665</v>
      </c>
      <c r="B676" s="1277">
        <v>1</v>
      </c>
    </row>
    <row r="677" spans="1:2" x14ac:dyDescent="0.2">
      <c r="A677" s="1293">
        <v>666</v>
      </c>
      <c r="B677" s="1277">
        <v>1</v>
      </c>
    </row>
    <row r="678" spans="1:2" x14ac:dyDescent="0.2">
      <c r="A678" s="1293">
        <v>667</v>
      </c>
      <c r="B678" s="1277">
        <v>1</v>
      </c>
    </row>
    <row r="679" spans="1:2" x14ac:dyDescent="0.2">
      <c r="A679" s="1293">
        <v>668</v>
      </c>
      <c r="B679" s="1277">
        <v>1</v>
      </c>
    </row>
    <row r="680" spans="1:2" x14ac:dyDescent="0.2">
      <c r="A680" s="1293">
        <v>669</v>
      </c>
      <c r="B680" s="1277">
        <v>1</v>
      </c>
    </row>
    <row r="681" spans="1:2" x14ac:dyDescent="0.2">
      <c r="A681" s="1293">
        <v>670</v>
      </c>
      <c r="B681" s="1277">
        <v>1</v>
      </c>
    </row>
    <row r="682" spans="1:2" x14ac:dyDescent="0.2">
      <c r="A682" s="1293">
        <v>671</v>
      </c>
      <c r="B682" s="1277">
        <v>1</v>
      </c>
    </row>
    <row r="683" spans="1:2" x14ac:dyDescent="0.2">
      <c r="A683" s="1293">
        <v>672</v>
      </c>
      <c r="B683" s="1277">
        <v>1</v>
      </c>
    </row>
    <row r="684" spans="1:2" x14ac:dyDescent="0.2">
      <c r="A684" s="1293">
        <v>673</v>
      </c>
      <c r="B684" s="1277">
        <v>1</v>
      </c>
    </row>
    <row r="685" spans="1:2" x14ac:dyDescent="0.2">
      <c r="A685" s="1293">
        <v>674</v>
      </c>
      <c r="B685" s="1277">
        <v>1</v>
      </c>
    </row>
    <row r="686" spans="1:2" x14ac:dyDescent="0.2">
      <c r="A686" s="1293">
        <v>675</v>
      </c>
      <c r="B686" s="1277">
        <v>1</v>
      </c>
    </row>
    <row r="687" spans="1:2" x14ac:dyDescent="0.2">
      <c r="A687" s="1293">
        <v>676</v>
      </c>
      <c r="B687" s="1277">
        <v>1</v>
      </c>
    </row>
    <row r="688" spans="1:2" x14ac:dyDescent="0.2">
      <c r="A688" s="1293">
        <v>677</v>
      </c>
      <c r="B688" s="1277">
        <v>1</v>
      </c>
    </row>
    <row r="689" spans="1:2" x14ac:dyDescent="0.2">
      <c r="A689" s="1293">
        <v>678</v>
      </c>
      <c r="B689" s="1277">
        <v>1</v>
      </c>
    </row>
    <row r="690" spans="1:2" x14ac:dyDescent="0.2">
      <c r="A690" s="1293">
        <v>679</v>
      </c>
      <c r="B690" s="1277">
        <v>1</v>
      </c>
    </row>
    <row r="691" spans="1:2" x14ac:dyDescent="0.2">
      <c r="A691" s="1293">
        <v>680</v>
      </c>
      <c r="B691" s="1277">
        <v>1</v>
      </c>
    </row>
    <row r="692" spans="1:2" x14ac:dyDescent="0.2">
      <c r="A692" s="1293">
        <v>681</v>
      </c>
      <c r="B692" s="1277">
        <v>1</v>
      </c>
    </row>
    <row r="693" spans="1:2" x14ac:dyDescent="0.2">
      <c r="A693" s="1293">
        <v>682</v>
      </c>
      <c r="B693" s="1277">
        <v>1</v>
      </c>
    </row>
    <row r="694" spans="1:2" x14ac:dyDescent="0.2">
      <c r="A694" s="1293">
        <v>683</v>
      </c>
      <c r="B694" s="1277">
        <v>1</v>
      </c>
    </row>
    <row r="695" spans="1:2" x14ac:dyDescent="0.2">
      <c r="A695" s="1293">
        <v>684</v>
      </c>
      <c r="B695" s="1277">
        <v>1</v>
      </c>
    </row>
    <row r="696" spans="1:2" x14ac:dyDescent="0.2">
      <c r="A696" s="1293">
        <v>685</v>
      </c>
      <c r="B696" s="1277">
        <v>1</v>
      </c>
    </row>
    <row r="697" spans="1:2" x14ac:dyDescent="0.2">
      <c r="A697" s="1293">
        <v>686</v>
      </c>
      <c r="B697" s="1277">
        <v>1</v>
      </c>
    </row>
    <row r="698" spans="1:2" x14ac:dyDescent="0.2">
      <c r="A698" s="1293">
        <v>687</v>
      </c>
      <c r="B698" s="1277">
        <v>1</v>
      </c>
    </row>
    <row r="699" spans="1:2" x14ac:dyDescent="0.2">
      <c r="A699" s="1293">
        <v>688</v>
      </c>
      <c r="B699" s="1277">
        <v>1</v>
      </c>
    </row>
    <row r="700" spans="1:2" x14ac:dyDescent="0.2">
      <c r="A700" s="1293">
        <v>689</v>
      </c>
      <c r="B700" s="1277">
        <v>1</v>
      </c>
    </row>
    <row r="701" spans="1:2" x14ac:dyDescent="0.2">
      <c r="A701" s="1293">
        <v>690</v>
      </c>
      <c r="B701" s="1277">
        <v>1</v>
      </c>
    </row>
    <row r="702" spans="1:2" x14ac:dyDescent="0.2">
      <c r="A702" s="1293">
        <v>691</v>
      </c>
      <c r="B702" s="1277">
        <v>1</v>
      </c>
    </row>
    <row r="703" spans="1:2" x14ac:dyDescent="0.2">
      <c r="A703" s="1293">
        <v>692</v>
      </c>
      <c r="B703" s="1277">
        <v>1</v>
      </c>
    </row>
    <row r="704" spans="1:2" x14ac:dyDescent="0.2">
      <c r="A704" s="1293">
        <v>693</v>
      </c>
      <c r="B704" s="1277">
        <v>1</v>
      </c>
    </row>
    <row r="705" spans="1:3" x14ac:dyDescent="0.2">
      <c r="A705" s="1293">
        <v>694</v>
      </c>
      <c r="B705" s="1277">
        <v>1</v>
      </c>
    </row>
    <row r="706" spans="1:3" x14ac:dyDescent="0.2">
      <c r="A706" s="1293">
        <v>695</v>
      </c>
      <c r="B706" s="1277">
        <v>1</v>
      </c>
    </row>
    <row r="707" spans="1:3" x14ac:dyDescent="0.2">
      <c r="A707" s="1293">
        <v>696</v>
      </c>
      <c r="B707" s="1277">
        <v>1</v>
      </c>
    </row>
    <row r="708" spans="1:3" x14ac:dyDescent="0.2">
      <c r="A708" s="1293">
        <v>697</v>
      </c>
      <c r="B708" s="1277">
        <v>1</v>
      </c>
    </row>
    <row r="709" spans="1:3" x14ac:dyDescent="0.2">
      <c r="A709" s="1293">
        <v>698</v>
      </c>
      <c r="B709" s="1277">
        <v>1</v>
      </c>
    </row>
    <row r="710" spans="1:3" x14ac:dyDescent="0.2">
      <c r="A710" s="1293">
        <v>699</v>
      </c>
      <c r="B710" s="1277">
        <v>1</v>
      </c>
    </row>
    <row r="711" spans="1:3" x14ac:dyDescent="0.2">
      <c r="A711" s="1293">
        <v>700</v>
      </c>
      <c r="B711" s="1277">
        <v>1</v>
      </c>
    </row>
    <row r="712" spans="1:3" x14ac:dyDescent="0.2">
      <c r="C712" s="14"/>
    </row>
    <row r="713" spans="1:3" x14ac:dyDescent="0.2">
      <c r="C713" s="14"/>
    </row>
    <row r="714" spans="1:3" x14ac:dyDescent="0.2">
      <c r="C714" s="14"/>
    </row>
    <row r="715" spans="1:3" x14ac:dyDescent="0.2">
      <c r="C715" s="14"/>
    </row>
    <row r="716" spans="1:3" x14ac:dyDescent="0.2">
      <c r="C716" s="14"/>
    </row>
    <row r="717" spans="1:3" x14ac:dyDescent="0.2">
      <c r="C717" s="14"/>
    </row>
    <row r="718" spans="1:3" x14ac:dyDescent="0.2">
      <c r="C718" s="14"/>
    </row>
    <row r="719" spans="1:3" x14ac:dyDescent="0.2">
      <c r="C719" s="14"/>
    </row>
    <row r="720" spans="1:3" x14ac:dyDescent="0.2">
      <c r="C720" s="14"/>
    </row>
    <row r="721" spans="3:3" x14ac:dyDescent="0.2">
      <c r="C721" s="14"/>
    </row>
    <row r="722" spans="3:3" x14ac:dyDescent="0.2">
      <c r="C722" s="14"/>
    </row>
    <row r="723" spans="3:3" x14ac:dyDescent="0.2">
      <c r="C723" s="14"/>
    </row>
    <row r="724" spans="3:3" x14ac:dyDescent="0.2">
      <c r="C724" s="14"/>
    </row>
    <row r="725" spans="3:3" x14ac:dyDescent="0.2">
      <c r="C725" s="14"/>
    </row>
    <row r="726" spans="3:3" x14ac:dyDescent="0.2">
      <c r="C726" s="14"/>
    </row>
    <row r="727" spans="3:3" x14ac:dyDescent="0.2">
      <c r="C727" s="14"/>
    </row>
    <row r="728" spans="3:3" x14ac:dyDescent="0.2">
      <c r="C728" s="14"/>
    </row>
    <row r="729" spans="3:3" x14ac:dyDescent="0.2">
      <c r="C729" s="14"/>
    </row>
    <row r="730" spans="3:3" x14ac:dyDescent="0.2">
      <c r="C730" s="14"/>
    </row>
    <row r="731" spans="3:3" x14ac:dyDescent="0.2">
      <c r="C731" s="14"/>
    </row>
    <row r="732" spans="3:3" x14ac:dyDescent="0.2">
      <c r="C732" s="14"/>
    </row>
    <row r="733" spans="3:3" x14ac:dyDescent="0.2">
      <c r="C733" s="14"/>
    </row>
    <row r="734" spans="3:3" x14ac:dyDescent="0.2">
      <c r="C734" s="14"/>
    </row>
    <row r="735" spans="3:3" x14ac:dyDescent="0.2">
      <c r="C735" s="14"/>
    </row>
    <row r="736" spans="3:3" x14ac:dyDescent="0.2">
      <c r="C736" s="14"/>
    </row>
    <row r="737" spans="3:3" x14ac:dyDescent="0.2">
      <c r="C737" s="14"/>
    </row>
    <row r="738" spans="3:3" x14ac:dyDescent="0.2">
      <c r="C738" s="14"/>
    </row>
    <row r="739" spans="3:3" x14ac:dyDescent="0.2">
      <c r="C739" s="14"/>
    </row>
    <row r="740" spans="3:3" x14ac:dyDescent="0.2">
      <c r="C740" s="14"/>
    </row>
    <row r="741" spans="3:3" x14ac:dyDescent="0.2">
      <c r="C741" s="14"/>
    </row>
    <row r="742" spans="3:3" x14ac:dyDescent="0.2">
      <c r="C742" s="14"/>
    </row>
    <row r="743" spans="3:3" x14ac:dyDescent="0.2">
      <c r="C743" s="14"/>
    </row>
    <row r="744" spans="3:3" x14ac:dyDescent="0.2">
      <c r="C744" s="14"/>
    </row>
    <row r="745" spans="3:3" x14ac:dyDescent="0.2">
      <c r="C745" s="14"/>
    </row>
    <row r="746" spans="3:3" x14ac:dyDescent="0.2">
      <c r="C746" s="14"/>
    </row>
    <row r="747" spans="3:3" x14ac:dyDescent="0.2">
      <c r="C747" s="14"/>
    </row>
    <row r="748" spans="3:3" x14ac:dyDescent="0.2">
      <c r="C748" s="14"/>
    </row>
    <row r="749" spans="3:3" x14ac:dyDescent="0.2">
      <c r="C749" s="14"/>
    </row>
    <row r="750" spans="3:3" x14ac:dyDescent="0.2">
      <c r="C750" s="14"/>
    </row>
    <row r="751" spans="3:3" x14ac:dyDescent="0.2">
      <c r="C751" s="14"/>
    </row>
    <row r="752" spans="3:3" x14ac:dyDescent="0.2">
      <c r="C752" s="14"/>
    </row>
    <row r="753" spans="3:3" x14ac:dyDescent="0.2">
      <c r="C753" s="14"/>
    </row>
    <row r="754" spans="3:3" x14ac:dyDescent="0.2">
      <c r="C754" s="14"/>
    </row>
    <row r="755" spans="3:3" x14ac:dyDescent="0.2">
      <c r="C755" s="14"/>
    </row>
    <row r="756" spans="3:3" x14ac:dyDescent="0.2">
      <c r="C756" s="14"/>
    </row>
    <row r="757" spans="3:3" x14ac:dyDescent="0.2">
      <c r="C757" s="14"/>
    </row>
    <row r="758" spans="3:3" x14ac:dyDescent="0.2">
      <c r="C758" s="14"/>
    </row>
    <row r="759" spans="3:3" x14ac:dyDescent="0.2">
      <c r="C759" s="14"/>
    </row>
    <row r="760" spans="3:3" x14ac:dyDescent="0.2">
      <c r="C760" s="14"/>
    </row>
    <row r="761" spans="3:3" x14ac:dyDescent="0.2">
      <c r="C761" s="14"/>
    </row>
    <row r="762" spans="3:3" x14ac:dyDescent="0.2">
      <c r="C762" s="14"/>
    </row>
    <row r="763" spans="3:3" x14ac:dyDescent="0.2">
      <c r="C763" s="14"/>
    </row>
    <row r="764" spans="3:3" x14ac:dyDescent="0.2">
      <c r="C764" s="14"/>
    </row>
    <row r="765" spans="3:3" x14ac:dyDescent="0.2">
      <c r="C765" s="14"/>
    </row>
    <row r="766" spans="3:3" x14ac:dyDescent="0.2">
      <c r="C766" s="14"/>
    </row>
    <row r="767" spans="3:3" x14ac:dyDescent="0.2">
      <c r="C767" s="14"/>
    </row>
    <row r="768" spans="3:3" x14ac:dyDescent="0.2">
      <c r="C768" s="14"/>
    </row>
    <row r="769" spans="3:3" x14ac:dyDescent="0.2">
      <c r="C769" s="14"/>
    </row>
    <row r="770" spans="3:3" x14ac:dyDescent="0.2">
      <c r="C770" s="14"/>
    </row>
    <row r="771" spans="3:3" x14ac:dyDescent="0.2">
      <c r="C771" s="14"/>
    </row>
    <row r="772" spans="3:3" x14ac:dyDescent="0.2">
      <c r="C772" s="14"/>
    </row>
    <row r="773" spans="3:3" x14ac:dyDescent="0.2">
      <c r="C773" s="14"/>
    </row>
    <row r="774" spans="3:3" x14ac:dyDescent="0.2">
      <c r="C774" s="14"/>
    </row>
    <row r="775" spans="3:3" x14ac:dyDescent="0.2">
      <c r="C775" s="14"/>
    </row>
    <row r="776" spans="3:3" x14ac:dyDescent="0.2">
      <c r="C776" s="14"/>
    </row>
    <row r="777" spans="3:3" x14ac:dyDescent="0.2">
      <c r="C777" s="14"/>
    </row>
    <row r="778" spans="3:3" x14ac:dyDescent="0.2">
      <c r="C778" s="14"/>
    </row>
    <row r="779" spans="3:3" x14ac:dyDescent="0.2">
      <c r="C779" s="14"/>
    </row>
    <row r="780" spans="3:3" x14ac:dyDescent="0.2">
      <c r="C780" s="14"/>
    </row>
    <row r="781" spans="3:3" x14ac:dyDescent="0.2">
      <c r="C781" s="14"/>
    </row>
    <row r="782" spans="3:3" x14ac:dyDescent="0.2">
      <c r="C782" s="14"/>
    </row>
    <row r="783" spans="3:3" x14ac:dyDescent="0.2">
      <c r="C783" s="14"/>
    </row>
    <row r="784" spans="3:3" x14ac:dyDescent="0.2">
      <c r="C784" s="14"/>
    </row>
    <row r="785" spans="3:3" x14ac:dyDescent="0.2">
      <c r="C785" s="14"/>
    </row>
    <row r="786" spans="3:3" x14ac:dyDescent="0.2">
      <c r="C786" s="14"/>
    </row>
    <row r="787" spans="3:3" x14ac:dyDescent="0.2">
      <c r="C787" s="14"/>
    </row>
    <row r="788" spans="3:3" x14ac:dyDescent="0.2">
      <c r="C788" s="14"/>
    </row>
    <row r="789" spans="3:3" x14ac:dyDescent="0.2">
      <c r="C789" s="14"/>
    </row>
    <row r="790" spans="3:3" x14ac:dyDescent="0.2">
      <c r="C790" s="14"/>
    </row>
    <row r="791" spans="3:3" x14ac:dyDescent="0.2">
      <c r="C791" s="14"/>
    </row>
    <row r="792" spans="3:3" x14ac:dyDescent="0.2">
      <c r="C792" s="14"/>
    </row>
    <row r="793" spans="3:3" x14ac:dyDescent="0.2">
      <c r="C793" s="14"/>
    </row>
    <row r="794" spans="3:3" x14ac:dyDescent="0.2">
      <c r="C794" s="14"/>
    </row>
    <row r="795" spans="3:3" x14ac:dyDescent="0.2">
      <c r="C795" s="14"/>
    </row>
    <row r="796" spans="3:3" x14ac:dyDescent="0.2">
      <c r="C796" s="14"/>
    </row>
    <row r="797" spans="3:3" x14ac:dyDescent="0.2">
      <c r="C797" s="14"/>
    </row>
    <row r="798" spans="3:3" x14ac:dyDescent="0.2">
      <c r="C798" s="14"/>
    </row>
    <row r="799" spans="3:3" x14ac:dyDescent="0.2">
      <c r="C799" s="14"/>
    </row>
    <row r="800" spans="3:3" x14ac:dyDescent="0.2">
      <c r="C800" s="14"/>
    </row>
    <row r="801" spans="3:3" x14ac:dyDescent="0.2">
      <c r="C801" s="14"/>
    </row>
    <row r="802" spans="3:3" x14ac:dyDescent="0.2">
      <c r="C802" s="14"/>
    </row>
    <row r="803" spans="3:3" x14ac:dyDescent="0.2">
      <c r="C803" s="14"/>
    </row>
    <row r="804" spans="3:3" x14ac:dyDescent="0.2">
      <c r="C804" s="14"/>
    </row>
    <row r="805" spans="3:3" x14ac:dyDescent="0.2">
      <c r="C805" s="14"/>
    </row>
    <row r="806" spans="3:3" x14ac:dyDescent="0.2">
      <c r="C806" s="14"/>
    </row>
    <row r="807" spans="3:3" x14ac:dyDescent="0.2">
      <c r="C807" s="14"/>
    </row>
    <row r="808" spans="3:3" x14ac:dyDescent="0.2">
      <c r="C808" s="14"/>
    </row>
    <row r="809" spans="3:3" x14ac:dyDescent="0.2">
      <c r="C809" s="14"/>
    </row>
    <row r="810" spans="3:3" x14ac:dyDescent="0.2">
      <c r="C810" s="14"/>
    </row>
    <row r="811" spans="3:3" x14ac:dyDescent="0.2">
      <c r="C811" s="14"/>
    </row>
    <row r="812" spans="3:3" x14ac:dyDescent="0.2">
      <c r="C812" s="14"/>
    </row>
    <row r="813" spans="3:3" x14ac:dyDescent="0.2">
      <c r="C813" s="14"/>
    </row>
    <row r="814" spans="3:3" x14ac:dyDescent="0.2">
      <c r="C814" s="14"/>
    </row>
    <row r="815" spans="3:3" x14ac:dyDescent="0.2">
      <c r="C815" s="14"/>
    </row>
    <row r="816" spans="3:3" x14ac:dyDescent="0.2">
      <c r="C816" s="14"/>
    </row>
    <row r="817" spans="3:3" x14ac:dyDescent="0.2">
      <c r="C817" s="14"/>
    </row>
    <row r="818" spans="3:3" x14ac:dyDescent="0.2">
      <c r="C818" s="14"/>
    </row>
    <row r="819" spans="3:3" x14ac:dyDescent="0.2">
      <c r="C819" s="14"/>
    </row>
    <row r="820" spans="3:3" x14ac:dyDescent="0.2">
      <c r="C820" s="14"/>
    </row>
    <row r="821" spans="3:3" x14ac:dyDescent="0.2">
      <c r="C821" s="14"/>
    </row>
    <row r="822" spans="3:3" x14ac:dyDescent="0.2">
      <c r="C822" s="14"/>
    </row>
    <row r="823" spans="3:3" x14ac:dyDescent="0.2">
      <c r="C823" s="14"/>
    </row>
    <row r="824" spans="3:3" x14ac:dyDescent="0.2">
      <c r="C824" s="14"/>
    </row>
    <row r="825" spans="3:3" x14ac:dyDescent="0.2">
      <c r="C825" s="14"/>
    </row>
    <row r="826" spans="3:3" x14ac:dyDescent="0.2">
      <c r="C826" s="14"/>
    </row>
    <row r="827" spans="3:3" x14ac:dyDescent="0.2">
      <c r="C827" s="14"/>
    </row>
    <row r="828" spans="3:3" x14ac:dyDescent="0.2">
      <c r="C828" s="14"/>
    </row>
    <row r="829" spans="3:3" x14ac:dyDescent="0.2">
      <c r="C829" s="14"/>
    </row>
    <row r="830" spans="3:3" x14ac:dyDescent="0.2">
      <c r="C830" s="14"/>
    </row>
    <row r="831" spans="3:3" x14ac:dyDescent="0.2">
      <c r="C831" s="14"/>
    </row>
    <row r="832" spans="3:3" x14ac:dyDescent="0.2">
      <c r="C832" s="14"/>
    </row>
    <row r="833" spans="3:3" x14ac:dyDescent="0.2">
      <c r="C833" s="14"/>
    </row>
    <row r="834" spans="3:3" x14ac:dyDescent="0.2">
      <c r="C834" s="14"/>
    </row>
    <row r="835" spans="3:3" x14ac:dyDescent="0.2">
      <c r="C835" s="14"/>
    </row>
    <row r="836" spans="3:3" x14ac:dyDescent="0.2">
      <c r="C836" s="14"/>
    </row>
    <row r="837" spans="3:3" x14ac:dyDescent="0.2">
      <c r="C837" s="14"/>
    </row>
    <row r="838" spans="3:3" x14ac:dyDescent="0.2">
      <c r="C838" s="14"/>
    </row>
    <row r="839" spans="3:3" x14ac:dyDescent="0.2">
      <c r="C839" s="14"/>
    </row>
    <row r="840" spans="3:3" x14ac:dyDescent="0.2">
      <c r="C840" s="14"/>
    </row>
    <row r="841" spans="3:3" x14ac:dyDescent="0.2">
      <c r="C841" s="14"/>
    </row>
    <row r="842" spans="3:3" x14ac:dyDescent="0.2">
      <c r="C842" s="14"/>
    </row>
    <row r="843" spans="3:3" x14ac:dyDescent="0.2">
      <c r="C843" s="14"/>
    </row>
    <row r="844" spans="3:3" x14ac:dyDescent="0.2">
      <c r="C844" s="14"/>
    </row>
    <row r="845" spans="3:3" x14ac:dyDescent="0.2">
      <c r="C845" s="14"/>
    </row>
    <row r="846" spans="3:3" x14ac:dyDescent="0.2">
      <c r="C846" s="14"/>
    </row>
    <row r="847" spans="3:3" x14ac:dyDescent="0.2">
      <c r="C847" s="14"/>
    </row>
    <row r="848" spans="3:3" x14ac:dyDescent="0.2">
      <c r="C848" s="14"/>
    </row>
    <row r="849" spans="3:3" x14ac:dyDescent="0.2">
      <c r="C849" s="14"/>
    </row>
    <row r="850" spans="3:3" x14ac:dyDescent="0.2">
      <c r="C850" s="14"/>
    </row>
    <row r="851" spans="3:3" x14ac:dyDescent="0.2">
      <c r="C851" s="14"/>
    </row>
    <row r="852" spans="3:3" x14ac:dyDescent="0.2">
      <c r="C852" s="14"/>
    </row>
    <row r="853" spans="3:3" x14ac:dyDescent="0.2">
      <c r="C853" s="14"/>
    </row>
    <row r="854" spans="3:3" x14ac:dyDescent="0.2">
      <c r="C854" s="14"/>
    </row>
    <row r="855" spans="3:3" x14ac:dyDescent="0.2">
      <c r="C855" s="14"/>
    </row>
    <row r="856" spans="3:3" x14ac:dyDescent="0.2">
      <c r="C856" s="14"/>
    </row>
    <row r="857" spans="3:3" x14ac:dyDescent="0.2">
      <c r="C857" s="14"/>
    </row>
    <row r="858" spans="3:3" x14ac:dyDescent="0.2">
      <c r="C858" s="14"/>
    </row>
    <row r="859" spans="3:3" x14ac:dyDescent="0.2">
      <c r="C859" s="14"/>
    </row>
    <row r="860" spans="3:3" x14ac:dyDescent="0.2">
      <c r="C860" s="14"/>
    </row>
    <row r="861" spans="3:3" x14ac:dyDescent="0.2">
      <c r="C861" s="14"/>
    </row>
    <row r="862" spans="3:3" x14ac:dyDescent="0.2">
      <c r="C862" s="14"/>
    </row>
    <row r="863" spans="3:3" x14ac:dyDescent="0.2">
      <c r="C863" s="14"/>
    </row>
    <row r="864" spans="3:3" x14ac:dyDescent="0.2">
      <c r="C864" s="14"/>
    </row>
    <row r="865" spans="3:3" x14ac:dyDescent="0.2">
      <c r="C865" s="14"/>
    </row>
    <row r="866" spans="3:3" x14ac:dyDescent="0.2">
      <c r="C866" s="14"/>
    </row>
  </sheetData>
  <sheetProtection sheet="1" objects="1" scenarios="1"/>
  <mergeCells count="3">
    <mergeCell ref="H4:H5"/>
    <mergeCell ref="A9:B9"/>
    <mergeCell ref="G4:G5"/>
  </mergeCells>
  <phoneticPr fontId="0" type="noConversion"/>
  <pageMargins left="0.75" right="0.75" top="1" bottom="1" header="0.5" footer="0.5"/>
  <pageSetup orientation="portrait" horizontalDpi="300" verticalDpi="300" r:id="rId1"/>
  <headerFooter alignWithMargins="0"/>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502"/>
  <sheetViews>
    <sheetView workbookViewId="0">
      <selection activeCell="C1" sqref="C1"/>
    </sheetView>
  </sheetViews>
  <sheetFormatPr defaultColWidth="9.140625" defaultRowHeight="12.75" x14ac:dyDescent="0.2"/>
  <cols>
    <col min="1" max="1" width="10.42578125" style="108" customWidth="1"/>
    <col min="2" max="2" width="12.7109375" style="108" customWidth="1"/>
    <col min="3" max="3" width="4.28515625" style="108" customWidth="1"/>
    <col min="4" max="4" width="13.85546875" style="108" customWidth="1"/>
    <col min="5" max="5" width="14.140625" style="108" customWidth="1"/>
    <col min="6" max="10" width="9.140625" style="108"/>
    <col min="11" max="16384" width="9.140625" style="18"/>
  </cols>
  <sheetData>
    <row r="1" spans="1:6" ht="56.25" customHeight="1" x14ac:dyDescent="0.2">
      <c r="A1" s="1279" t="s">
        <v>134</v>
      </c>
      <c r="B1" s="1279" t="s">
        <v>135</v>
      </c>
      <c r="C1" s="109"/>
      <c r="D1" s="1279" t="s">
        <v>133</v>
      </c>
      <c r="E1" s="1279" t="s">
        <v>133</v>
      </c>
      <c r="F1" s="109"/>
    </row>
    <row r="2" spans="1:6" ht="12.75" customHeight="1" x14ac:dyDescent="0.2">
      <c r="A2" s="1278">
        <v>0</v>
      </c>
      <c r="B2" s="1295">
        <v>1</v>
      </c>
      <c r="D2" s="2480" t="s">
        <v>136</v>
      </c>
      <c r="E2" s="2480" t="s">
        <v>136</v>
      </c>
    </row>
    <row r="3" spans="1:6" x14ac:dyDescent="0.2">
      <c r="A3" s="1278">
        <v>1</v>
      </c>
      <c r="B3" s="1295">
        <v>1</v>
      </c>
      <c r="D3" s="2480"/>
      <c r="E3" s="2480"/>
    </row>
    <row r="4" spans="1:6" x14ac:dyDescent="0.2">
      <c r="A4" s="1278">
        <v>2</v>
      </c>
      <c r="B4" s="1295">
        <v>1</v>
      </c>
      <c r="D4" s="2480"/>
      <c r="E4" s="2480"/>
    </row>
    <row r="5" spans="1:6" x14ac:dyDescent="0.2">
      <c r="A5" s="1278">
        <v>3</v>
      </c>
      <c r="B5" s="1295">
        <v>1</v>
      </c>
      <c r="D5" s="2480"/>
      <c r="E5" s="2480"/>
    </row>
    <row r="6" spans="1:6" x14ac:dyDescent="0.2">
      <c r="A6" s="1278">
        <v>4</v>
      </c>
      <c r="B6" s="1295">
        <v>1</v>
      </c>
      <c r="D6" s="1278" t="s">
        <v>137</v>
      </c>
      <c r="E6" s="1278" t="s">
        <v>138</v>
      </c>
    </row>
    <row r="7" spans="1:6" x14ac:dyDescent="0.2">
      <c r="A7" s="1278">
        <v>5</v>
      </c>
      <c r="B7" s="1295">
        <v>0.99</v>
      </c>
      <c r="D7" s="1294" t="str">
        <f>Vision!K32</f>
        <v/>
      </c>
      <c r="E7" s="1294" t="str">
        <f>Vision!AB32</f>
        <v/>
      </c>
    </row>
    <row r="8" spans="1:6" x14ac:dyDescent="0.2">
      <c r="A8" s="1278">
        <v>6</v>
      </c>
      <c r="B8" s="1295">
        <v>0.99</v>
      </c>
      <c r="D8" s="1278" t="str">
        <f>IF(D7="","",ROUND(D7,0))</f>
        <v/>
      </c>
      <c r="E8" s="1278" t="str">
        <f>IF(E7="","",ROUND(E7,0))</f>
        <v/>
      </c>
    </row>
    <row r="9" spans="1:6" x14ac:dyDescent="0.2">
      <c r="A9" s="1278">
        <v>7</v>
      </c>
      <c r="B9" s="1295">
        <v>0.99</v>
      </c>
      <c r="D9" s="1295">
        <f>IF(D8&lt;&gt;"",VLOOKUP(D8,A2:B502,2),0)</f>
        <v>0</v>
      </c>
      <c r="E9" s="1295">
        <f>IF(E8&lt;&gt;"",VLOOKUP(E8,A2:B502,2),0)</f>
        <v>0</v>
      </c>
    </row>
    <row r="10" spans="1:6" x14ac:dyDescent="0.2">
      <c r="A10" s="1278">
        <v>8</v>
      </c>
      <c r="B10" s="1295">
        <v>0.99</v>
      </c>
    </row>
    <row r="11" spans="1:6" x14ac:dyDescent="0.2">
      <c r="A11" s="1278">
        <v>9</v>
      </c>
      <c r="B11" s="1295">
        <v>0.99</v>
      </c>
    </row>
    <row r="12" spans="1:6" x14ac:dyDescent="0.2">
      <c r="A12" s="1278">
        <v>10</v>
      </c>
      <c r="B12" s="1295">
        <v>0.98</v>
      </c>
    </row>
    <row r="13" spans="1:6" x14ac:dyDescent="0.2">
      <c r="A13" s="1278">
        <v>11</v>
      </c>
      <c r="B13" s="1295">
        <v>0.98</v>
      </c>
    </row>
    <row r="14" spans="1:6" x14ac:dyDescent="0.2">
      <c r="A14" s="1278">
        <v>12</v>
      </c>
      <c r="B14" s="1295">
        <v>0.98</v>
      </c>
    </row>
    <row r="15" spans="1:6" x14ac:dyDescent="0.2">
      <c r="A15" s="1278">
        <v>13</v>
      </c>
      <c r="B15" s="1295">
        <v>0.98</v>
      </c>
    </row>
    <row r="16" spans="1:6" x14ac:dyDescent="0.2">
      <c r="A16" s="1278">
        <v>14</v>
      </c>
      <c r="B16" s="1295">
        <v>0.98</v>
      </c>
    </row>
    <row r="17" spans="1:2" x14ac:dyDescent="0.2">
      <c r="A17" s="1278">
        <v>15</v>
      </c>
      <c r="B17" s="1295">
        <v>0.97</v>
      </c>
    </row>
    <row r="18" spans="1:2" x14ac:dyDescent="0.2">
      <c r="A18" s="1278">
        <v>16</v>
      </c>
      <c r="B18" s="1295">
        <v>0.97</v>
      </c>
    </row>
    <row r="19" spans="1:2" x14ac:dyDescent="0.2">
      <c r="A19" s="1278">
        <v>17</v>
      </c>
      <c r="B19" s="1295">
        <v>0.97</v>
      </c>
    </row>
    <row r="20" spans="1:2" x14ac:dyDescent="0.2">
      <c r="A20" s="1278">
        <v>18</v>
      </c>
      <c r="B20" s="1295">
        <v>0.97</v>
      </c>
    </row>
    <row r="21" spans="1:2" x14ac:dyDescent="0.2">
      <c r="A21" s="1278">
        <v>19</v>
      </c>
      <c r="B21" s="1295">
        <v>0.97</v>
      </c>
    </row>
    <row r="22" spans="1:2" x14ac:dyDescent="0.2">
      <c r="A22" s="1278">
        <v>20</v>
      </c>
      <c r="B22" s="1295">
        <v>0.96</v>
      </c>
    </row>
    <row r="23" spans="1:2" x14ac:dyDescent="0.2">
      <c r="A23" s="1278">
        <v>21</v>
      </c>
      <c r="B23" s="1295">
        <v>0.96</v>
      </c>
    </row>
    <row r="24" spans="1:2" x14ac:dyDescent="0.2">
      <c r="A24" s="1278">
        <v>22</v>
      </c>
      <c r="B24" s="1295">
        <v>0.96</v>
      </c>
    </row>
    <row r="25" spans="1:2" x14ac:dyDescent="0.2">
      <c r="A25" s="1278">
        <v>23</v>
      </c>
      <c r="B25" s="1295">
        <v>0.96</v>
      </c>
    </row>
    <row r="26" spans="1:2" x14ac:dyDescent="0.2">
      <c r="A26" s="1278">
        <v>24</v>
      </c>
      <c r="B26" s="1295">
        <v>0.96</v>
      </c>
    </row>
    <row r="27" spans="1:2" x14ac:dyDescent="0.2">
      <c r="A27" s="1278">
        <v>25</v>
      </c>
      <c r="B27" s="1295">
        <v>0.95</v>
      </c>
    </row>
    <row r="28" spans="1:2" x14ac:dyDescent="0.2">
      <c r="A28" s="1278">
        <v>26</v>
      </c>
      <c r="B28" s="1295">
        <v>0.95</v>
      </c>
    </row>
    <row r="29" spans="1:2" x14ac:dyDescent="0.2">
      <c r="A29" s="1278">
        <v>27</v>
      </c>
      <c r="B29" s="1295">
        <v>0.95</v>
      </c>
    </row>
    <row r="30" spans="1:2" x14ac:dyDescent="0.2">
      <c r="A30" s="1278">
        <v>28</v>
      </c>
      <c r="B30" s="1295">
        <v>0.95</v>
      </c>
    </row>
    <row r="31" spans="1:2" x14ac:dyDescent="0.2">
      <c r="A31" s="1278">
        <v>29</v>
      </c>
      <c r="B31" s="1295">
        <v>0.95</v>
      </c>
    </row>
    <row r="32" spans="1:2" x14ac:dyDescent="0.2">
      <c r="A32" s="1278">
        <v>30</v>
      </c>
      <c r="B32" s="1295">
        <v>0.94</v>
      </c>
    </row>
    <row r="33" spans="1:2" x14ac:dyDescent="0.2">
      <c r="A33" s="1278">
        <v>31</v>
      </c>
      <c r="B33" s="1295">
        <v>0.94</v>
      </c>
    </row>
    <row r="34" spans="1:2" x14ac:dyDescent="0.2">
      <c r="A34" s="1278">
        <v>32</v>
      </c>
      <c r="B34" s="1295">
        <v>0.94</v>
      </c>
    </row>
    <row r="35" spans="1:2" x14ac:dyDescent="0.2">
      <c r="A35" s="1278">
        <v>33</v>
      </c>
      <c r="B35" s="1295">
        <v>0.94</v>
      </c>
    </row>
    <row r="36" spans="1:2" x14ac:dyDescent="0.2">
      <c r="A36" s="1278">
        <v>34</v>
      </c>
      <c r="B36" s="1295">
        <v>0.94</v>
      </c>
    </row>
    <row r="37" spans="1:2" x14ac:dyDescent="0.2">
      <c r="A37" s="1278">
        <v>35</v>
      </c>
      <c r="B37" s="1295">
        <v>0.93</v>
      </c>
    </row>
    <row r="38" spans="1:2" x14ac:dyDescent="0.2">
      <c r="A38" s="1278">
        <v>36</v>
      </c>
      <c r="B38" s="1295">
        <v>0.93</v>
      </c>
    </row>
    <row r="39" spans="1:2" x14ac:dyDescent="0.2">
      <c r="A39" s="1278">
        <v>37</v>
      </c>
      <c r="B39" s="1295">
        <v>0.93</v>
      </c>
    </row>
    <row r="40" spans="1:2" x14ac:dyDescent="0.2">
      <c r="A40" s="1278">
        <v>38</v>
      </c>
      <c r="B40" s="1295">
        <v>0.93</v>
      </c>
    </row>
    <row r="41" spans="1:2" x14ac:dyDescent="0.2">
      <c r="A41" s="1278">
        <v>39</v>
      </c>
      <c r="B41" s="1295">
        <v>0.93</v>
      </c>
    </row>
    <row r="42" spans="1:2" x14ac:dyDescent="0.2">
      <c r="A42" s="1278">
        <v>40</v>
      </c>
      <c r="B42" s="1295">
        <v>0.92</v>
      </c>
    </row>
    <row r="43" spans="1:2" x14ac:dyDescent="0.2">
      <c r="A43" s="1278">
        <v>41</v>
      </c>
      <c r="B43" s="1295">
        <v>0.92</v>
      </c>
    </row>
    <row r="44" spans="1:2" x14ac:dyDescent="0.2">
      <c r="A44" s="1278">
        <v>42</v>
      </c>
      <c r="B44" s="1295">
        <v>0.92</v>
      </c>
    </row>
    <row r="45" spans="1:2" x14ac:dyDescent="0.2">
      <c r="A45" s="1278">
        <v>43</v>
      </c>
      <c r="B45" s="1295">
        <v>0.92</v>
      </c>
    </row>
    <row r="46" spans="1:2" x14ac:dyDescent="0.2">
      <c r="A46" s="1278">
        <v>44</v>
      </c>
      <c r="B46" s="1295">
        <v>0.92</v>
      </c>
    </row>
    <row r="47" spans="1:2" x14ac:dyDescent="0.2">
      <c r="A47" s="1278">
        <v>45</v>
      </c>
      <c r="B47" s="1295">
        <v>0.91</v>
      </c>
    </row>
    <row r="48" spans="1:2" x14ac:dyDescent="0.2">
      <c r="A48" s="1278">
        <v>46</v>
      </c>
      <c r="B48" s="1295">
        <v>0.91</v>
      </c>
    </row>
    <row r="49" spans="1:2" x14ac:dyDescent="0.2">
      <c r="A49" s="1278">
        <v>47</v>
      </c>
      <c r="B49" s="1295">
        <v>0.91</v>
      </c>
    </row>
    <row r="50" spans="1:2" x14ac:dyDescent="0.2">
      <c r="A50" s="1278">
        <v>48</v>
      </c>
      <c r="B50" s="1295">
        <v>0.91</v>
      </c>
    </row>
    <row r="51" spans="1:2" x14ac:dyDescent="0.2">
      <c r="A51" s="1278">
        <v>49</v>
      </c>
      <c r="B51" s="1295">
        <v>0.91</v>
      </c>
    </row>
    <row r="52" spans="1:2" x14ac:dyDescent="0.2">
      <c r="A52" s="1278">
        <v>50</v>
      </c>
      <c r="B52" s="1295">
        <v>0.9</v>
      </c>
    </row>
    <row r="53" spans="1:2" x14ac:dyDescent="0.2">
      <c r="A53" s="1278">
        <v>51</v>
      </c>
      <c r="B53" s="1295">
        <v>0.9</v>
      </c>
    </row>
    <row r="54" spans="1:2" x14ac:dyDescent="0.2">
      <c r="A54" s="1278">
        <v>52</v>
      </c>
      <c r="B54" s="1295">
        <v>0.9</v>
      </c>
    </row>
    <row r="55" spans="1:2" x14ac:dyDescent="0.2">
      <c r="A55" s="1278">
        <v>53</v>
      </c>
      <c r="B55" s="1295">
        <v>0.9</v>
      </c>
    </row>
    <row r="56" spans="1:2" x14ac:dyDescent="0.2">
      <c r="A56" s="1278">
        <v>54</v>
      </c>
      <c r="B56" s="1295">
        <v>0.9</v>
      </c>
    </row>
    <row r="57" spans="1:2" x14ac:dyDescent="0.2">
      <c r="A57" s="1278">
        <v>55</v>
      </c>
      <c r="B57" s="1295">
        <v>0.89</v>
      </c>
    </row>
    <row r="58" spans="1:2" x14ac:dyDescent="0.2">
      <c r="A58" s="1278">
        <v>56</v>
      </c>
      <c r="B58" s="1295">
        <v>0.89</v>
      </c>
    </row>
    <row r="59" spans="1:2" x14ac:dyDescent="0.2">
      <c r="A59" s="1278">
        <v>57</v>
      </c>
      <c r="B59" s="1295">
        <v>0.89</v>
      </c>
    </row>
    <row r="60" spans="1:2" x14ac:dyDescent="0.2">
      <c r="A60" s="1278">
        <v>58</v>
      </c>
      <c r="B60" s="1295">
        <v>0.89</v>
      </c>
    </row>
    <row r="61" spans="1:2" x14ac:dyDescent="0.2">
      <c r="A61" s="1278">
        <v>59</v>
      </c>
      <c r="B61" s="1295">
        <v>0.89</v>
      </c>
    </row>
    <row r="62" spans="1:2" x14ac:dyDescent="0.2">
      <c r="A62" s="1278">
        <v>60</v>
      </c>
      <c r="B62" s="1295">
        <v>0.88</v>
      </c>
    </row>
    <row r="63" spans="1:2" x14ac:dyDescent="0.2">
      <c r="A63" s="1278">
        <v>61</v>
      </c>
      <c r="B63" s="1295">
        <v>0.88</v>
      </c>
    </row>
    <row r="64" spans="1:2" x14ac:dyDescent="0.2">
      <c r="A64" s="1278">
        <v>62</v>
      </c>
      <c r="B64" s="1295">
        <v>0.88</v>
      </c>
    </row>
    <row r="65" spans="1:2" x14ac:dyDescent="0.2">
      <c r="A65" s="1278">
        <v>63</v>
      </c>
      <c r="B65" s="1295">
        <v>0.88</v>
      </c>
    </row>
    <row r="66" spans="1:2" x14ac:dyDescent="0.2">
      <c r="A66" s="1278">
        <v>64</v>
      </c>
      <c r="B66" s="1295">
        <v>0.88</v>
      </c>
    </row>
    <row r="67" spans="1:2" x14ac:dyDescent="0.2">
      <c r="A67" s="1278">
        <v>65</v>
      </c>
      <c r="B67" s="1295">
        <v>0.87</v>
      </c>
    </row>
    <row r="68" spans="1:2" x14ac:dyDescent="0.2">
      <c r="A68" s="1278">
        <v>66</v>
      </c>
      <c r="B68" s="1295">
        <v>0.87</v>
      </c>
    </row>
    <row r="69" spans="1:2" x14ac:dyDescent="0.2">
      <c r="A69" s="1278">
        <v>67</v>
      </c>
      <c r="B69" s="1295">
        <v>0.87</v>
      </c>
    </row>
    <row r="70" spans="1:2" x14ac:dyDescent="0.2">
      <c r="A70" s="1278">
        <v>68</v>
      </c>
      <c r="B70" s="1295">
        <v>0.87</v>
      </c>
    </row>
    <row r="71" spans="1:2" x14ac:dyDescent="0.2">
      <c r="A71" s="1278">
        <v>69</v>
      </c>
      <c r="B71" s="1295">
        <v>0.87</v>
      </c>
    </row>
    <row r="72" spans="1:2" x14ac:dyDescent="0.2">
      <c r="A72" s="1278">
        <v>70</v>
      </c>
      <c r="B72" s="1295">
        <v>0.86</v>
      </c>
    </row>
    <row r="73" spans="1:2" x14ac:dyDescent="0.2">
      <c r="A73" s="1278">
        <v>71</v>
      </c>
      <c r="B73" s="1295">
        <v>0.86</v>
      </c>
    </row>
    <row r="74" spans="1:2" x14ac:dyDescent="0.2">
      <c r="A74" s="1278">
        <v>72</v>
      </c>
      <c r="B74" s="1295">
        <v>0.86</v>
      </c>
    </row>
    <row r="75" spans="1:2" x14ac:dyDescent="0.2">
      <c r="A75" s="1278">
        <v>73</v>
      </c>
      <c r="B75" s="1295">
        <v>0.86</v>
      </c>
    </row>
    <row r="76" spans="1:2" x14ac:dyDescent="0.2">
      <c r="A76" s="1278">
        <v>74</v>
      </c>
      <c r="B76" s="1295">
        <v>0.86</v>
      </c>
    </row>
    <row r="77" spans="1:2" x14ac:dyDescent="0.2">
      <c r="A77" s="1278">
        <v>75</v>
      </c>
      <c r="B77" s="1295">
        <v>0.85</v>
      </c>
    </row>
    <row r="78" spans="1:2" x14ac:dyDescent="0.2">
      <c r="A78" s="1278">
        <v>76</v>
      </c>
      <c r="B78" s="1295">
        <v>0.85</v>
      </c>
    </row>
    <row r="79" spans="1:2" x14ac:dyDescent="0.2">
      <c r="A79" s="1278">
        <v>77</v>
      </c>
      <c r="B79" s="1295">
        <v>0.85</v>
      </c>
    </row>
    <row r="80" spans="1:2" x14ac:dyDescent="0.2">
      <c r="A80" s="1278">
        <v>78</v>
      </c>
      <c r="B80" s="1295">
        <v>0.85</v>
      </c>
    </row>
    <row r="81" spans="1:2" x14ac:dyDescent="0.2">
      <c r="A81" s="1278">
        <v>79</v>
      </c>
      <c r="B81" s="1295">
        <v>0.85</v>
      </c>
    </row>
    <row r="82" spans="1:2" x14ac:dyDescent="0.2">
      <c r="A82" s="1278">
        <v>80</v>
      </c>
      <c r="B82" s="1295">
        <v>0.84</v>
      </c>
    </row>
    <row r="83" spans="1:2" x14ac:dyDescent="0.2">
      <c r="A83" s="1278">
        <v>81</v>
      </c>
      <c r="B83" s="1295">
        <v>0.84</v>
      </c>
    </row>
    <row r="84" spans="1:2" x14ac:dyDescent="0.2">
      <c r="A84" s="1278">
        <v>82</v>
      </c>
      <c r="B84" s="1295">
        <v>0.84</v>
      </c>
    </row>
    <row r="85" spans="1:2" x14ac:dyDescent="0.2">
      <c r="A85" s="1278">
        <v>83</v>
      </c>
      <c r="B85" s="1295">
        <v>0.84</v>
      </c>
    </row>
    <row r="86" spans="1:2" x14ac:dyDescent="0.2">
      <c r="A86" s="1278">
        <v>84</v>
      </c>
      <c r="B86" s="1295">
        <v>0.84</v>
      </c>
    </row>
    <row r="87" spans="1:2" x14ac:dyDescent="0.2">
      <c r="A87" s="1278">
        <v>85</v>
      </c>
      <c r="B87" s="1295">
        <v>0.83</v>
      </c>
    </row>
    <row r="88" spans="1:2" x14ac:dyDescent="0.2">
      <c r="A88" s="1278">
        <v>86</v>
      </c>
      <c r="B88" s="1295">
        <v>0.83</v>
      </c>
    </row>
    <row r="89" spans="1:2" x14ac:dyDescent="0.2">
      <c r="A89" s="1278">
        <v>87</v>
      </c>
      <c r="B89" s="1295">
        <v>0.83</v>
      </c>
    </row>
    <row r="90" spans="1:2" x14ac:dyDescent="0.2">
      <c r="A90" s="1278">
        <v>88</v>
      </c>
      <c r="B90" s="1295">
        <v>0.83</v>
      </c>
    </row>
    <row r="91" spans="1:2" x14ac:dyDescent="0.2">
      <c r="A91" s="1278">
        <v>89</v>
      </c>
      <c r="B91" s="1295">
        <v>0.83</v>
      </c>
    </row>
    <row r="92" spans="1:2" x14ac:dyDescent="0.2">
      <c r="A92" s="1278">
        <v>90</v>
      </c>
      <c r="B92" s="1295">
        <v>0.82</v>
      </c>
    </row>
    <row r="93" spans="1:2" x14ac:dyDescent="0.2">
      <c r="A93" s="1278">
        <v>91</v>
      </c>
      <c r="B93" s="1295">
        <v>0.82</v>
      </c>
    </row>
    <row r="94" spans="1:2" x14ac:dyDescent="0.2">
      <c r="A94" s="1278">
        <v>92</v>
      </c>
      <c r="B94" s="1295">
        <v>0.82</v>
      </c>
    </row>
    <row r="95" spans="1:2" x14ac:dyDescent="0.2">
      <c r="A95" s="1278">
        <v>93</v>
      </c>
      <c r="B95" s="1295">
        <v>0.82</v>
      </c>
    </row>
    <row r="96" spans="1:2" x14ac:dyDescent="0.2">
      <c r="A96" s="1278">
        <v>94</v>
      </c>
      <c r="B96" s="1295">
        <v>0.82</v>
      </c>
    </row>
    <row r="97" spans="1:2" x14ac:dyDescent="0.2">
      <c r="A97" s="1278">
        <v>95</v>
      </c>
      <c r="B97" s="1295">
        <v>0.81</v>
      </c>
    </row>
    <row r="98" spans="1:2" x14ac:dyDescent="0.2">
      <c r="A98" s="1278">
        <v>96</v>
      </c>
      <c r="B98" s="1295">
        <v>0.81</v>
      </c>
    </row>
    <row r="99" spans="1:2" x14ac:dyDescent="0.2">
      <c r="A99" s="1278">
        <v>97</v>
      </c>
      <c r="B99" s="1295">
        <v>0.81</v>
      </c>
    </row>
    <row r="100" spans="1:2" x14ac:dyDescent="0.2">
      <c r="A100" s="1278">
        <v>98</v>
      </c>
      <c r="B100" s="1295">
        <v>0.81</v>
      </c>
    </row>
    <row r="101" spans="1:2" x14ac:dyDescent="0.2">
      <c r="A101" s="1278">
        <v>99</v>
      </c>
      <c r="B101" s="1295">
        <v>0.81</v>
      </c>
    </row>
    <row r="102" spans="1:2" x14ac:dyDescent="0.2">
      <c r="A102" s="1278">
        <v>100</v>
      </c>
      <c r="B102" s="1295">
        <v>0.8</v>
      </c>
    </row>
    <row r="103" spans="1:2" x14ac:dyDescent="0.2">
      <c r="A103" s="1278">
        <v>101</v>
      </c>
      <c r="B103" s="1295">
        <v>0.8</v>
      </c>
    </row>
    <row r="104" spans="1:2" x14ac:dyDescent="0.2">
      <c r="A104" s="1278">
        <v>102</v>
      </c>
      <c r="B104" s="1295">
        <v>0.8</v>
      </c>
    </row>
    <row r="105" spans="1:2" x14ac:dyDescent="0.2">
      <c r="A105" s="1278">
        <v>103</v>
      </c>
      <c r="B105" s="1295">
        <v>0.8</v>
      </c>
    </row>
    <row r="106" spans="1:2" x14ac:dyDescent="0.2">
      <c r="A106" s="1278">
        <v>104</v>
      </c>
      <c r="B106" s="1295">
        <v>0.8</v>
      </c>
    </row>
    <row r="107" spans="1:2" x14ac:dyDescent="0.2">
      <c r="A107" s="1278">
        <v>105</v>
      </c>
      <c r="B107" s="1295">
        <v>0.79</v>
      </c>
    </row>
    <row r="108" spans="1:2" x14ac:dyDescent="0.2">
      <c r="A108" s="1278">
        <v>106</v>
      </c>
      <c r="B108" s="1295">
        <v>0.79</v>
      </c>
    </row>
    <row r="109" spans="1:2" x14ac:dyDescent="0.2">
      <c r="A109" s="1278">
        <v>107</v>
      </c>
      <c r="B109" s="1295">
        <v>0.79</v>
      </c>
    </row>
    <row r="110" spans="1:2" x14ac:dyDescent="0.2">
      <c r="A110" s="1278">
        <v>108</v>
      </c>
      <c r="B110" s="1295">
        <v>0.79</v>
      </c>
    </row>
    <row r="111" spans="1:2" x14ac:dyDescent="0.2">
      <c r="A111" s="1278">
        <v>109</v>
      </c>
      <c r="B111" s="1295">
        <v>0.79</v>
      </c>
    </row>
    <row r="112" spans="1:2" x14ac:dyDescent="0.2">
      <c r="A112" s="1278">
        <v>110</v>
      </c>
      <c r="B112" s="1295">
        <v>0.78</v>
      </c>
    </row>
    <row r="113" spans="1:2" x14ac:dyDescent="0.2">
      <c r="A113" s="1278">
        <v>111</v>
      </c>
      <c r="B113" s="1295">
        <v>0.78</v>
      </c>
    </row>
    <row r="114" spans="1:2" x14ac:dyDescent="0.2">
      <c r="A114" s="1278">
        <v>112</v>
      </c>
      <c r="B114" s="1295">
        <v>0.78</v>
      </c>
    </row>
    <row r="115" spans="1:2" x14ac:dyDescent="0.2">
      <c r="A115" s="1278">
        <v>113</v>
      </c>
      <c r="B115" s="1295">
        <v>0.78</v>
      </c>
    </row>
    <row r="116" spans="1:2" x14ac:dyDescent="0.2">
      <c r="A116" s="1278">
        <v>114</v>
      </c>
      <c r="B116" s="1295">
        <v>0.78</v>
      </c>
    </row>
    <row r="117" spans="1:2" x14ac:dyDescent="0.2">
      <c r="A117" s="1278">
        <v>115</v>
      </c>
      <c r="B117" s="1295">
        <v>0.77</v>
      </c>
    </row>
    <row r="118" spans="1:2" x14ac:dyDescent="0.2">
      <c r="A118" s="1278">
        <v>116</v>
      </c>
      <c r="B118" s="1295">
        <v>0.77</v>
      </c>
    </row>
    <row r="119" spans="1:2" x14ac:dyDescent="0.2">
      <c r="A119" s="1278">
        <v>117</v>
      </c>
      <c r="B119" s="1295">
        <v>0.77</v>
      </c>
    </row>
    <row r="120" spans="1:2" x14ac:dyDescent="0.2">
      <c r="A120" s="1278">
        <v>118</v>
      </c>
      <c r="B120" s="1295">
        <v>0.77</v>
      </c>
    </row>
    <row r="121" spans="1:2" x14ac:dyDescent="0.2">
      <c r="A121" s="1278">
        <v>119</v>
      </c>
      <c r="B121" s="1295">
        <v>0.77</v>
      </c>
    </row>
    <row r="122" spans="1:2" x14ac:dyDescent="0.2">
      <c r="A122" s="1278">
        <v>120</v>
      </c>
      <c r="B122" s="1295">
        <v>0.76</v>
      </c>
    </row>
    <row r="123" spans="1:2" x14ac:dyDescent="0.2">
      <c r="A123" s="1278">
        <v>121</v>
      </c>
      <c r="B123" s="1295">
        <v>0.76</v>
      </c>
    </row>
    <row r="124" spans="1:2" x14ac:dyDescent="0.2">
      <c r="A124" s="1278">
        <v>122</v>
      </c>
      <c r="B124" s="1295">
        <v>0.76</v>
      </c>
    </row>
    <row r="125" spans="1:2" x14ac:dyDescent="0.2">
      <c r="A125" s="1278">
        <v>123</v>
      </c>
      <c r="B125" s="1295">
        <v>0.76</v>
      </c>
    </row>
    <row r="126" spans="1:2" x14ac:dyDescent="0.2">
      <c r="A126" s="1278">
        <v>124</v>
      </c>
      <c r="B126" s="1295">
        <v>0.76</v>
      </c>
    </row>
    <row r="127" spans="1:2" x14ac:dyDescent="0.2">
      <c r="A127" s="1278">
        <v>125</v>
      </c>
      <c r="B127" s="1295">
        <v>0.75</v>
      </c>
    </row>
    <row r="128" spans="1:2" x14ac:dyDescent="0.2">
      <c r="A128" s="1278">
        <v>126</v>
      </c>
      <c r="B128" s="1295">
        <v>0.75</v>
      </c>
    </row>
    <row r="129" spans="1:2" x14ac:dyDescent="0.2">
      <c r="A129" s="1278">
        <v>127</v>
      </c>
      <c r="B129" s="1295">
        <v>0.75</v>
      </c>
    </row>
    <row r="130" spans="1:2" x14ac:dyDescent="0.2">
      <c r="A130" s="1278">
        <v>128</v>
      </c>
      <c r="B130" s="1295">
        <v>0.75</v>
      </c>
    </row>
    <row r="131" spans="1:2" x14ac:dyDescent="0.2">
      <c r="A131" s="1278">
        <v>129</v>
      </c>
      <c r="B131" s="1295">
        <v>0.75</v>
      </c>
    </row>
    <row r="132" spans="1:2" x14ac:dyDescent="0.2">
      <c r="A132" s="1278">
        <v>130</v>
      </c>
      <c r="B132" s="1295">
        <v>0.74</v>
      </c>
    </row>
    <row r="133" spans="1:2" x14ac:dyDescent="0.2">
      <c r="A133" s="1278">
        <v>131</v>
      </c>
      <c r="B133" s="1295">
        <v>0.74</v>
      </c>
    </row>
    <row r="134" spans="1:2" x14ac:dyDescent="0.2">
      <c r="A134" s="1278">
        <v>132</v>
      </c>
      <c r="B134" s="1295">
        <v>0.74</v>
      </c>
    </row>
    <row r="135" spans="1:2" x14ac:dyDescent="0.2">
      <c r="A135" s="1278">
        <v>133</v>
      </c>
      <c r="B135" s="1295">
        <v>0.74</v>
      </c>
    </row>
    <row r="136" spans="1:2" x14ac:dyDescent="0.2">
      <c r="A136" s="1278">
        <v>134</v>
      </c>
      <c r="B136" s="1295">
        <v>0.74</v>
      </c>
    </row>
    <row r="137" spans="1:2" x14ac:dyDescent="0.2">
      <c r="A137" s="1278">
        <v>135</v>
      </c>
      <c r="B137" s="1295">
        <v>0.73</v>
      </c>
    </row>
    <row r="138" spans="1:2" x14ac:dyDescent="0.2">
      <c r="A138" s="1278">
        <v>136</v>
      </c>
      <c r="B138" s="1295">
        <v>0.73</v>
      </c>
    </row>
    <row r="139" spans="1:2" x14ac:dyDescent="0.2">
      <c r="A139" s="1278">
        <v>137</v>
      </c>
      <c r="B139" s="1295">
        <v>0.73</v>
      </c>
    </row>
    <row r="140" spans="1:2" x14ac:dyDescent="0.2">
      <c r="A140" s="1278">
        <v>138</v>
      </c>
      <c r="B140" s="1295">
        <v>0.73</v>
      </c>
    </row>
    <row r="141" spans="1:2" x14ac:dyDescent="0.2">
      <c r="A141" s="1278">
        <v>139</v>
      </c>
      <c r="B141" s="1295">
        <v>0.73</v>
      </c>
    </row>
    <row r="142" spans="1:2" x14ac:dyDescent="0.2">
      <c r="A142" s="1278">
        <v>140</v>
      </c>
      <c r="B142" s="1295">
        <v>0.72</v>
      </c>
    </row>
    <row r="143" spans="1:2" x14ac:dyDescent="0.2">
      <c r="A143" s="1278">
        <v>141</v>
      </c>
      <c r="B143" s="1295">
        <v>0.72</v>
      </c>
    </row>
    <row r="144" spans="1:2" x14ac:dyDescent="0.2">
      <c r="A144" s="1278">
        <v>142</v>
      </c>
      <c r="B144" s="1295">
        <v>0.72</v>
      </c>
    </row>
    <row r="145" spans="1:2" x14ac:dyDescent="0.2">
      <c r="A145" s="1278">
        <v>143</v>
      </c>
      <c r="B145" s="1295">
        <v>0.72</v>
      </c>
    </row>
    <row r="146" spans="1:2" x14ac:dyDescent="0.2">
      <c r="A146" s="1278">
        <v>144</v>
      </c>
      <c r="B146" s="1295">
        <v>0.72</v>
      </c>
    </row>
    <row r="147" spans="1:2" x14ac:dyDescent="0.2">
      <c r="A147" s="1278">
        <v>145</v>
      </c>
      <c r="B147" s="1295">
        <v>0.71</v>
      </c>
    </row>
    <row r="148" spans="1:2" x14ac:dyDescent="0.2">
      <c r="A148" s="1278">
        <v>146</v>
      </c>
      <c r="B148" s="1295">
        <v>0.71</v>
      </c>
    </row>
    <row r="149" spans="1:2" x14ac:dyDescent="0.2">
      <c r="A149" s="1278">
        <v>147</v>
      </c>
      <c r="B149" s="1295">
        <v>0.71</v>
      </c>
    </row>
    <row r="150" spans="1:2" x14ac:dyDescent="0.2">
      <c r="A150" s="1278">
        <v>148</v>
      </c>
      <c r="B150" s="1295">
        <v>0.71</v>
      </c>
    </row>
    <row r="151" spans="1:2" x14ac:dyDescent="0.2">
      <c r="A151" s="1278">
        <v>149</v>
      </c>
      <c r="B151" s="1295">
        <v>0.71</v>
      </c>
    </row>
    <row r="152" spans="1:2" x14ac:dyDescent="0.2">
      <c r="A152" s="1278">
        <v>150</v>
      </c>
      <c r="B152" s="1295">
        <v>0.7</v>
      </c>
    </row>
    <row r="153" spans="1:2" x14ac:dyDescent="0.2">
      <c r="A153" s="1278">
        <v>151</v>
      </c>
      <c r="B153" s="1295">
        <v>0.7</v>
      </c>
    </row>
    <row r="154" spans="1:2" x14ac:dyDescent="0.2">
      <c r="A154" s="1278">
        <v>152</v>
      </c>
      <c r="B154" s="1295">
        <v>0.7</v>
      </c>
    </row>
    <row r="155" spans="1:2" x14ac:dyDescent="0.2">
      <c r="A155" s="1278">
        <v>153</v>
      </c>
      <c r="B155" s="1295">
        <v>0.7</v>
      </c>
    </row>
    <row r="156" spans="1:2" x14ac:dyDescent="0.2">
      <c r="A156" s="1278">
        <v>154</v>
      </c>
      <c r="B156" s="1295">
        <v>0.7</v>
      </c>
    </row>
    <row r="157" spans="1:2" x14ac:dyDescent="0.2">
      <c r="A157" s="1278">
        <v>155</v>
      </c>
      <c r="B157" s="1295">
        <v>0.69</v>
      </c>
    </row>
    <row r="158" spans="1:2" x14ac:dyDescent="0.2">
      <c r="A158" s="1278">
        <v>156</v>
      </c>
      <c r="B158" s="1295">
        <v>0.69</v>
      </c>
    </row>
    <row r="159" spans="1:2" x14ac:dyDescent="0.2">
      <c r="A159" s="1278">
        <v>157</v>
      </c>
      <c r="B159" s="1295">
        <v>0.69</v>
      </c>
    </row>
    <row r="160" spans="1:2" x14ac:dyDescent="0.2">
      <c r="A160" s="1278">
        <v>158</v>
      </c>
      <c r="B160" s="1295">
        <v>0.69</v>
      </c>
    </row>
    <row r="161" spans="1:2" x14ac:dyDescent="0.2">
      <c r="A161" s="1278">
        <v>159</v>
      </c>
      <c r="B161" s="1295">
        <v>0.69</v>
      </c>
    </row>
    <row r="162" spans="1:2" x14ac:dyDescent="0.2">
      <c r="A162" s="1278">
        <v>160</v>
      </c>
      <c r="B162" s="1295">
        <v>0.68</v>
      </c>
    </row>
    <row r="163" spans="1:2" x14ac:dyDescent="0.2">
      <c r="A163" s="1278">
        <v>161</v>
      </c>
      <c r="B163" s="1295">
        <v>0.68</v>
      </c>
    </row>
    <row r="164" spans="1:2" x14ac:dyDescent="0.2">
      <c r="A164" s="1278">
        <v>162</v>
      </c>
      <c r="B164" s="1295">
        <v>0.68</v>
      </c>
    </row>
    <row r="165" spans="1:2" x14ac:dyDescent="0.2">
      <c r="A165" s="1278">
        <v>163</v>
      </c>
      <c r="B165" s="1295">
        <v>0.68</v>
      </c>
    </row>
    <row r="166" spans="1:2" x14ac:dyDescent="0.2">
      <c r="A166" s="1278">
        <v>164</v>
      </c>
      <c r="B166" s="1295">
        <v>0.68</v>
      </c>
    </row>
    <row r="167" spans="1:2" x14ac:dyDescent="0.2">
      <c r="A167" s="1278">
        <v>165</v>
      </c>
      <c r="B167" s="1295">
        <v>0.67</v>
      </c>
    </row>
    <row r="168" spans="1:2" x14ac:dyDescent="0.2">
      <c r="A168" s="1278">
        <v>166</v>
      </c>
      <c r="B168" s="1295">
        <v>0.67</v>
      </c>
    </row>
    <row r="169" spans="1:2" x14ac:dyDescent="0.2">
      <c r="A169" s="1278">
        <v>167</v>
      </c>
      <c r="B169" s="1295">
        <v>0.67</v>
      </c>
    </row>
    <row r="170" spans="1:2" x14ac:dyDescent="0.2">
      <c r="A170" s="1278">
        <v>168</v>
      </c>
      <c r="B170" s="1295">
        <v>0.67</v>
      </c>
    </row>
    <row r="171" spans="1:2" x14ac:dyDescent="0.2">
      <c r="A171" s="1278">
        <v>169</v>
      </c>
      <c r="B171" s="1295">
        <v>0.67</v>
      </c>
    </row>
    <row r="172" spans="1:2" x14ac:dyDescent="0.2">
      <c r="A172" s="1278">
        <v>170</v>
      </c>
      <c r="B172" s="1295">
        <v>0.66</v>
      </c>
    </row>
    <row r="173" spans="1:2" x14ac:dyDescent="0.2">
      <c r="A173" s="1278">
        <v>171</v>
      </c>
      <c r="B173" s="1295">
        <v>0.66</v>
      </c>
    </row>
    <row r="174" spans="1:2" x14ac:dyDescent="0.2">
      <c r="A174" s="1278">
        <v>172</v>
      </c>
      <c r="B174" s="1295">
        <v>0.66</v>
      </c>
    </row>
    <row r="175" spans="1:2" x14ac:dyDescent="0.2">
      <c r="A175" s="1278">
        <v>173</v>
      </c>
      <c r="B175" s="1295">
        <v>0.66</v>
      </c>
    </row>
    <row r="176" spans="1:2" x14ac:dyDescent="0.2">
      <c r="A176" s="1278">
        <v>174</v>
      </c>
      <c r="B176" s="1295">
        <v>0.66</v>
      </c>
    </row>
    <row r="177" spans="1:2" x14ac:dyDescent="0.2">
      <c r="A177" s="1278">
        <v>175</v>
      </c>
      <c r="B177" s="1295">
        <v>0.65</v>
      </c>
    </row>
    <row r="178" spans="1:2" x14ac:dyDescent="0.2">
      <c r="A178" s="1278">
        <v>176</v>
      </c>
      <c r="B178" s="1295">
        <v>0.65</v>
      </c>
    </row>
    <row r="179" spans="1:2" x14ac:dyDescent="0.2">
      <c r="A179" s="1278">
        <v>177</v>
      </c>
      <c r="B179" s="1295">
        <v>0.65</v>
      </c>
    </row>
    <row r="180" spans="1:2" x14ac:dyDescent="0.2">
      <c r="A180" s="1278">
        <v>178</v>
      </c>
      <c r="B180" s="1295">
        <v>0.65</v>
      </c>
    </row>
    <row r="181" spans="1:2" x14ac:dyDescent="0.2">
      <c r="A181" s="1278">
        <v>179</v>
      </c>
      <c r="B181" s="1295">
        <v>0.65</v>
      </c>
    </row>
    <row r="182" spans="1:2" x14ac:dyDescent="0.2">
      <c r="A182" s="1278">
        <v>180</v>
      </c>
      <c r="B182" s="1295">
        <v>0.64</v>
      </c>
    </row>
    <row r="183" spans="1:2" x14ac:dyDescent="0.2">
      <c r="A183" s="1278">
        <v>181</v>
      </c>
      <c r="B183" s="1295">
        <v>0.64</v>
      </c>
    </row>
    <row r="184" spans="1:2" x14ac:dyDescent="0.2">
      <c r="A184" s="1278">
        <v>182</v>
      </c>
      <c r="B184" s="1295">
        <v>0.64</v>
      </c>
    </row>
    <row r="185" spans="1:2" x14ac:dyDescent="0.2">
      <c r="A185" s="1278">
        <v>183</v>
      </c>
      <c r="B185" s="1295">
        <v>0.64</v>
      </c>
    </row>
    <row r="186" spans="1:2" x14ac:dyDescent="0.2">
      <c r="A186" s="1278">
        <v>184</v>
      </c>
      <c r="B186" s="1295">
        <v>0.64</v>
      </c>
    </row>
    <row r="187" spans="1:2" x14ac:dyDescent="0.2">
      <c r="A187" s="1278">
        <v>185</v>
      </c>
      <c r="B187" s="1295">
        <v>0.63</v>
      </c>
    </row>
    <row r="188" spans="1:2" x14ac:dyDescent="0.2">
      <c r="A188" s="1278">
        <v>186</v>
      </c>
      <c r="B188" s="1295">
        <v>0.63</v>
      </c>
    </row>
    <row r="189" spans="1:2" x14ac:dyDescent="0.2">
      <c r="A189" s="1278">
        <v>187</v>
      </c>
      <c r="B189" s="1295">
        <v>0.63</v>
      </c>
    </row>
    <row r="190" spans="1:2" x14ac:dyDescent="0.2">
      <c r="A190" s="1278">
        <v>188</v>
      </c>
      <c r="B190" s="1295">
        <v>0.63</v>
      </c>
    </row>
    <row r="191" spans="1:2" x14ac:dyDescent="0.2">
      <c r="A191" s="1278">
        <v>189</v>
      </c>
      <c r="B191" s="1295">
        <v>0.63</v>
      </c>
    </row>
    <row r="192" spans="1:2" x14ac:dyDescent="0.2">
      <c r="A192" s="1278">
        <v>190</v>
      </c>
      <c r="B192" s="1295">
        <v>0.62</v>
      </c>
    </row>
    <row r="193" spans="1:2" x14ac:dyDescent="0.2">
      <c r="A193" s="1278">
        <v>191</v>
      </c>
      <c r="B193" s="1295">
        <v>0.62</v>
      </c>
    </row>
    <row r="194" spans="1:2" x14ac:dyDescent="0.2">
      <c r="A194" s="1278">
        <v>192</v>
      </c>
      <c r="B194" s="1295">
        <v>0.62</v>
      </c>
    </row>
    <row r="195" spans="1:2" x14ac:dyDescent="0.2">
      <c r="A195" s="1278">
        <v>193</v>
      </c>
      <c r="B195" s="1295">
        <v>0.62</v>
      </c>
    </row>
    <row r="196" spans="1:2" x14ac:dyDescent="0.2">
      <c r="A196" s="1278">
        <v>194</v>
      </c>
      <c r="B196" s="1295">
        <v>0.62</v>
      </c>
    </row>
    <row r="197" spans="1:2" x14ac:dyDescent="0.2">
      <c r="A197" s="1278">
        <v>195</v>
      </c>
      <c r="B197" s="1295">
        <v>0.61</v>
      </c>
    </row>
    <row r="198" spans="1:2" x14ac:dyDescent="0.2">
      <c r="A198" s="1278">
        <v>196</v>
      </c>
      <c r="B198" s="1295">
        <v>0.61</v>
      </c>
    </row>
    <row r="199" spans="1:2" x14ac:dyDescent="0.2">
      <c r="A199" s="1278">
        <v>197</v>
      </c>
      <c r="B199" s="1295">
        <v>0.61</v>
      </c>
    </row>
    <row r="200" spans="1:2" x14ac:dyDescent="0.2">
      <c r="A200" s="1278">
        <v>198</v>
      </c>
      <c r="B200" s="1295">
        <v>0.61</v>
      </c>
    </row>
    <row r="201" spans="1:2" x14ac:dyDescent="0.2">
      <c r="A201" s="1278">
        <v>199</v>
      </c>
      <c r="B201" s="1295">
        <v>0.61</v>
      </c>
    </row>
    <row r="202" spans="1:2" x14ac:dyDescent="0.2">
      <c r="A202" s="1278">
        <v>200</v>
      </c>
      <c r="B202" s="1295">
        <v>0.6</v>
      </c>
    </row>
    <row r="203" spans="1:2" x14ac:dyDescent="0.2">
      <c r="A203" s="1278">
        <v>201</v>
      </c>
      <c r="B203" s="1295">
        <v>0.6</v>
      </c>
    </row>
    <row r="204" spans="1:2" x14ac:dyDescent="0.2">
      <c r="A204" s="1278">
        <v>202</v>
      </c>
      <c r="B204" s="1295">
        <v>0.6</v>
      </c>
    </row>
    <row r="205" spans="1:2" x14ac:dyDescent="0.2">
      <c r="A205" s="1278">
        <v>203</v>
      </c>
      <c r="B205" s="1295">
        <v>0.6</v>
      </c>
    </row>
    <row r="206" spans="1:2" x14ac:dyDescent="0.2">
      <c r="A206" s="1278">
        <v>204</v>
      </c>
      <c r="B206" s="1295">
        <v>0.6</v>
      </c>
    </row>
    <row r="207" spans="1:2" x14ac:dyDescent="0.2">
      <c r="A207" s="1278">
        <v>205</v>
      </c>
      <c r="B207" s="1295">
        <v>0.59</v>
      </c>
    </row>
    <row r="208" spans="1:2" x14ac:dyDescent="0.2">
      <c r="A208" s="1278">
        <v>206</v>
      </c>
      <c r="B208" s="1295">
        <v>0.59</v>
      </c>
    </row>
    <row r="209" spans="1:2" x14ac:dyDescent="0.2">
      <c r="A209" s="1278">
        <v>207</v>
      </c>
      <c r="B209" s="1295">
        <v>0.59</v>
      </c>
    </row>
    <row r="210" spans="1:2" x14ac:dyDescent="0.2">
      <c r="A210" s="1278">
        <v>208</v>
      </c>
      <c r="B210" s="1295">
        <v>0.59</v>
      </c>
    </row>
    <row r="211" spans="1:2" x14ac:dyDescent="0.2">
      <c r="A211" s="1278">
        <v>209</v>
      </c>
      <c r="B211" s="1295">
        <v>0.59</v>
      </c>
    </row>
    <row r="212" spans="1:2" x14ac:dyDescent="0.2">
      <c r="A212" s="1278">
        <v>210</v>
      </c>
      <c r="B212" s="1295">
        <v>0.57999999999999996</v>
      </c>
    </row>
    <row r="213" spans="1:2" x14ac:dyDescent="0.2">
      <c r="A213" s="1278">
        <v>211</v>
      </c>
      <c r="B213" s="1295">
        <v>0.57999999999999996</v>
      </c>
    </row>
    <row r="214" spans="1:2" x14ac:dyDescent="0.2">
      <c r="A214" s="1278">
        <v>212</v>
      </c>
      <c r="B214" s="1295">
        <v>0.57999999999999996</v>
      </c>
    </row>
    <row r="215" spans="1:2" x14ac:dyDescent="0.2">
      <c r="A215" s="1278">
        <v>213</v>
      </c>
      <c r="B215" s="1295">
        <v>0.57999999999999996</v>
      </c>
    </row>
    <row r="216" spans="1:2" x14ac:dyDescent="0.2">
      <c r="A216" s="1278">
        <v>214</v>
      </c>
      <c r="B216" s="1295">
        <v>0.57999999999999996</v>
      </c>
    </row>
    <row r="217" spans="1:2" x14ac:dyDescent="0.2">
      <c r="A217" s="1278">
        <v>215</v>
      </c>
      <c r="B217" s="1295">
        <v>0.56999999999999995</v>
      </c>
    </row>
    <row r="218" spans="1:2" x14ac:dyDescent="0.2">
      <c r="A218" s="1278">
        <v>216</v>
      </c>
      <c r="B218" s="1295">
        <v>0.56999999999999995</v>
      </c>
    </row>
    <row r="219" spans="1:2" x14ac:dyDescent="0.2">
      <c r="A219" s="1278">
        <v>217</v>
      </c>
      <c r="B219" s="1295">
        <v>0.56999999999999995</v>
      </c>
    </row>
    <row r="220" spans="1:2" x14ac:dyDescent="0.2">
      <c r="A220" s="1278">
        <v>218</v>
      </c>
      <c r="B220" s="1295">
        <v>0.56999999999999995</v>
      </c>
    </row>
    <row r="221" spans="1:2" x14ac:dyDescent="0.2">
      <c r="A221" s="1278">
        <v>219</v>
      </c>
      <c r="B221" s="1295">
        <v>0.56999999999999995</v>
      </c>
    </row>
    <row r="222" spans="1:2" x14ac:dyDescent="0.2">
      <c r="A222" s="1278">
        <v>220</v>
      </c>
      <c r="B222" s="1295">
        <v>0.56000000000000005</v>
      </c>
    </row>
    <row r="223" spans="1:2" x14ac:dyDescent="0.2">
      <c r="A223" s="1278">
        <v>221</v>
      </c>
      <c r="B223" s="1295">
        <v>0.56000000000000005</v>
      </c>
    </row>
    <row r="224" spans="1:2" x14ac:dyDescent="0.2">
      <c r="A224" s="1278">
        <v>222</v>
      </c>
      <c r="B224" s="1295">
        <v>0.56000000000000005</v>
      </c>
    </row>
    <row r="225" spans="1:2" x14ac:dyDescent="0.2">
      <c r="A225" s="1278">
        <v>223</v>
      </c>
      <c r="B225" s="1295">
        <v>0.56000000000000005</v>
      </c>
    </row>
    <row r="226" spans="1:2" x14ac:dyDescent="0.2">
      <c r="A226" s="1278">
        <v>224</v>
      </c>
      <c r="B226" s="1295">
        <v>0.56000000000000005</v>
      </c>
    </row>
    <row r="227" spans="1:2" x14ac:dyDescent="0.2">
      <c r="A227" s="1278">
        <v>225</v>
      </c>
      <c r="B227" s="1295">
        <v>0.55000000000000004</v>
      </c>
    </row>
    <row r="228" spans="1:2" x14ac:dyDescent="0.2">
      <c r="A228" s="1278">
        <v>226</v>
      </c>
      <c r="B228" s="1295">
        <v>0.55000000000000004</v>
      </c>
    </row>
    <row r="229" spans="1:2" x14ac:dyDescent="0.2">
      <c r="A229" s="1278">
        <v>227</v>
      </c>
      <c r="B229" s="1295">
        <v>0.55000000000000004</v>
      </c>
    </row>
    <row r="230" spans="1:2" x14ac:dyDescent="0.2">
      <c r="A230" s="1278">
        <v>228</v>
      </c>
      <c r="B230" s="1295">
        <v>0.55000000000000004</v>
      </c>
    </row>
    <row r="231" spans="1:2" x14ac:dyDescent="0.2">
      <c r="A231" s="1278">
        <v>229</v>
      </c>
      <c r="B231" s="1295">
        <v>0.55000000000000004</v>
      </c>
    </row>
    <row r="232" spans="1:2" x14ac:dyDescent="0.2">
      <c r="A232" s="1278">
        <v>230</v>
      </c>
      <c r="B232" s="1295">
        <v>0.54</v>
      </c>
    </row>
    <row r="233" spans="1:2" x14ac:dyDescent="0.2">
      <c r="A233" s="1278">
        <v>231</v>
      </c>
      <c r="B233" s="1295">
        <v>0.54</v>
      </c>
    </row>
    <row r="234" spans="1:2" x14ac:dyDescent="0.2">
      <c r="A234" s="1278">
        <v>232</v>
      </c>
      <c r="B234" s="1295">
        <v>0.54</v>
      </c>
    </row>
    <row r="235" spans="1:2" x14ac:dyDescent="0.2">
      <c r="A235" s="1278">
        <v>233</v>
      </c>
      <c r="B235" s="1295">
        <v>0.54</v>
      </c>
    </row>
    <row r="236" spans="1:2" x14ac:dyDescent="0.2">
      <c r="A236" s="1278">
        <v>234</v>
      </c>
      <c r="B236" s="1295">
        <v>0.54</v>
      </c>
    </row>
    <row r="237" spans="1:2" x14ac:dyDescent="0.2">
      <c r="A237" s="1278">
        <v>235</v>
      </c>
      <c r="B237" s="1295">
        <v>0.53</v>
      </c>
    </row>
    <row r="238" spans="1:2" x14ac:dyDescent="0.2">
      <c r="A238" s="1278">
        <v>236</v>
      </c>
      <c r="B238" s="1295">
        <v>0.53</v>
      </c>
    </row>
    <row r="239" spans="1:2" x14ac:dyDescent="0.2">
      <c r="A239" s="1278">
        <v>237</v>
      </c>
      <c r="B239" s="1295">
        <v>0.53</v>
      </c>
    </row>
    <row r="240" spans="1:2" x14ac:dyDescent="0.2">
      <c r="A240" s="1278">
        <v>238</v>
      </c>
      <c r="B240" s="1295">
        <v>0.53</v>
      </c>
    </row>
    <row r="241" spans="1:2" x14ac:dyDescent="0.2">
      <c r="A241" s="1278">
        <v>239</v>
      </c>
      <c r="B241" s="1295">
        <v>0.53</v>
      </c>
    </row>
    <row r="242" spans="1:2" x14ac:dyDescent="0.2">
      <c r="A242" s="1278">
        <v>240</v>
      </c>
      <c r="B242" s="1295">
        <v>0.52</v>
      </c>
    </row>
    <row r="243" spans="1:2" x14ac:dyDescent="0.2">
      <c r="A243" s="1278">
        <v>241</v>
      </c>
      <c r="B243" s="1295">
        <v>0.52</v>
      </c>
    </row>
    <row r="244" spans="1:2" x14ac:dyDescent="0.2">
      <c r="A244" s="1278">
        <v>242</v>
      </c>
      <c r="B244" s="1295">
        <v>0.52</v>
      </c>
    </row>
    <row r="245" spans="1:2" x14ac:dyDescent="0.2">
      <c r="A245" s="1278">
        <v>243</v>
      </c>
      <c r="B245" s="1295">
        <v>0.52</v>
      </c>
    </row>
    <row r="246" spans="1:2" x14ac:dyDescent="0.2">
      <c r="A246" s="1278">
        <v>244</v>
      </c>
      <c r="B246" s="1295">
        <v>0.52</v>
      </c>
    </row>
    <row r="247" spans="1:2" x14ac:dyDescent="0.2">
      <c r="A247" s="1278">
        <v>245</v>
      </c>
      <c r="B247" s="1295">
        <v>0.51</v>
      </c>
    </row>
    <row r="248" spans="1:2" x14ac:dyDescent="0.2">
      <c r="A248" s="1278">
        <v>246</v>
      </c>
      <c r="B248" s="1295">
        <v>0.51</v>
      </c>
    </row>
    <row r="249" spans="1:2" x14ac:dyDescent="0.2">
      <c r="A249" s="1278">
        <v>247</v>
      </c>
      <c r="B249" s="1295">
        <v>0.51</v>
      </c>
    </row>
    <row r="250" spans="1:2" x14ac:dyDescent="0.2">
      <c r="A250" s="1278">
        <v>248</v>
      </c>
      <c r="B250" s="1295">
        <v>0.51</v>
      </c>
    </row>
    <row r="251" spans="1:2" x14ac:dyDescent="0.2">
      <c r="A251" s="1278">
        <v>249</v>
      </c>
      <c r="B251" s="1295">
        <v>0.51</v>
      </c>
    </row>
    <row r="252" spans="1:2" x14ac:dyDescent="0.2">
      <c r="A252" s="1278">
        <v>250</v>
      </c>
      <c r="B252" s="1295">
        <v>0.5</v>
      </c>
    </row>
    <row r="253" spans="1:2" x14ac:dyDescent="0.2">
      <c r="A253" s="1278">
        <v>251</v>
      </c>
      <c r="B253" s="1295">
        <v>0.5</v>
      </c>
    </row>
    <row r="254" spans="1:2" x14ac:dyDescent="0.2">
      <c r="A254" s="1278">
        <v>252</v>
      </c>
      <c r="B254" s="1295">
        <v>0.5</v>
      </c>
    </row>
    <row r="255" spans="1:2" x14ac:dyDescent="0.2">
      <c r="A255" s="1278">
        <v>253</v>
      </c>
      <c r="B255" s="1295">
        <v>0.5</v>
      </c>
    </row>
    <row r="256" spans="1:2" x14ac:dyDescent="0.2">
      <c r="A256" s="1278">
        <v>254</v>
      </c>
      <c r="B256" s="1295">
        <v>0.5</v>
      </c>
    </row>
    <row r="257" spans="1:2" x14ac:dyDescent="0.2">
      <c r="A257" s="1278">
        <v>255</v>
      </c>
      <c r="B257" s="1295">
        <v>0.49</v>
      </c>
    </row>
    <row r="258" spans="1:2" x14ac:dyDescent="0.2">
      <c r="A258" s="1278">
        <v>256</v>
      </c>
      <c r="B258" s="1295">
        <v>0.49</v>
      </c>
    </row>
    <row r="259" spans="1:2" x14ac:dyDescent="0.2">
      <c r="A259" s="1278">
        <v>257</v>
      </c>
      <c r="B259" s="1295">
        <v>0.49</v>
      </c>
    </row>
    <row r="260" spans="1:2" x14ac:dyDescent="0.2">
      <c r="A260" s="1278">
        <v>258</v>
      </c>
      <c r="B260" s="1295">
        <v>0.49</v>
      </c>
    </row>
    <row r="261" spans="1:2" x14ac:dyDescent="0.2">
      <c r="A261" s="1278">
        <v>259</v>
      </c>
      <c r="B261" s="1295">
        <v>0.49</v>
      </c>
    </row>
    <row r="262" spans="1:2" x14ac:dyDescent="0.2">
      <c r="A262" s="1278">
        <v>260</v>
      </c>
      <c r="B262" s="1295">
        <v>0.48</v>
      </c>
    </row>
    <row r="263" spans="1:2" x14ac:dyDescent="0.2">
      <c r="A263" s="1278">
        <v>261</v>
      </c>
      <c r="B263" s="1295">
        <v>0.48</v>
      </c>
    </row>
    <row r="264" spans="1:2" x14ac:dyDescent="0.2">
      <c r="A264" s="1278">
        <v>262</v>
      </c>
      <c r="B264" s="1295">
        <v>0.48</v>
      </c>
    </row>
    <row r="265" spans="1:2" x14ac:dyDescent="0.2">
      <c r="A265" s="1278">
        <v>263</v>
      </c>
      <c r="B265" s="1295">
        <v>0.48</v>
      </c>
    </row>
    <row r="266" spans="1:2" x14ac:dyDescent="0.2">
      <c r="A266" s="1278">
        <v>264</v>
      </c>
      <c r="B266" s="1295">
        <v>0.48</v>
      </c>
    </row>
    <row r="267" spans="1:2" x14ac:dyDescent="0.2">
      <c r="A267" s="1278">
        <v>265</v>
      </c>
      <c r="B267" s="1295">
        <v>0.47</v>
      </c>
    </row>
    <row r="268" spans="1:2" x14ac:dyDescent="0.2">
      <c r="A268" s="1278">
        <v>266</v>
      </c>
      <c r="B268" s="1295">
        <v>0.47</v>
      </c>
    </row>
    <row r="269" spans="1:2" x14ac:dyDescent="0.2">
      <c r="A269" s="1278">
        <v>267</v>
      </c>
      <c r="B269" s="1295">
        <v>0.47</v>
      </c>
    </row>
    <row r="270" spans="1:2" x14ac:dyDescent="0.2">
      <c r="A270" s="1278">
        <v>268</v>
      </c>
      <c r="B270" s="1295">
        <v>0.47</v>
      </c>
    </row>
    <row r="271" spans="1:2" x14ac:dyDescent="0.2">
      <c r="A271" s="1278">
        <v>269</v>
      </c>
      <c r="B271" s="1295">
        <v>0.47</v>
      </c>
    </row>
    <row r="272" spans="1:2" x14ac:dyDescent="0.2">
      <c r="A272" s="1278">
        <v>270</v>
      </c>
      <c r="B272" s="1295">
        <v>0.46</v>
      </c>
    </row>
    <row r="273" spans="1:2" x14ac:dyDescent="0.2">
      <c r="A273" s="1278">
        <v>271</v>
      </c>
      <c r="B273" s="1295">
        <v>0.46</v>
      </c>
    </row>
    <row r="274" spans="1:2" x14ac:dyDescent="0.2">
      <c r="A274" s="1278">
        <v>272</v>
      </c>
      <c r="B274" s="1295">
        <v>0.46</v>
      </c>
    </row>
    <row r="275" spans="1:2" x14ac:dyDescent="0.2">
      <c r="A275" s="1278">
        <v>273</v>
      </c>
      <c r="B275" s="1295">
        <v>0.46</v>
      </c>
    </row>
    <row r="276" spans="1:2" x14ac:dyDescent="0.2">
      <c r="A276" s="1278">
        <v>274</v>
      </c>
      <c r="B276" s="1295">
        <v>0.46</v>
      </c>
    </row>
    <row r="277" spans="1:2" x14ac:dyDescent="0.2">
      <c r="A277" s="1278">
        <v>275</v>
      </c>
      <c r="B277" s="1295">
        <v>0.45</v>
      </c>
    </row>
    <row r="278" spans="1:2" x14ac:dyDescent="0.2">
      <c r="A278" s="1278">
        <v>276</v>
      </c>
      <c r="B278" s="1295">
        <v>0.45</v>
      </c>
    </row>
    <row r="279" spans="1:2" x14ac:dyDescent="0.2">
      <c r="A279" s="1278">
        <v>277</v>
      </c>
      <c r="B279" s="1295">
        <v>0.45</v>
      </c>
    </row>
    <row r="280" spans="1:2" x14ac:dyDescent="0.2">
      <c r="A280" s="1278">
        <v>278</v>
      </c>
      <c r="B280" s="1295">
        <v>0.45</v>
      </c>
    </row>
    <row r="281" spans="1:2" x14ac:dyDescent="0.2">
      <c r="A281" s="1278">
        <v>279</v>
      </c>
      <c r="B281" s="1295">
        <v>0.45</v>
      </c>
    </row>
    <row r="282" spans="1:2" x14ac:dyDescent="0.2">
      <c r="A282" s="1278">
        <v>280</v>
      </c>
      <c r="B282" s="1295">
        <v>0.44</v>
      </c>
    </row>
    <row r="283" spans="1:2" x14ac:dyDescent="0.2">
      <c r="A283" s="1278">
        <v>281</v>
      </c>
      <c r="B283" s="1295">
        <v>0.44</v>
      </c>
    </row>
    <row r="284" spans="1:2" x14ac:dyDescent="0.2">
      <c r="A284" s="1278">
        <v>282</v>
      </c>
      <c r="B284" s="1295">
        <v>0.44</v>
      </c>
    </row>
    <row r="285" spans="1:2" x14ac:dyDescent="0.2">
      <c r="A285" s="1278">
        <v>283</v>
      </c>
      <c r="B285" s="1295">
        <v>0.44</v>
      </c>
    </row>
    <row r="286" spans="1:2" x14ac:dyDescent="0.2">
      <c r="A286" s="1278">
        <v>284</v>
      </c>
      <c r="B286" s="1295">
        <v>0.44</v>
      </c>
    </row>
    <row r="287" spans="1:2" x14ac:dyDescent="0.2">
      <c r="A287" s="1278">
        <v>285</v>
      </c>
      <c r="B287" s="1295">
        <v>0.43</v>
      </c>
    </row>
    <row r="288" spans="1:2" x14ac:dyDescent="0.2">
      <c r="A288" s="1278">
        <v>286</v>
      </c>
      <c r="B288" s="1295">
        <v>0.43</v>
      </c>
    </row>
    <row r="289" spans="1:2" x14ac:dyDescent="0.2">
      <c r="A289" s="1278">
        <v>287</v>
      </c>
      <c r="B289" s="1295">
        <v>0.43</v>
      </c>
    </row>
    <row r="290" spans="1:2" x14ac:dyDescent="0.2">
      <c r="A290" s="1278">
        <v>288</v>
      </c>
      <c r="B290" s="1295">
        <v>0.43</v>
      </c>
    </row>
    <row r="291" spans="1:2" x14ac:dyDescent="0.2">
      <c r="A291" s="1278">
        <v>289</v>
      </c>
      <c r="B291" s="1295">
        <v>0.43</v>
      </c>
    </row>
    <row r="292" spans="1:2" x14ac:dyDescent="0.2">
      <c r="A292" s="1278">
        <v>290</v>
      </c>
      <c r="B292" s="1295">
        <v>0.42</v>
      </c>
    </row>
    <row r="293" spans="1:2" x14ac:dyDescent="0.2">
      <c r="A293" s="1278">
        <v>291</v>
      </c>
      <c r="B293" s="1295">
        <v>0.42</v>
      </c>
    </row>
    <row r="294" spans="1:2" x14ac:dyDescent="0.2">
      <c r="A294" s="1278">
        <v>292</v>
      </c>
      <c r="B294" s="1295">
        <v>0.42</v>
      </c>
    </row>
    <row r="295" spans="1:2" x14ac:dyDescent="0.2">
      <c r="A295" s="1278">
        <v>293</v>
      </c>
      <c r="B295" s="1295">
        <v>0.42</v>
      </c>
    </row>
    <row r="296" spans="1:2" x14ac:dyDescent="0.2">
      <c r="A296" s="1278">
        <v>294</v>
      </c>
      <c r="B296" s="1295">
        <v>0.42</v>
      </c>
    </row>
    <row r="297" spans="1:2" x14ac:dyDescent="0.2">
      <c r="A297" s="1278">
        <v>295</v>
      </c>
      <c r="B297" s="1295">
        <v>0.41</v>
      </c>
    </row>
    <row r="298" spans="1:2" x14ac:dyDescent="0.2">
      <c r="A298" s="1278">
        <v>296</v>
      </c>
      <c r="B298" s="1295">
        <v>0.41</v>
      </c>
    </row>
    <row r="299" spans="1:2" x14ac:dyDescent="0.2">
      <c r="A299" s="1278">
        <v>297</v>
      </c>
      <c r="B299" s="1295">
        <v>0.41</v>
      </c>
    </row>
    <row r="300" spans="1:2" x14ac:dyDescent="0.2">
      <c r="A300" s="1278">
        <v>298</v>
      </c>
      <c r="B300" s="1295">
        <v>0.41</v>
      </c>
    </row>
    <row r="301" spans="1:2" x14ac:dyDescent="0.2">
      <c r="A301" s="1278">
        <v>299</v>
      </c>
      <c r="B301" s="1295">
        <v>0.41</v>
      </c>
    </row>
    <row r="302" spans="1:2" x14ac:dyDescent="0.2">
      <c r="A302" s="1278">
        <v>300</v>
      </c>
      <c r="B302" s="1295">
        <v>0.4</v>
      </c>
    </row>
    <row r="303" spans="1:2" x14ac:dyDescent="0.2">
      <c r="A303" s="1278">
        <v>301</v>
      </c>
      <c r="B303" s="1295">
        <v>0.4</v>
      </c>
    </row>
    <row r="304" spans="1:2" x14ac:dyDescent="0.2">
      <c r="A304" s="1278">
        <v>302</v>
      </c>
      <c r="B304" s="1295">
        <v>0.4</v>
      </c>
    </row>
    <row r="305" spans="1:2" x14ac:dyDescent="0.2">
      <c r="A305" s="1278">
        <v>303</v>
      </c>
      <c r="B305" s="1295">
        <v>0.4</v>
      </c>
    </row>
    <row r="306" spans="1:2" x14ac:dyDescent="0.2">
      <c r="A306" s="1278">
        <v>304</v>
      </c>
      <c r="B306" s="1295">
        <v>0.4</v>
      </c>
    </row>
    <row r="307" spans="1:2" x14ac:dyDescent="0.2">
      <c r="A307" s="1278">
        <v>305</v>
      </c>
      <c r="B307" s="1295">
        <v>0.39</v>
      </c>
    </row>
    <row r="308" spans="1:2" x14ac:dyDescent="0.2">
      <c r="A308" s="1278">
        <v>306</v>
      </c>
      <c r="B308" s="1295">
        <v>0.39</v>
      </c>
    </row>
    <row r="309" spans="1:2" x14ac:dyDescent="0.2">
      <c r="A309" s="1278">
        <v>307</v>
      </c>
      <c r="B309" s="1295">
        <v>0.39</v>
      </c>
    </row>
    <row r="310" spans="1:2" x14ac:dyDescent="0.2">
      <c r="A310" s="1278">
        <v>308</v>
      </c>
      <c r="B310" s="1295">
        <v>0.39</v>
      </c>
    </row>
    <row r="311" spans="1:2" x14ac:dyDescent="0.2">
      <c r="A311" s="1278">
        <v>309</v>
      </c>
      <c r="B311" s="1295">
        <v>0.39</v>
      </c>
    </row>
    <row r="312" spans="1:2" x14ac:dyDescent="0.2">
      <c r="A312" s="1278">
        <v>310</v>
      </c>
      <c r="B312" s="1295">
        <v>0.38</v>
      </c>
    </row>
    <row r="313" spans="1:2" x14ac:dyDescent="0.2">
      <c r="A313" s="1278">
        <v>311</v>
      </c>
      <c r="B313" s="1295">
        <v>0.38</v>
      </c>
    </row>
    <row r="314" spans="1:2" x14ac:dyDescent="0.2">
      <c r="A314" s="1278">
        <v>312</v>
      </c>
      <c r="B314" s="1295">
        <v>0.38</v>
      </c>
    </row>
    <row r="315" spans="1:2" x14ac:dyDescent="0.2">
      <c r="A315" s="1278">
        <v>313</v>
      </c>
      <c r="B315" s="1295">
        <v>0.38</v>
      </c>
    </row>
    <row r="316" spans="1:2" x14ac:dyDescent="0.2">
      <c r="A316" s="1278">
        <v>314</v>
      </c>
      <c r="B316" s="1295">
        <v>0.38</v>
      </c>
    </row>
    <row r="317" spans="1:2" x14ac:dyDescent="0.2">
      <c r="A317" s="1278">
        <v>315</v>
      </c>
      <c r="B317" s="1295">
        <v>0.37</v>
      </c>
    </row>
    <row r="318" spans="1:2" x14ac:dyDescent="0.2">
      <c r="A318" s="1278">
        <v>316</v>
      </c>
      <c r="B318" s="1295">
        <v>0.37</v>
      </c>
    </row>
    <row r="319" spans="1:2" x14ac:dyDescent="0.2">
      <c r="A319" s="1278">
        <v>317</v>
      </c>
      <c r="B319" s="1295">
        <v>0.37</v>
      </c>
    </row>
    <row r="320" spans="1:2" x14ac:dyDescent="0.2">
      <c r="A320" s="1278">
        <v>318</v>
      </c>
      <c r="B320" s="1295">
        <v>0.37</v>
      </c>
    </row>
    <row r="321" spans="1:2" x14ac:dyDescent="0.2">
      <c r="A321" s="1278">
        <v>319</v>
      </c>
      <c r="B321" s="1295">
        <v>0.37</v>
      </c>
    </row>
    <row r="322" spans="1:2" x14ac:dyDescent="0.2">
      <c r="A322" s="1278">
        <v>320</v>
      </c>
      <c r="B322" s="1295">
        <v>0.36</v>
      </c>
    </row>
    <row r="323" spans="1:2" x14ac:dyDescent="0.2">
      <c r="A323" s="1278">
        <v>321</v>
      </c>
      <c r="B323" s="1295">
        <v>0.36</v>
      </c>
    </row>
    <row r="324" spans="1:2" x14ac:dyDescent="0.2">
      <c r="A324" s="1278">
        <v>322</v>
      </c>
      <c r="B324" s="1295">
        <v>0.36</v>
      </c>
    </row>
    <row r="325" spans="1:2" x14ac:dyDescent="0.2">
      <c r="A325" s="1278">
        <v>323</v>
      </c>
      <c r="B325" s="1295">
        <v>0.36</v>
      </c>
    </row>
    <row r="326" spans="1:2" x14ac:dyDescent="0.2">
      <c r="A326" s="1278">
        <v>324</v>
      </c>
      <c r="B326" s="1295">
        <v>0.36</v>
      </c>
    </row>
    <row r="327" spans="1:2" x14ac:dyDescent="0.2">
      <c r="A327" s="1278">
        <v>325</v>
      </c>
      <c r="B327" s="1295">
        <v>0.35</v>
      </c>
    </row>
    <row r="328" spans="1:2" x14ac:dyDescent="0.2">
      <c r="A328" s="1278">
        <v>326</v>
      </c>
      <c r="B328" s="1295">
        <v>0.35</v>
      </c>
    </row>
    <row r="329" spans="1:2" x14ac:dyDescent="0.2">
      <c r="A329" s="1278">
        <v>327</v>
      </c>
      <c r="B329" s="1295">
        <v>0.35</v>
      </c>
    </row>
    <row r="330" spans="1:2" x14ac:dyDescent="0.2">
      <c r="A330" s="1278">
        <v>328</v>
      </c>
      <c r="B330" s="1295">
        <v>0.35</v>
      </c>
    </row>
    <row r="331" spans="1:2" x14ac:dyDescent="0.2">
      <c r="A331" s="1278">
        <v>329</v>
      </c>
      <c r="B331" s="1295">
        <v>0.35</v>
      </c>
    </row>
    <row r="332" spans="1:2" x14ac:dyDescent="0.2">
      <c r="A332" s="1278">
        <v>330</v>
      </c>
      <c r="B332" s="1295">
        <v>0.34</v>
      </c>
    </row>
    <row r="333" spans="1:2" x14ac:dyDescent="0.2">
      <c r="A333" s="1278">
        <v>331</v>
      </c>
      <c r="B333" s="1295">
        <v>0.34</v>
      </c>
    </row>
    <row r="334" spans="1:2" x14ac:dyDescent="0.2">
      <c r="A334" s="1278">
        <v>332</v>
      </c>
      <c r="B334" s="1295">
        <v>0.34</v>
      </c>
    </row>
    <row r="335" spans="1:2" x14ac:dyDescent="0.2">
      <c r="A335" s="1278">
        <v>333</v>
      </c>
      <c r="B335" s="1295">
        <v>0.34</v>
      </c>
    </row>
    <row r="336" spans="1:2" x14ac:dyDescent="0.2">
      <c r="A336" s="1278">
        <v>334</v>
      </c>
      <c r="B336" s="1295">
        <v>0.34</v>
      </c>
    </row>
    <row r="337" spans="1:2" x14ac:dyDescent="0.2">
      <c r="A337" s="1278">
        <v>335</v>
      </c>
      <c r="B337" s="1295">
        <v>0.33</v>
      </c>
    </row>
    <row r="338" spans="1:2" x14ac:dyDescent="0.2">
      <c r="A338" s="1278">
        <v>336</v>
      </c>
      <c r="B338" s="1295">
        <v>0.33</v>
      </c>
    </row>
    <row r="339" spans="1:2" x14ac:dyDescent="0.2">
      <c r="A339" s="1278">
        <v>337</v>
      </c>
      <c r="B339" s="1295">
        <v>0.33</v>
      </c>
    </row>
    <row r="340" spans="1:2" x14ac:dyDescent="0.2">
      <c r="A340" s="1278">
        <v>338</v>
      </c>
      <c r="B340" s="1295">
        <v>0.33</v>
      </c>
    </row>
    <row r="341" spans="1:2" x14ac:dyDescent="0.2">
      <c r="A341" s="1278">
        <v>339</v>
      </c>
      <c r="B341" s="1295">
        <v>0.33</v>
      </c>
    </row>
    <row r="342" spans="1:2" x14ac:dyDescent="0.2">
      <c r="A342" s="1278">
        <v>340</v>
      </c>
      <c r="B342" s="1295">
        <v>0.32</v>
      </c>
    </row>
    <row r="343" spans="1:2" x14ac:dyDescent="0.2">
      <c r="A343" s="1278">
        <v>341</v>
      </c>
      <c r="B343" s="1295">
        <v>0.32</v>
      </c>
    </row>
    <row r="344" spans="1:2" x14ac:dyDescent="0.2">
      <c r="A344" s="1278">
        <v>342</v>
      </c>
      <c r="B344" s="1295">
        <v>0.32</v>
      </c>
    </row>
    <row r="345" spans="1:2" x14ac:dyDescent="0.2">
      <c r="A345" s="1278">
        <v>343</v>
      </c>
      <c r="B345" s="1295">
        <v>0.32</v>
      </c>
    </row>
    <row r="346" spans="1:2" x14ac:dyDescent="0.2">
      <c r="A346" s="1278">
        <v>344</v>
      </c>
      <c r="B346" s="1295">
        <v>0.32</v>
      </c>
    </row>
    <row r="347" spans="1:2" x14ac:dyDescent="0.2">
      <c r="A347" s="1278">
        <v>345</v>
      </c>
      <c r="B347" s="1295">
        <v>0.31</v>
      </c>
    </row>
    <row r="348" spans="1:2" x14ac:dyDescent="0.2">
      <c r="A348" s="1278">
        <v>346</v>
      </c>
      <c r="B348" s="1295">
        <v>0.31</v>
      </c>
    </row>
    <row r="349" spans="1:2" x14ac:dyDescent="0.2">
      <c r="A349" s="1278">
        <v>347</v>
      </c>
      <c r="B349" s="1295">
        <v>0.31</v>
      </c>
    </row>
    <row r="350" spans="1:2" x14ac:dyDescent="0.2">
      <c r="A350" s="1278">
        <v>348</v>
      </c>
      <c r="B350" s="1295">
        <v>0.31</v>
      </c>
    </row>
    <row r="351" spans="1:2" x14ac:dyDescent="0.2">
      <c r="A351" s="1278">
        <v>349</v>
      </c>
      <c r="B351" s="1295">
        <v>0.31</v>
      </c>
    </row>
    <row r="352" spans="1:2" x14ac:dyDescent="0.2">
      <c r="A352" s="1278">
        <v>350</v>
      </c>
      <c r="B352" s="1295">
        <v>0.3</v>
      </c>
    </row>
    <row r="353" spans="1:2" x14ac:dyDescent="0.2">
      <c r="A353" s="1278">
        <v>351</v>
      </c>
      <c r="B353" s="1295">
        <v>0.3</v>
      </c>
    </row>
    <row r="354" spans="1:2" x14ac:dyDescent="0.2">
      <c r="A354" s="1278">
        <v>352</v>
      </c>
      <c r="B354" s="1295">
        <v>0.3</v>
      </c>
    </row>
    <row r="355" spans="1:2" x14ac:dyDescent="0.2">
      <c r="A355" s="1278">
        <v>353</v>
      </c>
      <c r="B355" s="1295">
        <v>0.3</v>
      </c>
    </row>
    <row r="356" spans="1:2" x14ac:dyDescent="0.2">
      <c r="A356" s="1278">
        <v>354</v>
      </c>
      <c r="B356" s="1295">
        <v>0.3</v>
      </c>
    </row>
    <row r="357" spans="1:2" x14ac:dyDescent="0.2">
      <c r="A357" s="1278">
        <v>355</v>
      </c>
      <c r="B357" s="1295">
        <v>0.28999999999999998</v>
      </c>
    </row>
    <row r="358" spans="1:2" x14ac:dyDescent="0.2">
      <c r="A358" s="1278">
        <v>356</v>
      </c>
      <c r="B358" s="1295">
        <v>0.28999999999999998</v>
      </c>
    </row>
    <row r="359" spans="1:2" x14ac:dyDescent="0.2">
      <c r="A359" s="1278">
        <v>357</v>
      </c>
      <c r="B359" s="1295">
        <v>0.28999999999999998</v>
      </c>
    </row>
    <row r="360" spans="1:2" x14ac:dyDescent="0.2">
      <c r="A360" s="1278">
        <v>358</v>
      </c>
      <c r="B360" s="1295">
        <v>0.28999999999999998</v>
      </c>
    </row>
    <row r="361" spans="1:2" x14ac:dyDescent="0.2">
      <c r="A361" s="1278">
        <v>359</v>
      </c>
      <c r="B361" s="1295">
        <v>0.28999999999999998</v>
      </c>
    </row>
    <row r="362" spans="1:2" x14ac:dyDescent="0.2">
      <c r="A362" s="1278">
        <v>360</v>
      </c>
      <c r="B362" s="1295">
        <v>0.28000000000000003</v>
      </c>
    </row>
    <row r="363" spans="1:2" x14ac:dyDescent="0.2">
      <c r="A363" s="1278">
        <v>361</v>
      </c>
      <c r="B363" s="1295">
        <v>0.28000000000000003</v>
      </c>
    </row>
    <row r="364" spans="1:2" x14ac:dyDescent="0.2">
      <c r="A364" s="1278">
        <v>362</v>
      </c>
      <c r="B364" s="1295">
        <v>0.28000000000000003</v>
      </c>
    </row>
    <row r="365" spans="1:2" x14ac:dyDescent="0.2">
      <c r="A365" s="1278">
        <v>363</v>
      </c>
      <c r="B365" s="1295">
        <v>0.28000000000000003</v>
      </c>
    </row>
    <row r="366" spans="1:2" x14ac:dyDescent="0.2">
      <c r="A366" s="1278">
        <v>364</v>
      </c>
      <c r="B366" s="1295">
        <v>0.28000000000000003</v>
      </c>
    </row>
    <row r="367" spans="1:2" x14ac:dyDescent="0.2">
      <c r="A367" s="1278">
        <v>365</v>
      </c>
      <c r="B367" s="1295">
        <v>0.27</v>
      </c>
    </row>
    <row r="368" spans="1:2" x14ac:dyDescent="0.2">
      <c r="A368" s="1278">
        <v>366</v>
      </c>
      <c r="B368" s="1295">
        <v>0.27</v>
      </c>
    </row>
    <row r="369" spans="1:2" x14ac:dyDescent="0.2">
      <c r="A369" s="1278">
        <v>367</v>
      </c>
      <c r="B369" s="1295">
        <v>0.27</v>
      </c>
    </row>
    <row r="370" spans="1:2" x14ac:dyDescent="0.2">
      <c r="A370" s="1278">
        <v>368</v>
      </c>
      <c r="B370" s="1295">
        <v>0.27</v>
      </c>
    </row>
    <row r="371" spans="1:2" x14ac:dyDescent="0.2">
      <c r="A371" s="1278">
        <v>369</v>
      </c>
      <c r="B371" s="1295">
        <v>0.27</v>
      </c>
    </row>
    <row r="372" spans="1:2" x14ac:dyDescent="0.2">
      <c r="A372" s="1278">
        <v>370</v>
      </c>
      <c r="B372" s="1295">
        <v>0.26</v>
      </c>
    </row>
    <row r="373" spans="1:2" x14ac:dyDescent="0.2">
      <c r="A373" s="1278">
        <v>371</v>
      </c>
      <c r="B373" s="1295">
        <v>0.26</v>
      </c>
    </row>
    <row r="374" spans="1:2" x14ac:dyDescent="0.2">
      <c r="A374" s="1278">
        <v>372</v>
      </c>
      <c r="B374" s="1295">
        <v>0.26</v>
      </c>
    </row>
    <row r="375" spans="1:2" x14ac:dyDescent="0.2">
      <c r="A375" s="1278">
        <v>373</v>
      </c>
      <c r="B375" s="1295">
        <v>0.26</v>
      </c>
    </row>
    <row r="376" spans="1:2" x14ac:dyDescent="0.2">
      <c r="A376" s="1278">
        <v>374</v>
      </c>
      <c r="B376" s="1295">
        <v>0.26</v>
      </c>
    </row>
    <row r="377" spans="1:2" x14ac:dyDescent="0.2">
      <c r="A377" s="1278">
        <v>375</v>
      </c>
      <c r="B377" s="1295">
        <v>0.25</v>
      </c>
    </row>
    <row r="378" spans="1:2" x14ac:dyDescent="0.2">
      <c r="A378" s="1278">
        <v>376</v>
      </c>
      <c r="B378" s="1295">
        <v>0.25</v>
      </c>
    </row>
    <row r="379" spans="1:2" x14ac:dyDescent="0.2">
      <c r="A379" s="1278">
        <v>377</v>
      </c>
      <c r="B379" s="1295">
        <v>0.25</v>
      </c>
    </row>
    <row r="380" spans="1:2" x14ac:dyDescent="0.2">
      <c r="A380" s="1278">
        <v>378</v>
      </c>
      <c r="B380" s="1295">
        <v>0.25</v>
      </c>
    </row>
    <row r="381" spans="1:2" x14ac:dyDescent="0.2">
      <c r="A381" s="1278">
        <v>379</v>
      </c>
      <c r="B381" s="1295">
        <v>0.25</v>
      </c>
    </row>
    <row r="382" spans="1:2" x14ac:dyDescent="0.2">
      <c r="A382" s="1278">
        <v>380</v>
      </c>
      <c r="B382" s="1295">
        <v>0.24</v>
      </c>
    </row>
    <row r="383" spans="1:2" x14ac:dyDescent="0.2">
      <c r="A383" s="1278">
        <v>381</v>
      </c>
      <c r="B383" s="1295">
        <v>0.24</v>
      </c>
    </row>
    <row r="384" spans="1:2" x14ac:dyDescent="0.2">
      <c r="A384" s="1278">
        <v>382</v>
      </c>
      <c r="B384" s="1295">
        <v>0.24</v>
      </c>
    </row>
    <row r="385" spans="1:2" x14ac:dyDescent="0.2">
      <c r="A385" s="1278">
        <v>383</v>
      </c>
      <c r="B385" s="1295">
        <v>0.24</v>
      </c>
    </row>
    <row r="386" spans="1:2" x14ac:dyDescent="0.2">
      <c r="A386" s="1278">
        <v>384</v>
      </c>
      <c r="B386" s="1295">
        <v>0.24</v>
      </c>
    </row>
    <row r="387" spans="1:2" x14ac:dyDescent="0.2">
      <c r="A387" s="1278">
        <v>385</v>
      </c>
      <c r="B387" s="1295">
        <v>0.23</v>
      </c>
    </row>
    <row r="388" spans="1:2" x14ac:dyDescent="0.2">
      <c r="A388" s="1278">
        <v>386</v>
      </c>
      <c r="B388" s="1295">
        <v>0.23</v>
      </c>
    </row>
    <row r="389" spans="1:2" x14ac:dyDescent="0.2">
      <c r="A389" s="1278">
        <v>387</v>
      </c>
      <c r="B389" s="1295">
        <v>0.23</v>
      </c>
    </row>
    <row r="390" spans="1:2" x14ac:dyDescent="0.2">
      <c r="A390" s="1278">
        <v>388</v>
      </c>
      <c r="B390" s="1295">
        <v>0.23</v>
      </c>
    </row>
    <row r="391" spans="1:2" x14ac:dyDescent="0.2">
      <c r="A391" s="1278">
        <v>389</v>
      </c>
      <c r="B391" s="1295">
        <v>0.23</v>
      </c>
    </row>
    <row r="392" spans="1:2" x14ac:dyDescent="0.2">
      <c r="A392" s="1278">
        <v>390</v>
      </c>
      <c r="B392" s="1295">
        <v>0.22</v>
      </c>
    </row>
    <row r="393" spans="1:2" x14ac:dyDescent="0.2">
      <c r="A393" s="1278">
        <v>391</v>
      </c>
      <c r="B393" s="1295">
        <v>0.22</v>
      </c>
    </row>
    <row r="394" spans="1:2" x14ac:dyDescent="0.2">
      <c r="A394" s="1278">
        <v>392</v>
      </c>
      <c r="B394" s="1295">
        <v>0.22</v>
      </c>
    </row>
    <row r="395" spans="1:2" x14ac:dyDescent="0.2">
      <c r="A395" s="1278">
        <v>393</v>
      </c>
      <c r="B395" s="1295">
        <v>0.22</v>
      </c>
    </row>
    <row r="396" spans="1:2" x14ac:dyDescent="0.2">
      <c r="A396" s="1278">
        <v>394</v>
      </c>
      <c r="B396" s="1295">
        <v>0.22</v>
      </c>
    </row>
    <row r="397" spans="1:2" x14ac:dyDescent="0.2">
      <c r="A397" s="1278">
        <v>395</v>
      </c>
      <c r="B397" s="1295">
        <v>0.21</v>
      </c>
    </row>
    <row r="398" spans="1:2" x14ac:dyDescent="0.2">
      <c r="A398" s="1278">
        <v>396</v>
      </c>
      <c r="B398" s="1295">
        <v>0.21</v>
      </c>
    </row>
    <row r="399" spans="1:2" x14ac:dyDescent="0.2">
      <c r="A399" s="1278">
        <v>397</v>
      </c>
      <c r="B399" s="1295">
        <v>0.21</v>
      </c>
    </row>
    <row r="400" spans="1:2" x14ac:dyDescent="0.2">
      <c r="A400" s="1278">
        <v>398</v>
      </c>
      <c r="B400" s="1295">
        <v>0.21</v>
      </c>
    </row>
    <row r="401" spans="1:2" x14ac:dyDescent="0.2">
      <c r="A401" s="1278">
        <v>399</v>
      </c>
      <c r="B401" s="1295">
        <v>0.21</v>
      </c>
    </row>
    <row r="402" spans="1:2" x14ac:dyDescent="0.2">
      <c r="A402" s="1278">
        <v>400</v>
      </c>
      <c r="B402" s="1295">
        <v>0.2</v>
      </c>
    </row>
    <row r="403" spans="1:2" x14ac:dyDescent="0.2">
      <c r="A403" s="1278">
        <v>401</v>
      </c>
      <c r="B403" s="1295">
        <v>0.2</v>
      </c>
    </row>
    <row r="404" spans="1:2" x14ac:dyDescent="0.2">
      <c r="A404" s="1278">
        <v>402</v>
      </c>
      <c r="B404" s="1295">
        <v>0.2</v>
      </c>
    </row>
    <row r="405" spans="1:2" x14ac:dyDescent="0.2">
      <c r="A405" s="1278">
        <v>403</v>
      </c>
      <c r="B405" s="1295">
        <v>0.2</v>
      </c>
    </row>
    <row r="406" spans="1:2" x14ac:dyDescent="0.2">
      <c r="A406" s="1278">
        <v>404</v>
      </c>
      <c r="B406" s="1295">
        <v>0.2</v>
      </c>
    </row>
    <row r="407" spans="1:2" x14ac:dyDescent="0.2">
      <c r="A407" s="1278">
        <v>405</v>
      </c>
      <c r="B407" s="1295">
        <v>0.19</v>
      </c>
    </row>
    <row r="408" spans="1:2" x14ac:dyDescent="0.2">
      <c r="A408" s="1278">
        <v>406</v>
      </c>
      <c r="B408" s="1295">
        <v>0.19</v>
      </c>
    </row>
    <row r="409" spans="1:2" x14ac:dyDescent="0.2">
      <c r="A409" s="1278">
        <v>407</v>
      </c>
      <c r="B409" s="1295">
        <v>0.19</v>
      </c>
    </row>
    <row r="410" spans="1:2" x14ac:dyDescent="0.2">
      <c r="A410" s="1278">
        <v>408</v>
      </c>
      <c r="B410" s="1295">
        <v>0.19</v>
      </c>
    </row>
    <row r="411" spans="1:2" x14ac:dyDescent="0.2">
      <c r="A411" s="1278">
        <v>409</v>
      </c>
      <c r="B411" s="1295">
        <v>0.19</v>
      </c>
    </row>
    <row r="412" spans="1:2" x14ac:dyDescent="0.2">
      <c r="A412" s="1278">
        <v>410</v>
      </c>
      <c r="B412" s="1295">
        <v>0.18</v>
      </c>
    </row>
    <row r="413" spans="1:2" x14ac:dyDescent="0.2">
      <c r="A413" s="1278">
        <v>411</v>
      </c>
      <c r="B413" s="1295">
        <v>0.18</v>
      </c>
    </row>
    <row r="414" spans="1:2" x14ac:dyDescent="0.2">
      <c r="A414" s="1278">
        <v>412</v>
      </c>
      <c r="B414" s="1295">
        <v>0.18</v>
      </c>
    </row>
    <row r="415" spans="1:2" x14ac:dyDescent="0.2">
      <c r="A415" s="1278">
        <v>413</v>
      </c>
      <c r="B415" s="1295">
        <v>0.18</v>
      </c>
    </row>
    <row r="416" spans="1:2" x14ac:dyDescent="0.2">
      <c r="A416" s="1278">
        <v>414</v>
      </c>
      <c r="B416" s="1295">
        <v>0.18</v>
      </c>
    </row>
    <row r="417" spans="1:2" x14ac:dyDescent="0.2">
      <c r="A417" s="1278">
        <v>415</v>
      </c>
      <c r="B417" s="1295">
        <v>0.17</v>
      </c>
    </row>
    <row r="418" spans="1:2" x14ac:dyDescent="0.2">
      <c r="A418" s="1278">
        <v>416</v>
      </c>
      <c r="B418" s="1295">
        <v>0.17</v>
      </c>
    </row>
    <row r="419" spans="1:2" x14ac:dyDescent="0.2">
      <c r="A419" s="1278">
        <v>417</v>
      </c>
      <c r="B419" s="1295">
        <v>0.17</v>
      </c>
    </row>
    <row r="420" spans="1:2" x14ac:dyDescent="0.2">
      <c r="A420" s="1278">
        <v>418</v>
      </c>
      <c r="B420" s="1295">
        <v>0.17</v>
      </c>
    </row>
    <row r="421" spans="1:2" x14ac:dyDescent="0.2">
      <c r="A421" s="1278">
        <v>419</v>
      </c>
      <c r="B421" s="1295">
        <v>0.17</v>
      </c>
    </row>
    <row r="422" spans="1:2" x14ac:dyDescent="0.2">
      <c r="A422" s="1278">
        <v>420</v>
      </c>
      <c r="B422" s="1295">
        <v>0.16</v>
      </c>
    </row>
    <row r="423" spans="1:2" x14ac:dyDescent="0.2">
      <c r="A423" s="1278">
        <v>421</v>
      </c>
      <c r="B423" s="1295">
        <v>0.16</v>
      </c>
    </row>
    <row r="424" spans="1:2" x14ac:dyDescent="0.2">
      <c r="A424" s="1278">
        <v>422</v>
      </c>
      <c r="B424" s="1295">
        <v>0.16</v>
      </c>
    </row>
    <row r="425" spans="1:2" x14ac:dyDescent="0.2">
      <c r="A425" s="1278">
        <v>423</v>
      </c>
      <c r="B425" s="1295">
        <v>0.16</v>
      </c>
    </row>
    <row r="426" spans="1:2" x14ac:dyDescent="0.2">
      <c r="A426" s="1278">
        <v>424</v>
      </c>
      <c r="B426" s="1295">
        <v>0.16</v>
      </c>
    </row>
    <row r="427" spans="1:2" x14ac:dyDescent="0.2">
      <c r="A427" s="1278">
        <v>425</v>
      </c>
      <c r="B427" s="1295">
        <v>0.15</v>
      </c>
    </row>
    <row r="428" spans="1:2" x14ac:dyDescent="0.2">
      <c r="A428" s="1278">
        <v>426</v>
      </c>
      <c r="B428" s="1295">
        <v>0.15</v>
      </c>
    </row>
    <row r="429" spans="1:2" x14ac:dyDescent="0.2">
      <c r="A429" s="1278">
        <v>427</v>
      </c>
      <c r="B429" s="1295">
        <v>0.15</v>
      </c>
    </row>
    <row r="430" spans="1:2" x14ac:dyDescent="0.2">
      <c r="A430" s="1278">
        <v>428</v>
      </c>
      <c r="B430" s="1295">
        <v>0.15</v>
      </c>
    </row>
    <row r="431" spans="1:2" x14ac:dyDescent="0.2">
      <c r="A431" s="1278">
        <v>429</v>
      </c>
      <c r="B431" s="1295">
        <v>0.15</v>
      </c>
    </row>
    <row r="432" spans="1:2" x14ac:dyDescent="0.2">
      <c r="A432" s="1278">
        <v>430</v>
      </c>
      <c r="B432" s="1295">
        <v>0.14000000000000001</v>
      </c>
    </row>
    <row r="433" spans="1:2" x14ac:dyDescent="0.2">
      <c r="A433" s="1278">
        <v>431</v>
      </c>
      <c r="B433" s="1295">
        <v>0.14000000000000001</v>
      </c>
    </row>
    <row r="434" spans="1:2" x14ac:dyDescent="0.2">
      <c r="A434" s="1278">
        <v>432</v>
      </c>
      <c r="B434" s="1295">
        <v>0.14000000000000001</v>
      </c>
    </row>
    <row r="435" spans="1:2" x14ac:dyDescent="0.2">
      <c r="A435" s="1278">
        <v>433</v>
      </c>
      <c r="B435" s="1295">
        <v>0.14000000000000001</v>
      </c>
    </row>
    <row r="436" spans="1:2" x14ac:dyDescent="0.2">
      <c r="A436" s="1278">
        <v>434</v>
      </c>
      <c r="B436" s="1295">
        <v>0.14000000000000001</v>
      </c>
    </row>
    <row r="437" spans="1:2" x14ac:dyDescent="0.2">
      <c r="A437" s="1278">
        <v>435</v>
      </c>
      <c r="B437" s="1295">
        <v>0.13</v>
      </c>
    </row>
    <row r="438" spans="1:2" x14ac:dyDescent="0.2">
      <c r="A438" s="1278">
        <v>436</v>
      </c>
      <c r="B438" s="1295">
        <v>0.13</v>
      </c>
    </row>
    <row r="439" spans="1:2" x14ac:dyDescent="0.2">
      <c r="A439" s="1278">
        <v>437</v>
      </c>
      <c r="B439" s="1295">
        <v>0.13</v>
      </c>
    </row>
    <row r="440" spans="1:2" x14ac:dyDescent="0.2">
      <c r="A440" s="1278">
        <v>438</v>
      </c>
      <c r="B440" s="1295">
        <v>0.13</v>
      </c>
    </row>
    <row r="441" spans="1:2" x14ac:dyDescent="0.2">
      <c r="A441" s="1278">
        <v>439</v>
      </c>
      <c r="B441" s="1295">
        <v>0.13</v>
      </c>
    </row>
    <row r="442" spans="1:2" x14ac:dyDescent="0.2">
      <c r="A442" s="1278">
        <v>440</v>
      </c>
      <c r="B442" s="1295">
        <v>0.12</v>
      </c>
    </row>
    <row r="443" spans="1:2" x14ac:dyDescent="0.2">
      <c r="A443" s="1278">
        <v>441</v>
      </c>
      <c r="B443" s="1295">
        <v>0.12</v>
      </c>
    </row>
    <row r="444" spans="1:2" x14ac:dyDescent="0.2">
      <c r="A444" s="1278">
        <v>442</v>
      </c>
      <c r="B444" s="1295">
        <v>0.12</v>
      </c>
    </row>
    <row r="445" spans="1:2" x14ac:dyDescent="0.2">
      <c r="A445" s="1278">
        <v>443</v>
      </c>
      <c r="B445" s="1295">
        <v>0.12</v>
      </c>
    </row>
    <row r="446" spans="1:2" x14ac:dyDescent="0.2">
      <c r="A446" s="1278">
        <v>444</v>
      </c>
      <c r="B446" s="1295">
        <v>0.12</v>
      </c>
    </row>
    <row r="447" spans="1:2" x14ac:dyDescent="0.2">
      <c r="A447" s="1278">
        <v>445</v>
      </c>
      <c r="B447" s="1295">
        <v>0.11</v>
      </c>
    </row>
    <row r="448" spans="1:2" x14ac:dyDescent="0.2">
      <c r="A448" s="1278">
        <v>446</v>
      </c>
      <c r="B448" s="1295">
        <v>0.11</v>
      </c>
    </row>
    <row r="449" spans="1:2" x14ac:dyDescent="0.2">
      <c r="A449" s="1278">
        <v>447</v>
      </c>
      <c r="B449" s="1295">
        <v>0.11</v>
      </c>
    </row>
    <row r="450" spans="1:2" x14ac:dyDescent="0.2">
      <c r="A450" s="1278">
        <v>448</v>
      </c>
      <c r="B450" s="1295">
        <v>0.11</v>
      </c>
    </row>
    <row r="451" spans="1:2" x14ac:dyDescent="0.2">
      <c r="A451" s="1278">
        <v>449</v>
      </c>
      <c r="B451" s="1295">
        <v>0.11</v>
      </c>
    </row>
    <row r="452" spans="1:2" x14ac:dyDescent="0.2">
      <c r="A452" s="1278">
        <v>450</v>
      </c>
      <c r="B452" s="1295">
        <v>0.1</v>
      </c>
    </row>
    <row r="453" spans="1:2" x14ac:dyDescent="0.2">
      <c r="A453" s="1278">
        <v>451</v>
      </c>
      <c r="B453" s="1295">
        <v>0.1</v>
      </c>
    </row>
    <row r="454" spans="1:2" x14ac:dyDescent="0.2">
      <c r="A454" s="1278">
        <v>452</v>
      </c>
      <c r="B454" s="1295">
        <v>0.1</v>
      </c>
    </row>
    <row r="455" spans="1:2" x14ac:dyDescent="0.2">
      <c r="A455" s="1278">
        <v>453</v>
      </c>
      <c r="B455" s="1295">
        <v>0.1</v>
      </c>
    </row>
    <row r="456" spans="1:2" x14ac:dyDescent="0.2">
      <c r="A456" s="1278">
        <v>454</v>
      </c>
      <c r="B456" s="1295">
        <v>0.1</v>
      </c>
    </row>
    <row r="457" spans="1:2" x14ac:dyDescent="0.2">
      <c r="A457" s="1278">
        <v>455</v>
      </c>
      <c r="B457" s="1295">
        <v>0.09</v>
      </c>
    </row>
    <row r="458" spans="1:2" x14ac:dyDescent="0.2">
      <c r="A458" s="1278">
        <v>456</v>
      </c>
      <c r="B458" s="1295">
        <v>0.09</v>
      </c>
    </row>
    <row r="459" spans="1:2" x14ac:dyDescent="0.2">
      <c r="A459" s="1278">
        <v>457</v>
      </c>
      <c r="B459" s="1295">
        <v>0.09</v>
      </c>
    </row>
    <row r="460" spans="1:2" x14ac:dyDescent="0.2">
      <c r="A460" s="1278">
        <v>458</v>
      </c>
      <c r="B460" s="1295">
        <v>0.09</v>
      </c>
    </row>
    <row r="461" spans="1:2" x14ac:dyDescent="0.2">
      <c r="A461" s="1278">
        <v>459</v>
      </c>
      <c r="B461" s="1295">
        <v>0.09</v>
      </c>
    </row>
    <row r="462" spans="1:2" x14ac:dyDescent="0.2">
      <c r="A462" s="1278">
        <v>460</v>
      </c>
      <c r="B462" s="1295">
        <v>0.08</v>
      </c>
    </row>
    <row r="463" spans="1:2" x14ac:dyDescent="0.2">
      <c r="A463" s="1278">
        <v>461</v>
      </c>
      <c r="B463" s="1295">
        <v>0.08</v>
      </c>
    </row>
    <row r="464" spans="1:2" x14ac:dyDescent="0.2">
      <c r="A464" s="1278">
        <v>462</v>
      </c>
      <c r="B464" s="1295">
        <v>0.08</v>
      </c>
    </row>
    <row r="465" spans="1:2" x14ac:dyDescent="0.2">
      <c r="A465" s="1278">
        <v>463</v>
      </c>
      <c r="B465" s="1295">
        <v>0.08</v>
      </c>
    </row>
    <row r="466" spans="1:2" x14ac:dyDescent="0.2">
      <c r="A466" s="1278">
        <v>464</v>
      </c>
      <c r="B466" s="1295">
        <v>0.08</v>
      </c>
    </row>
    <row r="467" spans="1:2" x14ac:dyDescent="0.2">
      <c r="A467" s="1278">
        <v>465</v>
      </c>
      <c r="B467" s="1295">
        <v>7.0000000000000007E-2</v>
      </c>
    </row>
    <row r="468" spans="1:2" x14ac:dyDescent="0.2">
      <c r="A468" s="1278">
        <v>466</v>
      </c>
      <c r="B468" s="1295">
        <v>7.0000000000000007E-2</v>
      </c>
    </row>
    <row r="469" spans="1:2" x14ac:dyDescent="0.2">
      <c r="A469" s="1278">
        <v>467</v>
      </c>
      <c r="B469" s="1295">
        <v>7.0000000000000007E-2</v>
      </c>
    </row>
    <row r="470" spans="1:2" x14ac:dyDescent="0.2">
      <c r="A470" s="1278">
        <v>468</v>
      </c>
      <c r="B470" s="1295">
        <v>7.0000000000000007E-2</v>
      </c>
    </row>
    <row r="471" spans="1:2" x14ac:dyDescent="0.2">
      <c r="A471" s="1278">
        <v>469</v>
      </c>
      <c r="B471" s="1295">
        <v>7.0000000000000007E-2</v>
      </c>
    </row>
    <row r="472" spans="1:2" x14ac:dyDescent="0.2">
      <c r="A472" s="1278">
        <v>470</v>
      </c>
      <c r="B472" s="1295">
        <v>0.06</v>
      </c>
    </row>
    <row r="473" spans="1:2" x14ac:dyDescent="0.2">
      <c r="A473" s="1278">
        <v>471</v>
      </c>
      <c r="B473" s="1295">
        <v>0.06</v>
      </c>
    </row>
    <row r="474" spans="1:2" x14ac:dyDescent="0.2">
      <c r="A474" s="1278">
        <v>472</v>
      </c>
      <c r="B474" s="1295">
        <v>0.06</v>
      </c>
    </row>
    <row r="475" spans="1:2" x14ac:dyDescent="0.2">
      <c r="A475" s="1278">
        <v>473</v>
      </c>
      <c r="B475" s="1295">
        <v>0.06</v>
      </c>
    </row>
    <row r="476" spans="1:2" x14ac:dyDescent="0.2">
      <c r="A476" s="1278">
        <v>474</v>
      </c>
      <c r="B476" s="1295">
        <v>0.06</v>
      </c>
    </row>
    <row r="477" spans="1:2" x14ac:dyDescent="0.2">
      <c r="A477" s="1278">
        <v>475</v>
      </c>
      <c r="B477" s="1295">
        <v>0.05</v>
      </c>
    </row>
    <row r="478" spans="1:2" x14ac:dyDescent="0.2">
      <c r="A478" s="1278">
        <v>476</v>
      </c>
      <c r="B478" s="1295">
        <v>0.05</v>
      </c>
    </row>
    <row r="479" spans="1:2" x14ac:dyDescent="0.2">
      <c r="A479" s="1278">
        <v>477</v>
      </c>
      <c r="B479" s="1295">
        <v>0.05</v>
      </c>
    </row>
    <row r="480" spans="1:2" x14ac:dyDescent="0.2">
      <c r="A480" s="1278">
        <v>478</v>
      </c>
      <c r="B480" s="1295">
        <v>0.05</v>
      </c>
    </row>
    <row r="481" spans="1:2" x14ac:dyDescent="0.2">
      <c r="A481" s="1278">
        <v>479</v>
      </c>
      <c r="B481" s="1295">
        <v>0.05</v>
      </c>
    </row>
    <row r="482" spans="1:2" x14ac:dyDescent="0.2">
      <c r="A482" s="1278">
        <v>480</v>
      </c>
      <c r="B482" s="1295">
        <v>0.04</v>
      </c>
    </row>
    <row r="483" spans="1:2" x14ac:dyDescent="0.2">
      <c r="A483" s="1278">
        <v>481</v>
      </c>
      <c r="B483" s="1295">
        <v>0.04</v>
      </c>
    </row>
    <row r="484" spans="1:2" x14ac:dyDescent="0.2">
      <c r="A484" s="1278">
        <v>482</v>
      </c>
      <c r="B484" s="1295">
        <v>0.04</v>
      </c>
    </row>
    <row r="485" spans="1:2" x14ac:dyDescent="0.2">
      <c r="A485" s="1278">
        <v>483</v>
      </c>
      <c r="B485" s="1295">
        <v>0.04</v>
      </c>
    </row>
    <row r="486" spans="1:2" x14ac:dyDescent="0.2">
      <c r="A486" s="1278">
        <v>484</v>
      </c>
      <c r="B486" s="1295">
        <v>0.04</v>
      </c>
    </row>
    <row r="487" spans="1:2" x14ac:dyDescent="0.2">
      <c r="A487" s="1278">
        <v>485</v>
      </c>
      <c r="B487" s="1295">
        <v>0.03</v>
      </c>
    </row>
    <row r="488" spans="1:2" x14ac:dyDescent="0.2">
      <c r="A488" s="1278">
        <v>486</v>
      </c>
      <c r="B488" s="1295">
        <v>0.03</v>
      </c>
    </row>
    <row r="489" spans="1:2" x14ac:dyDescent="0.2">
      <c r="A489" s="1278">
        <v>487</v>
      </c>
      <c r="B489" s="1295">
        <v>0.03</v>
      </c>
    </row>
    <row r="490" spans="1:2" x14ac:dyDescent="0.2">
      <c r="A490" s="1278">
        <v>488</v>
      </c>
      <c r="B490" s="1295">
        <v>0.03</v>
      </c>
    </row>
    <row r="491" spans="1:2" x14ac:dyDescent="0.2">
      <c r="A491" s="1278">
        <v>489</v>
      </c>
      <c r="B491" s="1295">
        <v>0.03</v>
      </c>
    </row>
    <row r="492" spans="1:2" x14ac:dyDescent="0.2">
      <c r="A492" s="1278">
        <v>490</v>
      </c>
      <c r="B492" s="1295">
        <v>0.02</v>
      </c>
    </row>
    <row r="493" spans="1:2" x14ac:dyDescent="0.2">
      <c r="A493" s="1278">
        <v>491</v>
      </c>
      <c r="B493" s="1295">
        <v>0.02</v>
      </c>
    </row>
    <row r="494" spans="1:2" x14ac:dyDescent="0.2">
      <c r="A494" s="1278">
        <v>492</v>
      </c>
      <c r="B494" s="1295">
        <v>0.02</v>
      </c>
    </row>
    <row r="495" spans="1:2" x14ac:dyDescent="0.2">
      <c r="A495" s="1278">
        <v>493</v>
      </c>
      <c r="B495" s="1295">
        <v>0.02</v>
      </c>
    </row>
    <row r="496" spans="1:2" x14ac:dyDescent="0.2">
      <c r="A496" s="1278">
        <v>494</v>
      </c>
      <c r="B496" s="1295">
        <v>0.02</v>
      </c>
    </row>
    <row r="497" spans="1:2" x14ac:dyDescent="0.2">
      <c r="A497" s="1278">
        <v>495</v>
      </c>
      <c r="B497" s="1295">
        <v>0.01</v>
      </c>
    </row>
    <row r="498" spans="1:2" x14ac:dyDescent="0.2">
      <c r="A498" s="1278">
        <v>496</v>
      </c>
      <c r="B498" s="1295">
        <v>0.01</v>
      </c>
    </row>
    <row r="499" spans="1:2" x14ac:dyDescent="0.2">
      <c r="A499" s="1278">
        <v>497</v>
      </c>
      <c r="B499" s="1295">
        <v>0.01</v>
      </c>
    </row>
    <row r="500" spans="1:2" x14ac:dyDescent="0.2">
      <c r="A500" s="1278">
        <v>498</v>
      </c>
      <c r="B500" s="1295">
        <v>0.01</v>
      </c>
    </row>
    <row r="501" spans="1:2" x14ac:dyDescent="0.2">
      <c r="A501" s="1278">
        <v>499</v>
      </c>
      <c r="B501" s="1295">
        <v>0.01</v>
      </c>
    </row>
    <row r="502" spans="1:2" x14ac:dyDescent="0.2">
      <c r="A502" s="1278">
        <v>500</v>
      </c>
      <c r="B502" s="1295">
        <v>0</v>
      </c>
    </row>
  </sheetData>
  <sheetProtection sheet="1" objects="1" scenarios="1"/>
  <mergeCells count="2">
    <mergeCell ref="D2:D5"/>
    <mergeCell ref="E2:E5"/>
  </mergeCells>
  <phoneticPr fontId="0" type="noConversion"/>
  <pageMargins left="0.75" right="0.75" top="1" bottom="1" header="0.5" footer="0.5"/>
  <pageSetup orientation="portrait" horizontalDpi="300" verticalDpi="300" r:id="rId1"/>
  <headerFooter alignWithMargins="0"/>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CO555"/>
  <sheetViews>
    <sheetView zoomScaleNormal="100" zoomScaleSheetLayoutView="50" workbookViewId="0">
      <pane ySplit="2" topLeftCell="A3" activePane="bottomLeft" state="frozen"/>
      <selection pane="bottomLeft"/>
    </sheetView>
  </sheetViews>
  <sheetFormatPr defaultColWidth="9.140625" defaultRowHeight="12.75" x14ac:dyDescent="0.2"/>
  <cols>
    <col min="1" max="1" width="12.5703125" style="18" customWidth="1"/>
    <col min="2" max="2" width="11.140625" style="18" bestFit="1" customWidth="1"/>
    <col min="3" max="3" width="11.140625" style="18" customWidth="1"/>
    <col min="4" max="4" width="11.140625" style="18" bestFit="1" customWidth="1"/>
    <col min="5" max="5" width="14.140625" style="18" customWidth="1"/>
    <col min="6" max="10" width="11.140625" style="18" bestFit="1" customWidth="1"/>
    <col min="11" max="12" width="11.140625" style="111" bestFit="1" customWidth="1"/>
    <col min="13" max="13" width="14" style="111" customWidth="1"/>
    <col min="14" max="14" width="8" style="18" bestFit="1" customWidth="1"/>
    <col min="15" max="15" width="34.85546875" style="19" customWidth="1"/>
    <col min="16" max="17" width="8" style="74" customWidth="1"/>
    <col min="18" max="18" width="8.5703125" style="19" customWidth="1"/>
    <col min="19" max="19" width="5.7109375" style="74" customWidth="1"/>
    <col min="20" max="20" width="16.140625" style="19" bestFit="1" customWidth="1"/>
    <col min="21" max="22" width="9.140625" style="19"/>
    <col min="23" max="23" width="8.7109375" style="19" customWidth="1"/>
    <col min="24" max="24" width="5.7109375" style="19" customWidth="1"/>
    <col min="25" max="25" width="34.85546875" style="19" customWidth="1"/>
    <col min="26" max="28" width="8.7109375" style="19" customWidth="1"/>
    <col min="29" max="29" width="5.7109375" style="116" customWidth="1"/>
    <col min="30" max="30" width="16.140625" style="19" customWidth="1"/>
    <col min="31" max="33" width="8.7109375" style="19" customWidth="1"/>
    <col min="34" max="65" width="9.140625" style="19"/>
    <col min="66" max="16384" width="9.140625" style="18"/>
  </cols>
  <sheetData>
    <row r="1" spans="1:93" ht="37.5" customHeight="1" x14ac:dyDescent="0.2">
      <c r="A1" s="1271" t="s">
        <v>2307</v>
      </c>
      <c r="B1" s="1265" t="s">
        <v>1640</v>
      </c>
      <c r="C1" s="1265" t="s">
        <v>1640</v>
      </c>
      <c r="D1" s="1265" t="s">
        <v>1640</v>
      </c>
      <c r="E1" s="1265" t="s">
        <v>1640</v>
      </c>
      <c r="F1" s="1265" t="s">
        <v>1640</v>
      </c>
      <c r="G1" s="1265" t="s">
        <v>1640</v>
      </c>
      <c r="H1" s="1265" t="s">
        <v>1640</v>
      </c>
      <c r="I1" s="1265" t="s">
        <v>1640</v>
      </c>
      <c r="J1" s="1265" t="s">
        <v>1640</v>
      </c>
      <c r="K1" s="1265" t="s">
        <v>1640</v>
      </c>
      <c r="L1" s="1265" t="s">
        <v>1640</v>
      </c>
      <c r="M1" s="1265" t="s">
        <v>1640</v>
      </c>
      <c r="N1" s="47"/>
    </row>
    <row r="2" spans="1:93" ht="100.5" customHeight="1" x14ac:dyDescent="0.2">
      <c r="A2" s="1282" t="s">
        <v>1964</v>
      </c>
      <c r="B2" s="1282" t="s">
        <v>1641</v>
      </c>
      <c r="C2" s="1282" t="s">
        <v>1642</v>
      </c>
      <c r="D2" s="1282" t="s">
        <v>1643</v>
      </c>
      <c r="E2" s="1282" t="s">
        <v>1644</v>
      </c>
      <c r="F2" s="1282" t="s">
        <v>691</v>
      </c>
      <c r="G2" s="1282" t="s">
        <v>694</v>
      </c>
      <c r="H2" s="1282" t="s">
        <v>695</v>
      </c>
      <c r="I2" s="1282" t="s">
        <v>697</v>
      </c>
      <c r="J2" s="1282" t="s">
        <v>699</v>
      </c>
      <c r="K2" s="1282" t="s">
        <v>1965</v>
      </c>
      <c r="L2" s="1282" t="s">
        <v>592</v>
      </c>
      <c r="M2" s="1282" t="s">
        <v>1618</v>
      </c>
      <c r="N2" s="403"/>
      <c r="O2" s="1274" t="s">
        <v>27</v>
      </c>
      <c r="P2" s="1257" t="s">
        <v>2319</v>
      </c>
      <c r="Q2" s="1257" t="s">
        <v>1307</v>
      </c>
      <c r="R2" s="1257" t="s">
        <v>2320</v>
      </c>
      <c r="S2" s="402"/>
      <c r="T2" s="401"/>
      <c r="U2" s="1284" t="s">
        <v>2319</v>
      </c>
      <c r="V2" s="1284" t="s">
        <v>1307</v>
      </c>
      <c r="W2" s="1284" t="s">
        <v>2320</v>
      </c>
      <c r="X2" s="401"/>
      <c r="Y2" s="19" t="s">
        <v>1470</v>
      </c>
      <c r="Z2" s="1284" t="s">
        <v>2321</v>
      </c>
      <c r="AA2" s="1284" t="s">
        <v>1307</v>
      </c>
      <c r="AB2" s="1284" t="s">
        <v>2322</v>
      </c>
      <c r="AC2" s="402"/>
      <c r="AD2" s="401"/>
      <c r="AE2" s="1284" t="s">
        <v>2321</v>
      </c>
      <c r="AF2" s="1284" t="s">
        <v>1307</v>
      </c>
      <c r="AG2" s="1284" t="s">
        <v>2322</v>
      </c>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row>
    <row r="3" spans="1:93" ht="15" customHeight="1" x14ac:dyDescent="0.2">
      <c r="A3" s="1265">
        <v>0</v>
      </c>
      <c r="B3" s="684">
        <v>0.13</v>
      </c>
      <c r="C3" s="684">
        <v>0.15</v>
      </c>
      <c r="D3" s="684">
        <v>0.02</v>
      </c>
      <c r="E3" s="684">
        <v>0.15</v>
      </c>
      <c r="F3" s="684">
        <v>7.0000000000000007E-2</v>
      </c>
      <c r="G3" s="684">
        <v>0.08</v>
      </c>
      <c r="H3" s="684">
        <v>0.01</v>
      </c>
      <c r="I3" s="684">
        <v>0.08</v>
      </c>
      <c r="J3" s="1277">
        <v>0.03</v>
      </c>
      <c r="K3" s="1277">
        <v>0.04</v>
      </c>
      <c r="L3" s="1277">
        <v>0.01</v>
      </c>
      <c r="M3" s="684">
        <v>0.04</v>
      </c>
      <c r="O3" s="1273" t="s">
        <v>414</v>
      </c>
      <c r="P3" s="1275" t="str">
        <f>IF('Shoulder-Right'!T7="","",'Shoulder-Right'!T7)</f>
        <v/>
      </c>
      <c r="Q3" s="1275" t="str">
        <f>IF(P3="","",ROUND(P3,0))</f>
        <v/>
      </c>
      <c r="R3" s="243">
        <f>IF(Q3="",0,VLOOKUP(Q3,$A$3:$N$183,2))</f>
        <v>0</v>
      </c>
      <c r="T3" s="1273" t="s">
        <v>1597</v>
      </c>
      <c r="U3" s="1275" t="str">
        <f>IF('Shoulder-Right'!V7="","",'Shoulder-Right'!V7)</f>
        <v/>
      </c>
      <c r="V3" s="1275" t="str">
        <f>IF(U3="","",ROUND(U3,0))</f>
        <v/>
      </c>
      <c r="W3" s="243">
        <f>IF(V3="",0,VLOOKUP(V3,$A$3:$N$183,2))</f>
        <v>0</v>
      </c>
      <c r="Y3" s="1273" t="s">
        <v>414</v>
      </c>
      <c r="Z3" s="1275" t="str">
        <f>IF('Shoulder-Left'!T7="","",'Shoulder-Left'!T7)</f>
        <v/>
      </c>
      <c r="AA3" s="1275" t="str">
        <f t="shared" ref="AA3:AA14" si="0">IF(Z3="","",ROUND(Z3,0))</f>
        <v/>
      </c>
      <c r="AB3" s="243">
        <f>IF(AA3="",0,VLOOKUP(AA3,$A$3:$N$183,2))</f>
        <v>0</v>
      </c>
      <c r="AC3" s="74"/>
      <c r="AD3" s="1273" t="s">
        <v>1597</v>
      </c>
      <c r="AE3" s="1275" t="str">
        <f>IF('Shoulder-Left'!V7="","",'Shoulder-Left'!V7)</f>
        <v/>
      </c>
      <c r="AF3" s="1275" t="str">
        <f>IF(AE3="","",ROUND(AE3,0))</f>
        <v/>
      </c>
      <c r="AG3" s="243">
        <f>IF(AF3="",0,VLOOKUP(AF3,$A$3:$N$183,2))</f>
        <v>0</v>
      </c>
    </row>
    <row r="4" spans="1:93" ht="15" customHeight="1" x14ac:dyDescent="0.2">
      <c r="A4" s="1265">
        <v>1</v>
      </c>
      <c r="B4" s="684">
        <v>0.127</v>
      </c>
      <c r="C4" s="684">
        <v>0.14699999999999999</v>
      </c>
      <c r="D4" s="684">
        <v>1.9E-2</v>
      </c>
      <c r="E4" s="684">
        <v>0.15</v>
      </c>
      <c r="F4" s="684">
        <v>6.9000000000000006E-2</v>
      </c>
      <c r="G4" s="684">
        <v>7.9000000000000001E-2</v>
      </c>
      <c r="H4" s="684">
        <v>0.01</v>
      </c>
      <c r="I4" s="684">
        <v>8.1000000000000003E-2</v>
      </c>
      <c r="J4" s="1277">
        <v>0.03</v>
      </c>
      <c r="K4" s="1277">
        <v>0.04</v>
      </c>
      <c r="L4" s="1277">
        <v>0.01</v>
      </c>
      <c r="M4" s="684">
        <v>4.1000000000000002E-2</v>
      </c>
      <c r="O4" s="1273" t="s">
        <v>415</v>
      </c>
      <c r="P4" s="1275" t="str">
        <f>IF('Shoulder-Right'!T8="","",'Shoulder-Right'!T8)</f>
        <v/>
      </c>
      <c r="Q4" s="1275" t="str">
        <f t="shared" ref="Q4:Q14" si="1">IF(P4="","",ROUND(P4,0))</f>
        <v/>
      </c>
      <c r="R4" s="243">
        <f>IF(Q4="",0,VLOOKUP(Q4,$A$3:$N$183,3))</f>
        <v>0</v>
      </c>
      <c r="T4" s="1273"/>
      <c r="U4" s="1275"/>
      <c r="V4" s="1275"/>
      <c r="W4" s="243"/>
      <c r="Y4" s="1273" t="s">
        <v>415</v>
      </c>
      <c r="Z4" s="1275" t="str">
        <f>IF('Shoulder-Left'!T8="","",'Shoulder-Left'!T8)</f>
        <v/>
      </c>
      <c r="AA4" s="1275" t="str">
        <f t="shared" si="0"/>
        <v/>
      </c>
      <c r="AB4" s="243">
        <f>IF(AA4="",0,VLOOKUP(AA4,$A$3:$N$183,3))</f>
        <v>0</v>
      </c>
      <c r="AC4" s="74"/>
      <c r="AD4" s="1273"/>
      <c r="AE4" s="1275"/>
      <c r="AF4" s="1275"/>
      <c r="AG4" s="243"/>
    </row>
    <row r="5" spans="1:93" ht="15" customHeight="1" x14ac:dyDescent="0.2">
      <c r="A5" s="1265">
        <v>2</v>
      </c>
      <c r="B5" s="684">
        <v>0.124</v>
      </c>
      <c r="C5" s="684">
        <v>0.14399999999999999</v>
      </c>
      <c r="D5" s="684">
        <v>1.7999999999999999E-2</v>
      </c>
      <c r="E5" s="684">
        <v>0.15</v>
      </c>
      <c r="F5" s="684">
        <v>6.8000000000000005E-2</v>
      </c>
      <c r="G5" s="684">
        <v>7.8E-2</v>
      </c>
      <c r="H5" s="684">
        <v>0.01</v>
      </c>
      <c r="I5" s="684">
        <v>8.2000000000000003E-2</v>
      </c>
      <c r="J5" s="1277">
        <v>0.03</v>
      </c>
      <c r="K5" s="1277">
        <v>0.04</v>
      </c>
      <c r="L5" s="1277">
        <v>0.01</v>
      </c>
      <c r="M5" s="684">
        <v>4.2000000000000003E-2</v>
      </c>
      <c r="O5" s="1273" t="s">
        <v>416</v>
      </c>
      <c r="P5" s="1275" t="str">
        <f>IF('Shoulder-Right'!T9="","",'Shoulder-Right'!T9)</f>
        <v/>
      </c>
      <c r="Q5" s="1275" t="str">
        <f t="shared" si="1"/>
        <v/>
      </c>
      <c r="R5" s="243">
        <f>IF(Q5="",0,VLOOKUP(Q5,$A$3:$N$183,4))</f>
        <v>0</v>
      </c>
      <c r="T5" s="1273" t="s">
        <v>1597</v>
      </c>
      <c r="U5" s="1275" t="str">
        <f>IF('Shoulder-Right'!V9="","",'Shoulder-Right'!V9)</f>
        <v/>
      </c>
      <c r="V5" s="1275" t="str">
        <f>IF(U5="","",ROUND(U5,0))</f>
        <v/>
      </c>
      <c r="W5" s="243">
        <f>IF(V5="",0,VLOOKUP(V5,$A$3:$N$183,4))</f>
        <v>0</v>
      </c>
      <c r="Y5" s="1273" t="s">
        <v>416</v>
      </c>
      <c r="Z5" s="1275" t="str">
        <f>IF('Shoulder-Left'!T9="","",'Shoulder-Left'!T9)</f>
        <v/>
      </c>
      <c r="AA5" s="1275" t="str">
        <f t="shared" si="0"/>
        <v/>
      </c>
      <c r="AB5" s="243">
        <f>IF(AA5="",0,VLOOKUP(AA5,$A$3:$N$183,4))</f>
        <v>0</v>
      </c>
      <c r="AC5" s="74"/>
      <c r="AD5" s="1273" t="s">
        <v>1597</v>
      </c>
      <c r="AE5" s="1275" t="str">
        <f>IF('Shoulder-Left'!V9="","",'Shoulder-Left'!V9)</f>
        <v/>
      </c>
      <c r="AF5" s="1275" t="str">
        <f>IF(AE5="","",ROUND(AE5,0))</f>
        <v/>
      </c>
      <c r="AG5" s="243">
        <f>IF(AF5="",0,VLOOKUP(AF5,$A$3:$N$183,4))</f>
        <v>0</v>
      </c>
    </row>
    <row r="6" spans="1:93" ht="15" customHeight="1" x14ac:dyDescent="0.2">
      <c r="A6" s="1265">
        <v>3</v>
      </c>
      <c r="B6" s="684">
        <v>0.121</v>
      </c>
      <c r="C6" s="684">
        <v>0.14099999999999999</v>
      </c>
      <c r="D6" s="684">
        <v>1.7000000000000001E-2</v>
      </c>
      <c r="E6" s="684">
        <v>0.15</v>
      </c>
      <c r="F6" s="684">
        <v>6.7000000000000004E-2</v>
      </c>
      <c r="G6" s="684">
        <v>7.6999999999999999E-2</v>
      </c>
      <c r="H6" s="684">
        <v>0.01</v>
      </c>
      <c r="I6" s="684">
        <v>8.3000000000000004E-2</v>
      </c>
      <c r="J6" s="1277">
        <v>0.03</v>
      </c>
      <c r="K6" s="1277">
        <v>0.04</v>
      </c>
      <c r="L6" s="1277">
        <v>0.01</v>
      </c>
      <c r="M6" s="684">
        <v>4.2999999999999997E-2</v>
      </c>
      <c r="O6" s="1273" t="s">
        <v>417</v>
      </c>
      <c r="P6" s="1275" t="str">
        <f>IF('Shoulder-Right'!T10="","",'Shoulder-Right'!T10)</f>
        <v/>
      </c>
      <c r="Q6" s="1275" t="str">
        <f t="shared" si="1"/>
        <v/>
      </c>
      <c r="R6" s="243">
        <f>IF(Q6="",0,VLOOKUP(Q6,$A$3:$N$183,5))</f>
        <v>0</v>
      </c>
      <c r="T6" s="1273"/>
      <c r="U6" s="1273"/>
      <c r="V6" s="1273"/>
      <c r="W6" s="1273"/>
      <c r="Y6" s="1273" t="s">
        <v>417</v>
      </c>
      <c r="Z6" s="1275" t="str">
        <f>IF('Shoulder-Left'!T10="","",'Shoulder-Left'!T10)</f>
        <v/>
      </c>
      <c r="AA6" s="1275" t="str">
        <f t="shared" si="0"/>
        <v/>
      </c>
      <c r="AB6" s="243">
        <f>IF(AA6="",0,VLOOKUP(AA6,$A$3:$N$183,5))</f>
        <v>0</v>
      </c>
      <c r="AC6" s="74"/>
      <c r="AD6" s="1273"/>
      <c r="AE6" s="1273"/>
      <c r="AF6" s="1273"/>
      <c r="AG6" s="1273"/>
    </row>
    <row r="7" spans="1:93" ht="15" customHeight="1" x14ac:dyDescent="0.2">
      <c r="A7" s="1265">
        <v>4</v>
      </c>
      <c r="B7" s="684">
        <v>0.11799999999999999</v>
      </c>
      <c r="C7" s="684">
        <v>0.13800000000000001</v>
      </c>
      <c r="D7" s="1296">
        <v>1.6E-2</v>
      </c>
      <c r="E7" s="684">
        <v>0.15</v>
      </c>
      <c r="F7" s="684">
        <v>6.6000000000000003E-2</v>
      </c>
      <c r="G7" s="684">
        <v>7.5999999999999998E-2</v>
      </c>
      <c r="H7" s="684">
        <v>0.01</v>
      </c>
      <c r="I7" s="684">
        <v>8.4000000000000005E-2</v>
      </c>
      <c r="J7" s="1277">
        <v>0.03</v>
      </c>
      <c r="K7" s="1277">
        <v>0.04</v>
      </c>
      <c r="L7" s="1277">
        <v>0.01</v>
      </c>
      <c r="M7" s="684">
        <v>4.3999999999999997E-2</v>
      </c>
      <c r="O7" s="1273" t="s">
        <v>691</v>
      </c>
      <c r="P7" s="1275" t="str">
        <f>IF('Shoulder-Right'!T11="","",'Shoulder-Right'!T11)</f>
        <v/>
      </c>
      <c r="Q7" s="1275" t="str">
        <f t="shared" si="1"/>
        <v/>
      </c>
      <c r="R7" s="243">
        <f>IF(Q7="",0,VLOOKUP(Q7,$A$3:$N$183,6))</f>
        <v>0</v>
      </c>
      <c r="T7" s="1273" t="s">
        <v>1619</v>
      </c>
      <c r="U7" s="1275" t="str">
        <f>IF('Shoulder-Right'!V11="","",'Shoulder-Right'!V11)</f>
        <v/>
      </c>
      <c r="V7" s="1275" t="str">
        <f>IF(U7="","",ROUND(U7,0))</f>
        <v/>
      </c>
      <c r="W7" s="243">
        <f>IF(V7="",0,VLOOKUP(V7,$A$3:$N$183,6))</f>
        <v>0</v>
      </c>
      <c r="Y7" s="1273" t="s">
        <v>691</v>
      </c>
      <c r="Z7" s="1275" t="str">
        <f>IF('Shoulder-Left'!T11="","",'Shoulder-Left'!T11)</f>
        <v/>
      </c>
      <c r="AA7" s="1275" t="str">
        <f t="shared" si="0"/>
        <v/>
      </c>
      <c r="AB7" s="243">
        <f>IF(AA7="",0,VLOOKUP(AA7,$A$3:$N$183,6))</f>
        <v>0</v>
      </c>
      <c r="AC7" s="74"/>
      <c r="AD7" s="1273" t="s">
        <v>1619</v>
      </c>
      <c r="AE7" s="1275" t="str">
        <f>IF('Shoulder-Left'!V11="","",'Shoulder-Left'!V11)</f>
        <v/>
      </c>
      <c r="AF7" s="1275" t="str">
        <f>IF(AE7="","",ROUND(AE7,0))</f>
        <v/>
      </c>
      <c r="AG7" s="243">
        <f>IF(AF7="",0,VLOOKUP(AF7,$A$3:$N$183,6))</f>
        <v>0</v>
      </c>
    </row>
    <row r="8" spans="1:93" ht="15" customHeight="1" x14ac:dyDescent="0.2">
      <c r="A8" s="1265">
        <v>5</v>
      </c>
      <c r="B8" s="684">
        <v>0.115</v>
      </c>
      <c r="C8" s="684">
        <v>0.13500000000000001</v>
      </c>
      <c r="D8" s="684">
        <v>1.4999999999999999E-2</v>
      </c>
      <c r="E8" s="684">
        <v>0.15</v>
      </c>
      <c r="F8" s="684">
        <v>6.5000000000000002E-2</v>
      </c>
      <c r="G8" s="684">
        <v>7.4999999999999997E-2</v>
      </c>
      <c r="H8" s="684">
        <v>0.01</v>
      </c>
      <c r="I8" s="684">
        <v>8.5000000000000006E-2</v>
      </c>
      <c r="J8" s="1277">
        <v>0.03</v>
      </c>
      <c r="K8" s="1277">
        <v>0.04</v>
      </c>
      <c r="L8" s="1277">
        <v>0.01</v>
      </c>
      <c r="M8" s="684">
        <v>4.4999999999999998E-2</v>
      </c>
      <c r="O8" s="1273" t="s">
        <v>694</v>
      </c>
      <c r="P8" s="1275" t="str">
        <f>IF('Shoulder-Right'!T12="","",'Shoulder-Right'!T12)</f>
        <v/>
      </c>
      <c r="Q8" s="1275" t="str">
        <f t="shared" si="1"/>
        <v/>
      </c>
      <c r="R8" s="243">
        <f>IF(Q8="",0,VLOOKUP(Q8,$A$3:$N$183,7))</f>
        <v>0</v>
      </c>
      <c r="T8" s="1273"/>
      <c r="U8" s="1273"/>
      <c r="V8" s="1273"/>
      <c r="W8" s="1273"/>
      <c r="Y8" s="1273" t="s">
        <v>694</v>
      </c>
      <c r="Z8" s="1275" t="str">
        <f>IF('Shoulder-Left'!T12="","",'Shoulder-Left'!T12)</f>
        <v/>
      </c>
      <c r="AA8" s="1275" t="str">
        <f t="shared" si="0"/>
        <v/>
      </c>
      <c r="AB8" s="243">
        <f>IF(AA8="",0,VLOOKUP(AA8,$A$3:$N$183,7))</f>
        <v>0</v>
      </c>
      <c r="AC8" s="74"/>
      <c r="AD8" s="1273"/>
      <c r="AE8" s="1273"/>
      <c r="AF8" s="1273"/>
      <c r="AG8" s="1273"/>
    </row>
    <row r="9" spans="1:93" ht="15" customHeight="1" x14ac:dyDescent="0.2">
      <c r="A9" s="1265">
        <v>6</v>
      </c>
      <c r="B9" s="684">
        <v>0.112</v>
      </c>
      <c r="C9" s="684">
        <v>0.13200000000000001</v>
      </c>
      <c r="D9" s="684">
        <v>1.4E-2</v>
      </c>
      <c r="E9" s="684">
        <v>0.15</v>
      </c>
      <c r="F9" s="684">
        <v>6.4000000000000001E-2</v>
      </c>
      <c r="G9" s="684">
        <v>7.3999999999999996E-2</v>
      </c>
      <c r="H9" s="684">
        <v>0.01</v>
      </c>
      <c r="I9" s="1296">
        <v>8.5999999999999993E-2</v>
      </c>
      <c r="J9" s="1277">
        <v>0.03</v>
      </c>
      <c r="K9" s="1277">
        <v>0.04</v>
      </c>
      <c r="L9" s="1277">
        <v>0.01</v>
      </c>
      <c r="M9" s="1296">
        <v>4.5999999999999999E-2</v>
      </c>
      <c r="O9" s="1273" t="s">
        <v>695</v>
      </c>
      <c r="P9" s="1275" t="str">
        <f>IF('Shoulder-Right'!T13="","",'Shoulder-Right'!T13)</f>
        <v/>
      </c>
      <c r="Q9" s="1275" t="str">
        <f t="shared" si="1"/>
        <v/>
      </c>
      <c r="R9" s="243">
        <f>IF(Q9="",0,VLOOKUP(Q9,$A$3:$N$183,8))</f>
        <v>0</v>
      </c>
      <c r="T9" s="1273" t="s">
        <v>1597</v>
      </c>
      <c r="U9" s="1275" t="str">
        <f>IF('Shoulder-Right'!V13="","",'Shoulder-Right'!V13)</f>
        <v/>
      </c>
      <c r="V9" s="1275" t="str">
        <f>IF(U9="","",ROUND(U9,0))</f>
        <v/>
      </c>
      <c r="W9" s="243">
        <f>IF(V9="",0,VLOOKUP(V9,$A$3:$N$183,8))</f>
        <v>0</v>
      </c>
      <c r="Y9" s="1273" t="s">
        <v>695</v>
      </c>
      <c r="Z9" s="1275" t="str">
        <f>IF('Shoulder-Left'!T13="","",'Shoulder-Left'!T13)</f>
        <v/>
      </c>
      <c r="AA9" s="1275" t="str">
        <f t="shared" si="0"/>
        <v/>
      </c>
      <c r="AB9" s="243">
        <f>IF(AA9="",0,VLOOKUP(AA9,$A$3:$N$183,8))</f>
        <v>0</v>
      </c>
      <c r="AC9" s="74"/>
      <c r="AD9" s="1273" t="s">
        <v>1597</v>
      </c>
      <c r="AE9" s="1275" t="str">
        <f>IF('Shoulder-Left'!V13="","",'Shoulder-Left'!V13)</f>
        <v/>
      </c>
      <c r="AF9" s="1275" t="str">
        <f>IF(AE9="","",ROUND(AE9,0))</f>
        <v/>
      </c>
      <c r="AG9" s="243">
        <f>IF(AF9="",0,VLOOKUP(AF9,$A$3:$N$183,8))</f>
        <v>0</v>
      </c>
    </row>
    <row r="10" spans="1:93" ht="15" customHeight="1" x14ac:dyDescent="0.2">
      <c r="A10" s="1265">
        <v>7</v>
      </c>
      <c r="B10" s="684">
        <v>0.109</v>
      </c>
      <c r="C10" s="684">
        <v>0.129</v>
      </c>
      <c r="D10" s="684">
        <v>1.2999999999999999E-2</v>
      </c>
      <c r="E10" s="684">
        <v>0.15</v>
      </c>
      <c r="F10" s="684">
        <v>6.3E-2</v>
      </c>
      <c r="G10" s="684">
        <v>7.2999999999999995E-2</v>
      </c>
      <c r="H10" s="684">
        <v>0.01</v>
      </c>
      <c r="I10" s="684">
        <v>8.6999999999999994E-2</v>
      </c>
      <c r="J10" s="1277">
        <v>0.03</v>
      </c>
      <c r="K10" s="1277">
        <v>0.04</v>
      </c>
      <c r="L10" s="1277">
        <v>0.01</v>
      </c>
      <c r="M10" s="684">
        <v>4.7E-2</v>
      </c>
      <c r="O10" s="1273" t="s">
        <v>697</v>
      </c>
      <c r="P10" s="1275" t="str">
        <f>IF('Shoulder-Right'!T14="","",'Shoulder-Right'!T14)</f>
        <v/>
      </c>
      <c r="Q10" s="1275" t="str">
        <f t="shared" si="1"/>
        <v/>
      </c>
      <c r="R10" s="243">
        <f>IF(Q10="",0,VLOOKUP(Q10,$A$3:$N$183,9))</f>
        <v>0</v>
      </c>
      <c r="T10" s="1273"/>
      <c r="U10" s="1273"/>
      <c r="V10" s="1273"/>
      <c r="W10" s="1273"/>
      <c r="Y10" s="1273" t="s">
        <v>697</v>
      </c>
      <c r="Z10" s="1275" t="str">
        <f>IF('Shoulder-Left'!T14="","",'Shoulder-Left'!T14)</f>
        <v/>
      </c>
      <c r="AA10" s="1275" t="str">
        <f t="shared" si="0"/>
        <v/>
      </c>
      <c r="AB10" s="243">
        <f>IF(AA10="",0,VLOOKUP(AA10,$A$3:$N$183,9))</f>
        <v>0</v>
      </c>
      <c r="AC10" s="74"/>
      <c r="AD10" s="1273"/>
      <c r="AE10" s="1273"/>
      <c r="AF10" s="1273"/>
      <c r="AG10" s="1273"/>
    </row>
    <row r="11" spans="1:93" ht="15" customHeight="1" x14ac:dyDescent="0.2">
      <c r="A11" s="1265">
        <v>8</v>
      </c>
      <c r="B11" s="684">
        <v>0.106</v>
      </c>
      <c r="C11" s="684">
        <v>0.126</v>
      </c>
      <c r="D11" s="684">
        <v>1.2E-2</v>
      </c>
      <c r="E11" s="684">
        <v>0.15</v>
      </c>
      <c r="F11" s="684">
        <v>6.2E-2</v>
      </c>
      <c r="G11" s="684">
        <v>7.1999999999999995E-2</v>
      </c>
      <c r="H11" s="684">
        <v>0.01</v>
      </c>
      <c r="I11" s="684">
        <v>8.7999999999999995E-2</v>
      </c>
      <c r="J11" s="1277">
        <v>0.03</v>
      </c>
      <c r="K11" s="1277">
        <v>0.04</v>
      </c>
      <c r="L11" s="1277">
        <v>0.01</v>
      </c>
      <c r="M11" s="684">
        <v>4.8000000000000001E-2</v>
      </c>
      <c r="O11" s="1273" t="s">
        <v>699</v>
      </c>
      <c r="P11" s="1275" t="str">
        <f>IF('Shoulder-Right'!T15="","",'Shoulder-Right'!T15)</f>
        <v/>
      </c>
      <c r="Q11" s="1275" t="str">
        <f t="shared" si="1"/>
        <v/>
      </c>
      <c r="R11" s="243">
        <f>IF(Q11="",0,VLOOKUP(Q11,$A$3:$N$183,10))</f>
        <v>0</v>
      </c>
      <c r="T11" s="1273" t="s">
        <v>1597</v>
      </c>
      <c r="U11" s="1275" t="str">
        <f>IF('Shoulder-Right'!V15="","",'Shoulder-Right'!V15)</f>
        <v/>
      </c>
      <c r="V11" s="1275" t="str">
        <f>IF(U11="","",ROUND(U11,0))</f>
        <v/>
      </c>
      <c r="W11" s="243">
        <f>IF(V11="",0,VLOOKUP(V11,$A$3:$N$183,10))</f>
        <v>0</v>
      </c>
      <c r="Y11" s="1273" t="s">
        <v>699</v>
      </c>
      <c r="Z11" s="1275" t="str">
        <f>IF('Shoulder-Left'!T15="","",'Shoulder-Left'!T15)</f>
        <v/>
      </c>
      <c r="AA11" s="1275" t="str">
        <f t="shared" si="0"/>
        <v/>
      </c>
      <c r="AB11" s="243">
        <f>IF(AA11="",0,VLOOKUP(AA11,$A$3:$N$183,10))</f>
        <v>0</v>
      </c>
      <c r="AC11" s="74"/>
      <c r="AD11" s="1273" t="s">
        <v>1597</v>
      </c>
      <c r="AE11" s="1275" t="str">
        <f>IF('Shoulder-Left'!V15="","",'Shoulder-Left'!V15)</f>
        <v/>
      </c>
      <c r="AF11" s="1275" t="str">
        <f>IF(AE11="","",ROUND(AE11,0))</f>
        <v/>
      </c>
      <c r="AG11" s="243">
        <f>IF(AF11="",0,VLOOKUP(AF11,$A$3:$N$183,10))</f>
        <v>0</v>
      </c>
    </row>
    <row r="12" spans="1:93" ht="15" customHeight="1" x14ac:dyDescent="0.2">
      <c r="A12" s="1265">
        <v>9</v>
      </c>
      <c r="B12" s="684">
        <v>0.10299999999999999</v>
      </c>
      <c r="C12" s="684">
        <v>0.123</v>
      </c>
      <c r="D12" s="684">
        <v>1.0999999999999999E-2</v>
      </c>
      <c r="E12" s="684">
        <v>0.15</v>
      </c>
      <c r="F12" s="684">
        <v>6.0999999999999999E-2</v>
      </c>
      <c r="G12" s="684">
        <v>7.0999999999999994E-2</v>
      </c>
      <c r="H12" s="684">
        <v>0.01</v>
      </c>
      <c r="I12" s="684">
        <v>8.8999999999999996E-2</v>
      </c>
      <c r="J12" s="1277">
        <v>0.03</v>
      </c>
      <c r="K12" s="1277">
        <v>0.04</v>
      </c>
      <c r="L12" s="1277">
        <v>0.01</v>
      </c>
      <c r="M12" s="684">
        <v>4.9000000000000002E-2</v>
      </c>
      <c r="O12" s="1273" t="s">
        <v>1965</v>
      </c>
      <c r="P12" s="1275" t="str">
        <f>IF('Shoulder-Right'!T16="","",'Shoulder-Right'!T16)</f>
        <v/>
      </c>
      <c r="Q12" s="1275" t="str">
        <f t="shared" si="1"/>
        <v/>
      </c>
      <c r="R12" s="243">
        <f>IF(Q12="",0,VLOOKUP(Q12,$A$3:$N$183,11))</f>
        <v>0</v>
      </c>
      <c r="T12" s="1273"/>
      <c r="U12" s="1273"/>
      <c r="V12" s="1273"/>
      <c r="W12" s="1273"/>
      <c r="Y12" s="1273" t="s">
        <v>1965</v>
      </c>
      <c r="Z12" s="1275" t="str">
        <f>IF('Shoulder-Left'!T16="","",'Shoulder-Left'!T16)</f>
        <v/>
      </c>
      <c r="AA12" s="1275" t="str">
        <f t="shared" si="0"/>
        <v/>
      </c>
      <c r="AB12" s="243">
        <f>IF(AA12="",0,VLOOKUP(AA12,$A$3:$N$183,11))</f>
        <v>0</v>
      </c>
      <c r="AC12" s="74"/>
      <c r="AD12" s="1273"/>
      <c r="AE12" s="1273"/>
      <c r="AF12" s="1273"/>
      <c r="AG12" s="1273"/>
    </row>
    <row r="13" spans="1:93" ht="15" customHeight="1" x14ac:dyDescent="0.2">
      <c r="A13" s="1265">
        <v>10</v>
      </c>
      <c r="B13" s="684">
        <v>0.1</v>
      </c>
      <c r="C13" s="684">
        <v>0.12</v>
      </c>
      <c r="D13" s="684">
        <v>0.01</v>
      </c>
      <c r="E13" s="684">
        <v>0.15</v>
      </c>
      <c r="F13" s="684">
        <v>0.06</v>
      </c>
      <c r="G13" s="684">
        <v>7.0000000000000007E-2</v>
      </c>
      <c r="H13" s="684">
        <v>0.01</v>
      </c>
      <c r="I13" s="684">
        <v>0.09</v>
      </c>
      <c r="J13" s="1277">
        <v>0.03</v>
      </c>
      <c r="K13" s="1277">
        <v>0.04</v>
      </c>
      <c r="L13" s="1277">
        <v>0.01</v>
      </c>
      <c r="M13" s="684">
        <v>0.05</v>
      </c>
      <c r="O13" s="1273" t="s">
        <v>592</v>
      </c>
      <c r="P13" s="1275" t="str">
        <f>IF('Shoulder-Right'!T17="","",'Shoulder-Right'!T17)</f>
        <v/>
      </c>
      <c r="Q13" s="1275" t="str">
        <f t="shared" si="1"/>
        <v/>
      </c>
      <c r="R13" s="243">
        <f>IF(Q13="",0,VLOOKUP(Q13,$A$3:$N$183,12))</f>
        <v>0</v>
      </c>
      <c r="T13" s="1273" t="s">
        <v>1597</v>
      </c>
      <c r="U13" s="1275" t="str">
        <f>IF('Shoulder-Right'!V17="","",'Shoulder-Right'!V17)</f>
        <v/>
      </c>
      <c r="V13" s="1275" t="str">
        <f>IF(U13="","",ROUND(U13,0))</f>
        <v/>
      </c>
      <c r="W13" s="243">
        <f>IF(V13="",0,VLOOKUP(V13,$A$3:$N$183,12))</f>
        <v>0</v>
      </c>
      <c r="Y13" s="1273" t="s">
        <v>592</v>
      </c>
      <c r="Z13" s="1275" t="str">
        <f>IF('Shoulder-Left'!T17="","",'Shoulder-Left'!T17)</f>
        <v/>
      </c>
      <c r="AA13" s="1275" t="str">
        <f t="shared" si="0"/>
        <v/>
      </c>
      <c r="AB13" s="243">
        <f>IF(AA13="",0,VLOOKUP(AA13,$A$3:$N$183,12))</f>
        <v>0</v>
      </c>
      <c r="AC13" s="74"/>
      <c r="AD13" s="1273" t="s">
        <v>1597</v>
      </c>
      <c r="AE13" s="1275" t="str">
        <f>IF('Shoulder-Left'!V17="","",'Shoulder-Left'!V17)</f>
        <v/>
      </c>
      <c r="AF13" s="1275" t="str">
        <f>IF(AE13="","",ROUND(AE13,0))</f>
        <v/>
      </c>
      <c r="AG13" s="243">
        <f>IF(AF13="",0,VLOOKUP(AF13,$A$3:$N$183,12))</f>
        <v>0</v>
      </c>
    </row>
    <row r="14" spans="1:93" ht="15" customHeight="1" x14ac:dyDescent="0.2">
      <c r="A14" s="1265">
        <v>11</v>
      </c>
      <c r="B14" s="684">
        <v>9.7000000000000003E-2</v>
      </c>
      <c r="C14" s="684">
        <v>0.11700000000000001</v>
      </c>
      <c r="D14" s="684">
        <v>0.01</v>
      </c>
      <c r="E14" s="684">
        <v>0.151</v>
      </c>
      <c r="F14" s="684">
        <v>5.8000000000000003E-2</v>
      </c>
      <c r="G14" s="684">
        <v>6.8000000000000005E-2</v>
      </c>
      <c r="H14" s="684">
        <v>0.01</v>
      </c>
      <c r="I14" s="684">
        <v>9.0999999999999998E-2</v>
      </c>
      <c r="J14" s="1277">
        <v>0.03</v>
      </c>
      <c r="K14" s="1277">
        <v>0.04</v>
      </c>
      <c r="L14" s="1277">
        <v>0.01</v>
      </c>
      <c r="M14" s="684">
        <v>0.05</v>
      </c>
      <c r="O14" s="1273" t="s">
        <v>1618</v>
      </c>
      <c r="P14" s="1275" t="str">
        <f>IF('Shoulder-Right'!T18="","",'Shoulder-Right'!T18)</f>
        <v/>
      </c>
      <c r="Q14" s="1275" t="str">
        <f t="shared" si="1"/>
        <v/>
      </c>
      <c r="R14" s="243">
        <f>IF(Q14="",0,VLOOKUP(Q14,$A$3:$N$183,13))</f>
        <v>0</v>
      </c>
      <c r="T14" s="1273"/>
      <c r="U14" s="1273"/>
      <c r="V14" s="1273"/>
      <c r="W14" s="1273"/>
      <c r="Y14" s="1273" t="s">
        <v>1618</v>
      </c>
      <c r="Z14" s="1275" t="str">
        <f>IF('Shoulder-Left'!T18="","",'Shoulder-Left'!T18)</f>
        <v/>
      </c>
      <c r="AA14" s="1275" t="str">
        <f t="shared" si="0"/>
        <v/>
      </c>
      <c r="AB14" s="243">
        <f>IF(AA14="",0,VLOOKUP(AA14,$A$3:$N$183,13))</f>
        <v>0</v>
      </c>
      <c r="AC14" s="74"/>
      <c r="AD14" s="1273"/>
      <c r="AE14" s="1273"/>
      <c r="AF14" s="1273"/>
      <c r="AG14" s="1273"/>
    </row>
    <row r="15" spans="1:93" ht="15" customHeight="1" x14ac:dyDescent="0.2">
      <c r="A15" s="1265">
        <v>12</v>
      </c>
      <c r="B15" s="684">
        <v>9.4E-2</v>
      </c>
      <c r="C15" s="684">
        <v>0.114</v>
      </c>
      <c r="D15" s="684">
        <v>0.01</v>
      </c>
      <c r="E15" s="684">
        <v>0.152</v>
      </c>
      <c r="F15" s="1296">
        <v>5.6000000000000001E-2</v>
      </c>
      <c r="G15" s="684">
        <v>6.6000000000000003E-2</v>
      </c>
      <c r="H15" s="684">
        <v>0.01</v>
      </c>
      <c r="I15" s="684">
        <v>9.1999999999999998E-2</v>
      </c>
      <c r="J15" s="1277">
        <v>0.03</v>
      </c>
      <c r="K15" s="1277">
        <v>0.04</v>
      </c>
      <c r="L15" s="1277">
        <v>0.01</v>
      </c>
      <c r="M15" s="684">
        <v>0.05</v>
      </c>
    </row>
    <row r="16" spans="1:93" ht="15" customHeight="1" x14ac:dyDescent="0.2">
      <c r="A16" s="1265">
        <v>13</v>
      </c>
      <c r="B16" s="684">
        <v>9.0999999999999998E-2</v>
      </c>
      <c r="C16" s="684">
        <v>0.111</v>
      </c>
      <c r="D16" s="684">
        <v>0.01</v>
      </c>
      <c r="E16" s="684">
        <v>0.153</v>
      </c>
      <c r="F16" s="684">
        <v>5.3999999999999999E-2</v>
      </c>
      <c r="G16" s="684">
        <v>6.4000000000000001E-2</v>
      </c>
      <c r="H16" s="684">
        <v>0.01</v>
      </c>
      <c r="I16" s="684">
        <v>9.2999999999999999E-2</v>
      </c>
      <c r="J16" s="1277">
        <v>0.03</v>
      </c>
      <c r="K16" s="1277">
        <v>0.04</v>
      </c>
      <c r="L16" s="1277">
        <v>0.01</v>
      </c>
      <c r="M16" s="684">
        <v>0.05</v>
      </c>
    </row>
    <row r="17" spans="1:23" ht="15" customHeight="1" x14ac:dyDescent="0.2">
      <c r="A17" s="1265">
        <v>14</v>
      </c>
      <c r="B17" s="684">
        <v>8.7999999999999995E-2</v>
      </c>
      <c r="C17" s="684">
        <v>0.108</v>
      </c>
      <c r="D17" s="684">
        <v>0.01</v>
      </c>
      <c r="E17" s="684">
        <v>0.154</v>
      </c>
      <c r="F17" s="684">
        <v>5.1999999999999998E-2</v>
      </c>
      <c r="G17" s="684">
        <v>6.2E-2</v>
      </c>
      <c r="H17" s="684">
        <v>0.01</v>
      </c>
      <c r="I17" s="684">
        <v>9.4E-2</v>
      </c>
      <c r="J17" s="1277">
        <v>0.03</v>
      </c>
      <c r="K17" s="1277">
        <v>0.04</v>
      </c>
      <c r="L17" s="1277">
        <v>0.01</v>
      </c>
      <c r="M17" s="684">
        <v>0.05</v>
      </c>
    </row>
    <row r="18" spans="1:23" ht="15" customHeight="1" x14ac:dyDescent="0.2">
      <c r="A18" s="1265">
        <v>15</v>
      </c>
      <c r="B18" s="684">
        <v>8.5000000000000006E-2</v>
      </c>
      <c r="C18" s="684">
        <v>0.105</v>
      </c>
      <c r="D18" s="684">
        <v>0.01</v>
      </c>
      <c r="E18" s="684">
        <v>0.155</v>
      </c>
      <c r="F18" s="684">
        <v>0.05</v>
      </c>
      <c r="G18" s="684">
        <v>0.06</v>
      </c>
      <c r="H18" s="684">
        <v>0.01</v>
      </c>
      <c r="I18" s="684">
        <v>9.5000000000000001E-2</v>
      </c>
      <c r="J18" s="1277">
        <v>0.03</v>
      </c>
      <c r="K18" s="1277">
        <v>0.04</v>
      </c>
      <c r="L18" s="1277">
        <v>0.01</v>
      </c>
      <c r="M18" s="684">
        <v>0.05</v>
      </c>
    </row>
    <row r="19" spans="1:23" ht="15" customHeight="1" x14ac:dyDescent="0.2">
      <c r="A19" s="1265">
        <v>16</v>
      </c>
      <c r="B19" s="684">
        <v>8.2000000000000003E-2</v>
      </c>
      <c r="C19" s="684">
        <v>0.10199999999999999</v>
      </c>
      <c r="D19" s="684">
        <v>0.01</v>
      </c>
      <c r="E19" s="684">
        <v>0.156</v>
      </c>
      <c r="F19" s="684">
        <v>4.8000000000000001E-2</v>
      </c>
      <c r="G19" s="1296">
        <v>5.8000000000000003E-2</v>
      </c>
      <c r="H19" s="684">
        <v>0.01</v>
      </c>
      <c r="I19" s="1296">
        <v>9.6000000000000002E-2</v>
      </c>
      <c r="J19" s="1277">
        <v>0.03</v>
      </c>
      <c r="K19" s="1277">
        <v>0.04</v>
      </c>
      <c r="L19" s="1277">
        <v>0.01</v>
      </c>
      <c r="M19" s="684">
        <v>0.05</v>
      </c>
    </row>
    <row r="20" spans="1:23" ht="15" customHeight="1" x14ac:dyDescent="0.2">
      <c r="A20" s="1265">
        <v>17</v>
      </c>
      <c r="B20" s="684">
        <v>7.9000000000000001E-2</v>
      </c>
      <c r="C20" s="684">
        <v>9.9000000000000005E-2</v>
      </c>
      <c r="D20" s="684">
        <v>0.01</v>
      </c>
      <c r="E20" s="684">
        <v>0.157</v>
      </c>
      <c r="F20" s="684">
        <v>4.5999999999999999E-2</v>
      </c>
      <c r="G20" s="684">
        <v>5.6000000000000001E-2</v>
      </c>
      <c r="H20" s="684">
        <v>0.01</v>
      </c>
      <c r="I20" s="1261">
        <v>9.7000000000000003E-2</v>
      </c>
      <c r="J20" s="1277">
        <v>0.03</v>
      </c>
      <c r="K20" s="1277">
        <v>0.04</v>
      </c>
      <c r="L20" s="1277">
        <v>0.01</v>
      </c>
      <c r="M20" s="684">
        <v>0.05</v>
      </c>
    </row>
    <row r="21" spans="1:23" ht="15.75" customHeight="1" x14ac:dyDescent="0.2">
      <c r="A21" s="1265">
        <v>18</v>
      </c>
      <c r="B21" s="684">
        <v>7.5999999999999998E-2</v>
      </c>
      <c r="C21" s="1296">
        <v>9.6000000000000002E-2</v>
      </c>
      <c r="D21" s="684">
        <v>0.01</v>
      </c>
      <c r="E21" s="684">
        <v>0.158</v>
      </c>
      <c r="F21" s="684">
        <v>4.3999999999999997E-2</v>
      </c>
      <c r="G21" s="684">
        <v>5.3999999999999999E-2</v>
      </c>
      <c r="H21" s="684">
        <v>0.01</v>
      </c>
      <c r="I21" s="684">
        <v>9.8000000000000004E-2</v>
      </c>
      <c r="J21" s="1277">
        <v>0.03</v>
      </c>
      <c r="K21" s="1277">
        <v>0.04</v>
      </c>
      <c r="L21" s="1277">
        <v>0.01</v>
      </c>
      <c r="M21" s="684">
        <v>0.05</v>
      </c>
    </row>
    <row r="22" spans="1:23" ht="15" customHeight="1" x14ac:dyDescent="0.2">
      <c r="A22" s="1265">
        <v>19</v>
      </c>
      <c r="B22" s="684">
        <v>7.2999999999999995E-2</v>
      </c>
      <c r="C22" s="684">
        <v>9.2999999999999999E-2</v>
      </c>
      <c r="D22" s="684">
        <v>0.01</v>
      </c>
      <c r="E22" s="684">
        <v>0.159</v>
      </c>
      <c r="F22" s="684">
        <v>4.2000000000000003E-2</v>
      </c>
      <c r="G22" s="684">
        <v>5.1999999999999998E-2</v>
      </c>
      <c r="H22" s="684">
        <v>0.01</v>
      </c>
      <c r="I22" s="684">
        <v>9.9000000000000005E-2</v>
      </c>
      <c r="J22" s="1277">
        <v>0.03</v>
      </c>
      <c r="K22" s="1277">
        <v>0.04</v>
      </c>
      <c r="L22" s="1277">
        <v>0.01</v>
      </c>
      <c r="M22" s="684">
        <v>0.05</v>
      </c>
    </row>
    <row r="23" spans="1:23" ht="15" customHeight="1" x14ac:dyDescent="0.2">
      <c r="A23" s="1265">
        <v>20</v>
      </c>
      <c r="B23" s="684">
        <v>7.0000000000000007E-2</v>
      </c>
      <c r="C23" s="684">
        <v>0.09</v>
      </c>
      <c r="D23" s="684">
        <v>0.01</v>
      </c>
      <c r="E23" s="684">
        <v>0.16</v>
      </c>
      <c r="F23" s="684">
        <v>0.04</v>
      </c>
      <c r="G23" s="684">
        <v>0.05</v>
      </c>
      <c r="H23" s="684">
        <v>0.01</v>
      </c>
      <c r="I23" s="684">
        <v>0.1</v>
      </c>
      <c r="J23" s="1277">
        <v>0.03</v>
      </c>
      <c r="K23" s="1277">
        <v>0.04</v>
      </c>
      <c r="L23" s="1277">
        <v>0.01</v>
      </c>
      <c r="M23" s="684">
        <v>0.05</v>
      </c>
    </row>
    <row r="24" spans="1:23" ht="15" customHeight="1" x14ac:dyDescent="0.2">
      <c r="A24" s="1265">
        <v>21</v>
      </c>
      <c r="B24" s="684">
        <v>6.9000000000000006E-2</v>
      </c>
      <c r="C24" s="684">
        <v>0.09</v>
      </c>
      <c r="D24" s="684">
        <v>0.01</v>
      </c>
      <c r="E24" s="684">
        <v>0.16</v>
      </c>
      <c r="F24" s="684">
        <v>0.04</v>
      </c>
      <c r="G24" s="684">
        <v>0.05</v>
      </c>
      <c r="H24" s="684">
        <v>0.01</v>
      </c>
      <c r="I24" s="684">
        <v>0.1</v>
      </c>
      <c r="J24" s="1277">
        <v>2.9000000000000001E-2</v>
      </c>
      <c r="K24" s="1277">
        <v>0.04</v>
      </c>
      <c r="L24" s="1277">
        <v>0.01</v>
      </c>
      <c r="M24" s="684">
        <v>0.05</v>
      </c>
    </row>
    <row r="25" spans="1:23" ht="15" customHeight="1" x14ac:dyDescent="0.2">
      <c r="A25" s="1265">
        <v>22</v>
      </c>
      <c r="B25" s="684">
        <v>6.8000000000000005E-2</v>
      </c>
      <c r="C25" s="684">
        <v>0.09</v>
      </c>
      <c r="D25" s="684">
        <v>0.01</v>
      </c>
      <c r="E25" s="684">
        <v>0.16</v>
      </c>
      <c r="F25" s="684">
        <v>0.04</v>
      </c>
      <c r="G25" s="684">
        <v>0.05</v>
      </c>
      <c r="H25" s="684">
        <v>0.01</v>
      </c>
      <c r="I25" s="684">
        <v>0.1</v>
      </c>
      <c r="J25" s="1277">
        <v>2.8000000000000001E-2</v>
      </c>
      <c r="K25" s="1277">
        <v>0.04</v>
      </c>
      <c r="L25" s="1277">
        <v>0.01</v>
      </c>
      <c r="M25" s="684">
        <v>0.05</v>
      </c>
    </row>
    <row r="26" spans="1:23" ht="15" customHeight="1" x14ac:dyDescent="0.2">
      <c r="A26" s="1265">
        <v>23</v>
      </c>
      <c r="B26" s="1296">
        <v>6.7000000000000004E-2</v>
      </c>
      <c r="C26" s="684">
        <v>0.09</v>
      </c>
      <c r="D26" s="684">
        <v>0.01</v>
      </c>
      <c r="E26" s="684">
        <v>0.16</v>
      </c>
      <c r="F26" s="684">
        <v>0.04</v>
      </c>
      <c r="G26" s="684">
        <v>0.05</v>
      </c>
      <c r="H26" s="684">
        <v>0.01</v>
      </c>
      <c r="I26" s="684">
        <v>0.1</v>
      </c>
      <c r="J26" s="1277">
        <v>2.7E-2</v>
      </c>
      <c r="K26" s="1277">
        <v>0.04</v>
      </c>
      <c r="L26" s="1277">
        <v>0.01</v>
      </c>
      <c r="M26" s="684">
        <v>0.05</v>
      </c>
    </row>
    <row r="27" spans="1:23" ht="15" customHeight="1" x14ac:dyDescent="0.2">
      <c r="A27" s="1265">
        <v>24</v>
      </c>
      <c r="B27" s="684">
        <v>6.6000000000000003E-2</v>
      </c>
      <c r="C27" s="684">
        <v>0.09</v>
      </c>
      <c r="D27" s="684">
        <v>0.01</v>
      </c>
      <c r="E27" s="684">
        <v>0.16</v>
      </c>
      <c r="F27" s="684">
        <v>0.04</v>
      </c>
      <c r="G27" s="684">
        <v>0.05</v>
      </c>
      <c r="H27" s="684">
        <v>0.01</v>
      </c>
      <c r="I27" s="684">
        <v>0.1</v>
      </c>
      <c r="J27" s="1277">
        <v>2.5999999999999999E-2</v>
      </c>
      <c r="K27" s="1277">
        <v>0.04</v>
      </c>
      <c r="L27" s="1277">
        <v>0.01</v>
      </c>
      <c r="M27" s="684">
        <v>0.05</v>
      </c>
    </row>
    <row r="28" spans="1:23" ht="15" customHeight="1" x14ac:dyDescent="0.2">
      <c r="A28" s="1265">
        <v>25</v>
      </c>
      <c r="B28" s="684">
        <v>6.5000000000000002E-2</v>
      </c>
      <c r="C28" s="684">
        <v>0.09</v>
      </c>
      <c r="D28" s="684">
        <v>0.01</v>
      </c>
      <c r="E28" s="684">
        <v>0.16</v>
      </c>
      <c r="F28" s="684">
        <v>0.04</v>
      </c>
      <c r="G28" s="684">
        <v>0.05</v>
      </c>
      <c r="H28" s="684">
        <v>0.01</v>
      </c>
      <c r="I28" s="684">
        <v>0.1</v>
      </c>
      <c r="J28" s="1277">
        <v>2.5000000000000001E-2</v>
      </c>
      <c r="K28" s="1277">
        <v>0.04</v>
      </c>
      <c r="L28" s="1277">
        <v>0.01</v>
      </c>
      <c r="M28" s="684">
        <v>0.05</v>
      </c>
    </row>
    <row r="29" spans="1:23" ht="15" customHeight="1" x14ac:dyDescent="0.2">
      <c r="A29" s="1265">
        <v>26</v>
      </c>
      <c r="B29" s="684">
        <v>6.4000000000000001E-2</v>
      </c>
      <c r="C29" s="684">
        <v>0.09</v>
      </c>
      <c r="D29" s="684">
        <v>0.01</v>
      </c>
      <c r="E29" s="684">
        <v>0.16</v>
      </c>
      <c r="F29" s="684">
        <v>0.04</v>
      </c>
      <c r="G29" s="684">
        <v>0.05</v>
      </c>
      <c r="H29" s="684">
        <v>0.01</v>
      </c>
      <c r="I29" s="684">
        <v>0.1</v>
      </c>
      <c r="J29" s="1277">
        <v>2.4E-2</v>
      </c>
      <c r="K29" s="1277">
        <v>0.04</v>
      </c>
      <c r="L29" s="1277">
        <v>0.01</v>
      </c>
      <c r="M29" s="684">
        <v>0.05</v>
      </c>
      <c r="R29" s="113"/>
      <c r="U29" s="74"/>
      <c r="V29" s="74"/>
      <c r="W29" s="113"/>
    </row>
    <row r="30" spans="1:23" ht="15" customHeight="1" x14ac:dyDescent="0.2">
      <c r="A30" s="1265">
        <v>27</v>
      </c>
      <c r="B30" s="684">
        <v>6.3E-2</v>
      </c>
      <c r="C30" s="684">
        <v>0.09</v>
      </c>
      <c r="D30" s="684">
        <v>0.01</v>
      </c>
      <c r="E30" s="684">
        <v>0.16</v>
      </c>
      <c r="F30" s="684">
        <v>0.04</v>
      </c>
      <c r="G30" s="684">
        <v>0.05</v>
      </c>
      <c r="H30" s="684">
        <v>0.01</v>
      </c>
      <c r="I30" s="684">
        <v>0.1</v>
      </c>
      <c r="J30" s="1277">
        <v>2.3E-2</v>
      </c>
      <c r="K30" s="1277">
        <v>0.04</v>
      </c>
      <c r="L30" s="1277">
        <v>0.01</v>
      </c>
      <c r="M30" s="684">
        <v>0.05</v>
      </c>
      <c r="R30" s="113"/>
      <c r="U30" s="74"/>
      <c r="V30" s="74"/>
      <c r="W30" s="113"/>
    </row>
    <row r="31" spans="1:23" ht="15" customHeight="1" x14ac:dyDescent="0.2">
      <c r="A31" s="1265">
        <v>28</v>
      </c>
      <c r="B31" s="684">
        <v>6.2E-2</v>
      </c>
      <c r="C31" s="684">
        <v>0.09</v>
      </c>
      <c r="D31" s="684">
        <v>0.01</v>
      </c>
      <c r="E31" s="684">
        <v>0.16</v>
      </c>
      <c r="F31" s="684">
        <v>0.04</v>
      </c>
      <c r="G31" s="684">
        <v>0.05</v>
      </c>
      <c r="H31" s="684">
        <v>0.01</v>
      </c>
      <c r="I31" s="684">
        <v>0.1</v>
      </c>
      <c r="J31" s="1277">
        <v>2.1999999999999999E-2</v>
      </c>
      <c r="K31" s="1277">
        <v>0.04</v>
      </c>
      <c r="L31" s="1277">
        <v>0.01</v>
      </c>
      <c r="M31" s="684">
        <v>0.05</v>
      </c>
      <c r="R31" s="113"/>
    </row>
    <row r="32" spans="1:23" ht="15" customHeight="1" x14ac:dyDescent="0.2">
      <c r="A32" s="1265">
        <v>29</v>
      </c>
      <c r="B32" s="684">
        <v>6.0999999999999999E-2</v>
      </c>
      <c r="C32" s="684">
        <v>0.09</v>
      </c>
      <c r="D32" s="684">
        <v>0.01</v>
      </c>
      <c r="E32" s="684">
        <v>0.16</v>
      </c>
      <c r="F32" s="684">
        <v>0.04</v>
      </c>
      <c r="G32" s="684">
        <v>0.05</v>
      </c>
      <c r="H32" s="684">
        <v>0.01</v>
      </c>
      <c r="I32" s="684">
        <v>0.1</v>
      </c>
      <c r="J32" s="1277">
        <v>2.1000000000000001E-2</v>
      </c>
      <c r="K32" s="1277">
        <v>0.04</v>
      </c>
      <c r="L32" s="1277">
        <v>0.01</v>
      </c>
      <c r="M32" s="684">
        <v>0.05</v>
      </c>
    </row>
    <row r="33" spans="1:23" ht="15" customHeight="1" x14ac:dyDescent="0.2">
      <c r="A33" s="1265">
        <v>30</v>
      </c>
      <c r="B33" s="684">
        <v>0.06</v>
      </c>
      <c r="C33" s="684">
        <v>0.09</v>
      </c>
      <c r="D33" s="684">
        <v>0.01</v>
      </c>
      <c r="E33" s="684">
        <v>0.16</v>
      </c>
      <c r="F33" s="684">
        <v>0.04</v>
      </c>
      <c r="G33" s="684">
        <v>0.05</v>
      </c>
      <c r="H33" s="684">
        <v>0.01</v>
      </c>
      <c r="I33" s="684">
        <v>0.1</v>
      </c>
      <c r="J33" s="1277">
        <v>0.02</v>
      </c>
      <c r="K33" s="1277">
        <v>0.04</v>
      </c>
      <c r="L33" s="1277">
        <v>0.01</v>
      </c>
      <c r="M33" s="684">
        <v>0.05</v>
      </c>
      <c r="R33" s="113"/>
      <c r="U33" s="74"/>
      <c r="V33" s="74"/>
      <c r="W33" s="113"/>
    </row>
    <row r="34" spans="1:23" ht="15" customHeight="1" x14ac:dyDescent="0.2">
      <c r="A34" s="1265">
        <v>31</v>
      </c>
      <c r="B34" s="684">
        <v>0.06</v>
      </c>
      <c r="C34" s="684">
        <v>0.09</v>
      </c>
      <c r="D34" s="684">
        <v>0.01</v>
      </c>
      <c r="E34" s="684">
        <v>0.161</v>
      </c>
      <c r="F34" s="684">
        <v>0.04</v>
      </c>
      <c r="G34" s="684">
        <v>5.0999999999999997E-2</v>
      </c>
      <c r="H34" s="684">
        <v>8.9999999999999993E-3</v>
      </c>
      <c r="I34" s="684">
        <v>0.1</v>
      </c>
      <c r="J34" s="1277">
        <v>0.02</v>
      </c>
      <c r="K34" s="1277">
        <v>0.04</v>
      </c>
      <c r="L34" s="1277">
        <v>0.01</v>
      </c>
      <c r="M34" s="684">
        <v>5.0999999999999997E-2</v>
      </c>
      <c r="R34" s="113"/>
      <c r="U34" s="74"/>
      <c r="V34" s="74"/>
      <c r="W34" s="113"/>
    </row>
    <row r="35" spans="1:23" ht="15" customHeight="1" x14ac:dyDescent="0.2">
      <c r="A35" s="1265">
        <v>32</v>
      </c>
      <c r="B35" s="684">
        <v>0.06</v>
      </c>
      <c r="C35" s="684">
        <v>0.09</v>
      </c>
      <c r="D35" s="684">
        <v>0.01</v>
      </c>
      <c r="E35" s="684">
        <v>0.16200000000000001</v>
      </c>
      <c r="F35" s="684">
        <v>0.04</v>
      </c>
      <c r="G35" s="684">
        <v>5.1999999999999998E-2</v>
      </c>
      <c r="H35" s="684">
        <v>8.0000000000000002E-3</v>
      </c>
      <c r="I35" s="684">
        <v>0.1</v>
      </c>
      <c r="J35" s="1277">
        <v>0.02</v>
      </c>
      <c r="K35" s="1277">
        <v>0.04</v>
      </c>
      <c r="L35" s="1277">
        <v>0.01</v>
      </c>
      <c r="M35" s="684">
        <v>5.1999999999999998E-2</v>
      </c>
      <c r="R35" s="113"/>
    </row>
    <row r="36" spans="1:23" ht="15" customHeight="1" x14ac:dyDescent="0.2">
      <c r="A36" s="1265">
        <v>33</v>
      </c>
      <c r="B36" s="684">
        <v>0.06</v>
      </c>
      <c r="C36" s="684">
        <v>0.09</v>
      </c>
      <c r="D36" s="684">
        <v>0.01</v>
      </c>
      <c r="E36" s="684">
        <v>0.16300000000000001</v>
      </c>
      <c r="F36" s="684">
        <v>0.04</v>
      </c>
      <c r="G36" s="684">
        <v>5.2999999999999999E-2</v>
      </c>
      <c r="H36" s="684">
        <v>7.0000000000000001E-3</v>
      </c>
      <c r="I36" s="684">
        <v>0.1</v>
      </c>
      <c r="J36" s="1277">
        <v>0.02</v>
      </c>
      <c r="K36" s="1277">
        <v>0.04</v>
      </c>
      <c r="L36" s="1277">
        <v>0.01</v>
      </c>
      <c r="M36" s="684">
        <v>5.2999999999999999E-2</v>
      </c>
    </row>
    <row r="37" spans="1:23" ht="15" customHeight="1" x14ac:dyDescent="0.2">
      <c r="A37" s="1265">
        <v>34</v>
      </c>
      <c r="B37" s="684">
        <v>0.06</v>
      </c>
      <c r="C37" s="684">
        <v>0.09</v>
      </c>
      <c r="D37" s="684">
        <v>0.01</v>
      </c>
      <c r="E37" s="684">
        <v>0.16400000000000001</v>
      </c>
      <c r="F37" s="684">
        <v>0.04</v>
      </c>
      <c r="G37" s="684">
        <v>5.3999999999999999E-2</v>
      </c>
      <c r="H37" s="1296">
        <v>6.0000000000000001E-3</v>
      </c>
      <c r="I37" s="684">
        <v>0.1</v>
      </c>
      <c r="J37" s="1277">
        <v>0.02</v>
      </c>
      <c r="K37" s="1277">
        <v>0.04</v>
      </c>
      <c r="L37" s="1277">
        <v>0.01</v>
      </c>
      <c r="M37" s="684">
        <v>5.3999999999999999E-2</v>
      </c>
    </row>
    <row r="38" spans="1:23" ht="15" customHeight="1" x14ac:dyDescent="0.2">
      <c r="A38" s="1265">
        <v>35</v>
      </c>
      <c r="B38" s="684">
        <v>0.06</v>
      </c>
      <c r="C38" s="684">
        <v>0.09</v>
      </c>
      <c r="D38" s="684">
        <v>0.01</v>
      </c>
      <c r="E38" s="684">
        <v>0.16500000000000001</v>
      </c>
      <c r="F38" s="684">
        <v>0.04</v>
      </c>
      <c r="G38" s="684">
        <v>5.5E-2</v>
      </c>
      <c r="H38" s="684">
        <v>5.0000000000000001E-3</v>
      </c>
      <c r="I38" s="684">
        <v>0.1</v>
      </c>
      <c r="J38" s="1277">
        <v>0.02</v>
      </c>
      <c r="K38" s="1277">
        <v>0.04</v>
      </c>
      <c r="L38" s="1277">
        <v>0.01</v>
      </c>
      <c r="M38" s="684">
        <v>5.5E-2</v>
      </c>
      <c r="R38" s="113"/>
      <c r="U38" s="74"/>
      <c r="V38" s="74"/>
      <c r="W38" s="113"/>
    </row>
    <row r="39" spans="1:23" ht="15" customHeight="1" x14ac:dyDescent="0.2">
      <c r="A39" s="1265">
        <v>36</v>
      </c>
      <c r="B39" s="684">
        <v>0.06</v>
      </c>
      <c r="C39" s="684">
        <v>0.09</v>
      </c>
      <c r="D39" s="684">
        <v>0.01</v>
      </c>
      <c r="E39" s="684">
        <v>0.16600000000000001</v>
      </c>
      <c r="F39" s="684">
        <v>0.04</v>
      </c>
      <c r="G39" s="684">
        <v>5.6000000000000001E-2</v>
      </c>
      <c r="H39" s="684">
        <v>4.0000000000000001E-3</v>
      </c>
      <c r="I39" s="684">
        <v>0.1</v>
      </c>
      <c r="J39" s="1277">
        <v>0.02</v>
      </c>
      <c r="K39" s="1277">
        <v>0.04</v>
      </c>
      <c r="L39" s="1277">
        <v>0.01</v>
      </c>
      <c r="M39" s="684">
        <v>5.6000000000000001E-2</v>
      </c>
      <c r="R39" s="113"/>
      <c r="U39" s="74"/>
      <c r="V39" s="74"/>
      <c r="W39" s="113"/>
    </row>
    <row r="40" spans="1:23" ht="15" customHeight="1" x14ac:dyDescent="0.2">
      <c r="A40" s="1265">
        <v>37</v>
      </c>
      <c r="B40" s="684">
        <v>0.06</v>
      </c>
      <c r="C40" s="684">
        <v>0.09</v>
      </c>
      <c r="D40" s="684">
        <v>0.01</v>
      </c>
      <c r="E40" s="684">
        <v>0.16700000000000001</v>
      </c>
      <c r="F40" s="684">
        <v>0.04</v>
      </c>
      <c r="G40" s="684">
        <v>5.7000000000000002E-2</v>
      </c>
      <c r="H40" s="684">
        <v>3.0000000000000001E-3</v>
      </c>
      <c r="I40" s="684">
        <v>0.1</v>
      </c>
      <c r="J40" s="1277">
        <v>0.02</v>
      </c>
      <c r="K40" s="1277">
        <v>0.04</v>
      </c>
      <c r="L40" s="1277">
        <v>0.01</v>
      </c>
      <c r="M40" s="684">
        <v>5.7000000000000002E-2</v>
      </c>
      <c r="R40" s="113"/>
    </row>
    <row r="41" spans="1:23" ht="15" customHeight="1" x14ac:dyDescent="0.2">
      <c r="A41" s="1265">
        <v>38</v>
      </c>
      <c r="B41" s="684">
        <v>0.06</v>
      </c>
      <c r="C41" s="684">
        <v>0.09</v>
      </c>
      <c r="D41" s="684">
        <v>0.01</v>
      </c>
      <c r="E41" s="1296">
        <v>0.16800000000000001</v>
      </c>
      <c r="F41" s="684">
        <v>0.04</v>
      </c>
      <c r="G41" s="684">
        <v>5.8000000000000003E-2</v>
      </c>
      <c r="H41" s="684">
        <v>2E-3</v>
      </c>
      <c r="I41" s="684">
        <v>0.1</v>
      </c>
      <c r="J41" s="1277">
        <v>0.02</v>
      </c>
      <c r="K41" s="1277">
        <v>0.04</v>
      </c>
      <c r="L41" s="1277">
        <v>0.01</v>
      </c>
      <c r="M41" s="1296">
        <v>5.8000000000000003E-2</v>
      </c>
    </row>
    <row r="42" spans="1:23" ht="15" customHeight="1" x14ac:dyDescent="0.2">
      <c r="A42" s="1265">
        <v>39</v>
      </c>
      <c r="B42" s="684">
        <v>0.06</v>
      </c>
      <c r="C42" s="684">
        <v>0.09</v>
      </c>
      <c r="D42" s="684">
        <v>0.01</v>
      </c>
      <c r="E42" s="684">
        <v>0.16900000000000001</v>
      </c>
      <c r="F42" s="684">
        <v>0.04</v>
      </c>
      <c r="G42" s="684">
        <v>5.8999999999999997E-2</v>
      </c>
      <c r="H42" s="684">
        <v>1E-3</v>
      </c>
      <c r="I42" s="684">
        <v>0.1</v>
      </c>
      <c r="J42" s="1277">
        <v>0.02</v>
      </c>
      <c r="K42" s="1277">
        <v>0.04</v>
      </c>
      <c r="L42" s="1277">
        <v>0.01</v>
      </c>
      <c r="M42" s="684">
        <v>5.8999999999999997E-2</v>
      </c>
      <c r="R42" s="113"/>
      <c r="U42" s="74"/>
      <c r="V42" s="74"/>
      <c r="W42" s="113"/>
    </row>
    <row r="43" spans="1:23" ht="15" customHeight="1" x14ac:dyDescent="0.2">
      <c r="A43" s="1265">
        <v>40</v>
      </c>
      <c r="B43" s="684">
        <v>0.06</v>
      </c>
      <c r="C43" s="684">
        <v>0.09</v>
      </c>
      <c r="D43" s="684">
        <v>0.01</v>
      </c>
      <c r="E43" s="684">
        <v>0.17</v>
      </c>
      <c r="F43" s="684">
        <v>0.04</v>
      </c>
      <c r="G43" s="684">
        <v>0.06</v>
      </c>
      <c r="H43" s="684">
        <v>0</v>
      </c>
      <c r="I43" s="684">
        <v>0.1</v>
      </c>
      <c r="J43" s="1277">
        <v>0.02</v>
      </c>
      <c r="K43" s="1277">
        <v>0.04</v>
      </c>
      <c r="L43" s="1277">
        <v>0.01</v>
      </c>
      <c r="M43" s="684">
        <v>0.06</v>
      </c>
      <c r="R43" s="113"/>
      <c r="U43" s="74"/>
      <c r="V43" s="74"/>
      <c r="W43" s="113"/>
    </row>
    <row r="44" spans="1:23" ht="15" customHeight="1" x14ac:dyDescent="0.2">
      <c r="A44" s="1265">
        <v>41</v>
      </c>
      <c r="B44" s="684">
        <v>5.8999999999999997E-2</v>
      </c>
      <c r="C44" s="684">
        <v>9.0999999999999998E-2</v>
      </c>
      <c r="D44" s="684">
        <v>8.9999999999999993E-3</v>
      </c>
      <c r="E44" s="684">
        <v>0.17100000000000001</v>
      </c>
      <c r="F44" s="684">
        <v>0.04</v>
      </c>
      <c r="G44" s="684">
        <v>0.06</v>
      </c>
      <c r="H44" s="684">
        <v>0</v>
      </c>
      <c r="I44" s="684">
        <v>0.10100000000000001</v>
      </c>
      <c r="J44" s="1277">
        <v>0.02</v>
      </c>
      <c r="K44" s="1277">
        <v>0.04</v>
      </c>
      <c r="L44" s="1277">
        <v>0.01</v>
      </c>
      <c r="M44" s="684">
        <v>0.06</v>
      </c>
      <c r="R44" s="113"/>
    </row>
    <row r="45" spans="1:23" ht="15" customHeight="1" x14ac:dyDescent="0.2">
      <c r="A45" s="1265">
        <v>42</v>
      </c>
      <c r="B45" s="684">
        <v>5.8000000000000003E-2</v>
      </c>
      <c r="C45" s="684">
        <v>9.1999999999999998E-2</v>
      </c>
      <c r="D45" s="684">
        <v>8.0000000000000002E-3</v>
      </c>
      <c r="E45" s="684">
        <v>0.17199999999999999</v>
      </c>
      <c r="F45" s="684">
        <v>0.04</v>
      </c>
      <c r="G45" s="684">
        <v>0.06</v>
      </c>
      <c r="H45" s="684">
        <v>0</v>
      </c>
      <c r="I45" s="684">
        <v>0.10199999999999999</v>
      </c>
      <c r="J45" s="1277">
        <v>0.02</v>
      </c>
      <c r="K45" s="1277">
        <v>0.04</v>
      </c>
      <c r="L45" s="1277">
        <v>0.01</v>
      </c>
      <c r="M45" s="684">
        <v>0.06</v>
      </c>
    </row>
    <row r="46" spans="1:23" ht="15" customHeight="1" x14ac:dyDescent="0.2">
      <c r="A46" s="1265">
        <v>43</v>
      </c>
      <c r="B46" s="684">
        <v>5.7000000000000002E-2</v>
      </c>
      <c r="C46" s="684">
        <v>9.2999999999999999E-2</v>
      </c>
      <c r="D46" s="684">
        <v>7.0000000000000001E-3</v>
      </c>
      <c r="E46" s="684">
        <v>0.17299999999999999</v>
      </c>
      <c r="F46" s="684">
        <v>0.04</v>
      </c>
      <c r="G46" s="684">
        <v>0.06</v>
      </c>
      <c r="H46" s="684">
        <v>0</v>
      </c>
      <c r="I46" s="684">
        <v>0.10299999999999999</v>
      </c>
      <c r="J46" s="1277">
        <v>0.02</v>
      </c>
      <c r="K46" s="1277">
        <v>0.04</v>
      </c>
      <c r="L46" s="1277">
        <v>0.01</v>
      </c>
      <c r="M46" s="684">
        <v>0.06</v>
      </c>
      <c r="R46" s="113"/>
      <c r="U46" s="74"/>
      <c r="V46" s="74"/>
      <c r="W46" s="113"/>
    </row>
    <row r="47" spans="1:23" ht="15" customHeight="1" x14ac:dyDescent="0.2">
      <c r="A47" s="1265">
        <v>44</v>
      </c>
      <c r="B47" s="684">
        <v>5.6000000000000001E-2</v>
      </c>
      <c r="C47" s="684">
        <v>9.4E-2</v>
      </c>
      <c r="D47" s="684">
        <v>6.0000000000000001E-3</v>
      </c>
      <c r="E47" s="684">
        <v>0.17399999999999999</v>
      </c>
      <c r="F47" s="684">
        <v>0.04</v>
      </c>
      <c r="G47" s="684">
        <v>0.06</v>
      </c>
      <c r="H47" s="684">
        <v>0</v>
      </c>
      <c r="I47" s="684">
        <v>0.104</v>
      </c>
      <c r="J47" s="1277">
        <v>0.02</v>
      </c>
      <c r="K47" s="1277">
        <v>0.04</v>
      </c>
      <c r="L47" s="1277">
        <v>0.01</v>
      </c>
      <c r="M47" s="684">
        <v>0.06</v>
      </c>
      <c r="R47" s="113"/>
      <c r="U47" s="74"/>
      <c r="V47" s="74"/>
      <c r="W47" s="113"/>
    </row>
    <row r="48" spans="1:23" ht="15" customHeight="1" x14ac:dyDescent="0.2">
      <c r="A48" s="1265">
        <v>45</v>
      </c>
      <c r="B48" s="684">
        <v>5.5E-2</v>
      </c>
      <c r="C48" s="684">
        <v>9.5000000000000001E-2</v>
      </c>
      <c r="D48" s="684">
        <v>5.0000000000000001E-3</v>
      </c>
      <c r="E48" s="684">
        <v>0.17499999999999999</v>
      </c>
      <c r="F48" s="684">
        <v>0.04</v>
      </c>
      <c r="G48" s="684">
        <v>0.06</v>
      </c>
      <c r="H48" s="684">
        <v>0</v>
      </c>
      <c r="I48" s="684">
        <v>0.105</v>
      </c>
      <c r="J48" s="1277">
        <v>0.02</v>
      </c>
      <c r="K48" s="1277">
        <v>0.04</v>
      </c>
      <c r="L48" s="1277">
        <v>0.01</v>
      </c>
      <c r="M48" s="684">
        <v>0.06</v>
      </c>
      <c r="R48" s="113"/>
    </row>
    <row r="49" spans="1:23" ht="15" customHeight="1" x14ac:dyDescent="0.2">
      <c r="A49" s="1265">
        <v>46</v>
      </c>
      <c r="B49" s="684">
        <v>5.3999999999999999E-2</v>
      </c>
      <c r="C49" s="684">
        <v>9.6000000000000002E-2</v>
      </c>
      <c r="D49" s="684">
        <v>4.0000000000000001E-3</v>
      </c>
      <c r="E49" s="684">
        <v>0.17599999999999999</v>
      </c>
      <c r="F49" s="684">
        <v>0.04</v>
      </c>
      <c r="G49" s="684">
        <v>0.06</v>
      </c>
      <c r="H49" s="684">
        <v>0</v>
      </c>
      <c r="I49" s="684">
        <v>0.106</v>
      </c>
      <c r="J49" s="1277">
        <v>0.02</v>
      </c>
      <c r="K49" s="1277">
        <v>0.04</v>
      </c>
      <c r="L49" s="1277">
        <v>0.01</v>
      </c>
      <c r="M49" s="684">
        <v>0.06</v>
      </c>
    </row>
    <row r="50" spans="1:23" ht="15" customHeight="1" x14ac:dyDescent="0.2">
      <c r="A50" s="1265">
        <v>47</v>
      </c>
      <c r="B50" s="684">
        <v>5.2999999999999999E-2</v>
      </c>
      <c r="C50" s="684">
        <v>9.7000000000000003E-2</v>
      </c>
      <c r="D50" s="684">
        <v>3.0000000000000001E-3</v>
      </c>
      <c r="E50" s="684">
        <v>0.17699999999999999</v>
      </c>
      <c r="F50" s="684">
        <v>0.04</v>
      </c>
      <c r="G50" s="684">
        <v>0.06</v>
      </c>
      <c r="H50" s="684">
        <v>0</v>
      </c>
      <c r="I50" s="684">
        <v>0.107</v>
      </c>
      <c r="J50" s="1277">
        <v>0.02</v>
      </c>
      <c r="K50" s="1277">
        <v>0.04</v>
      </c>
      <c r="L50" s="1277">
        <v>0.01</v>
      </c>
      <c r="M50" s="684">
        <v>0.06</v>
      </c>
    </row>
    <row r="51" spans="1:23" ht="15" customHeight="1" x14ac:dyDescent="0.2">
      <c r="A51" s="1265">
        <v>48</v>
      </c>
      <c r="B51" s="684">
        <v>5.1999999999999998E-2</v>
      </c>
      <c r="C51" s="684">
        <v>9.8000000000000004E-2</v>
      </c>
      <c r="D51" s="684">
        <v>2E-3</v>
      </c>
      <c r="E51" s="684">
        <v>0.17799999999999999</v>
      </c>
      <c r="F51" s="684">
        <v>0.04</v>
      </c>
      <c r="G51" s="684">
        <v>0.06</v>
      </c>
      <c r="H51" s="684">
        <v>0</v>
      </c>
      <c r="I51" s="684">
        <v>0.108</v>
      </c>
      <c r="J51" s="1277">
        <v>0.02</v>
      </c>
      <c r="K51" s="1277">
        <v>0.04</v>
      </c>
      <c r="L51" s="1277">
        <v>0.01</v>
      </c>
      <c r="M51" s="684">
        <v>0.06</v>
      </c>
      <c r="R51" s="113"/>
      <c r="U51" s="74"/>
      <c r="V51" s="74"/>
      <c r="W51" s="113"/>
    </row>
    <row r="52" spans="1:23" ht="15" customHeight="1" x14ac:dyDescent="0.2">
      <c r="A52" s="1265">
        <v>49</v>
      </c>
      <c r="B52" s="684">
        <v>5.0999999999999997E-2</v>
      </c>
      <c r="C52" s="684">
        <v>9.9000000000000005E-2</v>
      </c>
      <c r="D52" s="684">
        <v>1E-3</v>
      </c>
      <c r="E52" s="684">
        <v>0.17899999999999999</v>
      </c>
      <c r="F52" s="684">
        <v>0.04</v>
      </c>
      <c r="G52" s="684">
        <v>0.06</v>
      </c>
      <c r="H52" s="684">
        <v>0</v>
      </c>
      <c r="I52" s="684">
        <v>0.109</v>
      </c>
      <c r="J52" s="1277">
        <v>0.02</v>
      </c>
      <c r="K52" s="1277">
        <v>0.04</v>
      </c>
      <c r="L52" s="1277">
        <v>0.01</v>
      </c>
      <c r="M52" s="684">
        <v>0.06</v>
      </c>
      <c r="R52" s="113"/>
      <c r="U52" s="74"/>
      <c r="V52" s="74"/>
      <c r="W52" s="113"/>
    </row>
    <row r="53" spans="1:23" ht="15" customHeight="1" x14ac:dyDescent="0.2">
      <c r="A53" s="1265">
        <v>50</v>
      </c>
      <c r="B53" s="684">
        <v>0.05</v>
      </c>
      <c r="C53" s="684">
        <v>0.1</v>
      </c>
      <c r="D53" s="684">
        <v>0</v>
      </c>
      <c r="E53" s="684">
        <v>0.18</v>
      </c>
      <c r="F53" s="684">
        <v>0.04</v>
      </c>
      <c r="G53" s="684">
        <v>0.06</v>
      </c>
      <c r="H53" s="684">
        <v>0</v>
      </c>
      <c r="I53" s="684">
        <v>0.11</v>
      </c>
      <c r="J53" s="1277">
        <v>0.02</v>
      </c>
      <c r="K53" s="1277">
        <v>0.04</v>
      </c>
      <c r="L53" s="1277">
        <v>0.01</v>
      </c>
      <c r="M53" s="684">
        <v>0.06</v>
      </c>
      <c r="R53" s="113"/>
    </row>
    <row r="54" spans="1:23" ht="15" customHeight="1" x14ac:dyDescent="0.2">
      <c r="A54" s="1265">
        <v>51</v>
      </c>
      <c r="B54" s="684">
        <v>0.05</v>
      </c>
      <c r="C54" s="684">
        <v>0.10199999999999999</v>
      </c>
      <c r="D54" s="1297"/>
      <c r="E54" s="1265"/>
      <c r="F54" s="684">
        <v>0.04</v>
      </c>
      <c r="G54" s="684">
        <v>6.0999999999999999E-2</v>
      </c>
      <c r="H54" s="1297"/>
      <c r="I54" s="1265"/>
      <c r="J54" s="1277">
        <v>1.9E-2</v>
      </c>
      <c r="K54" s="1277">
        <v>0.04</v>
      </c>
      <c r="L54" s="1277">
        <v>8.9999999999999993E-3</v>
      </c>
      <c r="M54" s="684">
        <v>0.06</v>
      </c>
    </row>
    <row r="55" spans="1:23" ht="15" customHeight="1" x14ac:dyDescent="0.2">
      <c r="A55" s="1265">
        <v>52</v>
      </c>
      <c r="B55" s="684">
        <v>0.05</v>
      </c>
      <c r="C55" s="684">
        <v>0.104</v>
      </c>
      <c r="D55" s="1297"/>
      <c r="E55" s="1265"/>
      <c r="F55" s="684">
        <v>0.04</v>
      </c>
      <c r="G55" s="684">
        <v>6.2E-2</v>
      </c>
      <c r="H55" s="1297"/>
      <c r="I55" s="1265"/>
      <c r="J55" s="1277">
        <v>1.7999999999999999E-2</v>
      </c>
      <c r="K55" s="1277">
        <v>0.04</v>
      </c>
      <c r="L55" s="1277">
        <v>8.0000000000000002E-3</v>
      </c>
      <c r="M55" s="684">
        <v>0.06</v>
      </c>
      <c r="R55" s="113"/>
      <c r="U55" s="74"/>
      <c r="V55" s="74"/>
      <c r="W55" s="113"/>
    </row>
    <row r="56" spans="1:23" ht="15" customHeight="1" x14ac:dyDescent="0.2">
      <c r="A56" s="1265">
        <v>53</v>
      </c>
      <c r="B56" s="684">
        <v>0.05</v>
      </c>
      <c r="C56" s="684">
        <v>0.106</v>
      </c>
      <c r="D56" s="1297"/>
      <c r="E56" s="1265"/>
      <c r="F56" s="684">
        <v>0.04</v>
      </c>
      <c r="G56" s="684">
        <v>6.3E-2</v>
      </c>
      <c r="H56" s="1297"/>
      <c r="I56" s="1265"/>
      <c r="J56" s="1277">
        <v>1.7000000000000001E-2</v>
      </c>
      <c r="K56" s="1277">
        <v>0.04</v>
      </c>
      <c r="L56" s="1277">
        <v>7.0000000000000001E-3</v>
      </c>
      <c r="M56" s="684">
        <v>0.06</v>
      </c>
      <c r="R56" s="113"/>
      <c r="U56" s="74"/>
      <c r="V56" s="74"/>
      <c r="W56" s="113"/>
    </row>
    <row r="57" spans="1:23" ht="15" customHeight="1" x14ac:dyDescent="0.2">
      <c r="A57" s="1265">
        <v>54</v>
      </c>
      <c r="B57" s="684">
        <v>0.05</v>
      </c>
      <c r="C57" s="684">
        <v>0.108</v>
      </c>
      <c r="D57" s="1297"/>
      <c r="E57" s="1265"/>
      <c r="F57" s="684">
        <v>0.04</v>
      </c>
      <c r="G57" s="684">
        <v>6.4000000000000001E-2</v>
      </c>
      <c r="H57" s="1297"/>
      <c r="I57" s="1265"/>
      <c r="J57" s="1277">
        <v>1.6E-2</v>
      </c>
      <c r="K57" s="1277">
        <v>0.04</v>
      </c>
      <c r="L57" s="1277">
        <v>6.0000000000000001E-3</v>
      </c>
      <c r="M57" s="684">
        <v>0.06</v>
      </c>
      <c r="R57" s="113"/>
    </row>
    <row r="58" spans="1:23" ht="15" customHeight="1" x14ac:dyDescent="0.2">
      <c r="A58" s="1265">
        <v>55</v>
      </c>
      <c r="B58" s="684">
        <v>0.05</v>
      </c>
      <c r="C58" s="684">
        <v>0.11</v>
      </c>
      <c r="D58" s="1297"/>
      <c r="E58" s="1265"/>
      <c r="F58" s="684">
        <v>0.04</v>
      </c>
      <c r="G58" s="684">
        <v>6.5000000000000002E-2</v>
      </c>
      <c r="H58" s="1297"/>
      <c r="I58" s="1265"/>
      <c r="J58" s="1277">
        <v>1.4999999999999999E-2</v>
      </c>
      <c r="K58" s="1277">
        <v>0.04</v>
      </c>
      <c r="L58" s="1277">
        <v>5.0000000000000001E-3</v>
      </c>
      <c r="M58" s="684">
        <v>0.06</v>
      </c>
    </row>
    <row r="59" spans="1:23" ht="15" customHeight="1" x14ac:dyDescent="0.2">
      <c r="A59" s="1265">
        <v>56</v>
      </c>
      <c r="B59" s="684">
        <v>0.05</v>
      </c>
      <c r="C59" s="684">
        <v>0.112</v>
      </c>
      <c r="D59" s="1297"/>
      <c r="E59" s="1265"/>
      <c r="F59" s="684">
        <v>0.04</v>
      </c>
      <c r="G59" s="684">
        <v>6.6000000000000003E-2</v>
      </c>
      <c r="H59" s="1297"/>
      <c r="I59" s="1265"/>
      <c r="J59" s="1277">
        <v>1.4E-2</v>
      </c>
      <c r="K59" s="1277">
        <v>0.04</v>
      </c>
      <c r="L59" s="1277">
        <v>4.0000000000000001E-3</v>
      </c>
      <c r="M59" s="684">
        <v>0.06</v>
      </c>
      <c r="R59" s="113"/>
      <c r="U59" s="74"/>
      <c r="V59" s="74"/>
      <c r="W59" s="113"/>
    </row>
    <row r="60" spans="1:23" ht="15" customHeight="1" x14ac:dyDescent="0.2">
      <c r="A60" s="1265">
        <v>57</v>
      </c>
      <c r="B60" s="684">
        <v>0.05</v>
      </c>
      <c r="C60" s="684">
        <v>0.114</v>
      </c>
      <c r="D60" s="1297"/>
      <c r="E60" s="1265"/>
      <c r="F60" s="684">
        <v>0.04</v>
      </c>
      <c r="G60" s="684">
        <v>6.7000000000000004E-2</v>
      </c>
      <c r="H60" s="1297"/>
      <c r="I60" s="1265"/>
      <c r="J60" s="1277">
        <v>1.2999999999999999E-2</v>
      </c>
      <c r="K60" s="1277">
        <v>0.04</v>
      </c>
      <c r="L60" s="1277">
        <v>3.0000000000000001E-3</v>
      </c>
      <c r="M60" s="684">
        <v>0.06</v>
      </c>
      <c r="R60" s="113"/>
      <c r="U60" s="74"/>
      <c r="V60" s="74"/>
      <c r="W60" s="113"/>
    </row>
    <row r="61" spans="1:23" ht="15" customHeight="1" x14ac:dyDescent="0.2">
      <c r="A61" s="1265">
        <v>58</v>
      </c>
      <c r="B61" s="684">
        <v>0.05</v>
      </c>
      <c r="C61" s="684">
        <v>0.11600000000000001</v>
      </c>
      <c r="D61" s="1297"/>
      <c r="E61" s="1265"/>
      <c r="F61" s="684">
        <v>0.04</v>
      </c>
      <c r="G61" s="684">
        <v>6.8000000000000005E-2</v>
      </c>
      <c r="H61" s="1297"/>
      <c r="I61" s="1265"/>
      <c r="J61" s="1277">
        <v>1.2E-2</v>
      </c>
      <c r="K61" s="1277">
        <v>0.04</v>
      </c>
      <c r="L61" s="1277">
        <v>2E-3</v>
      </c>
      <c r="M61" s="684">
        <v>0.06</v>
      </c>
      <c r="R61" s="113"/>
    </row>
    <row r="62" spans="1:23" ht="15" customHeight="1" x14ac:dyDescent="0.2">
      <c r="A62" s="1265">
        <v>59</v>
      </c>
      <c r="B62" s="684">
        <v>0.05</v>
      </c>
      <c r="C62" s="684">
        <v>0.11799999999999999</v>
      </c>
      <c r="D62" s="1297"/>
      <c r="E62" s="1265"/>
      <c r="F62" s="684">
        <v>0.04</v>
      </c>
      <c r="G62" s="684">
        <v>6.9000000000000006E-2</v>
      </c>
      <c r="H62" s="1297"/>
      <c r="I62" s="1265"/>
      <c r="J62" s="1277">
        <v>1.0999999999999999E-2</v>
      </c>
      <c r="K62" s="1277">
        <v>0.04</v>
      </c>
      <c r="L62" s="1277">
        <v>1E-3</v>
      </c>
      <c r="M62" s="684">
        <v>0.06</v>
      </c>
    </row>
    <row r="63" spans="1:23" ht="15" customHeight="1" x14ac:dyDescent="0.2">
      <c r="A63" s="1265">
        <v>60</v>
      </c>
      <c r="B63" s="684">
        <v>0.05</v>
      </c>
      <c r="C63" s="684">
        <v>0.12</v>
      </c>
      <c r="D63" s="1297"/>
      <c r="E63" s="1265"/>
      <c r="F63" s="684">
        <v>0.04</v>
      </c>
      <c r="G63" s="684">
        <v>7.0000000000000007E-2</v>
      </c>
      <c r="H63" s="1297"/>
      <c r="I63" s="1265"/>
      <c r="J63" s="1277">
        <v>0.01</v>
      </c>
      <c r="K63" s="1277">
        <v>0.04</v>
      </c>
      <c r="L63" s="1277">
        <v>0</v>
      </c>
      <c r="M63" s="684">
        <v>0.06</v>
      </c>
    </row>
    <row r="64" spans="1:23" ht="15" customHeight="1" x14ac:dyDescent="0.2">
      <c r="A64" s="1265">
        <v>61</v>
      </c>
      <c r="B64" s="684">
        <v>4.9000000000000002E-2</v>
      </c>
      <c r="C64" s="684">
        <v>0.121</v>
      </c>
      <c r="D64" s="1297"/>
      <c r="E64" s="1265"/>
      <c r="F64" s="684">
        <v>3.9E-2</v>
      </c>
      <c r="G64" s="684">
        <v>7.0000000000000007E-2</v>
      </c>
      <c r="H64" s="1265"/>
      <c r="I64" s="1265"/>
      <c r="J64" s="1277">
        <v>0.01</v>
      </c>
      <c r="K64" s="1277">
        <v>4.1000000000000002E-2</v>
      </c>
      <c r="L64" s="1277">
        <v>0</v>
      </c>
      <c r="M64" s="684">
        <v>6.0999999999999999E-2</v>
      </c>
      <c r="R64" s="113"/>
      <c r="U64" s="74"/>
      <c r="V64" s="74"/>
      <c r="W64" s="113"/>
    </row>
    <row r="65" spans="1:23" ht="15" customHeight="1" x14ac:dyDescent="0.2">
      <c r="A65" s="1265">
        <v>62</v>
      </c>
      <c r="B65" s="684">
        <v>4.8000000000000001E-2</v>
      </c>
      <c r="C65" s="684">
        <v>0.122</v>
      </c>
      <c r="D65" s="1297"/>
      <c r="E65" s="1265"/>
      <c r="F65" s="684">
        <v>3.7999999999999999E-2</v>
      </c>
      <c r="G65" s="684">
        <v>7.0000000000000007E-2</v>
      </c>
      <c r="H65" s="1265"/>
      <c r="I65" s="1265"/>
      <c r="J65" s="1277">
        <v>0.01</v>
      </c>
      <c r="K65" s="1277">
        <v>4.2000000000000003E-2</v>
      </c>
      <c r="L65" s="1277">
        <v>0</v>
      </c>
      <c r="M65" s="684">
        <v>6.2E-2</v>
      </c>
      <c r="R65" s="113"/>
      <c r="U65" s="74"/>
      <c r="V65" s="74"/>
      <c r="W65" s="113"/>
    </row>
    <row r="66" spans="1:23" ht="15" customHeight="1" x14ac:dyDescent="0.2">
      <c r="A66" s="1265">
        <v>63</v>
      </c>
      <c r="B66" s="684">
        <v>4.7E-2</v>
      </c>
      <c r="C66" s="684">
        <v>0.123</v>
      </c>
      <c r="D66" s="1297"/>
      <c r="E66" s="1265"/>
      <c r="F66" s="684">
        <v>3.6999999999999998E-2</v>
      </c>
      <c r="G66" s="684">
        <v>7.0000000000000007E-2</v>
      </c>
      <c r="H66" s="1265"/>
      <c r="I66" s="1265"/>
      <c r="J66" s="1277">
        <v>0.01</v>
      </c>
      <c r="K66" s="1277">
        <v>4.2999999999999997E-2</v>
      </c>
      <c r="L66" s="1277">
        <v>0</v>
      </c>
      <c r="M66" s="684">
        <v>6.3E-2</v>
      </c>
      <c r="R66" s="113"/>
    </row>
    <row r="67" spans="1:23" ht="15" customHeight="1" x14ac:dyDescent="0.2">
      <c r="A67" s="1265">
        <v>64</v>
      </c>
      <c r="B67" s="684">
        <v>4.5999999999999999E-2</v>
      </c>
      <c r="C67" s="684">
        <v>0.124</v>
      </c>
      <c r="D67" s="1297"/>
      <c r="E67" s="1265"/>
      <c r="F67" s="684">
        <v>3.5999999999999997E-2</v>
      </c>
      <c r="G67" s="684">
        <v>7.0000000000000007E-2</v>
      </c>
      <c r="H67" s="1265"/>
      <c r="I67" s="1265"/>
      <c r="J67" s="1277">
        <v>0.01</v>
      </c>
      <c r="K67" s="1277">
        <v>4.3999999999999997E-2</v>
      </c>
      <c r="L67" s="1277">
        <v>0</v>
      </c>
      <c r="M67" s="684">
        <v>6.4000000000000001E-2</v>
      </c>
      <c r="R67" s="113"/>
    </row>
    <row r="68" spans="1:23" ht="15" customHeight="1" x14ac:dyDescent="0.2">
      <c r="A68" s="1265">
        <v>65</v>
      </c>
      <c r="B68" s="684">
        <v>4.4999999999999998E-2</v>
      </c>
      <c r="C68" s="684">
        <v>0.125</v>
      </c>
      <c r="D68" s="1297"/>
      <c r="E68" s="1265"/>
      <c r="F68" s="684">
        <v>3.5000000000000003E-2</v>
      </c>
      <c r="G68" s="684">
        <v>7.0000000000000007E-2</v>
      </c>
      <c r="H68" s="1265"/>
      <c r="I68" s="1265"/>
      <c r="J68" s="1277">
        <v>0.01</v>
      </c>
      <c r="K68" s="1277">
        <v>4.4999999999999998E-2</v>
      </c>
      <c r="L68" s="1277">
        <v>0</v>
      </c>
      <c r="M68" s="684">
        <v>6.5000000000000002E-2</v>
      </c>
    </row>
    <row r="69" spans="1:23" ht="15" customHeight="1" x14ac:dyDescent="0.2">
      <c r="A69" s="1265">
        <v>66</v>
      </c>
      <c r="B69" s="684">
        <v>4.3999999999999997E-2</v>
      </c>
      <c r="C69" s="684">
        <v>0.126</v>
      </c>
      <c r="D69" s="1297"/>
      <c r="E69" s="1265"/>
      <c r="F69" s="684">
        <v>3.4000000000000002E-2</v>
      </c>
      <c r="G69" s="684">
        <v>7.0000000000000007E-2</v>
      </c>
      <c r="H69" s="1265"/>
      <c r="I69" s="1265"/>
      <c r="J69" s="1277">
        <v>0.01</v>
      </c>
      <c r="K69" s="1277">
        <v>4.5999999999999999E-2</v>
      </c>
      <c r="L69" s="1277">
        <v>0</v>
      </c>
      <c r="M69" s="684">
        <v>6.6000000000000003E-2</v>
      </c>
    </row>
    <row r="70" spans="1:23" ht="15" customHeight="1" x14ac:dyDescent="0.2">
      <c r="A70" s="1265">
        <v>67</v>
      </c>
      <c r="B70" s="684">
        <v>4.2999999999999997E-2</v>
      </c>
      <c r="C70" s="684">
        <v>0.127</v>
      </c>
      <c r="D70" s="1297"/>
      <c r="E70" s="1265"/>
      <c r="F70" s="684">
        <v>3.3000000000000002E-2</v>
      </c>
      <c r="G70" s="684">
        <v>7.0000000000000007E-2</v>
      </c>
      <c r="H70" s="1265"/>
      <c r="I70" s="1265"/>
      <c r="J70" s="1277">
        <v>0.01</v>
      </c>
      <c r="K70" s="1277">
        <v>4.7E-2</v>
      </c>
      <c r="L70" s="1277">
        <v>0</v>
      </c>
      <c r="M70" s="684">
        <v>6.7000000000000004E-2</v>
      </c>
      <c r="R70" s="113"/>
      <c r="U70" s="74"/>
      <c r="V70" s="74"/>
      <c r="W70" s="113"/>
    </row>
    <row r="71" spans="1:23" ht="15" customHeight="1" x14ac:dyDescent="0.2">
      <c r="A71" s="1265">
        <v>68</v>
      </c>
      <c r="B71" s="684">
        <v>4.2000000000000003E-2</v>
      </c>
      <c r="C71" s="684">
        <v>0.128</v>
      </c>
      <c r="D71" s="1297"/>
      <c r="E71" s="1265"/>
      <c r="F71" s="684">
        <v>3.2000000000000001E-2</v>
      </c>
      <c r="G71" s="684">
        <v>7.0000000000000007E-2</v>
      </c>
      <c r="H71" s="1265"/>
      <c r="I71" s="1265"/>
      <c r="J71" s="1277">
        <v>0.01</v>
      </c>
      <c r="K71" s="1277">
        <v>4.8000000000000001E-2</v>
      </c>
      <c r="L71" s="1277">
        <v>0</v>
      </c>
      <c r="M71" s="684">
        <v>6.8000000000000005E-2</v>
      </c>
      <c r="R71" s="113"/>
    </row>
    <row r="72" spans="1:23" ht="15" customHeight="1" x14ac:dyDescent="0.2">
      <c r="A72" s="1265">
        <v>69</v>
      </c>
      <c r="B72" s="684">
        <v>4.1000000000000002E-2</v>
      </c>
      <c r="C72" s="684">
        <v>0.129</v>
      </c>
      <c r="D72" s="1297"/>
      <c r="E72" s="1265"/>
      <c r="F72" s="684">
        <v>3.1E-2</v>
      </c>
      <c r="G72" s="684">
        <v>7.0000000000000007E-2</v>
      </c>
      <c r="H72" s="1265"/>
      <c r="I72" s="1265"/>
      <c r="J72" s="1277">
        <v>0.01</v>
      </c>
      <c r="K72" s="1277">
        <v>4.9000000000000002E-2</v>
      </c>
      <c r="L72" s="1277">
        <v>0</v>
      </c>
      <c r="M72" s="684">
        <v>6.9000000000000006E-2</v>
      </c>
      <c r="R72" s="113"/>
      <c r="U72" s="74"/>
      <c r="V72" s="74"/>
      <c r="W72" s="113"/>
    </row>
    <row r="73" spans="1:23" ht="15" customHeight="1" x14ac:dyDescent="0.2">
      <c r="A73" s="1265">
        <v>70</v>
      </c>
      <c r="B73" s="684">
        <v>0.04</v>
      </c>
      <c r="C73" s="684">
        <v>0.13</v>
      </c>
      <c r="D73" s="1297"/>
      <c r="E73" s="1265"/>
      <c r="F73" s="684">
        <v>0.03</v>
      </c>
      <c r="G73" s="684">
        <v>7.0000000000000007E-2</v>
      </c>
      <c r="H73" s="1265"/>
      <c r="I73" s="1265"/>
      <c r="J73" s="1277">
        <v>0.01</v>
      </c>
      <c r="K73" s="1277">
        <v>0.05</v>
      </c>
      <c r="L73" s="1277">
        <v>0</v>
      </c>
      <c r="M73" s="684">
        <v>7.0000000000000007E-2</v>
      </c>
      <c r="R73" s="113"/>
    </row>
    <row r="74" spans="1:23" ht="15" customHeight="1" x14ac:dyDescent="0.2">
      <c r="A74" s="1265">
        <v>71</v>
      </c>
      <c r="B74" s="684">
        <v>0.04</v>
      </c>
      <c r="C74" s="684">
        <v>0.13200000000000001</v>
      </c>
      <c r="D74" s="1297"/>
      <c r="E74" s="1265"/>
      <c r="F74" s="684">
        <v>0.03</v>
      </c>
      <c r="G74" s="684">
        <v>7.0999999999999994E-2</v>
      </c>
      <c r="H74" s="1297"/>
      <c r="I74" s="1265"/>
      <c r="J74" s="1277">
        <v>8.9999999999999993E-3</v>
      </c>
      <c r="K74" s="1277">
        <v>5.0999999999999997E-2</v>
      </c>
      <c r="L74" s="1277">
        <v>0</v>
      </c>
      <c r="M74" s="684">
        <v>7.0000000000000007E-2</v>
      </c>
      <c r="R74" s="113"/>
      <c r="U74" s="74"/>
      <c r="V74" s="74"/>
      <c r="W74" s="113"/>
    </row>
    <row r="75" spans="1:23" ht="15" customHeight="1" x14ac:dyDescent="0.2">
      <c r="A75" s="1265">
        <v>72</v>
      </c>
      <c r="B75" s="684">
        <v>0.04</v>
      </c>
      <c r="C75" s="684">
        <v>0.13400000000000001</v>
      </c>
      <c r="D75" s="1297"/>
      <c r="E75" s="1265"/>
      <c r="F75" s="684">
        <v>0.03</v>
      </c>
      <c r="G75" s="684">
        <v>7.1999999999999995E-2</v>
      </c>
      <c r="H75" s="1297"/>
      <c r="I75" s="1265"/>
      <c r="J75" s="1277">
        <v>8.0000000000000002E-3</v>
      </c>
      <c r="K75" s="1277">
        <v>5.1999999999999998E-2</v>
      </c>
      <c r="L75" s="1277">
        <v>0</v>
      </c>
      <c r="M75" s="684">
        <v>7.0000000000000007E-2</v>
      </c>
      <c r="R75" s="113"/>
    </row>
    <row r="76" spans="1:23" ht="15" customHeight="1" x14ac:dyDescent="0.2">
      <c r="A76" s="1265">
        <v>73</v>
      </c>
      <c r="B76" s="684">
        <v>0.04</v>
      </c>
      <c r="C76" s="684">
        <v>0.13600000000000001</v>
      </c>
      <c r="D76" s="1297"/>
      <c r="E76" s="1265"/>
      <c r="F76" s="684">
        <v>0.03</v>
      </c>
      <c r="G76" s="684">
        <v>7.2999999999999995E-2</v>
      </c>
      <c r="H76" s="1297"/>
      <c r="I76" s="1265"/>
      <c r="J76" s="1277">
        <v>7.0000000000000001E-3</v>
      </c>
      <c r="K76" s="1277">
        <v>5.2999999999999999E-2</v>
      </c>
      <c r="L76" s="1277">
        <v>0</v>
      </c>
      <c r="M76" s="684">
        <v>7.0000000000000007E-2</v>
      </c>
      <c r="R76" s="113"/>
      <c r="U76" s="74"/>
      <c r="V76" s="74"/>
      <c r="W76" s="113"/>
    </row>
    <row r="77" spans="1:23" ht="15" customHeight="1" x14ac:dyDescent="0.2">
      <c r="A77" s="1265">
        <v>74</v>
      </c>
      <c r="B77" s="684">
        <v>0.04</v>
      </c>
      <c r="C77" s="684">
        <v>0.13800000000000001</v>
      </c>
      <c r="D77" s="1297"/>
      <c r="E77" s="1265"/>
      <c r="F77" s="684">
        <v>0.03</v>
      </c>
      <c r="G77" s="684">
        <v>7.3999999999999996E-2</v>
      </c>
      <c r="H77" s="1297"/>
      <c r="I77" s="1265"/>
      <c r="J77" s="1277">
        <v>6.0000000000000001E-3</v>
      </c>
      <c r="K77" s="1277">
        <v>5.3999999999999999E-2</v>
      </c>
      <c r="L77" s="1277">
        <v>0</v>
      </c>
      <c r="M77" s="684">
        <v>7.0000000000000007E-2</v>
      </c>
      <c r="R77" s="113"/>
    </row>
    <row r="78" spans="1:23" ht="15" customHeight="1" x14ac:dyDescent="0.2">
      <c r="A78" s="1265">
        <v>75</v>
      </c>
      <c r="B78" s="684">
        <v>0.04</v>
      </c>
      <c r="C78" s="684">
        <v>0.14000000000000001</v>
      </c>
      <c r="D78" s="1297"/>
      <c r="E78" s="1265"/>
      <c r="F78" s="684">
        <v>0.03</v>
      </c>
      <c r="G78" s="684">
        <v>7.4999999999999997E-2</v>
      </c>
      <c r="H78" s="1297"/>
      <c r="I78" s="1265"/>
      <c r="J78" s="1277">
        <v>5.0000000000000001E-3</v>
      </c>
      <c r="K78" s="1277">
        <v>5.5E-2</v>
      </c>
      <c r="L78" s="1277">
        <v>0</v>
      </c>
      <c r="M78" s="684">
        <v>7.0000000000000007E-2</v>
      </c>
    </row>
    <row r="79" spans="1:23" ht="15" customHeight="1" x14ac:dyDescent="0.2">
      <c r="A79" s="1265">
        <v>76</v>
      </c>
      <c r="B79" s="684">
        <v>0.04</v>
      </c>
      <c r="C79" s="684">
        <v>0.14199999999999999</v>
      </c>
      <c r="D79" s="1297"/>
      <c r="E79" s="1265"/>
      <c r="F79" s="684">
        <v>0.03</v>
      </c>
      <c r="G79" s="684">
        <v>7.5999999999999998E-2</v>
      </c>
      <c r="H79" s="1297"/>
      <c r="I79" s="1265"/>
      <c r="J79" s="1277">
        <v>4.0000000000000001E-3</v>
      </c>
      <c r="K79" s="1277">
        <v>5.6000000000000001E-2</v>
      </c>
      <c r="L79" s="1277">
        <v>0</v>
      </c>
      <c r="M79" s="684">
        <v>7.0000000000000007E-2</v>
      </c>
    </row>
    <row r="80" spans="1:23" ht="15" customHeight="1" x14ac:dyDescent="0.2">
      <c r="A80" s="1265">
        <v>77</v>
      </c>
      <c r="B80" s="684">
        <v>0.04</v>
      </c>
      <c r="C80" s="684">
        <v>0.14399999999999999</v>
      </c>
      <c r="D80" s="1297"/>
      <c r="E80" s="1265"/>
      <c r="F80" s="684">
        <v>0.03</v>
      </c>
      <c r="G80" s="684">
        <v>7.6999999999999999E-2</v>
      </c>
      <c r="H80" s="1297"/>
      <c r="I80" s="1265"/>
      <c r="J80" s="1277">
        <v>3.0000000000000001E-3</v>
      </c>
      <c r="K80" s="1277">
        <v>5.7000000000000002E-2</v>
      </c>
      <c r="L80" s="1277">
        <v>0</v>
      </c>
      <c r="M80" s="684">
        <v>7.0000000000000007E-2</v>
      </c>
      <c r="O80" s="117"/>
      <c r="R80" s="113"/>
      <c r="U80" s="74"/>
      <c r="V80" s="74"/>
      <c r="W80" s="113"/>
    </row>
    <row r="81" spans="1:23" ht="15" customHeight="1" x14ac:dyDescent="0.2">
      <c r="A81" s="1265">
        <v>78</v>
      </c>
      <c r="B81" s="684">
        <v>0.04</v>
      </c>
      <c r="C81" s="684">
        <v>0.14599999999999999</v>
      </c>
      <c r="D81" s="1297"/>
      <c r="E81" s="1265"/>
      <c r="F81" s="684">
        <v>0.03</v>
      </c>
      <c r="G81" s="684">
        <v>7.8E-2</v>
      </c>
      <c r="H81" s="1297"/>
      <c r="I81" s="1265"/>
      <c r="J81" s="1277">
        <v>2E-3</v>
      </c>
      <c r="K81" s="1296">
        <v>5.8000000000000003E-2</v>
      </c>
      <c r="L81" s="1277">
        <v>0</v>
      </c>
      <c r="M81" s="684">
        <v>7.0000000000000007E-2</v>
      </c>
      <c r="O81" s="117"/>
      <c r="R81" s="113"/>
    </row>
    <row r="82" spans="1:23" ht="15" customHeight="1" x14ac:dyDescent="0.2">
      <c r="A82" s="1265">
        <v>79</v>
      </c>
      <c r="B82" s="684">
        <v>0.04</v>
      </c>
      <c r="C82" s="684">
        <v>0.14799999999999999</v>
      </c>
      <c r="D82" s="1297"/>
      <c r="E82" s="1265"/>
      <c r="F82" s="684">
        <v>0.03</v>
      </c>
      <c r="G82" s="684">
        <v>7.9000000000000001E-2</v>
      </c>
      <c r="H82" s="1297"/>
      <c r="I82" s="1265"/>
      <c r="J82" s="1277">
        <v>1E-3</v>
      </c>
      <c r="K82" s="1277">
        <v>5.8999999999999997E-2</v>
      </c>
      <c r="L82" s="1277">
        <v>0</v>
      </c>
      <c r="M82" s="684">
        <v>7.0000000000000007E-2</v>
      </c>
      <c r="O82" s="117"/>
      <c r="R82" s="113"/>
      <c r="U82" s="74"/>
      <c r="V82" s="74"/>
      <c r="W82" s="113"/>
    </row>
    <row r="83" spans="1:23" ht="15" customHeight="1" x14ac:dyDescent="0.2">
      <c r="A83" s="1265">
        <v>80</v>
      </c>
      <c r="B83" s="684">
        <v>0.04</v>
      </c>
      <c r="C83" s="684">
        <v>0.15</v>
      </c>
      <c r="D83" s="1297"/>
      <c r="E83" s="1265"/>
      <c r="F83" s="684">
        <v>0.03</v>
      </c>
      <c r="G83" s="684">
        <v>0.08</v>
      </c>
      <c r="H83" s="1297"/>
      <c r="I83" s="1265"/>
      <c r="J83" s="1277">
        <v>0</v>
      </c>
      <c r="K83" s="1277">
        <v>0.06</v>
      </c>
      <c r="L83" s="1277">
        <v>0</v>
      </c>
      <c r="M83" s="684">
        <v>7.0000000000000007E-2</v>
      </c>
      <c r="O83" s="117"/>
      <c r="R83" s="113"/>
    </row>
    <row r="84" spans="1:23" ht="15" customHeight="1" x14ac:dyDescent="0.2">
      <c r="A84" s="1265">
        <v>81</v>
      </c>
      <c r="B84" s="684">
        <v>0.04</v>
      </c>
      <c r="C84" s="684">
        <v>0.151</v>
      </c>
      <c r="D84" s="1297"/>
      <c r="E84" s="1265"/>
      <c r="F84" s="684">
        <v>2.9000000000000001E-2</v>
      </c>
      <c r="G84" s="684">
        <v>8.1000000000000003E-2</v>
      </c>
      <c r="H84" s="1297"/>
      <c r="I84" s="1265"/>
      <c r="J84" s="1277">
        <v>0</v>
      </c>
      <c r="K84" s="1277">
        <v>6.0999999999999999E-2</v>
      </c>
      <c r="L84" s="1277">
        <v>0</v>
      </c>
      <c r="M84" s="684">
        <v>7.0000000000000007E-2</v>
      </c>
      <c r="O84" s="117"/>
      <c r="R84" s="113"/>
      <c r="U84" s="74"/>
      <c r="V84" s="74"/>
      <c r="W84" s="113"/>
    </row>
    <row r="85" spans="1:23" ht="15" customHeight="1" x14ac:dyDescent="0.2">
      <c r="A85" s="1265">
        <v>82</v>
      </c>
      <c r="B85" s="684">
        <v>0.04</v>
      </c>
      <c r="C85" s="684">
        <v>0.152</v>
      </c>
      <c r="D85" s="1297"/>
      <c r="E85" s="1265"/>
      <c r="F85" s="684">
        <v>2.8000000000000001E-2</v>
      </c>
      <c r="G85" s="684">
        <v>8.2000000000000003E-2</v>
      </c>
      <c r="H85" s="1297"/>
      <c r="I85" s="1265"/>
      <c r="J85" s="1277">
        <v>0</v>
      </c>
      <c r="K85" s="1277">
        <v>6.2E-2</v>
      </c>
      <c r="L85" s="1277">
        <v>0</v>
      </c>
      <c r="M85" s="684">
        <v>7.0000000000000007E-2</v>
      </c>
      <c r="O85" s="117"/>
      <c r="R85" s="113"/>
    </row>
    <row r="86" spans="1:23" ht="15" customHeight="1" x14ac:dyDescent="0.2">
      <c r="A86" s="1265">
        <v>83</v>
      </c>
      <c r="B86" s="684">
        <v>0.04</v>
      </c>
      <c r="C86" s="684">
        <v>0.153</v>
      </c>
      <c r="D86" s="1297"/>
      <c r="E86" s="1265"/>
      <c r="F86" s="684">
        <v>2.7E-2</v>
      </c>
      <c r="G86" s="684">
        <v>8.3000000000000004E-2</v>
      </c>
      <c r="H86" s="1297"/>
      <c r="I86" s="1265"/>
      <c r="J86" s="1277">
        <v>0</v>
      </c>
      <c r="K86" s="1277">
        <v>6.3E-2</v>
      </c>
      <c r="L86" s="1277">
        <v>0</v>
      </c>
      <c r="M86" s="684">
        <v>7.0000000000000007E-2</v>
      </c>
      <c r="O86" s="117"/>
      <c r="R86" s="113"/>
      <c r="U86" s="74"/>
      <c r="V86" s="74"/>
      <c r="W86" s="113"/>
    </row>
    <row r="87" spans="1:23" ht="15" customHeight="1" x14ac:dyDescent="0.2">
      <c r="A87" s="1265">
        <v>84</v>
      </c>
      <c r="B87" s="684">
        <v>0.04</v>
      </c>
      <c r="C87" s="684">
        <v>0.154</v>
      </c>
      <c r="D87" s="1297"/>
      <c r="E87" s="1265"/>
      <c r="F87" s="684">
        <v>2.5999999999999999E-2</v>
      </c>
      <c r="G87" s="684">
        <v>8.4000000000000005E-2</v>
      </c>
      <c r="H87" s="1297"/>
      <c r="I87" s="1265"/>
      <c r="J87" s="1277">
        <v>0</v>
      </c>
      <c r="K87" s="1277">
        <v>6.4000000000000001E-2</v>
      </c>
      <c r="L87" s="1277">
        <v>0</v>
      </c>
      <c r="M87" s="684">
        <v>7.0000000000000007E-2</v>
      </c>
      <c r="O87" s="117"/>
      <c r="R87" s="113"/>
    </row>
    <row r="88" spans="1:23" ht="15" customHeight="1" x14ac:dyDescent="0.2">
      <c r="A88" s="1265">
        <v>85</v>
      </c>
      <c r="B88" s="684">
        <v>0.04</v>
      </c>
      <c r="C88" s="684">
        <v>0.155</v>
      </c>
      <c r="D88" s="1297"/>
      <c r="E88" s="1265"/>
      <c r="F88" s="684">
        <v>2.5000000000000001E-2</v>
      </c>
      <c r="G88" s="684">
        <v>8.5000000000000006E-2</v>
      </c>
      <c r="H88" s="1297"/>
      <c r="I88" s="1265"/>
      <c r="J88" s="1277">
        <v>0</v>
      </c>
      <c r="K88" s="1277">
        <v>6.5000000000000002E-2</v>
      </c>
      <c r="L88" s="1277">
        <v>0</v>
      </c>
      <c r="M88" s="684">
        <v>7.0000000000000007E-2</v>
      </c>
    </row>
    <row r="89" spans="1:23" ht="15" customHeight="1" x14ac:dyDescent="0.2">
      <c r="A89" s="1265">
        <v>86</v>
      </c>
      <c r="B89" s="684">
        <v>0.04</v>
      </c>
      <c r="C89" s="684">
        <v>0.156</v>
      </c>
      <c r="D89" s="1297"/>
      <c r="E89" s="1265"/>
      <c r="F89" s="684">
        <v>2.4E-2</v>
      </c>
      <c r="G89" s="684">
        <v>8.5999999999999993E-2</v>
      </c>
      <c r="H89" s="1297"/>
      <c r="I89" s="1265"/>
      <c r="J89" s="1277">
        <v>0</v>
      </c>
      <c r="K89" s="1277">
        <v>6.6000000000000003E-2</v>
      </c>
      <c r="L89" s="1277">
        <v>0</v>
      </c>
      <c r="M89" s="684">
        <v>7.0000000000000007E-2</v>
      </c>
    </row>
    <row r="90" spans="1:23" ht="15" customHeight="1" x14ac:dyDescent="0.2">
      <c r="A90" s="1265">
        <v>87</v>
      </c>
      <c r="B90" s="684">
        <v>0.04</v>
      </c>
      <c r="C90" s="684">
        <v>0.157</v>
      </c>
      <c r="D90" s="1297"/>
      <c r="E90" s="1265"/>
      <c r="F90" s="684">
        <v>2.3E-2</v>
      </c>
      <c r="G90" s="684">
        <v>8.6999999999999994E-2</v>
      </c>
      <c r="H90" s="1297"/>
      <c r="I90" s="1265"/>
      <c r="J90" s="1277">
        <v>0</v>
      </c>
      <c r="K90" s="1277">
        <v>6.7000000000000004E-2</v>
      </c>
      <c r="L90" s="1277">
        <v>0</v>
      </c>
      <c r="M90" s="684">
        <v>7.0000000000000007E-2</v>
      </c>
      <c r="R90" s="113"/>
    </row>
    <row r="91" spans="1:23" ht="15" customHeight="1" x14ac:dyDescent="0.2">
      <c r="A91" s="1265">
        <v>88</v>
      </c>
      <c r="B91" s="684">
        <v>0.04</v>
      </c>
      <c r="C91" s="684">
        <v>0.158</v>
      </c>
      <c r="D91" s="1297"/>
      <c r="E91" s="1265"/>
      <c r="F91" s="684">
        <v>2.1999999999999999E-2</v>
      </c>
      <c r="G91" s="684">
        <v>8.7999999999999995E-2</v>
      </c>
      <c r="H91" s="1297"/>
      <c r="I91" s="1265"/>
      <c r="J91" s="1277">
        <v>0</v>
      </c>
      <c r="K91" s="1277">
        <v>6.8000000000000005E-2</v>
      </c>
      <c r="L91" s="1277">
        <v>0</v>
      </c>
      <c r="M91" s="684">
        <v>7.0000000000000007E-2</v>
      </c>
      <c r="R91" s="113"/>
    </row>
    <row r="92" spans="1:23" ht="15" customHeight="1" x14ac:dyDescent="0.2">
      <c r="A92" s="1265">
        <v>89</v>
      </c>
      <c r="B92" s="684">
        <v>0.04</v>
      </c>
      <c r="C92" s="684">
        <v>0.159</v>
      </c>
      <c r="D92" s="1297"/>
      <c r="E92" s="1265"/>
      <c r="F92" s="684">
        <v>2.1000000000000001E-2</v>
      </c>
      <c r="G92" s="684">
        <v>8.8999999999999996E-2</v>
      </c>
      <c r="H92" s="1297"/>
      <c r="I92" s="1265"/>
      <c r="J92" s="1277">
        <v>0</v>
      </c>
      <c r="K92" s="1277">
        <v>6.9000000000000006E-2</v>
      </c>
      <c r="L92" s="1277">
        <v>0</v>
      </c>
      <c r="M92" s="684">
        <v>7.0000000000000007E-2</v>
      </c>
      <c r="R92" s="113"/>
    </row>
    <row r="93" spans="1:23" ht="15" customHeight="1" x14ac:dyDescent="0.2">
      <c r="A93" s="1265">
        <v>90</v>
      </c>
      <c r="B93" s="684">
        <v>0.04</v>
      </c>
      <c r="C93" s="684">
        <v>0.16</v>
      </c>
      <c r="D93" s="1297"/>
      <c r="E93" s="1265"/>
      <c r="F93" s="684">
        <v>0.02</v>
      </c>
      <c r="G93" s="684">
        <v>0.09</v>
      </c>
      <c r="H93" s="1297"/>
      <c r="I93" s="1265"/>
      <c r="J93" s="1277">
        <v>0</v>
      </c>
      <c r="K93" s="1277">
        <v>7.0000000000000007E-2</v>
      </c>
      <c r="L93" s="1277">
        <v>0</v>
      </c>
      <c r="M93" s="684">
        <v>7.0000000000000007E-2</v>
      </c>
    </row>
    <row r="94" spans="1:23" ht="15" customHeight="1" x14ac:dyDescent="0.2">
      <c r="A94" s="1265">
        <v>91</v>
      </c>
      <c r="B94" s="684">
        <v>3.9E-2</v>
      </c>
      <c r="C94" s="684">
        <v>0.16</v>
      </c>
      <c r="D94" s="1265"/>
      <c r="E94" s="1265"/>
      <c r="F94" s="684">
        <v>0.02</v>
      </c>
      <c r="G94" s="684">
        <v>0.09</v>
      </c>
      <c r="H94" s="1267"/>
      <c r="I94" s="1265"/>
      <c r="J94" s="1265"/>
      <c r="K94" s="1277"/>
      <c r="L94" s="1277"/>
      <c r="M94" s="1277"/>
    </row>
    <row r="95" spans="1:23" ht="15" customHeight="1" x14ac:dyDescent="0.2">
      <c r="A95" s="1265">
        <v>92</v>
      </c>
      <c r="B95" s="684">
        <v>3.7999999999999999E-2</v>
      </c>
      <c r="C95" s="684">
        <v>0.16</v>
      </c>
      <c r="D95" s="1267"/>
      <c r="E95" s="1265"/>
      <c r="F95" s="684">
        <v>0.02</v>
      </c>
      <c r="G95" s="684">
        <v>0.09</v>
      </c>
      <c r="H95" s="1265"/>
      <c r="I95" s="1265"/>
      <c r="J95" s="1265"/>
      <c r="K95" s="1277"/>
      <c r="L95" s="1277"/>
      <c r="M95" s="1277"/>
      <c r="R95" s="113"/>
    </row>
    <row r="96" spans="1:23" ht="15" customHeight="1" x14ac:dyDescent="0.2">
      <c r="A96" s="1265">
        <v>93</v>
      </c>
      <c r="B96" s="684">
        <v>3.6999999999999998E-2</v>
      </c>
      <c r="C96" s="684">
        <v>0.16</v>
      </c>
      <c r="D96" s="1297"/>
      <c r="E96" s="1265"/>
      <c r="F96" s="684">
        <v>0.02</v>
      </c>
      <c r="G96" s="684">
        <v>0.09</v>
      </c>
      <c r="H96" s="1265"/>
      <c r="I96" s="1265"/>
      <c r="J96" s="1265"/>
      <c r="K96" s="1277"/>
      <c r="L96" s="1277"/>
      <c r="M96" s="1277"/>
      <c r="R96" s="113"/>
    </row>
    <row r="97" spans="1:18" ht="15" customHeight="1" x14ac:dyDescent="0.2">
      <c r="A97" s="1265">
        <v>94</v>
      </c>
      <c r="B97" s="684">
        <v>3.5999999999999997E-2</v>
      </c>
      <c r="C97" s="684">
        <v>0.16</v>
      </c>
      <c r="D97" s="1297"/>
      <c r="E97" s="1265"/>
      <c r="F97" s="684">
        <v>0.02</v>
      </c>
      <c r="G97" s="684">
        <v>0.09</v>
      </c>
      <c r="H97" s="1265"/>
      <c r="I97" s="1265"/>
      <c r="J97" s="1265"/>
      <c r="K97" s="1277"/>
      <c r="L97" s="1277"/>
      <c r="M97" s="1277"/>
      <c r="R97" s="113"/>
    </row>
    <row r="98" spans="1:18" ht="15" customHeight="1" x14ac:dyDescent="0.2">
      <c r="A98" s="1265">
        <v>95</v>
      </c>
      <c r="B98" s="684">
        <v>3.5000000000000003E-2</v>
      </c>
      <c r="C98" s="684">
        <v>0.16</v>
      </c>
      <c r="D98" s="1297"/>
      <c r="E98" s="1265"/>
      <c r="F98" s="684">
        <v>0.02</v>
      </c>
      <c r="G98" s="684">
        <v>0.09</v>
      </c>
      <c r="H98" s="1265"/>
      <c r="I98" s="1265"/>
      <c r="J98" s="1265"/>
      <c r="K98" s="1277"/>
      <c r="L98" s="1277"/>
      <c r="M98" s="1277"/>
    </row>
    <row r="99" spans="1:18" ht="15" customHeight="1" x14ac:dyDescent="0.2">
      <c r="A99" s="1265">
        <v>96</v>
      </c>
      <c r="B99" s="684">
        <v>3.4000000000000002E-2</v>
      </c>
      <c r="C99" s="684">
        <v>0.16</v>
      </c>
      <c r="D99" s="1297"/>
      <c r="E99" s="1265"/>
      <c r="F99" s="684">
        <v>0.02</v>
      </c>
      <c r="G99" s="684">
        <v>0.09</v>
      </c>
      <c r="H99" s="1265"/>
      <c r="I99" s="1265"/>
      <c r="J99" s="1265"/>
      <c r="K99" s="1277"/>
      <c r="L99" s="1277"/>
      <c r="M99" s="1277"/>
    </row>
    <row r="100" spans="1:18" ht="15" customHeight="1" x14ac:dyDescent="0.2">
      <c r="A100" s="1265">
        <v>97</v>
      </c>
      <c r="B100" s="684">
        <v>3.3000000000000002E-2</v>
      </c>
      <c r="C100" s="684">
        <v>0.16</v>
      </c>
      <c r="D100" s="1297"/>
      <c r="E100" s="1265"/>
      <c r="F100" s="684">
        <v>0.02</v>
      </c>
      <c r="G100" s="684">
        <v>0.09</v>
      </c>
      <c r="H100" s="1265"/>
      <c r="I100" s="1265"/>
      <c r="J100" s="1265"/>
      <c r="K100" s="1277"/>
      <c r="L100" s="1277"/>
      <c r="M100" s="1277"/>
      <c r="R100" s="113"/>
    </row>
    <row r="101" spans="1:18" ht="15" customHeight="1" x14ac:dyDescent="0.2">
      <c r="A101" s="1265">
        <v>98</v>
      </c>
      <c r="B101" s="684">
        <v>3.2000000000000001E-2</v>
      </c>
      <c r="C101" s="684">
        <v>0.16</v>
      </c>
      <c r="D101" s="1297"/>
      <c r="E101" s="1265"/>
      <c r="F101" s="684">
        <v>0.02</v>
      </c>
      <c r="G101" s="684">
        <v>0.09</v>
      </c>
      <c r="H101" s="1265"/>
      <c r="I101" s="1265"/>
      <c r="J101" s="1265"/>
      <c r="K101" s="1277"/>
      <c r="L101" s="1277"/>
      <c r="M101" s="1277"/>
      <c r="R101" s="113"/>
    </row>
    <row r="102" spans="1:18" ht="15" customHeight="1" x14ac:dyDescent="0.2">
      <c r="A102" s="1265">
        <v>99</v>
      </c>
      <c r="B102" s="684">
        <v>3.1E-2</v>
      </c>
      <c r="C102" s="684">
        <v>0.16</v>
      </c>
      <c r="D102" s="1297"/>
      <c r="E102" s="1265"/>
      <c r="F102" s="684">
        <v>0.02</v>
      </c>
      <c r="G102" s="684">
        <v>0.09</v>
      </c>
      <c r="H102" s="1265"/>
      <c r="I102" s="1265"/>
      <c r="J102" s="1265"/>
      <c r="K102" s="1277"/>
      <c r="L102" s="1277"/>
      <c r="M102" s="1277"/>
      <c r="R102" s="113"/>
    </row>
    <row r="103" spans="1:18" ht="15" customHeight="1" x14ac:dyDescent="0.2">
      <c r="A103" s="1265">
        <v>100</v>
      </c>
      <c r="B103" s="684">
        <v>0.03</v>
      </c>
      <c r="C103" s="684">
        <v>0.16</v>
      </c>
      <c r="D103" s="1297"/>
      <c r="E103" s="1265"/>
      <c r="F103" s="684">
        <v>0.02</v>
      </c>
      <c r="G103" s="684">
        <v>0.09</v>
      </c>
      <c r="H103" s="1265"/>
      <c r="I103" s="1265"/>
      <c r="J103" s="1265"/>
      <c r="K103" s="1261"/>
      <c r="L103" s="1277"/>
      <c r="M103" s="1277"/>
    </row>
    <row r="104" spans="1:18" ht="15" customHeight="1" x14ac:dyDescent="0.2">
      <c r="A104" s="1265">
        <v>101</v>
      </c>
      <c r="B104" s="684">
        <v>0.03</v>
      </c>
      <c r="C104" s="684">
        <v>0.161</v>
      </c>
      <c r="D104" s="1297"/>
      <c r="E104" s="1265"/>
      <c r="F104" s="684">
        <v>0.02</v>
      </c>
      <c r="G104" s="684">
        <v>9.0999999999999998E-2</v>
      </c>
      <c r="H104" s="1297"/>
      <c r="I104" s="1265"/>
      <c r="J104" s="1265"/>
      <c r="K104" s="1277"/>
      <c r="L104" s="1277"/>
      <c r="M104" s="1277"/>
    </row>
    <row r="105" spans="1:18" ht="15" customHeight="1" x14ac:dyDescent="0.2">
      <c r="A105" s="1265">
        <v>102</v>
      </c>
      <c r="B105" s="684">
        <v>0.03</v>
      </c>
      <c r="C105" s="684">
        <v>0.16200000000000001</v>
      </c>
      <c r="D105" s="1297"/>
      <c r="E105" s="1265"/>
      <c r="F105" s="684">
        <v>0.02</v>
      </c>
      <c r="G105" s="684">
        <v>9.1999999999999998E-2</v>
      </c>
      <c r="H105" s="1297"/>
      <c r="I105" s="1265"/>
      <c r="J105" s="1265"/>
      <c r="K105" s="1277"/>
      <c r="L105" s="1277"/>
      <c r="M105" s="1277"/>
      <c r="R105" s="113"/>
    </row>
    <row r="106" spans="1:18" ht="15" customHeight="1" x14ac:dyDescent="0.2">
      <c r="A106" s="1265">
        <v>103</v>
      </c>
      <c r="B106" s="684">
        <v>0.03</v>
      </c>
      <c r="C106" s="684">
        <v>0.16300000000000001</v>
      </c>
      <c r="D106" s="1297"/>
      <c r="E106" s="1265"/>
      <c r="F106" s="684">
        <v>0.02</v>
      </c>
      <c r="G106" s="684">
        <v>9.2999999999999999E-2</v>
      </c>
      <c r="H106" s="1297"/>
      <c r="I106" s="1265"/>
      <c r="J106" s="1265"/>
      <c r="K106" s="1277"/>
      <c r="L106" s="1277"/>
      <c r="M106" s="1277"/>
      <c r="R106" s="113"/>
    </row>
    <row r="107" spans="1:18" ht="15" customHeight="1" x14ac:dyDescent="0.2">
      <c r="A107" s="1265">
        <v>104</v>
      </c>
      <c r="B107" s="684">
        <v>0.03</v>
      </c>
      <c r="C107" s="684">
        <v>0.16400000000000001</v>
      </c>
      <c r="D107" s="1297"/>
      <c r="E107" s="1265"/>
      <c r="F107" s="684">
        <v>0.02</v>
      </c>
      <c r="G107" s="684">
        <v>9.4E-2</v>
      </c>
      <c r="H107" s="1297"/>
      <c r="I107" s="1265"/>
      <c r="J107" s="1265"/>
      <c r="K107" s="1277"/>
      <c r="L107" s="1277"/>
      <c r="M107" s="1277"/>
      <c r="R107" s="113"/>
    </row>
    <row r="108" spans="1:18" ht="15" customHeight="1" x14ac:dyDescent="0.2">
      <c r="A108" s="1265">
        <v>105</v>
      </c>
      <c r="B108" s="684">
        <v>0.03</v>
      </c>
      <c r="C108" s="684">
        <v>0.16500000000000001</v>
      </c>
      <c r="D108" s="1297"/>
      <c r="E108" s="1265"/>
      <c r="F108" s="684">
        <v>0.02</v>
      </c>
      <c r="G108" s="684">
        <v>9.5000000000000001E-2</v>
      </c>
      <c r="H108" s="1297"/>
      <c r="I108" s="1265"/>
      <c r="J108" s="1265"/>
      <c r="K108" s="1277"/>
      <c r="L108" s="1277"/>
      <c r="M108" s="1277"/>
    </row>
    <row r="109" spans="1:18" ht="15" customHeight="1" x14ac:dyDescent="0.2">
      <c r="A109" s="1265">
        <v>106</v>
      </c>
      <c r="B109" s="684">
        <v>0.03</v>
      </c>
      <c r="C109" s="684">
        <v>0.16600000000000001</v>
      </c>
      <c r="D109" s="1297"/>
      <c r="E109" s="1265"/>
      <c r="F109" s="684">
        <v>0.02</v>
      </c>
      <c r="G109" s="684">
        <v>9.6000000000000002E-2</v>
      </c>
      <c r="H109" s="1297"/>
      <c r="I109" s="1265"/>
      <c r="J109" s="1265"/>
      <c r="K109" s="1277"/>
      <c r="L109" s="1277"/>
      <c r="M109" s="1277"/>
    </row>
    <row r="110" spans="1:18" ht="15" customHeight="1" x14ac:dyDescent="0.2">
      <c r="A110" s="1265">
        <v>107</v>
      </c>
      <c r="B110" s="684">
        <v>0.03</v>
      </c>
      <c r="C110" s="684">
        <v>0.16700000000000001</v>
      </c>
      <c r="D110" s="1297"/>
      <c r="E110" s="1265"/>
      <c r="F110" s="684">
        <v>0.02</v>
      </c>
      <c r="G110" s="684">
        <v>9.7000000000000003E-2</v>
      </c>
      <c r="H110" s="1297"/>
      <c r="I110" s="1265"/>
      <c r="J110" s="1265"/>
      <c r="K110" s="1277"/>
      <c r="L110" s="1277"/>
      <c r="M110" s="1277"/>
      <c r="R110" s="113"/>
    </row>
    <row r="111" spans="1:18" ht="15" customHeight="1" x14ac:dyDescent="0.2">
      <c r="A111" s="1265">
        <v>108</v>
      </c>
      <c r="B111" s="684">
        <v>0.03</v>
      </c>
      <c r="C111" s="684">
        <v>0.16800000000000001</v>
      </c>
      <c r="D111" s="1297"/>
      <c r="E111" s="1265"/>
      <c r="F111" s="684">
        <v>0.02</v>
      </c>
      <c r="G111" s="684">
        <v>9.8000000000000004E-2</v>
      </c>
      <c r="H111" s="1297"/>
      <c r="I111" s="1265"/>
      <c r="J111" s="1265"/>
      <c r="K111" s="1277"/>
      <c r="L111" s="1277"/>
      <c r="M111" s="1277"/>
      <c r="R111" s="113"/>
    </row>
    <row r="112" spans="1:18" ht="15" customHeight="1" x14ac:dyDescent="0.2">
      <c r="A112" s="1265">
        <v>109</v>
      </c>
      <c r="B112" s="684">
        <v>0.03</v>
      </c>
      <c r="C112" s="684">
        <v>0.16900000000000001</v>
      </c>
      <c r="D112" s="1297"/>
      <c r="E112" s="1265"/>
      <c r="F112" s="684">
        <v>0.02</v>
      </c>
      <c r="G112" s="684">
        <v>9.9000000000000005E-2</v>
      </c>
      <c r="H112" s="1297"/>
      <c r="I112" s="1265"/>
      <c r="J112" s="1265"/>
      <c r="K112" s="1277"/>
      <c r="L112" s="1277"/>
      <c r="M112" s="1277"/>
      <c r="R112" s="113"/>
    </row>
    <row r="113" spans="1:18" ht="15" customHeight="1" x14ac:dyDescent="0.2">
      <c r="A113" s="1265">
        <v>110</v>
      </c>
      <c r="B113" s="684">
        <v>0.03</v>
      </c>
      <c r="C113" s="1277">
        <f t="shared" ref="C113:C153" si="2" xml:space="preserve"> 17%</f>
        <v>0.17</v>
      </c>
      <c r="D113" s="1297"/>
      <c r="E113" s="1265"/>
      <c r="F113" s="684">
        <v>0.02</v>
      </c>
      <c r="G113" s="684">
        <v>0.1</v>
      </c>
      <c r="H113" s="1297"/>
      <c r="I113" s="1265"/>
      <c r="J113" s="1265"/>
      <c r="K113" s="1277"/>
      <c r="L113" s="1277"/>
      <c r="M113" s="1277"/>
    </row>
    <row r="114" spans="1:18" ht="15" customHeight="1" x14ac:dyDescent="0.2">
      <c r="A114" s="1265">
        <v>111</v>
      </c>
      <c r="B114" s="684">
        <v>0.03</v>
      </c>
      <c r="C114" s="1277">
        <f t="shared" si="2"/>
        <v>0.17</v>
      </c>
      <c r="D114" s="1265"/>
      <c r="E114" s="1265"/>
      <c r="F114" s="684">
        <v>0.02</v>
      </c>
      <c r="G114" s="684">
        <v>0.1</v>
      </c>
      <c r="H114" s="1265"/>
      <c r="I114" s="1265"/>
      <c r="J114" s="1265"/>
      <c r="K114" s="1277"/>
      <c r="L114" s="1277"/>
      <c r="M114" s="1277"/>
    </row>
    <row r="115" spans="1:18" ht="15" customHeight="1" x14ac:dyDescent="0.2">
      <c r="A115" s="1265">
        <v>112</v>
      </c>
      <c r="B115" s="684">
        <v>0.03</v>
      </c>
      <c r="C115" s="1277">
        <f t="shared" si="2"/>
        <v>0.17</v>
      </c>
      <c r="D115" s="1265"/>
      <c r="E115" s="1265"/>
      <c r="F115" s="684">
        <v>0.02</v>
      </c>
      <c r="G115" s="684">
        <v>0.1</v>
      </c>
      <c r="H115" s="1265"/>
      <c r="I115" s="1265"/>
      <c r="J115" s="1265"/>
      <c r="K115" s="1277"/>
      <c r="L115" s="1277"/>
      <c r="M115" s="1277"/>
      <c r="R115" s="113"/>
    </row>
    <row r="116" spans="1:18" ht="15" customHeight="1" x14ac:dyDescent="0.2">
      <c r="A116" s="1265">
        <v>113</v>
      </c>
      <c r="B116" s="684">
        <v>0.03</v>
      </c>
      <c r="C116" s="1277">
        <f t="shared" si="2"/>
        <v>0.17</v>
      </c>
      <c r="D116" s="1265"/>
      <c r="E116" s="1265"/>
      <c r="F116" s="684">
        <v>0.02</v>
      </c>
      <c r="G116" s="684">
        <v>0.1</v>
      </c>
      <c r="H116" s="1265"/>
      <c r="I116" s="1265"/>
      <c r="J116" s="1265"/>
      <c r="K116" s="1277"/>
      <c r="L116" s="1277"/>
      <c r="M116" s="1277"/>
      <c r="R116" s="113"/>
    </row>
    <row r="117" spans="1:18" ht="15" customHeight="1" x14ac:dyDescent="0.2">
      <c r="A117" s="1265">
        <v>114</v>
      </c>
      <c r="B117" s="684">
        <v>0.03</v>
      </c>
      <c r="C117" s="1277">
        <f t="shared" si="2"/>
        <v>0.17</v>
      </c>
      <c r="D117" s="1265"/>
      <c r="E117" s="1265"/>
      <c r="F117" s="684">
        <v>0.02</v>
      </c>
      <c r="G117" s="684">
        <v>0.1</v>
      </c>
      <c r="H117" s="1265"/>
      <c r="I117" s="1265"/>
      <c r="J117" s="1265"/>
      <c r="K117" s="1277"/>
      <c r="L117" s="1277"/>
      <c r="M117" s="1277"/>
      <c r="R117" s="113"/>
    </row>
    <row r="118" spans="1:18" ht="15" customHeight="1" x14ac:dyDescent="0.2">
      <c r="A118" s="1265">
        <v>115</v>
      </c>
      <c r="B118" s="684">
        <v>0.03</v>
      </c>
      <c r="C118" s="1277">
        <f t="shared" si="2"/>
        <v>0.17</v>
      </c>
      <c r="D118" s="1265"/>
      <c r="E118" s="1265"/>
      <c r="F118" s="684">
        <v>0.02</v>
      </c>
      <c r="G118" s="684">
        <v>0.1</v>
      </c>
      <c r="H118" s="1265"/>
      <c r="I118" s="1265"/>
      <c r="J118" s="1265"/>
      <c r="K118" s="1277"/>
      <c r="L118" s="1277"/>
      <c r="M118" s="1277"/>
    </row>
    <row r="119" spans="1:18" ht="15" customHeight="1" x14ac:dyDescent="0.2">
      <c r="A119" s="1265">
        <v>116</v>
      </c>
      <c r="B119" s="684">
        <v>0.03</v>
      </c>
      <c r="C119" s="1277">
        <f t="shared" si="2"/>
        <v>0.17</v>
      </c>
      <c r="D119" s="1265"/>
      <c r="E119" s="1265"/>
      <c r="F119" s="684">
        <v>0.02</v>
      </c>
      <c r="G119" s="684">
        <v>0.1</v>
      </c>
      <c r="H119" s="1265"/>
      <c r="I119" s="1265"/>
      <c r="J119" s="1265"/>
      <c r="K119" s="1277"/>
      <c r="L119" s="1277"/>
      <c r="M119" s="1277"/>
    </row>
    <row r="120" spans="1:18" ht="15" customHeight="1" x14ac:dyDescent="0.2">
      <c r="A120" s="1265">
        <v>117</v>
      </c>
      <c r="B120" s="684">
        <v>0.03</v>
      </c>
      <c r="C120" s="1277">
        <f t="shared" si="2"/>
        <v>0.17</v>
      </c>
      <c r="D120" s="1265"/>
      <c r="E120" s="1265"/>
      <c r="F120" s="684">
        <v>0.02</v>
      </c>
      <c r="G120" s="684">
        <v>0.1</v>
      </c>
      <c r="H120" s="1265"/>
      <c r="I120" s="1265"/>
      <c r="J120" s="1265"/>
      <c r="K120" s="1277"/>
      <c r="L120" s="1277"/>
      <c r="M120" s="1277"/>
      <c r="R120" s="113"/>
    </row>
    <row r="121" spans="1:18" ht="15" customHeight="1" x14ac:dyDescent="0.2">
      <c r="A121" s="1265">
        <v>118</v>
      </c>
      <c r="B121" s="684">
        <v>0.03</v>
      </c>
      <c r="C121" s="1277">
        <f t="shared" si="2"/>
        <v>0.17</v>
      </c>
      <c r="D121" s="1265"/>
      <c r="E121" s="1265"/>
      <c r="F121" s="684">
        <v>0.02</v>
      </c>
      <c r="G121" s="684">
        <v>0.1</v>
      </c>
      <c r="H121" s="1265"/>
      <c r="I121" s="1265"/>
      <c r="J121" s="1265"/>
      <c r="K121" s="1277"/>
      <c r="L121" s="1277"/>
      <c r="M121" s="1277"/>
      <c r="R121" s="113"/>
    </row>
    <row r="122" spans="1:18" ht="15" customHeight="1" x14ac:dyDescent="0.2">
      <c r="A122" s="1265">
        <v>119</v>
      </c>
      <c r="B122" s="684">
        <v>0.03</v>
      </c>
      <c r="C122" s="1277">
        <f t="shared" si="2"/>
        <v>0.17</v>
      </c>
      <c r="D122" s="1265"/>
      <c r="E122" s="1265"/>
      <c r="F122" s="684">
        <v>0.02</v>
      </c>
      <c r="G122" s="684">
        <v>0.1</v>
      </c>
      <c r="H122" s="1265"/>
      <c r="I122" s="1265"/>
      <c r="J122" s="1265"/>
      <c r="K122" s="1277"/>
      <c r="L122" s="1277"/>
      <c r="M122" s="1277"/>
      <c r="R122" s="113"/>
    </row>
    <row r="123" spans="1:18" ht="15" customHeight="1" x14ac:dyDescent="0.2">
      <c r="A123" s="1265">
        <v>120</v>
      </c>
      <c r="B123" s="684">
        <v>0.03</v>
      </c>
      <c r="C123" s="1277">
        <f t="shared" si="2"/>
        <v>0.17</v>
      </c>
      <c r="D123" s="1265"/>
      <c r="E123" s="1265"/>
      <c r="F123" s="684">
        <v>0.02</v>
      </c>
      <c r="G123" s="684">
        <v>0.1</v>
      </c>
      <c r="H123" s="1265"/>
      <c r="I123" s="1265"/>
      <c r="J123" s="1265"/>
      <c r="K123" s="1277"/>
      <c r="L123" s="1277"/>
      <c r="M123" s="1277"/>
    </row>
    <row r="124" spans="1:18" ht="15" customHeight="1" x14ac:dyDescent="0.2">
      <c r="A124" s="1265">
        <v>121</v>
      </c>
      <c r="B124" s="684">
        <v>2.9000000000000001E-2</v>
      </c>
      <c r="C124" s="1277">
        <f t="shared" si="2"/>
        <v>0.17</v>
      </c>
      <c r="D124" s="1297"/>
      <c r="E124" s="1265"/>
      <c r="F124" s="684">
        <v>1.9E-2</v>
      </c>
      <c r="G124" s="684">
        <v>0.1</v>
      </c>
      <c r="H124" s="1265"/>
      <c r="I124" s="1265"/>
      <c r="J124" s="1265"/>
      <c r="K124" s="1277"/>
      <c r="L124" s="1277"/>
      <c r="M124" s="1277"/>
    </row>
    <row r="125" spans="1:18" ht="15" customHeight="1" x14ac:dyDescent="0.2">
      <c r="A125" s="1265">
        <v>122</v>
      </c>
      <c r="B125" s="684">
        <v>2.8000000000000001E-2</v>
      </c>
      <c r="C125" s="1277">
        <f t="shared" si="2"/>
        <v>0.17</v>
      </c>
      <c r="D125" s="1297"/>
      <c r="E125" s="1265"/>
      <c r="F125" s="684">
        <v>1.7999999999999999E-2</v>
      </c>
      <c r="G125" s="684">
        <v>0.1</v>
      </c>
      <c r="H125" s="1265"/>
      <c r="I125" s="1265"/>
      <c r="J125" s="1265"/>
      <c r="K125" s="1277"/>
      <c r="L125" s="1277"/>
      <c r="M125" s="1277"/>
      <c r="R125" s="113"/>
    </row>
    <row r="126" spans="1:18" ht="15" customHeight="1" x14ac:dyDescent="0.2">
      <c r="A126" s="1265">
        <v>123</v>
      </c>
      <c r="B126" s="684">
        <v>2.7E-2</v>
      </c>
      <c r="C126" s="1277">
        <f t="shared" si="2"/>
        <v>0.17</v>
      </c>
      <c r="D126" s="1297"/>
      <c r="E126" s="1265"/>
      <c r="F126" s="684">
        <v>1.7000000000000001E-2</v>
      </c>
      <c r="G126" s="684">
        <v>0.1</v>
      </c>
      <c r="H126" s="1265"/>
      <c r="I126" s="1265"/>
      <c r="J126" s="1265"/>
      <c r="K126" s="1277"/>
      <c r="L126" s="1277"/>
      <c r="M126" s="1277"/>
      <c r="R126" s="113"/>
    </row>
    <row r="127" spans="1:18" ht="15" customHeight="1" x14ac:dyDescent="0.2">
      <c r="A127" s="1265">
        <v>124</v>
      </c>
      <c r="B127" s="684">
        <v>2.5999999999999999E-2</v>
      </c>
      <c r="C127" s="1277">
        <f t="shared" si="2"/>
        <v>0.17</v>
      </c>
      <c r="D127" s="1297"/>
      <c r="E127" s="1265"/>
      <c r="F127" s="684">
        <v>1.6E-2</v>
      </c>
      <c r="G127" s="684">
        <v>0.1</v>
      </c>
      <c r="H127" s="1265"/>
      <c r="I127" s="1265"/>
      <c r="J127" s="1265"/>
      <c r="K127" s="1277"/>
      <c r="L127" s="1277"/>
      <c r="M127" s="1277"/>
      <c r="R127" s="113"/>
    </row>
    <row r="128" spans="1:18" ht="15" customHeight="1" x14ac:dyDescent="0.2">
      <c r="A128" s="1265">
        <v>125</v>
      </c>
      <c r="B128" s="684">
        <v>2.5000000000000001E-2</v>
      </c>
      <c r="C128" s="1277">
        <f t="shared" si="2"/>
        <v>0.17</v>
      </c>
      <c r="D128" s="1297"/>
      <c r="E128" s="1265"/>
      <c r="F128" s="684">
        <v>1.4999999999999999E-2</v>
      </c>
      <c r="G128" s="684">
        <v>0.1</v>
      </c>
      <c r="H128" s="1265"/>
      <c r="I128" s="1265"/>
      <c r="J128" s="1265"/>
      <c r="K128" s="1277"/>
      <c r="L128" s="1277"/>
      <c r="M128" s="1277"/>
    </row>
    <row r="129" spans="1:18" ht="15" customHeight="1" x14ac:dyDescent="0.2">
      <c r="A129" s="1265">
        <v>126</v>
      </c>
      <c r="B129" s="684">
        <v>2.4E-2</v>
      </c>
      <c r="C129" s="1277">
        <f t="shared" si="2"/>
        <v>0.17</v>
      </c>
      <c r="D129" s="1297"/>
      <c r="E129" s="1265"/>
      <c r="F129" s="684">
        <v>1.4E-2</v>
      </c>
      <c r="G129" s="684">
        <v>0.1</v>
      </c>
      <c r="H129" s="1265"/>
      <c r="I129" s="1265"/>
      <c r="J129" s="1265"/>
      <c r="K129" s="1277"/>
      <c r="L129" s="1277"/>
      <c r="M129" s="1277"/>
    </row>
    <row r="130" spans="1:18" ht="15" customHeight="1" x14ac:dyDescent="0.2">
      <c r="A130" s="1265">
        <v>127</v>
      </c>
      <c r="B130" s="684">
        <v>2.3E-2</v>
      </c>
      <c r="C130" s="1277">
        <f t="shared" si="2"/>
        <v>0.17</v>
      </c>
      <c r="D130" s="1297"/>
      <c r="E130" s="1265"/>
      <c r="F130" s="684">
        <v>1.2999999999999999E-2</v>
      </c>
      <c r="G130" s="684">
        <v>0.1</v>
      </c>
      <c r="H130" s="1265"/>
      <c r="I130" s="1265"/>
      <c r="J130" s="1265"/>
      <c r="K130" s="1277"/>
      <c r="L130" s="1277"/>
      <c r="M130" s="1277"/>
      <c r="R130" s="113"/>
    </row>
    <row r="131" spans="1:18" ht="15" customHeight="1" x14ac:dyDescent="0.2">
      <c r="A131" s="1265">
        <v>128</v>
      </c>
      <c r="B131" s="684">
        <v>2.1999999999999999E-2</v>
      </c>
      <c r="C131" s="1277">
        <f t="shared" si="2"/>
        <v>0.17</v>
      </c>
      <c r="D131" s="1297"/>
      <c r="E131" s="1265"/>
      <c r="F131" s="684">
        <v>1.2E-2</v>
      </c>
      <c r="G131" s="684">
        <v>0.1</v>
      </c>
      <c r="H131" s="1265"/>
      <c r="I131" s="1265"/>
      <c r="J131" s="1265"/>
      <c r="K131" s="1277"/>
      <c r="L131" s="1277"/>
      <c r="M131" s="1277"/>
      <c r="R131" s="113"/>
    </row>
    <row r="132" spans="1:18" ht="15" customHeight="1" x14ac:dyDescent="0.2">
      <c r="A132" s="1265">
        <v>129</v>
      </c>
      <c r="B132" s="684">
        <v>2.1000000000000001E-2</v>
      </c>
      <c r="C132" s="1277">
        <f t="shared" si="2"/>
        <v>0.17</v>
      </c>
      <c r="D132" s="1297"/>
      <c r="E132" s="1265"/>
      <c r="F132" s="684">
        <v>1.0999999999999999E-2</v>
      </c>
      <c r="G132" s="684">
        <v>0.1</v>
      </c>
      <c r="H132" s="1265"/>
      <c r="I132" s="1265"/>
      <c r="J132" s="1265"/>
      <c r="K132" s="1277"/>
      <c r="L132" s="1277"/>
      <c r="M132" s="1277"/>
      <c r="R132" s="113"/>
    </row>
    <row r="133" spans="1:18" ht="15" customHeight="1" x14ac:dyDescent="0.2">
      <c r="A133" s="1265">
        <v>130</v>
      </c>
      <c r="B133" s="684">
        <v>0.02</v>
      </c>
      <c r="C133" s="1277">
        <f t="shared" si="2"/>
        <v>0.17</v>
      </c>
      <c r="D133" s="1297"/>
      <c r="E133" s="1265"/>
      <c r="F133" s="684">
        <v>0.01</v>
      </c>
      <c r="G133" s="684">
        <v>0.1</v>
      </c>
      <c r="H133" s="1265"/>
      <c r="I133" s="1265"/>
      <c r="J133" s="1265"/>
      <c r="K133" s="1277"/>
      <c r="L133" s="1277"/>
      <c r="M133" s="1277"/>
    </row>
    <row r="134" spans="1:18" ht="15" customHeight="1" x14ac:dyDescent="0.2">
      <c r="A134" s="1265">
        <v>131</v>
      </c>
      <c r="B134" s="684">
        <v>0.02</v>
      </c>
      <c r="C134" s="1277">
        <f t="shared" si="2"/>
        <v>0.17</v>
      </c>
      <c r="D134" s="1265"/>
      <c r="E134" s="1265"/>
      <c r="F134" s="684">
        <v>0.01</v>
      </c>
      <c r="G134" s="684">
        <v>0.1</v>
      </c>
      <c r="H134" s="1265"/>
      <c r="I134" s="1265"/>
      <c r="J134" s="1265"/>
      <c r="K134" s="1277"/>
      <c r="L134" s="1277"/>
      <c r="M134" s="1277"/>
    </row>
    <row r="135" spans="1:18" ht="15" customHeight="1" x14ac:dyDescent="0.2">
      <c r="A135" s="1265">
        <v>132</v>
      </c>
      <c r="B135" s="684">
        <v>0.02</v>
      </c>
      <c r="C135" s="1277">
        <f t="shared" si="2"/>
        <v>0.17</v>
      </c>
      <c r="D135" s="1265"/>
      <c r="E135" s="1265"/>
      <c r="F135" s="684">
        <v>0.01</v>
      </c>
      <c r="G135" s="684">
        <v>0.1</v>
      </c>
      <c r="H135" s="1265"/>
      <c r="I135" s="1265"/>
      <c r="J135" s="1265"/>
      <c r="K135" s="1277"/>
      <c r="L135" s="1277"/>
      <c r="M135" s="1277"/>
      <c r="R135" s="113"/>
    </row>
    <row r="136" spans="1:18" ht="15" customHeight="1" x14ac:dyDescent="0.2">
      <c r="A136" s="1265">
        <v>133</v>
      </c>
      <c r="B136" s="684">
        <v>0.02</v>
      </c>
      <c r="C136" s="1277">
        <f t="shared" si="2"/>
        <v>0.17</v>
      </c>
      <c r="D136" s="1265"/>
      <c r="E136" s="1265"/>
      <c r="F136" s="684">
        <v>0.01</v>
      </c>
      <c r="G136" s="684">
        <v>0.1</v>
      </c>
      <c r="H136" s="1265"/>
      <c r="I136" s="1265"/>
      <c r="J136" s="1265"/>
      <c r="K136" s="1277"/>
      <c r="L136" s="1277"/>
      <c r="M136" s="1277"/>
      <c r="R136" s="113"/>
    </row>
    <row r="137" spans="1:18" ht="15" customHeight="1" x14ac:dyDescent="0.2">
      <c r="A137" s="1265">
        <v>134</v>
      </c>
      <c r="B137" s="684">
        <v>0.02</v>
      </c>
      <c r="C137" s="1277">
        <f t="shared" si="2"/>
        <v>0.17</v>
      </c>
      <c r="D137" s="1265"/>
      <c r="E137" s="1265"/>
      <c r="F137" s="684">
        <v>0.01</v>
      </c>
      <c r="G137" s="684">
        <v>0.1</v>
      </c>
      <c r="H137" s="1265"/>
      <c r="I137" s="1265"/>
      <c r="J137" s="1265"/>
      <c r="K137" s="1277"/>
      <c r="L137" s="1277"/>
      <c r="M137" s="1277"/>
      <c r="R137" s="113"/>
    </row>
    <row r="138" spans="1:18" ht="15" customHeight="1" x14ac:dyDescent="0.2">
      <c r="A138" s="1265">
        <v>135</v>
      </c>
      <c r="B138" s="684">
        <v>0.02</v>
      </c>
      <c r="C138" s="1277">
        <f t="shared" si="2"/>
        <v>0.17</v>
      </c>
      <c r="D138" s="1265"/>
      <c r="E138" s="1265"/>
      <c r="F138" s="684">
        <v>0.01</v>
      </c>
      <c r="G138" s="684">
        <v>0.1</v>
      </c>
      <c r="H138" s="1265"/>
      <c r="I138" s="1265"/>
      <c r="J138" s="1265"/>
      <c r="K138" s="1277"/>
      <c r="L138" s="1277"/>
      <c r="M138" s="1277"/>
    </row>
    <row r="139" spans="1:18" ht="15" customHeight="1" x14ac:dyDescent="0.2">
      <c r="A139" s="1265">
        <v>136</v>
      </c>
      <c r="B139" s="684">
        <v>0.02</v>
      </c>
      <c r="C139" s="1277">
        <f t="shared" si="2"/>
        <v>0.17</v>
      </c>
      <c r="D139" s="1265"/>
      <c r="E139" s="1265"/>
      <c r="F139" s="684">
        <v>0.01</v>
      </c>
      <c r="G139" s="684">
        <v>0.1</v>
      </c>
      <c r="H139" s="1265"/>
      <c r="I139" s="1265"/>
      <c r="J139" s="1265"/>
      <c r="K139" s="1277"/>
      <c r="L139" s="1277"/>
      <c r="M139" s="1277"/>
    </row>
    <row r="140" spans="1:18" ht="15" customHeight="1" x14ac:dyDescent="0.2">
      <c r="A140" s="1265">
        <v>137</v>
      </c>
      <c r="B140" s="684">
        <v>0.02</v>
      </c>
      <c r="C140" s="1277">
        <f t="shared" si="2"/>
        <v>0.17</v>
      </c>
      <c r="D140" s="1265"/>
      <c r="E140" s="1265"/>
      <c r="F140" s="684">
        <v>0.01</v>
      </c>
      <c r="G140" s="684">
        <v>0.1</v>
      </c>
      <c r="H140" s="1265"/>
      <c r="I140" s="1265"/>
      <c r="J140" s="1265"/>
      <c r="K140" s="1277"/>
      <c r="L140" s="1277"/>
      <c r="M140" s="1277"/>
      <c r="R140" s="113"/>
    </row>
    <row r="141" spans="1:18" ht="15" customHeight="1" x14ac:dyDescent="0.2">
      <c r="A141" s="1265">
        <v>138</v>
      </c>
      <c r="B141" s="684">
        <v>0.02</v>
      </c>
      <c r="C141" s="1277">
        <f t="shared" si="2"/>
        <v>0.17</v>
      </c>
      <c r="D141" s="1265"/>
      <c r="E141" s="1265"/>
      <c r="F141" s="684">
        <v>0.01</v>
      </c>
      <c r="G141" s="684">
        <v>0.1</v>
      </c>
      <c r="H141" s="1265"/>
      <c r="I141" s="1265"/>
      <c r="J141" s="1265"/>
      <c r="K141" s="1277"/>
      <c r="L141" s="1277"/>
      <c r="M141" s="1277"/>
      <c r="R141" s="113"/>
    </row>
    <row r="142" spans="1:18" ht="15" customHeight="1" x14ac:dyDescent="0.2">
      <c r="A142" s="1265">
        <v>139</v>
      </c>
      <c r="B142" s="684">
        <v>0.02</v>
      </c>
      <c r="C142" s="1277">
        <f t="shared" si="2"/>
        <v>0.17</v>
      </c>
      <c r="D142" s="1265"/>
      <c r="E142" s="1265"/>
      <c r="F142" s="684">
        <v>0.01</v>
      </c>
      <c r="G142" s="684">
        <v>0.1</v>
      </c>
      <c r="H142" s="1265"/>
      <c r="I142" s="1265"/>
      <c r="J142" s="1265"/>
      <c r="K142" s="1277"/>
      <c r="L142" s="1277"/>
      <c r="M142" s="1277"/>
      <c r="R142" s="113"/>
    </row>
    <row r="143" spans="1:18" ht="15" customHeight="1" x14ac:dyDescent="0.2">
      <c r="A143" s="1265">
        <v>140</v>
      </c>
      <c r="B143" s="684">
        <v>0.02</v>
      </c>
      <c r="C143" s="1277">
        <f t="shared" si="2"/>
        <v>0.17</v>
      </c>
      <c r="D143" s="1265"/>
      <c r="E143" s="1265"/>
      <c r="F143" s="684">
        <v>0.01</v>
      </c>
      <c r="G143" s="684">
        <v>0.1</v>
      </c>
      <c r="H143" s="1265"/>
      <c r="I143" s="1265"/>
      <c r="J143" s="1265"/>
      <c r="K143" s="1277"/>
      <c r="L143" s="1277"/>
      <c r="M143" s="1277"/>
      <c r="R143" s="113"/>
    </row>
    <row r="144" spans="1:18" ht="15" customHeight="1" x14ac:dyDescent="0.2">
      <c r="A144" s="1265">
        <v>141</v>
      </c>
      <c r="B144" s="684">
        <v>1.9E-2</v>
      </c>
      <c r="C144" s="1277">
        <f t="shared" si="2"/>
        <v>0.17</v>
      </c>
      <c r="D144" s="1297"/>
      <c r="E144" s="1265"/>
      <c r="F144" s="684">
        <v>0.01</v>
      </c>
      <c r="G144" s="684">
        <v>0.10100000000000001</v>
      </c>
      <c r="H144" s="1297"/>
      <c r="I144" s="1265"/>
      <c r="J144" s="1265"/>
      <c r="K144" s="1277"/>
      <c r="L144" s="1277"/>
      <c r="M144" s="1277"/>
      <c r="R144" s="113"/>
    </row>
    <row r="145" spans="1:23" ht="15" customHeight="1" x14ac:dyDescent="0.2">
      <c r="A145" s="1265">
        <v>142</v>
      </c>
      <c r="B145" s="684">
        <v>1.7999999999999999E-2</v>
      </c>
      <c r="C145" s="1277">
        <f t="shared" si="2"/>
        <v>0.17</v>
      </c>
      <c r="D145" s="1297"/>
      <c r="E145" s="1265"/>
      <c r="F145" s="684">
        <v>0.01</v>
      </c>
      <c r="G145" s="684">
        <v>0.10199999999999999</v>
      </c>
      <c r="H145" s="1297"/>
      <c r="I145" s="1265"/>
      <c r="J145" s="1265"/>
      <c r="K145" s="1277"/>
      <c r="L145" s="1277"/>
      <c r="M145" s="1277"/>
    </row>
    <row r="146" spans="1:23" ht="15" customHeight="1" x14ac:dyDescent="0.2">
      <c r="A146" s="1265">
        <v>143</v>
      </c>
      <c r="B146" s="684">
        <v>1.7000000000000001E-2</v>
      </c>
      <c r="C146" s="1277">
        <f t="shared" si="2"/>
        <v>0.17</v>
      </c>
      <c r="D146" s="1297"/>
      <c r="E146" s="1265"/>
      <c r="F146" s="684">
        <v>0.01</v>
      </c>
      <c r="G146" s="684">
        <v>0.10299999999999999</v>
      </c>
      <c r="H146" s="1297"/>
      <c r="I146" s="1265"/>
      <c r="J146" s="1265"/>
      <c r="K146" s="1277"/>
      <c r="L146" s="1277"/>
      <c r="M146" s="1277"/>
      <c r="R146" s="74"/>
    </row>
    <row r="147" spans="1:23" ht="15" customHeight="1" x14ac:dyDescent="0.2">
      <c r="A147" s="1265">
        <v>144</v>
      </c>
      <c r="B147" s="684">
        <v>1.6E-2</v>
      </c>
      <c r="C147" s="1277">
        <f t="shared" si="2"/>
        <v>0.17</v>
      </c>
      <c r="D147" s="1297"/>
      <c r="E147" s="1265"/>
      <c r="F147" s="684">
        <v>0.01</v>
      </c>
      <c r="G147" s="684">
        <v>0.104</v>
      </c>
      <c r="H147" s="1297"/>
      <c r="I147" s="1265"/>
      <c r="J147" s="1265"/>
      <c r="K147" s="1277"/>
      <c r="L147" s="1277"/>
      <c r="M147" s="1277"/>
      <c r="R147" s="113"/>
    </row>
    <row r="148" spans="1:23" ht="15" customHeight="1" x14ac:dyDescent="0.2">
      <c r="A148" s="1265">
        <v>145</v>
      </c>
      <c r="B148" s="684">
        <v>1.4999999999999999E-2</v>
      </c>
      <c r="C148" s="1277">
        <f t="shared" si="2"/>
        <v>0.17</v>
      </c>
      <c r="D148" s="1297"/>
      <c r="E148" s="1265"/>
      <c r="F148" s="684">
        <v>0.01</v>
      </c>
      <c r="G148" s="684">
        <v>0.105</v>
      </c>
      <c r="H148" s="1297"/>
      <c r="I148" s="1265"/>
      <c r="J148" s="1265"/>
      <c r="K148" s="1277"/>
      <c r="L148" s="1277"/>
      <c r="M148" s="1277"/>
    </row>
    <row r="149" spans="1:23" ht="15" customHeight="1" x14ac:dyDescent="0.2">
      <c r="A149" s="1265">
        <v>146</v>
      </c>
      <c r="B149" s="684">
        <v>1.4E-2</v>
      </c>
      <c r="C149" s="1277">
        <f t="shared" si="2"/>
        <v>0.17</v>
      </c>
      <c r="D149" s="1297"/>
      <c r="E149" s="1265"/>
      <c r="F149" s="684">
        <v>0.01</v>
      </c>
      <c r="G149" s="684">
        <v>0.106</v>
      </c>
      <c r="H149" s="1297"/>
      <c r="I149" s="1265"/>
      <c r="J149" s="1265"/>
      <c r="K149" s="1277"/>
      <c r="L149" s="1277"/>
      <c r="M149" s="1277"/>
      <c r="R149" s="74"/>
      <c r="U149" s="74"/>
      <c r="V149" s="74"/>
      <c r="W149" s="74"/>
    </row>
    <row r="150" spans="1:23" ht="15" customHeight="1" x14ac:dyDescent="0.2">
      <c r="A150" s="1265">
        <v>147</v>
      </c>
      <c r="B150" s="684">
        <v>1.2999999999999999E-2</v>
      </c>
      <c r="C150" s="1277">
        <f t="shared" si="2"/>
        <v>0.17</v>
      </c>
      <c r="D150" s="1297"/>
      <c r="E150" s="1265"/>
      <c r="F150" s="684">
        <v>0.01</v>
      </c>
      <c r="G150" s="684">
        <v>0.107</v>
      </c>
      <c r="H150" s="1297"/>
      <c r="I150" s="1265"/>
      <c r="J150" s="1265"/>
      <c r="K150" s="1277"/>
      <c r="L150" s="1277"/>
      <c r="M150" s="1277"/>
      <c r="O150" s="117"/>
      <c r="R150" s="113"/>
      <c r="U150" s="74"/>
      <c r="V150" s="74"/>
      <c r="W150" s="113"/>
    </row>
    <row r="151" spans="1:23" ht="15" customHeight="1" x14ac:dyDescent="0.2">
      <c r="A151" s="1265">
        <v>148</v>
      </c>
      <c r="B151" s="684">
        <v>1.2E-2</v>
      </c>
      <c r="C151" s="1277">
        <f t="shared" si="2"/>
        <v>0.17</v>
      </c>
      <c r="D151" s="1297"/>
      <c r="E151" s="1265"/>
      <c r="F151" s="684">
        <v>0.01</v>
      </c>
      <c r="G151" s="684">
        <v>0.108</v>
      </c>
      <c r="H151" s="1297"/>
      <c r="I151" s="1265"/>
      <c r="J151" s="1265"/>
      <c r="K151" s="1277"/>
      <c r="L151" s="1277"/>
      <c r="M151" s="1277"/>
      <c r="O151" s="117"/>
      <c r="R151" s="113"/>
      <c r="U151" s="74"/>
      <c r="V151" s="74"/>
      <c r="W151" s="113"/>
    </row>
    <row r="152" spans="1:23" ht="15" customHeight="1" x14ac:dyDescent="0.2">
      <c r="A152" s="1265">
        <v>149</v>
      </c>
      <c r="B152" s="684">
        <v>1.0999999999999999E-2</v>
      </c>
      <c r="C152" s="1277">
        <f t="shared" si="2"/>
        <v>0.17</v>
      </c>
      <c r="D152" s="1297"/>
      <c r="E152" s="1265"/>
      <c r="F152" s="684">
        <v>0.01</v>
      </c>
      <c r="G152" s="684">
        <v>0.109</v>
      </c>
      <c r="H152" s="1297"/>
      <c r="I152" s="1265"/>
      <c r="J152" s="1265"/>
      <c r="K152" s="1277"/>
      <c r="L152" s="1277"/>
      <c r="M152" s="1277"/>
    </row>
    <row r="153" spans="1:23" ht="15" customHeight="1" x14ac:dyDescent="0.2">
      <c r="A153" s="1265">
        <v>150</v>
      </c>
      <c r="B153" s="684">
        <v>0.01</v>
      </c>
      <c r="C153" s="1277">
        <f t="shared" si="2"/>
        <v>0.17</v>
      </c>
      <c r="D153" s="1297"/>
      <c r="E153" s="1265"/>
      <c r="F153" s="684">
        <v>0.01</v>
      </c>
      <c r="G153" s="684">
        <v>0.11</v>
      </c>
      <c r="H153" s="1297"/>
      <c r="I153" s="1265"/>
      <c r="J153" s="1265"/>
      <c r="K153" s="1277"/>
      <c r="L153" s="1277"/>
      <c r="M153" s="1277"/>
    </row>
    <row r="154" spans="1:23" x14ac:dyDescent="0.2">
      <c r="A154" s="1265">
        <v>151</v>
      </c>
      <c r="B154" s="684">
        <v>0.01</v>
      </c>
      <c r="C154" s="684">
        <v>0.17100000000000001</v>
      </c>
      <c r="D154" s="1297"/>
      <c r="E154" s="1265"/>
      <c r="F154" s="684">
        <v>0.01</v>
      </c>
      <c r="G154" s="684">
        <v>0.11</v>
      </c>
      <c r="H154" s="1265"/>
      <c r="I154" s="1265"/>
      <c r="J154" s="1265"/>
      <c r="K154" s="1277"/>
      <c r="L154" s="1277"/>
      <c r="M154" s="1277"/>
    </row>
    <row r="155" spans="1:23" x14ac:dyDescent="0.2">
      <c r="A155" s="1265">
        <v>152</v>
      </c>
      <c r="B155" s="684">
        <v>0.01</v>
      </c>
      <c r="C155" s="684">
        <v>0.17199999999999999</v>
      </c>
      <c r="D155" s="1297"/>
      <c r="E155" s="1265"/>
      <c r="F155" s="684">
        <v>0.01</v>
      </c>
      <c r="G155" s="684">
        <v>0.11</v>
      </c>
      <c r="H155" s="1265"/>
      <c r="I155" s="1265"/>
      <c r="J155" s="1265"/>
      <c r="K155" s="1277"/>
      <c r="L155" s="1277"/>
      <c r="M155" s="1277"/>
    </row>
    <row r="156" spans="1:23" x14ac:dyDescent="0.2">
      <c r="A156" s="1265">
        <v>153</v>
      </c>
      <c r="B156" s="684">
        <v>0.01</v>
      </c>
      <c r="C156" s="684">
        <v>0.17299999999999999</v>
      </c>
      <c r="D156" s="1297"/>
      <c r="E156" s="1265"/>
      <c r="F156" s="684">
        <v>0.01</v>
      </c>
      <c r="G156" s="684">
        <v>0.11</v>
      </c>
      <c r="H156" s="1265"/>
      <c r="I156" s="1265"/>
      <c r="J156" s="1265"/>
      <c r="K156" s="1277"/>
      <c r="L156" s="1277"/>
      <c r="M156" s="1277"/>
    </row>
    <row r="157" spans="1:23" x14ac:dyDescent="0.2">
      <c r="A157" s="1265">
        <v>154</v>
      </c>
      <c r="B157" s="684">
        <v>0.01</v>
      </c>
      <c r="C157" s="684">
        <v>0.17399999999999999</v>
      </c>
      <c r="D157" s="1297"/>
      <c r="E157" s="1265"/>
      <c r="F157" s="684">
        <v>0.01</v>
      </c>
      <c r="G157" s="684">
        <v>0.11</v>
      </c>
      <c r="H157" s="1265"/>
      <c r="I157" s="1265"/>
      <c r="J157" s="1265"/>
      <c r="K157" s="1277"/>
      <c r="L157" s="1277"/>
      <c r="M157" s="1277"/>
    </row>
    <row r="158" spans="1:23" x14ac:dyDescent="0.2">
      <c r="A158" s="1265">
        <v>155</v>
      </c>
      <c r="B158" s="684">
        <v>0.01</v>
      </c>
      <c r="C158" s="684">
        <v>0.17499999999999999</v>
      </c>
      <c r="D158" s="1297"/>
      <c r="E158" s="1265"/>
      <c r="F158" s="684">
        <v>0.01</v>
      </c>
      <c r="G158" s="684">
        <v>0.11</v>
      </c>
      <c r="H158" s="1265"/>
      <c r="I158" s="1265"/>
      <c r="J158" s="1265"/>
      <c r="K158" s="1277"/>
      <c r="L158" s="1277"/>
      <c r="M158" s="1277"/>
    </row>
    <row r="159" spans="1:23" x14ac:dyDescent="0.2">
      <c r="A159" s="1265">
        <v>156</v>
      </c>
      <c r="B159" s="684">
        <v>0.01</v>
      </c>
      <c r="C159" s="684">
        <v>0.17599999999999999</v>
      </c>
      <c r="D159" s="1297"/>
      <c r="E159" s="1265"/>
      <c r="F159" s="684">
        <v>0.01</v>
      </c>
      <c r="G159" s="684">
        <v>0.11</v>
      </c>
      <c r="H159" s="1265"/>
      <c r="I159" s="1265"/>
      <c r="J159" s="1265"/>
      <c r="K159" s="1277"/>
      <c r="L159" s="1277"/>
      <c r="M159" s="1277"/>
    </row>
    <row r="160" spans="1:23" x14ac:dyDescent="0.2">
      <c r="A160" s="1265">
        <v>157</v>
      </c>
      <c r="B160" s="684">
        <v>0.01</v>
      </c>
      <c r="C160" s="684">
        <v>0.17699999999999999</v>
      </c>
      <c r="D160" s="1297"/>
      <c r="E160" s="1265"/>
      <c r="F160" s="684">
        <v>0.01</v>
      </c>
      <c r="G160" s="684">
        <v>0.11</v>
      </c>
      <c r="H160" s="1265"/>
      <c r="I160" s="1265"/>
      <c r="J160" s="1265"/>
      <c r="K160" s="1277"/>
      <c r="L160" s="1277"/>
      <c r="M160" s="1277"/>
    </row>
    <row r="161" spans="1:13" x14ac:dyDescent="0.2">
      <c r="A161" s="1265">
        <v>158</v>
      </c>
      <c r="B161" s="684">
        <v>0.01</v>
      </c>
      <c r="C161" s="684">
        <v>0.17799999999999999</v>
      </c>
      <c r="D161" s="1297"/>
      <c r="E161" s="1265"/>
      <c r="F161" s="684">
        <v>0.01</v>
      </c>
      <c r="G161" s="684">
        <v>0.11</v>
      </c>
      <c r="H161" s="1265"/>
      <c r="I161" s="1265"/>
      <c r="J161" s="1265"/>
      <c r="K161" s="1277"/>
      <c r="L161" s="1277"/>
      <c r="M161" s="1277"/>
    </row>
    <row r="162" spans="1:13" x14ac:dyDescent="0.2">
      <c r="A162" s="1265">
        <v>159</v>
      </c>
      <c r="B162" s="684">
        <v>0.01</v>
      </c>
      <c r="C162" s="684">
        <v>0.17899999999999999</v>
      </c>
      <c r="D162" s="1297"/>
      <c r="E162" s="1265"/>
      <c r="F162" s="684">
        <v>0.01</v>
      </c>
      <c r="G162" s="684">
        <v>0.11</v>
      </c>
      <c r="H162" s="1265"/>
      <c r="I162" s="1265"/>
      <c r="J162" s="1265"/>
      <c r="K162" s="1277"/>
      <c r="L162" s="1277"/>
      <c r="M162" s="1277"/>
    </row>
    <row r="163" spans="1:13" x14ac:dyDescent="0.2">
      <c r="A163" s="1265">
        <v>160</v>
      </c>
      <c r="B163" s="684">
        <v>0.01</v>
      </c>
      <c r="C163" s="684">
        <v>0.18</v>
      </c>
      <c r="D163" s="1297"/>
      <c r="E163" s="1265"/>
      <c r="F163" s="684">
        <v>0.01</v>
      </c>
      <c r="G163" s="684">
        <v>0.11</v>
      </c>
      <c r="H163" s="1265"/>
      <c r="I163" s="1265"/>
      <c r="J163" s="1265"/>
      <c r="K163" s="1277"/>
      <c r="L163" s="1277"/>
      <c r="M163" s="1277"/>
    </row>
    <row r="164" spans="1:13" x14ac:dyDescent="0.2">
      <c r="A164" s="1265">
        <v>161</v>
      </c>
      <c r="B164" s="684">
        <v>0.01</v>
      </c>
      <c r="C164" s="684">
        <v>0.18</v>
      </c>
      <c r="D164" s="1265"/>
      <c r="E164" s="1265"/>
      <c r="F164" s="684">
        <v>8.9999999999999993E-3</v>
      </c>
      <c r="G164" s="684">
        <v>0.11</v>
      </c>
      <c r="H164" s="1265"/>
      <c r="I164" s="1265"/>
      <c r="J164" s="1265"/>
      <c r="K164" s="1277"/>
      <c r="L164" s="1277"/>
      <c r="M164" s="1277"/>
    </row>
    <row r="165" spans="1:13" x14ac:dyDescent="0.2">
      <c r="A165" s="1265">
        <v>162</v>
      </c>
      <c r="B165" s="684">
        <v>0.01</v>
      </c>
      <c r="C165" s="684">
        <v>0.18</v>
      </c>
      <c r="D165" s="1265"/>
      <c r="E165" s="1265"/>
      <c r="F165" s="684">
        <v>8.0000000000000002E-3</v>
      </c>
      <c r="G165" s="684">
        <v>0.11</v>
      </c>
      <c r="H165" s="1265"/>
      <c r="I165" s="1265"/>
      <c r="J165" s="1265"/>
      <c r="K165" s="1277"/>
      <c r="L165" s="1277"/>
      <c r="M165" s="1277"/>
    </row>
    <row r="166" spans="1:13" x14ac:dyDescent="0.2">
      <c r="A166" s="1265">
        <v>163</v>
      </c>
      <c r="B166" s="684">
        <v>0.01</v>
      </c>
      <c r="C166" s="684">
        <v>0.18</v>
      </c>
      <c r="D166" s="1265"/>
      <c r="E166" s="1265"/>
      <c r="F166" s="684">
        <v>7.0000000000000001E-3</v>
      </c>
      <c r="G166" s="684">
        <v>0.11</v>
      </c>
      <c r="H166" s="1265"/>
      <c r="I166" s="1265"/>
      <c r="J166" s="1265"/>
      <c r="K166" s="1277"/>
      <c r="L166" s="1277"/>
      <c r="M166" s="1277"/>
    </row>
    <row r="167" spans="1:13" x14ac:dyDescent="0.2">
      <c r="A167" s="1265">
        <v>164</v>
      </c>
      <c r="B167" s="684">
        <v>0.01</v>
      </c>
      <c r="C167" s="684">
        <v>0.18</v>
      </c>
      <c r="D167" s="1265"/>
      <c r="E167" s="1265"/>
      <c r="F167" s="684">
        <v>6.0000000000000001E-3</v>
      </c>
      <c r="G167" s="684">
        <v>0.11</v>
      </c>
      <c r="H167" s="1265"/>
      <c r="I167" s="1265"/>
      <c r="J167" s="1265"/>
      <c r="K167" s="1277"/>
      <c r="L167" s="1277"/>
      <c r="M167" s="1277"/>
    </row>
    <row r="168" spans="1:13" x14ac:dyDescent="0.2">
      <c r="A168" s="1265">
        <v>165</v>
      </c>
      <c r="B168" s="684">
        <v>0.01</v>
      </c>
      <c r="C168" s="684">
        <v>0.18</v>
      </c>
      <c r="D168" s="1265"/>
      <c r="E168" s="1265"/>
      <c r="F168" s="684">
        <v>5.0000000000000001E-3</v>
      </c>
      <c r="G168" s="684">
        <v>0.11</v>
      </c>
      <c r="H168" s="1265"/>
      <c r="I168" s="1265"/>
      <c r="J168" s="1265"/>
      <c r="K168" s="1277"/>
      <c r="L168" s="1277"/>
      <c r="M168" s="1277"/>
    </row>
    <row r="169" spans="1:13" x14ac:dyDescent="0.2">
      <c r="A169" s="1265">
        <v>166</v>
      </c>
      <c r="B169" s="684">
        <v>0.01</v>
      </c>
      <c r="C169" s="684">
        <v>0.18</v>
      </c>
      <c r="D169" s="1265"/>
      <c r="E169" s="1265"/>
      <c r="F169" s="684">
        <v>4.0000000000000001E-3</v>
      </c>
      <c r="G169" s="684">
        <v>0.11</v>
      </c>
      <c r="H169" s="1265"/>
      <c r="I169" s="1265"/>
      <c r="J169" s="1265"/>
      <c r="K169" s="1277"/>
      <c r="L169" s="1277"/>
      <c r="M169" s="1277"/>
    </row>
    <row r="170" spans="1:13" x14ac:dyDescent="0.2">
      <c r="A170" s="1265">
        <v>167</v>
      </c>
      <c r="B170" s="684">
        <v>0.01</v>
      </c>
      <c r="C170" s="684">
        <v>0.18</v>
      </c>
      <c r="D170" s="1265"/>
      <c r="E170" s="1265"/>
      <c r="F170" s="684">
        <v>3.0000000000000001E-3</v>
      </c>
      <c r="G170" s="684">
        <v>0.11</v>
      </c>
      <c r="H170" s="1265"/>
      <c r="I170" s="1265"/>
      <c r="J170" s="1265"/>
      <c r="K170" s="1277"/>
      <c r="L170" s="1277"/>
      <c r="M170" s="1277"/>
    </row>
    <row r="171" spans="1:13" x14ac:dyDescent="0.2">
      <c r="A171" s="1265">
        <v>168</v>
      </c>
      <c r="B171" s="684">
        <v>0.01</v>
      </c>
      <c r="C171" s="684">
        <v>0.18</v>
      </c>
      <c r="D171" s="1265"/>
      <c r="E171" s="1265"/>
      <c r="F171" s="684">
        <v>2E-3</v>
      </c>
      <c r="G171" s="684">
        <v>0.11</v>
      </c>
      <c r="H171" s="1265"/>
      <c r="I171" s="1265"/>
      <c r="J171" s="1265"/>
      <c r="K171" s="1277"/>
      <c r="L171" s="1277"/>
      <c r="M171" s="1277"/>
    </row>
    <row r="172" spans="1:13" x14ac:dyDescent="0.2">
      <c r="A172" s="1265">
        <v>169</v>
      </c>
      <c r="B172" s="684">
        <v>0.01</v>
      </c>
      <c r="C172" s="684">
        <v>0.18</v>
      </c>
      <c r="D172" s="1265"/>
      <c r="E172" s="1265"/>
      <c r="F172" s="684">
        <v>1E-3</v>
      </c>
      <c r="G172" s="684">
        <v>0.11</v>
      </c>
      <c r="H172" s="1265"/>
      <c r="I172" s="1265"/>
      <c r="J172" s="1265"/>
      <c r="K172" s="1277"/>
      <c r="L172" s="1277"/>
      <c r="M172" s="1277"/>
    </row>
    <row r="173" spans="1:13" x14ac:dyDescent="0.2">
      <c r="A173" s="1265">
        <v>170</v>
      </c>
      <c r="B173" s="684">
        <v>0.01</v>
      </c>
      <c r="C173" s="684">
        <v>0.18</v>
      </c>
      <c r="D173" s="1265"/>
      <c r="E173" s="1265"/>
      <c r="F173" s="684">
        <v>0</v>
      </c>
      <c r="G173" s="684">
        <v>0.11</v>
      </c>
      <c r="H173" s="1265"/>
      <c r="I173" s="1265"/>
      <c r="J173" s="1265"/>
      <c r="K173" s="1277"/>
      <c r="L173" s="1277"/>
      <c r="M173" s="1277"/>
    </row>
    <row r="174" spans="1:13" x14ac:dyDescent="0.2">
      <c r="A174" s="1265">
        <v>171</v>
      </c>
      <c r="B174" s="684">
        <v>8.9999999999999993E-3</v>
      </c>
      <c r="C174" s="684">
        <v>0.18</v>
      </c>
      <c r="D174" s="1297"/>
      <c r="E174" s="1265"/>
      <c r="F174" s="684">
        <v>0</v>
      </c>
      <c r="G174" s="684">
        <v>0.11</v>
      </c>
      <c r="H174" s="1265"/>
      <c r="I174" s="1265"/>
      <c r="J174" s="1265"/>
      <c r="K174" s="1277"/>
      <c r="L174" s="1277"/>
      <c r="M174" s="1277"/>
    </row>
    <row r="175" spans="1:13" x14ac:dyDescent="0.2">
      <c r="A175" s="1265">
        <v>172</v>
      </c>
      <c r="B175" s="684">
        <v>8.0000000000000002E-3</v>
      </c>
      <c r="C175" s="684">
        <v>0.18</v>
      </c>
      <c r="D175" s="1297"/>
      <c r="E175" s="1265"/>
      <c r="F175" s="684">
        <v>0</v>
      </c>
      <c r="G175" s="684">
        <v>0.11</v>
      </c>
      <c r="H175" s="1265"/>
      <c r="I175" s="1265"/>
      <c r="J175" s="1265"/>
      <c r="K175" s="1277"/>
      <c r="L175" s="1277"/>
      <c r="M175" s="1277"/>
    </row>
    <row r="176" spans="1:13" x14ac:dyDescent="0.2">
      <c r="A176" s="1265">
        <v>173</v>
      </c>
      <c r="B176" s="684">
        <v>7.0000000000000001E-3</v>
      </c>
      <c r="C176" s="684">
        <v>0.18</v>
      </c>
      <c r="D176" s="1297"/>
      <c r="E176" s="1265"/>
      <c r="F176" s="684">
        <v>0</v>
      </c>
      <c r="G176" s="684">
        <v>0.11</v>
      </c>
      <c r="H176" s="1265"/>
      <c r="I176" s="1265"/>
      <c r="J176" s="1265"/>
      <c r="K176" s="1277"/>
      <c r="L176" s="1277"/>
      <c r="M176" s="1277"/>
    </row>
    <row r="177" spans="1:13" x14ac:dyDescent="0.2">
      <c r="A177" s="1265">
        <v>174</v>
      </c>
      <c r="B177" s="684">
        <v>6.0000000000000001E-3</v>
      </c>
      <c r="C177" s="684">
        <v>0.18</v>
      </c>
      <c r="D177" s="1297"/>
      <c r="E177" s="1265"/>
      <c r="F177" s="684">
        <v>0</v>
      </c>
      <c r="G177" s="684">
        <v>0.11</v>
      </c>
      <c r="H177" s="1265"/>
      <c r="I177" s="1265"/>
      <c r="J177" s="1265"/>
      <c r="K177" s="1277"/>
      <c r="L177" s="1277"/>
      <c r="M177" s="1277"/>
    </row>
    <row r="178" spans="1:13" x14ac:dyDescent="0.2">
      <c r="A178" s="1265">
        <v>175</v>
      </c>
      <c r="B178" s="684">
        <v>5.0000000000000001E-3</v>
      </c>
      <c r="C178" s="684">
        <v>0.18</v>
      </c>
      <c r="D178" s="1297"/>
      <c r="E178" s="1265"/>
      <c r="F178" s="684">
        <v>0</v>
      </c>
      <c r="G178" s="684">
        <v>0.11</v>
      </c>
      <c r="H178" s="1265"/>
      <c r="I178" s="1265"/>
      <c r="J178" s="1265"/>
      <c r="K178" s="1277"/>
      <c r="L178" s="1277"/>
      <c r="M178" s="1277"/>
    </row>
    <row r="179" spans="1:13" x14ac:dyDescent="0.2">
      <c r="A179" s="1265">
        <v>176</v>
      </c>
      <c r="B179" s="684">
        <v>4.0000000000000001E-3</v>
      </c>
      <c r="C179" s="684">
        <v>0.18</v>
      </c>
      <c r="D179" s="1297"/>
      <c r="E179" s="1265"/>
      <c r="F179" s="684">
        <v>0</v>
      </c>
      <c r="G179" s="684">
        <v>0.11</v>
      </c>
      <c r="H179" s="1265"/>
      <c r="I179" s="1265"/>
      <c r="J179" s="1265"/>
      <c r="K179" s="1277"/>
      <c r="L179" s="1277"/>
      <c r="M179" s="1277"/>
    </row>
    <row r="180" spans="1:13" x14ac:dyDescent="0.2">
      <c r="A180" s="1265">
        <v>177</v>
      </c>
      <c r="B180" s="684">
        <v>3.0000000000000001E-3</v>
      </c>
      <c r="C180" s="684">
        <v>0.18</v>
      </c>
      <c r="D180" s="1297"/>
      <c r="E180" s="1265"/>
      <c r="F180" s="684">
        <v>0</v>
      </c>
      <c r="G180" s="684">
        <v>0.11</v>
      </c>
      <c r="H180" s="1265"/>
      <c r="I180" s="1265"/>
      <c r="J180" s="1265"/>
      <c r="K180" s="1277"/>
      <c r="L180" s="1277"/>
      <c r="M180" s="1277"/>
    </row>
    <row r="181" spans="1:13" x14ac:dyDescent="0.2">
      <c r="A181" s="1265">
        <v>178</v>
      </c>
      <c r="B181" s="684">
        <v>2E-3</v>
      </c>
      <c r="C181" s="684">
        <v>0.18</v>
      </c>
      <c r="D181" s="1297"/>
      <c r="E181" s="1265"/>
      <c r="F181" s="684">
        <v>0</v>
      </c>
      <c r="G181" s="684">
        <v>0.11</v>
      </c>
      <c r="H181" s="1265"/>
      <c r="I181" s="1265"/>
      <c r="J181" s="1265"/>
      <c r="K181" s="1277"/>
      <c r="L181" s="1277"/>
      <c r="M181" s="1277"/>
    </row>
    <row r="182" spans="1:13" x14ac:dyDescent="0.2">
      <c r="A182" s="1265">
        <v>179</v>
      </c>
      <c r="B182" s="684">
        <v>1E-3</v>
      </c>
      <c r="C182" s="684">
        <v>0.18</v>
      </c>
      <c r="D182" s="1297"/>
      <c r="E182" s="1265"/>
      <c r="F182" s="684">
        <v>0</v>
      </c>
      <c r="G182" s="684">
        <v>0.11</v>
      </c>
      <c r="H182" s="1265"/>
      <c r="I182" s="1265"/>
      <c r="J182" s="1265"/>
      <c r="K182" s="1277"/>
      <c r="L182" s="1277"/>
      <c r="M182" s="1277"/>
    </row>
    <row r="183" spans="1:13" x14ac:dyDescent="0.2">
      <c r="A183" s="1265">
        <v>180</v>
      </c>
      <c r="B183" s="684">
        <v>0</v>
      </c>
      <c r="C183" s="684">
        <v>0.18</v>
      </c>
      <c r="D183" s="1297"/>
      <c r="E183" s="1265"/>
      <c r="F183" s="684">
        <v>0</v>
      </c>
      <c r="G183" s="684">
        <v>0.11</v>
      </c>
      <c r="H183" s="1297"/>
      <c r="I183" s="1265"/>
      <c r="J183" s="1265"/>
      <c r="K183" s="1277"/>
      <c r="L183" s="1277"/>
      <c r="M183" s="1277"/>
    </row>
    <row r="304" spans="3:3" x14ac:dyDescent="0.2">
      <c r="C304" s="19"/>
    </row>
    <row r="305" spans="1:3" x14ac:dyDescent="0.2">
      <c r="C305" s="19"/>
    </row>
    <row r="306" spans="1:3" x14ac:dyDescent="0.2">
      <c r="C306" s="19"/>
    </row>
    <row r="307" spans="1:3" x14ac:dyDescent="0.2">
      <c r="A307" s="19"/>
      <c r="C307" s="19"/>
    </row>
    <row r="308" spans="1:3" x14ac:dyDescent="0.2">
      <c r="A308" s="19"/>
      <c r="C308" s="19"/>
    </row>
    <row r="309" spans="1:3" x14ac:dyDescent="0.2">
      <c r="A309" s="19"/>
      <c r="C309" s="19"/>
    </row>
    <row r="310" spans="1:3" x14ac:dyDescent="0.2">
      <c r="A310" s="19"/>
      <c r="C310" s="19"/>
    </row>
    <row r="311" spans="1:3" x14ac:dyDescent="0.2">
      <c r="A311" s="19"/>
      <c r="C311" s="19"/>
    </row>
    <row r="312" spans="1:3" x14ac:dyDescent="0.2">
      <c r="A312" s="19"/>
    </row>
    <row r="313" spans="1:3" x14ac:dyDescent="0.2">
      <c r="A313" s="19"/>
    </row>
    <row r="314" spans="1:3" x14ac:dyDescent="0.2">
      <c r="A314" s="19"/>
    </row>
    <row r="315" spans="1:3" x14ac:dyDescent="0.2">
      <c r="A315" s="19"/>
    </row>
    <row r="316" spans="1:3" x14ac:dyDescent="0.2">
      <c r="A316" s="19"/>
    </row>
    <row r="317" spans="1:3" x14ac:dyDescent="0.2">
      <c r="A317" s="19"/>
    </row>
    <row r="318" spans="1:3" x14ac:dyDescent="0.2">
      <c r="A318" s="19"/>
    </row>
    <row r="319" spans="1:3" x14ac:dyDescent="0.2">
      <c r="A319" s="19"/>
    </row>
    <row r="320" spans="1:3" x14ac:dyDescent="0.2">
      <c r="A320" s="19"/>
    </row>
    <row r="321" spans="1:1" x14ac:dyDescent="0.2">
      <c r="A321" s="19"/>
    </row>
    <row r="322" spans="1:1" x14ac:dyDescent="0.2">
      <c r="A322" s="19"/>
    </row>
    <row r="323" spans="1:1" x14ac:dyDescent="0.2">
      <c r="A323" s="19"/>
    </row>
    <row r="324" spans="1:1" x14ac:dyDescent="0.2">
      <c r="A324" s="19"/>
    </row>
    <row r="325" spans="1:1" x14ac:dyDescent="0.2">
      <c r="A325" s="19"/>
    </row>
    <row r="326" spans="1:1" x14ac:dyDescent="0.2">
      <c r="A326" s="19"/>
    </row>
    <row r="327" spans="1:1" x14ac:dyDescent="0.2">
      <c r="A327" s="19"/>
    </row>
    <row r="328" spans="1:1" x14ac:dyDescent="0.2">
      <c r="A328" s="19"/>
    </row>
    <row r="329" spans="1:1" x14ac:dyDescent="0.2">
      <c r="A329" s="19"/>
    </row>
    <row r="330" spans="1:1" x14ac:dyDescent="0.2">
      <c r="A330" s="19"/>
    </row>
    <row r="331" spans="1:1" x14ac:dyDescent="0.2">
      <c r="A331" s="19"/>
    </row>
    <row r="332" spans="1:1" x14ac:dyDescent="0.2">
      <c r="A332" s="19"/>
    </row>
    <row r="333" spans="1:1" x14ac:dyDescent="0.2">
      <c r="A333" s="19"/>
    </row>
    <row r="334" spans="1:1" x14ac:dyDescent="0.2">
      <c r="A334" s="19"/>
    </row>
    <row r="335" spans="1:1" x14ac:dyDescent="0.2">
      <c r="A335" s="19"/>
    </row>
    <row r="336" spans="1:1" x14ac:dyDescent="0.2">
      <c r="A336" s="19"/>
    </row>
    <row r="337" spans="1:1" x14ac:dyDescent="0.2">
      <c r="A337" s="19"/>
    </row>
    <row r="338" spans="1:1" x14ac:dyDescent="0.2">
      <c r="A338" s="19"/>
    </row>
    <row r="339" spans="1:1" x14ac:dyDescent="0.2">
      <c r="A339" s="19"/>
    </row>
    <row r="340" spans="1:1" x14ac:dyDescent="0.2">
      <c r="A340" s="19"/>
    </row>
    <row r="341" spans="1:1" x14ac:dyDescent="0.2">
      <c r="A341" s="19"/>
    </row>
    <row r="342" spans="1:1" x14ac:dyDescent="0.2">
      <c r="A342" s="19"/>
    </row>
    <row r="343" spans="1:1" x14ac:dyDescent="0.2">
      <c r="A343" s="19"/>
    </row>
    <row r="344" spans="1:1" x14ac:dyDescent="0.2">
      <c r="A344" s="19"/>
    </row>
    <row r="345" spans="1:1" x14ac:dyDescent="0.2">
      <c r="A345" s="19"/>
    </row>
    <row r="346" spans="1:1" x14ac:dyDescent="0.2">
      <c r="A346" s="19"/>
    </row>
    <row r="347" spans="1:1" x14ac:dyDescent="0.2">
      <c r="A347" s="19"/>
    </row>
    <row r="348" spans="1:1" x14ac:dyDescent="0.2">
      <c r="A348" s="19"/>
    </row>
    <row r="349" spans="1:1" x14ac:dyDescent="0.2">
      <c r="A349" s="19"/>
    </row>
    <row r="350" spans="1:1" x14ac:dyDescent="0.2">
      <c r="A350" s="19"/>
    </row>
    <row r="351" spans="1:1" x14ac:dyDescent="0.2">
      <c r="A351" s="19"/>
    </row>
    <row r="352" spans="1:1" x14ac:dyDescent="0.2">
      <c r="A352" s="19"/>
    </row>
    <row r="353" spans="1:1" x14ac:dyDescent="0.2">
      <c r="A353" s="19"/>
    </row>
    <row r="354" spans="1:1" x14ac:dyDescent="0.2">
      <c r="A354" s="19"/>
    </row>
    <row r="355" spans="1:1" x14ac:dyDescent="0.2">
      <c r="A355" s="19"/>
    </row>
    <row r="356" spans="1:1" x14ac:dyDescent="0.2">
      <c r="A356" s="19"/>
    </row>
    <row r="357" spans="1:1" x14ac:dyDescent="0.2">
      <c r="A357" s="19"/>
    </row>
    <row r="358" spans="1:1" x14ac:dyDescent="0.2">
      <c r="A358" s="19"/>
    </row>
    <row r="359" spans="1:1" x14ac:dyDescent="0.2">
      <c r="A359" s="19"/>
    </row>
    <row r="360" spans="1:1" x14ac:dyDescent="0.2">
      <c r="A360" s="19"/>
    </row>
    <row r="361" spans="1:1" x14ac:dyDescent="0.2">
      <c r="A361" s="19"/>
    </row>
    <row r="362" spans="1:1" x14ac:dyDescent="0.2">
      <c r="A362" s="19"/>
    </row>
    <row r="363" spans="1:1" x14ac:dyDescent="0.2">
      <c r="A363" s="19"/>
    </row>
    <row r="364" spans="1:1" x14ac:dyDescent="0.2">
      <c r="A364" s="19"/>
    </row>
    <row r="365" spans="1:1" x14ac:dyDescent="0.2">
      <c r="A365" s="19"/>
    </row>
    <row r="366" spans="1:1" x14ac:dyDescent="0.2">
      <c r="A366" s="19"/>
    </row>
    <row r="367" spans="1:1" x14ac:dyDescent="0.2">
      <c r="A367" s="19"/>
    </row>
    <row r="368" spans="1:1" x14ac:dyDescent="0.2">
      <c r="A368" s="19"/>
    </row>
    <row r="369" spans="1:1" x14ac:dyDescent="0.2">
      <c r="A369" s="19"/>
    </row>
    <row r="370" spans="1:1" x14ac:dyDescent="0.2">
      <c r="A370" s="19"/>
    </row>
    <row r="371" spans="1:1" x14ac:dyDescent="0.2">
      <c r="A371" s="19"/>
    </row>
    <row r="372" spans="1:1" x14ac:dyDescent="0.2">
      <c r="A372" s="19"/>
    </row>
    <row r="373" spans="1:1" x14ac:dyDescent="0.2">
      <c r="A373" s="19"/>
    </row>
    <row r="374" spans="1:1" x14ac:dyDescent="0.2">
      <c r="A374" s="19"/>
    </row>
    <row r="375" spans="1:1" x14ac:dyDescent="0.2">
      <c r="A375" s="19"/>
    </row>
    <row r="376" spans="1:1" x14ac:dyDescent="0.2">
      <c r="A376" s="19"/>
    </row>
    <row r="377" spans="1:1" x14ac:dyDescent="0.2">
      <c r="A377" s="19"/>
    </row>
    <row r="378" spans="1:1" x14ac:dyDescent="0.2">
      <c r="A378" s="19"/>
    </row>
    <row r="379" spans="1:1" x14ac:dyDescent="0.2">
      <c r="A379" s="19"/>
    </row>
    <row r="380" spans="1:1" x14ac:dyDescent="0.2">
      <c r="A380" s="19"/>
    </row>
    <row r="381" spans="1:1" x14ac:dyDescent="0.2">
      <c r="A381" s="19"/>
    </row>
    <row r="382" spans="1:1" x14ac:dyDescent="0.2">
      <c r="A382" s="19"/>
    </row>
    <row r="383" spans="1:1" x14ac:dyDescent="0.2">
      <c r="A383" s="19"/>
    </row>
    <row r="384" spans="1:1" x14ac:dyDescent="0.2">
      <c r="A384" s="19"/>
    </row>
    <row r="385" spans="1:1" x14ac:dyDescent="0.2">
      <c r="A385" s="19"/>
    </row>
    <row r="386" spans="1:1" x14ac:dyDescent="0.2">
      <c r="A386" s="19"/>
    </row>
    <row r="387" spans="1:1" x14ac:dyDescent="0.2">
      <c r="A387" s="19"/>
    </row>
    <row r="388" spans="1:1" x14ac:dyDescent="0.2">
      <c r="A388" s="19"/>
    </row>
    <row r="389" spans="1:1" x14ac:dyDescent="0.2">
      <c r="A389" s="19"/>
    </row>
    <row r="390" spans="1:1" x14ac:dyDescent="0.2">
      <c r="A390" s="19"/>
    </row>
    <row r="391" spans="1:1" x14ac:dyDescent="0.2">
      <c r="A391" s="19"/>
    </row>
    <row r="392" spans="1:1" x14ac:dyDescent="0.2">
      <c r="A392" s="19"/>
    </row>
    <row r="393" spans="1:1" x14ac:dyDescent="0.2">
      <c r="A393" s="19"/>
    </row>
    <row r="394" spans="1:1" x14ac:dyDescent="0.2">
      <c r="A394" s="19"/>
    </row>
    <row r="395" spans="1:1" x14ac:dyDescent="0.2">
      <c r="A395" s="19"/>
    </row>
    <row r="396" spans="1:1" x14ac:dyDescent="0.2">
      <c r="A396" s="19"/>
    </row>
    <row r="397" spans="1:1" x14ac:dyDescent="0.2">
      <c r="A397" s="19"/>
    </row>
    <row r="398" spans="1:1" x14ac:dyDescent="0.2">
      <c r="A398" s="19"/>
    </row>
    <row r="399" spans="1:1" x14ac:dyDescent="0.2">
      <c r="A399" s="19"/>
    </row>
    <row r="400" spans="1:1" x14ac:dyDescent="0.2">
      <c r="A400" s="19"/>
    </row>
    <row r="401" spans="1:1" x14ac:dyDescent="0.2">
      <c r="A401" s="19"/>
    </row>
    <row r="402" spans="1:1" x14ac:dyDescent="0.2">
      <c r="A402" s="19"/>
    </row>
    <row r="403" spans="1:1" x14ac:dyDescent="0.2">
      <c r="A403" s="19"/>
    </row>
    <row r="404" spans="1:1" x14ac:dyDescent="0.2">
      <c r="A404" s="19"/>
    </row>
    <row r="405" spans="1:1" x14ac:dyDescent="0.2">
      <c r="A405" s="19"/>
    </row>
    <row r="406" spans="1:1" x14ac:dyDescent="0.2">
      <c r="A406" s="19"/>
    </row>
    <row r="407" spans="1:1" x14ac:dyDescent="0.2">
      <c r="A407" s="19"/>
    </row>
    <row r="408" spans="1:1" x14ac:dyDescent="0.2">
      <c r="A408" s="19"/>
    </row>
    <row r="409" spans="1:1" x14ac:dyDescent="0.2">
      <c r="A409" s="19"/>
    </row>
    <row r="410" spans="1:1" x14ac:dyDescent="0.2">
      <c r="A410" s="19"/>
    </row>
    <row r="411" spans="1:1" x14ac:dyDescent="0.2">
      <c r="A411" s="19"/>
    </row>
    <row r="412" spans="1:1" x14ac:dyDescent="0.2">
      <c r="A412" s="19"/>
    </row>
    <row r="413" spans="1:1" x14ac:dyDescent="0.2">
      <c r="A413" s="19"/>
    </row>
    <row r="414" spans="1:1" x14ac:dyDescent="0.2">
      <c r="A414" s="19"/>
    </row>
    <row r="415" spans="1:1" x14ac:dyDescent="0.2">
      <c r="A415" s="19"/>
    </row>
    <row r="416" spans="1:1" x14ac:dyDescent="0.2">
      <c r="A416" s="19"/>
    </row>
    <row r="417" spans="1:1" x14ac:dyDescent="0.2">
      <c r="A417" s="19"/>
    </row>
    <row r="418" spans="1:1" x14ac:dyDescent="0.2">
      <c r="A418" s="19"/>
    </row>
    <row r="419" spans="1:1" x14ac:dyDescent="0.2">
      <c r="A419" s="19"/>
    </row>
    <row r="420" spans="1:1" x14ac:dyDescent="0.2">
      <c r="A420" s="19"/>
    </row>
    <row r="421" spans="1:1" x14ac:dyDescent="0.2">
      <c r="A421" s="19"/>
    </row>
    <row r="422" spans="1:1" x14ac:dyDescent="0.2">
      <c r="A422" s="19"/>
    </row>
    <row r="423" spans="1:1" x14ac:dyDescent="0.2">
      <c r="A423" s="19"/>
    </row>
    <row r="424" spans="1:1" x14ac:dyDescent="0.2">
      <c r="A424" s="19"/>
    </row>
    <row r="425" spans="1:1" x14ac:dyDescent="0.2">
      <c r="A425" s="19"/>
    </row>
    <row r="426" spans="1:1" x14ac:dyDescent="0.2">
      <c r="A426" s="19"/>
    </row>
    <row r="427" spans="1:1" x14ac:dyDescent="0.2">
      <c r="A427" s="19"/>
    </row>
    <row r="428" spans="1:1" x14ac:dyDescent="0.2">
      <c r="A428" s="19"/>
    </row>
    <row r="429" spans="1:1" x14ac:dyDescent="0.2">
      <c r="A429" s="19"/>
    </row>
    <row r="430" spans="1:1" x14ac:dyDescent="0.2">
      <c r="A430" s="19"/>
    </row>
    <row r="431" spans="1:1" x14ac:dyDescent="0.2">
      <c r="A431" s="19"/>
    </row>
    <row r="432" spans="1:1" x14ac:dyDescent="0.2">
      <c r="A432" s="19"/>
    </row>
    <row r="433" spans="1:1" x14ac:dyDescent="0.2">
      <c r="A433" s="19"/>
    </row>
    <row r="434" spans="1:1" x14ac:dyDescent="0.2">
      <c r="A434" s="19"/>
    </row>
    <row r="435" spans="1:1" x14ac:dyDescent="0.2">
      <c r="A435" s="19"/>
    </row>
    <row r="436" spans="1:1" x14ac:dyDescent="0.2">
      <c r="A436" s="19"/>
    </row>
    <row r="437" spans="1:1" x14ac:dyDescent="0.2">
      <c r="A437" s="19"/>
    </row>
    <row r="438" spans="1:1" x14ac:dyDescent="0.2">
      <c r="A438" s="19"/>
    </row>
    <row r="439" spans="1:1" x14ac:dyDescent="0.2">
      <c r="A439" s="19"/>
    </row>
    <row r="440" spans="1:1" x14ac:dyDescent="0.2">
      <c r="A440" s="19"/>
    </row>
    <row r="441" spans="1:1" x14ac:dyDescent="0.2">
      <c r="A441" s="19"/>
    </row>
    <row r="442" spans="1:1" x14ac:dyDescent="0.2">
      <c r="A442" s="19"/>
    </row>
    <row r="443" spans="1:1" x14ac:dyDescent="0.2">
      <c r="A443" s="19"/>
    </row>
    <row r="444" spans="1:1" x14ac:dyDescent="0.2">
      <c r="A444" s="19"/>
    </row>
    <row r="445" spans="1:1" x14ac:dyDescent="0.2">
      <c r="A445" s="19"/>
    </row>
    <row r="446" spans="1:1" x14ac:dyDescent="0.2">
      <c r="A446" s="19"/>
    </row>
    <row r="447" spans="1:1" x14ac:dyDescent="0.2">
      <c r="A447" s="19"/>
    </row>
    <row r="448" spans="1:1" x14ac:dyDescent="0.2">
      <c r="A448" s="19"/>
    </row>
    <row r="449" spans="1:1" x14ac:dyDescent="0.2">
      <c r="A449" s="19"/>
    </row>
    <row r="450" spans="1:1" x14ac:dyDescent="0.2">
      <c r="A450" s="19"/>
    </row>
    <row r="451" spans="1:1" x14ac:dyDescent="0.2">
      <c r="A451" s="19"/>
    </row>
    <row r="452" spans="1:1" x14ac:dyDescent="0.2">
      <c r="A452" s="19"/>
    </row>
    <row r="453" spans="1:1" x14ac:dyDescent="0.2">
      <c r="A453" s="19"/>
    </row>
    <row r="454" spans="1:1" x14ac:dyDescent="0.2">
      <c r="A454" s="19"/>
    </row>
    <row r="455" spans="1:1" x14ac:dyDescent="0.2">
      <c r="A455" s="19"/>
    </row>
    <row r="456" spans="1:1" x14ac:dyDescent="0.2">
      <c r="A456" s="19"/>
    </row>
    <row r="457" spans="1:1" x14ac:dyDescent="0.2">
      <c r="A457" s="19"/>
    </row>
    <row r="458" spans="1:1" x14ac:dyDescent="0.2">
      <c r="A458" s="19"/>
    </row>
    <row r="459" spans="1:1" x14ac:dyDescent="0.2">
      <c r="A459" s="19"/>
    </row>
    <row r="460" spans="1:1" x14ac:dyDescent="0.2">
      <c r="A460" s="19"/>
    </row>
    <row r="461" spans="1:1" x14ac:dyDescent="0.2">
      <c r="A461" s="19"/>
    </row>
    <row r="462" spans="1:1" x14ac:dyDescent="0.2">
      <c r="A462" s="19"/>
    </row>
    <row r="463" spans="1:1" x14ac:dyDescent="0.2">
      <c r="A463" s="19"/>
    </row>
    <row r="464" spans="1:1" x14ac:dyDescent="0.2">
      <c r="A464" s="19"/>
    </row>
    <row r="465" spans="1:1" x14ac:dyDescent="0.2">
      <c r="A465" s="19"/>
    </row>
    <row r="466" spans="1:1" x14ac:dyDescent="0.2">
      <c r="A466" s="19"/>
    </row>
    <row r="467" spans="1:1" x14ac:dyDescent="0.2">
      <c r="A467" s="19"/>
    </row>
    <row r="468" spans="1:1" x14ac:dyDescent="0.2">
      <c r="A468" s="19"/>
    </row>
    <row r="469" spans="1:1" x14ac:dyDescent="0.2">
      <c r="A469" s="19"/>
    </row>
    <row r="470" spans="1:1" x14ac:dyDescent="0.2">
      <c r="A470" s="19"/>
    </row>
    <row r="471" spans="1:1" x14ac:dyDescent="0.2">
      <c r="A471" s="19"/>
    </row>
    <row r="472" spans="1:1" x14ac:dyDescent="0.2">
      <c r="A472" s="19"/>
    </row>
    <row r="473" spans="1:1" x14ac:dyDescent="0.2">
      <c r="A473" s="19"/>
    </row>
    <row r="474" spans="1:1" x14ac:dyDescent="0.2">
      <c r="A474" s="19"/>
    </row>
    <row r="475" spans="1:1" x14ac:dyDescent="0.2">
      <c r="A475" s="19"/>
    </row>
    <row r="476" spans="1:1" x14ac:dyDescent="0.2">
      <c r="A476" s="19"/>
    </row>
    <row r="477" spans="1:1" x14ac:dyDescent="0.2">
      <c r="A477" s="19"/>
    </row>
    <row r="478" spans="1:1" x14ac:dyDescent="0.2">
      <c r="A478" s="19"/>
    </row>
    <row r="479" spans="1:1" x14ac:dyDescent="0.2">
      <c r="A479" s="19"/>
    </row>
    <row r="480" spans="1:1" x14ac:dyDescent="0.2">
      <c r="A480" s="19"/>
    </row>
    <row r="481" spans="1:1" x14ac:dyDescent="0.2">
      <c r="A481" s="19"/>
    </row>
    <row r="482" spans="1:1" x14ac:dyDescent="0.2">
      <c r="A482" s="19"/>
    </row>
    <row r="483" spans="1:1" x14ac:dyDescent="0.2">
      <c r="A483" s="19"/>
    </row>
    <row r="484" spans="1:1" x14ac:dyDescent="0.2">
      <c r="A484" s="19"/>
    </row>
    <row r="485" spans="1:1" x14ac:dyDescent="0.2">
      <c r="A485" s="19"/>
    </row>
    <row r="486" spans="1:1" x14ac:dyDescent="0.2">
      <c r="A486" s="19"/>
    </row>
    <row r="487" spans="1:1" x14ac:dyDescent="0.2">
      <c r="A487" s="19"/>
    </row>
    <row r="488" spans="1:1" x14ac:dyDescent="0.2">
      <c r="A488" s="19"/>
    </row>
    <row r="489" spans="1:1" x14ac:dyDescent="0.2">
      <c r="A489" s="19"/>
    </row>
    <row r="490" spans="1:1" x14ac:dyDescent="0.2">
      <c r="A490" s="19" t="s">
        <v>1620</v>
      </c>
    </row>
    <row r="491" spans="1:1" x14ac:dyDescent="0.2">
      <c r="A491" s="19" t="s">
        <v>1621</v>
      </c>
    </row>
    <row r="492" spans="1:1" x14ac:dyDescent="0.2">
      <c r="A492" s="19" t="s">
        <v>839</v>
      </c>
    </row>
    <row r="493" spans="1:1" x14ac:dyDescent="0.2">
      <c r="A493" s="19" t="s">
        <v>840</v>
      </c>
    </row>
    <row r="494" spans="1:1" x14ac:dyDescent="0.2">
      <c r="A494" s="19" t="s">
        <v>841</v>
      </c>
    </row>
    <row r="495" spans="1:1" x14ac:dyDescent="0.2">
      <c r="A495" s="19" t="s">
        <v>842</v>
      </c>
    </row>
    <row r="496" spans="1:1" x14ac:dyDescent="0.2">
      <c r="A496" s="19" t="s">
        <v>843</v>
      </c>
    </row>
    <row r="497" spans="1:1" x14ac:dyDescent="0.2">
      <c r="A497" s="19" t="s">
        <v>48</v>
      </c>
    </row>
    <row r="498" spans="1:1" x14ac:dyDescent="0.2">
      <c r="A498" s="19" t="s">
        <v>1590</v>
      </c>
    </row>
    <row r="499" spans="1:1" x14ac:dyDescent="0.2">
      <c r="A499" s="19" t="s">
        <v>1591</v>
      </c>
    </row>
    <row r="500" spans="1:1" x14ac:dyDescent="0.2">
      <c r="A500" s="19" t="s">
        <v>344</v>
      </c>
    </row>
    <row r="501" spans="1:1" x14ac:dyDescent="0.2">
      <c r="A501" s="19" t="s">
        <v>1098</v>
      </c>
    </row>
    <row r="502" spans="1:1" x14ac:dyDescent="0.2">
      <c r="A502" s="19" t="s">
        <v>1099</v>
      </c>
    </row>
    <row r="503" spans="1:1" x14ac:dyDescent="0.2">
      <c r="A503" s="19" t="s">
        <v>1100</v>
      </c>
    </row>
    <row r="504" spans="1:1" x14ac:dyDescent="0.2">
      <c r="A504" s="19" t="s">
        <v>1101</v>
      </c>
    </row>
    <row r="505" spans="1:1" x14ac:dyDescent="0.2">
      <c r="A505" s="19" t="s">
        <v>1102</v>
      </c>
    </row>
    <row r="506" spans="1:1" x14ac:dyDescent="0.2">
      <c r="A506" s="19" t="s">
        <v>1103</v>
      </c>
    </row>
    <row r="507" spans="1:1" x14ac:dyDescent="0.2">
      <c r="A507" s="19" t="s">
        <v>369</v>
      </c>
    </row>
    <row r="508" spans="1:1" x14ac:dyDescent="0.2">
      <c r="A508" s="19" t="s">
        <v>370</v>
      </c>
    </row>
    <row r="509" spans="1:1" x14ac:dyDescent="0.2">
      <c r="A509" s="19" t="s">
        <v>371</v>
      </c>
    </row>
    <row r="510" spans="1:1" x14ac:dyDescent="0.2">
      <c r="A510" s="19" t="s">
        <v>372</v>
      </c>
    </row>
    <row r="511" spans="1:1" x14ac:dyDescent="0.2">
      <c r="A511" s="19" t="s">
        <v>373</v>
      </c>
    </row>
    <row r="512" spans="1:1" x14ac:dyDescent="0.2">
      <c r="A512" s="19" t="s">
        <v>374</v>
      </c>
    </row>
    <row r="513" spans="1:1" x14ac:dyDescent="0.2">
      <c r="A513" s="19" t="s">
        <v>375</v>
      </c>
    </row>
    <row r="514" spans="1:1" x14ac:dyDescent="0.2">
      <c r="A514" s="19" t="s">
        <v>376</v>
      </c>
    </row>
    <row r="515" spans="1:1" x14ac:dyDescent="0.2">
      <c r="A515" s="19" t="s">
        <v>1031</v>
      </c>
    </row>
    <row r="516" spans="1:1" x14ac:dyDescent="0.2">
      <c r="A516" s="19" t="s">
        <v>1032</v>
      </c>
    </row>
    <row r="517" spans="1:1" x14ac:dyDescent="0.2">
      <c r="A517" s="19" t="s">
        <v>1033</v>
      </c>
    </row>
    <row r="518" spans="1:1" x14ac:dyDescent="0.2">
      <c r="A518" s="19" t="s">
        <v>1034</v>
      </c>
    </row>
    <row r="519" spans="1:1" x14ac:dyDescent="0.2">
      <c r="A519" s="19" t="s">
        <v>1035</v>
      </c>
    </row>
    <row r="520" spans="1:1" x14ac:dyDescent="0.2">
      <c r="A520" s="19" t="s">
        <v>1036</v>
      </c>
    </row>
    <row r="521" spans="1:1" x14ac:dyDescent="0.2">
      <c r="A521" s="19" t="s">
        <v>1037</v>
      </c>
    </row>
    <row r="522" spans="1:1" x14ac:dyDescent="0.2">
      <c r="A522" s="19" t="s">
        <v>856</v>
      </c>
    </row>
    <row r="523" spans="1:1" x14ac:dyDescent="0.2">
      <c r="A523" s="19" t="s">
        <v>857</v>
      </c>
    </row>
    <row r="524" spans="1:1" x14ac:dyDescent="0.2">
      <c r="A524" s="19" t="s">
        <v>858</v>
      </c>
    </row>
    <row r="525" spans="1:1" x14ac:dyDescent="0.2">
      <c r="A525" s="19" t="s">
        <v>385</v>
      </c>
    </row>
    <row r="526" spans="1:1" x14ac:dyDescent="0.2">
      <c r="A526" s="19" t="s">
        <v>386</v>
      </c>
    </row>
    <row r="527" spans="1:1" x14ac:dyDescent="0.2">
      <c r="A527" s="19" t="s">
        <v>387</v>
      </c>
    </row>
    <row r="528" spans="1:1" x14ac:dyDescent="0.2">
      <c r="A528" s="19" t="s">
        <v>388</v>
      </c>
    </row>
    <row r="529" spans="1:1" x14ac:dyDescent="0.2">
      <c r="A529" s="19" t="s">
        <v>604</v>
      </c>
    </row>
    <row r="530" spans="1:1" x14ac:dyDescent="0.2">
      <c r="A530" s="19" t="s">
        <v>1919</v>
      </c>
    </row>
    <row r="531" spans="1:1" x14ac:dyDescent="0.2">
      <c r="A531" s="19" t="s">
        <v>1920</v>
      </c>
    </row>
    <row r="532" spans="1:1" x14ac:dyDescent="0.2">
      <c r="A532" s="19" t="s">
        <v>1921</v>
      </c>
    </row>
    <row r="533" spans="1:1" x14ac:dyDescent="0.2">
      <c r="A533" s="19" t="s">
        <v>582</v>
      </c>
    </row>
    <row r="534" spans="1:1" x14ac:dyDescent="0.2">
      <c r="A534" s="19" t="s">
        <v>1677</v>
      </c>
    </row>
    <row r="535" spans="1:1" x14ac:dyDescent="0.2">
      <c r="A535" s="19" t="s">
        <v>499</v>
      </c>
    </row>
    <row r="536" spans="1:1" x14ac:dyDescent="0.2">
      <c r="A536" s="19" t="s">
        <v>500</v>
      </c>
    </row>
    <row r="537" spans="1:1" x14ac:dyDescent="0.2">
      <c r="A537" s="19" t="s">
        <v>501</v>
      </c>
    </row>
    <row r="538" spans="1:1" x14ac:dyDescent="0.2">
      <c r="A538" s="19" t="s">
        <v>502</v>
      </c>
    </row>
    <row r="539" spans="1:1" x14ac:dyDescent="0.2">
      <c r="A539" s="19" t="s">
        <v>503</v>
      </c>
    </row>
    <row r="540" spans="1:1" x14ac:dyDescent="0.2">
      <c r="A540" s="19" t="s">
        <v>504</v>
      </c>
    </row>
    <row r="541" spans="1:1" x14ac:dyDescent="0.2">
      <c r="A541" s="19" t="s">
        <v>538</v>
      </c>
    </row>
    <row r="542" spans="1:1" x14ac:dyDescent="0.2">
      <c r="A542" s="19" t="s">
        <v>1705</v>
      </c>
    </row>
    <row r="543" spans="1:1" x14ac:dyDescent="0.2">
      <c r="A543" s="19" t="s">
        <v>933</v>
      </c>
    </row>
    <row r="544" spans="1:1" x14ac:dyDescent="0.2">
      <c r="A544" s="19" t="s">
        <v>934</v>
      </c>
    </row>
    <row r="545" spans="1:1" x14ac:dyDescent="0.2">
      <c r="A545" s="19" t="s">
        <v>935</v>
      </c>
    </row>
    <row r="546" spans="1:1" x14ac:dyDescent="0.2">
      <c r="A546" s="19" t="s">
        <v>936</v>
      </c>
    </row>
    <row r="547" spans="1:1" x14ac:dyDescent="0.2">
      <c r="A547" s="19" t="s">
        <v>937</v>
      </c>
    </row>
    <row r="548" spans="1:1" x14ac:dyDescent="0.2">
      <c r="A548" s="19" t="s">
        <v>938</v>
      </c>
    </row>
    <row r="549" spans="1:1" x14ac:dyDescent="0.2">
      <c r="A549" s="19" t="s">
        <v>939</v>
      </c>
    </row>
    <row r="550" spans="1:1" x14ac:dyDescent="0.2">
      <c r="A550" s="19" t="s">
        <v>940</v>
      </c>
    </row>
    <row r="551" spans="1:1" x14ac:dyDescent="0.2">
      <c r="A551" s="19" t="s">
        <v>94</v>
      </c>
    </row>
    <row r="552" spans="1:1" x14ac:dyDescent="0.2">
      <c r="A552" s="19" t="s">
        <v>95</v>
      </c>
    </row>
    <row r="553" spans="1:1" x14ac:dyDescent="0.2">
      <c r="A553" s="19" t="s">
        <v>96</v>
      </c>
    </row>
    <row r="554" spans="1:1" x14ac:dyDescent="0.2">
      <c r="A554" s="19" t="s">
        <v>97</v>
      </c>
    </row>
    <row r="555" spans="1:1" x14ac:dyDescent="0.2">
      <c r="A555" s="19" t="s">
        <v>98</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CO555"/>
  <sheetViews>
    <sheetView zoomScale="96" zoomScaleNormal="96" zoomScaleSheetLayoutView="50" workbookViewId="0">
      <pane ySplit="2" topLeftCell="A3" activePane="bottomLeft" state="frozen"/>
      <selection pane="bottomLeft"/>
    </sheetView>
  </sheetViews>
  <sheetFormatPr defaultColWidth="9.140625" defaultRowHeight="12.75" x14ac:dyDescent="0.2"/>
  <cols>
    <col min="1" max="1" width="12.5703125" style="18" customWidth="1"/>
    <col min="2" max="2" width="11.140625" style="18" bestFit="1" customWidth="1"/>
    <col min="3" max="3" width="11.140625" style="18" customWidth="1"/>
    <col min="4" max="4" width="11.140625" style="18" bestFit="1" customWidth="1"/>
    <col min="5" max="5" width="14.140625" style="18" customWidth="1"/>
    <col min="6" max="10" width="11.140625" style="18" bestFit="1" customWidth="1"/>
    <col min="11" max="12" width="11.140625" style="111" bestFit="1" customWidth="1"/>
    <col min="13" max="13" width="14" style="111" customWidth="1"/>
    <col min="14" max="14" width="8" style="18" bestFit="1" customWidth="1"/>
    <col min="15" max="15" width="25.28515625" style="19" customWidth="1"/>
    <col min="16" max="17" width="8" style="74" customWidth="1"/>
    <col min="18" max="18" width="8.5703125" style="19" customWidth="1"/>
    <col min="19" max="19" width="5.7109375" style="74" customWidth="1"/>
    <col min="20" max="20" width="13.7109375" style="19" customWidth="1"/>
    <col min="21" max="22" width="9.140625" style="19"/>
    <col min="23" max="23" width="8.7109375" style="19" customWidth="1"/>
    <col min="24" max="24" width="9.140625" style="19"/>
    <col min="25" max="25" width="24.85546875" style="19" customWidth="1"/>
    <col min="26" max="26" width="8.7109375" style="19" customWidth="1"/>
    <col min="27" max="28" width="8.7109375" style="113" customWidth="1"/>
    <col min="29" max="29" width="8.7109375" style="116" customWidth="1"/>
    <col min="30" max="30" width="13.42578125" style="19" customWidth="1"/>
    <col min="31" max="33" width="8.7109375" style="19" customWidth="1"/>
    <col min="34" max="65" width="9.140625" style="19"/>
    <col min="66" max="16384" width="9.140625" style="18"/>
  </cols>
  <sheetData>
    <row r="1" spans="1:93" ht="39.75" customHeight="1" x14ac:dyDescent="0.2">
      <c r="A1" s="1271" t="s">
        <v>2307</v>
      </c>
      <c r="B1" s="1265" t="s">
        <v>1963</v>
      </c>
      <c r="C1" s="1265" t="s">
        <v>1963</v>
      </c>
      <c r="D1" s="1265" t="s">
        <v>1963</v>
      </c>
      <c r="E1" s="1265" t="s">
        <v>1963</v>
      </c>
      <c r="F1" s="1265" t="s">
        <v>1963</v>
      </c>
      <c r="G1" s="1265" t="s">
        <v>1963</v>
      </c>
      <c r="H1" s="1265" t="s">
        <v>1963</v>
      </c>
      <c r="I1" s="1265" t="s">
        <v>1963</v>
      </c>
      <c r="J1" s="1265" t="s">
        <v>1963</v>
      </c>
      <c r="K1" s="1265" t="s">
        <v>1963</v>
      </c>
      <c r="L1" s="1265" t="s">
        <v>1963</v>
      </c>
      <c r="M1" s="1265" t="s">
        <v>1963</v>
      </c>
      <c r="N1" s="47"/>
    </row>
    <row r="2" spans="1:93" ht="100.5" customHeight="1" x14ac:dyDescent="0.2">
      <c r="A2" s="1282" t="s">
        <v>1964</v>
      </c>
      <c r="B2" s="1282" t="s">
        <v>195</v>
      </c>
      <c r="C2" s="1282" t="s">
        <v>1940</v>
      </c>
      <c r="D2" s="1282" t="s">
        <v>1941</v>
      </c>
      <c r="E2" s="1282" t="s">
        <v>690</v>
      </c>
      <c r="F2" s="1282" t="s">
        <v>691</v>
      </c>
      <c r="G2" s="1282" t="s">
        <v>694</v>
      </c>
      <c r="H2" s="1282" t="s">
        <v>695</v>
      </c>
      <c r="I2" s="1282" t="s">
        <v>697</v>
      </c>
      <c r="J2" s="1282" t="s">
        <v>699</v>
      </c>
      <c r="K2" s="1282" t="s">
        <v>1965</v>
      </c>
      <c r="L2" s="1282" t="s">
        <v>592</v>
      </c>
      <c r="M2" s="1282" t="s">
        <v>1618</v>
      </c>
      <c r="N2" s="403"/>
      <c r="O2" s="1274" t="s">
        <v>1471</v>
      </c>
      <c r="P2" s="1257" t="s">
        <v>2323</v>
      </c>
      <c r="Q2" s="1257" t="s">
        <v>1307</v>
      </c>
      <c r="R2" s="1257" t="s">
        <v>2324</v>
      </c>
      <c r="S2" s="402"/>
      <c r="T2" s="401"/>
      <c r="U2" s="1284" t="s">
        <v>2323</v>
      </c>
      <c r="V2" s="1284" t="s">
        <v>1307</v>
      </c>
      <c r="W2" s="1284" t="s">
        <v>2324</v>
      </c>
      <c r="X2" s="401"/>
      <c r="Y2" s="754" t="s">
        <v>1472</v>
      </c>
      <c r="Z2" s="1284" t="s">
        <v>2325</v>
      </c>
      <c r="AA2" s="1284" t="s">
        <v>1307</v>
      </c>
      <c r="AB2" s="1284" t="s">
        <v>2326</v>
      </c>
      <c r="AC2" s="74"/>
      <c r="AE2" s="1284" t="s">
        <v>2325</v>
      </c>
      <c r="AF2" s="1284" t="s">
        <v>1307</v>
      </c>
      <c r="AG2" s="1284" t="s">
        <v>2326</v>
      </c>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1"/>
      <c r="BJ2" s="401"/>
      <c r="BK2" s="401"/>
      <c r="BL2" s="401"/>
      <c r="BM2" s="401"/>
      <c r="BN2" s="403"/>
      <c r="BO2" s="403"/>
      <c r="BP2" s="403"/>
      <c r="BQ2" s="403"/>
      <c r="BR2" s="403"/>
      <c r="BS2" s="403"/>
      <c r="BT2" s="403"/>
      <c r="BU2" s="403"/>
      <c r="BV2" s="403"/>
      <c r="BW2" s="403"/>
      <c r="BX2" s="403"/>
      <c r="BY2" s="403"/>
      <c r="BZ2" s="403"/>
      <c r="CA2" s="403"/>
      <c r="CB2" s="403"/>
      <c r="CC2" s="403"/>
      <c r="CD2" s="403"/>
      <c r="CE2" s="403"/>
      <c r="CF2" s="403"/>
      <c r="CG2" s="403"/>
      <c r="CH2" s="403"/>
      <c r="CI2" s="403"/>
      <c r="CJ2" s="403"/>
      <c r="CK2" s="403"/>
      <c r="CL2" s="403"/>
      <c r="CM2" s="403"/>
      <c r="CN2" s="403"/>
      <c r="CO2" s="403"/>
    </row>
    <row r="3" spans="1:93" ht="15" customHeight="1" x14ac:dyDescent="0.2">
      <c r="A3" s="1265">
        <v>0</v>
      </c>
      <c r="B3" s="243">
        <v>0.09</v>
      </c>
      <c r="C3" s="243">
        <v>0.33</v>
      </c>
      <c r="D3" s="243">
        <v>0.03</v>
      </c>
      <c r="E3" s="243">
        <v>0.33</v>
      </c>
      <c r="F3" s="243">
        <v>0.08</v>
      </c>
      <c r="G3" s="243">
        <v>0.33</v>
      </c>
      <c r="H3" s="243">
        <v>0.04</v>
      </c>
      <c r="I3" s="243">
        <v>0.33</v>
      </c>
      <c r="J3" s="243">
        <v>0.05</v>
      </c>
      <c r="K3" s="243">
        <v>0.33</v>
      </c>
      <c r="L3" s="243">
        <v>7.0000000000000007E-2</v>
      </c>
      <c r="M3" s="243">
        <v>0.33</v>
      </c>
      <c r="O3" s="1274" t="s">
        <v>195</v>
      </c>
      <c r="P3" s="1275" t="str">
        <f>IF('Hip-Right'!T9="","",'Hip-Right'!T9)</f>
        <v/>
      </c>
      <c r="Q3" s="1275" t="str">
        <f>IF(P3="","",ROUND(P3,0))</f>
        <v/>
      </c>
      <c r="R3" s="243">
        <f>IF(Q3="",0,VLOOKUP(Q3,$A$3:$N$103,2))</f>
        <v>0</v>
      </c>
      <c r="T3" s="1273" t="s">
        <v>1597</v>
      </c>
      <c r="U3" s="1275" t="str">
        <f>IF('Hip-Right'!V9="","",'Hip-Right'!V9)</f>
        <v/>
      </c>
      <c r="V3" s="1275" t="str">
        <f>IF(U3="","",ROUND(U3,0))</f>
        <v/>
      </c>
      <c r="W3" s="243">
        <f>IF(V3="",0,VLOOKUP(V3,$A$3:$N$103,2))</f>
        <v>0</v>
      </c>
      <c r="Y3" s="1274" t="s">
        <v>195</v>
      </c>
      <c r="Z3" s="1275" t="str">
        <f>IF('Hip-Left'!T9="","",'Hip-Left'!T9)</f>
        <v/>
      </c>
      <c r="AA3" s="1275" t="str">
        <f t="shared" ref="AA3:AA14" si="0">IF(Z3="","",ROUND(Z3,0))</f>
        <v/>
      </c>
      <c r="AB3" s="243">
        <f>IF(AA3="",0,VLOOKUP(AA3,$A$3:$N$103,2))</f>
        <v>0</v>
      </c>
      <c r="AC3" s="74"/>
      <c r="AD3" s="1273" t="s">
        <v>1597</v>
      </c>
      <c r="AE3" s="1275" t="str">
        <f>IF('Hip-Left'!V9="","",'Hip-Left'!V9)</f>
        <v/>
      </c>
      <c r="AF3" s="1275" t="str">
        <f>IF(AE3="","",ROUND(AE3,0))</f>
        <v/>
      </c>
      <c r="AG3" s="243">
        <f>IF(AF3="",0,VLOOKUP(AF3,$A$3:$N$103,2))</f>
        <v>0</v>
      </c>
    </row>
    <row r="4" spans="1:93" ht="15" customHeight="1" x14ac:dyDescent="0.2">
      <c r="A4" s="1265">
        <v>1</v>
      </c>
      <c r="B4" s="243">
        <v>8.8999999999999996E-2</v>
      </c>
      <c r="C4" s="243">
        <v>0.32700000000000001</v>
      </c>
      <c r="D4" s="243">
        <v>2.9000000000000001E-2</v>
      </c>
      <c r="E4" s="243">
        <v>0.33500000000000002</v>
      </c>
      <c r="F4" s="243">
        <v>7.8E-2</v>
      </c>
      <c r="G4" s="243">
        <v>0.33400000000000002</v>
      </c>
      <c r="H4" s="243">
        <v>3.7999999999999999E-2</v>
      </c>
      <c r="I4" s="243">
        <v>0.33700000000000002</v>
      </c>
      <c r="J4" s="243">
        <v>4.9000000000000002E-2</v>
      </c>
      <c r="K4" s="243">
        <v>0.33400000000000002</v>
      </c>
      <c r="L4" s="243">
        <v>6.8000000000000005E-2</v>
      </c>
      <c r="M4" s="243">
        <v>0.33300000000000002</v>
      </c>
      <c r="O4" s="1274" t="s">
        <v>1940</v>
      </c>
      <c r="P4" s="1275" t="str">
        <f>IF('Hip-Right'!T10="","",'Hip-Right'!T10)</f>
        <v/>
      </c>
      <c r="Q4" s="1275" t="str">
        <f t="shared" ref="Q4:Q14" si="1">IF(P4="","",ROUND(P4,0))</f>
        <v/>
      </c>
      <c r="R4" s="243">
        <f>IF(Q4="",0,VLOOKUP(Q4,$A$3:$N$103,3))</f>
        <v>0</v>
      </c>
      <c r="T4" s="1273"/>
      <c r="U4" s="1275"/>
      <c r="V4" s="1275"/>
      <c r="W4" s="243"/>
      <c r="Y4" s="1274" t="s">
        <v>1940</v>
      </c>
      <c r="Z4" s="1275" t="str">
        <f>IF('Hip-Left'!T10="","",'Hip-Left'!T10)</f>
        <v/>
      </c>
      <c r="AA4" s="1275" t="str">
        <f t="shared" si="0"/>
        <v/>
      </c>
      <c r="AB4" s="243">
        <f>IF(AA4="",0,VLOOKUP(AA4,$A$3:$N$103,3))</f>
        <v>0</v>
      </c>
      <c r="AC4" s="74"/>
      <c r="AD4" s="1273"/>
      <c r="AE4" s="1275"/>
      <c r="AF4" s="1275"/>
      <c r="AG4" s="243"/>
    </row>
    <row r="5" spans="1:93" ht="15" customHeight="1" x14ac:dyDescent="0.2">
      <c r="A5" s="1265">
        <v>2</v>
      </c>
      <c r="B5" s="243">
        <v>8.7999999999999995E-2</v>
      </c>
      <c r="C5" s="243">
        <v>0.32400000000000001</v>
      </c>
      <c r="D5" s="243">
        <v>2.8000000000000001E-2</v>
      </c>
      <c r="E5" s="243">
        <v>0.34</v>
      </c>
      <c r="F5" s="243">
        <v>7.5999999999999998E-2</v>
      </c>
      <c r="G5" s="243">
        <v>0.33800000000000002</v>
      </c>
      <c r="H5" s="243">
        <v>3.5999999999999997E-2</v>
      </c>
      <c r="I5" s="243">
        <v>0.34399999999999997</v>
      </c>
      <c r="J5" s="243">
        <v>4.8000000000000001E-2</v>
      </c>
      <c r="K5" s="243">
        <v>0.33800000000000002</v>
      </c>
      <c r="L5" s="243">
        <v>6.6000000000000003E-2</v>
      </c>
      <c r="M5" s="243">
        <v>0.33600000000000002</v>
      </c>
      <c r="O5" s="1274" t="s">
        <v>1941</v>
      </c>
      <c r="P5" s="1275" t="str">
        <f>IF('Hip-Right'!T11="","",'Hip-Right'!T11)</f>
        <v/>
      </c>
      <c r="Q5" s="1275" t="str">
        <f t="shared" si="1"/>
        <v/>
      </c>
      <c r="R5" s="243">
        <f>IF(Q5="",0,VLOOKUP(Q5,$A$3:$N$103,4))</f>
        <v>0</v>
      </c>
      <c r="T5" s="1273" t="s">
        <v>1597</v>
      </c>
      <c r="U5" s="1275" t="str">
        <f>IF('Hip-Right'!V11="","",'Hip-Right'!V11)</f>
        <v/>
      </c>
      <c r="V5" s="1275" t="str">
        <f>IF(U5="","",ROUND(U5,0))</f>
        <v/>
      </c>
      <c r="W5" s="243">
        <f>IF(V5="",0,VLOOKUP(V5,$A$3:$N$103,4))</f>
        <v>0</v>
      </c>
      <c r="Y5" s="1274" t="s">
        <v>1941</v>
      </c>
      <c r="Z5" s="1275" t="str">
        <f>IF('Hip-Left'!T11="","",'Hip-Left'!T11)</f>
        <v/>
      </c>
      <c r="AA5" s="1275" t="str">
        <f t="shared" si="0"/>
        <v/>
      </c>
      <c r="AB5" s="243">
        <f>IF(AA5="",0,VLOOKUP(AA5,$A$3:$N$103,4))</f>
        <v>0</v>
      </c>
      <c r="AC5" s="74"/>
      <c r="AD5" s="1273" t="s">
        <v>1597</v>
      </c>
      <c r="AE5" s="1275" t="str">
        <f>IF('Hip-Left'!V11="","",'Hip-Left'!V11)</f>
        <v/>
      </c>
      <c r="AF5" s="1275" t="str">
        <f>IF(AE5="","",ROUND(AE5,0))</f>
        <v/>
      </c>
      <c r="AG5" s="243">
        <f>IF(AF5="",0,VLOOKUP(AF5,$A$3:$N$103,4))</f>
        <v>0</v>
      </c>
    </row>
    <row r="6" spans="1:93" ht="15" customHeight="1" x14ac:dyDescent="0.2">
      <c r="A6" s="1265">
        <v>3</v>
      </c>
      <c r="B6" s="243">
        <v>8.6999999999999994E-2</v>
      </c>
      <c r="C6" s="243">
        <v>0.32100000000000001</v>
      </c>
      <c r="D6" s="243">
        <v>2.7E-2</v>
      </c>
      <c r="E6" s="243">
        <v>0.34499999999999997</v>
      </c>
      <c r="F6" s="243">
        <v>7.3999999999999996E-2</v>
      </c>
      <c r="G6" s="243">
        <v>0.34200000000000003</v>
      </c>
      <c r="H6" s="243">
        <v>3.4000000000000002E-2</v>
      </c>
      <c r="I6" s="243">
        <v>0.35099999999999998</v>
      </c>
      <c r="J6" s="243">
        <v>4.7E-2</v>
      </c>
      <c r="K6" s="243">
        <v>0.34200000000000003</v>
      </c>
      <c r="L6" s="243">
        <v>6.4000000000000001E-2</v>
      </c>
      <c r="M6" s="243">
        <v>0.33900000000000002</v>
      </c>
      <c r="O6" s="1274" t="s">
        <v>690</v>
      </c>
      <c r="P6" s="1275" t="str">
        <f>IF('Hip-Right'!T12="","",'Hip-Right'!T12)</f>
        <v/>
      </c>
      <c r="Q6" s="1275" t="str">
        <f t="shared" si="1"/>
        <v/>
      </c>
      <c r="R6" s="243">
        <f>IF(Q6="",0,VLOOKUP(Q6,$A$3:$N$103,5))</f>
        <v>0</v>
      </c>
      <c r="T6" s="1273"/>
      <c r="U6" s="1273"/>
      <c r="V6" s="1273"/>
      <c r="W6" s="1273"/>
      <c r="Y6" s="1274" t="s">
        <v>690</v>
      </c>
      <c r="Z6" s="1275" t="str">
        <f>IF('Hip-Left'!T12="","",'Hip-Left'!T12)</f>
        <v/>
      </c>
      <c r="AA6" s="1275" t="str">
        <f t="shared" si="0"/>
        <v/>
      </c>
      <c r="AB6" s="243">
        <f>IF(AA6="",0,VLOOKUP(AA6,$A$3:$N$103,5))</f>
        <v>0</v>
      </c>
      <c r="AC6" s="74"/>
      <c r="AD6" s="1273"/>
      <c r="AE6" s="1273"/>
      <c r="AF6" s="1273"/>
      <c r="AG6" s="1273"/>
    </row>
    <row r="7" spans="1:93" ht="15" customHeight="1" x14ac:dyDescent="0.2">
      <c r="A7" s="1265">
        <v>4</v>
      </c>
      <c r="B7" s="243">
        <v>8.5999999999999993E-2</v>
      </c>
      <c r="C7" s="243">
        <v>0.318</v>
      </c>
      <c r="D7" s="243">
        <v>2.5999999999999999E-2</v>
      </c>
      <c r="E7" s="243">
        <v>0.35</v>
      </c>
      <c r="F7" s="243">
        <v>7.1999999999999995E-2</v>
      </c>
      <c r="G7" s="243">
        <v>0.34599999999999997</v>
      </c>
      <c r="H7" s="243">
        <v>3.2000000000000001E-2</v>
      </c>
      <c r="I7" s="243">
        <v>0.35799999999999998</v>
      </c>
      <c r="J7" s="243">
        <v>4.5999999999999999E-2</v>
      </c>
      <c r="K7" s="243">
        <v>0.34599999999999997</v>
      </c>
      <c r="L7" s="243">
        <v>6.2E-2</v>
      </c>
      <c r="M7" s="243">
        <v>0.34200000000000003</v>
      </c>
      <c r="O7" s="1265" t="s">
        <v>691</v>
      </c>
      <c r="P7" s="1275" t="str">
        <f>IF('Hip-Right'!T13="","",'Hip-Right'!T13)</f>
        <v/>
      </c>
      <c r="Q7" s="1275" t="str">
        <f t="shared" si="1"/>
        <v/>
      </c>
      <c r="R7" s="243">
        <f>IF(Q7="",0,VLOOKUP(Q7,$A$3:$N$103,6))</f>
        <v>0</v>
      </c>
      <c r="T7" s="1273" t="s">
        <v>1619</v>
      </c>
      <c r="U7" s="1275" t="str">
        <f>IF('Hip-Right'!V13="","",'Hip-Right'!V13)</f>
        <v/>
      </c>
      <c r="V7" s="1275" t="str">
        <f>IF(U7="","",ROUND(U7,0))</f>
        <v/>
      </c>
      <c r="W7" s="243">
        <f>IF(V7="",0,VLOOKUP(V7,$A$3:$N$103,6))</f>
        <v>0</v>
      </c>
      <c r="Y7" s="1265" t="s">
        <v>691</v>
      </c>
      <c r="Z7" s="1275" t="str">
        <f>IF('Hip-Left'!T13="","",'Hip-Left'!T13)</f>
        <v/>
      </c>
      <c r="AA7" s="1275" t="str">
        <f t="shared" si="0"/>
        <v/>
      </c>
      <c r="AB7" s="243">
        <f>IF(AA7="",0,VLOOKUP(AA7,$A$3:$N$103,6))</f>
        <v>0</v>
      </c>
      <c r="AC7" s="74"/>
      <c r="AD7" s="1273" t="s">
        <v>1619</v>
      </c>
      <c r="AE7" s="1275" t="str">
        <f>IF('Hip-Left'!V13="","",'Hip-Left'!V13)</f>
        <v/>
      </c>
      <c r="AF7" s="1275" t="str">
        <f>IF(AE7="","",ROUND(AE7,0))</f>
        <v/>
      </c>
      <c r="AG7" s="243">
        <f>IF(AF7="",0,VLOOKUP(AF7,$A$3:$N$103,6))</f>
        <v>0</v>
      </c>
    </row>
    <row r="8" spans="1:93" ht="15" customHeight="1" x14ac:dyDescent="0.2">
      <c r="A8" s="1265">
        <v>5</v>
      </c>
      <c r="B8" s="243">
        <v>8.5000000000000006E-2</v>
      </c>
      <c r="C8" s="243">
        <v>0.315</v>
      </c>
      <c r="D8" s="243">
        <v>2.5000000000000001E-2</v>
      </c>
      <c r="E8" s="243">
        <v>0.35499999999999998</v>
      </c>
      <c r="F8" s="243">
        <v>7.0000000000000007E-2</v>
      </c>
      <c r="G8" s="243">
        <v>0.35</v>
      </c>
      <c r="H8" s="243">
        <v>0.03</v>
      </c>
      <c r="I8" s="243">
        <v>0.36499999999999999</v>
      </c>
      <c r="J8" s="243">
        <v>4.4999999999999998E-2</v>
      </c>
      <c r="K8" s="243">
        <v>0.35</v>
      </c>
      <c r="L8" s="243">
        <v>0.06</v>
      </c>
      <c r="M8" s="243">
        <v>0.34499999999999997</v>
      </c>
      <c r="O8" s="1265" t="s">
        <v>694</v>
      </c>
      <c r="P8" s="1275" t="str">
        <f>IF('Hip-Right'!T14="","",'Hip-Right'!T14)</f>
        <v/>
      </c>
      <c r="Q8" s="1275" t="str">
        <f t="shared" si="1"/>
        <v/>
      </c>
      <c r="R8" s="243">
        <f>IF(Q8="",0,VLOOKUP(Q8,$A$3:$N$103,7))</f>
        <v>0</v>
      </c>
      <c r="T8" s="1273"/>
      <c r="U8" s="1273"/>
      <c r="V8" s="1273"/>
      <c r="W8" s="1273"/>
      <c r="Y8" s="1265" t="s">
        <v>694</v>
      </c>
      <c r="Z8" s="1275" t="str">
        <f>IF('Hip-Left'!T14="","",'Hip-Left'!T14)</f>
        <v/>
      </c>
      <c r="AA8" s="1275" t="str">
        <f t="shared" si="0"/>
        <v/>
      </c>
      <c r="AB8" s="243">
        <f>IF(AA8="",0,VLOOKUP(AA8,$A$3:$N$103,7))</f>
        <v>0</v>
      </c>
      <c r="AC8" s="74"/>
      <c r="AD8" s="1273"/>
      <c r="AE8" s="1273"/>
      <c r="AF8" s="1273"/>
      <c r="AG8" s="1273"/>
    </row>
    <row r="9" spans="1:93" ht="15" customHeight="1" x14ac:dyDescent="0.2">
      <c r="A9" s="1265">
        <v>6</v>
      </c>
      <c r="B9" s="243">
        <v>8.4000000000000005E-2</v>
      </c>
      <c r="C9" s="243">
        <v>0.312</v>
      </c>
      <c r="D9" s="243">
        <v>2.4E-2</v>
      </c>
      <c r="E9" s="243">
        <v>0.36</v>
      </c>
      <c r="F9" s="243">
        <v>6.8000000000000005E-2</v>
      </c>
      <c r="G9" s="243">
        <v>0.35399999999999998</v>
      </c>
      <c r="H9" s="243">
        <v>2.8000000000000001E-2</v>
      </c>
      <c r="I9" s="243">
        <v>0.372</v>
      </c>
      <c r="J9" s="243">
        <v>4.3999999999999997E-2</v>
      </c>
      <c r="K9" s="243">
        <v>0.35399999999999998</v>
      </c>
      <c r="L9" s="243">
        <v>5.8000000000000003E-2</v>
      </c>
      <c r="M9" s="243">
        <v>0.34799999999999998</v>
      </c>
      <c r="O9" s="1265" t="s">
        <v>695</v>
      </c>
      <c r="P9" s="1275" t="str">
        <f>IF('Hip-Right'!T15="","",'Hip-Right'!T15)</f>
        <v/>
      </c>
      <c r="Q9" s="1275" t="str">
        <f t="shared" si="1"/>
        <v/>
      </c>
      <c r="R9" s="243">
        <f>IF(Q9="",0,VLOOKUP(Q9,$A$3:$N$103,8))</f>
        <v>0</v>
      </c>
      <c r="T9" s="1273" t="s">
        <v>1597</v>
      </c>
      <c r="U9" s="1275" t="str">
        <f>IF('Hip-Right'!V15="","",'Hip-Right'!V15)</f>
        <v/>
      </c>
      <c r="V9" s="1275" t="str">
        <f>IF(U9="","",ROUND(U9,0))</f>
        <v/>
      </c>
      <c r="W9" s="243">
        <f>IF(V9="",0,VLOOKUP(V9,$A$3:$N$103,8))</f>
        <v>0</v>
      </c>
      <c r="Y9" s="1265" t="s">
        <v>695</v>
      </c>
      <c r="Z9" s="1275" t="str">
        <f>IF('Hip-Left'!T15="","",'Hip-Left'!T15)</f>
        <v/>
      </c>
      <c r="AA9" s="1275" t="str">
        <f t="shared" si="0"/>
        <v/>
      </c>
      <c r="AB9" s="243">
        <f>IF(AA9="",0,VLOOKUP(AA9,$A$3:$N$103,8))</f>
        <v>0</v>
      </c>
      <c r="AC9" s="74"/>
      <c r="AD9" s="1273" t="s">
        <v>1597</v>
      </c>
      <c r="AE9" s="1275" t="str">
        <f>IF('Hip-Left'!V15="","",'Hip-Left'!V15)</f>
        <v/>
      </c>
      <c r="AF9" s="1275" t="str">
        <f>IF(AE9="","",ROUND(AE9,0))</f>
        <v/>
      </c>
      <c r="AG9" s="243">
        <f>IF(AF9="",0,VLOOKUP(AF9,$A$3:$N$103,8))</f>
        <v>0</v>
      </c>
    </row>
    <row r="10" spans="1:93" ht="15" customHeight="1" x14ac:dyDescent="0.2">
      <c r="A10" s="1265">
        <v>7</v>
      </c>
      <c r="B10" s="243">
        <v>8.3000000000000004E-2</v>
      </c>
      <c r="C10" s="243">
        <v>0.309</v>
      </c>
      <c r="D10" s="243">
        <v>2.3E-2</v>
      </c>
      <c r="E10" s="243">
        <v>0.36499999999999999</v>
      </c>
      <c r="F10" s="243">
        <v>6.6000000000000003E-2</v>
      </c>
      <c r="G10" s="243">
        <v>0.35799999999999998</v>
      </c>
      <c r="H10" s="243">
        <v>2.5999999999999999E-2</v>
      </c>
      <c r="I10" s="243">
        <v>0.379</v>
      </c>
      <c r="J10" s="243">
        <v>4.2999999999999997E-2</v>
      </c>
      <c r="K10" s="243">
        <v>0.35799999999999998</v>
      </c>
      <c r="L10" s="243">
        <v>5.6000000000000001E-2</v>
      </c>
      <c r="M10" s="243">
        <v>0.35099999999999998</v>
      </c>
      <c r="O10" s="1265" t="s">
        <v>697</v>
      </c>
      <c r="P10" s="1275" t="str">
        <f>IF('Hip-Right'!T16="","",'Hip-Right'!T16)</f>
        <v/>
      </c>
      <c r="Q10" s="1275" t="str">
        <f t="shared" si="1"/>
        <v/>
      </c>
      <c r="R10" s="243">
        <f>IF(Q10="",0,VLOOKUP(Q10,$A$3:$N$103,9))</f>
        <v>0</v>
      </c>
      <c r="T10" s="1273"/>
      <c r="U10" s="1273"/>
      <c r="V10" s="1273"/>
      <c r="W10" s="1273"/>
      <c r="Y10" s="1265" t="s">
        <v>697</v>
      </c>
      <c r="Z10" s="1275" t="str">
        <f>IF('Hip-Left'!T16="","",'Hip-Left'!T16)</f>
        <v/>
      </c>
      <c r="AA10" s="1275" t="str">
        <f t="shared" si="0"/>
        <v/>
      </c>
      <c r="AB10" s="243">
        <f>IF(AA10="",0,VLOOKUP(AA10,$A$3:$N$103,9))</f>
        <v>0</v>
      </c>
      <c r="AC10" s="74"/>
      <c r="AD10" s="1273"/>
      <c r="AE10" s="1273"/>
      <c r="AF10" s="1273"/>
      <c r="AG10" s="1273"/>
    </row>
    <row r="11" spans="1:93" ht="15" customHeight="1" x14ac:dyDescent="0.2">
      <c r="A11" s="1265">
        <v>8</v>
      </c>
      <c r="B11" s="243">
        <v>8.2000000000000003E-2</v>
      </c>
      <c r="C11" s="243">
        <v>0.30599999999999999</v>
      </c>
      <c r="D11" s="243">
        <v>2.1999999999999999E-2</v>
      </c>
      <c r="E11" s="243">
        <v>0.37</v>
      </c>
      <c r="F11" s="243">
        <v>6.4000000000000001E-2</v>
      </c>
      <c r="G11" s="243">
        <v>0.36199999999999999</v>
      </c>
      <c r="H11" s="243">
        <v>2.4E-2</v>
      </c>
      <c r="I11" s="243">
        <v>0.38600000000000001</v>
      </c>
      <c r="J11" s="243">
        <v>4.2000000000000003E-2</v>
      </c>
      <c r="K11" s="243">
        <v>0.36199999999999999</v>
      </c>
      <c r="L11" s="243">
        <v>5.3999999999999999E-2</v>
      </c>
      <c r="M11" s="243">
        <v>0.35399999999999998</v>
      </c>
      <c r="O11" s="1265" t="s">
        <v>699</v>
      </c>
      <c r="P11" s="1275" t="str">
        <f>IF('Hip-Right'!T17="","",'Hip-Right'!T17)</f>
        <v/>
      </c>
      <c r="Q11" s="1275" t="str">
        <f t="shared" si="1"/>
        <v/>
      </c>
      <c r="R11" s="243">
        <f>IF(Q11="",0,VLOOKUP(Q11,$A$3:$N$103,10))</f>
        <v>0</v>
      </c>
      <c r="T11" s="1273" t="s">
        <v>1597</v>
      </c>
      <c r="U11" s="1275" t="str">
        <f>IF('Hip-Right'!V17="","",'Hip-Right'!V17)</f>
        <v/>
      </c>
      <c r="V11" s="1275" t="str">
        <f>IF(U11="","",ROUND(U11,0))</f>
        <v/>
      </c>
      <c r="W11" s="243">
        <f>IF(V11="",0,VLOOKUP(V11,$A$3:$N$103,10))</f>
        <v>0</v>
      </c>
      <c r="Y11" s="1265" t="s">
        <v>699</v>
      </c>
      <c r="Z11" s="1275" t="str">
        <f>IF('Hip-Left'!T17="","",'Hip-Left'!T17)</f>
        <v/>
      </c>
      <c r="AA11" s="1275" t="str">
        <f t="shared" si="0"/>
        <v/>
      </c>
      <c r="AB11" s="243">
        <f>IF(AA11="",0,VLOOKUP(AA11,$A$3:$N$103,10))</f>
        <v>0</v>
      </c>
      <c r="AC11" s="74"/>
      <c r="AD11" s="1273" t="s">
        <v>1597</v>
      </c>
      <c r="AE11" s="1275" t="str">
        <f>IF('Hip-Left'!V17="","",'Hip-Left'!V17)</f>
        <v/>
      </c>
      <c r="AF11" s="1275" t="str">
        <f>IF(AE11="","",ROUND(AE11,0))</f>
        <v/>
      </c>
      <c r="AG11" s="243">
        <f>IF(AF11="",0,VLOOKUP(AF11,$A$3:$N$103,10))</f>
        <v>0</v>
      </c>
    </row>
    <row r="12" spans="1:93" ht="15" customHeight="1" x14ac:dyDescent="0.2">
      <c r="A12" s="1265">
        <v>9</v>
      </c>
      <c r="B12" s="243">
        <v>8.1000000000000003E-2</v>
      </c>
      <c r="C12" s="243">
        <v>0.30299999999999999</v>
      </c>
      <c r="D12" s="243">
        <v>2.1000000000000001E-2</v>
      </c>
      <c r="E12" s="243">
        <v>0.375</v>
      </c>
      <c r="F12" s="243">
        <v>6.2E-2</v>
      </c>
      <c r="G12" s="243">
        <v>0.36599999999999999</v>
      </c>
      <c r="H12" s="243">
        <v>2.1999999999999999E-2</v>
      </c>
      <c r="I12" s="243">
        <v>0.39300000000000002</v>
      </c>
      <c r="J12" s="243">
        <v>4.1000000000000002E-2</v>
      </c>
      <c r="K12" s="243">
        <v>0.36599999999999999</v>
      </c>
      <c r="L12" s="243">
        <v>5.1999999999999998E-2</v>
      </c>
      <c r="M12" s="243">
        <v>0.35699999999999998</v>
      </c>
      <c r="O12" s="1267" t="s">
        <v>1965</v>
      </c>
      <c r="P12" s="1275" t="str">
        <f>IF('Hip-Right'!T18="","",'Hip-Right'!T18)</f>
        <v/>
      </c>
      <c r="Q12" s="1275" t="str">
        <f t="shared" si="1"/>
        <v/>
      </c>
      <c r="R12" s="243">
        <f>IF(Q12="",0,VLOOKUP(Q12,$A$3:$N$103,11))</f>
        <v>0</v>
      </c>
      <c r="T12" s="1273"/>
      <c r="U12" s="1273"/>
      <c r="V12" s="1273"/>
      <c r="W12" s="1273"/>
      <c r="Y12" s="1267" t="s">
        <v>1965</v>
      </c>
      <c r="Z12" s="1275" t="str">
        <f>IF('Hip-Left'!T18="","",'Hip-Left'!T18)</f>
        <v/>
      </c>
      <c r="AA12" s="1275" t="str">
        <f t="shared" si="0"/>
        <v/>
      </c>
      <c r="AB12" s="243">
        <f>IF(AA12="",0,VLOOKUP(AA12,$A$3:$N$103,11))</f>
        <v>0</v>
      </c>
      <c r="AC12" s="74"/>
      <c r="AD12" s="1273"/>
      <c r="AE12" s="1273"/>
      <c r="AF12" s="1273"/>
      <c r="AG12" s="1273"/>
    </row>
    <row r="13" spans="1:93" ht="15" customHeight="1" x14ac:dyDescent="0.2">
      <c r="A13" s="1265">
        <v>10</v>
      </c>
      <c r="B13" s="243">
        <v>0.08</v>
      </c>
      <c r="C13" s="243">
        <v>0.3</v>
      </c>
      <c r="D13" s="243">
        <v>0.02</v>
      </c>
      <c r="E13" s="243">
        <v>0.38</v>
      </c>
      <c r="F13" s="243">
        <v>0.06</v>
      </c>
      <c r="G13" s="243">
        <v>0.37</v>
      </c>
      <c r="H13" s="243">
        <v>0.02</v>
      </c>
      <c r="I13" s="243">
        <v>0.4</v>
      </c>
      <c r="J13" s="243">
        <v>0.04</v>
      </c>
      <c r="K13" s="243">
        <v>0.37</v>
      </c>
      <c r="L13" s="243">
        <v>0.05</v>
      </c>
      <c r="M13" s="243">
        <v>0.36</v>
      </c>
      <c r="O13" s="1274" t="s">
        <v>592</v>
      </c>
      <c r="P13" s="1275" t="str">
        <f>IF('Hip-Right'!T19="","",'Hip-Right'!T19)</f>
        <v/>
      </c>
      <c r="Q13" s="1275" t="str">
        <f t="shared" si="1"/>
        <v/>
      </c>
      <c r="R13" s="243">
        <f>IF(Q13="",0,VLOOKUP(Q13,$A$3:$N$103,12))</f>
        <v>0</v>
      </c>
      <c r="T13" s="1273" t="s">
        <v>1597</v>
      </c>
      <c r="U13" s="1275" t="str">
        <f>IF('Hip-Right'!V19="","",'Hip-Right'!V19)</f>
        <v/>
      </c>
      <c r="V13" s="1275" t="str">
        <f>IF(U13="","",ROUND(U13,0))</f>
        <v/>
      </c>
      <c r="W13" s="243">
        <f>IF(V13="",0,VLOOKUP(V13,$A$3:$N$103,12))</f>
        <v>0</v>
      </c>
      <c r="Y13" s="1274" t="s">
        <v>592</v>
      </c>
      <c r="Z13" s="1275" t="str">
        <f>IF('Hip-Left'!T19="","",'Hip-Left'!T19)</f>
        <v/>
      </c>
      <c r="AA13" s="1275" t="str">
        <f t="shared" si="0"/>
        <v/>
      </c>
      <c r="AB13" s="243">
        <f>IF(AA13="",0,VLOOKUP(AA13,$A$3:$N$103,12))</f>
        <v>0</v>
      </c>
      <c r="AC13" s="74"/>
      <c r="AD13" s="1273" t="s">
        <v>1597</v>
      </c>
      <c r="AE13" s="1275" t="str">
        <f>IF('Hip-Left'!V19="","",'Hip-Left'!V19)</f>
        <v/>
      </c>
      <c r="AF13" s="1275" t="str">
        <f>IF(AE13="","",ROUND(AE13,0))</f>
        <v/>
      </c>
      <c r="AG13" s="243">
        <f>IF(AF13="",0,VLOOKUP(AF13,$A$3:$N$103,12))</f>
        <v>0</v>
      </c>
    </row>
    <row r="14" spans="1:93" ht="15" customHeight="1" x14ac:dyDescent="0.2">
      <c r="A14" s="1265">
        <v>11</v>
      </c>
      <c r="B14" s="243">
        <v>7.9000000000000001E-2</v>
      </c>
      <c r="C14" s="243">
        <v>0.29599999999999999</v>
      </c>
      <c r="D14" s="243">
        <v>1.9E-2</v>
      </c>
      <c r="E14" s="243">
        <v>0.38500000000000001</v>
      </c>
      <c r="F14" s="243">
        <v>5.8000000000000003E-2</v>
      </c>
      <c r="G14" s="243">
        <v>0.373</v>
      </c>
      <c r="H14" s="243">
        <v>1.7999999999999999E-2</v>
      </c>
      <c r="I14" s="243">
        <v>0.40699999999999997</v>
      </c>
      <c r="J14" s="243">
        <v>3.9E-2</v>
      </c>
      <c r="K14" s="243">
        <v>0.373</v>
      </c>
      <c r="L14" s="243">
        <v>4.9000000000000002E-2</v>
      </c>
      <c r="M14" s="243">
        <v>0.36299999999999999</v>
      </c>
      <c r="O14" s="1274" t="s">
        <v>1618</v>
      </c>
      <c r="P14" s="1275" t="str">
        <f>IF('Hip-Right'!T20="","",'Hip-Right'!T20)</f>
        <v/>
      </c>
      <c r="Q14" s="1275" t="str">
        <f t="shared" si="1"/>
        <v/>
      </c>
      <c r="R14" s="243">
        <f>IF(Q14="",0,VLOOKUP(Q14,$A$3:$N$103,13))</f>
        <v>0</v>
      </c>
      <c r="T14" s="1273"/>
      <c r="U14" s="1273"/>
      <c r="V14" s="1273"/>
      <c r="W14" s="1273"/>
      <c r="Y14" s="1274" t="s">
        <v>1618</v>
      </c>
      <c r="Z14" s="1275" t="str">
        <f>IF('Hip-Left'!T20="","",'Hip-Left'!T20)</f>
        <v/>
      </c>
      <c r="AA14" s="1275" t="str">
        <f t="shared" si="0"/>
        <v/>
      </c>
      <c r="AB14" s="243">
        <f>IF(AA14="",0,VLOOKUP(AA14,$A$3:$N$103,13))</f>
        <v>0</v>
      </c>
      <c r="AC14" s="74"/>
      <c r="AD14" s="1273"/>
      <c r="AE14" s="1273"/>
      <c r="AF14" s="1273"/>
      <c r="AG14" s="1273"/>
    </row>
    <row r="15" spans="1:93" ht="15" customHeight="1" x14ac:dyDescent="0.2">
      <c r="A15" s="1265">
        <v>12</v>
      </c>
      <c r="B15" s="243">
        <v>7.8E-2</v>
      </c>
      <c r="C15" s="243">
        <v>0.29199999999999998</v>
      </c>
      <c r="D15" s="243">
        <v>1.7999999999999999E-2</v>
      </c>
      <c r="E15" s="243">
        <v>0.39</v>
      </c>
      <c r="F15" s="243">
        <v>5.6000000000000001E-2</v>
      </c>
      <c r="G15" s="243">
        <v>0.376</v>
      </c>
      <c r="H15" s="243">
        <v>1.6E-2</v>
      </c>
      <c r="I15" s="243">
        <v>0.41399999999999998</v>
      </c>
      <c r="J15" s="243">
        <v>3.7999999999999999E-2</v>
      </c>
      <c r="K15" s="243">
        <v>0.376</v>
      </c>
      <c r="L15" s="243">
        <v>4.8000000000000001E-2</v>
      </c>
      <c r="M15" s="243">
        <v>0.36599999999999999</v>
      </c>
      <c r="Z15" s="74"/>
      <c r="AA15" s="74"/>
      <c r="AC15" s="74"/>
      <c r="AE15" s="74"/>
      <c r="AF15" s="74"/>
      <c r="AG15" s="113"/>
    </row>
    <row r="16" spans="1:93" ht="15" customHeight="1" x14ac:dyDescent="0.2">
      <c r="A16" s="1265">
        <v>13</v>
      </c>
      <c r="B16" s="243">
        <v>7.6999999999999999E-2</v>
      </c>
      <c r="C16" s="243">
        <v>0.28799999999999998</v>
      </c>
      <c r="D16" s="243">
        <v>1.7000000000000001E-2</v>
      </c>
      <c r="E16" s="243">
        <v>0.39500000000000002</v>
      </c>
      <c r="F16" s="243">
        <v>5.3999999999999999E-2</v>
      </c>
      <c r="G16" s="243">
        <v>0.379</v>
      </c>
      <c r="H16" s="243">
        <v>1.4E-2</v>
      </c>
      <c r="I16" s="243">
        <v>0.42099999999999999</v>
      </c>
      <c r="J16" s="243">
        <v>3.6999999999999998E-2</v>
      </c>
      <c r="K16" s="243">
        <v>0.379</v>
      </c>
      <c r="L16" s="243">
        <v>4.7E-2</v>
      </c>
      <c r="M16" s="243">
        <v>0.36899999999999999</v>
      </c>
      <c r="Z16" s="406"/>
    </row>
    <row r="17" spans="1:26" ht="15" customHeight="1" x14ac:dyDescent="0.2">
      <c r="A17" s="1265">
        <v>14</v>
      </c>
      <c r="B17" s="243">
        <v>7.5999999999999998E-2</v>
      </c>
      <c r="C17" s="243">
        <v>0.28399999999999997</v>
      </c>
      <c r="D17" s="243">
        <v>1.6E-2</v>
      </c>
      <c r="E17" s="243">
        <v>0.4</v>
      </c>
      <c r="F17" s="243">
        <v>5.1999999999999998E-2</v>
      </c>
      <c r="G17" s="243">
        <v>0.38200000000000001</v>
      </c>
      <c r="H17" s="243">
        <v>1.2E-2</v>
      </c>
      <c r="I17" s="243">
        <v>0.42799999999999999</v>
      </c>
      <c r="J17" s="243">
        <v>3.5999999999999997E-2</v>
      </c>
      <c r="K17" s="243">
        <v>0.38200000000000001</v>
      </c>
      <c r="L17" s="243">
        <v>4.5999999999999999E-2</v>
      </c>
      <c r="M17" s="243">
        <v>0.372</v>
      </c>
      <c r="Z17" s="406"/>
    </row>
    <row r="18" spans="1:26" ht="15" customHeight="1" x14ac:dyDescent="0.2">
      <c r="A18" s="1265">
        <v>15</v>
      </c>
      <c r="B18" s="243">
        <v>7.4999999999999997E-2</v>
      </c>
      <c r="C18" s="243">
        <v>0.28000000000000003</v>
      </c>
      <c r="D18" s="243">
        <v>1.4999999999999999E-2</v>
      </c>
      <c r="E18" s="243">
        <v>0.40500000000000003</v>
      </c>
      <c r="F18" s="243">
        <v>0.05</v>
      </c>
      <c r="G18" s="243">
        <v>0.38500000000000001</v>
      </c>
      <c r="H18" s="243">
        <v>0.01</v>
      </c>
      <c r="I18" s="243">
        <v>0.435</v>
      </c>
      <c r="J18" s="243">
        <v>3.5000000000000003E-2</v>
      </c>
      <c r="K18" s="243">
        <v>0.38500000000000001</v>
      </c>
      <c r="L18" s="243">
        <v>4.4999999999999998E-2</v>
      </c>
      <c r="M18" s="243">
        <v>0.375</v>
      </c>
      <c r="Z18" s="406"/>
    </row>
    <row r="19" spans="1:26" ht="15" customHeight="1" x14ac:dyDescent="0.2">
      <c r="A19" s="1265">
        <v>16</v>
      </c>
      <c r="B19" s="243">
        <v>7.3999999999999996E-2</v>
      </c>
      <c r="C19" s="243">
        <v>0.27600000000000002</v>
      </c>
      <c r="D19" s="243">
        <v>1.4E-2</v>
      </c>
      <c r="E19" s="243">
        <v>0.41</v>
      </c>
      <c r="F19" s="243">
        <v>4.8000000000000001E-2</v>
      </c>
      <c r="G19" s="243">
        <v>0.38800000000000001</v>
      </c>
      <c r="H19" s="243">
        <v>8.0000000000000002E-3</v>
      </c>
      <c r="I19" s="243">
        <v>0.442</v>
      </c>
      <c r="J19" s="243">
        <v>3.4000000000000002E-2</v>
      </c>
      <c r="K19" s="243">
        <v>0.38800000000000001</v>
      </c>
      <c r="L19" s="243">
        <v>4.3999999999999997E-2</v>
      </c>
      <c r="M19" s="243">
        <v>0.378</v>
      </c>
      <c r="Z19" s="406"/>
    </row>
    <row r="20" spans="1:26" ht="15" customHeight="1" x14ac:dyDescent="0.2">
      <c r="A20" s="1265">
        <v>17</v>
      </c>
      <c r="B20" s="243">
        <v>7.2999999999999995E-2</v>
      </c>
      <c r="C20" s="243">
        <v>0.27200000000000002</v>
      </c>
      <c r="D20" s="243">
        <v>1.2999999999999999E-2</v>
      </c>
      <c r="E20" s="243">
        <v>0.41499999999999998</v>
      </c>
      <c r="F20" s="243">
        <v>4.5999999999999999E-2</v>
      </c>
      <c r="G20" s="243">
        <v>0.39100000000000001</v>
      </c>
      <c r="H20" s="243">
        <v>6.0000000000000001E-3</v>
      </c>
      <c r="I20" s="243">
        <v>0.44900000000000001</v>
      </c>
      <c r="J20" s="243">
        <v>3.3000000000000002E-2</v>
      </c>
      <c r="K20" s="243">
        <v>0.39100000000000001</v>
      </c>
      <c r="L20" s="243">
        <v>4.2999999999999997E-2</v>
      </c>
      <c r="M20" s="243">
        <v>0.38100000000000001</v>
      </c>
      <c r="Z20" s="406"/>
    </row>
    <row r="21" spans="1:26" ht="15.75" customHeight="1" x14ac:dyDescent="0.2">
      <c r="A21" s="1265">
        <v>18</v>
      </c>
      <c r="B21" s="1298">
        <v>7.1999999999999995E-2</v>
      </c>
      <c r="C21" s="243">
        <v>0.26800000000000002</v>
      </c>
      <c r="D21" s="243">
        <v>1.2E-2</v>
      </c>
      <c r="E21" s="243">
        <v>0.42</v>
      </c>
      <c r="F21" s="243">
        <v>4.3999999999999997E-2</v>
      </c>
      <c r="G21" s="243">
        <v>0.39400000000000002</v>
      </c>
      <c r="H21" s="243">
        <v>4.0000000000000001E-3</v>
      </c>
      <c r="I21" s="243">
        <v>0.45600000000000002</v>
      </c>
      <c r="J21" s="243">
        <v>3.2000000000000001E-2</v>
      </c>
      <c r="K21" s="243">
        <v>0.39400000000000002</v>
      </c>
      <c r="L21" s="243">
        <v>4.2000000000000003E-2</v>
      </c>
      <c r="M21" s="243">
        <v>0.38400000000000001</v>
      </c>
      <c r="Z21" s="406"/>
    </row>
    <row r="22" spans="1:26" ht="15" customHeight="1" x14ac:dyDescent="0.2">
      <c r="A22" s="1265">
        <v>19</v>
      </c>
      <c r="B22" s="243">
        <v>7.0999999999999994E-2</v>
      </c>
      <c r="C22" s="243">
        <v>0.26400000000000001</v>
      </c>
      <c r="D22" s="243">
        <v>1.0999999999999999E-2</v>
      </c>
      <c r="E22" s="243">
        <v>0.42499999999999999</v>
      </c>
      <c r="F22" s="243">
        <v>4.2000000000000003E-2</v>
      </c>
      <c r="G22" s="243">
        <v>0.39700000000000002</v>
      </c>
      <c r="H22" s="243">
        <v>2E-3</v>
      </c>
      <c r="I22" s="243">
        <v>0.46300000000000002</v>
      </c>
      <c r="J22" s="243">
        <v>3.1E-2</v>
      </c>
      <c r="K22" s="243">
        <v>0.39700000000000002</v>
      </c>
      <c r="L22" s="243">
        <v>4.1000000000000002E-2</v>
      </c>
      <c r="M22" s="243">
        <v>0.38700000000000001</v>
      </c>
      <c r="Z22" s="406"/>
    </row>
    <row r="23" spans="1:26" ht="15" customHeight="1" x14ac:dyDescent="0.2">
      <c r="A23" s="1265">
        <v>20</v>
      </c>
      <c r="B23" s="243">
        <v>7.0000000000000007E-2</v>
      </c>
      <c r="C23" s="243">
        <v>0.26</v>
      </c>
      <c r="D23" s="243">
        <v>0.01</v>
      </c>
      <c r="E23" s="243">
        <v>0.43</v>
      </c>
      <c r="F23" s="243">
        <v>0.04</v>
      </c>
      <c r="G23" s="243">
        <v>0.4</v>
      </c>
      <c r="H23" s="243">
        <v>0</v>
      </c>
      <c r="I23" s="243">
        <v>0.47</v>
      </c>
      <c r="J23" s="243">
        <v>0.03</v>
      </c>
      <c r="K23" s="243">
        <v>0.4</v>
      </c>
      <c r="L23" s="243">
        <v>0.04</v>
      </c>
      <c r="M23" s="243">
        <v>0.39</v>
      </c>
      <c r="Z23" s="406"/>
    </row>
    <row r="24" spans="1:26" ht="15" customHeight="1" x14ac:dyDescent="0.2">
      <c r="A24" s="1265">
        <v>21</v>
      </c>
      <c r="B24" s="243">
        <v>6.9000000000000006E-2</v>
      </c>
      <c r="C24" s="243">
        <v>0.25600000000000001</v>
      </c>
      <c r="D24" s="243">
        <v>8.9999999999999993E-3</v>
      </c>
      <c r="E24" s="243">
        <v>0.434</v>
      </c>
      <c r="F24" s="243">
        <v>3.7999999999999999E-2</v>
      </c>
      <c r="G24" s="243">
        <v>0.40400000000000003</v>
      </c>
      <c r="H24" s="684"/>
      <c r="I24" s="684"/>
      <c r="J24" s="243">
        <v>2.9000000000000001E-2</v>
      </c>
      <c r="K24" s="243">
        <v>0.40400000000000003</v>
      </c>
      <c r="L24" s="243">
        <v>3.9E-2</v>
      </c>
      <c r="M24" s="243">
        <v>0.39200000000000002</v>
      </c>
      <c r="Z24" s="406"/>
    </row>
    <row r="25" spans="1:26" ht="15" customHeight="1" x14ac:dyDescent="0.2">
      <c r="A25" s="1265">
        <v>22</v>
      </c>
      <c r="B25" s="243">
        <v>6.8000000000000005E-2</v>
      </c>
      <c r="C25" s="243">
        <v>0.252</v>
      </c>
      <c r="D25" s="243">
        <v>8.0000000000000002E-3</v>
      </c>
      <c r="E25" s="243">
        <v>0.438</v>
      </c>
      <c r="F25" s="243">
        <v>3.5999999999999997E-2</v>
      </c>
      <c r="G25" s="243">
        <v>0.40799999999999997</v>
      </c>
      <c r="H25" s="684"/>
      <c r="I25" s="684"/>
      <c r="J25" s="243">
        <v>2.8000000000000001E-2</v>
      </c>
      <c r="K25" s="243">
        <v>0.40799999999999997</v>
      </c>
      <c r="L25" s="243">
        <v>3.7999999999999999E-2</v>
      </c>
      <c r="M25" s="243">
        <v>0.39400000000000002</v>
      </c>
      <c r="Z25" s="406"/>
    </row>
    <row r="26" spans="1:26" ht="15" customHeight="1" x14ac:dyDescent="0.2">
      <c r="A26" s="1265">
        <v>23</v>
      </c>
      <c r="B26" s="243">
        <v>6.7000000000000004E-2</v>
      </c>
      <c r="C26" s="243">
        <v>0.248</v>
      </c>
      <c r="D26" s="243">
        <v>7.0000000000000001E-3</v>
      </c>
      <c r="E26" s="243">
        <v>0.442</v>
      </c>
      <c r="F26" s="243">
        <v>3.4000000000000002E-2</v>
      </c>
      <c r="G26" s="243">
        <v>0.41199999999999998</v>
      </c>
      <c r="H26" s="684"/>
      <c r="I26" s="684"/>
      <c r="J26" s="243">
        <v>2.7E-2</v>
      </c>
      <c r="K26" s="243">
        <v>0.41199999999999998</v>
      </c>
      <c r="L26" s="243">
        <v>3.6999999999999998E-2</v>
      </c>
      <c r="M26" s="243">
        <v>0.39600000000000002</v>
      </c>
      <c r="Z26" s="406"/>
    </row>
    <row r="27" spans="1:26" ht="15" customHeight="1" x14ac:dyDescent="0.2">
      <c r="A27" s="1265">
        <v>24</v>
      </c>
      <c r="B27" s="243">
        <v>6.6000000000000003E-2</v>
      </c>
      <c r="C27" s="243">
        <v>0.24399999999999999</v>
      </c>
      <c r="D27" s="243">
        <v>6.0000000000000001E-3</v>
      </c>
      <c r="E27" s="243">
        <v>0.44600000000000001</v>
      </c>
      <c r="F27" s="243">
        <v>3.2000000000000001E-2</v>
      </c>
      <c r="G27" s="243">
        <v>0.41599999999999998</v>
      </c>
      <c r="H27" s="684"/>
      <c r="I27" s="684"/>
      <c r="J27" s="243">
        <v>2.5999999999999999E-2</v>
      </c>
      <c r="K27" s="243">
        <v>0.41599999999999998</v>
      </c>
      <c r="L27" s="243">
        <v>3.5999999999999997E-2</v>
      </c>
      <c r="M27" s="243">
        <v>0.39800000000000002</v>
      </c>
      <c r="Z27" s="406"/>
    </row>
    <row r="28" spans="1:26" ht="15" customHeight="1" x14ac:dyDescent="0.2">
      <c r="A28" s="1265">
        <v>25</v>
      </c>
      <c r="B28" s="243">
        <v>6.5000000000000002E-2</v>
      </c>
      <c r="C28" s="243">
        <v>0.24</v>
      </c>
      <c r="D28" s="1298">
        <v>5.0000000000000001E-3</v>
      </c>
      <c r="E28" s="243">
        <v>0.45</v>
      </c>
      <c r="F28" s="243">
        <v>0.03</v>
      </c>
      <c r="G28" s="243">
        <v>0.42</v>
      </c>
      <c r="H28" s="684"/>
      <c r="I28" s="684"/>
      <c r="J28" s="243">
        <v>2.5000000000000001E-2</v>
      </c>
      <c r="K28" s="243">
        <v>0.42</v>
      </c>
      <c r="L28" s="243">
        <v>3.5000000000000003E-2</v>
      </c>
      <c r="M28" s="243">
        <v>0.4</v>
      </c>
      <c r="Z28" s="406"/>
    </row>
    <row r="29" spans="1:26" ht="15" customHeight="1" x14ac:dyDescent="0.2">
      <c r="A29" s="1265">
        <v>26</v>
      </c>
      <c r="B29" s="243">
        <v>6.4000000000000001E-2</v>
      </c>
      <c r="C29" s="243">
        <v>0.24399999999999999</v>
      </c>
      <c r="D29" s="1298">
        <v>4.0000000000000001E-3</v>
      </c>
      <c r="E29" s="243">
        <v>0.45400000000000001</v>
      </c>
      <c r="F29" s="243">
        <v>2.8000000000000001E-2</v>
      </c>
      <c r="G29" s="243">
        <v>0.42399999999999999</v>
      </c>
      <c r="H29" s="684"/>
      <c r="I29" s="684"/>
      <c r="J29" s="243">
        <v>2.4E-2</v>
      </c>
      <c r="K29" s="243">
        <v>0.42399999999999999</v>
      </c>
      <c r="L29" s="243">
        <v>3.4000000000000002E-2</v>
      </c>
      <c r="M29" s="243">
        <v>0.40200000000000002</v>
      </c>
      <c r="Z29" s="406"/>
    </row>
    <row r="30" spans="1:26" ht="15" customHeight="1" x14ac:dyDescent="0.2">
      <c r="A30" s="1265">
        <v>27</v>
      </c>
      <c r="B30" s="243">
        <v>6.3E-2</v>
      </c>
      <c r="C30" s="243">
        <v>0.248</v>
      </c>
      <c r="D30" s="1298">
        <v>3.0000000000000001E-3</v>
      </c>
      <c r="E30" s="243">
        <v>0.45800000000000002</v>
      </c>
      <c r="F30" s="243">
        <v>2.5999999999999999E-2</v>
      </c>
      <c r="G30" s="243">
        <v>0.42799999999999999</v>
      </c>
      <c r="H30" s="684"/>
      <c r="I30" s="684"/>
      <c r="J30" s="243">
        <v>2.3E-2</v>
      </c>
      <c r="K30" s="243">
        <v>0.42799999999999999</v>
      </c>
      <c r="L30" s="243">
        <v>3.3000000000000002E-2</v>
      </c>
      <c r="M30" s="243">
        <v>0.40400000000000003</v>
      </c>
      <c r="R30" s="113"/>
      <c r="U30" s="74"/>
      <c r="V30" s="74"/>
      <c r="W30" s="113"/>
      <c r="Z30" s="406"/>
    </row>
    <row r="31" spans="1:26" ht="15" customHeight="1" x14ac:dyDescent="0.2">
      <c r="A31" s="1265">
        <v>28</v>
      </c>
      <c r="B31" s="243">
        <v>6.2E-2</v>
      </c>
      <c r="C31" s="243">
        <v>0.252</v>
      </c>
      <c r="D31" s="1298">
        <v>2E-3</v>
      </c>
      <c r="E31" s="243">
        <v>0.46200000000000002</v>
      </c>
      <c r="F31" s="243">
        <v>2.4E-2</v>
      </c>
      <c r="G31" s="243">
        <v>0.432</v>
      </c>
      <c r="H31" s="684"/>
      <c r="I31" s="684"/>
      <c r="J31" s="243">
        <v>2.1999999999999999E-2</v>
      </c>
      <c r="K31" s="243">
        <v>0.432</v>
      </c>
      <c r="L31" s="243">
        <v>3.2000000000000001E-2</v>
      </c>
      <c r="M31" s="243">
        <v>0.40600000000000003</v>
      </c>
      <c r="R31" s="113"/>
      <c r="Z31" s="406"/>
    </row>
    <row r="32" spans="1:26" ht="15" customHeight="1" x14ac:dyDescent="0.2">
      <c r="A32" s="1265">
        <v>29</v>
      </c>
      <c r="B32" s="243">
        <v>6.0999999999999999E-2</v>
      </c>
      <c r="C32" s="243">
        <v>0.25600000000000001</v>
      </c>
      <c r="D32" s="1298">
        <v>1E-3</v>
      </c>
      <c r="E32" s="243">
        <v>0.46600000000000003</v>
      </c>
      <c r="F32" s="243">
        <v>2.1999999999999999E-2</v>
      </c>
      <c r="G32" s="243">
        <v>0.436</v>
      </c>
      <c r="H32" s="684"/>
      <c r="I32" s="684"/>
      <c r="J32" s="243">
        <v>2.1000000000000001E-2</v>
      </c>
      <c r="K32" s="243">
        <v>0.436</v>
      </c>
      <c r="L32" s="243">
        <v>3.1E-2</v>
      </c>
      <c r="M32" s="243">
        <v>0.40799999999999997</v>
      </c>
      <c r="Z32" s="406"/>
    </row>
    <row r="33" spans="1:26" ht="15" customHeight="1" x14ac:dyDescent="0.2">
      <c r="A33" s="1265">
        <v>30</v>
      </c>
      <c r="B33" s="243">
        <v>0.06</v>
      </c>
      <c r="C33" s="243">
        <v>0.26</v>
      </c>
      <c r="D33" s="1298">
        <v>0</v>
      </c>
      <c r="E33" s="243">
        <v>0.47</v>
      </c>
      <c r="F33" s="243">
        <v>0.02</v>
      </c>
      <c r="G33" s="243">
        <v>0.44</v>
      </c>
      <c r="H33" s="684"/>
      <c r="I33" s="684"/>
      <c r="J33" s="243">
        <v>0.02</v>
      </c>
      <c r="K33" s="243">
        <v>0.44</v>
      </c>
      <c r="L33" s="243">
        <v>0.03</v>
      </c>
      <c r="M33" s="243">
        <v>0.41</v>
      </c>
      <c r="R33" s="113"/>
      <c r="U33" s="74"/>
      <c r="V33" s="74"/>
      <c r="W33" s="113"/>
      <c r="Z33" s="406"/>
    </row>
    <row r="34" spans="1:26" ht="15" customHeight="1" x14ac:dyDescent="0.2">
      <c r="A34" s="1265">
        <v>31</v>
      </c>
      <c r="B34" s="243">
        <v>0.06</v>
      </c>
      <c r="C34" s="243">
        <v>0.26300000000000001</v>
      </c>
      <c r="D34" s="684"/>
      <c r="E34" s="684"/>
      <c r="F34" s="243">
        <v>1.7999999999999999E-2</v>
      </c>
      <c r="G34" s="243">
        <v>0.443</v>
      </c>
      <c r="H34" s="684"/>
      <c r="I34" s="684"/>
      <c r="J34" s="243">
        <v>1.7999999999999999E-2</v>
      </c>
      <c r="K34" s="243">
        <v>0.443</v>
      </c>
      <c r="L34" s="243">
        <v>2.9000000000000001E-2</v>
      </c>
      <c r="M34" s="243">
        <v>0.41299999999999998</v>
      </c>
      <c r="R34" s="113"/>
      <c r="U34" s="74"/>
      <c r="V34" s="74"/>
      <c r="W34" s="113"/>
      <c r="Z34" s="406"/>
    </row>
    <row r="35" spans="1:26" ht="15" customHeight="1" x14ac:dyDescent="0.2">
      <c r="A35" s="1265">
        <v>32</v>
      </c>
      <c r="B35" s="243">
        <v>0.06</v>
      </c>
      <c r="C35" s="243">
        <v>0.26600000000000001</v>
      </c>
      <c r="D35" s="684"/>
      <c r="E35" s="684"/>
      <c r="F35" s="243">
        <v>1.6E-2</v>
      </c>
      <c r="G35" s="243">
        <v>0.44600000000000001</v>
      </c>
      <c r="H35" s="684"/>
      <c r="I35" s="684"/>
      <c r="J35" s="243">
        <v>1.6E-2</v>
      </c>
      <c r="K35" s="243">
        <v>0.44600000000000001</v>
      </c>
      <c r="L35" s="243">
        <v>2.8000000000000001E-2</v>
      </c>
      <c r="M35" s="243">
        <v>0.41599999999999998</v>
      </c>
      <c r="R35" s="113"/>
      <c r="Z35" s="406"/>
    </row>
    <row r="36" spans="1:26" ht="15" customHeight="1" x14ac:dyDescent="0.2">
      <c r="A36" s="1265">
        <v>33</v>
      </c>
      <c r="B36" s="243">
        <v>0.06</v>
      </c>
      <c r="C36" s="243">
        <v>0.26900000000000002</v>
      </c>
      <c r="D36" s="684"/>
      <c r="E36" s="684"/>
      <c r="F36" s="1298">
        <v>1.4E-2</v>
      </c>
      <c r="G36" s="243">
        <v>0.44900000000000001</v>
      </c>
      <c r="H36" s="684"/>
      <c r="I36" s="684"/>
      <c r="J36" s="243">
        <v>1.4E-2</v>
      </c>
      <c r="K36" s="243">
        <v>0.44900000000000001</v>
      </c>
      <c r="L36" s="243">
        <v>2.7E-2</v>
      </c>
      <c r="M36" s="243">
        <v>0.41899999999999998</v>
      </c>
      <c r="Z36" s="406"/>
    </row>
    <row r="37" spans="1:26" ht="15" customHeight="1" x14ac:dyDescent="0.2">
      <c r="A37" s="1265">
        <v>34</v>
      </c>
      <c r="B37" s="243">
        <v>0.06</v>
      </c>
      <c r="C37" s="243">
        <v>0.27200000000000002</v>
      </c>
      <c r="D37" s="684"/>
      <c r="E37" s="684"/>
      <c r="F37" s="1298">
        <v>1.2E-2</v>
      </c>
      <c r="G37" s="243">
        <v>0.45200000000000001</v>
      </c>
      <c r="H37" s="1296"/>
      <c r="I37" s="684"/>
      <c r="J37" s="243">
        <v>1.2E-2</v>
      </c>
      <c r="K37" s="243">
        <v>0.45200000000000001</v>
      </c>
      <c r="L37" s="243">
        <v>2.5999999999999999E-2</v>
      </c>
      <c r="M37" s="243">
        <v>0.42199999999999999</v>
      </c>
      <c r="Z37" s="406"/>
    </row>
    <row r="38" spans="1:26" ht="15" customHeight="1" x14ac:dyDescent="0.2">
      <c r="A38" s="1265">
        <v>35</v>
      </c>
      <c r="B38" s="243">
        <v>0.06</v>
      </c>
      <c r="C38" s="243">
        <v>0.27500000000000002</v>
      </c>
      <c r="D38" s="684"/>
      <c r="E38" s="684"/>
      <c r="F38" s="1298">
        <v>0.01</v>
      </c>
      <c r="G38" s="243">
        <v>0.45500000000000002</v>
      </c>
      <c r="H38" s="684"/>
      <c r="I38" s="684"/>
      <c r="J38" s="243">
        <v>0.01</v>
      </c>
      <c r="K38" s="243">
        <v>0.45500000000000002</v>
      </c>
      <c r="L38" s="243">
        <v>2.5000000000000001E-2</v>
      </c>
      <c r="M38" s="243">
        <v>0.42499999999999999</v>
      </c>
      <c r="R38" s="113"/>
      <c r="U38" s="74"/>
      <c r="V38" s="74"/>
      <c r="W38" s="113"/>
      <c r="Z38" s="406"/>
    </row>
    <row r="39" spans="1:26" ht="15" customHeight="1" x14ac:dyDescent="0.2">
      <c r="A39" s="1265">
        <v>36</v>
      </c>
      <c r="B39" s="243">
        <v>0.06</v>
      </c>
      <c r="C39" s="243">
        <v>0.27800000000000002</v>
      </c>
      <c r="D39" s="684"/>
      <c r="E39" s="684"/>
      <c r="F39" s="1298">
        <v>8.0000000000000002E-3</v>
      </c>
      <c r="G39" s="243">
        <v>0.45800000000000002</v>
      </c>
      <c r="H39" s="684"/>
      <c r="I39" s="684"/>
      <c r="J39" s="243">
        <v>8.0000000000000002E-3</v>
      </c>
      <c r="K39" s="243">
        <v>0.45800000000000002</v>
      </c>
      <c r="L39" s="243">
        <v>2.4E-2</v>
      </c>
      <c r="M39" s="243">
        <v>0.42799999999999999</v>
      </c>
      <c r="R39" s="113"/>
      <c r="U39" s="74"/>
      <c r="V39" s="74"/>
      <c r="W39" s="113"/>
      <c r="Z39" s="406"/>
    </row>
    <row r="40" spans="1:26" ht="15" customHeight="1" x14ac:dyDescent="0.2">
      <c r="A40" s="1265">
        <v>37</v>
      </c>
      <c r="B40" s="243">
        <v>0.06</v>
      </c>
      <c r="C40" s="243">
        <v>0.28100000000000003</v>
      </c>
      <c r="D40" s="684"/>
      <c r="E40" s="684"/>
      <c r="F40" s="1298">
        <v>6.0000000000000001E-3</v>
      </c>
      <c r="G40" s="243">
        <v>0.46100000000000002</v>
      </c>
      <c r="H40" s="684"/>
      <c r="I40" s="684"/>
      <c r="J40" s="243">
        <v>6.0000000000000001E-3</v>
      </c>
      <c r="K40" s="243">
        <v>0.46100000000000002</v>
      </c>
      <c r="L40" s="243">
        <v>2.3E-2</v>
      </c>
      <c r="M40" s="243">
        <v>0.43099999999999999</v>
      </c>
      <c r="R40" s="113"/>
      <c r="Z40" s="406"/>
    </row>
    <row r="41" spans="1:26" ht="15" customHeight="1" x14ac:dyDescent="0.2">
      <c r="A41" s="1265">
        <v>38</v>
      </c>
      <c r="B41" s="243">
        <v>0.06</v>
      </c>
      <c r="C41" s="243">
        <v>0.28399999999999997</v>
      </c>
      <c r="D41" s="684"/>
      <c r="E41" s="1296"/>
      <c r="F41" s="1298">
        <v>4.0000000000000001E-3</v>
      </c>
      <c r="G41" s="243">
        <v>0.46400000000000002</v>
      </c>
      <c r="H41" s="684"/>
      <c r="I41" s="684"/>
      <c r="J41" s="243">
        <v>4.0000000000000001E-3</v>
      </c>
      <c r="K41" s="243">
        <v>0.46400000000000002</v>
      </c>
      <c r="L41" s="243">
        <v>2.1999999999999999E-2</v>
      </c>
      <c r="M41" s="243">
        <v>0.434</v>
      </c>
      <c r="Z41" s="406"/>
    </row>
    <row r="42" spans="1:26" ht="15" customHeight="1" x14ac:dyDescent="0.2">
      <c r="A42" s="1265">
        <v>39</v>
      </c>
      <c r="B42" s="243">
        <v>0.06</v>
      </c>
      <c r="C42" s="243">
        <v>0.28699999999999998</v>
      </c>
      <c r="D42" s="684"/>
      <c r="E42" s="684"/>
      <c r="F42" s="1298">
        <v>2E-3</v>
      </c>
      <c r="G42" s="243">
        <v>0.46700000000000003</v>
      </c>
      <c r="H42" s="684"/>
      <c r="I42" s="684"/>
      <c r="J42" s="243">
        <v>2E-3</v>
      </c>
      <c r="K42" s="243">
        <v>0.46700000000000003</v>
      </c>
      <c r="L42" s="243">
        <v>2.1000000000000001E-2</v>
      </c>
      <c r="M42" s="243">
        <v>0.437</v>
      </c>
      <c r="R42" s="113"/>
      <c r="U42" s="74"/>
      <c r="V42" s="74"/>
      <c r="W42" s="113"/>
      <c r="Z42" s="406"/>
    </row>
    <row r="43" spans="1:26" ht="15" customHeight="1" x14ac:dyDescent="0.2">
      <c r="A43" s="1265">
        <v>40</v>
      </c>
      <c r="B43" s="243">
        <v>0.06</v>
      </c>
      <c r="C43" s="243">
        <v>0.28999999999999998</v>
      </c>
      <c r="D43" s="684"/>
      <c r="E43" s="684"/>
      <c r="F43" s="1298">
        <v>0</v>
      </c>
      <c r="G43" s="243">
        <v>0.47</v>
      </c>
      <c r="H43" s="684"/>
      <c r="I43" s="684"/>
      <c r="J43" s="243">
        <v>0</v>
      </c>
      <c r="K43" s="243">
        <v>0.47</v>
      </c>
      <c r="L43" s="243">
        <v>0.02</v>
      </c>
      <c r="M43" s="243">
        <v>0.44</v>
      </c>
      <c r="R43" s="113"/>
      <c r="U43" s="74"/>
      <c r="V43" s="74"/>
      <c r="W43" s="113"/>
      <c r="Z43" s="406"/>
    </row>
    <row r="44" spans="1:26" ht="15" customHeight="1" x14ac:dyDescent="0.2">
      <c r="A44" s="1265">
        <v>41</v>
      </c>
      <c r="B44" s="243">
        <v>5.8999999999999997E-2</v>
      </c>
      <c r="C44" s="243">
        <v>0.29299999999999998</v>
      </c>
      <c r="D44" s="684"/>
      <c r="E44" s="684"/>
      <c r="F44" s="684"/>
      <c r="G44" s="684"/>
      <c r="H44" s="684"/>
      <c r="I44" s="684"/>
      <c r="J44" s="1277"/>
      <c r="K44" s="1277"/>
      <c r="L44" s="1298">
        <v>1.7999999999999999E-2</v>
      </c>
      <c r="M44" s="243">
        <v>0.443</v>
      </c>
      <c r="R44" s="113"/>
      <c r="Z44" s="406"/>
    </row>
    <row r="45" spans="1:26" ht="15" customHeight="1" x14ac:dyDescent="0.2">
      <c r="A45" s="1265">
        <v>42</v>
      </c>
      <c r="B45" s="243">
        <v>5.8000000000000003E-2</v>
      </c>
      <c r="C45" s="243">
        <v>0.29599999999999999</v>
      </c>
      <c r="D45" s="684"/>
      <c r="E45" s="684"/>
      <c r="F45" s="684"/>
      <c r="G45" s="684"/>
      <c r="H45" s="684"/>
      <c r="I45" s="684"/>
      <c r="J45" s="1277"/>
      <c r="K45" s="1277"/>
      <c r="L45" s="1298">
        <v>1.6E-2</v>
      </c>
      <c r="M45" s="243">
        <v>0.44600000000000001</v>
      </c>
      <c r="Z45" s="406"/>
    </row>
    <row r="46" spans="1:26" ht="15" customHeight="1" x14ac:dyDescent="0.2">
      <c r="A46" s="1265">
        <v>43</v>
      </c>
      <c r="B46" s="243">
        <v>5.7000000000000002E-2</v>
      </c>
      <c r="C46" s="243">
        <v>0.29899999999999999</v>
      </c>
      <c r="D46" s="684"/>
      <c r="E46" s="684"/>
      <c r="F46" s="684"/>
      <c r="G46" s="684"/>
      <c r="H46" s="684"/>
      <c r="I46" s="684"/>
      <c r="J46" s="1277"/>
      <c r="K46" s="1277"/>
      <c r="L46" s="1298">
        <v>1.4E-2</v>
      </c>
      <c r="M46" s="243">
        <v>0.44900000000000001</v>
      </c>
      <c r="R46" s="113"/>
      <c r="U46" s="74"/>
      <c r="V46" s="74"/>
      <c r="W46" s="113"/>
      <c r="Z46" s="406"/>
    </row>
    <row r="47" spans="1:26" ht="15" customHeight="1" x14ac:dyDescent="0.2">
      <c r="A47" s="1265">
        <v>44</v>
      </c>
      <c r="B47" s="243">
        <v>5.6000000000000001E-2</v>
      </c>
      <c r="C47" s="243">
        <v>0.30199999999999999</v>
      </c>
      <c r="D47" s="684"/>
      <c r="E47" s="684"/>
      <c r="F47" s="684"/>
      <c r="G47" s="684"/>
      <c r="H47" s="684"/>
      <c r="I47" s="684"/>
      <c r="J47" s="1277"/>
      <c r="K47" s="1277"/>
      <c r="L47" s="1298">
        <v>1.2E-2</v>
      </c>
      <c r="M47" s="243">
        <v>0.45200000000000001</v>
      </c>
      <c r="R47" s="113"/>
      <c r="U47" s="74"/>
      <c r="V47" s="74"/>
      <c r="W47" s="113"/>
      <c r="Z47" s="406"/>
    </row>
    <row r="48" spans="1:26" ht="15" customHeight="1" x14ac:dyDescent="0.2">
      <c r="A48" s="1265">
        <v>45</v>
      </c>
      <c r="B48" s="243">
        <v>5.5E-2</v>
      </c>
      <c r="C48" s="243">
        <v>0.30499999999999999</v>
      </c>
      <c r="D48" s="684"/>
      <c r="E48" s="684"/>
      <c r="F48" s="684"/>
      <c r="G48" s="684"/>
      <c r="H48" s="684"/>
      <c r="I48" s="684"/>
      <c r="J48" s="1277"/>
      <c r="K48" s="1277"/>
      <c r="L48" s="1298">
        <v>0.01</v>
      </c>
      <c r="M48" s="243">
        <v>0.45500000000000002</v>
      </c>
      <c r="R48" s="113"/>
      <c r="Z48" s="406"/>
    </row>
    <row r="49" spans="1:27" ht="15" customHeight="1" x14ac:dyDescent="0.2">
      <c r="A49" s="1265">
        <v>46</v>
      </c>
      <c r="B49" s="243">
        <v>5.3999999999999999E-2</v>
      </c>
      <c r="C49" s="243">
        <v>0.308</v>
      </c>
      <c r="D49" s="684"/>
      <c r="E49" s="684"/>
      <c r="F49" s="684"/>
      <c r="G49" s="684"/>
      <c r="H49" s="684"/>
      <c r="I49" s="684"/>
      <c r="J49" s="1277"/>
      <c r="K49" s="1277"/>
      <c r="L49" s="1298">
        <v>8.0000000000000002E-3</v>
      </c>
      <c r="M49" s="243">
        <v>0.45800000000000002</v>
      </c>
      <c r="Z49" s="406"/>
    </row>
    <row r="50" spans="1:27" ht="15" customHeight="1" x14ac:dyDescent="0.2">
      <c r="A50" s="1265">
        <v>47</v>
      </c>
      <c r="B50" s="243">
        <v>5.2999999999999999E-2</v>
      </c>
      <c r="C50" s="243">
        <v>0.311</v>
      </c>
      <c r="D50" s="684"/>
      <c r="E50" s="684"/>
      <c r="F50" s="684"/>
      <c r="G50" s="684"/>
      <c r="H50" s="684"/>
      <c r="I50" s="684"/>
      <c r="J50" s="1277"/>
      <c r="K50" s="1277"/>
      <c r="L50" s="1298">
        <v>6.0000000000000001E-3</v>
      </c>
      <c r="M50" s="243">
        <v>0.46100000000000002</v>
      </c>
      <c r="Z50" s="406"/>
    </row>
    <row r="51" spans="1:27" ht="15" customHeight="1" x14ac:dyDescent="0.2">
      <c r="A51" s="1265">
        <v>48</v>
      </c>
      <c r="B51" s="243">
        <v>5.1999999999999998E-2</v>
      </c>
      <c r="C51" s="243">
        <v>0.314</v>
      </c>
      <c r="D51" s="684"/>
      <c r="E51" s="684"/>
      <c r="F51" s="684"/>
      <c r="G51" s="684"/>
      <c r="H51" s="684"/>
      <c r="I51" s="684"/>
      <c r="J51" s="1277"/>
      <c r="K51" s="1277"/>
      <c r="L51" s="1298">
        <v>4.0000000000000001E-3</v>
      </c>
      <c r="M51" s="243">
        <v>0.46400000000000002</v>
      </c>
      <c r="R51" s="113"/>
      <c r="U51" s="74"/>
      <c r="V51" s="74"/>
      <c r="W51" s="113"/>
      <c r="Z51" s="406"/>
    </row>
    <row r="52" spans="1:27" ht="15" customHeight="1" x14ac:dyDescent="0.2">
      <c r="A52" s="1265">
        <v>49</v>
      </c>
      <c r="B52" s="243">
        <v>5.0999999999999997E-2</v>
      </c>
      <c r="C52" s="243">
        <v>0.317</v>
      </c>
      <c r="D52" s="684"/>
      <c r="E52" s="684"/>
      <c r="F52" s="684"/>
      <c r="G52" s="684"/>
      <c r="H52" s="684"/>
      <c r="I52" s="684"/>
      <c r="J52" s="1277"/>
      <c r="K52" s="1277"/>
      <c r="L52" s="1298">
        <v>2E-3</v>
      </c>
      <c r="M52" s="243">
        <v>0.46700000000000003</v>
      </c>
      <c r="R52" s="113"/>
      <c r="U52" s="74"/>
      <c r="V52" s="74"/>
      <c r="W52" s="113"/>
      <c r="Z52" s="406"/>
    </row>
    <row r="53" spans="1:27" ht="15" customHeight="1" x14ac:dyDescent="0.2">
      <c r="A53" s="1265">
        <v>50</v>
      </c>
      <c r="B53" s="243">
        <v>0.05</v>
      </c>
      <c r="C53" s="243">
        <v>0.32</v>
      </c>
      <c r="D53" s="684"/>
      <c r="E53" s="684"/>
      <c r="F53" s="684"/>
      <c r="G53" s="684"/>
      <c r="H53" s="684"/>
      <c r="I53" s="684"/>
      <c r="J53" s="1277"/>
      <c r="K53" s="1277"/>
      <c r="L53" s="1298">
        <v>0</v>
      </c>
      <c r="M53" s="243">
        <v>0.47</v>
      </c>
      <c r="R53" s="113"/>
      <c r="Z53" s="406"/>
    </row>
    <row r="54" spans="1:27" ht="15" customHeight="1" x14ac:dyDescent="0.2">
      <c r="A54" s="1265">
        <v>51</v>
      </c>
      <c r="B54" s="243">
        <v>4.9000000000000002E-2</v>
      </c>
      <c r="C54" s="243">
        <v>0.32300000000000001</v>
      </c>
      <c r="D54" s="1297"/>
      <c r="E54" s="1265"/>
      <c r="F54" s="684"/>
      <c r="G54" s="684"/>
      <c r="H54" s="1297"/>
      <c r="I54" s="1265"/>
      <c r="J54" s="1277"/>
      <c r="K54" s="1277"/>
      <c r="L54" s="1277"/>
      <c r="M54" s="684"/>
      <c r="Z54" s="406"/>
      <c r="AA54" s="407"/>
    </row>
    <row r="55" spans="1:27" ht="15" customHeight="1" x14ac:dyDescent="0.2">
      <c r="A55" s="1265">
        <v>52</v>
      </c>
      <c r="B55" s="243">
        <v>4.8000000000000001E-2</v>
      </c>
      <c r="C55" s="243">
        <v>0.32600000000000001</v>
      </c>
      <c r="D55" s="1297"/>
      <c r="E55" s="1265"/>
      <c r="F55" s="684"/>
      <c r="G55" s="684"/>
      <c r="H55" s="1297"/>
      <c r="I55" s="1265"/>
      <c r="J55" s="1277"/>
      <c r="K55" s="1277"/>
      <c r="L55" s="1277"/>
      <c r="M55" s="684"/>
      <c r="R55" s="113"/>
      <c r="U55" s="74"/>
      <c r="V55" s="74"/>
      <c r="W55" s="113"/>
      <c r="Z55" s="406"/>
      <c r="AA55" s="407"/>
    </row>
    <row r="56" spans="1:27" ht="15" customHeight="1" x14ac:dyDescent="0.2">
      <c r="A56" s="1265">
        <v>53</v>
      </c>
      <c r="B56" s="243">
        <v>4.7E-2</v>
      </c>
      <c r="C56" s="243">
        <v>0.32900000000000001</v>
      </c>
      <c r="D56" s="1297"/>
      <c r="E56" s="1265"/>
      <c r="F56" s="684"/>
      <c r="G56" s="684"/>
      <c r="H56" s="1297"/>
      <c r="I56" s="1265"/>
      <c r="J56" s="1277"/>
      <c r="K56" s="1277"/>
      <c r="L56" s="1277"/>
      <c r="M56" s="684"/>
      <c r="R56" s="113"/>
      <c r="U56" s="74"/>
      <c r="V56" s="74"/>
      <c r="W56" s="113"/>
      <c r="Z56" s="406"/>
      <c r="AA56" s="407"/>
    </row>
    <row r="57" spans="1:27" ht="15" customHeight="1" x14ac:dyDescent="0.2">
      <c r="A57" s="1265">
        <v>54</v>
      </c>
      <c r="B57" s="243">
        <v>4.5999999999999999E-2</v>
      </c>
      <c r="C57" s="243">
        <v>0.33200000000000002</v>
      </c>
      <c r="D57" s="1297"/>
      <c r="E57" s="1265"/>
      <c r="F57" s="684"/>
      <c r="G57" s="684"/>
      <c r="H57" s="1297"/>
      <c r="I57" s="1265"/>
      <c r="J57" s="1277"/>
      <c r="K57" s="1277"/>
      <c r="L57" s="1277"/>
      <c r="M57" s="684"/>
      <c r="R57" s="113"/>
      <c r="Z57" s="406"/>
      <c r="AA57" s="407"/>
    </row>
    <row r="58" spans="1:27" ht="15" customHeight="1" x14ac:dyDescent="0.2">
      <c r="A58" s="1265">
        <v>55</v>
      </c>
      <c r="B58" s="243">
        <v>4.4999999999999998E-2</v>
      </c>
      <c r="C58" s="243">
        <v>0.33500000000000002</v>
      </c>
      <c r="D58" s="1297"/>
      <c r="E58" s="1265"/>
      <c r="F58" s="684"/>
      <c r="G58" s="684"/>
      <c r="H58" s="1297"/>
      <c r="I58" s="1265"/>
      <c r="J58" s="1277"/>
      <c r="K58" s="1277"/>
      <c r="L58" s="1277"/>
      <c r="M58" s="684"/>
      <c r="Z58" s="406"/>
      <c r="AA58" s="407"/>
    </row>
    <row r="59" spans="1:27" ht="15" customHeight="1" x14ac:dyDescent="0.2">
      <c r="A59" s="1265">
        <v>56</v>
      </c>
      <c r="B59" s="243">
        <v>4.3999999999999997E-2</v>
      </c>
      <c r="C59" s="243">
        <v>0.33800000000000002</v>
      </c>
      <c r="D59" s="1297"/>
      <c r="E59" s="1265"/>
      <c r="F59" s="684"/>
      <c r="G59" s="684"/>
      <c r="H59" s="1297"/>
      <c r="I59" s="1265"/>
      <c r="J59" s="1277"/>
      <c r="K59" s="1277"/>
      <c r="L59" s="1277"/>
      <c r="M59" s="684"/>
      <c r="R59" s="113"/>
      <c r="U59" s="74"/>
      <c r="V59" s="74"/>
      <c r="W59" s="113"/>
      <c r="Z59" s="406"/>
      <c r="AA59" s="407"/>
    </row>
    <row r="60" spans="1:27" ht="15" customHeight="1" x14ac:dyDescent="0.2">
      <c r="A60" s="1265">
        <v>57</v>
      </c>
      <c r="B60" s="243">
        <v>4.2999999999999997E-2</v>
      </c>
      <c r="C60" s="243">
        <v>0.34100000000000003</v>
      </c>
      <c r="D60" s="1297"/>
      <c r="E60" s="1265"/>
      <c r="F60" s="684"/>
      <c r="G60" s="684"/>
      <c r="H60" s="1297"/>
      <c r="I60" s="1265"/>
      <c r="J60" s="1277"/>
      <c r="K60" s="1277"/>
      <c r="L60" s="1277"/>
      <c r="M60" s="684"/>
      <c r="R60" s="113"/>
      <c r="U60" s="74"/>
      <c r="V60" s="74"/>
      <c r="W60" s="113"/>
      <c r="Z60" s="406"/>
      <c r="AA60" s="407"/>
    </row>
    <row r="61" spans="1:27" ht="15" customHeight="1" x14ac:dyDescent="0.2">
      <c r="A61" s="1265">
        <v>58</v>
      </c>
      <c r="B61" s="243">
        <v>4.2000000000000003E-2</v>
      </c>
      <c r="C61" s="243">
        <v>0.34399999999999997</v>
      </c>
      <c r="D61" s="1297"/>
      <c r="E61" s="1265"/>
      <c r="F61" s="684"/>
      <c r="G61" s="684"/>
      <c r="H61" s="1297"/>
      <c r="I61" s="1265"/>
      <c r="J61" s="1277"/>
      <c r="K61" s="1277"/>
      <c r="L61" s="1277"/>
      <c r="M61" s="684"/>
      <c r="R61" s="113"/>
      <c r="Z61" s="406"/>
      <c r="AA61" s="407"/>
    </row>
    <row r="62" spans="1:27" ht="15" customHeight="1" x14ac:dyDescent="0.2">
      <c r="A62" s="1265">
        <v>59</v>
      </c>
      <c r="B62" s="243">
        <v>4.1000000000000002E-2</v>
      </c>
      <c r="C62" s="243">
        <v>0.34699999999999998</v>
      </c>
      <c r="D62" s="1297"/>
      <c r="E62" s="1265"/>
      <c r="F62" s="684"/>
      <c r="G62" s="684"/>
      <c r="H62" s="1297"/>
      <c r="I62" s="1265"/>
      <c r="J62" s="1277"/>
      <c r="K62" s="1277"/>
      <c r="L62" s="1277"/>
      <c r="M62" s="684"/>
      <c r="Z62" s="406"/>
      <c r="AA62" s="407"/>
    </row>
    <row r="63" spans="1:27" ht="15" customHeight="1" x14ac:dyDescent="0.2">
      <c r="A63" s="1265">
        <v>60</v>
      </c>
      <c r="B63" s="243">
        <v>0.04</v>
      </c>
      <c r="C63" s="243">
        <v>0.35</v>
      </c>
      <c r="D63" s="1297"/>
      <c r="E63" s="1265"/>
      <c r="F63" s="684"/>
      <c r="G63" s="684"/>
      <c r="H63" s="1297"/>
      <c r="I63" s="1265"/>
      <c r="J63" s="1277"/>
      <c r="K63" s="1277"/>
      <c r="L63" s="1277"/>
      <c r="M63" s="684"/>
      <c r="Z63" s="406"/>
      <c r="AA63" s="407"/>
    </row>
    <row r="64" spans="1:27" ht="15" customHeight="1" x14ac:dyDescent="0.2">
      <c r="A64" s="1265">
        <v>61</v>
      </c>
      <c r="B64" s="243">
        <v>3.9E-2</v>
      </c>
      <c r="C64" s="243">
        <v>0.35299999999999998</v>
      </c>
      <c r="D64" s="1297"/>
      <c r="E64" s="1265"/>
      <c r="F64" s="684"/>
      <c r="G64" s="684"/>
      <c r="H64" s="1265"/>
      <c r="I64" s="1265"/>
      <c r="J64" s="1277"/>
      <c r="K64" s="1277"/>
      <c r="L64" s="1277"/>
      <c r="M64" s="684"/>
      <c r="R64" s="113"/>
      <c r="U64" s="74"/>
      <c r="V64" s="74"/>
      <c r="W64" s="113"/>
      <c r="Z64" s="406"/>
      <c r="AA64" s="407"/>
    </row>
    <row r="65" spans="1:27" ht="15" customHeight="1" x14ac:dyDescent="0.2">
      <c r="A65" s="1265">
        <v>62</v>
      </c>
      <c r="B65" s="243">
        <v>3.7999999999999999E-2</v>
      </c>
      <c r="C65" s="243">
        <v>0.35599999999999998</v>
      </c>
      <c r="D65" s="1297"/>
      <c r="E65" s="1265"/>
      <c r="F65" s="684"/>
      <c r="G65" s="684"/>
      <c r="H65" s="1265"/>
      <c r="I65" s="1265"/>
      <c r="J65" s="1277"/>
      <c r="K65" s="1277"/>
      <c r="L65" s="1277"/>
      <c r="M65" s="684"/>
      <c r="R65" s="113"/>
      <c r="U65" s="74"/>
      <c r="V65" s="74"/>
      <c r="W65" s="113"/>
      <c r="Z65" s="406"/>
      <c r="AA65" s="407"/>
    </row>
    <row r="66" spans="1:27" ht="15" customHeight="1" x14ac:dyDescent="0.2">
      <c r="A66" s="1265">
        <v>63</v>
      </c>
      <c r="B66" s="243">
        <v>3.6999999999999998E-2</v>
      </c>
      <c r="C66" s="243">
        <v>0.35899999999999999</v>
      </c>
      <c r="D66" s="1297"/>
      <c r="E66" s="1265"/>
      <c r="F66" s="684"/>
      <c r="G66" s="684"/>
      <c r="H66" s="1265"/>
      <c r="I66" s="1265"/>
      <c r="J66" s="1277"/>
      <c r="K66" s="1277"/>
      <c r="L66" s="1277"/>
      <c r="M66" s="684"/>
      <c r="R66" s="113"/>
      <c r="Z66" s="406"/>
      <c r="AA66" s="407"/>
    </row>
    <row r="67" spans="1:27" ht="15" customHeight="1" x14ac:dyDescent="0.2">
      <c r="A67" s="1265">
        <v>64</v>
      </c>
      <c r="B67" s="243">
        <v>3.5999999999999997E-2</v>
      </c>
      <c r="C67" s="243">
        <v>0.36199999999999999</v>
      </c>
      <c r="D67" s="1297"/>
      <c r="E67" s="1265"/>
      <c r="F67" s="684"/>
      <c r="G67" s="684"/>
      <c r="H67" s="1265"/>
      <c r="I67" s="1265"/>
      <c r="J67" s="1277"/>
      <c r="K67" s="1277"/>
      <c r="L67" s="1277"/>
      <c r="M67" s="684"/>
      <c r="R67" s="113"/>
      <c r="Z67" s="406"/>
      <c r="AA67" s="407"/>
    </row>
    <row r="68" spans="1:27" ht="15" customHeight="1" x14ac:dyDescent="0.2">
      <c r="A68" s="1265">
        <v>65</v>
      </c>
      <c r="B68" s="243">
        <v>3.5000000000000003E-2</v>
      </c>
      <c r="C68" s="243">
        <v>0.36499999999999999</v>
      </c>
      <c r="D68" s="1297"/>
      <c r="E68" s="1265"/>
      <c r="F68" s="684"/>
      <c r="G68" s="684"/>
      <c r="H68" s="1265"/>
      <c r="I68" s="1265"/>
      <c r="J68" s="1277"/>
      <c r="K68" s="1277"/>
      <c r="L68" s="1277"/>
      <c r="M68" s="684"/>
      <c r="Z68" s="406"/>
      <c r="AA68" s="407"/>
    </row>
    <row r="69" spans="1:27" ht="15" customHeight="1" x14ac:dyDescent="0.2">
      <c r="A69" s="1265">
        <v>66</v>
      </c>
      <c r="B69" s="243">
        <v>3.4000000000000002E-2</v>
      </c>
      <c r="C69" s="243">
        <v>0.36799999999999999</v>
      </c>
      <c r="D69" s="1297"/>
      <c r="E69" s="1265"/>
      <c r="F69" s="684"/>
      <c r="G69" s="684"/>
      <c r="H69" s="1265"/>
      <c r="I69" s="1265"/>
      <c r="J69" s="1277"/>
      <c r="K69" s="1277"/>
      <c r="L69" s="1277"/>
      <c r="M69" s="684"/>
      <c r="Z69" s="406"/>
      <c r="AA69" s="407"/>
    </row>
    <row r="70" spans="1:27" ht="15" customHeight="1" x14ac:dyDescent="0.2">
      <c r="A70" s="1265">
        <v>67</v>
      </c>
      <c r="B70" s="243">
        <v>3.3000000000000002E-2</v>
      </c>
      <c r="C70" s="243">
        <v>0.371</v>
      </c>
      <c r="D70" s="1297"/>
      <c r="E70" s="1265"/>
      <c r="F70" s="684"/>
      <c r="G70" s="684"/>
      <c r="H70" s="1265"/>
      <c r="I70" s="1265"/>
      <c r="J70" s="1277"/>
      <c r="K70" s="1277"/>
      <c r="L70" s="1277"/>
      <c r="M70" s="684"/>
      <c r="R70" s="113"/>
      <c r="U70" s="74"/>
      <c r="V70" s="74"/>
      <c r="W70" s="113"/>
      <c r="Z70" s="406"/>
      <c r="AA70" s="407"/>
    </row>
    <row r="71" spans="1:27" ht="15" customHeight="1" x14ac:dyDescent="0.2">
      <c r="A71" s="1265">
        <v>68</v>
      </c>
      <c r="B71" s="243">
        <v>3.2000000000000001E-2</v>
      </c>
      <c r="C71" s="243">
        <v>0.374</v>
      </c>
      <c r="D71" s="1297"/>
      <c r="E71" s="1265"/>
      <c r="F71" s="684"/>
      <c r="G71" s="684"/>
      <c r="H71" s="1265"/>
      <c r="I71" s="1265"/>
      <c r="J71" s="1277"/>
      <c r="K71" s="1277"/>
      <c r="L71" s="1277"/>
      <c r="M71" s="684"/>
      <c r="R71" s="113"/>
      <c r="Z71" s="406"/>
      <c r="AA71" s="407"/>
    </row>
    <row r="72" spans="1:27" ht="15" customHeight="1" x14ac:dyDescent="0.2">
      <c r="A72" s="1265">
        <v>69</v>
      </c>
      <c r="B72" s="243">
        <v>3.1E-2</v>
      </c>
      <c r="C72" s="243">
        <v>0.377</v>
      </c>
      <c r="D72" s="1297"/>
      <c r="E72" s="1265"/>
      <c r="F72" s="684"/>
      <c r="G72" s="684"/>
      <c r="H72" s="1265"/>
      <c r="I72" s="1265"/>
      <c r="J72" s="1277"/>
      <c r="K72" s="1277"/>
      <c r="L72" s="1277"/>
      <c r="M72" s="684"/>
      <c r="R72" s="113"/>
      <c r="U72" s="74"/>
      <c r="V72" s="74"/>
      <c r="W72" s="113"/>
      <c r="Z72" s="406"/>
      <c r="AA72" s="407"/>
    </row>
    <row r="73" spans="1:27" ht="15" customHeight="1" x14ac:dyDescent="0.2">
      <c r="A73" s="1265">
        <v>70</v>
      </c>
      <c r="B73" s="243">
        <v>0.03</v>
      </c>
      <c r="C73" s="243">
        <v>0.38</v>
      </c>
      <c r="D73" s="1297"/>
      <c r="E73" s="1265"/>
      <c r="F73" s="684"/>
      <c r="G73" s="684"/>
      <c r="H73" s="1265"/>
      <c r="I73" s="1265"/>
      <c r="J73" s="1277"/>
      <c r="K73" s="1277"/>
      <c r="L73" s="1277"/>
      <c r="M73" s="684"/>
      <c r="R73" s="113"/>
      <c r="Z73" s="406"/>
      <c r="AA73" s="407"/>
    </row>
    <row r="74" spans="1:27" ht="15" customHeight="1" x14ac:dyDescent="0.2">
      <c r="A74" s="1265">
        <v>71</v>
      </c>
      <c r="B74" s="243">
        <v>2.9000000000000001E-2</v>
      </c>
      <c r="C74" s="243">
        <v>0.38300000000000001</v>
      </c>
      <c r="D74" s="1297"/>
      <c r="E74" s="1265"/>
      <c r="F74" s="684"/>
      <c r="G74" s="684"/>
      <c r="H74" s="1297"/>
      <c r="I74" s="1265"/>
      <c r="J74" s="1277"/>
      <c r="K74" s="1277"/>
      <c r="L74" s="1277"/>
      <c r="M74" s="684"/>
      <c r="R74" s="113"/>
      <c r="U74" s="74"/>
      <c r="V74" s="74"/>
      <c r="W74" s="113"/>
      <c r="Z74" s="406"/>
      <c r="AA74" s="407"/>
    </row>
    <row r="75" spans="1:27" ht="15" customHeight="1" x14ac:dyDescent="0.2">
      <c r="A75" s="1265">
        <v>72</v>
      </c>
      <c r="B75" s="243">
        <v>2.8000000000000001E-2</v>
      </c>
      <c r="C75" s="243">
        <v>0.38600000000000001</v>
      </c>
      <c r="D75" s="1297"/>
      <c r="E75" s="1265"/>
      <c r="F75" s="684"/>
      <c r="G75" s="684"/>
      <c r="H75" s="1297"/>
      <c r="I75" s="1265"/>
      <c r="J75" s="1277"/>
      <c r="K75" s="1277"/>
      <c r="L75" s="1277"/>
      <c r="M75" s="684"/>
      <c r="R75" s="113"/>
      <c r="Z75" s="406"/>
      <c r="AA75" s="407"/>
    </row>
    <row r="76" spans="1:27" ht="15" customHeight="1" x14ac:dyDescent="0.2">
      <c r="A76" s="1265">
        <v>73</v>
      </c>
      <c r="B76" s="243">
        <v>2.7E-2</v>
      </c>
      <c r="C76" s="243">
        <v>0.38900000000000001</v>
      </c>
      <c r="D76" s="1297"/>
      <c r="E76" s="1265"/>
      <c r="F76" s="684"/>
      <c r="G76" s="684"/>
      <c r="H76" s="1297"/>
      <c r="I76" s="1265"/>
      <c r="J76" s="1277"/>
      <c r="K76" s="1277"/>
      <c r="L76" s="1277"/>
      <c r="M76" s="684"/>
      <c r="R76" s="113"/>
      <c r="U76" s="74"/>
      <c r="V76" s="74"/>
      <c r="W76" s="113"/>
      <c r="Z76" s="406"/>
      <c r="AA76" s="407"/>
    </row>
    <row r="77" spans="1:27" ht="15" customHeight="1" x14ac:dyDescent="0.2">
      <c r="A77" s="1265">
        <v>74</v>
      </c>
      <c r="B77" s="243">
        <v>2.5999999999999999E-2</v>
      </c>
      <c r="C77" s="243">
        <v>0.39200000000000002</v>
      </c>
      <c r="D77" s="1297"/>
      <c r="E77" s="1265"/>
      <c r="F77" s="684"/>
      <c r="G77" s="684"/>
      <c r="H77" s="1297"/>
      <c r="I77" s="1265"/>
      <c r="J77" s="1277"/>
      <c r="K77" s="1277"/>
      <c r="L77" s="1277"/>
      <c r="M77" s="684"/>
      <c r="R77" s="113"/>
      <c r="Z77" s="406"/>
      <c r="AA77" s="407"/>
    </row>
    <row r="78" spans="1:27" ht="15" customHeight="1" x14ac:dyDescent="0.2">
      <c r="A78" s="1265">
        <v>75</v>
      </c>
      <c r="B78" s="243">
        <v>2.5000000000000001E-2</v>
      </c>
      <c r="C78" s="243">
        <v>0.39500000000000002</v>
      </c>
      <c r="D78" s="1297"/>
      <c r="E78" s="1265"/>
      <c r="F78" s="684"/>
      <c r="G78" s="684"/>
      <c r="H78" s="1297"/>
      <c r="I78" s="1265"/>
      <c r="J78" s="1277"/>
      <c r="K78" s="1277"/>
      <c r="L78" s="1277"/>
      <c r="M78" s="684"/>
      <c r="Z78" s="406"/>
      <c r="AA78" s="407"/>
    </row>
    <row r="79" spans="1:27" ht="15" customHeight="1" x14ac:dyDescent="0.2">
      <c r="A79" s="1265">
        <v>76</v>
      </c>
      <c r="B79" s="243">
        <v>2.4E-2</v>
      </c>
      <c r="C79" s="243">
        <v>0.39800000000000002</v>
      </c>
      <c r="D79" s="1297"/>
      <c r="E79" s="1265"/>
      <c r="F79" s="684"/>
      <c r="G79" s="684"/>
      <c r="H79" s="1297"/>
      <c r="I79" s="1265"/>
      <c r="J79" s="1277"/>
      <c r="K79" s="1277"/>
      <c r="L79" s="1277"/>
      <c r="M79" s="684"/>
      <c r="Z79" s="406"/>
      <c r="AA79" s="407"/>
    </row>
    <row r="80" spans="1:27" ht="15" customHeight="1" x14ac:dyDescent="0.2">
      <c r="A80" s="1265">
        <v>77</v>
      </c>
      <c r="B80" s="243">
        <v>2.3E-2</v>
      </c>
      <c r="C80" s="243">
        <v>0.40100000000000002</v>
      </c>
      <c r="D80" s="1297"/>
      <c r="E80" s="1265"/>
      <c r="F80" s="684"/>
      <c r="G80" s="684"/>
      <c r="H80" s="1297"/>
      <c r="I80" s="1265"/>
      <c r="J80" s="1277"/>
      <c r="K80" s="1277"/>
      <c r="L80" s="1277"/>
      <c r="M80" s="684"/>
      <c r="O80" s="117"/>
      <c r="R80" s="113"/>
      <c r="U80" s="74"/>
      <c r="V80" s="74"/>
      <c r="W80" s="113"/>
      <c r="Z80" s="406"/>
      <c r="AA80" s="407"/>
    </row>
    <row r="81" spans="1:27" ht="15" customHeight="1" x14ac:dyDescent="0.2">
      <c r="A81" s="1265">
        <v>78</v>
      </c>
      <c r="B81" s="243">
        <v>2.1999999999999999E-2</v>
      </c>
      <c r="C81" s="243">
        <v>0.40400000000000003</v>
      </c>
      <c r="D81" s="1297"/>
      <c r="E81" s="1265"/>
      <c r="F81" s="684"/>
      <c r="G81" s="684"/>
      <c r="H81" s="1297"/>
      <c r="I81" s="1265"/>
      <c r="J81" s="1277"/>
      <c r="K81" s="1296"/>
      <c r="L81" s="1277"/>
      <c r="M81" s="684"/>
      <c r="O81" s="117"/>
      <c r="R81" s="113"/>
      <c r="Z81" s="406"/>
      <c r="AA81" s="407"/>
    </row>
    <row r="82" spans="1:27" ht="15" customHeight="1" x14ac:dyDescent="0.2">
      <c r="A82" s="1265">
        <v>79</v>
      </c>
      <c r="B82" s="243">
        <v>2.1000000000000001E-2</v>
      </c>
      <c r="C82" s="243">
        <v>0.40699999999999997</v>
      </c>
      <c r="D82" s="1297"/>
      <c r="E82" s="1265"/>
      <c r="F82" s="684"/>
      <c r="G82" s="684"/>
      <c r="H82" s="1297"/>
      <c r="I82" s="1265"/>
      <c r="J82" s="1277"/>
      <c r="K82" s="1277"/>
      <c r="L82" s="1277"/>
      <c r="M82" s="684"/>
      <c r="O82" s="117"/>
      <c r="R82" s="113"/>
      <c r="U82" s="74"/>
      <c r="V82" s="74"/>
      <c r="W82" s="113"/>
      <c r="Z82" s="406"/>
      <c r="AA82" s="407"/>
    </row>
    <row r="83" spans="1:27" ht="15" customHeight="1" x14ac:dyDescent="0.2">
      <c r="A83" s="1265">
        <v>80</v>
      </c>
      <c r="B83" s="243">
        <v>0.02</v>
      </c>
      <c r="C83" s="243">
        <v>0.41</v>
      </c>
      <c r="D83" s="1297"/>
      <c r="E83" s="1265"/>
      <c r="F83" s="684"/>
      <c r="G83" s="684"/>
      <c r="H83" s="1297"/>
      <c r="I83" s="1265"/>
      <c r="J83" s="1277"/>
      <c r="K83" s="1277"/>
      <c r="L83" s="1277"/>
      <c r="M83" s="684"/>
      <c r="O83" s="117"/>
      <c r="R83" s="113"/>
      <c r="Z83" s="406"/>
      <c r="AA83" s="407"/>
    </row>
    <row r="84" spans="1:27" ht="15" customHeight="1" x14ac:dyDescent="0.2">
      <c r="A84" s="1265">
        <v>81</v>
      </c>
      <c r="B84" s="243">
        <v>1.9E-2</v>
      </c>
      <c r="C84" s="243">
        <v>0.41299999999999998</v>
      </c>
      <c r="D84" s="1297"/>
      <c r="E84" s="1265"/>
      <c r="F84" s="684"/>
      <c r="G84" s="684"/>
      <c r="H84" s="1297"/>
      <c r="I84" s="1265"/>
      <c r="J84" s="1277"/>
      <c r="K84" s="1277"/>
      <c r="L84" s="1277"/>
      <c r="M84" s="684"/>
      <c r="O84" s="117"/>
      <c r="R84" s="113"/>
      <c r="U84" s="74"/>
      <c r="V84" s="74"/>
      <c r="W84" s="113"/>
      <c r="Z84" s="406"/>
      <c r="AA84" s="407"/>
    </row>
    <row r="85" spans="1:27" ht="15" customHeight="1" x14ac:dyDescent="0.2">
      <c r="A85" s="1265">
        <v>82</v>
      </c>
      <c r="B85" s="243">
        <v>1.7999999999999999E-2</v>
      </c>
      <c r="C85" s="243">
        <v>0.41599999999999998</v>
      </c>
      <c r="D85" s="1297"/>
      <c r="E85" s="1265"/>
      <c r="F85" s="684"/>
      <c r="G85" s="684"/>
      <c r="H85" s="1297"/>
      <c r="I85" s="1265"/>
      <c r="J85" s="1277"/>
      <c r="K85" s="1277"/>
      <c r="L85" s="1277"/>
      <c r="M85" s="684"/>
      <c r="O85" s="117"/>
      <c r="R85" s="113"/>
      <c r="Z85" s="406"/>
      <c r="AA85" s="407"/>
    </row>
    <row r="86" spans="1:27" ht="15" customHeight="1" x14ac:dyDescent="0.2">
      <c r="A86" s="1265">
        <v>83</v>
      </c>
      <c r="B86" s="243">
        <v>1.7000000000000001E-2</v>
      </c>
      <c r="C86" s="243">
        <v>0.41899999999999998</v>
      </c>
      <c r="D86" s="1297"/>
      <c r="E86" s="1265"/>
      <c r="F86" s="684"/>
      <c r="G86" s="684"/>
      <c r="H86" s="1297"/>
      <c r="I86" s="1265"/>
      <c r="J86" s="1277"/>
      <c r="K86" s="1277"/>
      <c r="L86" s="1277"/>
      <c r="M86" s="684"/>
      <c r="O86" s="117"/>
      <c r="R86" s="113"/>
      <c r="U86" s="74"/>
      <c r="V86" s="74"/>
      <c r="W86" s="113"/>
      <c r="Z86" s="406"/>
      <c r="AA86" s="407"/>
    </row>
    <row r="87" spans="1:27" ht="15" customHeight="1" x14ac:dyDescent="0.2">
      <c r="A87" s="1265">
        <v>84</v>
      </c>
      <c r="B87" s="243">
        <v>1.6E-2</v>
      </c>
      <c r="C87" s="243">
        <v>0.42199999999999999</v>
      </c>
      <c r="D87" s="1297"/>
      <c r="E87" s="1265"/>
      <c r="F87" s="684"/>
      <c r="G87" s="684"/>
      <c r="H87" s="1297"/>
      <c r="I87" s="1265"/>
      <c r="J87" s="1277"/>
      <c r="K87" s="1277"/>
      <c r="L87" s="1277"/>
      <c r="M87" s="684"/>
      <c r="O87" s="117"/>
      <c r="R87" s="113"/>
      <c r="Z87" s="406"/>
      <c r="AA87" s="407"/>
    </row>
    <row r="88" spans="1:27" ht="15" customHeight="1" x14ac:dyDescent="0.2">
      <c r="A88" s="1265">
        <v>85</v>
      </c>
      <c r="B88" s="243">
        <v>1.4999999999999999E-2</v>
      </c>
      <c r="C88" s="243">
        <v>0.42499999999999999</v>
      </c>
      <c r="D88" s="1297"/>
      <c r="E88" s="1265"/>
      <c r="F88" s="684"/>
      <c r="G88" s="684"/>
      <c r="H88" s="1297"/>
      <c r="I88" s="1265"/>
      <c r="J88" s="1277"/>
      <c r="K88" s="1277"/>
      <c r="L88" s="1277"/>
      <c r="M88" s="684"/>
      <c r="Z88" s="406"/>
      <c r="AA88" s="407"/>
    </row>
    <row r="89" spans="1:27" ht="15" customHeight="1" x14ac:dyDescent="0.2">
      <c r="A89" s="1265">
        <v>86</v>
      </c>
      <c r="B89" s="243">
        <v>1.4E-2</v>
      </c>
      <c r="C89" s="243">
        <v>0.42799999999999999</v>
      </c>
      <c r="D89" s="1297"/>
      <c r="E89" s="1265"/>
      <c r="F89" s="684"/>
      <c r="G89" s="684"/>
      <c r="H89" s="1297"/>
      <c r="I89" s="1265"/>
      <c r="J89" s="1277"/>
      <c r="K89" s="1277"/>
      <c r="L89" s="1277"/>
      <c r="M89" s="684"/>
      <c r="Z89" s="406"/>
      <c r="AA89" s="407"/>
    </row>
    <row r="90" spans="1:27" ht="15" customHeight="1" x14ac:dyDescent="0.2">
      <c r="A90" s="1265">
        <v>87</v>
      </c>
      <c r="B90" s="243">
        <v>1.2999999999999999E-2</v>
      </c>
      <c r="C90" s="243">
        <v>0.43099999999999999</v>
      </c>
      <c r="D90" s="1297"/>
      <c r="E90" s="1265"/>
      <c r="F90" s="684"/>
      <c r="G90" s="684"/>
      <c r="H90" s="1297"/>
      <c r="I90" s="1265"/>
      <c r="J90" s="1277"/>
      <c r="K90" s="1277"/>
      <c r="L90" s="1277"/>
      <c r="M90" s="684"/>
      <c r="R90" s="113"/>
      <c r="Z90" s="406"/>
      <c r="AA90" s="407"/>
    </row>
    <row r="91" spans="1:27" ht="15" customHeight="1" x14ac:dyDescent="0.2">
      <c r="A91" s="1265">
        <v>88</v>
      </c>
      <c r="B91" s="243">
        <v>1.2E-2</v>
      </c>
      <c r="C91" s="243">
        <v>0.434</v>
      </c>
      <c r="D91" s="1297"/>
      <c r="E91" s="1265"/>
      <c r="F91" s="684"/>
      <c r="G91" s="684"/>
      <c r="H91" s="1297"/>
      <c r="I91" s="1265"/>
      <c r="J91" s="1277"/>
      <c r="K91" s="1277"/>
      <c r="L91" s="1277"/>
      <c r="M91" s="684"/>
      <c r="R91" s="113"/>
      <c r="Z91" s="406"/>
      <c r="AA91" s="407"/>
    </row>
    <row r="92" spans="1:27" ht="15" customHeight="1" x14ac:dyDescent="0.2">
      <c r="A92" s="1265">
        <v>89</v>
      </c>
      <c r="B92" s="243">
        <v>1.0999999999999999E-2</v>
      </c>
      <c r="C92" s="243">
        <v>0.437</v>
      </c>
      <c r="D92" s="1297"/>
      <c r="E92" s="1265"/>
      <c r="F92" s="684"/>
      <c r="G92" s="684"/>
      <c r="H92" s="1297"/>
      <c r="I92" s="1265"/>
      <c r="J92" s="1277"/>
      <c r="K92" s="1277"/>
      <c r="L92" s="1277"/>
      <c r="M92" s="684"/>
      <c r="R92" s="113"/>
      <c r="Z92" s="406"/>
      <c r="AA92" s="407"/>
    </row>
    <row r="93" spans="1:27" ht="15" customHeight="1" x14ac:dyDescent="0.2">
      <c r="A93" s="1265">
        <v>90</v>
      </c>
      <c r="B93" s="243">
        <v>0.01</v>
      </c>
      <c r="C93" s="243">
        <v>0.44</v>
      </c>
      <c r="D93" s="1297"/>
      <c r="E93" s="1265"/>
      <c r="F93" s="684"/>
      <c r="G93" s="684"/>
      <c r="H93" s="1297"/>
      <c r="I93" s="1265"/>
      <c r="J93" s="1277"/>
      <c r="K93" s="1277"/>
      <c r="L93" s="1277"/>
      <c r="M93" s="684"/>
      <c r="Z93" s="406"/>
      <c r="AA93" s="407"/>
    </row>
    <row r="94" spans="1:27" ht="15" customHeight="1" x14ac:dyDescent="0.2">
      <c r="A94" s="1265">
        <v>91</v>
      </c>
      <c r="B94" s="243">
        <v>8.9999999999999993E-3</v>
      </c>
      <c r="C94" s="243">
        <v>0.443</v>
      </c>
      <c r="D94" s="1265"/>
      <c r="E94" s="1265"/>
      <c r="F94" s="684"/>
      <c r="G94" s="684"/>
      <c r="H94" s="1267"/>
      <c r="I94" s="1265"/>
      <c r="J94" s="1265"/>
      <c r="K94" s="1277"/>
      <c r="L94" s="1277"/>
      <c r="M94" s="1277"/>
      <c r="Z94" s="406"/>
      <c r="AA94" s="407"/>
    </row>
    <row r="95" spans="1:27" ht="15" customHeight="1" x14ac:dyDescent="0.2">
      <c r="A95" s="1265">
        <v>92</v>
      </c>
      <c r="B95" s="243">
        <v>8.0000000000000002E-3</v>
      </c>
      <c r="C95" s="243">
        <v>0.44600000000000001</v>
      </c>
      <c r="D95" s="1267"/>
      <c r="E95" s="1265"/>
      <c r="F95" s="684"/>
      <c r="G95" s="684"/>
      <c r="H95" s="1265"/>
      <c r="I95" s="1265"/>
      <c r="J95" s="1265"/>
      <c r="K95" s="1277"/>
      <c r="L95" s="1277"/>
      <c r="M95" s="1277"/>
      <c r="R95" s="113"/>
      <c r="Z95" s="406"/>
      <c r="AA95" s="407"/>
    </row>
    <row r="96" spans="1:27" ht="15" customHeight="1" x14ac:dyDescent="0.2">
      <c r="A96" s="1265">
        <v>93</v>
      </c>
      <c r="B96" s="243">
        <v>7.0000000000000001E-3</v>
      </c>
      <c r="C96" s="243">
        <v>0.44900000000000001</v>
      </c>
      <c r="D96" s="1297"/>
      <c r="E96" s="1265"/>
      <c r="F96" s="684"/>
      <c r="G96" s="684"/>
      <c r="H96" s="1265"/>
      <c r="I96" s="1265"/>
      <c r="J96" s="1265"/>
      <c r="K96" s="1277"/>
      <c r="L96" s="1277"/>
      <c r="M96" s="1277"/>
      <c r="R96" s="113"/>
      <c r="Z96" s="406"/>
      <c r="AA96" s="407"/>
    </row>
    <row r="97" spans="1:27" ht="15" customHeight="1" x14ac:dyDescent="0.2">
      <c r="A97" s="1265">
        <v>94</v>
      </c>
      <c r="B97" s="243">
        <v>6.0000000000000001E-3</v>
      </c>
      <c r="C97" s="243">
        <v>0.45200000000000001</v>
      </c>
      <c r="D97" s="1297"/>
      <c r="E97" s="1265"/>
      <c r="F97" s="684"/>
      <c r="G97" s="684"/>
      <c r="H97" s="1265"/>
      <c r="I97" s="1265"/>
      <c r="J97" s="1265"/>
      <c r="K97" s="1277"/>
      <c r="L97" s="1277"/>
      <c r="M97" s="1277"/>
      <c r="R97" s="113"/>
      <c r="Z97" s="406"/>
      <c r="AA97" s="407"/>
    </row>
    <row r="98" spans="1:27" ht="15" customHeight="1" x14ac:dyDescent="0.2">
      <c r="A98" s="1265">
        <v>95</v>
      </c>
      <c r="B98" s="243">
        <v>5.0000000000000001E-3</v>
      </c>
      <c r="C98" s="243">
        <v>0.45500000000000002</v>
      </c>
      <c r="D98" s="1297"/>
      <c r="E98" s="1265"/>
      <c r="F98" s="684"/>
      <c r="G98" s="684"/>
      <c r="H98" s="1265"/>
      <c r="I98" s="1265"/>
      <c r="J98" s="1265"/>
      <c r="K98" s="1277"/>
      <c r="L98" s="1277"/>
      <c r="M98" s="1277"/>
      <c r="Z98" s="406"/>
      <c r="AA98" s="407"/>
    </row>
    <row r="99" spans="1:27" ht="15" customHeight="1" x14ac:dyDescent="0.2">
      <c r="A99" s="1265">
        <v>96</v>
      </c>
      <c r="B99" s="243">
        <v>4.0000000000000001E-3</v>
      </c>
      <c r="C99" s="243">
        <v>0.45800000000000002</v>
      </c>
      <c r="D99" s="1297"/>
      <c r="E99" s="1265"/>
      <c r="F99" s="684"/>
      <c r="G99" s="684"/>
      <c r="H99" s="1265"/>
      <c r="I99" s="1265"/>
      <c r="J99" s="1265"/>
      <c r="K99" s="1277"/>
      <c r="L99" s="1277"/>
      <c r="M99" s="1277"/>
      <c r="Z99" s="406"/>
      <c r="AA99" s="407"/>
    </row>
    <row r="100" spans="1:27" ht="15" customHeight="1" x14ac:dyDescent="0.2">
      <c r="A100" s="1265">
        <v>97</v>
      </c>
      <c r="B100" s="243">
        <v>3.0000000000000001E-3</v>
      </c>
      <c r="C100" s="243">
        <v>0.46100000000000002</v>
      </c>
      <c r="D100" s="1297"/>
      <c r="E100" s="1265"/>
      <c r="F100" s="684"/>
      <c r="G100" s="684"/>
      <c r="H100" s="1265"/>
      <c r="I100" s="1265"/>
      <c r="J100" s="1265"/>
      <c r="K100" s="1277"/>
      <c r="L100" s="1277"/>
      <c r="M100" s="1277"/>
      <c r="R100" s="113"/>
      <c r="Z100" s="406"/>
      <c r="AA100" s="407"/>
    </row>
    <row r="101" spans="1:27" ht="15" customHeight="1" x14ac:dyDescent="0.2">
      <c r="A101" s="1265">
        <v>98</v>
      </c>
      <c r="B101" s="243">
        <v>2E-3</v>
      </c>
      <c r="C101" s="243">
        <v>0.46400000000000002</v>
      </c>
      <c r="D101" s="1297"/>
      <c r="E101" s="1265"/>
      <c r="F101" s="684"/>
      <c r="G101" s="684"/>
      <c r="H101" s="1265"/>
      <c r="I101" s="1265"/>
      <c r="J101" s="1265"/>
      <c r="K101" s="1277"/>
      <c r="L101" s="1277"/>
      <c r="M101" s="1277"/>
      <c r="R101" s="113"/>
      <c r="Z101" s="406"/>
      <c r="AA101" s="407"/>
    </row>
    <row r="102" spans="1:27" ht="15" customHeight="1" x14ac:dyDescent="0.2">
      <c r="A102" s="1265">
        <v>99</v>
      </c>
      <c r="B102" s="243">
        <v>1E-3</v>
      </c>
      <c r="C102" s="243">
        <v>0.46700000000000003</v>
      </c>
      <c r="D102" s="1297"/>
      <c r="E102" s="1265"/>
      <c r="F102" s="684"/>
      <c r="G102" s="684"/>
      <c r="H102" s="1265"/>
      <c r="I102" s="1265"/>
      <c r="J102" s="1265"/>
      <c r="K102" s="1277"/>
      <c r="L102" s="1277"/>
      <c r="M102" s="1277"/>
      <c r="R102" s="113"/>
      <c r="Z102" s="406"/>
      <c r="AA102" s="407"/>
    </row>
    <row r="103" spans="1:27" ht="15" customHeight="1" x14ac:dyDescent="0.2">
      <c r="A103" s="1265">
        <v>100</v>
      </c>
      <c r="B103" s="243">
        <v>0</v>
      </c>
      <c r="C103" s="243">
        <v>0.47</v>
      </c>
      <c r="D103" s="1297"/>
      <c r="E103" s="1265"/>
      <c r="F103" s="684"/>
      <c r="G103" s="684"/>
      <c r="H103" s="1265"/>
      <c r="I103" s="1265"/>
      <c r="J103" s="1265"/>
      <c r="K103" s="1261"/>
      <c r="L103" s="1277"/>
      <c r="M103" s="1277"/>
      <c r="Z103" s="406"/>
      <c r="AA103" s="407"/>
    </row>
    <row r="104" spans="1:27" ht="15" customHeight="1" x14ac:dyDescent="0.2">
      <c r="B104" s="114"/>
      <c r="C104" s="114"/>
      <c r="D104" s="406"/>
      <c r="F104" s="114"/>
      <c r="G104" s="114"/>
      <c r="H104" s="406"/>
    </row>
    <row r="105" spans="1:27" ht="15" customHeight="1" x14ac:dyDescent="0.2">
      <c r="B105" s="114"/>
      <c r="C105" s="114"/>
      <c r="D105" s="406"/>
      <c r="F105" s="114"/>
      <c r="G105" s="114"/>
      <c r="H105" s="406"/>
      <c r="R105" s="113"/>
    </row>
    <row r="106" spans="1:27" ht="15" customHeight="1" x14ac:dyDescent="0.2">
      <c r="B106" s="114"/>
      <c r="C106" s="114"/>
      <c r="D106" s="406"/>
      <c r="F106" s="114"/>
      <c r="G106" s="114"/>
      <c r="H106" s="406"/>
      <c r="R106" s="113"/>
    </row>
    <row r="107" spans="1:27" ht="15" customHeight="1" x14ac:dyDescent="0.2">
      <c r="B107" s="114"/>
      <c r="C107" s="114"/>
      <c r="D107" s="406"/>
      <c r="F107" s="114"/>
      <c r="G107" s="114"/>
      <c r="H107" s="406"/>
      <c r="R107" s="113"/>
    </row>
    <row r="108" spans="1:27" ht="15" customHeight="1" x14ac:dyDescent="0.2">
      <c r="B108" s="114"/>
      <c r="C108" s="114"/>
      <c r="D108" s="406"/>
      <c r="F108" s="114"/>
      <c r="G108" s="114"/>
      <c r="H108" s="406"/>
    </row>
    <row r="109" spans="1:27" ht="15" customHeight="1" x14ac:dyDescent="0.2">
      <c r="B109" s="114"/>
      <c r="C109" s="114"/>
      <c r="D109" s="406"/>
      <c r="F109" s="114"/>
      <c r="G109" s="114"/>
      <c r="H109" s="406"/>
    </row>
    <row r="110" spans="1:27" ht="15" customHeight="1" x14ac:dyDescent="0.2">
      <c r="B110" s="114"/>
      <c r="C110" s="114"/>
      <c r="D110" s="406"/>
      <c r="F110" s="114"/>
      <c r="G110" s="114"/>
      <c r="H110" s="406"/>
      <c r="R110" s="113"/>
    </row>
    <row r="111" spans="1:27" ht="15" customHeight="1" x14ac:dyDescent="0.2">
      <c r="B111" s="114"/>
      <c r="C111" s="114"/>
      <c r="D111" s="406"/>
      <c r="F111" s="114"/>
      <c r="G111" s="114"/>
      <c r="H111" s="406"/>
      <c r="R111" s="113"/>
    </row>
    <row r="112" spans="1:27" ht="15" customHeight="1" x14ac:dyDescent="0.2">
      <c r="B112" s="114"/>
      <c r="C112" s="114"/>
      <c r="D112" s="406"/>
      <c r="F112" s="114"/>
      <c r="G112" s="114"/>
      <c r="H112" s="406"/>
      <c r="R112" s="113"/>
    </row>
    <row r="113" spans="2:18" ht="15" customHeight="1" x14ac:dyDescent="0.2">
      <c r="B113" s="114"/>
      <c r="C113" s="111"/>
      <c r="D113" s="406"/>
      <c r="F113" s="114"/>
      <c r="G113" s="114"/>
      <c r="H113" s="406"/>
    </row>
    <row r="114" spans="2:18" ht="15" customHeight="1" x14ac:dyDescent="0.2">
      <c r="B114" s="114"/>
      <c r="C114" s="111"/>
      <c r="F114" s="114"/>
      <c r="G114" s="114"/>
    </row>
    <row r="115" spans="2:18" ht="15" customHeight="1" x14ac:dyDescent="0.2">
      <c r="B115" s="114"/>
      <c r="C115" s="111"/>
      <c r="F115" s="114"/>
      <c r="G115" s="114"/>
      <c r="R115" s="113"/>
    </row>
    <row r="116" spans="2:18" ht="15" customHeight="1" x14ac:dyDescent="0.2">
      <c r="B116" s="114"/>
      <c r="C116" s="111"/>
      <c r="F116" s="114"/>
      <c r="G116" s="114"/>
      <c r="R116" s="113"/>
    </row>
    <row r="117" spans="2:18" ht="15" customHeight="1" x14ac:dyDescent="0.2">
      <c r="B117" s="114"/>
      <c r="C117" s="111"/>
      <c r="F117" s="114"/>
      <c r="G117" s="114"/>
      <c r="R117" s="113"/>
    </row>
    <row r="118" spans="2:18" ht="15" customHeight="1" x14ac:dyDescent="0.2">
      <c r="B118" s="114"/>
      <c r="C118" s="111"/>
      <c r="F118" s="114"/>
      <c r="G118" s="114"/>
    </row>
    <row r="119" spans="2:18" ht="15" customHeight="1" x14ac:dyDescent="0.2">
      <c r="B119" s="114"/>
      <c r="C119" s="111"/>
      <c r="F119" s="114"/>
      <c r="G119" s="114"/>
    </row>
    <row r="120" spans="2:18" ht="15" customHeight="1" x14ac:dyDescent="0.2">
      <c r="B120" s="114"/>
      <c r="C120" s="111"/>
      <c r="F120" s="114"/>
      <c r="G120" s="114"/>
      <c r="R120" s="113"/>
    </row>
    <row r="121" spans="2:18" ht="15" customHeight="1" x14ac:dyDescent="0.2">
      <c r="B121" s="114"/>
      <c r="C121" s="111"/>
      <c r="F121" s="114"/>
      <c r="G121" s="114"/>
      <c r="R121" s="113"/>
    </row>
    <row r="122" spans="2:18" ht="15" customHeight="1" x14ac:dyDescent="0.2">
      <c r="B122" s="114"/>
      <c r="C122" s="111"/>
      <c r="F122" s="114"/>
      <c r="G122" s="114"/>
      <c r="R122" s="113"/>
    </row>
    <row r="123" spans="2:18" ht="15" customHeight="1" x14ac:dyDescent="0.2">
      <c r="B123" s="114"/>
      <c r="C123" s="111"/>
      <c r="F123" s="114"/>
      <c r="G123" s="114"/>
    </row>
    <row r="124" spans="2:18" ht="15" customHeight="1" x14ac:dyDescent="0.2">
      <c r="B124" s="114"/>
      <c r="C124" s="111"/>
      <c r="D124" s="406"/>
      <c r="F124" s="114"/>
      <c r="G124" s="114"/>
    </row>
    <row r="125" spans="2:18" ht="15" customHeight="1" x14ac:dyDescent="0.2">
      <c r="B125" s="114"/>
      <c r="C125" s="111"/>
      <c r="D125" s="406"/>
      <c r="F125" s="114"/>
      <c r="G125" s="114"/>
      <c r="R125" s="113"/>
    </row>
    <row r="126" spans="2:18" ht="15" customHeight="1" x14ac:dyDescent="0.2">
      <c r="B126" s="114"/>
      <c r="C126" s="111"/>
      <c r="D126" s="406"/>
      <c r="F126" s="114"/>
      <c r="G126" s="114"/>
      <c r="R126" s="113"/>
    </row>
    <row r="127" spans="2:18" ht="15" customHeight="1" x14ac:dyDescent="0.2">
      <c r="B127" s="114"/>
      <c r="C127" s="111"/>
      <c r="D127" s="406"/>
      <c r="F127" s="114"/>
      <c r="G127" s="114"/>
      <c r="R127" s="113"/>
    </row>
    <row r="128" spans="2:18" ht="15" customHeight="1" x14ac:dyDescent="0.2">
      <c r="B128" s="114"/>
      <c r="C128" s="111"/>
      <c r="D128" s="406"/>
      <c r="F128" s="114"/>
      <c r="G128" s="114"/>
    </row>
    <row r="129" spans="2:18" ht="15" customHeight="1" x14ac:dyDescent="0.2">
      <c r="B129" s="114"/>
      <c r="C129" s="111"/>
      <c r="D129" s="406"/>
      <c r="F129" s="114"/>
      <c r="G129" s="114"/>
    </row>
    <row r="130" spans="2:18" ht="15" customHeight="1" x14ac:dyDescent="0.2">
      <c r="B130" s="114"/>
      <c r="C130" s="111"/>
      <c r="D130" s="406"/>
      <c r="F130" s="114"/>
      <c r="G130" s="114"/>
      <c r="R130" s="113"/>
    </row>
    <row r="131" spans="2:18" ht="15" customHeight="1" x14ac:dyDescent="0.2">
      <c r="B131" s="114"/>
      <c r="C131" s="111"/>
      <c r="D131" s="406"/>
      <c r="F131" s="114"/>
      <c r="G131" s="114"/>
      <c r="R131" s="113"/>
    </row>
    <row r="132" spans="2:18" ht="15" customHeight="1" x14ac:dyDescent="0.2">
      <c r="B132" s="114"/>
      <c r="C132" s="111"/>
      <c r="D132" s="406"/>
      <c r="F132" s="114"/>
      <c r="G132" s="114"/>
      <c r="R132" s="113"/>
    </row>
    <row r="133" spans="2:18" ht="15" customHeight="1" x14ac:dyDescent="0.2">
      <c r="B133" s="114"/>
      <c r="C133" s="111"/>
      <c r="D133" s="406"/>
      <c r="F133" s="114"/>
      <c r="G133" s="114"/>
    </row>
    <row r="134" spans="2:18" ht="15" customHeight="1" x14ac:dyDescent="0.2">
      <c r="B134" s="114"/>
      <c r="C134" s="111"/>
      <c r="F134" s="114"/>
      <c r="G134" s="114"/>
    </row>
    <row r="135" spans="2:18" ht="15" customHeight="1" x14ac:dyDescent="0.2">
      <c r="B135" s="114"/>
      <c r="C135" s="111"/>
      <c r="F135" s="114"/>
      <c r="G135" s="114"/>
      <c r="R135" s="113"/>
    </row>
    <row r="136" spans="2:18" ht="15" customHeight="1" x14ac:dyDescent="0.2">
      <c r="B136" s="114"/>
      <c r="C136" s="111"/>
      <c r="F136" s="114"/>
      <c r="G136" s="114"/>
      <c r="R136" s="113"/>
    </row>
    <row r="137" spans="2:18" ht="15" customHeight="1" x14ac:dyDescent="0.2">
      <c r="B137" s="114"/>
      <c r="C137" s="111"/>
      <c r="F137" s="114"/>
      <c r="G137" s="114"/>
      <c r="R137" s="113"/>
    </row>
    <row r="138" spans="2:18" ht="15" customHeight="1" x14ac:dyDescent="0.2">
      <c r="B138" s="114"/>
      <c r="C138" s="111"/>
      <c r="F138" s="114"/>
      <c r="G138" s="114"/>
    </row>
    <row r="139" spans="2:18" ht="15" customHeight="1" x14ac:dyDescent="0.2">
      <c r="B139" s="114"/>
      <c r="C139" s="111"/>
      <c r="F139" s="114"/>
      <c r="G139" s="114"/>
    </row>
    <row r="140" spans="2:18" ht="15" customHeight="1" x14ac:dyDescent="0.2">
      <c r="B140" s="114"/>
      <c r="C140" s="111"/>
      <c r="F140" s="114"/>
      <c r="G140" s="114"/>
      <c r="R140" s="113"/>
    </row>
    <row r="141" spans="2:18" ht="15" customHeight="1" x14ac:dyDescent="0.2">
      <c r="B141" s="114"/>
      <c r="C141" s="111"/>
      <c r="F141" s="114"/>
      <c r="G141" s="114"/>
      <c r="R141" s="113"/>
    </row>
    <row r="142" spans="2:18" ht="15" customHeight="1" x14ac:dyDescent="0.2">
      <c r="B142" s="114"/>
      <c r="C142" s="111"/>
      <c r="F142" s="114"/>
      <c r="G142" s="114"/>
      <c r="R142" s="113"/>
    </row>
    <row r="143" spans="2:18" ht="15" customHeight="1" x14ac:dyDescent="0.2">
      <c r="B143" s="114"/>
      <c r="C143" s="111"/>
      <c r="F143" s="114"/>
      <c r="G143" s="114"/>
      <c r="R143" s="113"/>
    </row>
    <row r="144" spans="2:18" ht="15" customHeight="1" x14ac:dyDescent="0.2">
      <c r="B144" s="114"/>
      <c r="C144" s="111"/>
      <c r="D144" s="406"/>
      <c r="F144" s="114"/>
      <c r="G144" s="114"/>
      <c r="H144" s="406"/>
      <c r="R144" s="113"/>
    </row>
    <row r="145" spans="2:23" ht="15" customHeight="1" x14ac:dyDescent="0.2">
      <c r="B145" s="114"/>
      <c r="C145" s="111"/>
      <c r="D145" s="406"/>
      <c r="F145" s="114"/>
      <c r="G145" s="114"/>
      <c r="H145" s="406"/>
    </row>
    <row r="146" spans="2:23" ht="15" customHeight="1" x14ac:dyDescent="0.2">
      <c r="B146" s="114"/>
      <c r="C146" s="111"/>
      <c r="D146" s="406"/>
      <c r="F146" s="114"/>
      <c r="G146" s="114"/>
      <c r="H146" s="406"/>
      <c r="R146" s="74"/>
    </row>
    <row r="147" spans="2:23" ht="15" customHeight="1" x14ac:dyDescent="0.2">
      <c r="B147" s="114"/>
      <c r="C147" s="111"/>
      <c r="D147" s="406"/>
      <c r="F147" s="114"/>
      <c r="G147" s="114"/>
      <c r="H147" s="406"/>
      <c r="R147" s="113"/>
    </row>
    <row r="148" spans="2:23" ht="15" customHeight="1" x14ac:dyDescent="0.2">
      <c r="B148" s="114"/>
      <c r="C148" s="111"/>
      <c r="D148" s="406"/>
      <c r="F148" s="114"/>
      <c r="G148" s="114"/>
      <c r="H148" s="406"/>
    </row>
    <row r="149" spans="2:23" ht="15" customHeight="1" x14ac:dyDescent="0.2">
      <c r="B149" s="114"/>
      <c r="C149" s="111"/>
      <c r="D149" s="406"/>
      <c r="F149" s="114"/>
      <c r="G149" s="114"/>
      <c r="H149" s="406"/>
      <c r="R149" s="74"/>
      <c r="U149" s="74"/>
      <c r="V149" s="74"/>
      <c r="W149" s="74"/>
    </row>
    <row r="150" spans="2:23" ht="15" customHeight="1" x14ac:dyDescent="0.2">
      <c r="B150" s="114"/>
      <c r="C150" s="111"/>
      <c r="D150" s="406"/>
      <c r="F150" s="114"/>
      <c r="G150" s="114"/>
      <c r="H150" s="406"/>
      <c r="O150" s="117"/>
      <c r="R150" s="113"/>
      <c r="U150" s="74"/>
      <c r="V150" s="74"/>
      <c r="W150" s="113"/>
    </row>
    <row r="151" spans="2:23" ht="15" customHeight="1" x14ac:dyDescent="0.2">
      <c r="B151" s="114"/>
      <c r="C151" s="111"/>
      <c r="D151" s="406"/>
      <c r="F151" s="114"/>
      <c r="G151" s="114"/>
      <c r="H151" s="406"/>
      <c r="O151" s="117"/>
      <c r="R151" s="113"/>
      <c r="U151" s="74"/>
      <c r="V151" s="74"/>
      <c r="W151" s="113"/>
    </row>
    <row r="152" spans="2:23" ht="15" customHeight="1" x14ac:dyDescent="0.2">
      <c r="B152" s="114"/>
      <c r="C152" s="111"/>
      <c r="D152" s="406"/>
      <c r="F152" s="114"/>
      <c r="G152" s="114"/>
      <c r="H152" s="406"/>
    </row>
    <row r="153" spans="2:23" ht="15" customHeight="1" x14ac:dyDescent="0.2">
      <c r="B153" s="114"/>
      <c r="C153" s="111"/>
      <c r="D153" s="406"/>
      <c r="F153" s="114"/>
      <c r="G153" s="114"/>
      <c r="H153" s="406"/>
    </row>
    <row r="154" spans="2:23" x14ac:dyDescent="0.2">
      <c r="B154" s="114"/>
      <c r="C154" s="114"/>
      <c r="D154" s="406"/>
      <c r="F154" s="114"/>
      <c r="G154" s="114"/>
    </row>
    <row r="155" spans="2:23" x14ac:dyDescent="0.2">
      <c r="B155" s="114"/>
      <c r="C155" s="114"/>
      <c r="D155" s="406"/>
      <c r="F155" s="114"/>
      <c r="G155" s="114"/>
    </row>
    <row r="156" spans="2:23" x14ac:dyDescent="0.2">
      <c r="B156" s="114"/>
      <c r="C156" s="114"/>
      <c r="D156" s="406"/>
      <c r="F156" s="114"/>
      <c r="G156" s="114"/>
    </row>
    <row r="157" spans="2:23" x14ac:dyDescent="0.2">
      <c r="B157" s="114"/>
      <c r="C157" s="114"/>
      <c r="D157" s="406"/>
      <c r="F157" s="114"/>
      <c r="G157" s="114"/>
    </row>
    <row r="158" spans="2:23" x14ac:dyDescent="0.2">
      <c r="B158" s="114"/>
      <c r="C158" s="114"/>
      <c r="D158" s="406"/>
      <c r="F158" s="114"/>
      <c r="G158" s="114"/>
    </row>
    <row r="159" spans="2:23" x14ac:dyDescent="0.2">
      <c r="B159" s="114"/>
      <c r="C159" s="114"/>
      <c r="D159" s="406"/>
      <c r="F159" s="114"/>
      <c r="G159" s="114"/>
    </row>
    <row r="160" spans="2:23" x14ac:dyDescent="0.2">
      <c r="B160" s="114"/>
      <c r="C160" s="114"/>
      <c r="D160" s="406"/>
      <c r="F160" s="114"/>
      <c r="G160" s="114"/>
    </row>
    <row r="161" spans="2:7" x14ac:dyDescent="0.2">
      <c r="B161" s="114"/>
      <c r="C161" s="114"/>
      <c r="D161" s="406"/>
      <c r="F161" s="114"/>
      <c r="G161" s="114"/>
    </row>
    <row r="162" spans="2:7" x14ac:dyDescent="0.2">
      <c r="B162" s="114"/>
      <c r="C162" s="114"/>
      <c r="D162" s="406"/>
      <c r="F162" s="114"/>
      <c r="G162" s="114"/>
    </row>
    <row r="163" spans="2:7" x14ac:dyDescent="0.2">
      <c r="B163" s="114"/>
      <c r="C163" s="114"/>
      <c r="D163" s="406"/>
      <c r="F163" s="114"/>
      <c r="G163" s="114"/>
    </row>
    <row r="164" spans="2:7" x14ac:dyDescent="0.2">
      <c r="B164" s="114"/>
      <c r="C164" s="114"/>
      <c r="F164" s="114"/>
      <c r="G164" s="114"/>
    </row>
    <row r="165" spans="2:7" x14ac:dyDescent="0.2">
      <c r="B165" s="114"/>
      <c r="C165" s="114"/>
      <c r="F165" s="114"/>
      <c r="G165" s="114"/>
    </row>
    <row r="166" spans="2:7" x14ac:dyDescent="0.2">
      <c r="B166" s="114"/>
      <c r="C166" s="114"/>
      <c r="F166" s="114"/>
      <c r="G166" s="114"/>
    </row>
    <row r="167" spans="2:7" x14ac:dyDescent="0.2">
      <c r="B167" s="114"/>
      <c r="C167" s="114"/>
      <c r="F167" s="114"/>
      <c r="G167" s="114"/>
    </row>
    <row r="168" spans="2:7" x14ac:dyDescent="0.2">
      <c r="B168" s="114"/>
      <c r="C168" s="114"/>
      <c r="F168" s="114"/>
      <c r="G168" s="114"/>
    </row>
    <row r="169" spans="2:7" x14ac:dyDescent="0.2">
      <c r="B169" s="114"/>
      <c r="C169" s="114"/>
      <c r="F169" s="114"/>
      <c r="G169" s="114"/>
    </row>
    <row r="170" spans="2:7" x14ac:dyDescent="0.2">
      <c r="B170" s="114"/>
      <c r="C170" s="114"/>
      <c r="F170" s="114"/>
      <c r="G170" s="114"/>
    </row>
    <row r="171" spans="2:7" x14ac:dyDescent="0.2">
      <c r="B171" s="114"/>
      <c r="C171" s="114"/>
      <c r="F171" s="114"/>
      <c r="G171" s="114"/>
    </row>
    <row r="172" spans="2:7" x14ac:dyDescent="0.2">
      <c r="B172" s="114"/>
      <c r="C172" s="114"/>
      <c r="F172" s="114"/>
      <c r="G172" s="114"/>
    </row>
    <row r="173" spans="2:7" x14ac:dyDescent="0.2">
      <c r="B173" s="114"/>
      <c r="C173" s="114"/>
      <c r="F173" s="114"/>
      <c r="G173" s="114"/>
    </row>
    <row r="174" spans="2:7" x14ac:dyDescent="0.2">
      <c r="B174" s="114"/>
      <c r="C174" s="114"/>
      <c r="D174" s="406"/>
      <c r="F174" s="114"/>
      <c r="G174" s="114"/>
    </row>
    <row r="175" spans="2:7" x14ac:dyDescent="0.2">
      <c r="B175" s="114"/>
      <c r="C175" s="114"/>
      <c r="D175" s="406"/>
      <c r="F175" s="114"/>
      <c r="G175" s="114"/>
    </row>
    <row r="176" spans="2:7" x14ac:dyDescent="0.2">
      <c r="B176" s="114"/>
      <c r="C176" s="114"/>
      <c r="D176" s="406"/>
      <c r="F176" s="114"/>
      <c r="G176" s="114"/>
    </row>
    <row r="177" spans="2:8" x14ac:dyDescent="0.2">
      <c r="B177" s="114"/>
      <c r="C177" s="114"/>
      <c r="D177" s="406"/>
      <c r="F177" s="114"/>
      <c r="G177" s="114"/>
    </row>
    <row r="178" spans="2:8" x14ac:dyDescent="0.2">
      <c r="B178" s="114"/>
      <c r="C178" s="114"/>
      <c r="D178" s="406"/>
      <c r="F178" s="114"/>
      <c r="G178" s="114"/>
    </row>
    <row r="179" spans="2:8" x14ac:dyDescent="0.2">
      <c r="B179" s="114"/>
      <c r="C179" s="114"/>
      <c r="D179" s="406"/>
      <c r="F179" s="114"/>
      <c r="G179" s="114"/>
    </row>
    <row r="180" spans="2:8" x14ac:dyDescent="0.2">
      <c r="B180" s="114"/>
      <c r="C180" s="114"/>
      <c r="D180" s="406"/>
      <c r="F180" s="114"/>
      <c r="G180" s="114"/>
    </row>
    <row r="181" spans="2:8" x14ac:dyDescent="0.2">
      <c r="B181" s="114"/>
      <c r="C181" s="114"/>
      <c r="D181" s="406"/>
      <c r="F181" s="114"/>
      <c r="G181" s="114"/>
    </row>
    <row r="182" spans="2:8" x14ac:dyDescent="0.2">
      <c r="B182" s="114"/>
      <c r="C182" s="114"/>
      <c r="D182" s="406"/>
      <c r="F182" s="114"/>
      <c r="G182" s="114"/>
    </row>
    <row r="183" spans="2:8" x14ac:dyDescent="0.2">
      <c r="B183" s="114"/>
      <c r="C183" s="114"/>
      <c r="D183" s="406"/>
      <c r="F183" s="114"/>
      <c r="G183" s="114"/>
      <c r="H183" s="406"/>
    </row>
    <row r="304" spans="3:3" x14ac:dyDescent="0.2">
      <c r="C304" s="19"/>
    </row>
    <row r="305" spans="1:3" x14ac:dyDescent="0.2">
      <c r="C305" s="19"/>
    </row>
    <row r="306" spans="1:3" x14ac:dyDescent="0.2">
      <c r="C306" s="19"/>
    </row>
    <row r="307" spans="1:3" x14ac:dyDescent="0.2">
      <c r="A307" s="19"/>
      <c r="C307" s="19"/>
    </row>
    <row r="308" spans="1:3" x14ac:dyDescent="0.2">
      <c r="A308" s="19"/>
      <c r="C308" s="19"/>
    </row>
    <row r="309" spans="1:3" x14ac:dyDescent="0.2">
      <c r="A309" s="19"/>
      <c r="C309" s="19"/>
    </row>
    <row r="310" spans="1:3" x14ac:dyDescent="0.2">
      <c r="A310" s="19"/>
      <c r="C310" s="19"/>
    </row>
    <row r="311" spans="1:3" x14ac:dyDescent="0.2">
      <c r="A311" s="19"/>
      <c r="C311" s="19"/>
    </row>
    <row r="312" spans="1:3" x14ac:dyDescent="0.2">
      <c r="A312" s="19"/>
    </row>
    <row r="313" spans="1:3" x14ac:dyDescent="0.2">
      <c r="A313" s="19"/>
    </row>
    <row r="314" spans="1:3" x14ac:dyDescent="0.2">
      <c r="A314" s="19"/>
    </row>
    <row r="315" spans="1:3" x14ac:dyDescent="0.2">
      <c r="A315" s="19"/>
    </row>
    <row r="316" spans="1:3" x14ac:dyDescent="0.2">
      <c r="A316" s="19"/>
    </row>
    <row r="317" spans="1:3" x14ac:dyDescent="0.2">
      <c r="A317" s="19"/>
    </row>
    <row r="318" spans="1:3" x14ac:dyDescent="0.2">
      <c r="A318" s="19"/>
    </row>
    <row r="319" spans="1:3" x14ac:dyDescent="0.2">
      <c r="A319" s="19"/>
    </row>
    <row r="320" spans="1:3" x14ac:dyDescent="0.2">
      <c r="A320" s="19"/>
    </row>
    <row r="321" spans="1:1" x14ac:dyDescent="0.2">
      <c r="A321" s="19"/>
    </row>
    <row r="322" spans="1:1" x14ac:dyDescent="0.2">
      <c r="A322" s="19"/>
    </row>
    <row r="323" spans="1:1" x14ac:dyDescent="0.2">
      <c r="A323" s="19"/>
    </row>
    <row r="324" spans="1:1" x14ac:dyDescent="0.2">
      <c r="A324" s="19"/>
    </row>
    <row r="325" spans="1:1" x14ac:dyDescent="0.2">
      <c r="A325" s="19"/>
    </row>
    <row r="326" spans="1:1" x14ac:dyDescent="0.2">
      <c r="A326" s="19"/>
    </row>
    <row r="327" spans="1:1" x14ac:dyDescent="0.2">
      <c r="A327" s="19"/>
    </row>
    <row r="328" spans="1:1" x14ac:dyDescent="0.2">
      <c r="A328" s="19"/>
    </row>
    <row r="329" spans="1:1" x14ac:dyDescent="0.2">
      <c r="A329" s="19"/>
    </row>
    <row r="330" spans="1:1" x14ac:dyDescent="0.2">
      <c r="A330" s="19"/>
    </row>
    <row r="331" spans="1:1" x14ac:dyDescent="0.2">
      <c r="A331" s="19"/>
    </row>
    <row r="332" spans="1:1" x14ac:dyDescent="0.2">
      <c r="A332" s="19"/>
    </row>
    <row r="333" spans="1:1" x14ac:dyDescent="0.2">
      <c r="A333" s="19"/>
    </row>
    <row r="334" spans="1:1" x14ac:dyDescent="0.2">
      <c r="A334" s="19"/>
    </row>
    <row r="335" spans="1:1" x14ac:dyDescent="0.2">
      <c r="A335" s="19"/>
    </row>
    <row r="336" spans="1:1" x14ac:dyDescent="0.2">
      <c r="A336" s="19"/>
    </row>
    <row r="337" spans="1:1" x14ac:dyDescent="0.2">
      <c r="A337" s="19"/>
    </row>
    <row r="338" spans="1:1" x14ac:dyDescent="0.2">
      <c r="A338" s="19"/>
    </row>
    <row r="339" spans="1:1" x14ac:dyDescent="0.2">
      <c r="A339" s="19"/>
    </row>
    <row r="340" spans="1:1" x14ac:dyDescent="0.2">
      <c r="A340" s="19"/>
    </row>
    <row r="341" spans="1:1" x14ac:dyDescent="0.2">
      <c r="A341" s="19"/>
    </row>
    <row r="342" spans="1:1" x14ac:dyDescent="0.2">
      <c r="A342" s="19"/>
    </row>
    <row r="343" spans="1:1" x14ac:dyDescent="0.2">
      <c r="A343" s="19"/>
    </row>
    <row r="344" spans="1:1" x14ac:dyDescent="0.2">
      <c r="A344" s="19"/>
    </row>
    <row r="345" spans="1:1" x14ac:dyDescent="0.2">
      <c r="A345" s="19"/>
    </row>
    <row r="346" spans="1:1" x14ac:dyDescent="0.2">
      <c r="A346" s="19"/>
    </row>
    <row r="347" spans="1:1" x14ac:dyDescent="0.2">
      <c r="A347" s="19"/>
    </row>
    <row r="348" spans="1:1" x14ac:dyDescent="0.2">
      <c r="A348" s="19"/>
    </row>
    <row r="349" spans="1:1" x14ac:dyDescent="0.2">
      <c r="A349" s="19"/>
    </row>
    <row r="350" spans="1:1" x14ac:dyDescent="0.2">
      <c r="A350" s="19"/>
    </row>
    <row r="351" spans="1:1" x14ac:dyDescent="0.2">
      <c r="A351" s="19"/>
    </row>
    <row r="352" spans="1:1" x14ac:dyDescent="0.2">
      <c r="A352" s="19"/>
    </row>
    <row r="353" spans="1:1" x14ac:dyDescent="0.2">
      <c r="A353" s="19"/>
    </row>
    <row r="354" spans="1:1" x14ac:dyDescent="0.2">
      <c r="A354" s="19"/>
    </row>
    <row r="355" spans="1:1" x14ac:dyDescent="0.2">
      <c r="A355" s="19"/>
    </row>
    <row r="356" spans="1:1" x14ac:dyDescent="0.2">
      <c r="A356" s="19"/>
    </row>
    <row r="357" spans="1:1" x14ac:dyDescent="0.2">
      <c r="A357" s="19"/>
    </row>
    <row r="358" spans="1:1" x14ac:dyDescent="0.2">
      <c r="A358" s="19"/>
    </row>
    <row r="359" spans="1:1" x14ac:dyDescent="0.2">
      <c r="A359" s="19"/>
    </row>
    <row r="360" spans="1:1" x14ac:dyDescent="0.2">
      <c r="A360" s="19"/>
    </row>
    <row r="361" spans="1:1" x14ac:dyDescent="0.2">
      <c r="A361" s="19"/>
    </row>
    <row r="362" spans="1:1" x14ac:dyDescent="0.2">
      <c r="A362" s="19"/>
    </row>
    <row r="363" spans="1:1" x14ac:dyDescent="0.2">
      <c r="A363" s="19"/>
    </row>
    <row r="364" spans="1:1" x14ac:dyDescent="0.2">
      <c r="A364" s="19"/>
    </row>
    <row r="365" spans="1:1" x14ac:dyDescent="0.2">
      <c r="A365" s="19"/>
    </row>
    <row r="366" spans="1:1" x14ac:dyDescent="0.2">
      <c r="A366" s="19"/>
    </row>
    <row r="367" spans="1:1" x14ac:dyDescent="0.2">
      <c r="A367" s="19"/>
    </row>
    <row r="368" spans="1:1" x14ac:dyDescent="0.2">
      <c r="A368" s="19"/>
    </row>
    <row r="369" spans="1:1" x14ac:dyDescent="0.2">
      <c r="A369" s="19"/>
    </row>
    <row r="370" spans="1:1" x14ac:dyDescent="0.2">
      <c r="A370" s="19"/>
    </row>
    <row r="371" spans="1:1" x14ac:dyDescent="0.2">
      <c r="A371" s="19"/>
    </row>
    <row r="372" spans="1:1" x14ac:dyDescent="0.2">
      <c r="A372" s="19"/>
    </row>
    <row r="373" spans="1:1" x14ac:dyDescent="0.2">
      <c r="A373" s="19"/>
    </row>
    <row r="374" spans="1:1" x14ac:dyDescent="0.2">
      <c r="A374" s="19"/>
    </row>
    <row r="375" spans="1:1" x14ac:dyDescent="0.2">
      <c r="A375" s="19"/>
    </row>
    <row r="376" spans="1:1" x14ac:dyDescent="0.2">
      <c r="A376" s="19"/>
    </row>
    <row r="377" spans="1:1" x14ac:dyDescent="0.2">
      <c r="A377" s="19"/>
    </row>
    <row r="378" spans="1:1" x14ac:dyDescent="0.2">
      <c r="A378" s="19"/>
    </row>
    <row r="379" spans="1:1" x14ac:dyDescent="0.2">
      <c r="A379" s="19"/>
    </row>
    <row r="380" spans="1:1" x14ac:dyDescent="0.2">
      <c r="A380" s="19"/>
    </row>
    <row r="381" spans="1:1" x14ac:dyDescent="0.2">
      <c r="A381" s="19"/>
    </row>
    <row r="382" spans="1:1" x14ac:dyDescent="0.2">
      <c r="A382" s="19"/>
    </row>
    <row r="383" spans="1:1" x14ac:dyDescent="0.2">
      <c r="A383" s="19"/>
    </row>
    <row r="384" spans="1:1" x14ac:dyDescent="0.2">
      <c r="A384" s="19"/>
    </row>
    <row r="385" spans="1:1" x14ac:dyDescent="0.2">
      <c r="A385" s="19"/>
    </row>
    <row r="386" spans="1:1" x14ac:dyDescent="0.2">
      <c r="A386" s="19"/>
    </row>
    <row r="387" spans="1:1" x14ac:dyDescent="0.2">
      <c r="A387" s="19"/>
    </row>
    <row r="388" spans="1:1" x14ac:dyDescent="0.2">
      <c r="A388" s="19"/>
    </row>
    <row r="389" spans="1:1" x14ac:dyDescent="0.2">
      <c r="A389" s="19"/>
    </row>
    <row r="390" spans="1:1" x14ac:dyDescent="0.2">
      <c r="A390" s="19"/>
    </row>
    <row r="391" spans="1:1" x14ac:dyDescent="0.2">
      <c r="A391" s="19"/>
    </row>
    <row r="392" spans="1:1" x14ac:dyDescent="0.2">
      <c r="A392" s="19"/>
    </row>
    <row r="393" spans="1:1" x14ac:dyDescent="0.2">
      <c r="A393" s="19"/>
    </row>
    <row r="394" spans="1:1" x14ac:dyDescent="0.2">
      <c r="A394" s="19"/>
    </row>
    <row r="395" spans="1:1" x14ac:dyDescent="0.2">
      <c r="A395" s="19"/>
    </row>
    <row r="396" spans="1:1" x14ac:dyDescent="0.2">
      <c r="A396" s="19"/>
    </row>
    <row r="397" spans="1:1" x14ac:dyDescent="0.2">
      <c r="A397" s="19"/>
    </row>
    <row r="398" spans="1:1" x14ac:dyDescent="0.2">
      <c r="A398" s="19"/>
    </row>
    <row r="399" spans="1:1" x14ac:dyDescent="0.2">
      <c r="A399" s="19"/>
    </row>
    <row r="400" spans="1:1" x14ac:dyDescent="0.2">
      <c r="A400" s="19"/>
    </row>
    <row r="401" spans="1:1" x14ac:dyDescent="0.2">
      <c r="A401" s="19"/>
    </row>
    <row r="402" spans="1:1" x14ac:dyDescent="0.2">
      <c r="A402" s="19"/>
    </row>
    <row r="403" spans="1:1" x14ac:dyDescent="0.2">
      <c r="A403" s="19"/>
    </row>
    <row r="404" spans="1:1" x14ac:dyDescent="0.2">
      <c r="A404" s="19"/>
    </row>
    <row r="405" spans="1:1" x14ac:dyDescent="0.2">
      <c r="A405" s="19"/>
    </row>
    <row r="406" spans="1:1" x14ac:dyDescent="0.2">
      <c r="A406" s="19"/>
    </row>
    <row r="407" spans="1:1" x14ac:dyDescent="0.2">
      <c r="A407" s="19"/>
    </row>
    <row r="408" spans="1:1" x14ac:dyDescent="0.2">
      <c r="A408" s="19"/>
    </row>
    <row r="409" spans="1:1" x14ac:dyDescent="0.2">
      <c r="A409" s="19"/>
    </row>
    <row r="410" spans="1:1" x14ac:dyDescent="0.2">
      <c r="A410" s="19"/>
    </row>
    <row r="411" spans="1:1" x14ac:dyDescent="0.2">
      <c r="A411" s="19"/>
    </row>
    <row r="412" spans="1:1" x14ac:dyDescent="0.2">
      <c r="A412" s="19"/>
    </row>
    <row r="413" spans="1:1" x14ac:dyDescent="0.2">
      <c r="A413" s="19"/>
    </row>
    <row r="414" spans="1:1" x14ac:dyDescent="0.2">
      <c r="A414" s="19"/>
    </row>
    <row r="415" spans="1:1" x14ac:dyDescent="0.2">
      <c r="A415" s="19"/>
    </row>
    <row r="416" spans="1:1" x14ac:dyDescent="0.2">
      <c r="A416" s="19"/>
    </row>
    <row r="417" spans="1:1" x14ac:dyDescent="0.2">
      <c r="A417" s="19"/>
    </row>
    <row r="418" spans="1:1" x14ac:dyDescent="0.2">
      <c r="A418" s="19"/>
    </row>
    <row r="419" spans="1:1" x14ac:dyDescent="0.2">
      <c r="A419" s="19"/>
    </row>
    <row r="420" spans="1:1" x14ac:dyDescent="0.2">
      <c r="A420" s="19"/>
    </row>
    <row r="421" spans="1:1" x14ac:dyDescent="0.2">
      <c r="A421" s="19"/>
    </row>
    <row r="422" spans="1:1" x14ac:dyDescent="0.2">
      <c r="A422" s="19"/>
    </row>
    <row r="423" spans="1:1" x14ac:dyDescent="0.2">
      <c r="A423" s="19"/>
    </row>
    <row r="424" spans="1:1" x14ac:dyDescent="0.2">
      <c r="A424" s="19"/>
    </row>
    <row r="425" spans="1:1" x14ac:dyDescent="0.2">
      <c r="A425" s="19"/>
    </row>
    <row r="426" spans="1:1" x14ac:dyDescent="0.2">
      <c r="A426" s="19"/>
    </row>
    <row r="427" spans="1:1" x14ac:dyDescent="0.2">
      <c r="A427" s="19"/>
    </row>
    <row r="428" spans="1:1" x14ac:dyDescent="0.2">
      <c r="A428" s="19"/>
    </row>
    <row r="429" spans="1:1" x14ac:dyDescent="0.2">
      <c r="A429" s="19"/>
    </row>
    <row r="430" spans="1:1" x14ac:dyDescent="0.2">
      <c r="A430" s="19"/>
    </row>
    <row r="431" spans="1:1" x14ac:dyDescent="0.2">
      <c r="A431" s="19"/>
    </row>
    <row r="432" spans="1:1" x14ac:dyDescent="0.2">
      <c r="A432" s="19"/>
    </row>
    <row r="433" spans="1:1" x14ac:dyDescent="0.2">
      <c r="A433" s="19"/>
    </row>
    <row r="434" spans="1:1" x14ac:dyDescent="0.2">
      <c r="A434" s="19"/>
    </row>
    <row r="435" spans="1:1" x14ac:dyDescent="0.2">
      <c r="A435" s="19"/>
    </row>
    <row r="436" spans="1:1" x14ac:dyDescent="0.2">
      <c r="A436" s="19"/>
    </row>
    <row r="437" spans="1:1" x14ac:dyDescent="0.2">
      <c r="A437" s="19"/>
    </row>
    <row r="438" spans="1:1" x14ac:dyDescent="0.2">
      <c r="A438" s="19"/>
    </row>
    <row r="439" spans="1:1" x14ac:dyDescent="0.2">
      <c r="A439" s="19"/>
    </row>
    <row r="440" spans="1:1" x14ac:dyDescent="0.2">
      <c r="A440" s="19"/>
    </row>
    <row r="441" spans="1:1" x14ac:dyDescent="0.2">
      <c r="A441" s="19"/>
    </row>
    <row r="442" spans="1:1" x14ac:dyDescent="0.2">
      <c r="A442" s="19"/>
    </row>
    <row r="443" spans="1:1" x14ac:dyDescent="0.2">
      <c r="A443" s="19"/>
    </row>
    <row r="444" spans="1:1" x14ac:dyDescent="0.2">
      <c r="A444" s="19"/>
    </row>
    <row r="445" spans="1:1" x14ac:dyDescent="0.2">
      <c r="A445" s="19"/>
    </row>
    <row r="446" spans="1:1" x14ac:dyDescent="0.2">
      <c r="A446" s="19"/>
    </row>
    <row r="447" spans="1:1" x14ac:dyDescent="0.2">
      <c r="A447" s="19"/>
    </row>
    <row r="448" spans="1:1" x14ac:dyDescent="0.2">
      <c r="A448" s="19"/>
    </row>
    <row r="449" spans="1:1" x14ac:dyDescent="0.2">
      <c r="A449" s="19"/>
    </row>
    <row r="450" spans="1:1" x14ac:dyDescent="0.2">
      <c r="A450" s="19"/>
    </row>
    <row r="451" spans="1:1" x14ac:dyDescent="0.2">
      <c r="A451" s="19"/>
    </row>
    <row r="452" spans="1:1" x14ac:dyDescent="0.2">
      <c r="A452" s="19"/>
    </row>
    <row r="453" spans="1:1" x14ac:dyDescent="0.2">
      <c r="A453" s="19"/>
    </row>
    <row r="454" spans="1:1" x14ac:dyDescent="0.2">
      <c r="A454" s="19"/>
    </row>
    <row r="455" spans="1:1" x14ac:dyDescent="0.2">
      <c r="A455" s="19"/>
    </row>
    <row r="456" spans="1:1" x14ac:dyDescent="0.2">
      <c r="A456" s="19"/>
    </row>
    <row r="457" spans="1:1" x14ac:dyDescent="0.2">
      <c r="A457" s="19"/>
    </row>
    <row r="458" spans="1:1" x14ac:dyDescent="0.2">
      <c r="A458" s="19"/>
    </row>
    <row r="459" spans="1:1" x14ac:dyDescent="0.2">
      <c r="A459" s="19"/>
    </row>
    <row r="460" spans="1:1" x14ac:dyDescent="0.2">
      <c r="A460" s="19"/>
    </row>
    <row r="461" spans="1:1" x14ac:dyDescent="0.2">
      <c r="A461" s="19"/>
    </row>
    <row r="462" spans="1:1" x14ac:dyDescent="0.2">
      <c r="A462" s="19"/>
    </row>
    <row r="463" spans="1:1" x14ac:dyDescent="0.2">
      <c r="A463" s="19"/>
    </row>
    <row r="464" spans="1:1" x14ac:dyDescent="0.2">
      <c r="A464" s="19"/>
    </row>
    <row r="465" spans="1:1" x14ac:dyDescent="0.2">
      <c r="A465" s="19"/>
    </row>
    <row r="466" spans="1:1" x14ac:dyDescent="0.2">
      <c r="A466" s="19"/>
    </row>
    <row r="467" spans="1:1" x14ac:dyDescent="0.2">
      <c r="A467" s="19"/>
    </row>
    <row r="468" spans="1:1" x14ac:dyDescent="0.2">
      <c r="A468" s="19"/>
    </row>
    <row r="469" spans="1:1" x14ac:dyDescent="0.2">
      <c r="A469" s="19"/>
    </row>
    <row r="470" spans="1:1" x14ac:dyDescent="0.2">
      <c r="A470" s="19"/>
    </row>
    <row r="471" spans="1:1" x14ac:dyDescent="0.2">
      <c r="A471" s="19"/>
    </row>
    <row r="472" spans="1:1" x14ac:dyDescent="0.2">
      <c r="A472" s="19"/>
    </row>
    <row r="473" spans="1:1" x14ac:dyDescent="0.2">
      <c r="A473" s="19"/>
    </row>
    <row r="474" spans="1:1" x14ac:dyDescent="0.2">
      <c r="A474" s="19"/>
    </row>
    <row r="475" spans="1:1" x14ac:dyDescent="0.2">
      <c r="A475" s="19"/>
    </row>
    <row r="476" spans="1:1" x14ac:dyDescent="0.2">
      <c r="A476" s="19"/>
    </row>
    <row r="477" spans="1:1" x14ac:dyDescent="0.2">
      <c r="A477" s="19"/>
    </row>
    <row r="478" spans="1:1" x14ac:dyDescent="0.2">
      <c r="A478" s="19"/>
    </row>
    <row r="479" spans="1:1" x14ac:dyDescent="0.2">
      <c r="A479" s="19"/>
    </row>
    <row r="480" spans="1:1" x14ac:dyDescent="0.2">
      <c r="A480" s="19"/>
    </row>
    <row r="481" spans="1:1" x14ac:dyDescent="0.2">
      <c r="A481" s="19"/>
    </row>
    <row r="482" spans="1:1" x14ac:dyDescent="0.2">
      <c r="A482" s="19"/>
    </row>
    <row r="483" spans="1:1" x14ac:dyDescent="0.2">
      <c r="A483" s="19"/>
    </row>
    <row r="484" spans="1:1" x14ac:dyDescent="0.2">
      <c r="A484" s="19"/>
    </row>
    <row r="485" spans="1:1" x14ac:dyDescent="0.2">
      <c r="A485" s="19"/>
    </row>
    <row r="486" spans="1:1" x14ac:dyDescent="0.2">
      <c r="A486" s="19"/>
    </row>
    <row r="487" spans="1:1" x14ac:dyDescent="0.2">
      <c r="A487" s="19"/>
    </row>
    <row r="488" spans="1:1" x14ac:dyDescent="0.2">
      <c r="A488" s="19"/>
    </row>
    <row r="489" spans="1:1" x14ac:dyDescent="0.2">
      <c r="A489" s="19"/>
    </row>
    <row r="490" spans="1:1" x14ac:dyDescent="0.2">
      <c r="A490" s="19" t="s">
        <v>1620</v>
      </c>
    </row>
    <row r="491" spans="1:1" x14ac:dyDescent="0.2">
      <c r="A491" s="19" t="s">
        <v>1621</v>
      </c>
    </row>
    <row r="492" spans="1:1" x14ac:dyDescent="0.2">
      <c r="A492" s="19" t="s">
        <v>839</v>
      </c>
    </row>
    <row r="493" spans="1:1" x14ac:dyDescent="0.2">
      <c r="A493" s="19" t="s">
        <v>840</v>
      </c>
    </row>
    <row r="494" spans="1:1" x14ac:dyDescent="0.2">
      <c r="A494" s="19" t="s">
        <v>841</v>
      </c>
    </row>
    <row r="495" spans="1:1" x14ac:dyDescent="0.2">
      <c r="A495" s="19" t="s">
        <v>842</v>
      </c>
    </row>
    <row r="496" spans="1:1" x14ac:dyDescent="0.2">
      <c r="A496" s="19" t="s">
        <v>843</v>
      </c>
    </row>
    <row r="497" spans="1:1" x14ac:dyDescent="0.2">
      <c r="A497" s="19" t="s">
        <v>48</v>
      </c>
    </row>
    <row r="498" spans="1:1" x14ac:dyDescent="0.2">
      <c r="A498" s="19" t="s">
        <v>1590</v>
      </c>
    </row>
    <row r="499" spans="1:1" x14ac:dyDescent="0.2">
      <c r="A499" s="19" t="s">
        <v>1591</v>
      </c>
    </row>
    <row r="500" spans="1:1" x14ac:dyDescent="0.2">
      <c r="A500" s="19" t="s">
        <v>344</v>
      </c>
    </row>
    <row r="501" spans="1:1" x14ac:dyDescent="0.2">
      <c r="A501" s="19" t="s">
        <v>1098</v>
      </c>
    </row>
    <row r="502" spans="1:1" x14ac:dyDescent="0.2">
      <c r="A502" s="19" t="s">
        <v>1099</v>
      </c>
    </row>
    <row r="503" spans="1:1" x14ac:dyDescent="0.2">
      <c r="A503" s="19" t="s">
        <v>1100</v>
      </c>
    </row>
    <row r="504" spans="1:1" x14ac:dyDescent="0.2">
      <c r="A504" s="19" t="s">
        <v>1101</v>
      </c>
    </row>
    <row r="505" spans="1:1" x14ac:dyDescent="0.2">
      <c r="A505" s="19" t="s">
        <v>1102</v>
      </c>
    </row>
    <row r="506" spans="1:1" x14ac:dyDescent="0.2">
      <c r="A506" s="19" t="s">
        <v>1103</v>
      </c>
    </row>
    <row r="507" spans="1:1" x14ac:dyDescent="0.2">
      <c r="A507" s="19" t="s">
        <v>369</v>
      </c>
    </row>
    <row r="508" spans="1:1" x14ac:dyDescent="0.2">
      <c r="A508" s="19" t="s">
        <v>370</v>
      </c>
    </row>
    <row r="509" spans="1:1" x14ac:dyDescent="0.2">
      <c r="A509" s="19" t="s">
        <v>371</v>
      </c>
    </row>
    <row r="510" spans="1:1" x14ac:dyDescent="0.2">
      <c r="A510" s="19" t="s">
        <v>372</v>
      </c>
    </row>
    <row r="511" spans="1:1" x14ac:dyDescent="0.2">
      <c r="A511" s="19" t="s">
        <v>373</v>
      </c>
    </row>
    <row r="512" spans="1:1" x14ac:dyDescent="0.2">
      <c r="A512" s="19" t="s">
        <v>374</v>
      </c>
    </row>
    <row r="513" spans="1:1" x14ac:dyDescent="0.2">
      <c r="A513" s="19" t="s">
        <v>375</v>
      </c>
    </row>
    <row r="514" spans="1:1" x14ac:dyDescent="0.2">
      <c r="A514" s="19" t="s">
        <v>376</v>
      </c>
    </row>
    <row r="515" spans="1:1" x14ac:dyDescent="0.2">
      <c r="A515" s="19" t="s">
        <v>1031</v>
      </c>
    </row>
    <row r="516" spans="1:1" x14ac:dyDescent="0.2">
      <c r="A516" s="19" t="s">
        <v>1032</v>
      </c>
    </row>
    <row r="517" spans="1:1" x14ac:dyDescent="0.2">
      <c r="A517" s="19" t="s">
        <v>1033</v>
      </c>
    </row>
    <row r="518" spans="1:1" x14ac:dyDescent="0.2">
      <c r="A518" s="19" t="s">
        <v>1034</v>
      </c>
    </row>
    <row r="519" spans="1:1" x14ac:dyDescent="0.2">
      <c r="A519" s="19" t="s">
        <v>1035</v>
      </c>
    </row>
    <row r="520" spans="1:1" x14ac:dyDescent="0.2">
      <c r="A520" s="19" t="s">
        <v>1036</v>
      </c>
    </row>
    <row r="521" spans="1:1" x14ac:dyDescent="0.2">
      <c r="A521" s="19" t="s">
        <v>1037</v>
      </c>
    </row>
    <row r="522" spans="1:1" x14ac:dyDescent="0.2">
      <c r="A522" s="19" t="s">
        <v>856</v>
      </c>
    </row>
    <row r="523" spans="1:1" x14ac:dyDescent="0.2">
      <c r="A523" s="19" t="s">
        <v>857</v>
      </c>
    </row>
    <row r="524" spans="1:1" x14ac:dyDescent="0.2">
      <c r="A524" s="19" t="s">
        <v>858</v>
      </c>
    </row>
    <row r="525" spans="1:1" x14ac:dyDescent="0.2">
      <c r="A525" s="19" t="s">
        <v>385</v>
      </c>
    </row>
    <row r="526" spans="1:1" x14ac:dyDescent="0.2">
      <c r="A526" s="19" t="s">
        <v>386</v>
      </c>
    </row>
    <row r="527" spans="1:1" x14ac:dyDescent="0.2">
      <c r="A527" s="19" t="s">
        <v>387</v>
      </c>
    </row>
    <row r="528" spans="1:1" x14ac:dyDescent="0.2">
      <c r="A528" s="19" t="s">
        <v>388</v>
      </c>
    </row>
    <row r="529" spans="1:1" x14ac:dyDescent="0.2">
      <c r="A529" s="19" t="s">
        <v>604</v>
      </c>
    </row>
    <row r="530" spans="1:1" x14ac:dyDescent="0.2">
      <c r="A530" s="19" t="s">
        <v>1919</v>
      </c>
    </row>
    <row r="531" spans="1:1" x14ac:dyDescent="0.2">
      <c r="A531" s="19" t="s">
        <v>1920</v>
      </c>
    </row>
    <row r="532" spans="1:1" x14ac:dyDescent="0.2">
      <c r="A532" s="19" t="s">
        <v>1921</v>
      </c>
    </row>
    <row r="533" spans="1:1" x14ac:dyDescent="0.2">
      <c r="A533" s="19" t="s">
        <v>582</v>
      </c>
    </row>
    <row r="534" spans="1:1" x14ac:dyDescent="0.2">
      <c r="A534" s="19" t="s">
        <v>1677</v>
      </c>
    </row>
    <row r="535" spans="1:1" x14ac:dyDescent="0.2">
      <c r="A535" s="19" t="s">
        <v>499</v>
      </c>
    </row>
    <row r="536" spans="1:1" x14ac:dyDescent="0.2">
      <c r="A536" s="19" t="s">
        <v>500</v>
      </c>
    </row>
    <row r="537" spans="1:1" x14ac:dyDescent="0.2">
      <c r="A537" s="19" t="s">
        <v>501</v>
      </c>
    </row>
    <row r="538" spans="1:1" x14ac:dyDescent="0.2">
      <c r="A538" s="19" t="s">
        <v>502</v>
      </c>
    </row>
    <row r="539" spans="1:1" x14ac:dyDescent="0.2">
      <c r="A539" s="19" t="s">
        <v>503</v>
      </c>
    </row>
    <row r="540" spans="1:1" x14ac:dyDescent="0.2">
      <c r="A540" s="19" t="s">
        <v>504</v>
      </c>
    </row>
    <row r="541" spans="1:1" x14ac:dyDescent="0.2">
      <c r="A541" s="19" t="s">
        <v>538</v>
      </c>
    </row>
    <row r="542" spans="1:1" x14ac:dyDescent="0.2">
      <c r="A542" s="19" t="s">
        <v>1705</v>
      </c>
    </row>
    <row r="543" spans="1:1" x14ac:dyDescent="0.2">
      <c r="A543" s="19" t="s">
        <v>933</v>
      </c>
    </row>
    <row r="544" spans="1:1" x14ac:dyDescent="0.2">
      <c r="A544" s="19" t="s">
        <v>934</v>
      </c>
    </row>
    <row r="545" spans="1:1" x14ac:dyDescent="0.2">
      <c r="A545" s="19" t="s">
        <v>935</v>
      </c>
    </row>
    <row r="546" spans="1:1" x14ac:dyDescent="0.2">
      <c r="A546" s="19" t="s">
        <v>936</v>
      </c>
    </row>
    <row r="547" spans="1:1" x14ac:dyDescent="0.2">
      <c r="A547" s="19" t="s">
        <v>937</v>
      </c>
    </row>
    <row r="548" spans="1:1" x14ac:dyDescent="0.2">
      <c r="A548" s="19" t="s">
        <v>938</v>
      </c>
    </row>
    <row r="549" spans="1:1" x14ac:dyDescent="0.2">
      <c r="A549" s="19" t="s">
        <v>939</v>
      </c>
    </row>
    <row r="550" spans="1:1" x14ac:dyDescent="0.2">
      <c r="A550" s="19" t="s">
        <v>940</v>
      </c>
    </row>
    <row r="551" spans="1:1" x14ac:dyDescent="0.2">
      <c r="A551" s="19" t="s">
        <v>94</v>
      </c>
    </row>
    <row r="552" spans="1:1" x14ac:dyDescent="0.2">
      <c r="A552" s="19" t="s">
        <v>95</v>
      </c>
    </row>
    <row r="553" spans="1:1" x14ac:dyDescent="0.2">
      <c r="A553" s="19" t="s">
        <v>96</v>
      </c>
    </row>
    <row r="554" spans="1:1" x14ac:dyDescent="0.2">
      <c r="A554" s="19" t="s">
        <v>97</v>
      </c>
    </row>
    <row r="555" spans="1:1" x14ac:dyDescent="0.2">
      <c r="A555" s="19" t="s">
        <v>98</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J555"/>
  <sheetViews>
    <sheetView zoomScaleNormal="100" zoomScaleSheetLayoutView="50" workbookViewId="0"/>
  </sheetViews>
  <sheetFormatPr defaultColWidth="9.140625" defaultRowHeight="12.75" x14ac:dyDescent="0.2"/>
  <cols>
    <col min="1" max="1" width="12.5703125" style="18" customWidth="1"/>
    <col min="2" max="2" width="11.140625" style="18" bestFit="1" customWidth="1"/>
    <col min="3" max="3" width="11.140625" style="18" customWidth="1"/>
    <col min="4" max="4" width="14.140625" style="18" customWidth="1"/>
    <col min="5" max="7" width="11.140625" style="18" bestFit="1" customWidth="1"/>
    <col min="8" max="10" width="15.42578125" style="111" bestFit="1" customWidth="1"/>
    <col min="11" max="11" width="45.28515625" style="19" customWidth="1"/>
    <col min="12" max="13" width="8" style="74" customWidth="1"/>
    <col min="14" max="14" width="12.140625" style="111" customWidth="1"/>
    <col min="15" max="15" width="5.7109375" style="74" customWidth="1"/>
    <col min="16" max="16" width="16.140625" style="19" bestFit="1" customWidth="1"/>
    <col min="17" max="17" width="9.140625" style="19"/>
    <col min="18" max="18" width="8.7109375" style="19" customWidth="1"/>
    <col min="19" max="19" width="9.140625" style="19"/>
    <col min="20" max="20" width="17.5703125" style="19" customWidth="1"/>
    <col min="21" max="21" width="8.28515625" style="19" customWidth="1"/>
    <col min="22" max="22" width="11.28515625" style="19" customWidth="1"/>
    <col min="23" max="23" width="8" style="19" bestFit="1" customWidth="1"/>
    <col min="24" max="24" width="10.28515625" style="116" bestFit="1" customWidth="1"/>
    <col min="25" max="60" width="9.140625" style="19"/>
    <col min="61" max="16384" width="9.140625" style="18"/>
  </cols>
  <sheetData>
    <row r="1" spans="1:88" ht="38.25" customHeight="1" x14ac:dyDescent="0.2">
      <c r="A1" s="1271" t="s">
        <v>2307</v>
      </c>
      <c r="B1" s="1267" t="s">
        <v>849</v>
      </c>
      <c r="C1" s="1267" t="s">
        <v>849</v>
      </c>
      <c r="D1" s="1267" t="s">
        <v>849</v>
      </c>
      <c r="E1" s="1267" t="s">
        <v>849</v>
      </c>
      <c r="F1" s="1267" t="s">
        <v>850</v>
      </c>
      <c r="G1" s="1267" t="s">
        <v>850</v>
      </c>
      <c r="H1" s="1267" t="s">
        <v>851</v>
      </c>
      <c r="I1" s="1267" t="s">
        <v>851</v>
      </c>
      <c r="J1" s="1267" t="s">
        <v>851</v>
      </c>
    </row>
    <row r="2" spans="1:88" ht="100.5" customHeight="1" x14ac:dyDescent="0.2">
      <c r="A2" s="1282" t="s">
        <v>1964</v>
      </c>
      <c r="B2" s="1282" t="s">
        <v>852</v>
      </c>
      <c r="C2" s="1282" t="s">
        <v>853</v>
      </c>
      <c r="D2" s="1282" t="s">
        <v>854</v>
      </c>
      <c r="E2" s="1282" t="s">
        <v>855</v>
      </c>
      <c r="F2" s="1282" t="s">
        <v>852</v>
      </c>
      <c r="G2" s="1282" t="s">
        <v>855</v>
      </c>
      <c r="H2" s="1282" t="s">
        <v>852</v>
      </c>
      <c r="I2" s="1282" t="s">
        <v>853</v>
      </c>
      <c r="J2" s="1282" t="s">
        <v>854</v>
      </c>
      <c r="K2" s="110"/>
      <c r="L2" s="1284" t="s">
        <v>2327</v>
      </c>
      <c r="M2" s="1284" t="s">
        <v>1307</v>
      </c>
      <c r="N2" s="1284" t="s">
        <v>2328</v>
      </c>
      <c r="O2" s="402"/>
      <c r="P2" s="401"/>
      <c r="Q2" s="401"/>
      <c r="R2" s="401"/>
      <c r="S2" s="401"/>
      <c r="T2" s="401"/>
      <c r="U2" s="401"/>
      <c r="V2" s="401"/>
      <c r="W2" s="401"/>
      <c r="X2" s="405"/>
      <c r="Y2" s="401"/>
      <c r="Z2" s="401"/>
      <c r="AA2" s="401"/>
      <c r="AB2" s="401"/>
      <c r="AC2" s="401"/>
      <c r="AD2" s="401"/>
      <c r="AE2" s="401"/>
      <c r="AF2" s="401"/>
      <c r="AG2" s="401"/>
      <c r="AH2" s="401"/>
      <c r="AI2" s="401"/>
      <c r="AJ2" s="401"/>
      <c r="AK2" s="401"/>
      <c r="AL2" s="401"/>
      <c r="AM2" s="401"/>
      <c r="AN2" s="401"/>
      <c r="AO2" s="401"/>
      <c r="AP2" s="401"/>
      <c r="AQ2" s="401"/>
      <c r="AR2" s="401"/>
      <c r="AS2" s="401"/>
      <c r="AT2" s="401"/>
      <c r="AU2" s="401"/>
      <c r="AV2" s="401"/>
      <c r="AW2" s="401"/>
      <c r="AX2" s="401"/>
      <c r="AY2" s="401"/>
      <c r="AZ2" s="401"/>
      <c r="BA2" s="401"/>
      <c r="BB2" s="401"/>
      <c r="BC2" s="401"/>
      <c r="BD2" s="401"/>
      <c r="BE2" s="401"/>
      <c r="BF2" s="401"/>
      <c r="BG2" s="401"/>
      <c r="BH2" s="401"/>
      <c r="BI2" s="403"/>
      <c r="BJ2" s="403"/>
      <c r="BK2" s="403"/>
      <c r="BL2" s="403"/>
      <c r="BM2" s="403"/>
      <c r="BN2" s="403"/>
      <c r="BO2" s="403"/>
      <c r="BP2" s="403"/>
      <c r="BQ2" s="403"/>
      <c r="BR2" s="403"/>
      <c r="BS2" s="403"/>
      <c r="BT2" s="403"/>
      <c r="BU2" s="403"/>
      <c r="BV2" s="403"/>
      <c r="BW2" s="403"/>
      <c r="BX2" s="403"/>
      <c r="BY2" s="403"/>
      <c r="BZ2" s="403"/>
      <c r="CA2" s="403"/>
      <c r="CB2" s="403"/>
      <c r="CC2" s="403"/>
      <c r="CD2" s="403"/>
      <c r="CE2" s="403"/>
      <c r="CF2" s="403"/>
      <c r="CG2" s="403"/>
      <c r="CH2" s="403"/>
      <c r="CI2" s="403"/>
      <c r="CJ2" s="403"/>
    </row>
    <row r="3" spans="1:88" ht="15" customHeight="1" x14ac:dyDescent="0.2">
      <c r="A3" s="1265">
        <v>0</v>
      </c>
      <c r="B3" s="1277">
        <v>0.06</v>
      </c>
      <c r="C3" s="1277">
        <v>0.06</v>
      </c>
      <c r="D3" s="1277">
        <v>0.04</v>
      </c>
      <c r="E3" s="1277">
        <v>0.06</v>
      </c>
      <c r="F3" s="1277">
        <v>0.04</v>
      </c>
      <c r="G3" s="1277">
        <v>0.03</v>
      </c>
      <c r="H3" s="1261">
        <v>0.1</v>
      </c>
      <c r="I3" s="1277">
        <v>7.0000000000000007E-2</v>
      </c>
      <c r="J3" s="1277">
        <v>0.05</v>
      </c>
      <c r="K3" s="1267" t="s">
        <v>1157</v>
      </c>
      <c r="L3" s="1275" t="str">
        <f>IF(Spine!T6="","",Spine!T6)</f>
        <v/>
      </c>
      <c r="M3" s="1275" t="str">
        <f>IF(L3="","",ROUND(L3,0))</f>
        <v/>
      </c>
      <c r="N3" s="1277">
        <f>IF(M3="",0,VLOOKUP(M3,$A$3:$J$85,2))</f>
        <v>0</v>
      </c>
      <c r="Q3" s="74"/>
      <c r="R3" s="113"/>
      <c r="T3" s="406"/>
    </row>
    <row r="4" spans="1:88" ht="15" customHeight="1" x14ac:dyDescent="0.2">
      <c r="A4" s="1265">
        <v>1</v>
      </c>
      <c r="B4" s="1277">
        <v>5.8999999999999997E-2</v>
      </c>
      <c r="C4" s="1277">
        <v>5.9200000000000003E-2</v>
      </c>
      <c r="D4" s="1277">
        <v>3.8699999999999998E-2</v>
      </c>
      <c r="E4" s="1277">
        <v>5.8999999999999997E-2</v>
      </c>
      <c r="F4" s="1277">
        <v>3.8699999999999998E-2</v>
      </c>
      <c r="G4" s="1277">
        <v>2.9000000000000001E-2</v>
      </c>
      <c r="H4" s="1261">
        <v>0.1</v>
      </c>
      <c r="I4" s="1277">
        <v>6.8000000000000005E-2</v>
      </c>
      <c r="J4" s="1277">
        <v>4.8000000000000001E-2</v>
      </c>
      <c r="K4" s="1267" t="s">
        <v>1158</v>
      </c>
      <c r="L4" s="1275" t="str">
        <f>IF(Spine!T7="","",Spine!T7)</f>
        <v/>
      </c>
      <c r="M4" s="1275" t="str">
        <f t="shared" ref="M4:M15" si="0">IF(L4="","",ROUND(L4,0))</f>
        <v/>
      </c>
      <c r="N4" s="1277">
        <f>IF(M4="",0,VLOOKUP(M4,$A$3:$J$85,3))</f>
        <v>0</v>
      </c>
      <c r="Q4" s="74"/>
      <c r="R4" s="113"/>
      <c r="T4" s="406"/>
    </row>
    <row r="5" spans="1:88" ht="15" customHeight="1" x14ac:dyDescent="0.2">
      <c r="A5" s="1265">
        <v>2</v>
      </c>
      <c r="B5" s="1277">
        <v>5.8000000000000003E-2</v>
      </c>
      <c r="C5" s="1277">
        <v>5.8400000000000001E-2</v>
      </c>
      <c r="D5" s="1277">
        <v>3.73E-2</v>
      </c>
      <c r="E5" s="1277">
        <v>5.8000000000000003E-2</v>
      </c>
      <c r="F5" s="1277">
        <v>3.73E-2</v>
      </c>
      <c r="G5" s="1277">
        <v>2.8000000000000001E-2</v>
      </c>
      <c r="H5" s="1261">
        <v>0.1</v>
      </c>
      <c r="I5" s="1277">
        <v>6.6000000000000003E-2</v>
      </c>
      <c r="J5" s="1277">
        <v>4.5999999999999999E-2</v>
      </c>
      <c r="K5" s="1267" t="s">
        <v>1159</v>
      </c>
      <c r="L5" s="1275" t="str">
        <f>IF(Spine!T8="","",Spine!T8)</f>
        <v/>
      </c>
      <c r="M5" s="1275" t="str">
        <f t="shared" si="0"/>
        <v/>
      </c>
      <c r="N5" s="1277">
        <f>IF(M5="",0,VLOOKUP(M5,$A$3:$J$85,4))</f>
        <v>0</v>
      </c>
      <c r="Q5" s="74"/>
      <c r="R5" s="113"/>
      <c r="T5" s="406"/>
    </row>
    <row r="6" spans="1:88" ht="15" customHeight="1" x14ac:dyDescent="0.2">
      <c r="A6" s="1265">
        <v>3</v>
      </c>
      <c r="B6" s="1277">
        <v>5.7000000000000002E-2</v>
      </c>
      <c r="C6" s="1277">
        <v>5.7599999999999998E-2</v>
      </c>
      <c r="D6" s="1277">
        <v>3.5999999999999997E-2</v>
      </c>
      <c r="E6" s="1277">
        <v>5.7000000000000002E-2</v>
      </c>
      <c r="F6" s="1277">
        <v>3.5999999999999997E-2</v>
      </c>
      <c r="G6" s="1277">
        <v>2.7E-2</v>
      </c>
      <c r="H6" s="1261">
        <v>0.1</v>
      </c>
      <c r="I6" s="1277">
        <v>6.4000000000000001E-2</v>
      </c>
      <c r="J6" s="1277">
        <v>4.3999999999999997E-2</v>
      </c>
      <c r="K6" s="1267" t="s">
        <v>1160</v>
      </c>
      <c r="L6" s="1275" t="str">
        <f>IF(Spine!T9="","",Spine!T9)</f>
        <v/>
      </c>
      <c r="M6" s="1275" t="str">
        <f t="shared" si="0"/>
        <v/>
      </c>
      <c r="N6" s="1277">
        <f>IF(M6="",0,VLOOKUP(M6,$A$3:$J$85,4))</f>
        <v>0</v>
      </c>
      <c r="T6" s="406"/>
    </row>
    <row r="7" spans="1:88" ht="15" customHeight="1" x14ac:dyDescent="0.2">
      <c r="A7" s="1265">
        <v>4</v>
      </c>
      <c r="B7" s="1277">
        <v>5.6000000000000001E-2</v>
      </c>
      <c r="C7" s="1277">
        <v>5.6800000000000003E-2</v>
      </c>
      <c r="D7" s="1277">
        <v>3.4700000000000002E-2</v>
      </c>
      <c r="E7" s="1277">
        <v>5.6000000000000001E-2</v>
      </c>
      <c r="F7" s="1277">
        <v>3.4700000000000002E-2</v>
      </c>
      <c r="G7" s="1277">
        <v>2.5999999999999999E-2</v>
      </c>
      <c r="H7" s="1261">
        <v>0.1</v>
      </c>
      <c r="I7" s="1277">
        <v>6.2E-2</v>
      </c>
      <c r="J7" s="1277">
        <v>4.2000000000000003E-2</v>
      </c>
      <c r="K7" s="1267" t="s">
        <v>1411</v>
      </c>
      <c r="L7" s="1275" t="str">
        <f>IF(Spine!T10="","",Spine!T10)</f>
        <v/>
      </c>
      <c r="M7" s="1275" t="str">
        <f t="shared" si="0"/>
        <v/>
      </c>
      <c r="N7" s="1277">
        <f>IF(M7="",0,VLOOKUP(M7,$A$3:$J$85,5))</f>
        <v>0</v>
      </c>
      <c r="Q7" s="74"/>
      <c r="R7" s="113"/>
      <c r="T7" s="406"/>
    </row>
    <row r="8" spans="1:88" ht="15" customHeight="1" x14ac:dyDescent="0.2">
      <c r="A8" s="1265">
        <v>5</v>
      </c>
      <c r="B8" s="1277">
        <v>5.5E-2</v>
      </c>
      <c r="C8" s="1277">
        <v>5.6000000000000001E-2</v>
      </c>
      <c r="D8" s="1277">
        <v>3.3300000000000003E-2</v>
      </c>
      <c r="E8" s="1277">
        <v>5.5E-2</v>
      </c>
      <c r="F8" s="1277">
        <v>3.3300000000000003E-2</v>
      </c>
      <c r="G8" s="1277">
        <v>2.5000000000000001E-2</v>
      </c>
      <c r="H8" s="1261">
        <v>0.1</v>
      </c>
      <c r="I8" s="1277">
        <v>0.06</v>
      </c>
      <c r="J8" s="1277">
        <v>0.04</v>
      </c>
      <c r="K8" s="1267" t="s">
        <v>1412</v>
      </c>
      <c r="L8" s="1275" t="str">
        <f>IF(Spine!T11="","",Spine!T11)</f>
        <v/>
      </c>
      <c r="M8" s="1275" t="str">
        <f t="shared" si="0"/>
        <v/>
      </c>
      <c r="N8" s="1277">
        <f>IF(M8="",0,VLOOKUP(M8,$A$3:$J$85,5))</f>
        <v>0</v>
      </c>
      <c r="T8" s="406"/>
    </row>
    <row r="9" spans="1:88" ht="15" customHeight="1" x14ac:dyDescent="0.2">
      <c r="A9" s="1265">
        <v>6</v>
      </c>
      <c r="B9" s="1277">
        <v>5.3999999999999999E-2</v>
      </c>
      <c r="C9" s="1277">
        <v>5.5199999999999999E-2</v>
      </c>
      <c r="D9" s="1277">
        <v>3.2000000000000001E-2</v>
      </c>
      <c r="E9" s="1277">
        <v>5.3999999999999999E-2</v>
      </c>
      <c r="F9" s="1277">
        <v>3.2000000000000001E-2</v>
      </c>
      <c r="G9" s="1277">
        <v>2.4E-2</v>
      </c>
      <c r="H9" s="1261">
        <v>0.1</v>
      </c>
      <c r="I9" s="1277">
        <v>5.8000000000000003E-2</v>
      </c>
      <c r="J9" s="1277">
        <v>3.7999999999999999E-2</v>
      </c>
      <c r="K9" s="1267" t="s">
        <v>447</v>
      </c>
      <c r="L9" s="1275" t="str">
        <f>IF(Spine!T51="","",Spine!T51)</f>
        <v/>
      </c>
      <c r="M9" s="1275" t="str">
        <f t="shared" si="0"/>
        <v/>
      </c>
      <c r="N9" s="1277">
        <f>IF(M9="",0,VLOOKUP(M9,$A$3:$J$85,6))</f>
        <v>0</v>
      </c>
      <c r="Q9" s="74"/>
      <c r="R9" s="113"/>
      <c r="T9" s="406"/>
    </row>
    <row r="10" spans="1:88" ht="15" customHeight="1" x14ac:dyDescent="0.2">
      <c r="A10" s="1265">
        <v>7</v>
      </c>
      <c r="B10" s="1277">
        <v>5.2999999999999999E-2</v>
      </c>
      <c r="C10" s="1277">
        <v>5.4399999999999997E-2</v>
      </c>
      <c r="D10" s="1277">
        <v>3.0700000000000002E-2</v>
      </c>
      <c r="E10" s="1277">
        <v>5.2999999999999999E-2</v>
      </c>
      <c r="F10" s="1277">
        <v>3.0700000000000002E-2</v>
      </c>
      <c r="G10" s="1277">
        <v>2.3E-2</v>
      </c>
      <c r="H10" s="1261">
        <v>0.1</v>
      </c>
      <c r="I10" s="1277">
        <v>5.6000000000000001E-2</v>
      </c>
      <c r="J10" s="1277">
        <v>3.5999999999999997E-2</v>
      </c>
      <c r="K10" s="1267" t="s">
        <v>448</v>
      </c>
      <c r="L10" s="1275" t="str">
        <f>IF(Spine!T52="","",Spine!T52)</f>
        <v/>
      </c>
      <c r="M10" s="1275" t="str">
        <f t="shared" si="0"/>
        <v/>
      </c>
      <c r="N10" s="1277">
        <f>IF(M10="",0,VLOOKUP(M10,$A$3:$J$85,7))</f>
        <v>0</v>
      </c>
      <c r="T10" s="406"/>
    </row>
    <row r="11" spans="1:88" ht="15" customHeight="1" x14ac:dyDescent="0.2">
      <c r="A11" s="1265">
        <v>8</v>
      </c>
      <c r="B11" s="1277">
        <v>5.1999999999999998E-2</v>
      </c>
      <c r="C11" s="1277">
        <v>5.3600000000000002E-2</v>
      </c>
      <c r="D11" s="1277">
        <v>2.93E-2</v>
      </c>
      <c r="E11" s="1277">
        <v>5.1999999999999998E-2</v>
      </c>
      <c r="F11" s="1277">
        <v>2.93E-2</v>
      </c>
      <c r="G11" s="1277">
        <v>2.1999999999999999E-2</v>
      </c>
      <c r="H11" s="1261">
        <v>0.1</v>
      </c>
      <c r="I11" s="1277">
        <v>5.3999999999999999E-2</v>
      </c>
      <c r="J11" s="1277">
        <v>3.4000000000000002E-2</v>
      </c>
      <c r="K11" s="1267" t="s">
        <v>449</v>
      </c>
      <c r="L11" s="1275" t="str">
        <f>IF(Spine!T53="","",Spine!T53)</f>
        <v/>
      </c>
      <c r="M11" s="1275" t="str">
        <f t="shared" si="0"/>
        <v/>
      </c>
      <c r="N11" s="1277">
        <f>IF(M11="",0,VLOOKUP(M11,$A$3:$J$85,7))</f>
        <v>0</v>
      </c>
      <c r="Q11" s="74"/>
      <c r="R11" s="113"/>
      <c r="T11" s="406"/>
    </row>
    <row r="12" spans="1:88" ht="15" customHeight="1" x14ac:dyDescent="0.2">
      <c r="A12" s="1265">
        <v>9</v>
      </c>
      <c r="B12" s="1277">
        <v>5.0999999999999997E-2</v>
      </c>
      <c r="C12" s="1277">
        <v>5.28E-2</v>
      </c>
      <c r="D12" s="1277">
        <v>2.8000000000000001E-2</v>
      </c>
      <c r="E12" s="1277">
        <v>5.0999999999999997E-2</v>
      </c>
      <c r="F12" s="1277">
        <v>2.8000000000000001E-2</v>
      </c>
      <c r="G12" s="1277">
        <v>2.1000000000000001E-2</v>
      </c>
      <c r="H12" s="1261">
        <v>0.1</v>
      </c>
      <c r="I12" s="1277">
        <v>5.1999999999999998E-2</v>
      </c>
      <c r="J12" s="1277">
        <v>3.2000000000000001E-2</v>
      </c>
      <c r="K12" s="1267" t="s">
        <v>1148</v>
      </c>
      <c r="L12" s="1275" t="str">
        <f>IF(Spine!T104="","",Spine!T104)</f>
        <v/>
      </c>
      <c r="M12" s="1275" t="str">
        <f t="shared" si="0"/>
        <v/>
      </c>
      <c r="N12" s="1277">
        <f>IF(M12="",0,VLOOKUP(M12,$A$3:$J$85,8))</f>
        <v>0</v>
      </c>
      <c r="T12" s="406"/>
    </row>
    <row r="13" spans="1:88" ht="15" customHeight="1" x14ac:dyDescent="0.2">
      <c r="A13" s="1265">
        <v>10</v>
      </c>
      <c r="B13" s="1277">
        <v>0.05</v>
      </c>
      <c r="C13" s="1277">
        <v>5.1999999999999998E-2</v>
      </c>
      <c r="D13" s="1277">
        <v>2.6700000000000002E-2</v>
      </c>
      <c r="E13" s="1277">
        <v>0.05</v>
      </c>
      <c r="F13" s="1277">
        <v>2.6700000000000002E-2</v>
      </c>
      <c r="G13" s="1277">
        <v>0.02</v>
      </c>
      <c r="H13" s="1261">
        <v>0.1</v>
      </c>
      <c r="I13" s="1277">
        <v>0.05</v>
      </c>
      <c r="J13" s="1277">
        <v>0.03</v>
      </c>
      <c r="K13" s="1267" t="s">
        <v>1149</v>
      </c>
      <c r="L13" s="1275" t="str">
        <f>IF(Spine!T105="","",Spine!T105)</f>
        <v/>
      </c>
      <c r="M13" s="1275" t="str">
        <f t="shared" si="0"/>
        <v/>
      </c>
      <c r="N13" s="1277">
        <f>IF(M13="",0,VLOOKUP(M13,$A$3:$J$85,9))</f>
        <v>0</v>
      </c>
      <c r="Q13" s="74"/>
      <c r="R13" s="113"/>
      <c r="T13" s="406"/>
    </row>
    <row r="14" spans="1:88" ht="15" customHeight="1" x14ac:dyDescent="0.2">
      <c r="A14" s="1265">
        <v>11</v>
      </c>
      <c r="B14" s="1277">
        <v>4.9000000000000002E-2</v>
      </c>
      <c r="C14" s="1277">
        <v>5.1200000000000002E-2</v>
      </c>
      <c r="D14" s="1277">
        <v>2.53E-2</v>
      </c>
      <c r="E14" s="1277">
        <v>4.9000000000000002E-2</v>
      </c>
      <c r="F14" s="1277">
        <v>2.53E-2</v>
      </c>
      <c r="G14" s="1277">
        <v>1.9E-2</v>
      </c>
      <c r="H14" s="1261">
        <v>0.1</v>
      </c>
      <c r="I14" s="1277">
        <v>4.5999999999999999E-2</v>
      </c>
      <c r="J14" s="1277">
        <v>2.8000000000000001E-2</v>
      </c>
      <c r="K14" s="1267" t="s">
        <v>1150</v>
      </c>
      <c r="L14" s="1275" t="str">
        <f>IF(Spine!T106="","",Spine!T106)</f>
        <v/>
      </c>
      <c r="M14" s="1275" t="str">
        <f t="shared" si="0"/>
        <v/>
      </c>
      <c r="N14" s="1277">
        <f>IF(M14="",0,VLOOKUP(M14,$A$3:$J$85,10))</f>
        <v>0</v>
      </c>
      <c r="T14" s="406"/>
    </row>
    <row r="15" spans="1:88" ht="15" customHeight="1" x14ac:dyDescent="0.2">
      <c r="A15" s="1265">
        <v>12</v>
      </c>
      <c r="B15" s="1277">
        <v>4.8000000000000001E-2</v>
      </c>
      <c r="C15" s="1277">
        <v>5.04E-2</v>
      </c>
      <c r="D15" s="1277">
        <v>2.4E-2</v>
      </c>
      <c r="E15" s="1277">
        <v>4.8000000000000001E-2</v>
      </c>
      <c r="F15" s="1277">
        <v>2.4E-2</v>
      </c>
      <c r="G15" s="1277">
        <v>1.7999999999999999E-2</v>
      </c>
      <c r="H15" s="1261">
        <v>0.1</v>
      </c>
      <c r="I15" s="1277">
        <v>4.2000000000000003E-2</v>
      </c>
      <c r="J15" s="1277">
        <v>2.5999999999999999E-2</v>
      </c>
      <c r="K15" s="1267" t="s">
        <v>1151</v>
      </c>
      <c r="L15" s="1275" t="str">
        <f>IF(Spine!T107="","",Spine!T107)</f>
        <v/>
      </c>
      <c r="M15" s="1275" t="str">
        <f t="shared" si="0"/>
        <v/>
      </c>
      <c r="N15" s="1277">
        <f>IF(M15="",0,VLOOKUP(M15,$A$3:$J$85,10))</f>
        <v>0</v>
      </c>
      <c r="T15" s="406"/>
    </row>
    <row r="16" spans="1:88" ht="15" customHeight="1" x14ac:dyDescent="0.2">
      <c r="A16" s="1265">
        <v>13</v>
      </c>
      <c r="B16" s="1277">
        <v>4.7E-2</v>
      </c>
      <c r="C16" s="1277">
        <v>4.9599999999999998E-2</v>
      </c>
      <c r="D16" s="1277">
        <v>2.2700000000000001E-2</v>
      </c>
      <c r="E16" s="1277">
        <v>4.7E-2</v>
      </c>
      <c r="F16" s="1277">
        <v>2.2700000000000001E-2</v>
      </c>
      <c r="G16" s="1277">
        <v>1.7000000000000001E-2</v>
      </c>
      <c r="H16" s="1261">
        <v>0.1</v>
      </c>
      <c r="I16" s="1277">
        <v>3.7999999999999999E-2</v>
      </c>
      <c r="J16" s="1277">
        <v>2.4E-2</v>
      </c>
      <c r="T16" s="406"/>
    </row>
    <row r="17" spans="1:22" ht="15" customHeight="1" x14ac:dyDescent="0.2">
      <c r="A17" s="1265">
        <v>14</v>
      </c>
      <c r="B17" s="1277">
        <v>4.5999999999999999E-2</v>
      </c>
      <c r="C17" s="1277">
        <v>4.8800000000000003E-2</v>
      </c>
      <c r="D17" s="1277">
        <v>2.1299999999999999E-2</v>
      </c>
      <c r="E17" s="1277">
        <v>4.5999999999999999E-2</v>
      </c>
      <c r="F17" s="1277">
        <v>2.1299999999999999E-2</v>
      </c>
      <c r="G17" s="1277">
        <v>1.6E-2</v>
      </c>
      <c r="H17" s="1261">
        <v>0.1</v>
      </c>
      <c r="I17" s="1277">
        <v>3.4000000000000002E-2</v>
      </c>
      <c r="J17" s="1277">
        <v>2.1999999999999999E-2</v>
      </c>
      <c r="Q17" s="74"/>
      <c r="R17" s="113"/>
      <c r="T17" s="406"/>
    </row>
    <row r="18" spans="1:22" ht="15" customHeight="1" x14ac:dyDescent="0.2">
      <c r="A18" s="1265">
        <v>15</v>
      </c>
      <c r="B18" s="1277">
        <v>4.4999999999999998E-2</v>
      </c>
      <c r="C18" s="1277">
        <v>4.8000000000000001E-2</v>
      </c>
      <c r="D18" s="1277">
        <v>0.02</v>
      </c>
      <c r="E18" s="1277">
        <v>4.4999999999999998E-2</v>
      </c>
      <c r="F18" s="1277">
        <v>0.02</v>
      </c>
      <c r="G18" s="1277">
        <v>1.4999999999999999E-2</v>
      </c>
      <c r="H18" s="1261">
        <v>7.0000000000000007E-2</v>
      </c>
      <c r="I18" s="1277">
        <v>0.03</v>
      </c>
      <c r="J18" s="1277">
        <v>0.02</v>
      </c>
      <c r="T18" s="406"/>
    </row>
    <row r="19" spans="1:22" ht="15" customHeight="1" x14ac:dyDescent="0.2">
      <c r="A19" s="1265">
        <v>16</v>
      </c>
      <c r="B19" s="1277">
        <v>4.3999999999999997E-2</v>
      </c>
      <c r="C19" s="1277">
        <v>4.7199999999999999E-2</v>
      </c>
      <c r="D19" s="1277">
        <v>1.9300000000000001E-2</v>
      </c>
      <c r="E19" s="1277">
        <v>4.3999999999999997E-2</v>
      </c>
      <c r="F19" s="1277">
        <v>1.9300000000000001E-2</v>
      </c>
      <c r="G19" s="1277">
        <v>1.4E-2</v>
      </c>
      <c r="H19" s="1261">
        <v>7.0000000000000007E-2</v>
      </c>
      <c r="I19" s="1277">
        <v>2.8000000000000001E-2</v>
      </c>
      <c r="J19" s="1277">
        <v>1.7999999999999999E-2</v>
      </c>
      <c r="T19" s="406"/>
      <c r="V19" s="404"/>
    </row>
    <row r="20" spans="1:22" ht="15" customHeight="1" x14ac:dyDescent="0.2">
      <c r="A20" s="1265">
        <v>17</v>
      </c>
      <c r="B20" s="1277">
        <v>4.2999999999999997E-2</v>
      </c>
      <c r="C20" s="1277">
        <v>4.6399999999999997E-2</v>
      </c>
      <c r="D20" s="1277">
        <v>1.8700000000000001E-2</v>
      </c>
      <c r="E20" s="1277">
        <v>4.2999999999999997E-2</v>
      </c>
      <c r="F20" s="1277">
        <v>1.8700000000000001E-2</v>
      </c>
      <c r="G20" s="1277">
        <v>1.2999999999999999E-2</v>
      </c>
      <c r="H20" s="1261">
        <v>7.0000000000000007E-2</v>
      </c>
      <c r="I20" s="1277">
        <v>2.5999999999999999E-2</v>
      </c>
      <c r="J20" s="1277">
        <v>1.6E-2</v>
      </c>
      <c r="Q20" s="74"/>
      <c r="R20" s="113"/>
      <c r="T20" s="406"/>
      <c r="V20" s="404"/>
    </row>
    <row r="21" spans="1:22" ht="15.75" customHeight="1" x14ac:dyDescent="0.2">
      <c r="A21" s="1265">
        <v>18</v>
      </c>
      <c r="B21" s="1277">
        <v>4.2000000000000003E-2</v>
      </c>
      <c r="C21" s="1277">
        <v>4.5600000000000002E-2</v>
      </c>
      <c r="D21" s="1277">
        <v>1.7999999999999999E-2</v>
      </c>
      <c r="E21" s="1277">
        <v>4.2000000000000003E-2</v>
      </c>
      <c r="F21" s="1277">
        <v>1.7999999999999999E-2</v>
      </c>
      <c r="G21" s="1277">
        <v>1.2E-2</v>
      </c>
      <c r="H21" s="1261">
        <v>7.0000000000000007E-2</v>
      </c>
      <c r="I21" s="1277">
        <v>2.4E-2</v>
      </c>
      <c r="J21" s="1277">
        <v>1.4E-2</v>
      </c>
      <c r="Q21" s="74"/>
      <c r="R21" s="113"/>
      <c r="T21" s="406"/>
      <c r="V21" s="404"/>
    </row>
    <row r="22" spans="1:22" ht="15" customHeight="1" x14ac:dyDescent="0.2">
      <c r="A22" s="1265">
        <v>19</v>
      </c>
      <c r="B22" s="1277">
        <v>4.1000000000000002E-2</v>
      </c>
      <c r="C22" s="1277">
        <v>4.48E-2</v>
      </c>
      <c r="D22" s="1277">
        <v>1.7299999999999999E-2</v>
      </c>
      <c r="E22" s="1277">
        <v>4.1000000000000002E-2</v>
      </c>
      <c r="F22" s="1277">
        <v>1.7299999999999999E-2</v>
      </c>
      <c r="G22" s="1277">
        <v>1.0999999999999999E-2</v>
      </c>
      <c r="H22" s="1261">
        <v>7.0000000000000007E-2</v>
      </c>
      <c r="I22" s="1277">
        <v>2.1999999999999999E-2</v>
      </c>
      <c r="J22" s="1261">
        <v>1.2E-2</v>
      </c>
      <c r="T22" s="406"/>
      <c r="V22" s="404"/>
    </row>
    <row r="23" spans="1:22" ht="15" customHeight="1" x14ac:dyDescent="0.2">
      <c r="A23" s="1265">
        <v>20</v>
      </c>
      <c r="B23" s="1277">
        <v>0.04</v>
      </c>
      <c r="C23" s="1277">
        <v>4.3999999999999997E-2</v>
      </c>
      <c r="D23" s="1277">
        <v>1.67E-2</v>
      </c>
      <c r="E23" s="1277">
        <v>0.04</v>
      </c>
      <c r="F23" s="1277">
        <v>1.67E-2</v>
      </c>
      <c r="G23" s="1277">
        <v>0.01</v>
      </c>
      <c r="H23" s="1261">
        <v>7.0000000000000007E-2</v>
      </c>
      <c r="I23" s="1277">
        <v>0.02</v>
      </c>
      <c r="J23" s="1261">
        <v>0.01</v>
      </c>
      <c r="T23" s="406"/>
      <c r="V23" s="404"/>
    </row>
    <row r="24" spans="1:22" ht="15" customHeight="1" x14ac:dyDescent="0.2">
      <c r="A24" s="1265">
        <v>21</v>
      </c>
      <c r="B24" s="1277">
        <v>3.9E-2</v>
      </c>
      <c r="C24" s="1277">
        <v>4.3200000000000002E-2</v>
      </c>
      <c r="D24" s="1277">
        <v>1.6E-2</v>
      </c>
      <c r="E24" s="1277">
        <v>3.9E-2</v>
      </c>
      <c r="F24" s="1277">
        <v>1.6E-2</v>
      </c>
      <c r="G24" s="1277">
        <v>8.9999999999999993E-3</v>
      </c>
      <c r="H24" s="1261">
        <v>7.0000000000000007E-2</v>
      </c>
      <c r="I24" s="684">
        <v>1.6E-2</v>
      </c>
      <c r="J24" s="1277">
        <v>8.0000000000000002E-3</v>
      </c>
      <c r="T24" s="406"/>
      <c r="V24" s="404"/>
    </row>
    <row r="25" spans="1:22" ht="15" customHeight="1" x14ac:dyDescent="0.2">
      <c r="A25" s="1265">
        <v>22</v>
      </c>
      <c r="B25" s="1277">
        <v>3.7999999999999999E-2</v>
      </c>
      <c r="C25" s="1277">
        <v>4.24E-2</v>
      </c>
      <c r="D25" s="1277">
        <v>1.5299999999999999E-2</v>
      </c>
      <c r="E25" s="1277">
        <v>3.7999999999999999E-2</v>
      </c>
      <c r="F25" s="1277">
        <v>1.5299999999999999E-2</v>
      </c>
      <c r="G25" s="1277">
        <v>8.0000000000000002E-3</v>
      </c>
      <c r="H25" s="1261">
        <v>7.0000000000000007E-2</v>
      </c>
      <c r="I25" s="684">
        <v>1.2E-2</v>
      </c>
      <c r="J25" s="1277">
        <v>6.0000000000000001E-3</v>
      </c>
      <c r="Q25" s="74"/>
      <c r="R25" s="113"/>
      <c r="T25" s="406"/>
      <c r="V25" s="404"/>
    </row>
    <row r="26" spans="1:22" ht="15" customHeight="1" x14ac:dyDescent="0.2">
      <c r="A26" s="1265">
        <v>23</v>
      </c>
      <c r="B26" s="1277">
        <v>3.6999999999999998E-2</v>
      </c>
      <c r="C26" s="1277">
        <v>4.1599999999999998E-2</v>
      </c>
      <c r="D26" s="1277">
        <v>1.47E-2</v>
      </c>
      <c r="E26" s="1277">
        <v>3.6999999999999998E-2</v>
      </c>
      <c r="F26" s="1277">
        <v>1.47E-2</v>
      </c>
      <c r="G26" s="1277">
        <v>7.0000000000000001E-3</v>
      </c>
      <c r="H26" s="1261">
        <v>7.0000000000000007E-2</v>
      </c>
      <c r="I26" s="684">
        <v>8.0000000000000002E-3</v>
      </c>
      <c r="J26" s="1277">
        <v>4.0000000000000001E-3</v>
      </c>
      <c r="Q26" s="74"/>
      <c r="R26" s="113"/>
      <c r="T26" s="406"/>
      <c r="V26" s="404"/>
    </row>
    <row r="27" spans="1:22" ht="15" customHeight="1" x14ac:dyDescent="0.2">
      <c r="A27" s="1265">
        <v>24</v>
      </c>
      <c r="B27" s="1277">
        <v>3.5999999999999997E-2</v>
      </c>
      <c r="C27" s="1277">
        <v>4.0800000000000003E-2</v>
      </c>
      <c r="D27" s="1277">
        <v>1.4E-2</v>
      </c>
      <c r="E27" s="1277">
        <v>3.5999999999999997E-2</v>
      </c>
      <c r="F27" s="1277">
        <v>1.4E-2</v>
      </c>
      <c r="G27" s="1277">
        <v>6.0000000000000001E-3</v>
      </c>
      <c r="H27" s="1261">
        <v>7.0000000000000007E-2</v>
      </c>
      <c r="I27" s="684">
        <v>4.0000000000000001E-3</v>
      </c>
      <c r="J27" s="1277">
        <v>2E-3</v>
      </c>
      <c r="T27" s="406"/>
      <c r="V27" s="404"/>
    </row>
    <row r="28" spans="1:22" ht="15" customHeight="1" x14ac:dyDescent="0.2">
      <c r="A28" s="1265">
        <v>25</v>
      </c>
      <c r="B28" s="1277">
        <v>3.5000000000000003E-2</v>
      </c>
      <c r="C28" s="1277">
        <v>0.04</v>
      </c>
      <c r="D28" s="1277">
        <v>1.3299999999999999E-2</v>
      </c>
      <c r="E28" s="1277">
        <v>3.5000000000000003E-2</v>
      </c>
      <c r="F28" s="1277">
        <v>1.3299999999999999E-2</v>
      </c>
      <c r="G28" s="1277">
        <v>5.0000000000000001E-3</v>
      </c>
      <c r="H28" s="1261">
        <v>7.0000000000000007E-2</v>
      </c>
      <c r="I28" s="684">
        <v>0</v>
      </c>
      <c r="J28" s="1277">
        <v>0</v>
      </c>
      <c r="T28" s="406"/>
      <c r="V28" s="404"/>
    </row>
    <row r="29" spans="1:22" ht="15" customHeight="1" x14ac:dyDescent="0.2">
      <c r="A29" s="1265">
        <v>26</v>
      </c>
      <c r="B29" s="1277">
        <v>3.4000000000000002E-2</v>
      </c>
      <c r="C29" s="1277">
        <v>3.9199999999999999E-2</v>
      </c>
      <c r="D29" s="1277">
        <v>1.2699999999999999E-2</v>
      </c>
      <c r="E29" s="1277">
        <v>3.4000000000000002E-2</v>
      </c>
      <c r="F29" s="1277">
        <v>1.2699999999999999E-2</v>
      </c>
      <c r="G29" s="1277">
        <v>4.0000000000000001E-3</v>
      </c>
      <c r="H29" s="1261">
        <v>7.0000000000000007E-2</v>
      </c>
      <c r="I29" s="1277"/>
      <c r="J29" s="684"/>
      <c r="Q29" s="74"/>
      <c r="R29" s="113"/>
      <c r="T29" s="406"/>
      <c r="U29" s="18"/>
      <c r="V29" s="404"/>
    </row>
    <row r="30" spans="1:22" ht="15" customHeight="1" x14ac:dyDescent="0.2">
      <c r="A30" s="1265">
        <v>27</v>
      </c>
      <c r="B30" s="1277">
        <v>3.3000000000000002E-2</v>
      </c>
      <c r="C30" s="1277">
        <v>3.8399999999999997E-2</v>
      </c>
      <c r="D30" s="1277">
        <v>1.2E-2</v>
      </c>
      <c r="E30" s="1277">
        <v>3.3000000000000002E-2</v>
      </c>
      <c r="F30" s="1277">
        <v>1.2E-2</v>
      </c>
      <c r="G30" s="1277">
        <v>3.0000000000000001E-3</v>
      </c>
      <c r="H30" s="1261">
        <v>7.0000000000000007E-2</v>
      </c>
      <c r="I30" s="1277"/>
      <c r="J30" s="684"/>
      <c r="Q30" s="74"/>
      <c r="R30" s="113"/>
      <c r="T30" s="406"/>
      <c r="U30" s="18"/>
      <c r="V30" s="404"/>
    </row>
    <row r="31" spans="1:22" ht="15" customHeight="1" x14ac:dyDescent="0.2">
      <c r="A31" s="1265">
        <v>28</v>
      </c>
      <c r="B31" s="1277">
        <v>3.2000000000000001E-2</v>
      </c>
      <c r="C31" s="1277">
        <v>3.7600000000000001E-2</v>
      </c>
      <c r="D31" s="1277">
        <v>1.1299999999999999E-2</v>
      </c>
      <c r="E31" s="1277">
        <v>3.2000000000000001E-2</v>
      </c>
      <c r="F31" s="1277">
        <v>1.1299999999999999E-2</v>
      </c>
      <c r="G31" s="1277">
        <v>2E-3</v>
      </c>
      <c r="H31" s="1261">
        <v>7.0000000000000007E-2</v>
      </c>
      <c r="I31" s="1277"/>
      <c r="J31" s="684"/>
      <c r="T31" s="406"/>
      <c r="U31" s="18"/>
      <c r="V31" s="404"/>
    </row>
    <row r="32" spans="1:22" ht="15" customHeight="1" x14ac:dyDescent="0.2">
      <c r="A32" s="1265">
        <v>29</v>
      </c>
      <c r="B32" s="1277">
        <v>3.1E-2</v>
      </c>
      <c r="C32" s="1277">
        <v>3.6799999999999999E-2</v>
      </c>
      <c r="D32" s="1277">
        <v>1.0699999999999999E-2</v>
      </c>
      <c r="E32" s="1277">
        <v>3.1E-2</v>
      </c>
      <c r="F32" s="1277">
        <v>1.0699999999999999E-2</v>
      </c>
      <c r="G32" s="1277">
        <v>1E-3</v>
      </c>
      <c r="H32" s="1261">
        <v>7.0000000000000007E-2</v>
      </c>
      <c r="I32" s="1277"/>
      <c r="J32" s="684"/>
      <c r="T32" s="406"/>
      <c r="U32" s="18"/>
      <c r="V32" s="404"/>
    </row>
    <row r="33" spans="1:22" ht="15" customHeight="1" x14ac:dyDescent="0.2">
      <c r="A33" s="1265">
        <v>30</v>
      </c>
      <c r="B33" s="1277">
        <v>0.03</v>
      </c>
      <c r="C33" s="1277">
        <v>3.5999999999999997E-2</v>
      </c>
      <c r="D33" s="1277">
        <v>0.01</v>
      </c>
      <c r="E33" s="1277">
        <v>0.03</v>
      </c>
      <c r="F33" s="1277">
        <v>0.01</v>
      </c>
      <c r="G33" s="1277">
        <v>0</v>
      </c>
      <c r="H33" s="1261">
        <v>0.04</v>
      </c>
      <c r="I33" s="1277"/>
      <c r="J33" s="684"/>
      <c r="Q33" s="74"/>
      <c r="R33" s="113"/>
      <c r="T33" s="406"/>
      <c r="U33" s="18"/>
      <c r="V33" s="404"/>
    </row>
    <row r="34" spans="1:22" ht="15" customHeight="1" x14ac:dyDescent="0.2">
      <c r="A34" s="1265">
        <v>31</v>
      </c>
      <c r="B34" s="1277">
        <v>2.9000000000000001E-2</v>
      </c>
      <c r="C34" s="1277">
        <v>3.5200000000000002E-2</v>
      </c>
      <c r="D34" s="1277">
        <v>9.2999999999999992E-3</v>
      </c>
      <c r="E34" s="1277">
        <v>2.9000000000000001E-2</v>
      </c>
      <c r="F34" s="1277">
        <v>9.4999999999999998E-3</v>
      </c>
      <c r="G34" s="684"/>
      <c r="H34" s="1261">
        <v>0.04</v>
      </c>
      <c r="I34" s="1277"/>
      <c r="J34" s="684"/>
      <c r="Q34" s="74"/>
      <c r="R34" s="113"/>
      <c r="T34" s="406"/>
      <c r="U34" s="18"/>
      <c r="V34" s="404"/>
    </row>
    <row r="35" spans="1:22" ht="15" customHeight="1" x14ac:dyDescent="0.2">
      <c r="A35" s="1265">
        <v>32</v>
      </c>
      <c r="B35" s="1277">
        <v>2.8000000000000001E-2</v>
      </c>
      <c r="C35" s="1277">
        <v>3.44E-2</v>
      </c>
      <c r="D35" s="1277">
        <v>8.6999999999999994E-3</v>
      </c>
      <c r="E35" s="1277">
        <v>2.8000000000000001E-2</v>
      </c>
      <c r="F35" s="1277">
        <v>8.9999999999999993E-3</v>
      </c>
      <c r="G35" s="684"/>
      <c r="H35" s="1261">
        <v>0.04</v>
      </c>
      <c r="I35" s="1277"/>
      <c r="J35" s="684"/>
      <c r="T35" s="406"/>
      <c r="U35" s="18"/>
      <c r="V35" s="404"/>
    </row>
    <row r="36" spans="1:22" ht="15" customHeight="1" x14ac:dyDescent="0.2">
      <c r="A36" s="1265">
        <v>33</v>
      </c>
      <c r="B36" s="1277">
        <v>2.7E-2</v>
      </c>
      <c r="C36" s="1277">
        <v>3.3599999999999998E-2</v>
      </c>
      <c r="D36" s="1277">
        <v>8.0000000000000002E-3</v>
      </c>
      <c r="E36" s="1277">
        <v>2.7E-2</v>
      </c>
      <c r="F36" s="1277">
        <v>8.5000000000000006E-3</v>
      </c>
      <c r="G36" s="684"/>
      <c r="H36" s="1261">
        <v>0.04</v>
      </c>
      <c r="I36" s="1277"/>
      <c r="J36" s="684"/>
      <c r="T36" s="406"/>
      <c r="U36" s="18"/>
      <c r="V36" s="404"/>
    </row>
    <row r="37" spans="1:22" ht="15" customHeight="1" x14ac:dyDescent="0.2">
      <c r="A37" s="1265">
        <v>34</v>
      </c>
      <c r="B37" s="1277">
        <v>2.5999999999999999E-2</v>
      </c>
      <c r="C37" s="1277">
        <v>3.2800000000000003E-2</v>
      </c>
      <c r="D37" s="1277">
        <v>7.3000000000000001E-3</v>
      </c>
      <c r="E37" s="1277">
        <v>2.5999999999999999E-2</v>
      </c>
      <c r="F37" s="1277">
        <v>8.0000000000000002E-3</v>
      </c>
      <c r="G37" s="684"/>
      <c r="H37" s="1261">
        <v>0.04</v>
      </c>
      <c r="I37" s="1277"/>
      <c r="J37" s="684"/>
      <c r="T37" s="406"/>
      <c r="U37" s="18"/>
      <c r="V37" s="404"/>
    </row>
    <row r="38" spans="1:22" ht="15" customHeight="1" x14ac:dyDescent="0.2">
      <c r="A38" s="1265">
        <v>35</v>
      </c>
      <c r="B38" s="1277">
        <v>2.5000000000000001E-2</v>
      </c>
      <c r="C38" s="1277">
        <v>3.2000000000000001E-2</v>
      </c>
      <c r="D38" s="1277">
        <v>6.7000000000000002E-3</v>
      </c>
      <c r="E38" s="1277">
        <v>2.5000000000000001E-2</v>
      </c>
      <c r="F38" s="1277">
        <v>7.4999999999999997E-3</v>
      </c>
      <c r="G38" s="684"/>
      <c r="H38" s="1261">
        <v>0.04</v>
      </c>
      <c r="I38" s="1277"/>
      <c r="J38" s="684"/>
      <c r="Q38" s="74"/>
      <c r="R38" s="113"/>
      <c r="T38" s="406"/>
      <c r="U38" s="18"/>
      <c r="V38" s="404"/>
    </row>
    <row r="39" spans="1:22" ht="15" customHeight="1" x14ac:dyDescent="0.2">
      <c r="A39" s="1265">
        <v>36</v>
      </c>
      <c r="B39" s="1277">
        <v>2.4E-2</v>
      </c>
      <c r="C39" s="1277">
        <v>3.1199999999999999E-2</v>
      </c>
      <c r="D39" s="1277">
        <v>6.0000000000000001E-3</v>
      </c>
      <c r="E39" s="1277">
        <v>2.4E-2</v>
      </c>
      <c r="F39" s="1277">
        <v>7.0000000000000001E-3</v>
      </c>
      <c r="G39" s="684"/>
      <c r="H39" s="1261">
        <v>0.04</v>
      </c>
      <c r="I39" s="1277"/>
      <c r="J39" s="684"/>
      <c r="Q39" s="74"/>
      <c r="R39" s="113"/>
      <c r="T39" s="406"/>
      <c r="U39" s="18"/>
      <c r="V39" s="404"/>
    </row>
    <row r="40" spans="1:22" ht="15" customHeight="1" x14ac:dyDescent="0.2">
      <c r="A40" s="1265">
        <v>37</v>
      </c>
      <c r="B40" s="1277">
        <v>2.3E-2</v>
      </c>
      <c r="C40" s="1277">
        <v>3.04E-2</v>
      </c>
      <c r="D40" s="1261">
        <v>5.3E-3</v>
      </c>
      <c r="E40" s="1277">
        <v>2.3E-2</v>
      </c>
      <c r="F40" s="1277">
        <v>6.4999999999999997E-3</v>
      </c>
      <c r="G40" s="684"/>
      <c r="H40" s="1261">
        <v>0.04</v>
      </c>
      <c r="I40" s="1277"/>
      <c r="J40" s="684"/>
      <c r="T40" s="406"/>
      <c r="U40" s="18"/>
      <c r="V40" s="404"/>
    </row>
    <row r="41" spans="1:22" ht="15" customHeight="1" x14ac:dyDescent="0.2">
      <c r="A41" s="1265">
        <v>38</v>
      </c>
      <c r="B41" s="1277">
        <v>2.1999999999999999E-2</v>
      </c>
      <c r="C41" s="1277">
        <v>2.9600000000000001E-2</v>
      </c>
      <c r="D41" s="1261">
        <v>4.7000000000000002E-3</v>
      </c>
      <c r="E41" s="1277">
        <v>2.1999999999999999E-2</v>
      </c>
      <c r="F41" s="1277">
        <v>6.0000000000000001E-3</v>
      </c>
      <c r="G41" s="684"/>
      <c r="H41" s="1261">
        <v>0.04</v>
      </c>
      <c r="I41" s="1277"/>
      <c r="J41" s="1296"/>
      <c r="T41" s="406"/>
      <c r="U41" s="18"/>
      <c r="V41" s="404"/>
    </row>
    <row r="42" spans="1:22" ht="15" customHeight="1" x14ac:dyDescent="0.2">
      <c r="A42" s="1265">
        <v>39</v>
      </c>
      <c r="B42" s="1277">
        <v>2.1000000000000001E-2</v>
      </c>
      <c r="C42" s="1277">
        <v>2.8799999999999999E-2</v>
      </c>
      <c r="D42" s="1261">
        <v>4.0000000000000001E-3</v>
      </c>
      <c r="E42" s="1277">
        <v>2.1000000000000001E-2</v>
      </c>
      <c r="F42" s="1277">
        <v>5.4999999999999997E-3</v>
      </c>
      <c r="G42" s="684"/>
      <c r="H42" s="1261">
        <v>0.04</v>
      </c>
      <c r="I42" s="1277"/>
      <c r="J42" s="684"/>
      <c r="Q42" s="74"/>
      <c r="R42" s="113"/>
      <c r="T42" s="406"/>
      <c r="U42" s="18"/>
      <c r="V42" s="404"/>
    </row>
    <row r="43" spans="1:22" ht="15" customHeight="1" x14ac:dyDescent="0.2">
      <c r="A43" s="1265">
        <v>40</v>
      </c>
      <c r="B43" s="1277">
        <v>0.02</v>
      </c>
      <c r="C43" s="1277">
        <v>2.8000000000000001E-2</v>
      </c>
      <c r="D43" s="1261">
        <v>3.3E-3</v>
      </c>
      <c r="E43" s="1277">
        <v>0.02</v>
      </c>
      <c r="F43" s="1277">
        <v>5.0000000000000001E-3</v>
      </c>
      <c r="G43" s="684"/>
      <c r="H43" s="1261">
        <v>0.04</v>
      </c>
      <c r="I43" s="1277"/>
      <c r="J43" s="684"/>
      <c r="Q43" s="74"/>
      <c r="R43" s="113"/>
      <c r="T43" s="406"/>
      <c r="U43" s="18"/>
      <c r="V43" s="404"/>
    </row>
    <row r="44" spans="1:22" ht="15" customHeight="1" x14ac:dyDescent="0.2">
      <c r="A44" s="1265">
        <v>41</v>
      </c>
      <c r="B44" s="1277">
        <v>1.9E-2</v>
      </c>
      <c r="C44" s="1277">
        <v>2.7199999999999998E-2</v>
      </c>
      <c r="D44" s="1261">
        <v>2.7000000000000001E-3</v>
      </c>
      <c r="E44" s="1277">
        <v>1.95E-2</v>
      </c>
      <c r="F44" s="1277">
        <v>4.4999999999999997E-3</v>
      </c>
      <c r="G44" s="684"/>
      <c r="H44" s="1261">
        <v>0.04</v>
      </c>
      <c r="I44" s="1277"/>
      <c r="J44" s="684"/>
      <c r="T44" s="406"/>
      <c r="U44" s="18"/>
      <c r="V44" s="404"/>
    </row>
    <row r="45" spans="1:22" ht="15" customHeight="1" x14ac:dyDescent="0.2">
      <c r="A45" s="1265">
        <v>42</v>
      </c>
      <c r="B45" s="1277">
        <v>1.7999999999999999E-2</v>
      </c>
      <c r="C45" s="1277">
        <v>2.64E-2</v>
      </c>
      <c r="D45" s="1261">
        <v>2E-3</v>
      </c>
      <c r="E45" s="1277">
        <v>1.9E-2</v>
      </c>
      <c r="F45" s="1277">
        <v>4.0000000000000001E-3</v>
      </c>
      <c r="G45" s="684"/>
      <c r="H45" s="1261">
        <v>0.04</v>
      </c>
      <c r="I45" s="1277"/>
      <c r="J45" s="684"/>
      <c r="T45" s="406"/>
      <c r="U45" s="18"/>
      <c r="V45" s="404"/>
    </row>
    <row r="46" spans="1:22" ht="15" customHeight="1" x14ac:dyDescent="0.2">
      <c r="A46" s="1265">
        <v>43</v>
      </c>
      <c r="B46" s="1277">
        <v>1.7000000000000001E-2</v>
      </c>
      <c r="C46" s="1277">
        <v>2.5600000000000001E-2</v>
      </c>
      <c r="D46" s="1261">
        <v>1.2999999999999999E-3</v>
      </c>
      <c r="E46" s="1277">
        <v>1.8499999999999999E-2</v>
      </c>
      <c r="F46" s="1277">
        <v>3.5000000000000001E-3</v>
      </c>
      <c r="G46" s="684"/>
      <c r="H46" s="1261">
        <v>0.04</v>
      </c>
      <c r="I46" s="1277"/>
      <c r="J46" s="684"/>
      <c r="Q46" s="74"/>
      <c r="R46" s="113"/>
      <c r="T46" s="406"/>
      <c r="U46" s="18"/>
      <c r="V46" s="404"/>
    </row>
    <row r="47" spans="1:22" ht="15" customHeight="1" x14ac:dyDescent="0.2">
      <c r="A47" s="1265">
        <v>44</v>
      </c>
      <c r="B47" s="1277">
        <v>1.6E-2</v>
      </c>
      <c r="C47" s="1277">
        <v>2.4799999999999999E-2</v>
      </c>
      <c r="D47" s="1261">
        <v>6.9999999999999999E-4</v>
      </c>
      <c r="E47" s="1277">
        <v>1.7999999999999999E-2</v>
      </c>
      <c r="F47" s="1277">
        <v>3.0000000000000001E-3</v>
      </c>
      <c r="G47" s="684"/>
      <c r="H47" s="1261">
        <v>0.04</v>
      </c>
      <c r="I47" s="1277"/>
      <c r="J47" s="684"/>
      <c r="Q47" s="74"/>
      <c r="R47" s="113"/>
      <c r="T47" s="406"/>
      <c r="U47" s="18"/>
      <c r="V47" s="404"/>
    </row>
    <row r="48" spans="1:22" ht="15" customHeight="1" x14ac:dyDescent="0.2">
      <c r="A48" s="1265">
        <v>45</v>
      </c>
      <c r="B48" s="1277">
        <v>1.4999999999999999E-2</v>
      </c>
      <c r="C48" s="1277">
        <v>2.4E-2</v>
      </c>
      <c r="D48" s="1261">
        <v>0</v>
      </c>
      <c r="E48" s="1277">
        <v>1.7500000000000002E-2</v>
      </c>
      <c r="F48" s="1277">
        <v>2.5000000000000001E-3</v>
      </c>
      <c r="G48" s="684"/>
      <c r="H48" s="1261">
        <v>0.02</v>
      </c>
      <c r="I48" s="1277"/>
      <c r="J48" s="684"/>
      <c r="T48" s="406"/>
      <c r="U48" s="18"/>
      <c r="V48" s="404"/>
    </row>
    <row r="49" spans="1:22" ht="15" customHeight="1" x14ac:dyDescent="0.2">
      <c r="A49" s="1265">
        <v>46</v>
      </c>
      <c r="B49" s="1277">
        <v>1.4E-2</v>
      </c>
      <c r="C49" s="1277">
        <v>2.3199999999999998E-2</v>
      </c>
      <c r="D49" s="684"/>
      <c r="E49" s="1277">
        <v>1.7000000000000001E-2</v>
      </c>
      <c r="F49" s="1277">
        <v>2E-3</v>
      </c>
      <c r="G49" s="684"/>
      <c r="H49" s="1261">
        <v>0.02</v>
      </c>
      <c r="I49" s="1277"/>
      <c r="J49" s="684"/>
      <c r="T49" s="406"/>
      <c r="U49" s="18"/>
      <c r="V49" s="404"/>
    </row>
    <row r="50" spans="1:22" ht="15" customHeight="1" x14ac:dyDescent="0.2">
      <c r="A50" s="1265">
        <v>47</v>
      </c>
      <c r="B50" s="1277">
        <v>1.2999999999999999E-2</v>
      </c>
      <c r="C50" s="1277">
        <v>2.24E-2</v>
      </c>
      <c r="D50" s="684"/>
      <c r="E50" s="1277">
        <v>1.6500000000000001E-2</v>
      </c>
      <c r="F50" s="1277">
        <v>1.5E-3</v>
      </c>
      <c r="G50" s="684"/>
      <c r="H50" s="1261">
        <v>0.02</v>
      </c>
      <c r="I50" s="1277"/>
      <c r="J50" s="684"/>
      <c r="T50" s="406"/>
      <c r="U50" s="18"/>
      <c r="V50" s="404"/>
    </row>
    <row r="51" spans="1:22" ht="15" customHeight="1" x14ac:dyDescent="0.2">
      <c r="A51" s="1265">
        <v>48</v>
      </c>
      <c r="B51" s="1277">
        <v>1.2E-2</v>
      </c>
      <c r="C51" s="1277">
        <v>2.1600000000000001E-2</v>
      </c>
      <c r="D51" s="684"/>
      <c r="E51" s="1277">
        <v>1.6E-2</v>
      </c>
      <c r="F51" s="1277">
        <v>1E-3</v>
      </c>
      <c r="G51" s="684"/>
      <c r="H51" s="1261">
        <v>0.02</v>
      </c>
      <c r="I51" s="1277"/>
      <c r="J51" s="684"/>
      <c r="Q51" s="74"/>
      <c r="R51" s="113"/>
      <c r="T51" s="406"/>
      <c r="U51" s="18"/>
      <c r="V51" s="404"/>
    </row>
    <row r="52" spans="1:22" ht="15" customHeight="1" x14ac:dyDescent="0.2">
      <c r="A52" s="1265">
        <v>49</v>
      </c>
      <c r="B52" s="1277">
        <v>1.0999999999999999E-2</v>
      </c>
      <c r="C52" s="1277">
        <v>2.0799999999999999E-2</v>
      </c>
      <c r="D52" s="684"/>
      <c r="E52" s="1277">
        <v>1.55E-2</v>
      </c>
      <c r="F52" s="1277">
        <v>5.0000000000000001E-4</v>
      </c>
      <c r="G52" s="684"/>
      <c r="H52" s="1261">
        <v>0.02</v>
      </c>
      <c r="I52" s="1277"/>
      <c r="J52" s="684"/>
      <c r="Q52" s="74"/>
      <c r="R52" s="113"/>
      <c r="T52" s="406"/>
      <c r="U52" s="18"/>
      <c r="V52" s="404"/>
    </row>
    <row r="53" spans="1:22" ht="15" customHeight="1" x14ac:dyDescent="0.2">
      <c r="A53" s="1265">
        <v>50</v>
      </c>
      <c r="B53" s="1277">
        <v>0.01</v>
      </c>
      <c r="C53" s="1277">
        <v>0.02</v>
      </c>
      <c r="D53" s="684"/>
      <c r="E53" s="1277">
        <v>1.4999999999999999E-2</v>
      </c>
      <c r="F53" s="1277">
        <v>0</v>
      </c>
      <c r="G53" s="684"/>
      <c r="H53" s="1261">
        <v>0.02</v>
      </c>
      <c r="I53" s="1277"/>
      <c r="J53" s="684"/>
      <c r="T53" s="406"/>
      <c r="U53" s="18"/>
      <c r="V53" s="404"/>
    </row>
    <row r="54" spans="1:22" ht="15" customHeight="1" x14ac:dyDescent="0.2">
      <c r="A54" s="1265">
        <v>51</v>
      </c>
      <c r="B54" s="1277">
        <v>8.9999999999999993E-3</v>
      </c>
      <c r="C54" s="1277">
        <v>1.9199999999999998E-2</v>
      </c>
      <c r="D54" s="1265"/>
      <c r="E54" s="1277">
        <v>1.4500000000000001E-2</v>
      </c>
      <c r="F54" s="1297"/>
      <c r="G54" s="1265"/>
      <c r="H54" s="1261">
        <v>0.02</v>
      </c>
      <c r="I54" s="1277"/>
      <c r="J54" s="684"/>
      <c r="T54" s="406"/>
      <c r="U54" s="18"/>
      <c r="V54" s="404"/>
    </row>
    <row r="55" spans="1:22" ht="15" customHeight="1" x14ac:dyDescent="0.2">
      <c r="A55" s="1265">
        <v>52</v>
      </c>
      <c r="B55" s="1277">
        <v>8.0000000000000002E-3</v>
      </c>
      <c r="C55" s="1277">
        <v>1.84E-2</v>
      </c>
      <c r="D55" s="1265"/>
      <c r="E55" s="1277">
        <v>1.4E-2</v>
      </c>
      <c r="F55" s="1297"/>
      <c r="G55" s="1265"/>
      <c r="H55" s="1261">
        <v>0.02</v>
      </c>
      <c r="I55" s="1277"/>
      <c r="J55" s="684"/>
      <c r="Q55" s="74"/>
      <c r="R55" s="113"/>
      <c r="T55" s="406"/>
      <c r="U55" s="18"/>
      <c r="V55" s="404"/>
    </row>
    <row r="56" spans="1:22" ht="15" customHeight="1" x14ac:dyDescent="0.2">
      <c r="A56" s="1265">
        <v>53</v>
      </c>
      <c r="B56" s="1277">
        <v>7.0000000000000001E-3</v>
      </c>
      <c r="C56" s="1277">
        <v>1.7600000000000001E-2</v>
      </c>
      <c r="D56" s="1265"/>
      <c r="E56" s="1277">
        <v>1.35E-2</v>
      </c>
      <c r="F56" s="1297"/>
      <c r="G56" s="1265"/>
      <c r="H56" s="1261">
        <v>0.02</v>
      </c>
      <c r="I56" s="1277"/>
      <c r="J56" s="684"/>
      <c r="Q56" s="74"/>
      <c r="R56" s="113"/>
      <c r="T56" s="406"/>
      <c r="U56" s="18"/>
      <c r="V56" s="404"/>
    </row>
    <row r="57" spans="1:22" ht="15" customHeight="1" x14ac:dyDescent="0.2">
      <c r="A57" s="1265">
        <v>54</v>
      </c>
      <c r="B57" s="1277">
        <v>6.0000000000000001E-3</v>
      </c>
      <c r="C57" s="1277">
        <v>1.6799999999999999E-2</v>
      </c>
      <c r="D57" s="1265"/>
      <c r="E57" s="1277">
        <v>1.2999999999999999E-2</v>
      </c>
      <c r="F57" s="1297"/>
      <c r="G57" s="1265"/>
      <c r="H57" s="1261">
        <v>0.02</v>
      </c>
      <c r="I57" s="1277"/>
      <c r="J57" s="684"/>
      <c r="T57" s="406"/>
      <c r="U57" s="18"/>
      <c r="V57" s="404"/>
    </row>
    <row r="58" spans="1:22" ht="15" customHeight="1" x14ac:dyDescent="0.2">
      <c r="A58" s="1265">
        <v>55</v>
      </c>
      <c r="B58" s="1277">
        <v>5.0000000000000001E-3</v>
      </c>
      <c r="C58" s="1277">
        <v>1.6E-2</v>
      </c>
      <c r="D58" s="1265"/>
      <c r="E58" s="1277">
        <v>1.2500000000000001E-2</v>
      </c>
      <c r="F58" s="1297"/>
      <c r="G58" s="1265"/>
      <c r="H58" s="1261">
        <v>0.02</v>
      </c>
      <c r="I58" s="1277"/>
      <c r="J58" s="684"/>
      <c r="T58" s="406"/>
      <c r="U58" s="18"/>
      <c r="V58" s="404"/>
    </row>
    <row r="59" spans="1:22" ht="15" customHeight="1" x14ac:dyDescent="0.2">
      <c r="A59" s="1265">
        <v>56</v>
      </c>
      <c r="B59" s="1277">
        <v>4.0000000000000001E-3</v>
      </c>
      <c r="C59" s="1277">
        <v>1.52E-2</v>
      </c>
      <c r="D59" s="1265"/>
      <c r="E59" s="1277">
        <v>1.2E-2</v>
      </c>
      <c r="F59" s="1297"/>
      <c r="G59" s="1265"/>
      <c r="H59" s="1261">
        <v>0.02</v>
      </c>
      <c r="I59" s="1277"/>
      <c r="J59" s="684"/>
      <c r="Q59" s="74"/>
      <c r="R59" s="113"/>
      <c r="T59" s="406"/>
      <c r="U59" s="18"/>
      <c r="V59" s="404"/>
    </row>
    <row r="60" spans="1:22" ht="15" customHeight="1" x14ac:dyDescent="0.2">
      <c r="A60" s="1265">
        <v>57</v>
      </c>
      <c r="B60" s="1277">
        <v>3.0000000000000001E-3</v>
      </c>
      <c r="C60" s="1277">
        <v>1.44E-2</v>
      </c>
      <c r="D60" s="1265"/>
      <c r="E60" s="1277">
        <v>1.15E-2</v>
      </c>
      <c r="F60" s="1297"/>
      <c r="G60" s="1265"/>
      <c r="H60" s="1261">
        <v>0.02</v>
      </c>
      <c r="I60" s="1277"/>
      <c r="J60" s="684"/>
      <c r="Q60" s="74"/>
      <c r="R60" s="113"/>
      <c r="T60" s="406"/>
      <c r="U60" s="18"/>
      <c r="V60" s="404"/>
    </row>
    <row r="61" spans="1:22" ht="15" customHeight="1" x14ac:dyDescent="0.2">
      <c r="A61" s="1265">
        <v>58</v>
      </c>
      <c r="B61" s="1277">
        <v>2E-3</v>
      </c>
      <c r="C61" s="1277">
        <v>1.3599999999999999E-2</v>
      </c>
      <c r="D61" s="1265"/>
      <c r="E61" s="1277">
        <v>1.0999999999999999E-2</v>
      </c>
      <c r="F61" s="1297"/>
      <c r="G61" s="1265"/>
      <c r="H61" s="1261">
        <v>0.02</v>
      </c>
      <c r="I61" s="1277"/>
      <c r="J61" s="684"/>
      <c r="T61" s="406"/>
      <c r="U61" s="18"/>
      <c r="V61" s="404"/>
    </row>
    <row r="62" spans="1:22" ht="15" customHeight="1" x14ac:dyDescent="0.2">
      <c r="A62" s="1265">
        <v>59</v>
      </c>
      <c r="B62" s="1277">
        <v>1E-3</v>
      </c>
      <c r="C62" s="1277">
        <v>1.2800000000000001E-2</v>
      </c>
      <c r="D62" s="1265"/>
      <c r="E62" s="1277">
        <v>1.0500000000000001E-2</v>
      </c>
      <c r="F62" s="1297"/>
      <c r="G62" s="1265"/>
      <c r="H62" s="1261">
        <v>0.02</v>
      </c>
      <c r="I62" s="1277"/>
      <c r="J62" s="684"/>
      <c r="T62" s="406"/>
      <c r="U62" s="18"/>
      <c r="V62" s="404"/>
    </row>
    <row r="63" spans="1:22" ht="15" customHeight="1" x14ac:dyDescent="0.2">
      <c r="A63" s="1265">
        <v>60</v>
      </c>
      <c r="B63" s="1277">
        <v>0</v>
      </c>
      <c r="C63" s="1277">
        <v>1.2E-2</v>
      </c>
      <c r="D63" s="1265"/>
      <c r="E63" s="1277">
        <v>0.01</v>
      </c>
      <c r="F63" s="1297"/>
      <c r="G63" s="1265"/>
      <c r="H63" s="1261">
        <v>0</v>
      </c>
      <c r="I63" s="1277"/>
      <c r="J63" s="684"/>
      <c r="T63" s="406"/>
      <c r="U63" s="18"/>
      <c r="V63" s="404"/>
    </row>
    <row r="64" spans="1:22" ht="15" customHeight="1" x14ac:dyDescent="0.2">
      <c r="A64" s="1265">
        <v>61</v>
      </c>
      <c r="B64" s="684"/>
      <c r="C64" s="1277">
        <v>1.12E-2</v>
      </c>
      <c r="D64" s="1265"/>
      <c r="E64" s="1277">
        <v>9.4999999999999998E-3</v>
      </c>
      <c r="F64" s="1265"/>
      <c r="G64" s="1265"/>
      <c r="H64" s="1277"/>
      <c r="I64" s="1277"/>
      <c r="J64" s="684"/>
      <c r="Q64" s="74"/>
      <c r="R64" s="113"/>
      <c r="T64" s="406"/>
    </row>
    <row r="65" spans="1:20" ht="15" customHeight="1" x14ac:dyDescent="0.2">
      <c r="A65" s="1265">
        <v>62</v>
      </c>
      <c r="B65" s="684"/>
      <c r="C65" s="1277">
        <v>1.04E-2</v>
      </c>
      <c r="D65" s="1265"/>
      <c r="E65" s="1277">
        <v>8.9999999999999993E-3</v>
      </c>
      <c r="F65" s="1265"/>
      <c r="G65" s="1265"/>
      <c r="H65" s="1277"/>
      <c r="I65" s="1277"/>
      <c r="J65" s="684"/>
      <c r="Q65" s="74"/>
      <c r="R65" s="113"/>
      <c r="T65" s="406"/>
    </row>
    <row r="66" spans="1:20" ht="15" customHeight="1" x14ac:dyDescent="0.2">
      <c r="A66" s="1265">
        <v>63</v>
      </c>
      <c r="B66" s="684"/>
      <c r="C66" s="1277">
        <v>9.5999999999999992E-3</v>
      </c>
      <c r="D66" s="1265"/>
      <c r="E66" s="1277">
        <v>8.5000000000000006E-3</v>
      </c>
      <c r="F66" s="1265"/>
      <c r="G66" s="1265"/>
      <c r="H66" s="1277"/>
      <c r="I66" s="1277"/>
      <c r="J66" s="684"/>
      <c r="T66" s="406"/>
    </row>
    <row r="67" spans="1:20" ht="15" customHeight="1" x14ac:dyDescent="0.2">
      <c r="A67" s="1265">
        <v>64</v>
      </c>
      <c r="B67" s="684"/>
      <c r="C67" s="1277">
        <v>8.8000000000000005E-3</v>
      </c>
      <c r="D67" s="1265"/>
      <c r="E67" s="1277">
        <v>8.0000000000000002E-3</v>
      </c>
      <c r="F67" s="1265"/>
      <c r="G67" s="1265"/>
      <c r="H67" s="1277"/>
      <c r="I67" s="1277"/>
      <c r="J67" s="684"/>
      <c r="T67" s="406"/>
    </row>
    <row r="68" spans="1:20" ht="15" customHeight="1" x14ac:dyDescent="0.2">
      <c r="A68" s="1265">
        <v>65</v>
      </c>
      <c r="B68" s="684"/>
      <c r="C68" s="1277">
        <v>8.0000000000000002E-3</v>
      </c>
      <c r="D68" s="1265"/>
      <c r="E68" s="1261">
        <v>7.4999999999999997E-3</v>
      </c>
      <c r="F68" s="1265"/>
      <c r="G68" s="1265"/>
      <c r="H68" s="1277"/>
      <c r="I68" s="1277"/>
      <c r="J68" s="684"/>
      <c r="T68" s="406"/>
    </row>
    <row r="69" spans="1:20" ht="15" customHeight="1" x14ac:dyDescent="0.2">
      <c r="A69" s="1265">
        <v>66</v>
      </c>
      <c r="B69" s="684"/>
      <c r="C69" s="1277">
        <v>7.1999999999999998E-3</v>
      </c>
      <c r="D69" s="1265"/>
      <c r="E69" s="1261">
        <v>7.0000000000000001E-3</v>
      </c>
      <c r="F69" s="1265"/>
      <c r="G69" s="1265"/>
      <c r="H69" s="1277"/>
      <c r="I69" s="1277"/>
      <c r="J69" s="684"/>
      <c r="T69" s="406"/>
    </row>
    <row r="70" spans="1:20" ht="15" customHeight="1" x14ac:dyDescent="0.2">
      <c r="A70" s="1265">
        <v>67</v>
      </c>
      <c r="B70" s="684"/>
      <c r="C70" s="1277">
        <v>6.4000000000000003E-3</v>
      </c>
      <c r="D70" s="1265"/>
      <c r="E70" s="1261">
        <v>6.4999999999999997E-3</v>
      </c>
      <c r="F70" s="1265"/>
      <c r="G70" s="1265"/>
      <c r="H70" s="1277"/>
      <c r="I70" s="1277"/>
      <c r="J70" s="684"/>
      <c r="Q70" s="74"/>
      <c r="R70" s="113"/>
      <c r="T70" s="406"/>
    </row>
    <row r="71" spans="1:20" ht="15" customHeight="1" x14ac:dyDescent="0.2">
      <c r="A71" s="1265">
        <v>68</v>
      </c>
      <c r="B71" s="684"/>
      <c r="C71" s="1277">
        <v>5.5999999999999999E-3</v>
      </c>
      <c r="D71" s="1265"/>
      <c r="E71" s="1261">
        <v>6.0000000000000001E-3</v>
      </c>
      <c r="F71" s="1265"/>
      <c r="G71" s="1265"/>
      <c r="H71" s="1277"/>
      <c r="I71" s="1277"/>
      <c r="J71" s="684"/>
      <c r="T71" s="406"/>
    </row>
    <row r="72" spans="1:20" ht="15" customHeight="1" x14ac:dyDescent="0.2">
      <c r="A72" s="1265">
        <v>69</v>
      </c>
      <c r="B72" s="684"/>
      <c r="C72" s="1277">
        <v>4.7999999999999996E-3</v>
      </c>
      <c r="D72" s="1265"/>
      <c r="E72" s="1261">
        <v>5.4999999999999997E-3</v>
      </c>
      <c r="F72" s="1265"/>
      <c r="G72" s="1265"/>
      <c r="H72" s="1277"/>
      <c r="I72" s="1277"/>
      <c r="J72" s="684"/>
      <c r="Q72" s="74"/>
      <c r="R72" s="113"/>
      <c r="T72" s="406"/>
    </row>
    <row r="73" spans="1:20" ht="15" customHeight="1" x14ac:dyDescent="0.2">
      <c r="A73" s="1265">
        <v>70</v>
      </c>
      <c r="B73" s="684"/>
      <c r="C73" s="1277">
        <v>4.0000000000000001E-3</v>
      </c>
      <c r="D73" s="1265"/>
      <c r="E73" s="1261">
        <v>5.0000000000000001E-3</v>
      </c>
      <c r="F73" s="1265"/>
      <c r="G73" s="1265"/>
      <c r="H73" s="1277"/>
      <c r="I73" s="1277"/>
      <c r="J73" s="684"/>
      <c r="T73" s="406"/>
    </row>
    <row r="74" spans="1:20" ht="15" customHeight="1" x14ac:dyDescent="0.2">
      <c r="A74" s="1265">
        <v>71</v>
      </c>
      <c r="B74" s="684"/>
      <c r="C74" s="1277">
        <v>3.2000000000000002E-3</v>
      </c>
      <c r="D74" s="1265"/>
      <c r="E74" s="1261">
        <v>4.4999999999999997E-3</v>
      </c>
      <c r="F74" s="1297"/>
      <c r="G74" s="1265"/>
      <c r="H74" s="1277"/>
      <c r="I74" s="1277"/>
      <c r="J74" s="684"/>
      <c r="Q74" s="74"/>
      <c r="R74" s="113"/>
      <c r="T74" s="406"/>
    </row>
    <row r="75" spans="1:20" ht="15" customHeight="1" x14ac:dyDescent="0.2">
      <c r="A75" s="1265">
        <v>72</v>
      </c>
      <c r="B75" s="684"/>
      <c r="C75" s="1277">
        <v>2.3999999999999998E-3</v>
      </c>
      <c r="D75" s="1265"/>
      <c r="E75" s="1261">
        <v>4.0000000000000001E-3</v>
      </c>
      <c r="F75" s="1297"/>
      <c r="G75" s="1265"/>
      <c r="H75" s="1277"/>
      <c r="I75" s="1277"/>
      <c r="J75" s="684"/>
      <c r="T75" s="406"/>
    </row>
    <row r="76" spans="1:20" ht="15" customHeight="1" x14ac:dyDescent="0.2">
      <c r="A76" s="1265">
        <v>73</v>
      </c>
      <c r="B76" s="684"/>
      <c r="C76" s="1277">
        <v>1.6000000000000001E-3</v>
      </c>
      <c r="D76" s="1265"/>
      <c r="E76" s="1261">
        <v>3.5000000000000001E-3</v>
      </c>
      <c r="F76" s="1297"/>
      <c r="G76" s="1265"/>
      <c r="H76" s="1277"/>
      <c r="I76" s="1277"/>
      <c r="J76" s="684"/>
      <c r="Q76" s="74"/>
      <c r="R76" s="113"/>
      <c r="T76" s="406"/>
    </row>
    <row r="77" spans="1:20" ht="15" customHeight="1" x14ac:dyDescent="0.2">
      <c r="A77" s="1265">
        <v>74</v>
      </c>
      <c r="B77" s="684"/>
      <c r="C77" s="1277">
        <v>8.0000000000000004E-4</v>
      </c>
      <c r="D77" s="1265"/>
      <c r="E77" s="1261">
        <v>3.0000000000000001E-3</v>
      </c>
      <c r="F77" s="1297"/>
      <c r="G77" s="1265"/>
      <c r="H77" s="1277"/>
      <c r="I77" s="1277"/>
      <c r="J77" s="684"/>
      <c r="T77" s="406"/>
    </row>
    <row r="78" spans="1:20" ht="15" customHeight="1" x14ac:dyDescent="0.2">
      <c r="A78" s="1265">
        <v>75</v>
      </c>
      <c r="B78" s="684"/>
      <c r="C78" s="1277">
        <v>0</v>
      </c>
      <c r="D78" s="1265"/>
      <c r="E78" s="1261">
        <v>2.5000000000000001E-3</v>
      </c>
      <c r="F78" s="1297"/>
      <c r="G78" s="1265"/>
      <c r="H78" s="1277"/>
      <c r="I78" s="1277"/>
      <c r="J78" s="684"/>
      <c r="T78" s="406"/>
    </row>
    <row r="79" spans="1:20" ht="15" customHeight="1" x14ac:dyDescent="0.2">
      <c r="A79" s="1265">
        <v>76</v>
      </c>
      <c r="B79" s="684"/>
      <c r="C79" s="684"/>
      <c r="D79" s="1265"/>
      <c r="E79" s="1277">
        <v>2E-3</v>
      </c>
      <c r="F79" s="1297"/>
      <c r="G79" s="1265"/>
      <c r="H79" s="1277"/>
      <c r="I79" s="1277"/>
      <c r="J79" s="684"/>
      <c r="T79" s="406"/>
    </row>
    <row r="80" spans="1:20" ht="15" customHeight="1" x14ac:dyDescent="0.2">
      <c r="A80" s="1265">
        <v>77</v>
      </c>
      <c r="B80" s="684"/>
      <c r="C80" s="684"/>
      <c r="D80" s="1265"/>
      <c r="E80" s="1277">
        <v>1.5E-3</v>
      </c>
      <c r="F80" s="1297"/>
      <c r="G80" s="1265"/>
      <c r="H80" s="1277"/>
      <c r="I80" s="1277"/>
      <c r="J80" s="684"/>
      <c r="K80" s="117"/>
      <c r="Q80" s="74"/>
      <c r="R80" s="113"/>
      <c r="T80" s="406"/>
    </row>
    <row r="81" spans="1:20" ht="15" customHeight="1" x14ac:dyDescent="0.2">
      <c r="A81" s="1265">
        <v>78</v>
      </c>
      <c r="B81" s="684"/>
      <c r="C81" s="684"/>
      <c r="D81" s="1265"/>
      <c r="E81" s="1277">
        <v>1E-3</v>
      </c>
      <c r="F81" s="1297"/>
      <c r="G81" s="1265"/>
      <c r="H81" s="1296"/>
      <c r="I81" s="1277"/>
      <c r="J81" s="684"/>
      <c r="K81" s="117"/>
      <c r="T81" s="406"/>
    </row>
    <row r="82" spans="1:20" ht="15" customHeight="1" x14ac:dyDescent="0.2">
      <c r="A82" s="1265">
        <v>79</v>
      </c>
      <c r="B82" s="684"/>
      <c r="C82" s="684"/>
      <c r="D82" s="1265"/>
      <c r="E82" s="1277">
        <v>5.0000000000000001E-4</v>
      </c>
      <c r="F82" s="1297"/>
      <c r="G82" s="1265"/>
      <c r="H82" s="1277"/>
      <c r="I82" s="1277"/>
      <c r="J82" s="684"/>
      <c r="K82" s="117"/>
      <c r="Q82" s="74"/>
      <c r="R82" s="113"/>
      <c r="T82" s="406"/>
    </row>
    <row r="83" spans="1:20" ht="15" customHeight="1" x14ac:dyDescent="0.2">
      <c r="A83" s="1265">
        <v>80</v>
      </c>
      <c r="B83" s="684"/>
      <c r="C83" s="684"/>
      <c r="D83" s="1265"/>
      <c r="E83" s="1277">
        <v>0</v>
      </c>
      <c r="F83" s="1297"/>
      <c r="G83" s="1265"/>
      <c r="H83" s="1277"/>
      <c r="I83" s="1277"/>
      <c r="J83" s="684"/>
      <c r="K83" s="117"/>
      <c r="T83" s="406"/>
    </row>
    <row r="84" spans="1:20" ht="15" customHeight="1" x14ac:dyDescent="0.2">
      <c r="B84" s="114"/>
      <c r="C84" s="114"/>
      <c r="E84" s="114"/>
      <c r="F84" s="406"/>
      <c r="J84" s="114"/>
      <c r="K84" s="117"/>
      <c r="Q84" s="74"/>
      <c r="R84" s="113"/>
    </row>
    <row r="85" spans="1:20" ht="15" customHeight="1" x14ac:dyDescent="0.2">
      <c r="B85" s="114"/>
      <c r="C85" s="114"/>
      <c r="E85" s="114"/>
      <c r="F85" s="406"/>
      <c r="J85" s="114"/>
      <c r="K85" s="117"/>
    </row>
    <row r="86" spans="1:20" ht="15" customHeight="1" x14ac:dyDescent="0.2">
      <c r="B86" s="114"/>
      <c r="C86" s="114"/>
      <c r="E86" s="114"/>
      <c r="F86" s="406"/>
      <c r="J86" s="114"/>
      <c r="K86" s="117"/>
      <c r="Q86" s="74"/>
      <c r="R86" s="113"/>
    </row>
    <row r="87" spans="1:20" ht="15" customHeight="1" x14ac:dyDescent="0.2">
      <c r="B87" s="114"/>
      <c r="C87" s="114"/>
      <c r="E87" s="114"/>
      <c r="F87" s="406"/>
      <c r="J87" s="114"/>
      <c r="K87" s="117"/>
    </row>
    <row r="88" spans="1:20" ht="15" customHeight="1" x14ac:dyDescent="0.2">
      <c r="B88" s="114"/>
      <c r="C88" s="114"/>
      <c r="E88" s="114"/>
      <c r="F88" s="406"/>
      <c r="J88" s="114"/>
    </row>
    <row r="89" spans="1:20" ht="15" customHeight="1" x14ac:dyDescent="0.2">
      <c r="B89" s="114"/>
      <c r="C89" s="114"/>
      <c r="E89" s="114"/>
      <c r="F89" s="406"/>
      <c r="J89" s="114"/>
    </row>
    <row r="90" spans="1:20" ht="15" customHeight="1" x14ac:dyDescent="0.2">
      <c r="B90" s="114"/>
      <c r="C90" s="114"/>
      <c r="E90" s="114"/>
      <c r="F90" s="406"/>
      <c r="J90" s="114"/>
    </row>
    <row r="91" spans="1:20" ht="15" customHeight="1" x14ac:dyDescent="0.2">
      <c r="B91" s="114"/>
      <c r="C91" s="114"/>
      <c r="E91" s="114"/>
      <c r="F91" s="406"/>
      <c r="J91" s="114"/>
    </row>
    <row r="92" spans="1:20" ht="15" customHeight="1" x14ac:dyDescent="0.2">
      <c r="B92" s="114"/>
      <c r="C92" s="114"/>
      <c r="E92" s="114"/>
      <c r="F92" s="406"/>
      <c r="J92" s="114"/>
    </row>
    <row r="93" spans="1:20" ht="15" customHeight="1" x14ac:dyDescent="0.2">
      <c r="B93" s="114"/>
      <c r="C93" s="114"/>
      <c r="E93" s="114"/>
      <c r="F93" s="406"/>
      <c r="J93" s="114"/>
    </row>
    <row r="94" spans="1:20" ht="15" customHeight="1" x14ac:dyDescent="0.2">
      <c r="B94" s="114"/>
      <c r="C94" s="114"/>
      <c r="E94" s="114"/>
      <c r="F94" s="47"/>
    </row>
    <row r="95" spans="1:20" ht="15" customHeight="1" x14ac:dyDescent="0.2">
      <c r="B95" s="114"/>
      <c r="C95" s="114"/>
      <c r="E95" s="114"/>
    </row>
    <row r="96" spans="1:20" ht="15" customHeight="1" x14ac:dyDescent="0.2">
      <c r="B96" s="114"/>
      <c r="C96" s="114"/>
      <c r="E96" s="114"/>
    </row>
    <row r="97" spans="2:8" ht="15" customHeight="1" x14ac:dyDescent="0.2">
      <c r="B97" s="114"/>
      <c r="C97" s="114"/>
      <c r="E97" s="114"/>
    </row>
    <row r="98" spans="2:8" ht="15" customHeight="1" x14ac:dyDescent="0.2">
      <c r="B98" s="114"/>
      <c r="C98" s="114"/>
      <c r="E98" s="114"/>
    </row>
    <row r="99" spans="2:8" ht="15" customHeight="1" x14ac:dyDescent="0.2">
      <c r="B99" s="114"/>
      <c r="C99" s="114"/>
      <c r="E99" s="114"/>
    </row>
    <row r="100" spans="2:8" ht="15" customHeight="1" x14ac:dyDescent="0.2">
      <c r="B100" s="114"/>
      <c r="C100" s="114"/>
      <c r="E100" s="114"/>
    </row>
    <row r="101" spans="2:8" ht="15" customHeight="1" x14ac:dyDescent="0.2">
      <c r="B101" s="114"/>
      <c r="C101" s="114"/>
      <c r="E101" s="114"/>
    </row>
    <row r="102" spans="2:8" ht="15" customHeight="1" x14ac:dyDescent="0.2">
      <c r="B102" s="114"/>
      <c r="C102" s="114"/>
      <c r="E102" s="114"/>
    </row>
    <row r="103" spans="2:8" ht="15" customHeight="1" x14ac:dyDescent="0.2">
      <c r="B103" s="114"/>
      <c r="C103" s="114"/>
      <c r="E103" s="114"/>
      <c r="H103" s="118"/>
    </row>
    <row r="104" spans="2:8" ht="15" customHeight="1" x14ac:dyDescent="0.2">
      <c r="B104" s="114"/>
      <c r="C104" s="114"/>
      <c r="E104" s="114"/>
      <c r="F104" s="406"/>
    </row>
    <row r="105" spans="2:8" ht="15" customHeight="1" x14ac:dyDescent="0.2">
      <c r="B105" s="114"/>
      <c r="C105" s="114"/>
      <c r="E105" s="114"/>
      <c r="F105" s="406"/>
    </row>
    <row r="106" spans="2:8" ht="15" customHeight="1" x14ac:dyDescent="0.2">
      <c r="B106" s="114"/>
      <c r="C106" s="114"/>
      <c r="E106" s="114"/>
      <c r="F106" s="406"/>
    </row>
    <row r="107" spans="2:8" ht="15" customHeight="1" x14ac:dyDescent="0.2">
      <c r="B107" s="114"/>
      <c r="C107" s="114"/>
      <c r="E107" s="114"/>
      <c r="F107" s="406"/>
    </row>
    <row r="108" spans="2:8" ht="15" customHeight="1" x14ac:dyDescent="0.2">
      <c r="B108" s="114"/>
      <c r="C108" s="114"/>
      <c r="E108" s="114"/>
      <c r="F108" s="406"/>
    </row>
    <row r="109" spans="2:8" ht="15" customHeight="1" x14ac:dyDescent="0.2">
      <c r="B109" s="114"/>
      <c r="C109" s="114"/>
      <c r="E109" s="114"/>
      <c r="F109" s="406"/>
    </row>
    <row r="110" spans="2:8" ht="15" customHeight="1" x14ac:dyDescent="0.2">
      <c r="B110" s="114"/>
      <c r="C110" s="114"/>
      <c r="E110" s="114"/>
      <c r="F110" s="406"/>
    </row>
    <row r="111" spans="2:8" ht="15" customHeight="1" x14ac:dyDescent="0.2">
      <c r="B111" s="114"/>
      <c r="C111" s="114"/>
      <c r="E111" s="114"/>
      <c r="F111" s="406"/>
    </row>
    <row r="112" spans="2:8" ht="15" customHeight="1" x14ac:dyDescent="0.2">
      <c r="B112" s="114"/>
      <c r="C112" s="114"/>
      <c r="E112" s="114"/>
      <c r="F112" s="406"/>
    </row>
    <row r="113" spans="2:6" ht="15" customHeight="1" x14ac:dyDescent="0.2">
      <c r="B113" s="114"/>
      <c r="C113" s="111"/>
      <c r="E113" s="114"/>
      <c r="F113" s="406"/>
    </row>
    <row r="114" spans="2:6" ht="15" customHeight="1" x14ac:dyDescent="0.2">
      <c r="B114" s="114"/>
      <c r="C114" s="111"/>
      <c r="E114" s="114"/>
    </row>
    <row r="115" spans="2:6" ht="15" customHeight="1" x14ac:dyDescent="0.2">
      <c r="B115" s="114"/>
      <c r="C115" s="111"/>
      <c r="E115" s="114"/>
    </row>
    <row r="116" spans="2:6" ht="15" customHeight="1" x14ac:dyDescent="0.2">
      <c r="B116" s="114"/>
      <c r="C116" s="111"/>
      <c r="E116" s="114"/>
    </row>
    <row r="117" spans="2:6" ht="15" customHeight="1" x14ac:dyDescent="0.2">
      <c r="B117" s="114"/>
      <c r="C117" s="111"/>
      <c r="E117" s="114"/>
    </row>
    <row r="118" spans="2:6" ht="15" customHeight="1" x14ac:dyDescent="0.2">
      <c r="B118" s="114"/>
      <c r="C118" s="111"/>
      <c r="E118" s="114"/>
    </row>
    <row r="119" spans="2:6" ht="15" customHeight="1" x14ac:dyDescent="0.2">
      <c r="B119" s="114"/>
      <c r="C119" s="111"/>
      <c r="E119" s="114"/>
    </row>
    <row r="120" spans="2:6" ht="15" customHeight="1" x14ac:dyDescent="0.2">
      <c r="B120" s="114"/>
      <c r="C120" s="111"/>
      <c r="E120" s="114"/>
    </row>
    <row r="121" spans="2:6" ht="15" customHeight="1" x14ac:dyDescent="0.2">
      <c r="B121" s="114"/>
      <c r="C121" s="111"/>
      <c r="E121" s="114"/>
    </row>
    <row r="122" spans="2:6" ht="15" customHeight="1" x14ac:dyDescent="0.2">
      <c r="B122" s="114"/>
      <c r="C122" s="111"/>
      <c r="E122" s="114"/>
    </row>
    <row r="123" spans="2:6" ht="15" customHeight="1" x14ac:dyDescent="0.2">
      <c r="B123" s="114"/>
      <c r="C123" s="111"/>
      <c r="E123" s="114"/>
    </row>
    <row r="124" spans="2:6" ht="15" customHeight="1" x14ac:dyDescent="0.2">
      <c r="B124" s="114"/>
      <c r="C124" s="111"/>
      <c r="E124" s="114"/>
    </row>
    <row r="125" spans="2:6" ht="15" customHeight="1" x14ac:dyDescent="0.2">
      <c r="B125" s="114"/>
      <c r="C125" s="111"/>
      <c r="E125" s="114"/>
    </row>
    <row r="126" spans="2:6" ht="15" customHeight="1" x14ac:dyDescent="0.2">
      <c r="B126" s="114"/>
      <c r="C126" s="111"/>
      <c r="E126" s="114"/>
    </row>
    <row r="127" spans="2:6" ht="15" customHeight="1" x14ac:dyDescent="0.2">
      <c r="B127" s="114"/>
      <c r="C127" s="111"/>
      <c r="E127" s="114"/>
    </row>
    <row r="128" spans="2:6" ht="15" customHeight="1" x14ac:dyDescent="0.2">
      <c r="B128" s="114"/>
      <c r="C128" s="111"/>
      <c r="E128" s="114"/>
    </row>
    <row r="129" spans="2:6" ht="15" customHeight="1" x14ac:dyDescent="0.2">
      <c r="B129" s="114"/>
      <c r="C129" s="111"/>
      <c r="E129" s="114"/>
    </row>
    <row r="130" spans="2:6" ht="15" customHeight="1" x14ac:dyDescent="0.2">
      <c r="B130" s="114"/>
      <c r="C130" s="111"/>
      <c r="E130" s="114"/>
    </row>
    <row r="131" spans="2:6" ht="15" customHeight="1" x14ac:dyDescent="0.2">
      <c r="B131" s="114"/>
      <c r="C131" s="111"/>
      <c r="E131" s="114"/>
    </row>
    <row r="132" spans="2:6" ht="15" customHeight="1" x14ac:dyDescent="0.2">
      <c r="B132" s="114"/>
      <c r="C132" s="111"/>
      <c r="E132" s="114"/>
    </row>
    <row r="133" spans="2:6" ht="15" customHeight="1" x14ac:dyDescent="0.2">
      <c r="B133" s="114"/>
      <c r="C133" s="111"/>
      <c r="E133" s="114"/>
    </row>
    <row r="134" spans="2:6" ht="15" customHeight="1" x14ac:dyDescent="0.2">
      <c r="B134" s="114"/>
      <c r="C134" s="111"/>
      <c r="E134" s="114"/>
    </row>
    <row r="135" spans="2:6" ht="15" customHeight="1" x14ac:dyDescent="0.2">
      <c r="B135" s="114"/>
      <c r="C135" s="111"/>
      <c r="E135" s="114"/>
    </row>
    <row r="136" spans="2:6" ht="15" customHeight="1" x14ac:dyDescent="0.2">
      <c r="B136" s="114"/>
      <c r="C136" s="111"/>
      <c r="E136" s="114"/>
    </row>
    <row r="137" spans="2:6" ht="15" customHeight="1" x14ac:dyDescent="0.2">
      <c r="B137" s="114"/>
      <c r="C137" s="111"/>
      <c r="E137" s="114"/>
    </row>
    <row r="138" spans="2:6" ht="15" customHeight="1" x14ac:dyDescent="0.2">
      <c r="B138" s="114"/>
      <c r="C138" s="111"/>
      <c r="E138" s="114"/>
    </row>
    <row r="139" spans="2:6" ht="15" customHeight="1" x14ac:dyDescent="0.2">
      <c r="B139" s="114"/>
      <c r="C139" s="111"/>
      <c r="E139" s="114"/>
    </row>
    <row r="140" spans="2:6" ht="15" customHeight="1" x14ac:dyDescent="0.2">
      <c r="B140" s="114"/>
      <c r="C140" s="111"/>
      <c r="E140" s="114"/>
    </row>
    <row r="141" spans="2:6" ht="15" customHeight="1" x14ac:dyDescent="0.2">
      <c r="B141" s="114"/>
      <c r="C141" s="111"/>
      <c r="E141" s="114"/>
    </row>
    <row r="142" spans="2:6" ht="15" customHeight="1" x14ac:dyDescent="0.2">
      <c r="B142" s="114"/>
      <c r="C142" s="111"/>
      <c r="E142" s="114"/>
    </row>
    <row r="143" spans="2:6" ht="15" customHeight="1" x14ac:dyDescent="0.2">
      <c r="B143" s="114"/>
      <c r="C143" s="111"/>
      <c r="E143" s="114"/>
    </row>
    <row r="144" spans="2:6" ht="15" customHeight="1" x14ac:dyDescent="0.2">
      <c r="B144" s="114"/>
      <c r="C144" s="111"/>
      <c r="E144" s="114"/>
      <c r="F144" s="406"/>
    </row>
    <row r="145" spans="2:18" ht="15" customHeight="1" x14ac:dyDescent="0.2">
      <c r="B145" s="114"/>
      <c r="C145" s="111"/>
      <c r="E145" s="114"/>
      <c r="F145" s="406"/>
    </row>
    <row r="146" spans="2:18" ht="15" customHeight="1" x14ac:dyDescent="0.2">
      <c r="B146" s="114"/>
      <c r="C146" s="111"/>
      <c r="E146" s="114"/>
      <c r="F146" s="406"/>
    </row>
    <row r="147" spans="2:18" ht="15" customHeight="1" x14ac:dyDescent="0.2">
      <c r="B147" s="114"/>
      <c r="C147" s="111"/>
      <c r="E147" s="114"/>
      <c r="F147" s="406"/>
    </row>
    <row r="148" spans="2:18" ht="15" customHeight="1" x14ac:dyDescent="0.2">
      <c r="B148" s="114"/>
      <c r="C148" s="111"/>
      <c r="E148" s="114"/>
      <c r="F148" s="406"/>
    </row>
    <row r="149" spans="2:18" ht="15" customHeight="1" x14ac:dyDescent="0.2">
      <c r="B149" s="114"/>
      <c r="C149" s="111"/>
      <c r="E149" s="114"/>
      <c r="F149" s="406"/>
      <c r="Q149" s="74"/>
      <c r="R149" s="74"/>
    </row>
    <row r="150" spans="2:18" ht="15" customHeight="1" x14ac:dyDescent="0.2">
      <c r="B150" s="114"/>
      <c r="C150" s="111"/>
      <c r="E150" s="114"/>
      <c r="F150" s="406"/>
      <c r="K150" s="117"/>
      <c r="Q150" s="74"/>
      <c r="R150" s="113"/>
    </row>
    <row r="151" spans="2:18" ht="15" customHeight="1" x14ac:dyDescent="0.2">
      <c r="B151" s="114"/>
      <c r="C151" s="111"/>
      <c r="E151" s="114"/>
      <c r="F151" s="406"/>
      <c r="K151" s="117"/>
      <c r="Q151" s="74"/>
      <c r="R151" s="113"/>
    </row>
    <row r="152" spans="2:18" ht="15" customHeight="1" x14ac:dyDescent="0.2">
      <c r="B152" s="114"/>
      <c r="C152" s="111"/>
      <c r="E152" s="114"/>
      <c r="F152" s="406"/>
    </row>
    <row r="153" spans="2:18" ht="15" customHeight="1" x14ac:dyDescent="0.2">
      <c r="B153" s="114"/>
      <c r="C153" s="111"/>
      <c r="E153" s="114"/>
      <c r="F153" s="406"/>
    </row>
    <row r="154" spans="2:18" x14ac:dyDescent="0.2">
      <c r="B154" s="114"/>
      <c r="C154" s="114"/>
      <c r="E154" s="114"/>
    </row>
    <row r="155" spans="2:18" x14ac:dyDescent="0.2">
      <c r="B155" s="114"/>
      <c r="C155" s="114"/>
      <c r="E155" s="114"/>
    </row>
    <row r="156" spans="2:18" x14ac:dyDescent="0.2">
      <c r="B156" s="114"/>
      <c r="C156" s="114"/>
      <c r="E156" s="114"/>
    </row>
    <row r="157" spans="2:18" x14ac:dyDescent="0.2">
      <c r="B157" s="114"/>
      <c r="C157" s="114"/>
      <c r="E157" s="114"/>
    </row>
    <row r="158" spans="2:18" x14ac:dyDescent="0.2">
      <c r="B158" s="114"/>
      <c r="C158" s="114"/>
      <c r="E158" s="114"/>
    </row>
    <row r="159" spans="2:18" x14ac:dyDescent="0.2">
      <c r="B159" s="114"/>
      <c r="C159" s="114"/>
      <c r="E159" s="114"/>
    </row>
    <row r="160" spans="2:18" x14ac:dyDescent="0.2">
      <c r="B160" s="114"/>
      <c r="C160" s="114"/>
      <c r="E160" s="114"/>
    </row>
    <row r="161" spans="2:5" x14ac:dyDescent="0.2">
      <c r="B161" s="114"/>
      <c r="C161" s="114"/>
      <c r="E161" s="114"/>
    </row>
    <row r="162" spans="2:5" x14ac:dyDescent="0.2">
      <c r="B162" s="114"/>
      <c r="C162" s="114"/>
      <c r="E162" s="114"/>
    </row>
    <row r="163" spans="2:5" x14ac:dyDescent="0.2">
      <c r="B163" s="114"/>
      <c r="C163" s="114"/>
      <c r="E163" s="114"/>
    </row>
    <row r="164" spans="2:5" x14ac:dyDescent="0.2">
      <c r="B164" s="114"/>
      <c r="C164" s="114"/>
      <c r="E164" s="114"/>
    </row>
    <row r="165" spans="2:5" x14ac:dyDescent="0.2">
      <c r="B165" s="114"/>
      <c r="C165" s="114"/>
      <c r="E165" s="114"/>
    </row>
    <row r="166" spans="2:5" x14ac:dyDescent="0.2">
      <c r="B166" s="114"/>
      <c r="C166" s="114"/>
      <c r="E166" s="114"/>
    </row>
    <row r="167" spans="2:5" x14ac:dyDescent="0.2">
      <c r="B167" s="114"/>
      <c r="C167" s="114"/>
      <c r="E167" s="114"/>
    </row>
    <row r="168" spans="2:5" x14ac:dyDescent="0.2">
      <c r="B168" s="114"/>
      <c r="C168" s="114"/>
      <c r="E168" s="114"/>
    </row>
    <row r="169" spans="2:5" x14ac:dyDescent="0.2">
      <c r="B169" s="114"/>
      <c r="C169" s="114"/>
      <c r="E169" s="114"/>
    </row>
    <row r="170" spans="2:5" x14ac:dyDescent="0.2">
      <c r="B170" s="114"/>
      <c r="C170" s="114"/>
      <c r="E170" s="114"/>
    </row>
    <row r="171" spans="2:5" x14ac:dyDescent="0.2">
      <c r="B171" s="114"/>
      <c r="C171" s="114"/>
      <c r="E171" s="114"/>
    </row>
    <row r="172" spans="2:5" x14ac:dyDescent="0.2">
      <c r="B172" s="114"/>
      <c r="C172" s="114"/>
      <c r="E172" s="114"/>
    </row>
    <row r="173" spans="2:5" x14ac:dyDescent="0.2">
      <c r="B173" s="114"/>
      <c r="C173" s="114"/>
      <c r="E173" s="114"/>
    </row>
    <row r="174" spans="2:5" x14ac:dyDescent="0.2">
      <c r="B174" s="114"/>
      <c r="C174" s="114"/>
      <c r="E174" s="114"/>
    </row>
    <row r="175" spans="2:5" x14ac:dyDescent="0.2">
      <c r="B175" s="114"/>
      <c r="C175" s="114"/>
      <c r="E175" s="114"/>
    </row>
    <row r="176" spans="2:5" x14ac:dyDescent="0.2">
      <c r="B176" s="114"/>
      <c r="C176" s="114"/>
      <c r="E176" s="114"/>
    </row>
    <row r="177" spans="2:6" x14ac:dyDescent="0.2">
      <c r="B177" s="114"/>
      <c r="C177" s="114"/>
      <c r="E177" s="114"/>
    </row>
    <row r="178" spans="2:6" x14ac:dyDescent="0.2">
      <c r="B178" s="114"/>
      <c r="C178" s="114"/>
      <c r="E178" s="114"/>
    </row>
    <row r="179" spans="2:6" x14ac:dyDescent="0.2">
      <c r="B179" s="114"/>
      <c r="C179" s="114"/>
      <c r="E179" s="114"/>
    </row>
    <row r="180" spans="2:6" x14ac:dyDescent="0.2">
      <c r="B180" s="114"/>
      <c r="C180" s="114"/>
      <c r="E180" s="114"/>
    </row>
    <row r="181" spans="2:6" x14ac:dyDescent="0.2">
      <c r="B181" s="114"/>
      <c r="C181" s="114"/>
      <c r="E181" s="114"/>
    </row>
    <row r="182" spans="2:6" x14ac:dyDescent="0.2">
      <c r="B182" s="114"/>
      <c r="C182" s="114"/>
      <c r="E182" s="114"/>
    </row>
    <row r="183" spans="2:6" x14ac:dyDescent="0.2">
      <c r="B183" s="114"/>
      <c r="C183" s="114"/>
      <c r="E183" s="114"/>
      <c r="F183" s="406"/>
    </row>
    <row r="304" spans="3:3" x14ac:dyDescent="0.2">
      <c r="C304" s="19"/>
    </row>
    <row r="305" spans="1:3" x14ac:dyDescent="0.2">
      <c r="C305" s="19"/>
    </row>
    <row r="306" spans="1:3" x14ac:dyDescent="0.2">
      <c r="C306" s="19"/>
    </row>
    <row r="307" spans="1:3" x14ac:dyDescent="0.2">
      <c r="A307" s="19"/>
      <c r="C307" s="19"/>
    </row>
    <row r="308" spans="1:3" x14ac:dyDescent="0.2">
      <c r="A308" s="19"/>
      <c r="C308" s="19"/>
    </row>
    <row r="309" spans="1:3" x14ac:dyDescent="0.2">
      <c r="A309" s="19"/>
      <c r="C309" s="19"/>
    </row>
    <row r="310" spans="1:3" x14ac:dyDescent="0.2">
      <c r="A310" s="19"/>
      <c r="C310" s="19"/>
    </row>
    <row r="311" spans="1:3" x14ac:dyDescent="0.2">
      <c r="A311" s="19"/>
      <c r="C311" s="19"/>
    </row>
    <row r="312" spans="1:3" x14ac:dyDescent="0.2">
      <c r="A312" s="19"/>
    </row>
    <row r="313" spans="1:3" x14ac:dyDescent="0.2">
      <c r="A313" s="19"/>
    </row>
    <row r="314" spans="1:3" x14ac:dyDescent="0.2">
      <c r="A314" s="19"/>
    </row>
    <row r="315" spans="1:3" x14ac:dyDescent="0.2">
      <c r="A315" s="19"/>
    </row>
    <row r="316" spans="1:3" x14ac:dyDescent="0.2">
      <c r="A316" s="19"/>
    </row>
    <row r="317" spans="1:3" x14ac:dyDescent="0.2">
      <c r="A317" s="19"/>
    </row>
    <row r="318" spans="1:3" x14ac:dyDescent="0.2">
      <c r="A318" s="19"/>
    </row>
    <row r="319" spans="1:3" x14ac:dyDescent="0.2">
      <c r="A319" s="19"/>
    </row>
    <row r="320" spans="1:3" x14ac:dyDescent="0.2">
      <c r="A320" s="19"/>
    </row>
    <row r="321" spans="1:1" x14ac:dyDescent="0.2">
      <c r="A321" s="19"/>
    </row>
    <row r="322" spans="1:1" x14ac:dyDescent="0.2">
      <c r="A322" s="19"/>
    </row>
    <row r="323" spans="1:1" x14ac:dyDescent="0.2">
      <c r="A323" s="19"/>
    </row>
    <row r="324" spans="1:1" x14ac:dyDescent="0.2">
      <c r="A324" s="19"/>
    </row>
    <row r="325" spans="1:1" x14ac:dyDescent="0.2">
      <c r="A325" s="19"/>
    </row>
    <row r="326" spans="1:1" x14ac:dyDescent="0.2">
      <c r="A326" s="19"/>
    </row>
    <row r="327" spans="1:1" x14ac:dyDescent="0.2">
      <c r="A327" s="19"/>
    </row>
    <row r="328" spans="1:1" x14ac:dyDescent="0.2">
      <c r="A328" s="19"/>
    </row>
    <row r="329" spans="1:1" x14ac:dyDescent="0.2">
      <c r="A329" s="19"/>
    </row>
    <row r="330" spans="1:1" x14ac:dyDescent="0.2">
      <c r="A330" s="19"/>
    </row>
    <row r="331" spans="1:1" x14ac:dyDescent="0.2">
      <c r="A331" s="19"/>
    </row>
    <row r="332" spans="1:1" x14ac:dyDescent="0.2">
      <c r="A332" s="19"/>
    </row>
    <row r="333" spans="1:1" x14ac:dyDescent="0.2">
      <c r="A333" s="19"/>
    </row>
    <row r="334" spans="1:1" x14ac:dyDescent="0.2">
      <c r="A334" s="19"/>
    </row>
    <row r="335" spans="1:1" x14ac:dyDescent="0.2">
      <c r="A335" s="19"/>
    </row>
    <row r="336" spans="1:1" x14ac:dyDescent="0.2">
      <c r="A336" s="19"/>
    </row>
    <row r="337" spans="1:1" x14ac:dyDescent="0.2">
      <c r="A337" s="19"/>
    </row>
    <row r="338" spans="1:1" x14ac:dyDescent="0.2">
      <c r="A338" s="19"/>
    </row>
    <row r="339" spans="1:1" x14ac:dyDescent="0.2">
      <c r="A339" s="19"/>
    </row>
    <row r="340" spans="1:1" x14ac:dyDescent="0.2">
      <c r="A340" s="19"/>
    </row>
    <row r="341" spans="1:1" x14ac:dyDescent="0.2">
      <c r="A341" s="19"/>
    </row>
    <row r="342" spans="1:1" x14ac:dyDescent="0.2">
      <c r="A342" s="19"/>
    </row>
    <row r="343" spans="1:1" x14ac:dyDescent="0.2">
      <c r="A343" s="19"/>
    </row>
    <row r="344" spans="1:1" x14ac:dyDescent="0.2">
      <c r="A344" s="19"/>
    </row>
    <row r="345" spans="1:1" x14ac:dyDescent="0.2">
      <c r="A345" s="19"/>
    </row>
    <row r="346" spans="1:1" x14ac:dyDescent="0.2">
      <c r="A346" s="19"/>
    </row>
    <row r="347" spans="1:1" x14ac:dyDescent="0.2">
      <c r="A347" s="19"/>
    </row>
    <row r="348" spans="1:1" x14ac:dyDescent="0.2">
      <c r="A348" s="19"/>
    </row>
    <row r="349" spans="1:1" x14ac:dyDescent="0.2">
      <c r="A349" s="19"/>
    </row>
    <row r="350" spans="1:1" x14ac:dyDescent="0.2">
      <c r="A350" s="19"/>
    </row>
    <row r="351" spans="1:1" x14ac:dyDescent="0.2">
      <c r="A351" s="19"/>
    </row>
    <row r="352" spans="1:1" x14ac:dyDescent="0.2">
      <c r="A352" s="19"/>
    </row>
    <row r="353" spans="1:1" x14ac:dyDescent="0.2">
      <c r="A353" s="19"/>
    </row>
    <row r="354" spans="1:1" x14ac:dyDescent="0.2">
      <c r="A354" s="19"/>
    </row>
    <row r="355" spans="1:1" x14ac:dyDescent="0.2">
      <c r="A355" s="19"/>
    </row>
    <row r="356" spans="1:1" x14ac:dyDescent="0.2">
      <c r="A356" s="19"/>
    </row>
    <row r="357" spans="1:1" x14ac:dyDescent="0.2">
      <c r="A357" s="19"/>
    </row>
    <row r="358" spans="1:1" x14ac:dyDescent="0.2">
      <c r="A358" s="19"/>
    </row>
    <row r="359" spans="1:1" x14ac:dyDescent="0.2">
      <c r="A359" s="19"/>
    </row>
    <row r="360" spans="1:1" x14ac:dyDescent="0.2">
      <c r="A360" s="19"/>
    </row>
    <row r="361" spans="1:1" x14ac:dyDescent="0.2">
      <c r="A361" s="19"/>
    </row>
    <row r="362" spans="1:1" x14ac:dyDescent="0.2">
      <c r="A362" s="19"/>
    </row>
    <row r="363" spans="1:1" x14ac:dyDescent="0.2">
      <c r="A363" s="19"/>
    </row>
    <row r="364" spans="1:1" x14ac:dyDescent="0.2">
      <c r="A364" s="19"/>
    </row>
    <row r="365" spans="1:1" x14ac:dyDescent="0.2">
      <c r="A365" s="19"/>
    </row>
    <row r="366" spans="1:1" x14ac:dyDescent="0.2">
      <c r="A366" s="19"/>
    </row>
    <row r="367" spans="1:1" x14ac:dyDescent="0.2">
      <c r="A367" s="19"/>
    </row>
    <row r="368" spans="1:1" x14ac:dyDescent="0.2">
      <c r="A368" s="19"/>
    </row>
    <row r="369" spans="1:1" x14ac:dyDescent="0.2">
      <c r="A369" s="19"/>
    </row>
    <row r="370" spans="1:1" x14ac:dyDescent="0.2">
      <c r="A370" s="19"/>
    </row>
    <row r="371" spans="1:1" x14ac:dyDescent="0.2">
      <c r="A371" s="19"/>
    </row>
    <row r="372" spans="1:1" x14ac:dyDescent="0.2">
      <c r="A372" s="19"/>
    </row>
    <row r="373" spans="1:1" x14ac:dyDescent="0.2">
      <c r="A373" s="19"/>
    </row>
    <row r="374" spans="1:1" x14ac:dyDescent="0.2">
      <c r="A374" s="19"/>
    </row>
    <row r="375" spans="1:1" x14ac:dyDescent="0.2">
      <c r="A375" s="19"/>
    </row>
    <row r="376" spans="1:1" x14ac:dyDescent="0.2">
      <c r="A376" s="19"/>
    </row>
    <row r="377" spans="1:1" x14ac:dyDescent="0.2">
      <c r="A377" s="19"/>
    </row>
    <row r="378" spans="1:1" x14ac:dyDescent="0.2">
      <c r="A378" s="19"/>
    </row>
    <row r="379" spans="1:1" x14ac:dyDescent="0.2">
      <c r="A379" s="19"/>
    </row>
    <row r="380" spans="1:1" x14ac:dyDescent="0.2">
      <c r="A380" s="19"/>
    </row>
    <row r="381" spans="1:1" x14ac:dyDescent="0.2">
      <c r="A381" s="19"/>
    </row>
    <row r="382" spans="1:1" x14ac:dyDescent="0.2">
      <c r="A382" s="19"/>
    </row>
    <row r="383" spans="1:1" x14ac:dyDescent="0.2">
      <c r="A383" s="19"/>
    </row>
    <row r="384" spans="1:1" x14ac:dyDescent="0.2">
      <c r="A384" s="19"/>
    </row>
    <row r="385" spans="1:1" x14ac:dyDescent="0.2">
      <c r="A385" s="19"/>
    </row>
    <row r="386" spans="1:1" x14ac:dyDescent="0.2">
      <c r="A386" s="19"/>
    </row>
    <row r="387" spans="1:1" x14ac:dyDescent="0.2">
      <c r="A387" s="19"/>
    </row>
    <row r="388" spans="1:1" x14ac:dyDescent="0.2">
      <c r="A388" s="19"/>
    </row>
    <row r="389" spans="1:1" x14ac:dyDescent="0.2">
      <c r="A389" s="19"/>
    </row>
    <row r="390" spans="1:1" x14ac:dyDescent="0.2">
      <c r="A390" s="19"/>
    </row>
    <row r="391" spans="1:1" x14ac:dyDescent="0.2">
      <c r="A391" s="19"/>
    </row>
    <row r="392" spans="1:1" x14ac:dyDescent="0.2">
      <c r="A392" s="19"/>
    </row>
    <row r="393" spans="1:1" x14ac:dyDescent="0.2">
      <c r="A393" s="19"/>
    </row>
    <row r="394" spans="1:1" x14ac:dyDescent="0.2">
      <c r="A394" s="19"/>
    </row>
    <row r="395" spans="1:1" x14ac:dyDescent="0.2">
      <c r="A395" s="19"/>
    </row>
    <row r="396" spans="1:1" x14ac:dyDescent="0.2">
      <c r="A396" s="19"/>
    </row>
    <row r="397" spans="1:1" x14ac:dyDescent="0.2">
      <c r="A397" s="19"/>
    </row>
    <row r="398" spans="1:1" x14ac:dyDescent="0.2">
      <c r="A398" s="19"/>
    </row>
    <row r="399" spans="1:1" x14ac:dyDescent="0.2">
      <c r="A399" s="19"/>
    </row>
    <row r="400" spans="1:1" x14ac:dyDescent="0.2">
      <c r="A400" s="19"/>
    </row>
    <row r="401" spans="1:1" x14ac:dyDescent="0.2">
      <c r="A401" s="19"/>
    </row>
    <row r="402" spans="1:1" x14ac:dyDescent="0.2">
      <c r="A402" s="19"/>
    </row>
    <row r="403" spans="1:1" x14ac:dyDescent="0.2">
      <c r="A403" s="19"/>
    </row>
    <row r="404" spans="1:1" x14ac:dyDescent="0.2">
      <c r="A404" s="19"/>
    </row>
    <row r="405" spans="1:1" x14ac:dyDescent="0.2">
      <c r="A405" s="19"/>
    </row>
    <row r="406" spans="1:1" x14ac:dyDescent="0.2">
      <c r="A406" s="19"/>
    </row>
    <row r="407" spans="1:1" x14ac:dyDescent="0.2">
      <c r="A407" s="19"/>
    </row>
    <row r="408" spans="1:1" x14ac:dyDescent="0.2">
      <c r="A408" s="19"/>
    </row>
    <row r="409" spans="1:1" x14ac:dyDescent="0.2">
      <c r="A409" s="19"/>
    </row>
    <row r="410" spans="1:1" x14ac:dyDescent="0.2">
      <c r="A410" s="19"/>
    </row>
    <row r="411" spans="1:1" x14ac:dyDescent="0.2">
      <c r="A411" s="19"/>
    </row>
    <row r="412" spans="1:1" x14ac:dyDescent="0.2">
      <c r="A412" s="19"/>
    </row>
    <row r="413" spans="1:1" x14ac:dyDescent="0.2">
      <c r="A413" s="19"/>
    </row>
    <row r="414" spans="1:1" x14ac:dyDescent="0.2">
      <c r="A414" s="19"/>
    </row>
    <row r="415" spans="1:1" x14ac:dyDescent="0.2">
      <c r="A415" s="19"/>
    </row>
    <row r="416" spans="1:1" x14ac:dyDescent="0.2">
      <c r="A416" s="19"/>
    </row>
    <row r="417" spans="1:1" x14ac:dyDescent="0.2">
      <c r="A417" s="19"/>
    </row>
    <row r="418" spans="1:1" x14ac:dyDescent="0.2">
      <c r="A418" s="19"/>
    </row>
    <row r="419" spans="1:1" x14ac:dyDescent="0.2">
      <c r="A419" s="19"/>
    </row>
    <row r="420" spans="1:1" x14ac:dyDescent="0.2">
      <c r="A420" s="19"/>
    </row>
    <row r="421" spans="1:1" x14ac:dyDescent="0.2">
      <c r="A421" s="19"/>
    </row>
    <row r="422" spans="1:1" x14ac:dyDescent="0.2">
      <c r="A422" s="19"/>
    </row>
    <row r="423" spans="1:1" x14ac:dyDescent="0.2">
      <c r="A423" s="19"/>
    </row>
    <row r="424" spans="1:1" x14ac:dyDescent="0.2">
      <c r="A424" s="19"/>
    </row>
    <row r="425" spans="1:1" x14ac:dyDescent="0.2">
      <c r="A425" s="19"/>
    </row>
    <row r="426" spans="1:1" x14ac:dyDescent="0.2">
      <c r="A426" s="19"/>
    </row>
    <row r="427" spans="1:1" x14ac:dyDescent="0.2">
      <c r="A427" s="19"/>
    </row>
    <row r="428" spans="1:1" x14ac:dyDescent="0.2">
      <c r="A428" s="19"/>
    </row>
    <row r="429" spans="1:1" x14ac:dyDescent="0.2">
      <c r="A429" s="19"/>
    </row>
    <row r="430" spans="1:1" x14ac:dyDescent="0.2">
      <c r="A430" s="19"/>
    </row>
    <row r="431" spans="1:1" x14ac:dyDescent="0.2">
      <c r="A431" s="19"/>
    </row>
    <row r="432" spans="1:1" x14ac:dyDescent="0.2">
      <c r="A432" s="19"/>
    </row>
    <row r="433" spans="1:1" x14ac:dyDescent="0.2">
      <c r="A433" s="19"/>
    </row>
    <row r="434" spans="1:1" x14ac:dyDescent="0.2">
      <c r="A434" s="19"/>
    </row>
    <row r="435" spans="1:1" x14ac:dyDescent="0.2">
      <c r="A435" s="19"/>
    </row>
    <row r="436" spans="1:1" x14ac:dyDescent="0.2">
      <c r="A436" s="19"/>
    </row>
    <row r="437" spans="1:1" x14ac:dyDescent="0.2">
      <c r="A437" s="19"/>
    </row>
    <row r="438" spans="1:1" x14ac:dyDescent="0.2">
      <c r="A438" s="19"/>
    </row>
    <row r="439" spans="1:1" x14ac:dyDescent="0.2">
      <c r="A439" s="19"/>
    </row>
    <row r="440" spans="1:1" x14ac:dyDescent="0.2">
      <c r="A440" s="19"/>
    </row>
    <row r="441" spans="1:1" x14ac:dyDescent="0.2">
      <c r="A441" s="19"/>
    </row>
    <row r="442" spans="1:1" x14ac:dyDescent="0.2">
      <c r="A442" s="19"/>
    </row>
    <row r="443" spans="1:1" x14ac:dyDescent="0.2">
      <c r="A443" s="19"/>
    </row>
    <row r="444" spans="1:1" x14ac:dyDescent="0.2">
      <c r="A444" s="19"/>
    </row>
    <row r="445" spans="1:1" x14ac:dyDescent="0.2">
      <c r="A445" s="19"/>
    </row>
    <row r="446" spans="1:1" x14ac:dyDescent="0.2">
      <c r="A446" s="19"/>
    </row>
    <row r="447" spans="1:1" x14ac:dyDescent="0.2">
      <c r="A447" s="19"/>
    </row>
    <row r="448" spans="1:1" x14ac:dyDescent="0.2">
      <c r="A448" s="19"/>
    </row>
    <row r="449" spans="1:1" x14ac:dyDescent="0.2">
      <c r="A449" s="19"/>
    </row>
    <row r="450" spans="1:1" x14ac:dyDescent="0.2">
      <c r="A450" s="19"/>
    </row>
    <row r="451" spans="1:1" x14ac:dyDescent="0.2">
      <c r="A451" s="19"/>
    </row>
    <row r="452" spans="1:1" x14ac:dyDescent="0.2">
      <c r="A452" s="19"/>
    </row>
    <row r="453" spans="1:1" x14ac:dyDescent="0.2">
      <c r="A453" s="19"/>
    </row>
    <row r="454" spans="1:1" x14ac:dyDescent="0.2">
      <c r="A454" s="19"/>
    </row>
    <row r="455" spans="1:1" x14ac:dyDescent="0.2">
      <c r="A455" s="19"/>
    </row>
    <row r="456" spans="1:1" x14ac:dyDescent="0.2">
      <c r="A456" s="19"/>
    </row>
    <row r="457" spans="1:1" x14ac:dyDescent="0.2">
      <c r="A457" s="19"/>
    </row>
    <row r="458" spans="1:1" x14ac:dyDescent="0.2">
      <c r="A458" s="19"/>
    </row>
    <row r="459" spans="1:1" x14ac:dyDescent="0.2">
      <c r="A459" s="19"/>
    </row>
    <row r="460" spans="1:1" x14ac:dyDescent="0.2">
      <c r="A460" s="19"/>
    </row>
    <row r="461" spans="1:1" x14ac:dyDescent="0.2">
      <c r="A461" s="19"/>
    </row>
    <row r="462" spans="1:1" x14ac:dyDescent="0.2">
      <c r="A462" s="19"/>
    </row>
    <row r="463" spans="1:1" x14ac:dyDescent="0.2">
      <c r="A463" s="19"/>
    </row>
    <row r="464" spans="1:1" x14ac:dyDescent="0.2">
      <c r="A464" s="19"/>
    </row>
    <row r="465" spans="1:1" x14ac:dyDescent="0.2">
      <c r="A465" s="19"/>
    </row>
    <row r="466" spans="1:1" x14ac:dyDescent="0.2">
      <c r="A466" s="19"/>
    </row>
    <row r="467" spans="1:1" x14ac:dyDescent="0.2">
      <c r="A467" s="19"/>
    </row>
    <row r="468" spans="1:1" x14ac:dyDescent="0.2">
      <c r="A468" s="19"/>
    </row>
    <row r="469" spans="1:1" x14ac:dyDescent="0.2">
      <c r="A469" s="19"/>
    </row>
    <row r="470" spans="1:1" x14ac:dyDescent="0.2">
      <c r="A470" s="19"/>
    </row>
    <row r="471" spans="1:1" x14ac:dyDescent="0.2">
      <c r="A471" s="19"/>
    </row>
    <row r="472" spans="1:1" x14ac:dyDescent="0.2">
      <c r="A472" s="19"/>
    </row>
    <row r="473" spans="1:1" x14ac:dyDescent="0.2">
      <c r="A473" s="19"/>
    </row>
    <row r="474" spans="1:1" x14ac:dyDescent="0.2">
      <c r="A474" s="19"/>
    </row>
    <row r="475" spans="1:1" x14ac:dyDescent="0.2">
      <c r="A475" s="19"/>
    </row>
    <row r="476" spans="1:1" x14ac:dyDescent="0.2">
      <c r="A476" s="19"/>
    </row>
    <row r="477" spans="1:1" x14ac:dyDescent="0.2">
      <c r="A477" s="19"/>
    </row>
    <row r="478" spans="1:1" x14ac:dyDescent="0.2">
      <c r="A478" s="19"/>
    </row>
    <row r="479" spans="1:1" x14ac:dyDescent="0.2">
      <c r="A479" s="19"/>
    </row>
    <row r="480" spans="1:1" x14ac:dyDescent="0.2">
      <c r="A480" s="19"/>
    </row>
    <row r="481" spans="1:1" x14ac:dyDescent="0.2">
      <c r="A481" s="19"/>
    </row>
    <row r="482" spans="1:1" x14ac:dyDescent="0.2">
      <c r="A482" s="19"/>
    </row>
    <row r="483" spans="1:1" x14ac:dyDescent="0.2">
      <c r="A483" s="19"/>
    </row>
    <row r="484" spans="1:1" x14ac:dyDescent="0.2">
      <c r="A484" s="19"/>
    </row>
    <row r="485" spans="1:1" x14ac:dyDescent="0.2">
      <c r="A485" s="19"/>
    </row>
    <row r="486" spans="1:1" x14ac:dyDescent="0.2">
      <c r="A486" s="19"/>
    </row>
    <row r="487" spans="1:1" x14ac:dyDescent="0.2">
      <c r="A487" s="19"/>
    </row>
    <row r="488" spans="1:1" x14ac:dyDescent="0.2">
      <c r="A488" s="19"/>
    </row>
    <row r="489" spans="1:1" x14ac:dyDescent="0.2">
      <c r="A489" s="19"/>
    </row>
    <row r="490" spans="1:1" x14ac:dyDescent="0.2">
      <c r="A490" s="19" t="s">
        <v>1620</v>
      </c>
    </row>
    <row r="491" spans="1:1" x14ac:dyDescent="0.2">
      <c r="A491" s="19" t="s">
        <v>1621</v>
      </c>
    </row>
    <row r="492" spans="1:1" x14ac:dyDescent="0.2">
      <c r="A492" s="19" t="s">
        <v>839</v>
      </c>
    </row>
    <row r="493" spans="1:1" x14ac:dyDescent="0.2">
      <c r="A493" s="19" t="s">
        <v>840</v>
      </c>
    </row>
    <row r="494" spans="1:1" x14ac:dyDescent="0.2">
      <c r="A494" s="19" t="s">
        <v>841</v>
      </c>
    </row>
    <row r="495" spans="1:1" x14ac:dyDescent="0.2">
      <c r="A495" s="19" t="s">
        <v>842</v>
      </c>
    </row>
    <row r="496" spans="1:1" x14ac:dyDescent="0.2">
      <c r="A496" s="19" t="s">
        <v>843</v>
      </c>
    </row>
    <row r="497" spans="1:1" x14ac:dyDescent="0.2">
      <c r="A497" s="19" t="s">
        <v>48</v>
      </c>
    </row>
    <row r="498" spans="1:1" x14ac:dyDescent="0.2">
      <c r="A498" s="19" t="s">
        <v>1590</v>
      </c>
    </row>
    <row r="499" spans="1:1" x14ac:dyDescent="0.2">
      <c r="A499" s="19" t="s">
        <v>1591</v>
      </c>
    </row>
    <row r="500" spans="1:1" x14ac:dyDescent="0.2">
      <c r="A500" s="19" t="s">
        <v>344</v>
      </c>
    </row>
    <row r="501" spans="1:1" x14ac:dyDescent="0.2">
      <c r="A501" s="19" t="s">
        <v>1098</v>
      </c>
    </row>
    <row r="502" spans="1:1" x14ac:dyDescent="0.2">
      <c r="A502" s="19" t="s">
        <v>1099</v>
      </c>
    </row>
    <row r="503" spans="1:1" x14ac:dyDescent="0.2">
      <c r="A503" s="19" t="s">
        <v>1100</v>
      </c>
    </row>
    <row r="504" spans="1:1" x14ac:dyDescent="0.2">
      <c r="A504" s="19" t="s">
        <v>1101</v>
      </c>
    </row>
    <row r="505" spans="1:1" x14ac:dyDescent="0.2">
      <c r="A505" s="19" t="s">
        <v>1102</v>
      </c>
    </row>
    <row r="506" spans="1:1" x14ac:dyDescent="0.2">
      <c r="A506" s="19" t="s">
        <v>1103</v>
      </c>
    </row>
    <row r="507" spans="1:1" x14ac:dyDescent="0.2">
      <c r="A507" s="19" t="s">
        <v>369</v>
      </c>
    </row>
    <row r="508" spans="1:1" x14ac:dyDescent="0.2">
      <c r="A508" s="19" t="s">
        <v>370</v>
      </c>
    </row>
    <row r="509" spans="1:1" x14ac:dyDescent="0.2">
      <c r="A509" s="19" t="s">
        <v>371</v>
      </c>
    </row>
    <row r="510" spans="1:1" x14ac:dyDescent="0.2">
      <c r="A510" s="19" t="s">
        <v>372</v>
      </c>
    </row>
    <row r="511" spans="1:1" x14ac:dyDescent="0.2">
      <c r="A511" s="19" t="s">
        <v>373</v>
      </c>
    </row>
    <row r="512" spans="1:1" x14ac:dyDescent="0.2">
      <c r="A512" s="19" t="s">
        <v>374</v>
      </c>
    </row>
    <row r="513" spans="1:1" x14ac:dyDescent="0.2">
      <c r="A513" s="19" t="s">
        <v>375</v>
      </c>
    </row>
    <row r="514" spans="1:1" x14ac:dyDescent="0.2">
      <c r="A514" s="19" t="s">
        <v>376</v>
      </c>
    </row>
    <row r="515" spans="1:1" x14ac:dyDescent="0.2">
      <c r="A515" s="19" t="s">
        <v>1031</v>
      </c>
    </row>
    <row r="516" spans="1:1" x14ac:dyDescent="0.2">
      <c r="A516" s="19" t="s">
        <v>1032</v>
      </c>
    </row>
    <row r="517" spans="1:1" x14ac:dyDescent="0.2">
      <c r="A517" s="19" t="s">
        <v>1033</v>
      </c>
    </row>
    <row r="518" spans="1:1" x14ac:dyDescent="0.2">
      <c r="A518" s="19" t="s">
        <v>1034</v>
      </c>
    </row>
    <row r="519" spans="1:1" x14ac:dyDescent="0.2">
      <c r="A519" s="19" t="s">
        <v>1035</v>
      </c>
    </row>
    <row r="520" spans="1:1" x14ac:dyDescent="0.2">
      <c r="A520" s="19" t="s">
        <v>1036</v>
      </c>
    </row>
    <row r="521" spans="1:1" x14ac:dyDescent="0.2">
      <c r="A521" s="19" t="s">
        <v>1037</v>
      </c>
    </row>
    <row r="522" spans="1:1" x14ac:dyDescent="0.2">
      <c r="A522" s="19" t="s">
        <v>856</v>
      </c>
    </row>
    <row r="523" spans="1:1" x14ac:dyDescent="0.2">
      <c r="A523" s="19" t="s">
        <v>857</v>
      </c>
    </row>
    <row r="524" spans="1:1" x14ac:dyDescent="0.2">
      <c r="A524" s="19" t="s">
        <v>858</v>
      </c>
    </row>
    <row r="525" spans="1:1" x14ac:dyDescent="0.2">
      <c r="A525" s="19" t="s">
        <v>385</v>
      </c>
    </row>
    <row r="526" spans="1:1" x14ac:dyDescent="0.2">
      <c r="A526" s="19" t="s">
        <v>386</v>
      </c>
    </row>
    <row r="527" spans="1:1" x14ac:dyDescent="0.2">
      <c r="A527" s="19" t="s">
        <v>387</v>
      </c>
    </row>
    <row r="528" spans="1:1" x14ac:dyDescent="0.2">
      <c r="A528" s="19" t="s">
        <v>388</v>
      </c>
    </row>
    <row r="529" spans="1:1" x14ac:dyDescent="0.2">
      <c r="A529" s="19" t="s">
        <v>604</v>
      </c>
    </row>
    <row r="530" spans="1:1" x14ac:dyDescent="0.2">
      <c r="A530" s="19" t="s">
        <v>1919</v>
      </c>
    </row>
    <row r="531" spans="1:1" x14ac:dyDescent="0.2">
      <c r="A531" s="19" t="s">
        <v>1920</v>
      </c>
    </row>
    <row r="532" spans="1:1" x14ac:dyDescent="0.2">
      <c r="A532" s="19" t="s">
        <v>1921</v>
      </c>
    </row>
    <row r="533" spans="1:1" x14ac:dyDescent="0.2">
      <c r="A533" s="19" t="s">
        <v>582</v>
      </c>
    </row>
    <row r="534" spans="1:1" x14ac:dyDescent="0.2">
      <c r="A534" s="19" t="s">
        <v>1677</v>
      </c>
    </row>
    <row r="535" spans="1:1" x14ac:dyDescent="0.2">
      <c r="A535" s="19" t="s">
        <v>499</v>
      </c>
    </row>
    <row r="536" spans="1:1" x14ac:dyDescent="0.2">
      <c r="A536" s="19" t="s">
        <v>500</v>
      </c>
    </row>
    <row r="537" spans="1:1" x14ac:dyDescent="0.2">
      <c r="A537" s="19" t="s">
        <v>501</v>
      </c>
    </row>
    <row r="538" spans="1:1" x14ac:dyDescent="0.2">
      <c r="A538" s="19" t="s">
        <v>502</v>
      </c>
    </row>
    <row r="539" spans="1:1" x14ac:dyDescent="0.2">
      <c r="A539" s="19" t="s">
        <v>503</v>
      </c>
    </row>
    <row r="540" spans="1:1" x14ac:dyDescent="0.2">
      <c r="A540" s="19" t="s">
        <v>504</v>
      </c>
    </row>
    <row r="541" spans="1:1" x14ac:dyDescent="0.2">
      <c r="A541" s="19" t="s">
        <v>538</v>
      </c>
    </row>
    <row r="542" spans="1:1" x14ac:dyDescent="0.2">
      <c r="A542" s="19" t="s">
        <v>1705</v>
      </c>
    </row>
    <row r="543" spans="1:1" x14ac:dyDescent="0.2">
      <c r="A543" s="19" t="s">
        <v>933</v>
      </c>
    </row>
    <row r="544" spans="1:1" x14ac:dyDescent="0.2">
      <c r="A544" s="19" t="s">
        <v>934</v>
      </c>
    </row>
    <row r="545" spans="1:1" x14ac:dyDescent="0.2">
      <c r="A545" s="19" t="s">
        <v>935</v>
      </c>
    </row>
    <row r="546" spans="1:1" x14ac:dyDescent="0.2">
      <c r="A546" s="19" t="s">
        <v>936</v>
      </c>
    </row>
    <row r="547" spans="1:1" x14ac:dyDescent="0.2">
      <c r="A547" s="19" t="s">
        <v>937</v>
      </c>
    </row>
    <row r="548" spans="1:1" x14ac:dyDescent="0.2">
      <c r="A548" s="19" t="s">
        <v>938</v>
      </c>
    </row>
    <row r="549" spans="1:1" x14ac:dyDescent="0.2">
      <c r="A549" s="19" t="s">
        <v>939</v>
      </c>
    </row>
    <row r="550" spans="1:1" x14ac:dyDescent="0.2">
      <c r="A550" s="19" t="s">
        <v>940</v>
      </c>
    </row>
    <row r="551" spans="1:1" x14ac:dyDescent="0.2">
      <c r="A551" s="19" t="s">
        <v>94</v>
      </c>
    </row>
    <row r="552" spans="1:1" x14ac:dyDescent="0.2">
      <c r="A552" s="19" t="s">
        <v>95</v>
      </c>
    </row>
    <row r="553" spans="1:1" x14ac:dyDescent="0.2">
      <c r="A553" s="19" t="s">
        <v>96</v>
      </c>
    </row>
    <row r="554" spans="1:1" x14ac:dyDescent="0.2">
      <c r="A554" s="19" t="s">
        <v>97</v>
      </c>
    </row>
    <row r="555" spans="1:1" x14ac:dyDescent="0.2">
      <c r="A555" s="19" t="s">
        <v>98</v>
      </c>
    </row>
  </sheetData>
  <sheetProtection sheet="1" objects="1" scenarios="1"/>
  <phoneticPr fontId="0" type="noConversion"/>
  <pageMargins left="0.75" right="0.75" top="1" bottom="1" header="0.5" footer="0.5"/>
  <pageSetup pageOrder="overThenDown" orientation="portrait" horizontalDpi="300" verticalDpi="300" r:id="rId1"/>
  <headerFooter alignWithMargins="0"/>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L27"/>
  <sheetViews>
    <sheetView zoomScaleNormal="100" workbookViewId="0"/>
  </sheetViews>
  <sheetFormatPr defaultColWidth="9.140625" defaultRowHeight="12.75" x14ac:dyDescent="0.2"/>
  <cols>
    <col min="1" max="2" width="17.42578125" style="408" customWidth="1"/>
    <col min="3" max="3" width="19.85546875" style="408" customWidth="1"/>
    <col min="4" max="5" width="20.42578125" style="408" customWidth="1"/>
    <col min="6" max="6" width="4.85546875" style="408" customWidth="1"/>
    <col min="7" max="7" width="12.28515625" style="408" customWidth="1"/>
    <col min="8" max="8" width="11" style="408" customWidth="1"/>
    <col min="9" max="16384" width="9.140625" style="408"/>
  </cols>
  <sheetData>
    <row r="1" spans="1:12" ht="12" customHeight="1" x14ac:dyDescent="0.2">
      <c r="A1" s="8"/>
      <c r="B1" s="8"/>
      <c r="C1" s="8"/>
      <c r="D1" s="8"/>
      <c r="E1" s="8"/>
      <c r="F1" s="8"/>
      <c r="G1" s="8"/>
      <c r="H1" s="8"/>
      <c r="I1" s="8"/>
      <c r="J1" s="8"/>
    </row>
    <row r="2" spans="1:12" ht="36.75" customHeight="1" x14ac:dyDescent="0.2">
      <c r="A2" s="1860" t="s">
        <v>1375</v>
      </c>
      <c r="B2" s="1860"/>
      <c r="C2" s="1860"/>
      <c r="D2" s="1860"/>
      <c r="E2" s="1860"/>
      <c r="F2" s="315"/>
      <c r="G2" s="315"/>
      <c r="H2" s="315"/>
      <c r="I2" s="315"/>
      <c r="J2" s="315"/>
      <c r="K2" s="10"/>
      <c r="L2" s="10"/>
    </row>
    <row r="3" spans="1:12" ht="24.75" customHeight="1" x14ac:dyDescent="0.2">
      <c r="A3" s="42"/>
      <c r="B3" s="1290" t="s">
        <v>1374</v>
      </c>
      <c r="C3" s="1959" t="s">
        <v>1966</v>
      </c>
      <c r="D3" s="1959"/>
      <c r="E3" s="1959"/>
      <c r="F3" s="10"/>
      <c r="G3" s="10"/>
      <c r="H3" s="10"/>
      <c r="I3" s="10"/>
      <c r="J3" s="10"/>
      <c r="K3" s="10"/>
      <c r="L3" s="10"/>
    </row>
    <row r="4" spans="1:12" ht="34.5" customHeight="1" x14ac:dyDescent="0.2">
      <c r="A4" s="42"/>
      <c r="B4" s="42"/>
      <c r="C4" s="215" t="s">
        <v>1967</v>
      </c>
      <c r="D4" s="215" t="s">
        <v>1285</v>
      </c>
      <c r="E4" s="215" t="s">
        <v>1286</v>
      </c>
      <c r="F4" s="385"/>
      <c r="G4" s="385"/>
      <c r="H4" s="385"/>
      <c r="I4" s="385"/>
      <c r="J4" s="385"/>
    </row>
    <row r="5" spans="1:12" ht="53.25" customHeight="1" x14ac:dyDescent="0.2">
      <c r="A5" s="42"/>
      <c r="B5" s="42"/>
      <c r="C5" s="215" t="s">
        <v>1287</v>
      </c>
      <c r="D5" s="215" t="s">
        <v>166</v>
      </c>
      <c r="E5" s="215" t="s">
        <v>167</v>
      </c>
      <c r="F5" s="385"/>
      <c r="G5" s="385"/>
      <c r="H5" s="385"/>
      <c r="I5" s="385"/>
      <c r="J5" s="385"/>
    </row>
    <row r="6" spans="1:12" x14ac:dyDescent="0.2">
      <c r="A6" s="269" t="s">
        <v>168</v>
      </c>
      <c r="B6" s="269" t="s">
        <v>169</v>
      </c>
      <c r="C6" s="269" t="s">
        <v>169</v>
      </c>
      <c r="D6" s="269" t="s">
        <v>169</v>
      </c>
      <c r="E6" s="269" t="s">
        <v>169</v>
      </c>
    </row>
    <row r="7" spans="1:12" x14ac:dyDescent="0.2">
      <c r="A7" s="409">
        <v>18264</v>
      </c>
      <c r="B7" s="410">
        <v>347.51</v>
      </c>
      <c r="C7" s="411">
        <v>117.47</v>
      </c>
      <c r="D7" s="412">
        <v>137.05000000000001</v>
      </c>
      <c r="E7" s="412">
        <v>347.51</v>
      </c>
      <c r="F7" s="408" t="s">
        <v>2175</v>
      </c>
      <c r="G7" s="269" t="s">
        <v>170</v>
      </c>
      <c r="H7" s="409" t="str">
        <f>IF('Start here'!A8="","",'Start here'!A8)</f>
        <v/>
      </c>
    </row>
    <row r="8" spans="1:12" x14ac:dyDescent="0.2">
      <c r="A8" s="409">
        <v>33604</v>
      </c>
      <c r="B8" s="410">
        <v>305.08999999999997</v>
      </c>
      <c r="C8" s="411">
        <v>103.13</v>
      </c>
      <c r="D8" s="412">
        <v>120.32</v>
      </c>
      <c r="E8" s="412">
        <v>305.08999999999997</v>
      </c>
      <c r="F8" s="408" t="s">
        <v>2177</v>
      </c>
      <c r="G8" s="269" t="s">
        <v>1891</v>
      </c>
      <c r="H8" s="412" t="e">
        <f>IF(H7&lt;1/1/50,0,VLOOKUP(H7,A7:E16,3))</f>
        <v>#N/A</v>
      </c>
    </row>
    <row r="9" spans="1:12" x14ac:dyDescent="0.2">
      <c r="A9" s="409">
        <v>33786</v>
      </c>
      <c r="B9" s="410">
        <v>315.63</v>
      </c>
      <c r="C9" s="411">
        <v>106.69</v>
      </c>
      <c r="D9" s="412">
        <v>124.47</v>
      </c>
      <c r="E9" s="412">
        <v>315.63</v>
      </c>
      <c r="F9" s="408" t="s">
        <v>2177</v>
      </c>
      <c r="G9" s="269" t="s">
        <v>1892</v>
      </c>
      <c r="H9" s="412" t="e">
        <f>IF(H7&lt;1/1/50,0,VLOOKUP(H7,A7:E16,4))</f>
        <v>#N/A</v>
      </c>
    </row>
    <row r="10" spans="1:12" x14ac:dyDescent="0.2">
      <c r="A10" s="409">
        <v>34151</v>
      </c>
      <c r="B10" s="410">
        <v>331.41</v>
      </c>
      <c r="C10" s="411">
        <v>112.03</v>
      </c>
      <c r="D10" s="412">
        <v>130.69999999999999</v>
      </c>
      <c r="E10" s="412">
        <v>331.41</v>
      </c>
      <c r="F10" s="408" t="s">
        <v>2177</v>
      </c>
      <c r="G10" s="269" t="s">
        <v>1893</v>
      </c>
      <c r="H10" s="412" t="e">
        <f>IF(H7&lt;1/1/50,0,VLOOKUP(H7,A7:E16,5))</f>
        <v>#N/A</v>
      </c>
    </row>
    <row r="11" spans="1:12" x14ac:dyDescent="0.2">
      <c r="A11" s="409">
        <v>34516</v>
      </c>
      <c r="B11" s="410">
        <v>347.51</v>
      </c>
      <c r="C11" s="411">
        <v>117.47</v>
      </c>
      <c r="D11" s="412">
        <v>137.05000000000001</v>
      </c>
      <c r="E11" s="412">
        <v>347.51</v>
      </c>
      <c r="F11" s="408" t="s">
        <v>2175</v>
      </c>
      <c r="G11" s="269" t="s">
        <v>1374</v>
      </c>
      <c r="H11" s="412" t="e">
        <f>IF(H7&lt;1/1/50,0,VLOOKUP(H7,A7:E16,2))</f>
        <v>#N/A</v>
      </c>
    </row>
    <row r="12" spans="1:12" x14ac:dyDescent="0.2">
      <c r="A12" s="409">
        <v>34881</v>
      </c>
      <c r="B12" s="410">
        <v>351.05</v>
      </c>
      <c r="C12" s="411">
        <v>118.67</v>
      </c>
      <c r="D12" s="412">
        <v>138.44</v>
      </c>
      <c r="E12" s="412">
        <v>351.05</v>
      </c>
      <c r="G12" s="60"/>
      <c r="H12" s="60"/>
      <c r="I12" s="60"/>
      <c r="J12" s="60"/>
    </row>
    <row r="13" spans="1:12" x14ac:dyDescent="0.2">
      <c r="A13" s="409">
        <v>35065</v>
      </c>
      <c r="B13" s="410">
        <v>420</v>
      </c>
      <c r="C13" s="411">
        <v>130</v>
      </c>
      <c r="D13" s="412">
        <v>230</v>
      </c>
      <c r="E13" s="412">
        <v>625</v>
      </c>
      <c r="G13" s="60"/>
      <c r="H13" s="60"/>
      <c r="I13" s="60"/>
      <c r="J13" s="60"/>
    </row>
    <row r="14" spans="1:12" x14ac:dyDescent="0.2">
      <c r="A14" s="409">
        <v>35796</v>
      </c>
      <c r="B14" s="410">
        <v>454</v>
      </c>
      <c r="C14" s="411">
        <v>137.80000000000001</v>
      </c>
      <c r="D14" s="412">
        <v>243.8</v>
      </c>
      <c r="E14" s="412">
        <v>662.5</v>
      </c>
      <c r="G14" s="60"/>
      <c r="H14" s="60"/>
      <c r="I14" s="60"/>
      <c r="J14" s="60"/>
    </row>
    <row r="15" spans="1:12" x14ac:dyDescent="0.2">
      <c r="A15" s="409">
        <v>36526</v>
      </c>
      <c r="B15" s="410">
        <v>511.29</v>
      </c>
      <c r="C15" s="411">
        <v>153</v>
      </c>
      <c r="D15" s="412">
        <v>267.44</v>
      </c>
      <c r="E15" s="412">
        <v>709.79</v>
      </c>
      <c r="G15" s="60"/>
      <c r="H15" s="60"/>
      <c r="I15" s="60"/>
      <c r="J15" s="60"/>
    </row>
    <row r="16" spans="1:12" x14ac:dyDescent="0.2">
      <c r="A16" s="409">
        <v>37257</v>
      </c>
      <c r="B16" s="410">
        <v>559</v>
      </c>
      <c r="C16" s="411">
        <v>184</v>
      </c>
      <c r="D16" s="412">
        <v>321</v>
      </c>
      <c r="E16" s="412">
        <v>748</v>
      </c>
      <c r="G16" s="60"/>
      <c r="H16" s="60"/>
      <c r="I16" s="60"/>
      <c r="J16" s="60"/>
    </row>
    <row r="17" spans="1:5" x14ac:dyDescent="0.2">
      <c r="A17" s="300"/>
      <c r="B17" s="300"/>
      <c r="C17" s="299"/>
      <c r="D17" s="269"/>
      <c r="E17" s="269"/>
    </row>
    <row r="18" spans="1:5" x14ac:dyDescent="0.2">
      <c r="A18" s="299"/>
      <c r="B18" s="299"/>
      <c r="C18" s="299"/>
      <c r="D18" s="269"/>
      <c r="E18" s="269"/>
    </row>
    <row r="19" spans="1:5" x14ac:dyDescent="0.2">
      <c r="A19" s="299"/>
      <c r="B19" s="299"/>
      <c r="C19" s="299"/>
      <c r="D19" s="269"/>
      <c r="E19" s="269"/>
    </row>
    <row r="20" spans="1:5" x14ac:dyDescent="0.2">
      <c r="A20" s="299"/>
      <c r="B20" s="299"/>
      <c r="C20" s="299"/>
      <c r="D20" s="269"/>
      <c r="E20" s="269"/>
    </row>
    <row r="21" spans="1:5" x14ac:dyDescent="0.2">
      <c r="A21" s="299"/>
      <c r="B21" s="299"/>
      <c r="C21" s="299"/>
      <c r="D21" s="269"/>
      <c r="E21" s="269"/>
    </row>
    <row r="22" spans="1:5" x14ac:dyDescent="0.2">
      <c r="A22" s="299"/>
      <c r="B22" s="299"/>
      <c r="C22" s="299"/>
      <c r="D22" s="269"/>
      <c r="E22" s="269"/>
    </row>
    <row r="23" spans="1:5" x14ac:dyDescent="0.2">
      <c r="A23" s="299"/>
      <c r="B23" s="299"/>
      <c r="C23" s="299"/>
      <c r="D23" s="269"/>
      <c r="E23" s="269"/>
    </row>
    <row r="24" spans="1:5" x14ac:dyDescent="0.2">
      <c r="A24" s="299"/>
      <c r="B24" s="299"/>
      <c r="C24" s="299"/>
      <c r="D24" s="269"/>
      <c r="E24" s="269"/>
    </row>
    <row r="26" spans="1:5" ht="66.75" customHeight="1" x14ac:dyDescent="0.25">
      <c r="A26" s="2481" t="s">
        <v>2176</v>
      </c>
      <c r="B26" s="2481"/>
      <c r="C26" s="2481"/>
      <c r="D26" s="2481"/>
      <c r="E26" s="2481"/>
    </row>
    <row r="27" spans="1:5" ht="15.75" x14ac:dyDescent="0.25">
      <c r="A27" s="2481" t="s">
        <v>2178</v>
      </c>
      <c r="B27" s="2481"/>
      <c r="C27" s="2481"/>
      <c r="D27" s="2481"/>
      <c r="E27" s="2481"/>
    </row>
  </sheetData>
  <sheetProtection sheet="1" objects="1" scenarios="1"/>
  <mergeCells count="4">
    <mergeCell ref="C3:E3"/>
    <mergeCell ref="A2:E2"/>
    <mergeCell ref="A26:E26"/>
    <mergeCell ref="A27:E27"/>
  </mergeCells>
  <phoneticPr fontId="0" type="noConversion"/>
  <pageMargins left="0.75" right="0.75" top="1" bottom="1" header="0.5" footer="0.5"/>
  <pageSetup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CA224"/>
  <sheetViews>
    <sheetView zoomScale="150" zoomScaleNormal="150" workbookViewId="0">
      <selection sqref="A1:B1"/>
    </sheetView>
  </sheetViews>
  <sheetFormatPr defaultColWidth="9.140625" defaultRowHeight="12.75" x14ac:dyDescent="0.2"/>
  <cols>
    <col min="1" max="1" width="81.28515625" style="3" customWidth="1"/>
    <col min="2" max="2" width="17.140625" style="37" customWidth="1"/>
    <col min="3" max="5" width="4.7109375" style="37" customWidth="1"/>
    <col min="6" max="6" width="4.7109375" style="38" customWidth="1"/>
    <col min="7" max="12" width="4.7109375" style="37" customWidth="1"/>
    <col min="13" max="13" width="10.140625" style="37" customWidth="1"/>
    <col min="14" max="14" width="8" style="37" bestFit="1" customWidth="1"/>
    <col min="15" max="15" width="10.28515625" style="38" bestFit="1" customWidth="1"/>
    <col min="16" max="51" width="9.140625" style="37"/>
    <col min="52" max="16384" width="9.140625" style="3"/>
  </cols>
  <sheetData>
    <row r="1" spans="1:79" ht="25.5" customHeight="1" x14ac:dyDescent="0.3">
      <c r="A1" s="2483" t="s">
        <v>1794</v>
      </c>
      <c r="B1" s="2483"/>
      <c r="C1" s="644"/>
      <c r="D1" s="644"/>
      <c r="E1" s="644"/>
      <c r="F1" s="645"/>
      <c r="G1" s="644"/>
      <c r="H1" s="644"/>
      <c r="I1" s="644"/>
      <c r="J1" s="644"/>
      <c r="K1" s="644"/>
      <c r="L1" s="644"/>
      <c r="M1" s="644"/>
      <c r="N1" s="644"/>
      <c r="O1" s="645"/>
      <c r="P1" s="413"/>
      <c r="Q1" s="413"/>
      <c r="R1" s="413"/>
      <c r="S1" s="413"/>
      <c r="T1" s="413"/>
      <c r="U1" s="413"/>
      <c r="V1" s="413"/>
      <c r="W1" s="413"/>
      <c r="X1" s="413"/>
      <c r="Y1" s="413"/>
      <c r="Z1" s="413"/>
      <c r="AA1" s="413"/>
      <c r="AB1" s="413"/>
      <c r="AC1" s="413"/>
      <c r="AD1" s="413"/>
      <c r="AE1" s="413"/>
      <c r="AF1" s="413"/>
      <c r="AG1" s="413"/>
      <c r="AH1" s="413"/>
      <c r="AI1" s="413"/>
      <c r="AJ1" s="413"/>
      <c r="AK1" s="413"/>
      <c r="AL1" s="413"/>
      <c r="AM1" s="413"/>
      <c r="AN1" s="413"/>
      <c r="AO1" s="413"/>
      <c r="AP1" s="413"/>
      <c r="AQ1" s="413"/>
      <c r="AR1" s="413"/>
      <c r="AS1" s="413"/>
      <c r="AT1" s="413"/>
      <c r="AU1" s="413"/>
      <c r="AV1" s="413"/>
      <c r="AW1" s="413"/>
      <c r="AX1" s="413"/>
      <c r="AY1" s="413"/>
      <c r="AZ1" s="414"/>
      <c r="BA1" s="414"/>
      <c r="BB1" s="414"/>
      <c r="BC1" s="414"/>
      <c r="BD1" s="414"/>
      <c r="BE1" s="414"/>
      <c r="BF1" s="414"/>
      <c r="BG1" s="414"/>
      <c r="BH1" s="414"/>
      <c r="BI1" s="414"/>
      <c r="BJ1" s="414"/>
      <c r="BK1" s="414"/>
      <c r="BL1" s="414"/>
      <c r="BM1" s="414"/>
      <c r="BN1" s="414"/>
      <c r="BO1" s="414"/>
      <c r="BP1" s="414"/>
      <c r="BQ1" s="414"/>
      <c r="BR1" s="414"/>
      <c r="BS1" s="414"/>
      <c r="BT1" s="414"/>
      <c r="BU1" s="414"/>
      <c r="BV1" s="414"/>
      <c r="BW1" s="414"/>
      <c r="BX1" s="414"/>
      <c r="BY1" s="414"/>
      <c r="BZ1" s="414"/>
      <c r="CA1" s="414"/>
    </row>
    <row r="2" spans="1:79" ht="12" customHeight="1" x14ac:dyDescent="0.2">
      <c r="A2" s="2488"/>
      <c r="B2" s="2488"/>
      <c r="C2" s="22"/>
      <c r="D2" s="213"/>
      <c r="E2" s="22"/>
      <c r="F2" s="213"/>
      <c r="G2" s="22"/>
      <c r="H2" s="213"/>
      <c r="I2" s="22"/>
      <c r="J2" s="415"/>
      <c r="K2" s="415"/>
      <c r="L2" s="415"/>
      <c r="M2" s="415"/>
      <c r="N2" s="415"/>
      <c r="O2" s="187"/>
    </row>
    <row r="3" spans="1:79" ht="24" customHeight="1" x14ac:dyDescent="0.2">
      <c r="A3" s="2489" t="s">
        <v>813</v>
      </c>
      <c r="B3" s="2490"/>
      <c r="C3" s="22"/>
      <c r="D3" s="213"/>
      <c r="E3" s="22"/>
      <c r="F3" s="213"/>
      <c r="G3" s="22"/>
      <c r="H3" s="213"/>
      <c r="I3" s="22"/>
      <c r="J3" s="415"/>
      <c r="K3" s="415"/>
      <c r="L3" s="415"/>
      <c r="M3" s="415"/>
      <c r="N3" s="415"/>
      <c r="O3" s="187"/>
    </row>
    <row r="4" spans="1:79" ht="18" customHeight="1" x14ac:dyDescent="0.2">
      <c r="A4" s="416" t="s">
        <v>1795</v>
      </c>
      <c r="B4" s="416" t="s">
        <v>1796</v>
      </c>
      <c r="C4" s="22"/>
      <c r="D4" s="213"/>
      <c r="E4" s="22"/>
      <c r="F4" s="213"/>
      <c r="G4" s="22"/>
      <c r="H4" s="213"/>
      <c r="I4" s="22"/>
      <c r="J4" s="415"/>
      <c r="K4" s="415"/>
      <c r="L4" s="415"/>
      <c r="M4" s="415"/>
      <c r="N4" s="415"/>
      <c r="O4" s="187"/>
    </row>
    <row r="5" spans="1:79" ht="18" customHeight="1" x14ac:dyDescent="0.2">
      <c r="A5" s="353" t="s">
        <v>529</v>
      </c>
      <c r="B5" s="417">
        <v>0</v>
      </c>
      <c r="C5" s="22"/>
      <c r="D5" s="213"/>
      <c r="E5" s="22"/>
      <c r="F5" s="213"/>
      <c r="G5" s="22"/>
      <c r="H5" s="213"/>
      <c r="I5" s="22"/>
      <c r="J5" s="415"/>
      <c r="K5" s="415"/>
      <c r="L5" s="415"/>
      <c r="M5" s="415"/>
      <c r="N5" s="415"/>
      <c r="O5" s="187"/>
    </row>
    <row r="6" spans="1:79" ht="18" customHeight="1" x14ac:dyDescent="0.2">
      <c r="A6" s="353" t="s">
        <v>1797</v>
      </c>
      <c r="B6" s="417">
        <v>0.05</v>
      </c>
      <c r="C6" s="22"/>
      <c r="D6" s="213"/>
      <c r="E6" s="22"/>
      <c r="F6" s="213"/>
      <c r="G6" s="22"/>
      <c r="H6" s="213"/>
      <c r="I6" s="22"/>
      <c r="J6" s="415"/>
      <c r="K6" s="415"/>
      <c r="L6" s="415"/>
      <c r="M6" s="415"/>
      <c r="N6" s="415"/>
      <c r="O6" s="187"/>
    </row>
    <row r="7" spans="1:79" ht="18" customHeight="1" x14ac:dyDescent="0.2">
      <c r="A7" s="353" t="s">
        <v>1798</v>
      </c>
      <c r="B7" s="417">
        <v>0.1</v>
      </c>
      <c r="C7" s="22"/>
      <c r="D7" s="213"/>
      <c r="E7" s="22"/>
      <c r="F7" s="213"/>
      <c r="G7" s="22"/>
      <c r="H7" s="213"/>
      <c r="I7" s="22"/>
      <c r="J7" s="415"/>
      <c r="K7" s="415"/>
      <c r="L7" s="415"/>
      <c r="M7" s="415"/>
      <c r="N7" s="415"/>
      <c r="O7" s="187"/>
    </row>
    <row r="8" spans="1:79" ht="18" customHeight="1" x14ac:dyDescent="0.2">
      <c r="A8" s="353" t="s">
        <v>701</v>
      </c>
      <c r="B8" s="417">
        <v>0.2</v>
      </c>
      <c r="C8" s="22"/>
      <c r="D8" s="213"/>
      <c r="E8" s="22"/>
      <c r="F8" s="213"/>
      <c r="G8" s="22"/>
      <c r="H8" s="213"/>
      <c r="I8" s="22"/>
      <c r="J8" s="415"/>
      <c r="K8" s="415"/>
      <c r="L8" s="415"/>
      <c r="M8" s="415"/>
      <c r="N8" s="415"/>
      <c r="O8" s="187"/>
    </row>
    <row r="9" spans="1:79" ht="18" customHeight="1" x14ac:dyDescent="0.2">
      <c r="A9" s="646" t="s">
        <v>1799</v>
      </c>
      <c r="B9" s="646">
        <v>0.3</v>
      </c>
      <c r="C9" s="22"/>
      <c r="D9" s="22"/>
      <c r="E9" s="22"/>
      <c r="F9" s="647"/>
      <c r="G9" s="22"/>
      <c r="H9" s="22"/>
      <c r="I9" s="22"/>
      <c r="J9" s="22"/>
      <c r="K9" s="22"/>
      <c r="L9" s="22"/>
      <c r="M9" s="22"/>
      <c r="N9" s="22"/>
      <c r="O9" s="647"/>
    </row>
    <row r="10" spans="1:79" ht="18" customHeight="1" x14ac:dyDescent="0.2">
      <c r="A10" s="646" t="s">
        <v>1800</v>
      </c>
      <c r="B10" s="646">
        <v>0.4</v>
      </c>
      <c r="C10" s="22"/>
      <c r="D10" s="22"/>
      <c r="E10" s="22"/>
      <c r="F10" s="647"/>
      <c r="G10" s="22"/>
      <c r="H10" s="22"/>
      <c r="I10" s="22"/>
      <c r="J10" s="22"/>
      <c r="K10" s="22"/>
      <c r="L10" s="22"/>
      <c r="M10" s="22"/>
      <c r="N10" s="22"/>
      <c r="O10" s="647"/>
    </row>
    <row r="11" spans="1:79" ht="18" customHeight="1" x14ac:dyDescent="0.2">
      <c r="A11" s="646" t="s">
        <v>702</v>
      </c>
      <c r="B11" s="646">
        <v>0.5</v>
      </c>
      <c r="C11" s="22"/>
      <c r="D11" s="22"/>
      <c r="E11" s="22"/>
      <c r="F11" s="647"/>
      <c r="G11" s="22"/>
      <c r="H11" s="22"/>
      <c r="I11" s="22"/>
      <c r="J11" s="22"/>
      <c r="K11" s="22"/>
      <c r="L11" s="22"/>
      <c r="M11" s="22"/>
      <c r="N11" s="22"/>
      <c r="O11" s="647"/>
    </row>
    <row r="12" spans="1:79" ht="18" customHeight="1" x14ac:dyDescent="0.2">
      <c r="A12" s="646" t="s">
        <v>304</v>
      </c>
      <c r="B12" s="646">
        <v>0.6</v>
      </c>
      <c r="C12" s="22"/>
      <c r="D12" s="22"/>
      <c r="E12" s="22"/>
      <c r="F12" s="647"/>
      <c r="G12" s="22"/>
      <c r="H12" s="22"/>
      <c r="I12" s="22"/>
      <c r="J12" s="22"/>
      <c r="K12" s="22"/>
      <c r="L12" s="22"/>
      <c r="M12" s="22"/>
      <c r="N12" s="22"/>
      <c r="O12" s="647"/>
    </row>
    <row r="13" spans="1:79" ht="18" customHeight="1" x14ac:dyDescent="0.2">
      <c r="A13" s="646" t="s">
        <v>305</v>
      </c>
      <c r="B13" s="646">
        <v>0.7</v>
      </c>
      <c r="C13" s="22"/>
      <c r="D13" s="22"/>
      <c r="E13" s="22"/>
      <c r="F13" s="647"/>
      <c r="G13" s="22"/>
      <c r="H13" s="22"/>
      <c r="I13" s="22"/>
      <c r="J13" s="22"/>
      <c r="K13" s="22"/>
      <c r="L13" s="22"/>
      <c r="M13" s="22"/>
      <c r="N13" s="22"/>
      <c r="O13" s="647"/>
    </row>
    <row r="14" spans="1:79" ht="18" customHeight="1" x14ac:dyDescent="0.2">
      <c r="A14" s="646" t="s">
        <v>367</v>
      </c>
      <c r="B14" s="646">
        <v>0.75</v>
      </c>
      <c r="C14" s="22"/>
      <c r="D14" s="22"/>
      <c r="E14" s="22"/>
      <c r="F14" s="647"/>
      <c r="G14" s="22"/>
      <c r="H14" s="22"/>
      <c r="I14" s="22"/>
      <c r="J14" s="22"/>
      <c r="K14" s="22"/>
      <c r="L14" s="22"/>
      <c r="M14" s="22"/>
      <c r="N14" s="22"/>
      <c r="O14" s="647"/>
    </row>
    <row r="15" spans="1:79" ht="18" customHeight="1" x14ac:dyDescent="0.2">
      <c r="A15" s="646" t="s">
        <v>306</v>
      </c>
      <c r="B15" s="646">
        <v>0.8</v>
      </c>
      <c r="C15" s="22"/>
      <c r="D15" s="22"/>
      <c r="E15" s="22"/>
      <c r="F15" s="647"/>
      <c r="G15" s="22"/>
      <c r="H15" s="22"/>
      <c r="I15" s="22"/>
      <c r="J15" s="22"/>
      <c r="K15" s="22"/>
      <c r="L15" s="22"/>
      <c r="M15" s="22"/>
      <c r="N15" s="22"/>
      <c r="O15" s="647"/>
    </row>
    <row r="16" spans="1:79" ht="18" customHeight="1" x14ac:dyDescent="0.2">
      <c r="A16" s="646" t="s">
        <v>307</v>
      </c>
      <c r="B16" s="646">
        <v>0.85</v>
      </c>
      <c r="C16" s="22"/>
      <c r="D16" s="22"/>
      <c r="E16" s="22"/>
      <c r="F16" s="647"/>
      <c r="G16" s="22"/>
      <c r="H16" s="22"/>
      <c r="I16" s="22"/>
      <c r="J16" s="22"/>
      <c r="K16" s="22"/>
      <c r="L16" s="22"/>
      <c r="M16" s="22"/>
      <c r="N16" s="22"/>
      <c r="O16" s="647"/>
    </row>
    <row r="17" spans="1:15" ht="18" customHeight="1" x14ac:dyDescent="0.2">
      <c r="A17" s="646" t="s">
        <v>368</v>
      </c>
      <c r="B17" s="646">
        <v>0.9</v>
      </c>
      <c r="C17" s="22"/>
      <c r="D17" s="22"/>
      <c r="E17" s="22"/>
      <c r="F17" s="647"/>
      <c r="G17" s="22"/>
      <c r="H17" s="22"/>
      <c r="I17" s="22"/>
      <c r="J17" s="22"/>
      <c r="K17" s="22"/>
      <c r="L17" s="22"/>
      <c r="M17" s="22"/>
      <c r="N17" s="22"/>
      <c r="O17" s="647"/>
    </row>
    <row r="18" spans="1:15" ht="18" customHeight="1" x14ac:dyDescent="0.2">
      <c r="A18" s="646" t="s">
        <v>308</v>
      </c>
      <c r="B18" s="646">
        <v>0.95</v>
      </c>
      <c r="C18" s="22"/>
      <c r="D18" s="22"/>
      <c r="E18" s="22"/>
      <c r="F18" s="647"/>
      <c r="G18" s="22"/>
      <c r="H18" s="22"/>
      <c r="I18" s="22"/>
      <c r="J18" s="22"/>
      <c r="K18" s="22"/>
      <c r="L18" s="22"/>
      <c r="M18" s="22"/>
      <c r="N18" s="22"/>
      <c r="O18" s="647"/>
    </row>
    <row r="19" spans="1:15" ht="18" customHeight="1" x14ac:dyDescent="0.2">
      <c r="A19" s="646" t="s">
        <v>1904</v>
      </c>
      <c r="B19" s="646">
        <v>1</v>
      </c>
      <c r="C19" s="22"/>
      <c r="D19" s="22"/>
      <c r="E19" s="22"/>
      <c r="F19" s="647"/>
      <c r="G19" s="22"/>
      <c r="H19" s="22"/>
      <c r="I19" s="22"/>
      <c r="J19" s="22"/>
      <c r="K19" s="22"/>
      <c r="L19" s="22"/>
      <c r="M19" s="22"/>
      <c r="N19" s="22"/>
      <c r="O19" s="647"/>
    </row>
    <row r="20" spans="1:15" ht="23.25" customHeight="1" x14ac:dyDescent="0.2">
      <c r="A20" s="2488" t="s">
        <v>309</v>
      </c>
      <c r="B20" s="2488"/>
      <c r="C20" s="22"/>
      <c r="D20" s="22"/>
      <c r="E20" s="22"/>
      <c r="F20" s="647"/>
      <c r="G20" s="22"/>
      <c r="H20" s="22"/>
      <c r="I20" s="22"/>
      <c r="J20" s="22"/>
      <c r="K20" s="22"/>
      <c r="L20" s="22"/>
      <c r="M20" s="22"/>
      <c r="N20" s="22"/>
      <c r="O20" s="647"/>
    </row>
    <row r="21" spans="1:15" x14ac:dyDescent="0.2">
      <c r="A21" s="22"/>
      <c r="B21" s="22"/>
      <c r="C21" s="22"/>
      <c r="D21" s="22"/>
      <c r="E21" s="22"/>
      <c r="F21" s="647"/>
      <c r="G21" s="22"/>
      <c r="H21" s="22"/>
      <c r="I21" s="22"/>
      <c r="J21" s="22"/>
      <c r="K21" s="22"/>
      <c r="L21" s="22"/>
      <c r="M21" s="22"/>
      <c r="N21" s="22"/>
      <c r="O21" s="647"/>
    </row>
    <row r="22" spans="1:15" x14ac:dyDescent="0.2">
      <c r="A22" s="648" t="s">
        <v>1139</v>
      </c>
      <c r="B22" s="22"/>
      <c r="C22" s="22"/>
      <c r="D22" s="22"/>
      <c r="E22" s="22"/>
      <c r="F22" s="647"/>
      <c r="G22" s="22"/>
      <c r="H22" s="22"/>
      <c r="I22" s="22"/>
      <c r="J22" s="22"/>
      <c r="K22" s="22"/>
      <c r="L22" s="22"/>
      <c r="M22" s="22"/>
      <c r="N22" s="22"/>
      <c r="O22" s="647"/>
    </row>
    <row r="23" spans="1:15" x14ac:dyDescent="0.2">
      <c r="A23" s="22"/>
      <c r="B23" s="22"/>
      <c r="C23" s="22"/>
      <c r="D23" s="22"/>
      <c r="E23" s="22"/>
      <c r="F23" s="647"/>
      <c r="G23" s="22"/>
      <c r="H23" s="22"/>
      <c r="I23" s="22"/>
      <c r="J23" s="22"/>
      <c r="K23" s="22"/>
      <c r="L23" s="22"/>
      <c r="M23" s="22"/>
      <c r="N23" s="22"/>
      <c r="O23" s="647"/>
    </row>
    <row r="24" spans="1:15" ht="34.5" customHeight="1" x14ac:dyDescent="0.2">
      <c r="A24" s="649" t="s">
        <v>1977</v>
      </c>
      <c r="B24" s="22"/>
      <c r="C24" s="22"/>
      <c r="D24" s="22"/>
      <c r="E24" s="22"/>
      <c r="F24" s="647"/>
      <c r="G24" s="22"/>
      <c r="H24" s="22"/>
      <c r="I24" s="22"/>
      <c r="J24" s="22"/>
      <c r="K24" s="22"/>
      <c r="L24" s="22"/>
      <c r="M24" s="22"/>
      <c r="N24" s="22"/>
      <c r="O24" s="647"/>
    </row>
    <row r="25" spans="1:15" ht="25.5" x14ac:dyDescent="0.2">
      <c r="A25" s="649" t="s">
        <v>213</v>
      </c>
      <c r="B25" s="22"/>
      <c r="C25" s="22"/>
      <c r="D25" s="22"/>
      <c r="E25" s="22"/>
      <c r="F25" s="647"/>
      <c r="G25" s="22"/>
      <c r="H25" s="22"/>
      <c r="I25" s="22"/>
      <c r="J25" s="22"/>
      <c r="K25" s="22"/>
      <c r="L25" s="22"/>
      <c r="M25" s="22"/>
      <c r="N25" s="22"/>
      <c r="O25" s="647"/>
    </row>
    <row r="26" spans="1:15" ht="25.5" x14ac:dyDescent="0.2">
      <c r="A26" s="649" t="s">
        <v>214</v>
      </c>
      <c r="B26" s="22"/>
      <c r="C26" s="22"/>
      <c r="D26" s="22"/>
      <c r="E26" s="22"/>
      <c r="F26" s="647"/>
      <c r="G26" s="22"/>
      <c r="H26" s="22"/>
      <c r="I26" s="22"/>
      <c r="J26" s="22"/>
      <c r="K26" s="22"/>
      <c r="L26" s="22"/>
      <c r="M26" s="22"/>
      <c r="N26" s="22"/>
      <c r="O26" s="647"/>
    </row>
    <row r="27" spans="1:15" x14ac:dyDescent="0.2">
      <c r="A27" s="650" t="s">
        <v>215</v>
      </c>
      <c r="B27" s="22"/>
      <c r="C27" s="22"/>
      <c r="D27" s="22"/>
      <c r="E27" s="22"/>
      <c r="F27" s="647"/>
      <c r="G27" s="22"/>
      <c r="H27" s="22"/>
      <c r="I27" s="22"/>
      <c r="J27" s="22"/>
      <c r="K27" s="22"/>
      <c r="L27" s="22"/>
      <c r="M27" s="22"/>
      <c r="N27" s="22"/>
      <c r="O27" s="647"/>
    </row>
    <row r="28" spans="1:15" x14ac:dyDescent="0.2">
      <c r="A28" s="651" t="s">
        <v>216</v>
      </c>
      <c r="B28" s="22"/>
      <c r="C28" s="22"/>
      <c r="D28" s="22"/>
      <c r="E28" s="22"/>
      <c r="F28" s="647"/>
      <c r="G28" s="22"/>
      <c r="H28" s="22"/>
      <c r="I28" s="22"/>
      <c r="J28" s="22"/>
      <c r="K28" s="22"/>
      <c r="L28" s="22"/>
      <c r="M28" s="22"/>
      <c r="N28" s="22"/>
      <c r="O28" s="647"/>
    </row>
    <row r="29" spans="1:15" x14ac:dyDescent="0.2">
      <c r="A29" s="651" t="s">
        <v>217</v>
      </c>
      <c r="B29" s="22"/>
      <c r="C29" s="22"/>
      <c r="D29" s="22"/>
      <c r="E29" s="22"/>
      <c r="F29" s="647"/>
      <c r="G29" s="22"/>
      <c r="H29" s="22"/>
      <c r="I29" s="22"/>
      <c r="J29" s="22"/>
      <c r="K29" s="22"/>
      <c r="L29" s="22"/>
      <c r="M29" s="22"/>
      <c r="N29" s="22"/>
      <c r="O29" s="647"/>
    </row>
    <row r="30" spans="1:15" x14ac:dyDescent="0.2">
      <c r="A30" s="651" t="s">
        <v>218</v>
      </c>
      <c r="B30" s="22"/>
      <c r="C30" s="22"/>
      <c r="D30" s="22"/>
      <c r="E30" s="22"/>
      <c r="F30" s="647"/>
      <c r="G30" s="22"/>
      <c r="H30" s="22"/>
      <c r="I30" s="22"/>
      <c r="J30" s="22"/>
      <c r="K30" s="22"/>
      <c r="L30" s="22"/>
      <c r="M30" s="22"/>
      <c r="N30" s="22"/>
      <c r="O30" s="647"/>
    </row>
    <row r="31" spans="1:15" x14ac:dyDescent="0.2">
      <c r="A31" s="651" t="s">
        <v>219</v>
      </c>
      <c r="B31" s="22"/>
      <c r="C31" s="22"/>
      <c r="D31" s="22"/>
      <c r="E31" s="22"/>
      <c r="F31" s="647"/>
      <c r="G31" s="22"/>
      <c r="H31" s="22"/>
      <c r="I31" s="22"/>
      <c r="J31" s="22"/>
      <c r="K31" s="22"/>
      <c r="L31" s="22"/>
      <c r="M31" s="22"/>
      <c r="N31" s="22"/>
      <c r="O31" s="647"/>
    </row>
    <row r="32" spans="1:15" x14ac:dyDescent="0.2">
      <c r="A32" s="651" t="s">
        <v>1496</v>
      </c>
      <c r="B32" s="22"/>
      <c r="C32" s="22"/>
      <c r="D32" s="22"/>
      <c r="E32" s="22"/>
      <c r="F32" s="647"/>
      <c r="G32" s="22"/>
      <c r="H32" s="22"/>
      <c r="I32" s="22"/>
      <c r="J32" s="22"/>
      <c r="K32" s="22"/>
      <c r="L32" s="22"/>
      <c r="M32" s="22"/>
      <c r="N32" s="22"/>
      <c r="O32" s="647"/>
    </row>
    <row r="33" spans="1:15" x14ac:dyDescent="0.2">
      <c r="A33" s="651" t="s">
        <v>1497</v>
      </c>
      <c r="B33" s="22"/>
      <c r="C33" s="22"/>
      <c r="D33" s="22"/>
      <c r="E33" s="22"/>
      <c r="F33" s="647"/>
      <c r="G33" s="22"/>
      <c r="H33" s="22"/>
      <c r="I33" s="22"/>
      <c r="J33" s="22"/>
      <c r="K33" s="22"/>
      <c r="L33" s="22"/>
      <c r="M33" s="22"/>
      <c r="N33" s="22"/>
      <c r="O33" s="647"/>
    </row>
    <row r="34" spans="1:15" x14ac:dyDescent="0.2">
      <c r="A34" s="651" t="s">
        <v>1498</v>
      </c>
      <c r="B34" s="22"/>
      <c r="C34" s="22"/>
      <c r="D34" s="22"/>
      <c r="E34" s="22"/>
      <c r="F34" s="647"/>
      <c r="G34" s="22"/>
      <c r="H34" s="22"/>
      <c r="I34" s="22"/>
      <c r="J34" s="22"/>
      <c r="K34" s="22"/>
      <c r="L34" s="22"/>
      <c r="M34" s="22"/>
      <c r="N34" s="22"/>
      <c r="O34" s="647"/>
    </row>
    <row r="35" spans="1:15" x14ac:dyDescent="0.2">
      <c r="A35" s="651" t="s">
        <v>1658</v>
      </c>
      <c r="B35" s="22"/>
      <c r="C35" s="22"/>
      <c r="D35" s="22"/>
      <c r="E35" s="22"/>
      <c r="F35" s="647"/>
      <c r="G35" s="22"/>
      <c r="H35" s="22"/>
      <c r="I35" s="22"/>
      <c r="J35" s="22"/>
      <c r="K35" s="22"/>
      <c r="L35" s="22"/>
      <c r="M35" s="22"/>
      <c r="N35" s="22"/>
      <c r="O35" s="647"/>
    </row>
    <row r="36" spans="1:15" x14ac:dyDescent="0.2">
      <c r="A36" s="651" t="s">
        <v>1378</v>
      </c>
      <c r="B36" s="22"/>
      <c r="C36" s="22"/>
      <c r="D36" s="22"/>
      <c r="E36" s="22"/>
      <c r="F36" s="647"/>
      <c r="G36" s="22"/>
      <c r="H36" s="22"/>
      <c r="I36" s="22"/>
      <c r="J36" s="22"/>
      <c r="K36" s="22"/>
      <c r="L36" s="22"/>
      <c r="M36" s="22"/>
      <c r="N36" s="22"/>
      <c r="O36" s="647"/>
    </row>
    <row r="37" spans="1:15" x14ac:dyDescent="0.2">
      <c r="A37" s="22"/>
      <c r="B37" s="22"/>
      <c r="C37" s="22"/>
      <c r="D37" s="22"/>
      <c r="E37" s="22"/>
      <c r="F37" s="647"/>
      <c r="G37" s="22"/>
      <c r="H37" s="22"/>
      <c r="I37" s="22"/>
      <c r="J37" s="22"/>
      <c r="K37" s="22"/>
      <c r="L37" s="22"/>
      <c r="M37" s="22"/>
      <c r="N37" s="22"/>
      <c r="O37" s="647"/>
    </row>
    <row r="38" spans="1:15" ht="25.5" x14ac:dyDescent="0.2">
      <c r="A38" s="649" t="s">
        <v>1502</v>
      </c>
      <c r="B38" s="22"/>
      <c r="C38" s="22"/>
      <c r="D38" s="22"/>
      <c r="E38" s="22"/>
      <c r="F38" s="647"/>
      <c r="G38" s="22"/>
      <c r="H38" s="22"/>
      <c r="I38" s="22"/>
      <c r="J38" s="22"/>
      <c r="K38" s="22"/>
      <c r="L38" s="22"/>
      <c r="M38" s="22"/>
      <c r="N38" s="22"/>
      <c r="O38" s="647"/>
    </row>
    <row r="39" spans="1:15" ht="18" customHeight="1" x14ac:dyDescent="0.2">
      <c r="A39" s="649" t="s">
        <v>703</v>
      </c>
      <c r="B39" s="22"/>
      <c r="C39" s="22"/>
      <c r="D39" s="22"/>
      <c r="E39" s="22"/>
      <c r="F39" s="647"/>
      <c r="G39" s="22"/>
      <c r="H39" s="22"/>
      <c r="I39" s="22"/>
      <c r="J39" s="22"/>
      <c r="K39" s="22"/>
      <c r="L39" s="22"/>
      <c r="M39" s="22"/>
      <c r="N39" s="22"/>
      <c r="O39" s="647"/>
    </row>
    <row r="40" spans="1:15" ht="63.75" x14ac:dyDescent="0.2">
      <c r="A40" s="649" t="s">
        <v>1978</v>
      </c>
      <c r="B40" s="22"/>
      <c r="C40" s="22"/>
      <c r="D40" s="22"/>
      <c r="E40" s="22"/>
      <c r="F40" s="647"/>
      <c r="G40" s="22"/>
      <c r="H40" s="22"/>
      <c r="I40" s="22"/>
      <c r="J40" s="22"/>
      <c r="K40" s="22"/>
      <c r="L40" s="22"/>
      <c r="M40" s="22"/>
      <c r="N40" s="22"/>
      <c r="O40" s="647"/>
    </row>
    <row r="41" spans="1:15" ht="27" customHeight="1" x14ac:dyDescent="0.2">
      <c r="A41" s="649" t="s">
        <v>35</v>
      </c>
      <c r="B41" s="22"/>
      <c r="C41" s="22"/>
      <c r="D41" s="22"/>
      <c r="E41" s="22"/>
      <c r="F41" s="647"/>
      <c r="G41" s="22"/>
      <c r="H41" s="22"/>
      <c r="I41" s="22"/>
      <c r="J41" s="22"/>
      <c r="K41" s="22"/>
      <c r="L41" s="22"/>
      <c r="M41" s="22"/>
      <c r="N41" s="22"/>
      <c r="O41" s="647"/>
    </row>
    <row r="42" spans="1:15" ht="25.5" x14ac:dyDescent="0.2">
      <c r="A42" s="649" t="s">
        <v>740</v>
      </c>
      <c r="B42" s="22"/>
      <c r="C42" s="22"/>
      <c r="D42" s="22"/>
      <c r="E42" s="22"/>
      <c r="F42" s="647"/>
      <c r="G42" s="22"/>
      <c r="H42" s="22"/>
      <c r="I42" s="22"/>
      <c r="J42" s="22"/>
      <c r="K42" s="22"/>
      <c r="L42" s="22"/>
      <c r="M42" s="22"/>
      <c r="N42" s="22"/>
      <c r="O42" s="647"/>
    </row>
    <row r="43" spans="1:15" ht="25.5" x14ac:dyDescent="0.2">
      <c r="A43" s="649" t="s">
        <v>36</v>
      </c>
      <c r="B43" s="652"/>
      <c r="C43" s="22"/>
      <c r="D43" s="22"/>
      <c r="E43" s="22"/>
      <c r="F43" s="647"/>
      <c r="G43" s="22"/>
      <c r="H43" s="22"/>
      <c r="I43" s="22"/>
      <c r="J43" s="22"/>
      <c r="K43" s="22"/>
      <c r="L43" s="22"/>
      <c r="M43" s="22"/>
      <c r="N43" s="22"/>
      <c r="O43" s="647"/>
    </row>
    <row r="44" spans="1:15" ht="25.5" x14ac:dyDescent="0.2">
      <c r="A44" s="649" t="s">
        <v>174</v>
      </c>
      <c r="B44" s="652"/>
      <c r="C44" s="22"/>
      <c r="D44" s="22"/>
      <c r="E44" s="22"/>
      <c r="F44" s="647"/>
      <c r="G44" s="22"/>
      <c r="H44" s="22"/>
      <c r="I44" s="22"/>
      <c r="J44" s="22"/>
      <c r="K44" s="22"/>
      <c r="L44" s="22"/>
      <c r="M44" s="22"/>
      <c r="N44" s="22"/>
      <c r="O44" s="647"/>
    </row>
    <row r="45" spans="1:15" x14ac:dyDescent="0.2">
      <c r="A45" s="22"/>
      <c r="B45" s="652"/>
      <c r="C45" s="22"/>
      <c r="D45" s="22"/>
      <c r="E45" s="22"/>
      <c r="F45" s="647"/>
      <c r="G45" s="22"/>
      <c r="H45" s="22"/>
      <c r="I45" s="22"/>
      <c r="J45" s="22"/>
      <c r="K45" s="22"/>
      <c r="L45" s="22"/>
      <c r="M45" s="22"/>
      <c r="N45" s="22"/>
      <c r="O45" s="647"/>
    </row>
    <row r="46" spans="1:15" x14ac:dyDescent="0.2">
      <c r="A46" s="648" t="s">
        <v>770</v>
      </c>
      <c r="B46" s="648" t="s">
        <v>771</v>
      </c>
      <c r="C46" s="22"/>
      <c r="D46" s="22"/>
      <c r="E46" s="22"/>
      <c r="F46" s="647"/>
      <c r="G46" s="22"/>
      <c r="H46" s="22"/>
      <c r="I46" s="22"/>
      <c r="J46" s="22"/>
      <c r="K46" s="22"/>
      <c r="L46" s="22"/>
      <c r="M46" s="22"/>
      <c r="N46" s="22"/>
      <c r="O46" s="647"/>
    </row>
    <row r="47" spans="1:15" ht="18" customHeight="1" x14ac:dyDescent="0.2">
      <c r="A47" s="22" t="s">
        <v>175</v>
      </c>
      <c r="B47" s="2485" t="s">
        <v>1975</v>
      </c>
      <c r="C47" s="2485"/>
      <c r="D47" s="2485"/>
      <c r="E47" s="2485"/>
      <c r="F47" s="2485"/>
      <c r="G47" s="2485"/>
      <c r="H47" s="2485"/>
      <c r="I47" s="2485"/>
      <c r="J47" s="2485"/>
      <c r="K47" s="2485"/>
      <c r="L47" s="2485"/>
      <c r="M47" s="22"/>
      <c r="N47" s="22"/>
      <c r="O47" s="647"/>
    </row>
    <row r="48" spans="1:15" ht="15" customHeight="1" x14ac:dyDescent="0.2">
      <c r="A48" s="22"/>
      <c r="B48" s="2486" t="s">
        <v>1976</v>
      </c>
      <c r="C48" s="638"/>
      <c r="D48" s="638" t="s">
        <v>359</v>
      </c>
      <c r="E48" s="638" t="s">
        <v>354</v>
      </c>
      <c r="F48" s="638" t="s">
        <v>360</v>
      </c>
      <c r="G48" s="638" t="s">
        <v>355</v>
      </c>
      <c r="H48" s="638" t="s">
        <v>361</v>
      </c>
      <c r="I48" s="638" t="s">
        <v>356</v>
      </c>
      <c r="J48" s="638" t="s">
        <v>362</v>
      </c>
      <c r="K48" s="638" t="s">
        <v>357</v>
      </c>
      <c r="L48" s="638" t="s">
        <v>358</v>
      </c>
      <c r="M48" s="22"/>
      <c r="N48" s="22"/>
      <c r="O48" s="647"/>
    </row>
    <row r="49" spans="1:15" x14ac:dyDescent="0.2">
      <c r="A49" s="22" t="s">
        <v>181</v>
      </c>
      <c r="B49" s="2487"/>
      <c r="C49" s="638" t="s">
        <v>354</v>
      </c>
      <c r="D49" s="638">
        <v>2</v>
      </c>
      <c r="E49" s="638">
        <v>1</v>
      </c>
      <c r="F49" s="638">
        <v>1</v>
      </c>
      <c r="G49" s="638">
        <v>1</v>
      </c>
      <c r="H49" s="638">
        <v>1</v>
      </c>
      <c r="I49" s="638">
        <v>1</v>
      </c>
      <c r="J49" s="638">
        <v>1</v>
      </c>
      <c r="K49" s="638">
        <v>1</v>
      </c>
      <c r="L49" s="638">
        <v>1</v>
      </c>
      <c r="M49" s="22"/>
      <c r="N49" s="653"/>
      <c r="O49" s="647"/>
    </row>
    <row r="50" spans="1:15" x14ac:dyDescent="0.2">
      <c r="A50" s="22" t="s">
        <v>182</v>
      </c>
      <c r="B50" s="2487"/>
      <c r="C50" s="638" t="s">
        <v>355</v>
      </c>
      <c r="D50" s="638">
        <v>4</v>
      </c>
      <c r="E50" s="638">
        <v>3</v>
      </c>
      <c r="F50" s="638">
        <v>2</v>
      </c>
      <c r="G50" s="638">
        <v>1</v>
      </c>
      <c r="H50" s="638">
        <v>1</v>
      </c>
      <c r="I50" s="638">
        <v>1</v>
      </c>
      <c r="J50" s="638">
        <v>1</v>
      </c>
      <c r="K50" s="638">
        <v>1</v>
      </c>
      <c r="L50" s="638">
        <v>1</v>
      </c>
      <c r="M50" s="22"/>
      <c r="N50" s="22"/>
      <c r="O50" s="647"/>
    </row>
    <row r="51" spans="1:15" x14ac:dyDescent="0.2">
      <c r="A51" s="22" t="s">
        <v>183</v>
      </c>
      <c r="B51" s="2487"/>
      <c r="C51" s="638" t="s">
        <v>356</v>
      </c>
      <c r="D51" s="638">
        <v>6</v>
      </c>
      <c r="E51" s="638">
        <v>5</v>
      </c>
      <c r="F51" s="638">
        <v>4</v>
      </c>
      <c r="G51" s="638">
        <v>3</v>
      </c>
      <c r="H51" s="638">
        <v>2</v>
      </c>
      <c r="I51" s="638">
        <v>1</v>
      </c>
      <c r="J51" s="638">
        <v>1</v>
      </c>
      <c r="K51" s="638">
        <v>1</v>
      </c>
      <c r="L51" s="638">
        <v>1</v>
      </c>
      <c r="M51" s="22"/>
      <c r="N51" s="22"/>
      <c r="O51" s="647"/>
    </row>
    <row r="52" spans="1:15" x14ac:dyDescent="0.2">
      <c r="A52" s="22" t="s">
        <v>184</v>
      </c>
      <c r="B52" s="2487"/>
      <c r="C52" s="638" t="s">
        <v>357</v>
      </c>
      <c r="D52" s="638">
        <v>7</v>
      </c>
      <c r="E52" s="638">
        <v>6</v>
      </c>
      <c r="F52" s="638">
        <v>6</v>
      </c>
      <c r="G52" s="638">
        <v>5</v>
      </c>
      <c r="H52" s="638">
        <v>4</v>
      </c>
      <c r="I52" s="638">
        <v>3</v>
      </c>
      <c r="J52" s="638">
        <v>2</v>
      </c>
      <c r="K52" s="638">
        <v>1</v>
      </c>
      <c r="L52" s="638">
        <v>1</v>
      </c>
      <c r="M52" s="22"/>
      <c r="N52" s="22"/>
      <c r="O52" s="647"/>
    </row>
    <row r="53" spans="1:15" x14ac:dyDescent="0.2">
      <c r="A53" s="22" t="s">
        <v>185</v>
      </c>
      <c r="B53" s="2487"/>
      <c r="C53" s="638" t="s">
        <v>358</v>
      </c>
      <c r="D53" s="638">
        <v>7</v>
      </c>
      <c r="E53" s="638">
        <v>7</v>
      </c>
      <c r="F53" s="638">
        <v>6</v>
      </c>
      <c r="G53" s="638">
        <v>5</v>
      </c>
      <c r="H53" s="638">
        <v>4</v>
      </c>
      <c r="I53" s="638">
        <v>3</v>
      </c>
      <c r="J53" s="638">
        <v>2</v>
      </c>
      <c r="K53" s="638">
        <v>1</v>
      </c>
      <c r="L53" s="638">
        <v>1</v>
      </c>
      <c r="M53" s="22"/>
      <c r="N53" s="22"/>
      <c r="O53" s="647"/>
    </row>
    <row r="54" spans="1:15" x14ac:dyDescent="0.2">
      <c r="A54" s="22" t="s">
        <v>186</v>
      </c>
      <c r="B54" s="654"/>
      <c r="C54" s="22"/>
      <c r="D54" s="22"/>
      <c r="E54" s="22"/>
      <c r="F54" s="647"/>
      <c r="G54" s="22"/>
      <c r="H54" s="22"/>
      <c r="I54" s="22"/>
      <c r="J54" s="22"/>
      <c r="K54" s="22"/>
      <c r="L54" s="22"/>
      <c r="M54" s="22"/>
      <c r="N54" s="22"/>
      <c r="O54" s="647"/>
    </row>
    <row r="55" spans="1:15" ht="12.75" customHeight="1" x14ac:dyDescent="0.2">
      <c r="A55" s="22" t="s">
        <v>2215</v>
      </c>
      <c r="B55" s="1710" t="s">
        <v>2142</v>
      </c>
      <c r="C55" s="1744"/>
      <c r="D55" s="1744"/>
      <c r="E55" s="1744"/>
      <c r="F55" s="1744"/>
      <c r="G55" s="1744"/>
      <c r="H55" s="1744"/>
      <c r="I55" s="1744"/>
      <c r="J55" s="1744"/>
      <c r="K55" s="1744"/>
      <c r="L55" s="1711"/>
      <c r="M55" s="22"/>
      <c r="N55" s="22"/>
      <c r="O55" s="647"/>
    </row>
    <row r="56" spans="1:15" ht="28.5" customHeight="1" x14ac:dyDescent="0.2">
      <c r="A56" s="22"/>
      <c r="B56" s="1907"/>
      <c r="C56" s="1403"/>
      <c r="D56" s="1403"/>
      <c r="E56" s="1403"/>
      <c r="F56" s="1403"/>
      <c r="G56" s="1403"/>
      <c r="H56" s="1403"/>
      <c r="I56" s="1403"/>
      <c r="J56" s="1403"/>
      <c r="K56" s="1403"/>
      <c r="L56" s="2484"/>
      <c r="M56" s="22"/>
      <c r="N56" s="22"/>
      <c r="O56" s="647"/>
    </row>
    <row r="57" spans="1:15" ht="45.75" customHeight="1" x14ac:dyDescent="0.2">
      <c r="A57" s="655" t="s">
        <v>1979</v>
      </c>
      <c r="B57" s="1370" t="s">
        <v>2143</v>
      </c>
      <c r="C57" s="1371"/>
      <c r="D57" s="1371"/>
      <c r="E57" s="1371"/>
      <c r="F57" s="1371"/>
      <c r="G57" s="1371"/>
      <c r="H57" s="1371"/>
      <c r="I57" s="1371"/>
      <c r="J57" s="1371"/>
      <c r="K57" s="1371"/>
      <c r="L57" s="1372"/>
      <c r="M57" s="22"/>
      <c r="N57" s="22"/>
      <c r="O57" s="647"/>
    </row>
    <row r="58" spans="1:15" x14ac:dyDescent="0.2">
      <c r="A58" s="408" t="s">
        <v>1817</v>
      </c>
      <c r="B58" s="667"/>
      <c r="C58" s="667"/>
      <c r="D58" s="667"/>
      <c r="E58" s="667"/>
      <c r="F58" s="667"/>
      <c r="G58" s="667"/>
      <c r="H58" s="667"/>
      <c r="I58" s="667"/>
      <c r="J58" s="667"/>
      <c r="K58" s="667"/>
      <c r="L58" s="667"/>
      <c r="M58" s="22"/>
      <c r="N58" s="22"/>
      <c r="O58" s="647"/>
    </row>
    <row r="59" spans="1:15" x14ac:dyDescent="0.2">
      <c r="A59" s="22" t="s">
        <v>1871</v>
      </c>
      <c r="B59" s="667"/>
      <c r="C59" s="667"/>
      <c r="D59" s="667"/>
      <c r="E59" s="667"/>
      <c r="F59" s="667"/>
      <c r="G59" s="667"/>
      <c r="H59" s="667"/>
      <c r="I59" s="667"/>
      <c r="J59" s="667"/>
      <c r="K59" s="667"/>
      <c r="L59" s="667"/>
      <c r="M59" s="22"/>
      <c r="N59" s="22"/>
      <c r="O59" s="647"/>
    </row>
    <row r="60" spans="1:15" x14ac:dyDescent="0.2">
      <c r="A60" s="22" t="s">
        <v>49</v>
      </c>
      <c r="B60" s="22"/>
      <c r="C60" s="22"/>
      <c r="D60" s="22"/>
      <c r="E60" s="22"/>
      <c r="F60" s="647"/>
      <c r="G60" s="22"/>
      <c r="H60" s="22"/>
      <c r="I60" s="22"/>
      <c r="J60" s="22"/>
      <c r="K60" s="22"/>
      <c r="L60" s="22"/>
      <c r="M60" s="22"/>
      <c r="N60" s="22"/>
      <c r="O60" s="647"/>
    </row>
    <row r="61" spans="1:15" x14ac:dyDescent="0.2">
      <c r="A61" s="22"/>
      <c r="B61" s="22"/>
      <c r="C61" s="22"/>
      <c r="D61" s="22"/>
      <c r="E61" s="22"/>
      <c r="F61" s="647"/>
      <c r="G61" s="22"/>
      <c r="H61" s="22"/>
      <c r="I61" s="22"/>
      <c r="J61" s="22"/>
      <c r="K61" s="22"/>
      <c r="L61" s="22"/>
      <c r="M61" s="22"/>
      <c r="N61" s="22"/>
      <c r="O61" s="647"/>
    </row>
    <row r="62" spans="1:15" x14ac:dyDescent="0.2">
      <c r="A62" s="408" t="s">
        <v>50</v>
      </c>
      <c r="B62" s="22"/>
      <c r="C62" s="22"/>
      <c r="D62" s="22"/>
      <c r="E62" s="22"/>
      <c r="F62" s="647"/>
      <c r="G62" s="22"/>
      <c r="H62" s="22"/>
      <c r="I62" s="22"/>
      <c r="J62" s="22"/>
      <c r="K62" s="22"/>
      <c r="L62" s="22"/>
      <c r="M62" s="22"/>
      <c r="N62" s="22"/>
      <c r="O62" s="647"/>
    </row>
    <row r="63" spans="1:15" x14ac:dyDescent="0.2">
      <c r="A63" s="22" t="s">
        <v>51</v>
      </c>
      <c r="B63" s="22"/>
      <c r="C63" s="22"/>
      <c r="D63" s="22"/>
      <c r="E63" s="22"/>
      <c r="F63" s="647"/>
      <c r="G63" s="22"/>
      <c r="H63" s="22"/>
      <c r="I63" s="22"/>
      <c r="J63" s="22"/>
      <c r="K63" s="22"/>
      <c r="L63" s="22"/>
      <c r="M63" s="22"/>
      <c r="N63" s="22"/>
      <c r="O63" s="647"/>
    </row>
    <row r="64" spans="1:15" x14ac:dyDescent="0.2">
      <c r="A64" s="22"/>
      <c r="B64" s="22"/>
      <c r="C64" s="22"/>
      <c r="D64" s="22"/>
      <c r="E64" s="22"/>
      <c r="F64" s="647"/>
      <c r="G64" s="22"/>
      <c r="H64" s="22"/>
      <c r="I64" s="22"/>
      <c r="J64" s="22"/>
      <c r="K64" s="22"/>
      <c r="L64" s="22"/>
      <c r="M64" s="22"/>
      <c r="N64" s="22"/>
      <c r="O64" s="647"/>
    </row>
    <row r="65" spans="1:15" x14ac:dyDescent="0.2">
      <c r="A65" s="408" t="s">
        <v>52</v>
      </c>
      <c r="B65" s="22"/>
      <c r="C65" s="22"/>
      <c r="D65" s="22"/>
      <c r="E65" s="22"/>
      <c r="F65" s="647"/>
      <c r="G65" s="22"/>
      <c r="H65" s="22"/>
      <c r="I65" s="22"/>
      <c r="J65" s="22"/>
      <c r="K65" s="22"/>
      <c r="L65" s="22"/>
      <c r="M65" s="22"/>
      <c r="N65" s="22"/>
      <c r="O65" s="647"/>
    </row>
    <row r="66" spans="1:15" x14ac:dyDescent="0.2">
      <c r="A66" s="22" t="s">
        <v>53</v>
      </c>
      <c r="B66" s="22"/>
      <c r="C66" s="22"/>
      <c r="D66" s="22"/>
      <c r="E66" s="22"/>
      <c r="F66" s="647"/>
      <c r="G66" s="22"/>
      <c r="H66" s="22"/>
      <c r="I66" s="22"/>
      <c r="J66" s="22"/>
      <c r="K66" s="22"/>
      <c r="L66" s="22"/>
      <c r="M66" s="22"/>
      <c r="N66" s="22"/>
      <c r="O66" s="647"/>
    </row>
    <row r="67" spans="1:15" x14ac:dyDescent="0.2">
      <c r="A67" s="22"/>
      <c r="B67" s="22"/>
      <c r="C67" s="22"/>
      <c r="D67" s="22"/>
      <c r="E67" s="22"/>
      <c r="F67" s="647"/>
      <c r="G67" s="22"/>
      <c r="H67" s="22"/>
      <c r="I67" s="22"/>
      <c r="J67" s="22"/>
      <c r="K67" s="22"/>
      <c r="L67" s="22"/>
      <c r="M67" s="22"/>
      <c r="N67" s="22"/>
      <c r="O67" s="647"/>
    </row>
    <row r="68" spans="1:15" x14ac:dyDescent="0.2">
      <c r="A68" s="408" t="s">
        <v>54</v>
      </c>
      <c r="B68" s="22"/>
      <c r="C68" s="22"/>
      <c r="D68" s="22"/>
      <c r="E68" s="22"/>
      <c r="F68" s="647"/>
      <c r="G68" s="22"/>
      <c r="H68" s="22"/>
      <c r="I68" s="22"/>
      <c r="J68" s="22"/>
      <c r="K68" s="22"/>
      <c r="L68" s="22"/>
      <c r="M68" s="22"/>
      <c r="N68" s="22"/>
      <c r="O68" s="647"/>
    </row>
    <row r="69" spans="1:15" x14ac:dyDescent="0.2">
      <c r="A69" s="22" t="s">
        <v>55</v>
      </c>
      <c r="B69" s="22"/>
      <c r="C69" s="22"/>
      <c r="D69" s="22"/>
      <c r="E69" s="22"/>
      <c r="F69" s="647"/>
      <c r="G69" s="22"/>
      <c r="H69" s="22"/>
      <c r="I69" s="22"/>
      <c r="J69" s="22"/>
      <c r="K69" s="22"/>
      <c r="L69" s="22"/>
      <c r="M69" s="22"/>
      <c r="N69" s="22"/>
      <c r="O69" s="647"/>
    </row>
    <row r="70" spans="1:15" x14ac:dyDescent="0.2">
      <c r="A70" s="22" t="s">
        <v>872</v>
      </c>
      <c r="B70" s="22"/>
      <c r="C70" s="22"/>
      <c r="D70" s="22"/>
      <c r="E70" s="22"/>
      <c r="F70" s="647"/>
      <c r="G70" s="22"/>
      <c r="H70" s="22"/>
      <c r="I70" s="22"/>
      <c r="J70" s="22"/>
      <c r="K70" s="22"/>
      <c r="L70" s="22"/>
      <c r="M70" s="22"/>
      <c r="N70" s="22"/>
      <c r="O70" s="647"/>
    </row>
    <row r="71" spans="1:15" x14ac:dyDescent="0.2">
      <c r="A71" s="22"/>
      <c r="B71" s="22"/>
      <c r="C71" s="22"/>
      <c r="D71" s="22"/>
      <c r="E71" s="22"/>
      <c r="F71" s="647"/>
      <c r="G71" s="22"/>
      <c r="H71" s="22"/>
      <c r="I71" s="22"/>
      <c r="J71" s="22"/>
      <c r="K71" s="22"/>
      <c r="L71" s="22"/>
      <c r="M71" s="22"/>
      <c r="N71" s="22"/>
      <c r="O71" s="647"/>
    </row>
    <row r="72" spans="1:15" x14ac:dyDescent="0.2">
      <c r="A72" s="408" t="s">
        <v>873</v>
      </c>
      <c r="B72" s="22"/>
      <c r="C72" s="22"/>
      <c r="D72" s="22"/>
      <c r="E72" s="22"/>
      <c r="F72" s="647"/>
      <c r="G72" s="22"/>
      <c r="H72" s="22"/>
      <c r="I72" s="22"/>
      <c r="J72" s="22"/>
      <c r="K72" s="22"/>
      <c r="L72" s="22"/>
      <c r="M72" s="22"/>
      <c r="N72" s="22"/>
      <c r="O72" s="647"/>
    </row>
    <row r="73" spans="1:15" x14ac:dyDescent="0.2">
      <c r="A73" s="22" t="s">
        <v>874</v>
      </c>
      <c r="B73" s="22"/>
      <c r="C73" s="22"/>
      <c r="D73" s="22"/>
      <c r="E73" s="22"/>
      <c r="F73" s="647"/>
      <c r="G73" s="22"/>
      <c r="H73" s="22"/>
      <c r="I73" s="22"/>
      <c r="J73" s="22"/>
      <c r="K73" s="22"/>
      <c r="L73" s="22"/>
      <c r="M73" s="22"/>
      <c r="N73" s="22"/>
      <c r="O73" s="647"/>
    </row>
    <row r="74" spans="1:15" x14ac:dyDescent="0.2">
      <c r="A74" s="22" t="s">
        <v>875</v>
      </c>
      <c r="B74" s="22"/>
      <c r="C74" s="22"/>
      <c r="D74" s="22"/>
      <c r="E74" s="22"/>
      <c r="F74" s="647"/>
      <c r="G74" s="22"/>
      <c r="H74" s="22"/>
      <c r="I74" s="22"/>
      <c r="J74" s="22"/>
      <c r="K74" s="22"/>
      <c r="L74" s="22"/>
      <c r="M74" s="22"/>
      <c r="N74" s="22"/>
      <c r="O74" s="647"/>
    </row>
    <row r="75" spans="1:15" x14ac:dyDescent="0.2">
      <c r="A75" s="22"/>
      <c r="B75" s="22"/>
      <c r="C75" s="22"/>
      <c r="D75" s="22"/>
      <c r="E75" s="22"/>
      <c r="F75" s="647"/>
      <c r="G75" s="22"/>
      <c r="H75" s="22"/>
      <c r="I75" s="22"/>
      <c r="J75" s="22"/>
      <c r="K75" s="22"/>
      <c r="L75" s="22"/>
      <c r="M75" s="22"/>
      <c r="N75" s="22"/>
      <c r="O75" s="647"/>
    </row>
    <row r="76" spans="1:15" hidden="1" x14ac:dyDescent="0.2">
      <c r="A76" s="22"/>
      <c r="B76" s="22"/>
      <c r="C76" s="22"/>
      <c r="D76" s="22"/>
      <c r="E76" s="22"/>
      <c r="F76" s="647"/>
      <c r="G76" s="22"/>
      <c r="H76" s="22"/>
      <c r="I76" s="22"/>
      <c r="J76" s="22"/>
      <c r="K76" s="22"/>
      <c r="L76" s="22"/>
      <c r="M76" s="22"/>
      <c r="N76" s="22"/>
      <c r="O76" s="647"/>
    </row>
    <row r="77" spans="1:15" hidden="1" x14ac:dyDescent="0.2">
      <c r="A77" s="22"/>
      <c r="B77" s="22"/>
      <c r="C77" s="22"/>
      <c r="D77" s="22"/>
      <c r="E77" s="22"/>
      <c r="F77" s="647"/>
      <c r="G77" s="22"/>
      <c r="H77" s="22"/>
      <c r="I77" s="22"/>
      <c r="J77" s="22"/>
      <c r="K77" s="22"/>
      <c r="L77" s="22"/>
      <c r="M77" s="22"/>
      <c r="N77" s="22"/>
      <c r="O77" s="647"/>
    </row>
    <row r="78" spans="1:15" hidden="1" x14ac:dyDescent="0.2">
      <c r="A78" s="22"/>
      <c r="B78" s="22"/>
      <c r="C78" s="22"/>
      <c r="D78" s="22"/>
      <c r="E78" s="22"/>
      <c r="F78" s="647"/>
      <c r="G78" s="22"/>
      <c r="H78" s="22"/>
      <c r="I78" s="22"/>
      <c r="J78" s="22"/>
      <c r="K78" s="22"/>
      <c r="L78" s="22"/>
      <c r="M78" s="22"/>
      <c r="N78" s="22"/>
      <c r="O78" s="647"/>
    </row>
    <row r="79" spans="1:15" hidden="1" x14ac:dyDescent="0.2">
      <c r="A79" s="22"/>
      <c r="B79" s="22"/>
      <c r="C79" s="22"/>
      <c r="D79" s="22"/>
      <c r="E79" s="22"/>
      <c r="F79" s="647"/>
      <c r="G79" s="22"/>
      <c r="H79" s="22"/>
      <c r="I79" s="22"/>
      <c r="J79" s="22"/>
      <c r="K79" s="22"/>
      <c r="L79" s="22"/>
      <c r="M79" s="22"/>
      <c r="N79" s="22"/>
      <c r="O79" s="647"/>
    </row>
    <row r="80" spans="1:15" x14ac:dyDescent="0.2">
      <c r="A80" s="640" t="s">
        <v>2020</v>
      </c>
      <c r="B80" s="22"/>
      <c r="C80" s="22"/>
      <c r="D80" s="22"/>
      <c r="E80" s="22"/>
      <c r="F80" s="647"/>
      <c r="G80" s="22"/>
      <c r="H80" s="22"/>
      <c r="I80" s="22"/>
      <c r="J80" s="22"/>
      <c r="K80" s="22"/>
      <c r="L80" s="22"/>
      <c r="M80" s="22"/>
      <c r="N80" s="22"/>
      <c r="O80" s="647"/>
    </row>
    <row r="81" spans="1:15" x14ac:dyDescent="0.2">
      <c r="A81" s="22" t="s">
        <v>606</v>
      </c>
      <c r="B81" s="2482" t="s">
        <v>2172</v>
      </c>
      <c r="C81" s="22"/>
      <c r="D81" s="22"/>
      <c r="E81" s="22"/>
      <c r="F81" s="647"/>
      <c r="G81" s="22"/>
      <c r="H81" s="22"/>
      <c r="I81" s="22"/>
      <c r="J81" s="22"/>
      <c r="K81" s="22"/>
      <c r="L81" s="22"/>
      <c r="M81" s="22"/>
      <c r="N81" s="22"/>
      <c r="O81" s="647"/>
    </row>
    <row r="82" spans="1:15" x14ac:dyDescent="0.2">
      <c r="A82" s="22" t="s">
        <v>427</v>
      </c>
      <c r="B82" s="2482"/>
      <c r="C82" s="22"/>
      <c r="D82" s="22"/>
      <c r="E82" s="22"/>
      <c r="F82" s="647"/>
      <c r="G82" s="22"/>
      <c r="H82" s="22"/>
      <c r="I82" s="22"/>
      <c r="J82" s="22"/>
      <c r="K82" s="22"/>
      <c r="L82" s="22"/>
      <c r="M82" s="22"/>
      <c r="N82" s="22"/>
      <c r="O82" s="647"/>
    </row>
    <row r="83" spans="1:15" x14ac:dyDescent="0.2">
      <c r="A83" s="22" t="s">
        <v>424</v>
      </c>
      <c r="B83" s="2482"/>
      <c r="C83" s="22"/>
      <c r="D83" s="22"/>
      <c r="E83" s="22"/>
      <c r="F83" s="647"/>
      <c r="G83" s="22"/>
      <c r="H83" s="22"/>
      <c r="I83" s="22"/>
      <c r="J83" s="22"/>
      <c r="K83" s="22"/>
      <c r="L83" s="22"/>
      <c r="M83" s="22"/>
      <c r="N83" s="22"/>
      <c r="O83" s="647"/>
    </row>
    <row r="84" spans="1:15" x14ac:dyDescent="0.2">
      <c r="A84" s="22" t="s">
        <v>1948</v>
      </c>
      <c r="B84" s="2482"/>
      <c r="C84" s="22"/>
      <c r="D84" s="22"/>
      <c r="E84" s="22"/>
      <c r="F84" s="647"/>
      <c r="G84" s="22"/>
      <c r="H84" s="22"/>
      <c r="I84" s="22"/>
      <c r="J84" s="22"/>
      <c r="K84" s="22"/>
      <c r="L84" s="22"/>
      <c r="M84" s="22"/>
      <c r="N84" s="22"/>
      <c r="O84" s="647"/>
    </row>
    <row r="85" spans="1:15" x14ac:dyDescent="0.2">
      <c r="A85" s="22" t="s">
        <v>198</v>
      </c>
      <c r="B85" s="2482"/>
      <c r="C85" s="22"/>
      <c r="D85" s="22"/>
      <c r="E85" s="22"/>
      <c r="F85" s="647"/>
      <c r="G85" s="22"/>
      <c r="H85" s="22"/>
      <c r="I85" s="22"/>
      <c r="J85" s="22"/>
      <c r="K85" s="22"/>
      <c r="L85" s="22"/>
      <c r="M85" s="22"/>
      <c r="N85" s="22"/>
      <c r="O85" s="647"/>
    </row>
    <row r="86" spans="1:15" x14ac:dyDescent="0.2">
      <c r="A86" s="22" t="s">
        <v>1980</v>
      </c>
      <c r="B86" s="2482"/>
      <c r="C86" s="22"/>
      <c r="D86" s="22"/>
      <c r="E86" s="22"/>
      <c r="F86" s="647"/>
      <c r="G86" s="22"/>
      <c r="H86" s="22"/>
      <c r="I86" s="22"/>
      <c r="J86" s="22"/>
      <c r="K86" s="22"/>
      <c r="L86" s="22"/>
      <c r="M86" s="22"/>
      <c r="N86" s="22"/>
      <c r="O86" s="647"/>
    </row>
    <row r="87" spans="1:15" x14ac:dyDescent="0.2">
      <c r="A87" s="22"/>
      <c r="B87" s="22"/>
      <c r="C87" s="22"/>
      <c r="D87" s="22"/>
      <c r="E87" s="22"/>
      <c r="F87" s="647"/>
      <c r="G87" s="22"/>
      <c r="H87" s="22"/>
      <c r="I87" s="22"/>
      <c r="J87" s="22"/>
      <c r="K87" s="22"/>
      <c r="L87" s="22"/>
      <c r="M87" s="22"/>
      <c r="N87" s="22"/>
      <c r="O87" s="647"/>
    </row>
    <row r="88" spans="1:15" x14ac:dyDescent="0.2">
      <c r="A88" s="22" t="s">
        <v>1124</v>
      </c>
      <c r="B88" s="2482" t="s">
        <v>2168</v>
      </c>
      <c r="C88" s="22"/>
      <c r="D88" s="22"/>
      <c r="E88" s="22"/>
      <c r="F88" s="647"/>
      <c r="G88" s="22"/>
      <c r="H88" s="22"/>
      <c r="I88" s="22"/>
      <c r="J88" s="22"/>
      <c r="K88" s="22"/>
      <c r="L88" s="22"/>
      <c r="M88" s="22"/>
      <c r="N88" s="22"/>
      <c r="O88" s="647"/>
    </row>
    <row r="89" spans="1:15" x14ac:dyDescent="0.2">
      <c r="A89" s="22" t="s">
        <v>1660</v>
      </c>
      <c r="B89" s="2482"/>
      <c r="C89" s="22"/>
      <c r="D89" s="22"/>
      <c r="E89" s="22"/>
      <c r="F89" s="647"/>
      <c r="G89" s="22"/>
      <c r="H89" s="22"/>
      <c r="I89" s="22"/>
      <c r="J89" s="22"/>
      <c r="K89" s="22"/>
      <c r="L89" s="22"/>
      <c r="M89" s="22"/>
      <c r="N89" s="22"/>
      <c r="O89" s="647"/>
    </row>
    <row r="90" spans="1:15" x14ac:dyDescent="0.2">
      <c r="A90" s="22" t="s">
        <v>689</v>
      </c>
      <c r="B90" s="2482"/>
      <c r="C90" s="22"/>
      <c r="D90" s="22"/>
      <c r="E90" s="22"/>
      <c r="F90" s="647"/>
      <c r="G90" s="22"/>
      <c r="H90" s="22"/>
      <c r="I90" s="22"/>
      <c r="J90" s="22"/>
      <c r="K90" s="22"/>
      <c r="L90" s="22"/>
      <c r="M90" s="22"/>
      <c r="N90" s="22"/>
      <c r="O90" s="647"/>
    </row>
    <row r="91" spans="1:15" x14ac:dyDescent="0.2">
      <c r="A91" s="22" t="s">
        <v>1123</v>
      </c>
      <c r="B91" s="2482"/>
      <c r="C91" s="22"/>
      <c r="D91" s="22"/>
      <c r="E91" s="22"/>
      <c r="F91" s="647"/>
      <c r="G91" s="22"/>
      <c r="H91" s="22"/>
      <c r="I91" s="22"/>
      <c r="J91" s="22"/>
      <c r="K91" s="22"/>
      <c r="L91" s="22"/>
      <c r="M91" s="22"/>
      <c r="N91" s="22"/>
      <c r="O91" s="647"/>
    </row>
    <row r="92" spans="1:15" x14ac:dyDescent="0.2">
      <c r="A92" s="22" t="s">
        <v>1981</v>
      </c>
      <c r="B92" s="2482"/>
      <c r="C92" s="22"/>
      <c r="D92" s="22"/>
      <c r="E92" s="22"/>
      <c r="F92" s="647"/>
      <c r="G92" s="22"/>
      <c r="H92" s="22"/>
      <c r="I92" s="22"/>
      <c r="J92" s="22"/>
      <c r="K92" s="22"/>
      <c r="L92" s="22"/>
      <c r="M92" s="22"/>
      <c r="N92" s="22"/>
      <c r="O92" s="647"/>
    </row>
    <row r="93" spans="1:15" x14ac:dyDescent="0.2">
      <c r="A93" s="22"/>
      <c r="B93" s="22"/>
      <c r="C93" s="22"/>
      <c r="D93" s="22"/>
      <c r="E93" s="22"/>
      <c r="F93" s="647"/>
      <c r="G93" s="22"/>
      <c r="H93" s="22"/>
      <c r="I93" s="22"/>
      <c r="J93" s="22"/>
      <c r="K93" s="22"/>
      <c r="L93" s="22"/>
      <c r="M93" s="22"/>
      <c r="N93" s="22"/>
      <c r="O93" s="647"/>
    </row>
    <row r="94" spans="1:15" x14ac:dyDescent="0.2">
      <c r="A94" s="22" t="s">
        <v>212</v>
      </c>
      <c r="B94" s="2482" t="s">
        <v>2169</v>
      </c>
      <c r="C94" s="22"/>
      <c r="D94" s="22"/>
      <c r="E94" s="22"/>
      <c r="F94" s="647"/>
      <c r="G94" s="22"/>
      <c r="H94" s="22"/>
      <c r="I94" s="22"/>
      <c r="J94" s="22"/>
      <c r="K94" s="22"/>
      <c r="L94" s="22"/>
      <c r="M94" s="22"/>
      <c r="N94" s="22"/>
      <c r="O94" s="647"/>
    </row>
    <row r="95" spans="1:15" x14ac:dyDescent="0.2">
      <c r="A95" s="22" t="s">
        <v>1912</v>
      </c>
      <c r="B95" s="2482"/>
      <c r="C95" s="22"/>
      <c r="D95" s="22"/>
      <c r="E95" s="22"/>
      <c r="F95" s="647"/>
      <c r="G95" s="22"/>
      <c r="H95" s="22"/>
      <c r="I95" s="22"/>
      <c r="J95" s="22"/>
      <c r="K95" s="22"/>
      <c r="L95" s="22"/>
      <c r="M95" s="22"/>
      <c r="N95" s="22"/>
      <c r="O95" s="647"/>
    </row>
    <row r="96" spans="1:15" x14ac:dyDescent="0.2">
      <c r="A96" s="22" t="s">
        <v>1913</v>
      </c>
      <c r="B96" s="2482"/>
      <c r="C96" s="22"/>
      <c r="D96" s="22"/>
      <c r="E96" s="22"/>
      <c r="F96" s="647"/>
      <c r="G96" s="22"/>
      <c r="H96" s="22"/>
      <c r="I96" s="22"/>
      <c r="J96" s="22"/>
      <c r="K96" s="22"/>
      <c r="L96" s="22"/>
      <c r="M96" s="22"/>
      <c r="N96" s="22"/>
      <c r="O96" s="647"/>
    </row>
    <row r="97" spans="1:15" x14ac:dyDescent="0.2">
      <c r="A97" s="22" t="s">
        <v>1914</v>
      </c>
      <c r="B97" s="2482"/>
      <c r="C97" s="22"/>
      <c r="D97" s="22"/>
      <c r="E97" s="22"/>
      <c r="F97" s="647"/>
      <c r="G97" s="22"/>
      <c r="H97" s="22"/>
      <c r="I97" s="22"/>
      <c r="J97" s="22"/>
      <c r="K97" s="22"/>
      <c r="L97" s="22"/>
      <c r="M97" s="22"/>
      <c r="N97" s="22"/>
      <c r="O97" s="647"/>
    </row>
    <row r="98" spans="1:15" x14ac:dyDescent="0.2">
      <c r="A98" s="22" t="s">
        <v>1982</v>
      </c>
      <c r="B98" s="2482"/>
      <c r="C98" s="22"/>
      <c r="D98" s="22"/>
      <c r="E98" s="22"/>
      <c r="F98" s="647"/>
      <c r="G98" s="22"/>
      <c r="H98" s="22"/>
      <c r="I98" s="22"/>
      <c r="J98" s="22"/>
      <c r="K98" s="22"/>
      <c r="L98" s="22"/>
      <c r="M98" s="22"/>
      <c r="N98" s="22"/>
      <c r="O98" s="647"/>
    </row>
    <row r="99" spans="1:15" x14ac:dyDescent="0.2">
      <c r="A99" s="22"/>
      <c r="B99" s="22"/>
      <c r="C99" s="22"/>
      <c r="D99" s="22"/>
      <c r="E99" s="22"/>
      <c r="F99" s="647"/>
      <c r="G99" s="22"/>
      <c r="H99" s="22"/>
      <c r="I99" s="22"/>
      <c r="J99" s="22"/>
      <c r="K99" s="22"/>
      <c r="L99" s="22"/>
      <c r="M99" s="22"/>
      <c r="N99" s="22"/>
      <c r="O99" s="647"/>
    </row>
    <row r="100" spans="1:15" x14ac:dyDescent="0.2">
      <c r="A100" s="22" t="s">
        <v>331</v>
      </c>
      <c r="B100" s="2482" t="s">
        <v>2170</v>
      </c>
      <c r="C100" s="22"/>
      <c r="D100" s="22"/>
      <c r="E100" s="22"/>
      <c r="F100" s="647"/>
      <c r="G100" s="22"/>
      <c r="H100" s="22"/>
      <c r="I100" s="22"/>
      <c r="J100" s="22"/>
      <c r="K100" s="22"/>
      <c r="L100" s="22"/>
      <c r="M100" s="22"/>
      <c r="N100" s="22"/>
      <c r="O100" s="647"/>
    </row>
    <row r="101" spans="1:15" x14ac:dyDescent="0.2">
      <c r="A101" s="22" t="s">
        <v>983</v>
      </c>
      <c r="B101" s="2482"/>
      <c r="C101" s="22"/>
      <c r="D101" s="22"/>
      <c r="E101" s="22"/>
      <c r="F101" s="647"/>
      <c r="G101" s="22"/>
      <c r="H101" s="22"/>
      <c r="I101" s="22"/>
      <c r="J101" s="22"/>
      <c r="K101" s="22"/>
      <c r="L101" s="22"/>
      <c r="M101" s="22"/>
      <c r="N101" s="22"/>
      <c r="O101" s="647"/>
    </row>
    <row r="102" spans="1:15" x14ac:dyDescent="0.2">
      <c r="A102" s="22" t="s">
        <v>984</v>
      </c>
      <c r="B102" s="2482"/>
      <c r="C102" s="22"/>
      <c r="D102" s="22"/>
      <c r="E102" s="22"/>
      <c r="F102" s="647"/>
      <c r="G102" s="22"/>
      <c r="H102" s="22"/>
      <c r="I102" s="22"/>
      <c r="J102" s="22"/>
      <c r="K102" s="22"/>
      <c r="L102" s="22"/>
      <c r="M102" s="22"/>
      <c r="N102" s="22"/>
      <c r="O102" s="647"/>
    </row>
    <row r="103" spans="1:15" x14ac:dyDescent="0.2">
      <c r="A103" s="22" t="s">
        <v>80</v>
      </c>
      <c r="B103" s="2482"/>
      <c r="C103" s="22"/>
      <c r="D103" s="22"/>
      <c r="E103" s="22"/>
      <c r="F103" s="647"/>
      <c r="G103" s="22"/>
      <c r="H103" s="22"/>
      <c r="I103" s="22"/>
      <c r="J103" s="22"/>
      <c r="K103" s="22"/>
      <c r="L103" s="22"/>
      <c r="M103" s="22"/>
      <c r="N103" s="22"/>
      <c r="O103" s="647"/>
    </row>
    <row r="104" spans="1:15" x14ac:dyDescent="0.2">
      <c r="A104" s="22" t="s">
        <v>1166</v>
      </c>
      <c r="B104" s="2482"/>
      <c r="C104" s="22"/>
      <c r="D104" s="22"/>
      <c r="E104" s="22"/>
      <c r="F104" s="647"/>
      <c r="G104" s="22"/>
      <c r="H104" s="22"/>
      <c r="I104" s="22"/>
      <c r="J104" s="22"/>
      <c r="K104" s="22"/>
      <c r="L104" s="22"/>
      <c r="M104" s="22"/>
      <c r="N104" s="22"/>
      <c r="O104" s="647"/>
    </row>
    <row r="105" spans="1:15" x14ac:dyDescent="0.2">
      <c r="A105" s="22" t="s">
        <v>1983</v>
      </c>
      <c r="B105" s="22"/>
      <c r="C105" s="22"/>
      <c r="D105" s="22"/>
      <c r="E105" s="22"/>
      <c r="F105" s="647"/>
      <c r="G105" s="22"/>
      <c r="H105" s="22"/>
      <c r="I105" s="22"/>
      <c r="J105" s="22"/>
      <c r="K105" s="22"/>
      <c r="L105" s="22"/>
      <c r="M105" s="22"/>
      <c r="N105" s="22"/>
      <c r="O105" s="647"/>
    </row>
    <row r="106" spans="1:15" x14ac:dyDescent="0.2">
      <c r="A106" s="22"/>
      <c r="B106" s="22"/>
      <c r="C106" s="22"/>
      <c r="D106" s="22"/>
      <c r="E106" s="22"/>
      <c r="F106" s="647"/>
      <c r="G106" s="22"/>
      <c r="H106" s="22"/>
      <c r="I106" s="22"/>
      <c r="J106" s="22"/>
      <c r="K106" s="22"/>
      <c r="L106" s="22"/>
      <c r="M106" s="22"/>
      <c r="N106" s="22"/>
      <c r="O106" s="647"/>
    </row>
    <row r="107" spans="1:15" ht="12.75" customHeight="1" x14ac:dyDescent="0.2">
      <c r="A107" s="22" t="s">
        <v>1484</v>
      </c>
      <c r="B107" s="2482" t="s">
        <v>2171</v>
      </c>
      <c r="C107" s="22"/>
      <c r="D107" s="22"/>
      <c r="E107" s="22"/>
      <c r="F107" s="647"/>
      <c r="G107" s="22"/>
      <c r="H107" s="22"/>
      <c r="I107" s="22"/>
      <c r="J107" s="22"/>
      <c r="K107" s="22"/>
      <c r="L107" s="22"/>
      <c r="M107" s="22"/>
      <c r="N107" s="22"/>
      <c r="O107" s="647"/>
    </row>
    <row r="108" spans="1:15" ht="12.75" customHeight="1" x14ac:dyDescent="0.2">
      <c r="A108" s="22" t="s">
        <v>332</v>
      </c>
      <c r="B108" s="2482"/>
      <c r="C108" s="22"/>
      <c r="D108" s="22"/>
      <c r="E108" s="22"/>
      <c r="F108" s="647"/>
      <c r="G108" s="22"/>
      <c r="H108" s="22"/>
      <c r="I108" s="22"/>
      <c r="J108" s="22"/>
      <c r="K108" s="22"/>
      <c r="L108" s="22"/>
      <c r="M108" s="22"/>
      <c r="N108" s="22"/>
      <c r="O108" s="647"/>
    </row>
    <row r="109" spans="1:15" ht="12.75" customHeight="1" x14ac:dyDescent="0.2">
      <c r="A109" s="22" t="s">
        <v>1481</v>
      </c>
      <c r="B109" s="2482"/>
      <c r="C109" s="22"/>
      <c r="D109" s="22"/>
      <c r="E109" s="22"/>
      <c r="F109" s="647"/>
      <c r="G109" s="22"/>
      <c r="H109" s="22"/>
      <c r="I109" s="22"/>
      <c r="J109" s="22"/>
      <c r="K109" s="22"/>
      <c r="L109" s="22"/>
      <c r="M109" s="22"/>
      <c r="N109" s="22"/>
      <c r="O109" s="647"/>
    </row>
    <row r="110" spans="1:15" ht="12.75" customHeight="1" x14ac:dyDescent="0.2">
      <c r="A110" s="22" t="s">
        <v>1482</v>
      </c>
      <c r="B110" s="2482"/>
      <c r="C110" s="22"/>
      <c r="D110" s="22"/>
      <c r="E110" s="22"/>
      <c r="F110" s="647"/>
      <c r="G110" s="22"/>
      <c r="H110" s="22"/>
      <c r="I110" s="22"/>
      <c r="J110" s="22"/>
      <c r="K110" s="22"/>
      <c r="L110" s="22"/>
      <c r="M110" s="22"/>
      <c r="N110" s="22"/>
      <c r="O110" s="647"/>
    </row>
    <row r="111" spans="1:15" ht="12.75" customHeight="1" x14ac:dyDescent="0.2">
      <c r="A111" s="22" t="s">
        <v>1483</v>
      </c>
      <c r="B111" s="2482"/>
      <c r="C111" s="22"/>
      <c r="D111" s="22"/>
      <c r="E111" s="22"/>
      <c r="F111" s="647"/>
      <c r="G111" s="22"/>
      <c r="H111" s="22"/>
      <c r="I111" s="22"/>
      <c r="J111" s="22"/>
      <c r="K111" s="22"/>
      <c r="L111" s="22"/>
      <c r="M111" s="22"/>
      <c r="N111" s="22"/>
      <c r="O111" s="647"/>
    </row>
    <row r="112" spans="1:15" ht="13.5" customHeight="1" x14ac:dyDescent="0.2">
      <c r="A112" s="22" t="s">
        <v>1984</v>
      </c>
      <c r="B112" s="2482"/>
      <c r="C112" s="22"/>
      <c r="D112" s="22"/>
      <c r="E112" s="22"/>
      <c r="F112" s="647"/>
      <c r="G112" s="22"/>
      <c r="H112" s="22"/>
      <c r="I112" s="22"/>
      <c r="J112" s="22"/>
      <c r="K112" s="22"/>
      <c r="L112" s="22"/>
      <c r="M112" s="22"/>
      <c r="N112" s="22"/>
      <c r="O112" s="647"/>
    </row>
    <row r="113" spans="1:15" x14ac:dyDescent="0.2">
      <c r="A113" s="22"/>
      <c r="B113" s="22"/>
      <c r="C113" s="22"/>
      <c r="D113" s="22"/>
      <c r="E113" s="22"/>
      <c r="F113" s="647"/>
      <c r="G113" s="22"/>
      <c r="H113" s="22"/>
      <c r="I113" s="22"/>
      <c r="J113" s="22"/>
      <c r="K113" s="22"/>
      <c r="L113" s="22"/>
      <c r="M113" s="22"/>
      <c r="N113" s="22"/>
      <c r="O113" s="647"/>
    </row>
    <row r="114" spans="1:15" ht="25.5" x14ac:dyDescent="0.2">
      <c r="A114" s="649" t="s">
        <v>1985</v>
      </c>
      <c r="B114" s="22"/>
      <c r="C114" s="22"/>
      <c r="D114" s="22"/>
      <c r="E114" s="22"/>
      <c r="F114" s="647"/>
      <c r="G114" s="22"/>
      <c r="H114" s="22"/>
      <c r="I114" s="22"/>
      <c r="J114" s="22"/>
      <c r="K114" s="22"/>
      <c r="L114" s="22"/>
      <c r="M114" s="22"/>
      <c r="N114" s="22"/>
      <c r="O114" s="647"/>
    </row>
    <row r="115" spans="1:15" x14ac:dyDescent="0.2">
      <c r="A115" s="22"/>
      <c r="B115" s="22"/>
      <c r="C115" s="22"/>
      <c r="D115" s="22"/>
      <c r="E115" s="22"/>
      <c r="F115" s="647"/>
      <c r="G115" s="22"/>
      <c r="H115" s="22"/>
      <c r="I115" s="22"/>
      <c r="J115" s="22"/>
      <c r="K115" s="22"/>
      <c r="L115" s="22"/>
      <c r="M115" s="22"/>
      <c r="N115" s="22"/>
      <c r="O115" s="647"/>
    </row>
    <row r="116" spans="1:15" x14ac:dyDescent="0.2">
      <c r="A116" s="674" t="s">
        <v>2159</v>
      </c>
      <c r="B116" s="22"/>
      <c r="C116" s="22"/>
      <c r="D116" s="22"/>
      <c r="E116" s="22"/>
      <c r="F116" s="647"/>
      <c r="G116" s="22"/>
      <c r="H116" s="22"/>
      <c r="I116" s="22"/>
      <c r="J116" s="22"/>
      <c r="K116" s="22"/>
      <c r="L116" s="22"/>
      <c r="M116" s="22"/>
      <c r="N116" s="22"/>
      <c r="O116" s="647"/>
    </row>
    <row r="117" spans="1:15" ht="25.5" x14ac:dyDescent="0.2">
      <c r="A117" s="675" t="s">
        <v>2160</v>
      </c>
      <c r="B117" s="22"/>
      <c r="C117" s="22"/>
      <c r="D117" s="22"/>
      <c r="E117" s="22"/>
      <c r="F117" s="647"/>
      <c r="G117" s="22"/>
      <c r="H117" s="22"/>
      <c r="I117" s="22"/>
      <c r="J117" s="22"/>
      <c r="K117" s="22"/>
      <c r="L117" s="22"/>
      <c r="M117" s="22"/>
      <c r="N117" s="22"/>
      <c r="O117" s="647"/>
    </row>
    <row r="118" spans="1:15" x14ac:dyDescent="0.2">
      <c r="A118" s="675" t="s">
        <v>2162</v>
      </c>
      <c r="B118" s="22"/>
      <c r="C118" s="22"/>
      <c r="D118" s="22"/>
      <c r="E118" s="22"/>
      <c r="F118" s="647"/>
      <c r="G118" s="22"/>
      <c r="H118" s="22"/>
      <c r="I118" s="22"/>
      <c r="J118" s="22"/>
      <c r="K118" s="22"/>
      <c r="L118" s="22"/>
      <c r="M118" s="22"/>
      <c r="N118" s="22"/>
      <c r="O118" s="647"/>
    </row>
    <row r="119" spans="1:15" ht="25.5" x14ac:dyDescent="0.2">
      <c r="A119" s="675" t="s">
        <v>2161</v>
      </c>
      <c r="B119" s="22"/>
      <c r="C119" s="22"/>
      <c r="D119" s="22"/>
      <c r="E119" s="22"/>
      <c r="F119" s="647"/>
      <c r="G119" s="22"/>
      <c r="H119" s="22"/>
      <c r="I119" s="22"/>
      <c r="J119" s="22"/>
      <c r="K119" s="22"/>
      <c r="L119" s="22"/>
      <c r="M119" s="22"/>
      <c r="N119" s="22"/>
      <c r="O119" s="647"/>
    </row>
    <row r="120" spans="1:15" x14ac:dyDescent="0.2">
      <c r="A120" s="676" t="s">
        <v>2165</v>
      </c>
      <c r="B120" s="22"/>
      <c r="C120" s="22"/>
      <c r="D120" s="22"/>
      <c r="E120" s="22"/>
      <c r="F120" s="647"/>
      <c r="G120" s="22"/>
      <c r="H120" s="22"/>
      <c r="I120" s="22"/>
      <c r="J120" s="22"/>
      <c r="K120" s="22"/>
      <c r="L120" s="22"/>
      <c r="M120" s="22"/>
      <c r="N120" s="22"/>
      <c r="O120" s="647"/>
    </row>
    <row r="121" spans="1:15" x14ac:dyDescent="0.2">
      <c r="A121" s="677" t="s">
        <v>2167</v>
      </c>
      <c r="B121" s="22"/>
      <c r="C121" s="22"/>
      <c r="D121" s="22"/>
      <c r="E121" s="22"/>
      <c r="F121" s="647"/>
      <c r="G121" s="22"/>
      <c r="H121" s="22"/>
      <c r="I121" s="22"/>
      <c r="J121" s="22"/>
      <c r="K121" s="22"/>
      <c r="L121" s="22"/>
      <c r="M121" s="22"/>
      <c r="N121" s="22"/>
      <c r="O121" s="647"/>
    </row>
    <row r="122" spans="1:15" x14ac:dyDescent="0.2">
      <c r="A122" s="677" t="s">
        <v>2164</v>
      </c>
      <c r="B122" s="22"/>
      <c r="C122" s="22"/>
      <c r="D122" s="22"/>
      <c r="E122" s="22"/>
      <c r="F122" s="647"/>
      <c r="G122" s="22"/>
      <c r="H122" s="22"/>
      <c r="I122" s="22"/>
      <c r="J122" s="22"/>
      <c r="K122" s="22"/>
      <c r="L122" s="22"/>
      <c r="M122" s="22"/>
      <c r="N122" s="22"/>
      <c r="O122" s="647"/>
    </row>
    <row r="123" spans="1:15" x14ac:dyDescent="0.2">
      <c r="A123" s="677" t="s">
        <v>2163</v>
      </c>
      <c r="B123" s="22"/>
      <c r="C123" s="22"/>
      <c r="D123" s="22"/>
      <c r="E123" s="22"/>
      <c r="F123" s="647"/>
      <c r="G123" s="22"/>
      <c r="H123" s="22"/>
      <c r="I123" s="22"/>
      <c r="J123" s="22"/>
      <c r="K123" s="22"/>
      <c r="L123" s="22"/>
      <c r="M123" s="22"/>
      <c r="N123" s="22"/>
      <c r="O123" s="647"/>
    </row>
    <row r="124" spans="1:15" x14ac:dyDescent="0.2">
      <c r="A124" s="677" t="s">
        <v>2166</v>
      </c>
      <c r="B124" s="22"/>
      <c r="C124" s="22"/>
      <c r="D124" s="22"/>
      <c r="E124" s="22"/>
      <c r="F124" s="647"/>
      <c r="G124" s="22"/>
      <c r="H124" s="22"/>
      <c r="I124" s="22"/>
      <c r="J124" s="22"/>
      <c r="K124" s="22"/>
      <c r="L124" s="22"/>
      <c r="M124" s="22"/>
      <c r="N124" s="22"/>
      <c r="O124" s="647"/>
    </row>
    <row r="125" spans="1:15" x14ac:dyDescent="0.2">
      <c r="A125" s="678"/>
      <c r="B125" s="22"/>
      <c r="C125" s="22"/>
      <c r="D125" s="22"/>
      <c r="E125" s="22"/>
      <c r="F125" s="647"/>
      <c r="G125" s="22"/>
      <c r="H125" s="22"/>
      <c r="I125" s="22"/>
      <c r="J125" s="22"/>
      <c r="K125" s="22"/>
      <c r="L125" s="22"/>
      <c r="M125" s="22"/>
      <c r="N125" s="22"/>
      <c r="O125" s="647"/>
    </row>
    <row r="126" spans="1:15" x14ac:dyDescent="0.2">
      <c r="A126" s="22"/>
      <c r="B126" s="22"/>
      <c r="C126" s="22"/>
      <c r="D126" s="22"/>
      <c r="E126" s="22"/>
      <c r="F126" s="647"/>
      <c r="G126" s="22"/>
      <c r="H126" s="22"/>
      <c r="I126" s="22"/>
      <c r="J126" s="22"/>
      <c r="K126" s="22"/>
      <c r="L126" s="22"/>
      <c r="M126" s="22"/>
      <c r="N126" s="22"/>
      <c r="O126" s="647"/>
    </row>
    <row r="127" spans="1:15" x14ac:dyDescent="0.2">
      <c r="A127" s="22"/>
      <c r="B127" s="22"/>
      <c r="C127" s="22"/>
      <c r="D127" s="22"/>
      <c r="E127" s="22"/>
      <c r="F127" s="647"/>
      <c r="G127" s="22"/>
      <c r="H127" s="22"/>
      <c r="I127" s="22"/>
      <c r="J127" s="22"/>
      <c r="K127" s="22"/>
      <c r="L127" s="22"/>
      <c r="M127" s="22"/>
      <c r="N127" s="22"/>
      <c r="O127" s="647"/>
    </row>
    <row r="128" spans="1:15" x14ac:dyDescent="0.2">
      <c r="A128" s="22"/>
      <c r="B128" s="22"/>
      <c r="C128" s="22"/>
      <c r="D128" s="22"/>
      <c r="E128" s="22"/>
      <c r="F128" s="647"/>
      <c r="G128" s="22"/>
      <c r="H128" s="22"/>
      <c r="I128" s="22"/>
      <c r="J128" s="22"/>
      <c r="K128" s="22"/>
      <c r="L128" s="22"/>
      <c r="M128" s="22"/>
      <c r="N128" s="22"/>
      <c r="O128" s="647"/>
    </row>
    <row r="129" spans="1:15" x14ac:dyDescent="0.2">
      <c r="A129" s="22"/>
      <c r="B129" s="22"/>
      <c r="C129" s="22"/>
      <c r="D129" s="22"/>
      <c r="E129" s="22"/>
      <c r="F129" s="647"/>
      <c r="G129" s="22"/>
      <c r="H129" s="22"/>
      <c r="I129" s="22"/>
      <c r="J129" s="22"/>
      <c r="K129" s="22"/>
      <c r="L129" s="22"/>
      <c r="M129" s="22"/>
      <c r="N129" s="22"/>
      <c r="O129" s="647"/>
    </row>
    <row r="130" spans="1:15" x14ac:dyDescent="0.2">
      <c r="A130" s="22"/>
      <c r="B130" s="22"/>
      <c r="C130" s="22"/>
      <c r="D130" s="22"/>
      <c r="E130" s="22"/>
      <c r="F130" s="647"/>
      <c r="G130" s="22"/>
      <c r="H130" s="22"/>
      <c r="I130" s="22"/>
      <c r="J130" s="22"/>
      <c r="K130" s="22"/>
      <c r="L130" s="22"/>
      <c r="M130" s="22"/>
      <c r="N130" s="22"/>
      <c r="O130" s="647"/>
    </row>
    <row r="131" spans="1:15" x14ac:dyDescent="0.2">
      <c r="A131" s="22"/>
      <c r="B131" s="22"/>
      <c r="C131" s="22"/>
      <c r="D131" s="22"/>
      <c r="E131" s="22"/>
      <c r="F131" s="647"/>
      <c r="G131" s="22"/>
      <c r="H131" s="22"/>
      <c r="I131" s="22"/>
      <c r="J131" s="22"/>
      <c r="K131" s="22"/>
      <c r="L131" s="22"/>
      <c r="M131" s="22"/>
      <c r="N131" s="22"/>
      <c r="O131" s="647"/>
    </row>
    <row r="132" spans="1:15" x14ac:dyDescent="0.2">
      <c r="A132" s="22"/>
      <c r="B132" s="22"/>
      <c r="C132" s="22"/>
      <c r="D132" s="22"/>
      <c r="E132" s="22"/>
      <c r="F132" s="647"/>
      <c r="G132" s="22"/>
      <c r="H132" s="22"/>
      <c r="I132" s="22"/>
      <c r="J132" s="22"/>
      <c r="K132" s="22"/>
      <c r="L132" s="22"/>
      <c r="M132" s="22"/>
      <c r="N132" s="22"/>
      <c r="O132" s="647"/>
    </row>
    <row r="133" spans="1:15" x14ac:dyDescent="0.2">
      <c r="A133" s="22"/>
      <c r="B133" s="22"/>
      <c r="C133" s="22"/>
      <c r="D133" s="22"/>
      <c r="E133" s="22"/>
      <c r="F133" s="647"/>
      <c r="G133" s="22"/>
      <c r="H133" s="22"/>
      <c r="I133" s="22"/>
      <c r="J133" s="22"/>
      <c r="K133" s="22"/>
      <c r="L133" s="22"/>
      <c r="M133" s="22"/>
      <c r="N133" s="22"/>
      <c r="O133" s="647"/>
    </row>
    <row r="134" spans="1:15" x14ac:dyDescent="0.2">
      <c r="A134" s="22"/>
      <c r="B134" s="22"/>
      <c r="C134" s="22"/>
      <c r="D134" s="22"/>
      <c r="E134" s="22"/>
      <c r="F134" s="647"/>
      <c r="G134" s="22"/>
      <c r="H134" s="22"/>
      <c r="I134" s="22"/>
      <c r="J134" s="22"/>
      <c r="K134" s="22"/>
      <c r="L134" s="22"/>
      <c r="M134" s="22"/>
      <c r="N134" s="22"/>
      <c r="O134" s="647"/>
    </row>
    <row r="135" spans="1:15" x14ac:dyDescent="0.2">
      <c r="A135" s="22"/>
      <c r="B135" s="22"/>
      <c r="C135" s="22"/>
      <c r="D135" s="22"/>
      <c r="E135" s="22"/>
      <c r="F135" s="647"/>
      <c r="G135" s="22"/>
      <c r="H135" s="22"/>
      <c r="I135" s="22"/>
      <c r="J135" s="22"/>
      <c r="K135" s="22"/>
      <c r="L135" s="22"/>
      <c r="M135" s="22"/>
      <c r="N135" s="22"/>
      <c r="O135" s="647"/>
    </row>
    <row r="136" spans="1:15" x14ac:dyDescent="0.2">
      <c r="A136" s="22"/>
      <c r="B136" s="22"/>
      <c r="C136" s="22"/>
      <c r="D136" s="22"/>
      <c r="E136" s="22"/>
      <c r="F136" s="647"/>
      <c r="G136" s="22"/>
      <c r="H136" s="22"/>
      <c r="I136" s="22"/>
      <c r="J136" s="22"/>
      <c r="K136" s="22"/>
      <c r="L136" s="22"/>
      <c r="M136" s="22"/>
      <c r="N136" s="22"/>
      <c r="O136" s="647"/>
    </row>
    <row r="137" spans="1:15" x14ac:dyDescent="0.2">
      <c r="A137" s="22"/>
      <c r="B137" s="22"/>
      <c r="C137" s="22"/>
      <c r="D137" s="22"/>
      <c r="E137" s="22"/>
      <c r="F137" s="647"/>
      <c r="G137" s="22"/>
      <c r="H137" s="22"/>
      <c r="I137" s="22"/>
      <c r="J137" s="22"/>
      <c r="K137" s="22"/>
      <c r="L137" s="22"/>
      <c r="M137" s="22"/>
      <c r="N137" s="22"/>
      <c r="O137" s="647"/>
    </row>
    <row r="138" spans="1:15" x14ac:dyDescent="0.2">
      <c r="A138" s="22"/>
      <c r="B138" s="22"/>
      <c r="C138" s="22"/>
      <c r="D138" s="22"/>
      <c r="E138" s="22"/>
      <c r="F138" s="647"/>
      <c r="G138" s="22"/>
      <c r="H138" s="22"/>
      <c r="I138" s="22"/>
      <c r="J138" s="22"/>
      <c r="K138" s="22"/>
      <c r="L138" s="22"/>
      <c r="M138" s="22"/>
      <c r="N138" s="22"/>
      <c r="O138" s="647"/>
    </row>
    <row r="139" spans="1:15" x14ac:dyDescent="0.2">
      <c r="A139" s="22"/>
      <c r="B139" s="22"/>
      <c r="C139" s="22"/>
      <c r="D139" s="22"/>
      <c r="E139" s="22"/>
      <c r="F139" s="647"/>
      <c r="G139" s="22"/>
      <c r="H139" s="22"/>
      <c r="I139" s="22"/>
      <c r="J139" s="22"/>
      <c r="K139" s="22"/>
      <c r="L139" s="22"/>
      <c r="M139" s="22"/>
      <c r="N139" s="22"/>
      <c r="O139" s="647"/>
    </row>
    <row r="140" spans="1:15" x14ac:dyDescent="0.2">
      <c r="A140" s="22"/>
      <c r="B140" s="22"/>
      <c r="C140" s="22"/>
      <c r="D140" s="22"/>
      <c r="E140" s="22"/>
      <c r="F140" s="647"/>
      <c r="G140" s="22"/>
      <c r="H140" s="22"/>
      <c r="I140" s="22"/>
      <c r="J140" s="22"/>
      <c r="K140" s="22"/>
      <c r="L140" s="22"/>
      <c r="M140" s="22"/>
      <c r="N140" s="22"/>
      <c r="O140" s="647"/>
    </row>
    <row r="141" spans="1:15" x14ac:dyDescent="0.2">
      <c r="A141" s="22"/>
      <c r="B141" s="22"/>
      <c r="C141" s="22"/>
      <c r="D141" s="22"/>
      <c r="E141" s="22"/>
      <c r="F141" s="647"/>
      <c r="G141" s="22"/>
      <c r="H141" s="22"/>
      <c r="I141" s="22"/>
      <c r="J141" s="22"/>
      <c r="K141" s="22"/>
      <c r="L141" s="22"/>
      <c r="M141" s="22"/>
      <c r="N141" s="22"/>
      <c r="O141" s="647"/>
    </row>
    <row r="142" spans="1:15" x14ac:dyDescent="0.2">
      <c r="A142" s="22"/>
      <c r="B142" s="22"/>
      <c r="C142" s="22"/>
      <c r="D142" s="22"/>
      <c r="E142" s="22"/>
      <c r="F142" s="647"/>
      <c r="G142" s="22"/>
      <c r="H142" s="22"/>
      <c r="I142" s="22"/>
      <c r="J142" s="22"/>
      <c r="K142" s="22"/>
      <c r="L142" s="22"/>
      <c r="M142" s="22"/>
      <c r="N142" s="22"/>
      <c r="O142" s="647"/>
    </row>
    <row r="143" spans="1:15" x14ac:dyDescent="0.2">
      <c r="A143" s="22"/>
      <c r="B143" s="22"/>
      <c r="C143" s="22"/>
      <c r="D143" s="22"/>
      <c r="E143" s="22"/>
      <c r="F143" s="647"/>
      <c r="G143" s="22"/>
      <c r="H143" s="22"/>
      <c r="I143" s="22"/>
      <c r="J143" s="22"/>
      <c r="K143" s="22"/>
      <c r="L143" s="22"/>
      <c r="M143" s="22"/>
      <c r="N143" s="22"/>
      <c r="O143" s="647"/>
    </row>
    <row r="144" spans="1:15" x14ac:dyDescent="0.2">
      <c r="A144" s="22"/>
      <c r="B144" s="22"/>
      <c r="C144" s="22"/>
      <c r="D144" s="22"/>
      <c r="E144" s="22"/>
      <c r="F144" s="647"/>
      <c r="G144" s="22"/>
      <c r="H144" s="22"/>
      <c r="I144" s="22"/>
      <c r="J144" s="22"/>
      <c r="K144" s="22"/>
      <c r="L144" s="22"/>
      <c r="M144" s="22"/>
      <c r="N144" s="22"/>
      <c r="O144" s="647"/>
    </row>
    <row r="145" spans="1:15" x14ac:dyDescent="0.2">
      <c r="A145" s="22"/>
      <c r="B145" s="22"/>
      <c r="C145" s="22"/>
      <c r="D145" s="22"/>
      <c r="E145" s="22"/>
      <c r="F145" s="647"/>
      <c r="G145" s="22"/>
      <c r="H145" s="22"/>
      <c r="I145" s="22"/>
      <c r="J145" s="22"/>
      <c r="K145" s="22"/>
      <c r="L145" s="22"/>
      <c r="M145" s="22"/>
      <c r="N145" s="22"/>
      <c r="O145" s="647"/>
    </row>
    <row r="146" spans="1:15" x14ac:dyDescent="0.2">
      <c r="A146" s="22"/>
      <c r="B146" s="22"/>
      <c r="C146" s="22"/>
      <c r="D146" s="22"/>
      <c r="E146" s="22"/>
      <c r="F146" s="647"/>
      <c r="G146" s="22"/>
      <c r="H146" s="22"/>
      <c r="I146" s="22"/>
      <c r="J146" s="22"/>
      <c r="K146" s="22"/>
      <c r="L146" s="22"/>
      <c r="M146" s="22"/>
      <c r="N146" s="22"/>
      <c r="O146" s="647"/>
    </row>
    <row r="147" spans="1:15" x14ac:dyDescent="0.2">
      <c r="A147" s="22"/>
      <c r="B147" s="22"/>
      <c r="C147" s="22"/>
      <c r="D147" s="22"/>
      <c r="E147" s="22"/>
      <c r="F147" s="647"/>
      <c r="G147" s="22"/>
      <c r="H147" s="22"/>
      <c r="I147" s="22"/>
      <c r="J147" s="22"/>
      <c r="K147" s="22"/>
      <c r="L147" s="22"/>
      <c r="M147" s="22"/>
      <c r="N147" s="22"/>
      <c r="O147" s="647"/>
    </row>
    <row r="148" spans="1:15" x14ac:dyDescent="0.2">
      <c r="A148" s="22"/>
      <c r="B148" s="22"/>
      <c r="C148" s="22"/>
      <c r="D148" s="22"/>
      <c r="E148" s="22"/>
      <c r="F148" s="647"/>
      <c r="G148" s="22"/>
      <c r="H148" s="22"/>
      <c r="I148" s="22"/>
      <c r="J148" s="22"/>
      <c r="K148" s="22"/>
      <c r="L148" s="22"/>
      <c r="M148" s="22"/>
      <c r="N148" s="22"/>
      <c r="O148" s="647"/>
    </row>
    <row r="149" spans="1:15" x14ac:dyDescent="0.2">
      <c r="A149" s="22"/>
      <c r="B149" s="22"/>
      <c r="C149" s="22"/>
      <c r="D149" s="22"/>
      <c r="E149" s="22"/>
      <c r="F149" s="647"/>
      <c r="G149" s="22"/>
      <c r="H149" s="22"/>
      <c r="I149" s="22"/>
      <c r="J149" s="22"/>
      <c r="K149" s="22"/>
      <c r="L149" s="22"/>
      <c r="M149" s="22"/>
      <c r="N149" s="22"/>
      <c r="O149" s="647"/>
    </row>
    <row r="150" spans="1:15" x14ac:dyDescent="0.2">
      <c r="A150" s="22"/>
      <c r="B150" s="22"/>
      <c r="C150" s="22"/>
      <c r="D150" s="22"/>
      <c r="E150" s="22"/>
      <c r="F150" s="647"/>
      <c r="G150" s="22"/>
      <c r="H150" s="22"/>
      <c r="I150" s="22"/>
      <c r="J150" s="22"/>
      <c r="K150" s="22"/>
      <c r="L150" s="22"/>
      <c r="M150" s="22"/>
      <c r="N150" s="22"/>
      <c r="O150" s="647"/>
    </row>
    <row r="151" spans="1:15" x14ac:dyDescent="0.2">
      <c r="A151" s="22"/>
      <c r="B151" s="22"/>
      <c r="C151" s="22"/>
      <c r="D151" s="22"/>
      <c r="E151" s="22"/>
      <c r="F151" s="647"/>
      <c r="G151" s="22"/>
      <c r="H151" s="22"/>
      <c r="I151" s="22"/>
      <c r="J151" s="22"/>
      <c r="K151" s="22"/>
      <c r="L151" s="22"/>
      <c r="M151" s="22"/>
      <c r="N151" s="22"/>
      <c r="O151" s="647"/>
    </row>
    <row r="152" spans="1:15" x14ac:dyDescent="0.2">
      <c r="A152" s="22"/>
      <c r="B152" s="22"/>
      <c r="C152" s="22"/>
      <c r="D152" s="22"/>
      <c r="E152" s="22"/>
      <c r="F152" s="647"/>
      <c r="G152" s="22"/>
      <c r="H152" s="22"/>
      <c r="I152" s="22"/>
      <c r="J152" s="22"/>
      <c r="K152" s="22"/>
      <c r="L152" s="22"/>
      <c r="M152" s="22"/>
      <c r="N152" s="22"/>
      <c r="O152" s="647"/>
    </row>
    <row r="153" spans="1:15" x14ac:dyDescent="0.2">
      <c r="A153" s="22"/>
      <c r="B153" s="22"/>
      <c r="C153" s="22"/>
      <c r="D153" s="22"/>
      <c r="E153" s="22"/>
      <c r="F153" s="647"/>
      <c r="G153" s="22"/>
      <c r="H153" s="22"/>
      <c r="I153" s="22"/>
      <c r="J153" s="22"/>
      <c r="K153" s="22"/>
      <c r="L153" s="22"/>
      <c r="M153" s="22"/>
      <c r="N153" s="22"/>
      <c r="O153" s="647"/>
    </row>
    <row r="154" spans="1:15" x14ac:dyDescent="0.2">
      <c r="A154" s="22"/>
      <c r="B154" s="22"/>
      <c r="C154" s="22"/>
      <c r="D154" s="22"/>
      <c r="E154" s="22"/>
      <c r="F154" s="647"/>
      <c r="G154" s="22"/>
      <c r="H154" s="22"/>
      <c r="I154" s="22"/>
      <c r="J154" s="22"/>
      <c r="K154" s="22"/>
      <c r="L154" s="22"/>
      <c r="M154" s="22"/>
      <c r="N154" s="22"/>
      <c r="O154" s="647"/>
    </row>
    <row r="155" spans="1:15" x14ac:dyDescent="0.2">
      <c r="A155" s="22"/>
      <c r="B155" s="22"/>
      <c r="C155" s="22"/>
      <c r="D155" s="22"/>
      <c r="E155" s="22"/>
      <c r="F155" s="647"/>
      <c r="G155" s="22"/>
      <c r="H155" s="22"/>
      <c r="I155" s="22"/>
      <c r="J155" s="22"/>
      <c r="K155" s="22"/>
      <c r="L155" s="22"/>
      <c r="M155" s="22"/>
      <c r="N155" s="22"/>
      <c r="O155" s="647"/>
    </row>
    <row r="156" spans="1:15" x14ac:dyDescent="0.2">
      <c r="A156" s="22"/>
      <c r="B156" s="22"/>
      <c r="C156" s="22"/>
      <c r="D156" s="22"/>
      <c r="E156" s="22"/>
      <c r="F156" s="647"/>
      <c r="G156" s="22"/>
      <c r="H156" s="22"/>
      <c r="I156" s="22"/>
      <c r="J156" s="22"/>
      <c r="K156" s="22"/>
      <c r="L156" s="22"/>
      <c r="M156" s="22"/>
      <c r="N156" s="22"/>
      <c r="O156" s="647"/>
    </row>
    <row r="157" spans="1:15" x14ac:dyDescent="0.2">
      <c r="A157" s="22"/>
      <c r="B157" s="22"/>
      <c r="C157" s="22"/>
      <c r="D157" s="22"/>
      <c r="E157" s="22"/>
      <c r="F157" s="647"/>
      <c r="G157" s="22"/>
      <c r="H157" s="22"/>
      <c r="I157" s="22"/>
      <c r="J157" s="22"/>
      <c r="K157" s="22"/>
      <c r="L157" s="22"/>
      <c r="M157" s="22"/>
      <c r="N157" s="22"/>
      <c r="O157" s="647"/>
    </row>
    <row r="158" spans="1:15" x14ac:dyDescent="0.2">
      <c r="A158" s="22"/>
      <c r="B158" s="22"/>
      <c r="C158" s="22"/>
      <c r="D158" s="22"/>
      <c r="E158" s="22"/>
      <c r="F158" s="647"/>
      <c r="G158" s="22"/>
      <c r="H158" s="22"/>
      <c r="I158" s="22"/>
      <c r="J158" s="22"/>
      <c r="K158" s="22"/>
      <c r="L158" s="22"/>
      <c r="M158" s="22"/>
      <c r="N158" s="22"/>
      <c r="O158" s="647"/>
    </row>
    <row r="159" spans="1:15" x14ac:dyDescent="0.2">
      <c r="A159" s="22"/>
      <c r="B159" s="22"/>
      <c r="C159" s="22"/>
      <c r="D159" s="22"/>
      <c r="E159" s="22"/>
      <c r="F159" s="647"/>
      <c r="G159" s="22"/>
      <c r="H159" s="22"/>
      <c r="I159" s="22"/>
      <c r="J159" s="22"/>
      <c r="K159" s="22"/>
      <c r="L159" s="22"/>
      <c r="M159" s="22"/>
      <c r="N159" s="22"/>
      <c r="O159" s="647"/>
    </row>
    <row r="160" spans="1:15" x14ac:dyDescent="0.2">
      <c r="A160" s="22"/>
      <c r="B160" s="22"/>
      <c r="C160" s="22"/>
      <c r="D160" s="22"/>
      <c r="E160" s="22"/>
      <c r="F160" s="647"/>
      <c r="G160" s="22"/>
      <c r="H160" s="22"/>
      <c r="I160" s="22"/>
      <c r="J160" s="22"/>
      <c r="K160" s="22"/>
      <c r="L160" s="22"/>
      <c r="M160" s="22"/>
      <c r="N160" s="22"/>
      <c r="O160" s="647"/>
    </row>
    <row r="161" spans="1:15" x14ac:dyDescent="0.2">
      <c r="A161" s="22"/>
      <c r="B161" s="22"/>
      <c r="C161" s="22"/>
      <c r="D161" s="22"/>
      <c r="E161" s="22"/>
      <c r="F161" s="647"/>
      <c r="G161" s="22"/>
      <c r="H161" s="22"/>
      <c r="I161" s="22"/>
      <c r="J161" s="22"/>
      <c r="K161" s="22"/>
      <c r="L161" s="22"/>
      <c r="M161" s="22"/>
      <c r="N161" s="22"/>
      <c r="O161" s="647"/>
    </row>
    <row r="162" spans="1:15" x14ac:dyDescent="0.2">
      <c r="A162" s="22"/>
      <c r="B162" s="22"/>
      <c r="C162" s="22"/>
      <c r="D162" s="22"/>
      <c r="E162" s="22"/>
      <c r="F162" s="647"/>
      <c r="G162" s="22"/>
      <c r="H162" s="22"/>
      <c r="I162" s="22"/>
      <c r="J162" s="22"/>
      <c r="K162" s="22"/>
      <c r="L162" s="22"/>
      <c r="M162" s="22"/>
      <c r="N162" s="22"/>
      <c r="O162" s="647"/>
    </row>
    <row r="163" spans="1:15" x14ac:dyDescent="0.2">
      <c r="A163" s="22"/>
      <c r="B163" s="22"/>
      <c r="C163" s="22"/>
      <c r="D163" s="22"/>
      <c r="E163" s="22"/>
      <c r="F163" s="647"/>
      <c r="G163" s="22"/>
      <c r="H163" s="22"/>
      <c r="I163" s="22"/>
      <c r="J163" s="22"/>
      <c r="K163" s="22"/>
      <c r="L163" s="22"/>
      <c r="M163" s="22"/>
      <c r="N163" s="22"/>
      <c r="O163" s="647"/>
    </row>
    <row r="164" spans="1:15" x14ac:dyDescent="0.2">
      <c r="A164" s="22"/>
      <c r="B164" s="22"/>
      <c r="C164" s="22"/>
      <c r="D164" s="22"/>
      <c r="E164" s="22"/>
      <c r="F164" s="647"/>
      <c r="G164" s="22"/>
      <c r="H164" s="22"/>
      <c r="I164" s="22"/>
      <c r="J164" s="22"/>
      <c r="K164" s="22"/>
      <c r="L164" s="22"/>
      <c r="M164" s="22"/>
      <c r="N164" s="22"/>
      <c r="O164" s="647"/>
    </row>
    <row r="165" spans="1:15" x14ac:dyDescent="0.2">
      <c r="A165" s="22"/>
      <c r="B165" s="22"/>
      <c r="C165" s="22"/>
      <c r="D165" s="22"/>
      <c r="E165" s="22"/>
      <c r="F165" s="647"/>
      <c r="G165" s="22"/>
      <c r="H165" s="22"/>
      <c r="I165" s="22"/>
      <c r="J165" s="22"/>
      <c r="K165" s="22"/>
      <c r="L165" s="22"/>
      <c r="M165" s="22"/>
      <c r="N165" s="22"/>
      <c r="O165" s="647"/>
    </row>
    <row r="166" spans="1:15" x14ac:dyDescent="0.2">
      <c r="A166" s="22"/>
      <c r="B166" s="22"/>
      <c r="C166" s="22"/>
      <c r="D166" s="22"/>
      <c r="E166" s="22"/>
      <c r="F166" s="647"/>
      <c r="G166" s="22"/>
      <c r="H166" s="22"/>
      <c r="I166" s="22"/>
      <c r="J166" s="22"/>
      <c r="K166" s="22"/>
      <c r="L166" s="22"/>
      <c r="M166" s="22"/>
      <c r="N166" s="22"/>
      <c r="O166" s="647"/>
    </row>
    <row r="167" spans="1:15" x14ac:dyDescent="0.2">
      <c r="A167" s="37"/>
    </row>
    <row r="168" spans="1:15" x14ac:dyDescent="0.2">
      <c r="A168" s="37"/>
    </row>
    <row r="169" spans="1:15" x14ac:dyDescent="0.2">
      <c r="A169" s="37"/>
    </row>
    <row r="170" spans="1:15" x14ac:dyDescent="0.2">
      <c r="A170" s="37"/>
    </row>
    <row r="171" spans="1:15" x14ac:dyDescent="0.2">
      <c r="A171" s="37"/>
    </row>
    <row r="172" spans="1:15" x14ac:dyDescent="0.2">
      <c r="A172" s="37"/>
    </row>
    <row r="173" spans="1:15" x14ac:dyDescent="0.2">
      <c r="A173" s="37"/>
    </row>
    <row r="174" spans="1:15" x14ac:dyDescent="0.2">
      <c r="A174" s="37"/>
    </row>
    <row r="175" spans="1:15" x14ac:dyDescent="0.2">
      <c r="A175" s="37"/>
    </row>
    <row r="176" spans="1:15" x14ac:dyDescent="0.2">
      <c r="A176" s="37"/>
    </row>
    <row r="177" spans="1:1" x14ac:dyDescent="0.2">
      <c r="A177" s="37"/>
    </row>
    <row r="178" spans="1:1" x14ac:dyDescent="0.2">
      <c r="A178" s="37"/>
    </row>
    <row r="179" spans="1:1" x14ac:dyDescent="0.2">
      <c r="A179" s="37"/>
    </row>
    <row r="180" spans="1:1" x14ac:dyDescent="0.2">
      <c r="A180" s="37"/>
    </row>
    <row r="181" spans="1:1" x14ac:dyDescent="0.2">
      <c r="A181" s="37"/>
    </row>
    <row r="182" spans="1:1" x14ac:dyDescent="0.2">
      <c r="A182" s="37"/>
    </row>
    <row r="183" spans="1:1" x14ac:dyDescent="0.2">
      <c r="A183" s="37"/>
    </row>
    <row r="184" spans="1:1" x14ac:dyDescent="0.2">
      <c r="A184" s="37"/>
    </row>
    <row r="185" spans="1:1" x14ac:dyDescent="0.2">
      <c r="A185" s="37"/>
    </row>
    <row r="186" spans="1:1" x14ac:dyDescent="0.2">
      <c r="A186" s="37"/>
    </row>
    <row r="187" spans="1:1" x14ac:dyDescent="0.2">
      <c r="A187" s="37"/>
    </row>
    <row r="188" spans="1:1" x14ac:dyDescent="0.2">
      <c r="A188" s="37"/>
    </row>
    <row r="189" spans="1:1" x14ac:dyDescent="0.2">
      <c r="A189" s="37"/>
    </row>
    <row r="190" spans="1:1" x14ac:dyDescent="0.2">
      <c r="A190" s="37"/>
    </row>
    <row r="191" spans="1:1" x14ac:dyDescent="0.2">
      <c r="A191" s="37"/>
    </row>
    <row r="192" spans="1:1" x14ac:dyDescent="0.2">
      <c r="A192" s="37"/>
    </row>
    <row r="193" spans="1:1" x14ac:dyDescent="0.2">
      <c r="A193" s="37"/>
    </row>
    <row r="194" spans="1:1" x14ac:dyDescent="0.2">
      <c r="A194" s="37"/>
    </row>
    <row r="195" spans="1:1" x14ac:dyDescent="0.2">
      <c r="A195" s="37"/>
    </row>
    <row r="196" spans="1:1" x14ac:dyDescent="0.2">
      <c r="A196" s="37"/>
    </row>
    <row r="197" spans="1:1" x14ac:dyDescent="0.2">
      <c r="A197" s="37"/>
    </row>
    <row r="198" spans="1:1" x14ac:dyDescent="0.2">
      <c r="A198" s="37"/>
    </row>
    <row r="199" spans="1:1" x14ac:dyDescent="0.2">
      <c r="A199" s="37"/>
    </row>
    <row r="200" spans="1:1" x14ac:dyDescent="0.2">
      <c r="A200" s="37"/>
    </row>
    <row r="201" spans="1:1" x14ac:dyDescent="0.2">
      <c r="A201" s="37"/>
    </row>
    <row r="202" spans="1:1" x14ac:dyDescent="0.2">
      <c r="A202" s="37"/>
    </row>
    <row r="203" spans="1:1" x14ac:dyDescent="0.2">
      <c r="A203" s="37"/>
    </row>
    <row r="204" spans="1:1" x14ac:dyDescent="0.2">
      <c r="A204" s="37"/>
    </row>
    <row r="205" spans="1:1" x14ac:dyDescent="0.2">
      <c r="A205" s="37"/>
    </row>
    <row r="206" spans="1:1" x14ac:dyDescent="0.2">
      <c r="A206" s="37"/>
    </row>
    <row r="207" spans="1:1" x14ac:dyDescent="0.2">
      <c r="A207" s="37"/>
    </row>
    <row r="208" spans="1:1" x14ac:dyDescent="0.2">
      <c r="A208" s="37"/>
    </row>
    <row r="209" spans="1:1" x14ac:dyDescent="0.2">
      <c r="A209" s="37"/>
    </row>
    <row r="210" spans="1:1" x14ac:dyDescent="0.2">
      <c r="A210" s="37"/>
    </row>
    <row r="211" spans="1:1" x14ac:dyDescent="0.2">
      <c r="A211" s="37"/>
    </row>
    <row r="212" spans="1:1" x14ac:dyDescent="0.2">
      <c r="A212" s="37"/>
    </row>
    <row r="213" spans="1:1" x14ac:dyDescent="0.2">
      <c r="A213" s="37"/>
    </row>
    <row r="214" spans="1:1" x14ac:dyDescent="0.2">
      <c r="A214" s="37"/>
    </row>
    <row r="215" spans="1:1" x14ac:dyDescent="0.2">
      <c r="A215" s="37"/>
    </row>
    <row r="216" spans="1:1" x14ac:dyDescent="0.2">
      <c r="A216" s="37"/>
    </row>
    <row r="217" spans="1:1" x14ac:dyDescent="0.2">
      <c r="A217" s="37"/>
    </row>
    <row r="218" spans="1:1" x14ac:dyDescent="0.2">
      <c r="A218" s="37"/>
    </row>
    <row r="219" spans="1:1" x14ac:dyDescent="0.2">
      <c r="A219" s="37"/>
    </row>
    <row r="220" spans="1:1" x14ac:dyDescent="0.2">
      <c r="A220" s="37"/>
    </row>
    <row r="221" spans="1:1" x14ac:dyDescent="0.2">
      <c r="A221" s="37"/>
    </row>
    <row r="222" spans="1:1" x14ac:dyDescent="0.2">
      <c r="A222" s="37"/>
    </row>
    <row r="223" spans="1:1" x14ac:dyDescent="0.2">
      <c r="A223" s="37"/>
    </row>
    <row r="224" spans="1:1" x14ac:dyDescent="0.2">
      <c r="A224" s="37"/>
    </row>
  </sheetData>
  <sheetProtection sheet="1"/>
  <mergeCells count="13">
    <mergeCell ref="B57:L57"/>
    <mergeCell ref="A1:B1"/>
    <mergeCell ref="B55:L56"/>
    <mergeCell ref="B47:L47"/>
    <mergeCell ref="B48:B53"/>
    <mergeCell ref="A20:B20"/>
    <mergeCell ref="A2:B2"/>
    <mergeCell ref="A3:B3"/>
    <mergeCell ref="B88:B92"/>
    <mergeCell ref="B94:B98"/>
    <mergeCell ref="B100:B104"/>
    <mergeCell ref="B107:B112"/>
    <mergeCell ref="B81:B86"/>
  </mergeCells>
  <phoneticPr fontId="0" type="noConversion"/>
  <pageMargins left="0.75" right="0.75" top="1" bottom="1" header="0.5" footer="0.5"/>
  <pageSetup orientation="portrait" horizontalDpi="300"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O26"/>
  <sheetViews>
    <sheetView zoomScaleNormal="100" workbookViewId="0">
      <selection activeCell="J2" sqref="J2"/>
    </sheetView>
  </sheetViews>
  <sheetFormatPr defaultColWidth="9.140625" defaultRowHeight="12.75" x14ac:dyDescent="0.2"/>
  <cols>
    <col min="1" max="1" width="3.140625" style="419" customWidth="1"/>
    <col min="2" max="2" width="9.140625" style="419"/>
    <col min="3" max="3" width="9.42578125" style="419" customWidth="1"/>
    <col min="4" max="4" width="7.42578125" style="419" customWidth="1"/>
    <col min="5" max="8" width="9.140625" style="419"/>
    <col min="9" max="9" width="8.7109375" style="419" customWidth="1"/>
    <col min="10" max="10" width="12.5703125" style="419" customWidth="1"/>
    <col min="11" max="11" width="1.7109375" style="419" customWidth="1"/>
    <col min="12" max="15" width="0" style="419" hidden="1" customWidth="1"/>
    <col min="16" max="16384" width="9.140625" style="419"/>
  </cols>
  <sheetData>
    <row r="1" spans="2:15" ht="18" customHeight="1" x14ac:dyDescent="0.25">
      <c r="B1" s="2249" t="s">
        <v>2332</v>
      </c>
      <c r="C1" s="2249"/>
      <c r="D1" s="2249"/>
      <c r="E1" s="2491" t="str">
        <f>IF('Start here'!A6="","",'Start here'!A6)</f>
        <v/>
      </c>
      <c r="F1" s="2492"/>
      <c r="G1" s="2493"/>
      <c r="H1" s="2491" t="str">
        <f>IF('Start here'!A7="","",'Start here'!A7)</f>
        <v/>
      </c>
      <c r="I1" s="2492"/>
      <c r="J1" s="2493"/>
    </row>
    <row r="3" spans="2:15" ht="24" customHeight="1" x14ac:dyDescent="0.25">
      <c r="B3" s="1328" t="s">
        <v>1779</v>
      </c>
      <c r="C3" s="1772"/>
      <c r="D3" s="1772"/>
      <c r="E3" s="1772"/>
      <c r="F3" s="1772"/>
      <c r="G3" s="1772"/>
      <c r="H3" s="1772"/>
      <c r="I3" s="1772"/>
      <c r="J3" s="1772"/>
    </row>
    <row r="4" spans="2:15" ht="18" customHeight="1" x14ac:dyDescent="0.25">
      <c r="B4" s="2501" t="s">
        <v>1778</v>
      </c>
      <c r="C4" s="2502"/>
      <c r="D4" s="2502"/>
      <c r="E4" s="2502"/>
      <c r="F4" s="2502"/>
      <c r="G4" s="2502"/>
      <c r="H4" s="2502"/>
      <c r="I4" s="2502"/>
      <c r="J4" s="2502"/>
    </row>
    <row r="5" spans="2:15" ht="208.5" customHeight="1" x14ac:dyDescent="0.25">
      <c r="B5" s="2504" t="s">
        <v>1777</v>
      </c>
      <c r="C5" s="2505"/>
      <c r="D5" s="2505"/>
      <c r="E5" s="2505"/>
      <c r="F5" s="2505"/>
      <c r="G5" s="2505"/>
      <c r="H5" s="2505"/>
      <c r="I5" s="2505"/>
      <c r="J5" s="2506"/>
    </row>
    <row r="6" spans="2:15" x14ac:dyDescent="0.2">
      <c r="B6" s="2494"/>
      <c r="C6" s="2494"/>
      <c r="D6" s="2494"/>
      <c r="E6" s="2494"/>
      <c r="F6" s="2494"/>
      <c r="G6" s="2494"/>
      <c r="H6" s="2494"/>
      <c r="I6" s="2494"/>
      <c r="J6" s="2494"/>
    </row>
    <row r="7" spans="2:15" ht="18" customHeight="1" x14ac:dyDescent="0.25">
      <c r="B7" s="1327" t="s">
        <v>612</v>
      </c>
      <c r="C7" s="2503"/>
      <c r="D7" s="2503"/>
      <c r="E7" s="2503"/>
      <c r="F7" s="2503"/>
      <c r="G7" s="2503"/>
      <c r="H7" s="2503"/>
      <c r="I7" s="2503"/>
      <c r="J7" s="2503"/>
    </row>
    <row r="8" spans="2:15" x14ac:dyDescent="0.2">
      <c r="B8" s="35"/>
      <c r="C8" s="35"/>
      <c r="D8" s="35"/>
      <c r="E8" s="35"/>
      <c r="F8" s="35"/>
      <c r="G8" s="35"/>
      <c r="H8" s="35"/>
      <c r="I8" s="35"/>
      <c r="J8" s="35"/>
    </row>
    <row r="9" spans="2:15" ht="18" customHeight="1" x14ac:dyDescent="0.25">
      <c r="B9" s="293"/>
      <c r="C9" s="35"/>
      <c r="D9" s="2495" t="s">
        <v>1539</v>
      </c>
      <c r="E9" s="2496"/>
      <c r="F9" s="2497"/>
      <c r="G9" s="35"/>
      <c r="H9" s="35"/>
      <c r="I9" s="35"/>
      <c r="J9" s="35"/>
      <c r="L9" s="420">
        <f t="shared" ref="L9:L26" si="0">IF(B9="",0,B9)</f>
        <v>0</v>
      </c>
      <c r="M9" s="420">
        <f>LARGE($L$9:$L$26,1)</f>
        <v>0</v>
      </c>
      <c r="N9" s="291">
        <f>M9+M10*(1-M9)</f>
        <v>0</v>
      </c>
      <c r="O9" s="421">
        <f t="shared" ref="O9:O25" si="1">ROUND(N9,2)</f>
        <v>0</v>
      </c>
    </row>
    <row r="10" spans="2:15" ht="18" customHeight="1" x14ac:dyDescent="0.25">
      <c r="B10" s="293"/>
      <c r="C10" s="35"/>
      <c r="D10" s="2498">
        <f>O25</f>
        <v>0</v>
      </c>
      <c r="E10" s="2499"/>
      <c r="F10" s="2500"/>
      <c r="G10" s="35"/>
      <c r="H10" s="35"/>
      <c r="I10" s="35"/>
      <c r="J10" s="35"/>
      <c r="L10" s="420">
        <f t="shared" si="0"/>
        <v>0</v>
      </c>
      <c r="M10" s="420">
        <f>LARGE($L$9:$L$26,2)</f>
        <v>0</v>
      </c>
      <c r="N10" s="291">
        <f t="shared" ref="N10:N25" si="2">O9+M11*(1-O9)</f>
        <v>0</v>
      </c>
      <c r="O10" s="421">
        <f t="shared" si="1"/>
        <v>0</v>
      </c>
    </row>
    <row r="11" spans="2:15" ht="18" customHeight="1" x14ac:dyDescent="0.25">
      <c r="B11" s="293"/>
      <c r="L11" s="420">
        <f t="shared" si="0"/>
        <v>0</v>
      </c>
      <c r="M11" s="420">
        <f>LARGE($L$9:$L$26,3)</f>
        <v>0</v>
      </c>
      <c r="N11" s="291">
        <f t="shared" si="2"/>
        <v>0</v>
      </c>
      <c r="O11" s="421">
        <f t="shared" si="1"/>
        <v>0</v>
      </c>
    </row>
    <row r="12" spans="2:15" ht="18" customHeight="1" x14ac:dyDescent="0.25">
      <c r="B12" s="293"/>
      <c r="L12" s="420">
        <f t="shared" si="0"/>
        <v>0</v>
      </c>
      <c r="M12" s="420">
        <f>LARGE($L$9:$L$26,4)</f>
        <v>0</v>
      </c>
      <c r="N12" s="291">
        <f t="shared" si="2"/>
        <v>0</v>
      </c>
      <c r="O12" s="421">
        <f t="shared" si="1"/>
        <v>0</v>
      </c>
    </row>
    <row r="13" spans="2:15" ht="18" customHeight="1" x14ac:dyDescent="0.25">
      <c r="B13" s="293"/>
      <c r="L13" s="420">
        <f t="shared" si="0"/>
        <v>0</v>
      </c>
      <c r="M13" s="420">
        <f>LARGE($L$9:$L$26,5)</f>
        <v>0</v>
      </c>
      <c r="N13" s="291">
        <f t="shared" si="2"/>
        <v>0</v>
      </c>
      <c r="O13" s="421">
        <f t="shared" si="1"/>
        <v>0</v>
      </c>
    </row>
    <row r="14" spans="2:15" ht="18" customHeight="1" x14ac:dyDescent="0.25">
      <c r="B14" s="293"/>
      <c r="L14" s="420">
        <f t="shared" si="0"/>
        <v>0</v>
      </c>
      <c r="M14" s="420">
        <f>LARGE($L$9:$L$26,6)</f>
        <v>0</v>
      </c>
      <c r="N14" s="291">
        <f t="shared" si="2"/>
        <v>0</v>
      </c>
      <c r="O14" s="421">
        <f t="shared" si="1"/>
        <v>0</v>
      </c>
    </row>
    <row r="15" spans="2:15" ht="18" customHeight="1" x14ac:dyDescent="0.25">
      <c r="B15" s="293"/>
      <c r="L15" s="420">
        <f t="shared" si="0"/>
        <v>0</v>
      </c>
      <c r="M15" s="420">
        <f>LARGE($L$9:$L$26,7)</f>
        <v>0</v>
      </c>
      <c r="N15" s="291">
        <f t="shared" si="2"/>
        <v>0</v>
      </c>
      <c r="O15" s="421">
        <f t="shared" si="1"/>
        <v>0</v>
      </c>
    </row>
    <row r="16" spans="2:15" ht="18" customHeight="1" x14ac:dyDescent="0.25">
      <c r="B16" s="293"/>
      <c r="L16" s="420">
        <f t="shared" si="0"/>
        <v>0</v>
      </c>
      <c r="M16" s="420">
        <f>LARGE($L$9:$L$26,8)</f>
        <v>0</v>
      </c>
      <c r="N16" s="291">
        <f t="shared" si="2"/>
        <v>0</v>
      </c>
      <c r="O16" s="421">
        <f t="shared" si="1"/>
        <v>0</v>
      </c>
    </row>
    <row r="17" spans="2:15" ht="18" customHeight="1" x14ac:dyDescent="0.25">
      <c r="B17" s="293"/>
      <c r="L17" s="420">
        <f t="shared" si="0"/>
        <v>0</v>
      </c>
      <c r="M17" s="420">
        <f>LARGE($L$9:$L$26,9)</f>
        <v>0</v>
      </c>
      <c r="N17" s="291">
        <f t="shared" si="2"/>
        <v>0</v>
      </c>
      <c r="O17" s="421">
        <f t="shared" si="1"/>
        <v>0</v>
      </c>
    </row>
    <row r="18" spans="2:15" ht="18" customHeight="1" x14ac:dyDescent="0.25">
      <c r="B18" s="293"/>
      <c r="L18" s="420">
        <f t="shared" si="0"/>
        <v>0</v>
      </c>
      <c r="M18" s="420">
        <f>LARGE($L$9:$L$26,10)</f>
        <v>0</v>
      </c>
      <c r="N18" s="291">
        <f t="shared" si="2"/>
        <v>0</v>
      </c>
      <c r="O18" s="421">
        <f t="shared" si="1"/>
        <v>0</v>
      </c>
    </row>
    <row r="19" spans="2:15" ht="18" customHeight="1" x14ac:dyDescent="0.25">
      <c r="B19" s="293"/>
      <c r="L19" s="420">
        <f t="shared" si="0"/>
        <v>0</v>
      </c>
      <c r="M19" s="420">
        <f>LARGE($L$9:$L$26,11)</f>
        <v>0</v>
      </c>
      <c r="N19" s="291">
        <f t="shared" si="2"/>
        <v>0</v>
      </c>
      <c r="O19" s="421">
        <f t="shared" si="1"/>
        <v>0</v>
      </c>
    </row>
    <row r="20" spans="2:15" ht="18" customHeight="1" x14ac:dyDescent="0.25">
      <c r="B20" s="293"/>
      <c r="L20" s="420">
        <f t="shared" si="0"/>
        <v>0</v>
      </c>
      <c r="M20" s="420">
        <f>LARGE($L$9:$L$26,12)</f>
        <v>0</v>
      </c>
      <c r="N20" s="291">
        <f t="shared" si="2"/>
        <v>0</v>
      </c>
      <c r="O20" s="421">
        <f t="shared" si="1"/>
        <v>0</v>
      </c>
    </row>
    <row r="21" spans="2:15" ht="18" customHeight="1" x14ac:dyDescent="0.25">
      <c r="B21" s="293"/>
      <c r="L21" s="420">
        <f t="shared" si="0"/>
        <v>0</v>
      </c>
      <c r="M21" s="420">
        <f>LARGE($L$9:$L$26,13)</f>
        <v>0</v>
      </c>
      <c r="N21" s="291">
        <f t="shared" si="2"/>
        <v>0</v>
      </c>
      <c r="O21" s="421">
        <f t="shared" si="1"/>
        <v>0</v>
      </c>
    </row>
    <row r="22" spans="2:15" ht="18" customHeight="1" x14ac:dyDescent="0.25">
      <c r="B22" s="293"/>
      <c r="L22" s="420">
        <f t="shared" si="0"/>
        <v>0</v>
      </c>
      <c r="M22" s="420">
        <f>LARGE($L$9:$L$26,14)</f>
        <v>0</v>
      </c>
      <c r="N22" s="291">
        <f t="shared" si="2"/>
        <v>0</v>
      </c>
      <c r="O22" s="421">
        <f t="shared" si="1"/>
        <v>0</v>
      </c>
    </row>
    <row r="23" spans="2:15" ht="18" customHeight="1" x14ac:dyDescent="0.25">
      <c r="B23" s="293"/>
      <c r="L23" s="420">
        <f t="shared" si="0"/>
        <v>0</v>
      </c>
      <c r="M23" s="420">
        <f>LARGE($L$9:$L$26,15)</f>
        <v>0</v>
      </c>
      <c r="N23" s="291">
        <f t="shared" si="2"/>
        <v>0</v>
      </c>
      <c r="O23" s="421">
        <f t="shared" si="1"/>
        <v>0</v>
      </c>
    </row>
    <row r="24" spans="2:15" ht="18" customHeight="1" thickBot="1" x14ac:dyDescent="0.3">
      <c r="B24" s="293"/>
      <c r="L24" s="420">
        <f t="shared" si="0"/>
        <v>0</v>
      </c>
      <c r="M24" s="420">
        <f>LARGE($L$9:$L$26,16)</f>
        <v>0</v>
      </c>
      <c r="N24" s="291">
        <f t="shared" si="2"/>
        <v>0</v>
      </c>
      <c r="O24" s="421">
        <f t="shared" si="1"/>
        <v>0</v>
      </c>
    </row>
    <row r="25" spans="2:15" ht="18" customHeight="1" thickBot="1" x14ac:dyDescent="0.3">
      <c r="B25" s="293"/>
      <c r="L25" s="420">
        <f t="shared" si="0"/>
        <v>0</v>
      </c>
      <c r="M25" s="420">
        <f>LARGE($L$9:$L$26,17)</f>
        <v>0</v>
      </c>
      <c r="N25" s="291">
        <f t="shared" si="2"/>
        <v>0</v>
      </c>
      <c r="O25" s="422">
        <f t="shared" si="1"/>
        <v>0</v>
      </c>
    </row>
    <row r="26" spans="2:15" ht="18" customHeight="1" x14ac:dyDescent="0.25">
      <c r="B26" s="293"/>
      <c r="L26" s="420">
        <f t="shared" si="0"/>
        <v>0</v>
      </c>
      <c r="M26" s="420">
        <f>LARGE($L$9:$L$26,18)</f>
        <v>0</v>
      </c>
    </row>
  </sheetData>
  <sheetProtection sheet="1" objects="1" scenarios="1"/>
  <mergeCells count="10">
    <mergeCell ref="D9:F9"/>
    <mergeCell ref="D10:F10"/>
    <mergeCell ref="B4:J4"/>
    <mergeCell ref="B7:J7"/>
    <mergeCell ref="B5:J5"/>
    <mergeCell ref="B1:D1"/>
    <mergeCell ref="E1:G1"/>
    <mergeCell ref="H1:J1"/>
    <mergeCell ref="B3:J3"/>
    <mergeCell ref="B6:J6"/>
  </mergeCells>
  <phoneticPr fontId="0" type="noConversion"/>
  <pageMargins left="0.78" right="0.71" top="0.73" bottom="0.82" header="0.52" footer="0.5"/>
  <pageSetup orientation="portrait" horizontalDpi="200" verticalDpi="2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dimension ref="A1"/>
  <sheetViews>
    <sheetView workbookViewId="0"/>
  </sheetViews>
  <sheetFormatPr defaultRowHeight="12.75" x14ac:dyDescent="0.2"/>
  <sheetData/>
  <phoneticPr fontId="0"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N30"/>
  <sheetViews>
    <sheetView showGridLines="0" zoomScale="120" workbookViewId="0">
      <selection activeCell="B24" sqref="B24"/>
    </sheetView>
  </sheetViews>
  <sheetFormatPr defaultColWidth="9.140625" defaultRowHeight="12.75" x14ac:dyDescent="0.2"/>
  <cols>
    <col min="1" max="1" width="9.140625" style="14"/>
    <col min="2" max="2" width="10.5703125" style="35" bestFit="1" customWidth="1"/>
    <col min="3" max="3" width="9.140625" style="35"/>
    <col min="4" max="4" width="13.7109375" style="35" bestFit="1" customWidth="1"/>
    <col min="5" max="5" width="10.28515625" style="35" customWidth="1"/>
    <col min="6" max="6" width="9.140625" style="35"/>
    <col min="7" max="7" width="10.5703125" style="35" customWidth="1"/>
    <col min="8" max="16384" width="9.140625" style="35"/>
  </cols>
  <sheetData>
    <row r="1" spans="1:170" ht="15" customHeight="1" x14ac:dyDescent="0.2">
      <c r="A1" s="14" t="s">
        <v>1733</v>
      </c>
      <c r="C1" s="239"/>
      <c r="D1" s="1347" t="str">
        <f>IF('Start here'!A6="","",'Start here'!A6)</f>
        <v/>
      </c>
      <c r="E1" s="1351"/>
      <c r="F1" s="1347" t="str">
        <f>IF('Start here'!A7="","",'Start here'!A7)</f>
        <v/>
      </c>
      <c r="G1" s="1352"/>
      <c r="H1" s="10"/>
      <c r="I1" s="10"/>
      <c r="J1" s="10"/>
      <c r="K1" s="10"/>
      <c r="L1" s="8"/>
      <c r="M1" s="8"/>
      <c r="N1" s="10"/>
      <c r="O1" s="10"/>
      <c r="P1" s="10"/>
      <c r="Q1" s="8"/>
      <c r="R1" s="120"/>
      <c r="S1" s="120"/>
      <c r="T1" s="120"/>
      <c r="U1" s="120"/>
      <c r="V1" s="120"/>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ht="15" customHeight="1" x14ac:dyDescent="0.2">
      <c r="A2" s="214"/>
      <c r="B2" s="408"/>
      <c r="C2" s="60"/>
      <c r="D2" s="10"/>
      <c r="E2" s="10"/>
      <c r="F2" s="10"/>
      <c r="G2" s="10"/>
      <c r="H2" s="10"/>
      <c r="I2" s="10"/>
      <c r="J2" s="10"/>
      <c r="K2" s="10"/>
      <c r="L2" s="8"/>
      <c r="M2" s="8"/>
      <c r="N2" s="10"/>
      <c r="O2" s="10"/>
      <c r="P2" s="10"/>
      <c r="Q2" s="8"/>
      <c r="R2" s="120"/>
      <c r="S2" s="120"/>
      <c r="T2" s="120"/>
      <c r="U2" s="120"/>
      <c r="V2" s="120"/>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row>
    <row r="3" spans="1:170" ht="17.25" customHeight="1" x14ac:dyDescent="0.2">
      <c r="A3" s="1537" t="s">
        <v>326</v>
      </c>
      <c r="B3" s="1537"/>
      <c r="C3" s="1537"/>
      <c r="D3" s="1537"/>
      <c r="E3" s="1537"/>
      <c r="F3" s="1537"/>
    </row>
    <row r="4" spans="1:170" x14ac:dyDescent="0.2">
      <c r="A4" s="195">
        <v>38353</v>
      </c>
      <c r="B4" s="445">
        <v>688.56</v>
      </c>
      <c r="D4" s="35" t="s">
        <v>363</v>
      </c>
    </row>
    <row r="5" spans="1:170" x14ac:dyDescent="0.2">
      <c r="A5" s="195">
        <v>38534</v>
      </c>
      <c r="B5" s="445">
        <v>712.96</v>
      </c>
      <c r="D5" s="446" t="str">
        <f>IF('Start here'!A8="","",'Start here'!A8)</f>
        <v/>
      </c>
    </row>
    <row r="6" spans="1:170" x14ac:dyDescent="0.2">
      <c r="A6" s="195">
        <v>38899</v>
      </c>
      <c r="B6" s="445">
        <v>721.43</v>
      </c>
      <c r="D6" s="410">
        <f>IF(D5="",0,VLOOKUP(D5,A4:B30,2))</f>
        <v>0</v>
      </c>
      <c r="E6" s="376" t="s">
        <v>1661</v>
      </c>
      <c r="F6" s="378"/>
    </row>
    <row r="7" spans="1:170" x14ac:dyDescent="0.2">
      <c r="A7" s="195">
        <v>39264</v>
      </c>
      <c r="B7" s="445">
        <v>756.8</v>
      </c>
      <c r="D7" s="185" t="s">
        <v>324</v>
      </c>
    </row>
    <row r="8" spans="1:170" x14ac:dyDescent="0.2">
      <c r="A8" s="195">
        <v>39630</v>
      </c>
      <c r="B8" s="447">
        <v>790.38</v>
      </c>
      <c r="D8" s="410">
        <f>'PPD DOI on or after 2005'!N33</f>
        <v>0</v>
      </c>
    </row>
    <row r="9" spans="1:170" x14ac:dyDescent="0.2">
      <c r="A9" s="195">
        <v>39995</v>
      </c>
      <c r="B9" s="447">
        <v>800.6</v>
      </c>
      <c r="D9" s="185" t="s">
        <v>325</v>
      </c>
    </row>
    <row r="10" spans="1:170" x14ac:dyDescent="0.2">
      <c r="A10" s="196">
        <v>40360</v>
      </c>
      <c r="B10" s="447">
        <v>819.38</v>
      </c>
      <c r="D10" s="448">
        <f>ROUND(0.5*D6,2)</f>
        <v>0</v>
      </c>
    </row>
    <row r="11" spans="1:170" x14ac:dyDescent="0.2">
      <c r="A11" s="196">
        <v>40725</v>
      </c>
      <c r="B11" s="447">
        <v>842.52</v>
      </c>
      <c r="D11" s="185" t="s">
        <v>327</v>
      </c>
    </row>
    <row r="12" spans="1:170" x14ac:dyDescent="0.2">
      <c r="A12" s="196">
        <v>41091</v>
      </c>
      <c r="B12" s="447">
        <v>841.26</v>
      </c>
      <c r="D12" s="449">
        <f>ROUND(1.33*D6,2)</f>
        <v>0</v>
      </c>
    </row>
    <row r="13" spans="1:170" x14ac:dyDescent="0.2">
      <c r="A13" s="196">
        <v>41456</v>
      </c>
      <c r="B13" s="447">
        <v>862.27</v>
      </c>
      <c r="D13" s="376" t="s">
        <v>329</v>
      </c>
      <c r="E13" s="377"/>
      <c r="F13" s="377"/>
      <c r="G13" s="377"/>
      <c r="H13" s="377"/>
      <c r="I13" s="378"/>
    </row>
    <row r="14" spans="1:170" x14ac:dyDescent="0.2">
      <c r="A14" s="196">
        <v>41821</v>
      </c>
      <c r="B14" s="447">
        <v>888.38</v>
      </c>
      <c r="D14" s="410">
        <f>IF(D8=0,0,IF(D8&lt;D10,D10,IF(D8&gt;D12,D12,D8)))</f>
        <v>0</v>
      </c>
    </row>
    <row r="15" spans="1:170" x14ac:dyDescent="0.2">
      <c r="A15" s="196">
        <v>42186</v>
      </c>
      <c r="B15" s="447">
        <v>922.39</v>
      </c>
    </row>
    <row r="16" spans="1:170" x14ac:dyDescent="0.2">
      <c r="A16" s="196">
        <v>42552</v>
      </c>
      <c r="B16" s="447">
        <v>974.2</v>
      </c>
      <c r="D16" s="693" t="s">
        <v>328</v>
      </c>
    </row>
    <row r="17" spans="1:2" x14ac:dyDescent="0.2">
      <c r="A17" s="196">
        <v>42917</v>
      </c>
      <c r="B17" s="447">
        <v>963.01</v>
      </c>
    </row>
    <row r="18" spans="1:2" x14ac:dyDescent="0.2">
      <c r="A18" s="196">
        <v>43282</v>
      </c>
      <c r="B18" s="447">
        <v>1007.05</v>
      </c>
    </row>
    <row r="19" spans="1:2" x14ac:dyDescent="0.2">
      <c r="A19" s="196">
        <v>43647</v>
      </c>
      <c r="B19" s="447">
        <v>1044.4000000000001</v>
      </c>
    </row>
    <row r="20" spans="1:2" x14ac:dyDescent="0.2">
      <c r="A20" s="196">
        <v>44013</v>
      </c>
      <c r="B20" s="447">
        <v>1093.4100000000001</v>
      </c>
    </row>
    <row r="21" spans="1:2" x14ac:dyDescent="0.2">
      <c r="A21" s="196">
        <v>44378</v>
      </c>
      <c r="B21" s="447">
        <v>1247.1300000000001</v>
      </c>
    </row>
    <row r="22" spans="1:2" x14ac:dyDescent="0.2">
      <c r="A22" s="196">
        <v>44743</v>
      </c>
      <c r="B22" s="447">
        <v>1325.24</v>
      </c>
    </row>
    <row r="23" spans="1:2" x14ac:dyDescent="0.2">
      <c r="A23" s="196">
        <v>45108</v>
      </c>
      <c r="B23" s="447">
        <v>1295.8599999999999</v>
      </c>
    </row>
    <row r="24" spans="1:2" x14ac:dyDescent="0.2">
      <c r="A24" s="196">
        <v>45474</v>
      </c>
      <c r="B24" s="447"/>
    </row>
    <row r="25" spans="1:2" x14ac:dyDescent="0.2">
      <c r="A25" s="196">
        <v>45839</v>
      </c>
      <c r="B25" s="447"/>
    </row>
    <row r="26" spans="1:2" x14ac:dyDescent="0.2">
      <c r="A26" s="196">
        <v>46204</v>
      </c>
      <c r="B26" s="447"/>
    </row>
    <row r="27" spans="1:2" x14ac:dyDescent="0.2">
      <c r="A27" s="196">
        <v>46569</v>
      </c>
      <c r="B27" s="447"/>
    </row>
    <row r="28" spans="1:2" x14ac:dyDescent="0.2">
      <c r="A28" s="196">
        <v>46935</v>
      </c>
      <c r="B28" s="447"/>
    </row>
    <row r="29" spans="1:2" x14ac:dyDescent="0.2">
      <c r="A29" s="196">
        <v>47300</v>
      </c>
      <c r="B29" s="447"/>
    </row>
    <row r="30" spans="1:2" x14ac:dyDescent="0.2">
      <c r="A30" s="196">
        <v>47665</v>
      </c>
      <c r="B30" s="447"/>
    </row>
  </sheetData>
  <sheetProtection sheet="1" objects="1" scenarios="1"/>
  <mergeCells count="3">
    <mergeCell ref="A3:F3"/>
    <mergeCell ref="D1:E1"/>
    <mergeCell ref="F1:G1"/>
  </mergeCells>
  <phoneticPr fontId="0" type="noConversion"/>
  <pageMargins left="0.75" right="0.75" top="1" bottom="1" header="0.5" footer="0.5"/>
  <pageSetup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G1015"/>
  <sheetViews>
    <sheetView showGridLines="0" zoomScale="120" zoomScaleNormal="120" zoomScaleSheetLayoutView="40" workbookViewId="0"/>
  </sheetViews>
  <sheetFormatPr defaultColWidth="2.7109375" defaultRowHeight="12.75" x14ac:dyDescent="0.2"/>
  <cols>
    <col min="1" max="1" width="1.5703125" style="35" customWidth="1"/>
    <col min="2" max="2" width="22.42578125" style="35" bestFit="1" customWidth="1"/>
    <col min="3" max="3" width="3.28515625" style="2" customWidth="1"/>
    <col min="4" max="4" width="4" style="191" customWidth="1"/>
    <col min="5" max="5" width="3.28515625" style="35" customWidth="1"/>
    <col min="6" max="6" width="4.28515625" style="191" bestFit="1" customWidth="1"/>
    <col min="7" max="7" width="3.28515625" style="35" customWidth="1"/>
    <col min="8" max="8" width="4.28515625" style="191" bestFit="1" customWidth="1"/>
    <col min="9" max="9" width="3.28515625" style="35" customWidth="1"/>
    <col min="10" max="10" width="4.28515625" style="191" bestFit="1" customWidth="1"/>
    <col min="11" max="11" width="3.42578125" style="35" customWidth="1"/>
    <col min="12" max="12" width="5.5703125" style="191" customWidth="1"/>
    <col min="13" max="13" width="4.28515625" style="35" customWidth="1"/>
    <col min="14" max="14" width="4.28515625" style="191" bestFit="1" customWidth="1"/>
    <col min="15" max="15" width="9.28515625" style="35" customWidth="1"/>
    <col min="16" max="16" width="9.5703125" style="35" customWidth="1"/>
    <col min="17" max="17" width="1.42578125" style="35" customWidth="1"/>
    <col min="18" max="18" width="14" style="35" hidden="1" customWidth="1"/>
    <col min="19" max="19" width="18.140625" style="35" hidden="1" customWidth="1"/>
    <col min="20" max="20" width="16.28515625" style="35" hidden="1" customWidth="1"/>
    <col min="21" max="21" width="15.28515625" style="35" hidden="1" customWidth="1"/>
    <col min="22" max="22" width="13.42578125" style="35" hidden="1" customWidth="1"/>
    <col min="23" max="23" width="9.28515625" style="35" hidden="1" customWidth="1"/>
    <col min="24" max="25" width="8.42578125" style="35" hidden="1" customWidth="1"/>
    <col min="26" max="26" width="15.7109375" style="35" hidden="1" customWidth="1"/>
    <col min="27" max="27" width="7.5703125" style="35" hidden="1" customWidth="1"/>
    <col min="28" max="28" width="8.140625" style="35" hidden="1" customWidth="1"/>
    <col min="29" max="29" width="7.42578125" style="35" hidden="1" customWidth="1"/>
    <col min="30" max="30" width="8.7109375" style="35" hidden="1" customWidth="1"/>
    <col min="31" max="31" width="13.5703125" style="35" hidden="1" customWidth="1"/>
    <col min="32" max="32" width="9.7109375" style="35" hidden="1" customWidth="1"/>
    <col min="33" max="33" width="7.140625" style="35" hidden="1" customWidth="1"/>
    <col min="34" max="34" width="8.28515625" style="35" hidden="1" customWidth="1"/>
    <col min="35" max="35" width="9.85546875" style="35" hidden="1" customWidth="1"/>
    <col min="36" max="36" width="9.28515625" style="35" hidden="1" customWidth="1"/>
    <col min="37" max="37" width="12.7109375" style="35" hidden="1" customWidth="1"/>
    <col min="38" max="38" width="9.42578125" style="35" hidden="1" customWidth="1"/>
    <col min="39" max="39" width="9.140625" style="35" hidden="1" customWidth="1"/>
    <col min="40" max="67" width="6.7109375" style="35" hidden="1" customWidth="1"/>
    <col min="68" max="68" width="7.42578125" style="35" hidden="1" customWidth="1"/>
    <col min="69" max="73" width="6.7109375" style="35" hidden="1" customWidth="1"/>
    <col min="74" max="74" width="6.5703125" style="35" hidden="1" customWidth="1"/>
    <col min="75" max="130" width="5.7109375" style="35" hidden="1" customWidth="1"/>
    <col min="131" max="255" width="5.7109375" style="35" customWidth="1"/>
    <col min="256" max="16384" width="2.7109375" style="35"/>
  </cols>
  <sheetData>
    <row r="1" spans="2:170" ht="15" customHeight="1" x14ac:dyDescent="0.2">
      <c r="B1" s="1339" t="s">
        <v>1733</v>
      </c>
      <c r="C1" s="1389"/>
      <c r="D1" s="1347" t="str">
        <f>IF('Start here'!A6="","",'Start here'!A6)</f>
        <v/>
      </c>
      <c r="E1" s="1351"/>
      <c r="F1" s="1351"/>
      <c r="G1" s="1351"/>
      <c r="H1" s="1351"/>
      <c r="I1" s="1351"/>
      <c r="J1" s="1351"/>
      <c r="K1" s="1352"/>
      <c r="L1" s="35"/>
      <c r="M1" s="1347" t="str">
        <f>IF('Start here'!A7="","",'Start here'!A7)</f>
        <v/>
      </c>
      <c r="N1" s="1351"/>
      <c r="O1" s="1351"/>
      <c r="P1" s="1352"/>
      <c r="R1" s="694">
        <v>38353</v>
      </c>
      <c r="S1" s="185" t="str">
        <f>IF(R2&lt;R1,"Go to PPD Worksheet","")</f>
        <v>Go to PPD Worksheet</v>
      </c>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170" ht="12.75" customHeight="1" x14ac:dyDescent="0.2">
      <c r="B2" s="1772"/>
      <c r="C2" s="1772"/>
      <c r="D2" s="1772"/>
      <c r="E2" s="1772"/>
      <c r="F2" s="1772"/>
      <c r="G2" s="1772"/>
      <c r="H2" s="1772"/>
      <c r="I2" s="1772"/>
      <c r="J2" s="1772"/>
      <c r="K2" s="1772"/>
      <c r="L2" s="1772"/>
      <c r="M2" s="1772"/>
      <c r="N2" s="1772"/>
      <c r="O2" s="1772"/>
      <c r="P2" s="1772"/>
      <c r="R2" s="446">
        <f>'Start here'!A8</f>
        <v>0</v>
      </c>
      <c r="S2" s="58" t="str">
        <f>IF(R2&gt;=R1,"Go to PPD Worksheet","")</f>
        <v/>
      </c>
    </row>
    <row r="3" spans="2:170" ht="21" customHeight="1" x14ac:dyDescent="0.3">
      <c r="B3" s="1773" t="s">
        <v>2018</v>
      </c>
      <c r="C3" s="1774"/>
      <c r="D3" s="1774"/>
      <c r="E3" s="1774"/>
      <c r="F3" s="1774"/>
      <c r="G3" s="1774"/>
      <c r="H3" s="1774"/>
      <c r="I3" s="1774"/>
      <c r="J3" s="1774"/>
      <c r="K3" s="1774"/>
      <c r="L3" s="1774"/>
      <c r="M3" s="1774"/>
      <c r="N3" s="1774"/>
      <c r="O3" s="1774"/>
      <c r="P3" s="1775"/>
      <c r="R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row>
    <row r="4" spans="2:170" ht="30.75" customHeight="1" x14ac:dyDescent="0.2">
      <c r="B4" s="229" t="s">
        <v>406</v>
      </c>
      <c r="C4" s="1718" t="s">
        <v>1574</v>
      </c>
      <c r="D4" s="1718"/>
      <c r="E4" s="1717" t="s">
        <v>147</v>
      </c>
      <c r="F4" s="1718"/>
      <c r="G4" s="1717" t="s">
        <v>1568</v>
      </c>
      <c r="H4" s="1718"/>
      <c r="I4" s="1717" t="s">
        <v>1570</v>
      </c>
      <c r="J4" s="1718"/>
      <c r="K4" s="1717" t="s">
        <v>1572</v>
      </c>
      <c r="L4" s="1718"/>
      <c r="M4" s="1717" t="s">
        <v>405</v>
      </c>
      <c r="N4" s="1717"/>
      <c r="O4" s="450" t="s">
        <v>412</v>
      </c>
      <c r="P4" s="450" t="s">
        <v>1899</v>
      </c>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row>
    <row r="5" spans="2:170" ht="18" customHeight="1" x14ac:dyDescent="0.2">
      <c r="B5" s="1679" t="s">
        <v>1937</v>
      </c>
      <c r="C5" s="1680"/>
      <c r="D5" s="1680"/>
      <c r="E5" s="1680"/>
      <c r="F5" s="1680"/>
      <c r="G5" s="1680"/>
      <c r="H5" s="1680"/>
      <c r="I5" s="1680"/>
      <c r="J5" s="1680"/>
      <c r="K5" s="1680"/>
      <c r="L5" s="1680"/>
      <c r="M5" s="1680"/>
      <c r="N5" s="1680"/>
      <c r="O5" s="1680"/>
      <c r="P5" s="1769"/>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row>
    <row r="6" spans="2:170" ht="18" customHeight="1" x14ac:dyDescent="0.2">
      <c r="B6" s="1394" t="s">
        <v>943</v>
      </c>
      <c r="C6" s="1394"/>
      <c r="D6" s="1394"/>
      <c r="E6" s="1394"/>
      <c r="F6" s="1394"/>
      <c r="G6" s="1394"/>
      <c r="H6" s="1394"/>
      <c r="I6" s="1394"/>
      <c r="J6" s="1394"/>
      <c r="K6" s="1394"/>
      <c r="L6" s="1394"/>
      <c r="M6" s="1394"/>
      <c r="N6" s="1394"/>
      <c r="O6" s="1394"/>
      <c r="P6" s="1612">
        <f>SUMIF(U6:Z6,B7,U7:Z7)</f>
        <v>0</v>
      </c>
      <c r="R6" s="18"/>
      <c r="S6" s="18"/>
      <c r="T6" s="1379" t="s">
        <v>522</v>
      </c>
      <c r="U6" s="58" t="s">
        <v>523</v>
      </c>
      <c r="V6" s="58" t="s">
        <v>524</v>
      </c>
      <c r="W6" s="695" t="s">
        <v>525</v>
      </c>
      <c r="X6" s="58" t="s">
        <v>526</v>
      </c>
      <c r="Y6" s="58" t="s">
        <v>527</v>
      </c>
      <c r="Z6" s="58" t="s">
        <v>663</v>
      </c>
      <c r="AA6" s="19"/>
      <c r="AB6" s="19"/>
      <c r="AC6" s="19"/>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row>
    <row r="7" spans="2:170" ht="15" customHeight="1" x14ac:dyDescent="0.2">
      <c r="B7" s="1629"/>
      <c r="C7" s="1629"/>
      <c r="D7" s="1629"/>
      <c r="E7" s="1629"/>
      <c r="F7" s="1629"/>
      <c r="G7" s="1629"/>
      <c r="H7" s="1629"/>
      <c r="I7" s="1629"/>
      <c r="J7" s="1629"/>
      <c r="K7" s="1629"/>
      <c r="L7" s="1629"/>
      <c r="M7" s="1629"/>
      <c r="N7" s="1629"/>
      <c r="O7" s="1629"/>
      <c r="P7" s="1733"/>
      <c r="R7" s="18"/>
      <c r="S7" s="18"/>
      <c r="T7" s="1379"/>
      <c r="U7" s="688">
        <v>0</v>
      </c>
      <c r="V7" s="186">
        <v>0</v>
      </c>
      <c r="W7" s="186">
        <v>0.1</v>
      </c>
      <c r="X7" s="186">
        <v>0.3</v>
      </c>
      <c r="Y7" s="186">
        <v>0.5</v>
      </c>
      <c r="Z7" s="186">
        <v>1</v>
      </c>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row>
    <row r="8" spans="2:170" ht="10.5" customHeight="1" x14ac:dyDescent="0.2">
      <c r="B8" s="1592" t="str">
        <f>IF(AND(P6&gt;0.1,B10=""),"Enter specific level of amputation or shortening below.","")</f>
        <v/>
      </c>
      <c r="C8" s="1592"/>
      <c r="D8" s="1592"/>
      <c r="E8" s="1592"/>
      <c r="F8" s="1592"/>
      <c r="G8" s="1592"/>
      <c r="H8" s="1592"/>
      <c r="I8" s="1592"/>
      <c r="J8" s="1592"/>
      <c r="K8" s="1592"/>
      <c r="L8" s="1592"/>
      <c r="M8" s="1592"/>
      <c r="N8" s="1592"/>
      <c r="O8" s="1592"/>
      <c r="P8" s="1592"/>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row>
    <row r="9" spans="2:170" ht="27" customHeight="1" x14ac:dyDescent="0.2">
      <c r="B9" s="1703" t="s">
        <v>664</v>
      </c>
      <c r="C9" s="1703"/>
      <c r="D9" s="1703"/>
      <c r="E9" s="1703"/>
      <c r="F9" s="1703"/>
      <c r="G9" s="1703"/>
      <c r="H9" s="1703"/>
      <c r="I9" s="1703"/>
      <c r="J9" s="1703"/>
      <c r="K9" s="1703"/>
      <c r="L9" s="1703"/>
      <c r="M9" s="1703"/>
      <c r="N9" s="1703"/>
      <c r="O9" s="1703"/>
      <c r="P9" s="1719"/>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row>
    <row r="10" spans="2:170" ht="15" customHeight="1" x14ac:dyDescent="0.2">
      <c r="B10" s="1629"/>
      <c r="C10" s="1629"/>
      <c r="D10" s="1629"/>
      <c r="E10" s="1629"/>
      <c r="F10" s="1629"/>
      <c r="G10" s="1629"/>
      <c r="H10" s="1629"/>
      <c r="I10" s="1629"/>
      <c r="J10" s="1629"/>
      <c r="K10" s="1629"/>
      <c r="L10" s="1629"/>
      <c r="M10" s="1629"/>
      <c r="N10" s="1629"/>
      <c r="O10" s="1629"/>
      <c r="P10" s="1720"/>
      <c r="R10" s="18"/>
      <c r="S10" s="18"/>
      <c r="T10" s="1549" t="s">
        <v>799</v>
      </c>
      <c r="U10" s="1550"/>
      <c r="V10" s="1550"/>
      <c r="W10" s="1550"/>
      <c r="X10" s="1550"/>
      <c r="Y10" s="1551"/>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row>
    <row r="11" spans="2:170" ht="15" customHeight="1" x14ac:dyDescent="0.2">
      <c r="B11" s="1379" t="s">
        <v>966</v>
      </c>
      <c r="C11" s="1379"/>
      <c r="D11" s="1379"/>
      <c r="E11" s="1379"/>
      <c r="F11" s="1379"/>
      <c r="G11" s="1379"/>
      <c r="H11" s="1379"/>
      <c r="I11" s="1379"/>
      <c r="J11" s="1379"/>
      <c r="K11" s="1379"/>
      <c r="L11" s="1379"/>
      <c r="M11" s="1379"/>
      <c r="N11" s="1656" t="s">
        <v>146</v>
      </c>
      <c r="O11" s="1656"/>
      <c r="P11" s="303">
        <f>IF(P6=1,0,R84)</f>
        <v>0</v>
      </c>
      <c r="R11" s="18"/>
      <c r="S11" s="18"/>
      <c r="T11" s="702" t="s">
        <v>147</v>
      </c>
      <c r="U11" s="703">
        <f>SUMIF(V11:AD11,B10,V12:AD12)</f>
        <v>0</v>
      </c>
      <c r="V11" s="702" t="s">
        <v>523</v>
      </c>
      <c r="W11" s="702" t="s">
        <v>148</v>
      </c>
      <c r="X11" s="702" t="s">
        <v>1909</v>
      </c>
      <c r="Y11" s="702" t="s">
        <v>1561</v>
      </c>
      <c r="Z11" s="58" t="s">
        <v>1562</v>
      </c>
      <c r="AA11" s="58" t="s">
        <v>1563</v>
      </c>
      <c r="AB11" s="58" t="s">
        <v>1564</v>
      </c>
      <c r="AC11" s="58" t="s">
        <v>1565</v>
      </c>
      <c r="AD11" s="58" t="s">
        <v>1566</v>
      </c>
      <c r="AE11" s="5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row>
    <row r="12" spans="2:170" ht="15" customHeight="1" x14ac:dyDescent="0.2">
      <c r="B12" s="1379"/>
      <c r="C12" s="1379"/>
      <c r="D12" s="1379"/>
      <c r="E12" s="1379"/>
      <c r="F12" s="1379"/>
      <c r="G12" s="1379"/>
      <c r="H12" s="1379"/>
      <c r="I12" s="1379"/>
      <c r="J12" s="1379"/>
      <c r="K12" s="1379"/>
      <c r="L12" s="1379"/>
      <c r="M12" s="1379"/>
      <c r="N12" s="1656" t="s">
        <v>1567</v>
      </c>
      <c r="O12" s="1656"/>
      <c r="P12" s="26">
        <f>IF(P6=1,0,R160)</f>
        <v>0</v>
      </c>
      <c r="R12" s="18"/>
      <c r="S12" s="18"/>
      <c r="T12" s="58" t="s">
        <v>1568</v>
      </c>
      <c r="U12" s="646">
        <f>U11</f>
        <v>0</v>
      </c>
      <c r="V12" s="688">
        <v>0</v>
      </c>
      <c r="W12" s="688">
        <v>0.05</v>
      </c>
      <c r="X12" s="688">
        <v>0.1</v>
      </c>
      <c r="Y12" s="688">
        <v>0.15</v>
      </c>
      <c r="Z12" s="688">
        <v>0.2</v>
      </c>
      <c r="AA12" s="688">
        <v>0.25</v>
      </c>
      <c r="AB12" s="688">
        <v>0.3</v>
      </c>
      <c r="AC12" s="688">
        <v>0.35</v>
      </c>
      <c r="AD12" s="688">
        <v>0.4</v>
      </c>
      <c r="AE12" s="5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row>
    <row r="13" spans="2:170" ht="15" customHeight="1" x14ac:dyDescent="0.2">
      <c r="B13" s="1379"/>
      <c r="C13" s="1379"/>
      <c r="D13" s="1379"/>
      <c r="E13" s="1379"/>
      <c r="F13" s="1379"/>
      <c r="G13" s="1379"/>
      <c r="H13" s="1379"/>
      <c r="I13" s="1379"/>
      <c r="J13" s="1379"/>
      <c r="K13" s="1379"/>
      <c r="L13" s="1379"/>
      <c r="M13" s="1379"/>
      <c r="N13" s="1656" t="s">
        <v>1569</v>
      </c>
      <c r="O13" s="1656"/>
      <c r="P13" s="26">
        <f>IF(P6=1,0,R237)</f>
        <v>0</v>
      </c>
      <c r="R13" s="18"/>
      <c r="S13" s="18"/>
      <c r="T13" s="58" t="s">
        <v>1570</v>
      </c>
      <c r="U13" s="646">
        <f>SUMIF(V11:AD11,B10,V13:AD13)</f>
        <v>0</v>
      </c>
      <c r="V13" s="688">
        <v>0</v>
      </c>
      <c r="W13" s="688">
        <v>0</v>
      </c>
      <c r="X13" s="688">
        <v>0.05</v>
      </c>
      <c r="Y13" s="688">
        <v>0.05</v>
      </c>
      <c r="Z13" s="688">
        <v>0.1</v>
      </c>
      <c r="AA13" s="688">
        <v>0.1</v>
      </c>
      <c r="AB13" s="688">
        <v>0.15</v>
      </c>
      <c r="AC13" s="688">
        <v>0.15</v>
      </c>
      <c r="AD13" s="688">
        <v>0.2</v>
      </c>
      <c r="AE13" s="5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row>
    <row r="14" spans="2:170" ht="15" customHeight="1" x14ac:dyDescent="0.2">
      <c r="B14" s="1379"/>
      <c r="C14" s="1379"/>
      <c r="D14" s="1379"/>
      <c r="E14" s="1379"/>
      <c r="F14" s="1379"/>
      <c r="G14" s="1379"/>
      <c r="H14" s="1379"/>
      <c r="I14" s="1379"/>
      <c r="J14" s="1379"/>
      <c r="K14" s="1379"/>
      <c r="L14" s="1379"/>
      <c r="M14" s="1379"/>
      <c r="N14" s="1656" t="s">
        <v>1571</v>
      </c>
      <c r="O14" s="1656"/>
      <c r="P14" s="26">
        <f>IF(P6=1,0,R312)</f>
        <v>0</v>
      </c>
      <c r="R14" s="18"/>
      <c r="S14" s="18"/>
      <c r="T14" s="58" t="s">
        <v>1572</v>
      </c>
      <c r="U14" s="646">
        <f>SUMIF(V11:AD11,B10,V14:AD14)</f>
        <v>0</v>
      </c>
      <c r="V14" s="688">
        <v>0</v>
      </c>
      <c r="W14" s="688">
        <v>0</v>
      </c>
      <c r="X14" s="688">
        <v>0</v>
      </c>
      <c r="Y14" s="688">
        <v>0</v>
      </c>
      <c r="Z14" s="688">
        <v>0.05</v>
      </c>
      <c r="AA14" s="688">
        <v>0.05</v>
      </c>
      <c r="AB14" s="688">
        <v>0.05</v>
      </c>
      <c r="AC14" s="688">
        <v>0.05</v>
      </c>
      <c r="AD14" s="688">
        <v>0.1</v>
      </c>
      <c r="AE14" s="5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row>
    <row r="15" spans="2:170" ht="10.5" customHeight="1" x14ac:dyDescent="0.2">
      <c r="B15" s="1395"/>
      <c r="C15" s="1395"/>
      <c r="D15" s="1395"/>
      <c r="E15" s="1395"/>
      <c r="F15" s="1395"/>
      <c r="G15" s="1395"/>
      <c r="H15" s="1395"/>
      <c r="I15" s="1395"/>
      <c r="J15" s="1395"/>
      <c r="K15" s="1395"/>
      <c r="L15" s="1395"/>
      <c r="M15" s="1395"/>
      <c r="N15" s="1395"/>
      <c r="O15" s="1395"/>
      <c r="P15" s="1395"/>
      <c r="R15" s="157"/>
      <c r="S15" s="157"/>
      <c r="T15" s="157"/>
      <c r="U15" s="157"/>
      <c r="V15" s="157"/>
      <c r="W15" s="157"/>
      <c r="X15" s="157"/>
      <c r="Y15" s="157"/>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row>
    <row r="16" spans="2:170" ht="18" customHeight="1" x14ac:dyDescent="0.2">
      <c r="B16" s="1555" t="s">
        <v>1595</v>
      </c>
      <c r="C16" s="1555"/>
      <c r="D16" s="1555"/>
      <c r="E16" s="1555"/>
      <c r="F16" s="1555"/>
      <c r="G16" s="1555"/>
      <c r="H16" s="1555"/>
      <c r="I16" s="1555"/>
      <c r="J16" s="1555"/>
      <c r="K16" s="1555"/>
      <c r="L16" s="1555"/>
      <c r="M16" s="1555"/>
      <c r="N16" s="1555"/>
      <c r="O16" s="1555"/>
      <c r="P16" s="1481">
        <f>IF(R27=1,"ERROR",IF(AND(AC20&gt;0,AC20&lt;0.01),0.01,ROUND(AC20,2)))</f>
        <v>0</v>
      </c>
      <c r="R16" s="18"/>
      <c r="S16" s="18"/>
      <c r="T16" s="1536" t="s">
        <v>2186</v>
      </c>
      <c r="U16" s="1536"/>
      <c r="V16" s="18"/>
      <c r="W16" s="18"/>
      <c r="X16" s="18"/>
      <c r="Y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row>
    <row r="17" spans="2:109" ht="27" customHeight="1" x14ac:dyDescent="0.2">
      <c r="B17" s="23"/>
      <c r="C17" s="1555" t="s">
        <v>1596</v>
      </c>
      <c r="D17" s="1555"/>
      <c r="E17" s="1555"/>
      <c r="F17" s="1555"/>
      <c r="G17" s="1536" t="s">
        <v>1081</v>
      </c>
      <c r="H17" s="1536"/>
      <c r="I17" s="1536"/>
      <c r="J17" s="1536"/>
      <c r="K17" s="1555"/>
      <c r="L17" s="1555"/>
      <c r="M17" s="1555"/>
      <c r="N17" s="1555"/>
      <c r="O17" s="1555"/>
      <c r="P17" s="1631"/>
      <c r="R17" s="18"/>
      <c r="S17" s="58" t="s">
        <v>1573</v>
      </c>
      <c r="T17" s="334" t="s">
        <v>1596</v>
      </c>
      <c r="U17" s="334" t="s">
        <v>1597</v>
      </c>
      <c r="V17" s="1410" t="s">
        <v>1083</v>
      </c>
      <c r="W17" s="1410"/>
      <c r="X17" s="1410"/>
      <c r="Y17" s="1410"/>
      <c r="Z17" s="18"/>
      <c r="AA17" s="1598" t="s">
        <v>2258</v>
      </c>
      <c r="AB17" s="1599"/>
      <c r="AC17" s="1599"/>
      <c r="AD17" s="1600"/>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row>
    <row r="18" spans="2:109" ht="15" customHeight="1" x14ac:dyDescent="0.2">
      <c r="B18" s="23" t="s">
        <v>1574</v>
      </c>
      <c r="C18" s="1555" t="s">
        <v>365</v>
      </c>
      <c r="D18" s="1555"/>
      <c r="E18" s="1555" t="s">
        <v>1796</v>
      </c>
      <c r="F18" s="1555"/>
      <c r="G18" s="1555" t="s">
        <v>365</v>
      </c>
      <c r="H18" s="1555"/>
      <c r="I18" s="1555" t="s">
        <v>1796</v>
      </c>
      <c r="J18" s="1555"/>
      <c r="K18" s="1555"/>
      <c r="L18" s="1555"/>
      <c r="M18" s="1555"/>
      <c r="N18" s="1555"/>
      <c r="O18" s="1555"/>
      <c r="P18" s="1631"/>
      <c r="R18" s="18"/>
      <c r="S18" s="58">
        <v>80</v>
      </c>
      <c r="T18" s="58" t="str">
        <f>IF(OR(C19="",C19="NA"),"",IF(C19&gt;S18,S18,IF(C19&lt;0,0,C19)))</f>
        <v/>
      </c>
      <c r="U18" s="58" t="str">
        <f>IF(OR(G19="",G19="NA"),"",IF(G19&gt;S18,S18,IF(G19&lt;0,0,G19)))</f>
        <v/>
      </c>
      <c r="V18" s="696" t="str">
        <f>IF(Y18="","",ROUND(Y18,0))</f>
        <v/>
      </c>
      <c r="W18" s="1555" t="s">
        <v>1203</v>
      </c>
      <c r="X18" s="1555"/>
      <c r="Y18" s="697" t="str">
        <f>IF(T18="","",IF(OR(U18="",U18=0,U18&lt;T18),T18,(T18*80)/U18))</f>
        <v/>
      </c>
      <c r="Z18" s="18"/>
      <c r="AA18" s="1601"/>
      <c r="AB18" s="1602"/>
      <c r="AC18" s="1602"/>
      <c r="AD18" s="1603"/>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row>
    <row r="19" spans="2:109" ht="15" customHeight="1" x14ac:dyDescent="0.2">
      <c r="B19" s="185" t="s">
        <v>1575</v>
      </c>
      <c r="C19" s="1308"/>
      <c r="D19" s="1308"/>
      <c r="E19" s="1558">
        <f>UETable!AV3</f>
        <v>0</v>
      </c>
      <c r="F19" s="1558"/>
      <c r="G19" s="1308"/>
      <c r="H19" s="1308"/>
      <c r="I19" s="1538">
        <f>IF(C19="",0,IF(OR(C19&lt;=0,G19&lt;=0),E19,IF(G19&lt;C19,0,UETable!BA3)))</f>
        <v>0</v>
      </c>
      <c r="J19" s="1538"/>
      <c r="K19" s="1556" t="str">
        <f>IF(OR(C19="NA",G19="NA"),"",IF(AND(C19&lt;&gt;"",G19=""),"Enter contralateral or NA.",IF(AND(C19="",G19&lt;&gt;""),"Need data","")))</f>
        <v/>
      </c>
      <c r="L19" s="1556"/>
      <c r="M19" s="1556"/>
      <c r="N19" s="1556"/>
      <c r="O19" s="1556"/>
      <c r="P19" s="1631"/>
      <c r="R19" s="18"/>
      <c r="S19" s="58">
        <v>80</v>
      </c>
      <c r="T19" s="58" t="str">
        <f>IF(OR(C20="",C20="NA"),"",IF(C20&gt;S18,S18,IF(C20&lt;0,0,C20)))</f>
        <v/>
      </c>
      <c r="U19" s="58" t="str">
        <f>IF(OR(G20="",G20="NA"),"",IF(G20&gt;S18,S18,IF(G20&lt;0,0,G20)))</f>
        <v/>
      </c>
      <c r="V19" s="696" t="str">
        <f>IF(Y19="","",ROUND(Y19,0))</f>
        <v/>
      </c>
      <c r="W19" s="58">
        <f>IF(T19="",0,80-T19)</f>
        <v>0</v>
      </c>
      <c r="X19" s="58">
        <f>IF(U19="",0,80-U19)</f>
        <v>0</v>
      </c>
      <c r="Y19" s="697" t="str">
        <f>IF(T19="","",IF(OR(U19="",U19=0,U19&gt;T19),T19,80-(W19*80)/X19))</f>
        <v/>
      </c>
      <c r="Z19" s="18"/>
      <c r="AA19" s="1604"/>
      <c r="AB19" s="1605"/>
      <c r="AC19" s="1605"/>
      <c r="AD19" s="1606"/>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row>
    <row r="20" spans="2:109" ht="15" customHeight="1" x14ac:dyDescent="0.2">
      <c r="B20" s="185" t="s">
        <v>1576</v>
      </c>
      <c r="C20" s="1308"/>
      <c r="D20" s="1308"/>
      <c r="E20" s="1558">
        <f>UETable!AV4</f>
        <v>0</v>
      </c>
      <c r="F20" s="1558"/>
      <c r="G20" s="1308"/>
      <c r="H20" s="1308"/>
      <c r="I20" s="1538">
        <f>IF(C20="",0,IF(OR(C20&gt;=80,G20&gt;=80),E20,IF(G20&gt;C20,0,UETable!BA4)))</f>
        <v>0</v>
      </c>
      <c r="J20" s="1538"/>
      <c r="K20" s="1556" t="str">
        <f>IF(OR(C20="NA",G20="NA"),"",IF(AND(C20&lt;&gt;"",G20=""),"Enter contralateral or NA.",IF(AND(C20="",G20&lt;&gt;""),"Need data","")))</f>
        <v/>
      </c>
      <c r="L20" s="1556"/>
      <c r="M20" s="1556"/>
      <c r="N20" s="1556"/>
      <c r="O20" s="1556"/>
      <c r="P20" s="1631"/>
      <c r="R20" s="1019"/>
      <c r="S20" s="1018">
        <v>80</v>
      </c>
      <c r="T20" s="58" t="str">
        <f>IF(OR(C21="",C21="NA"),"",IF(C21&gt;S18,S18,IF(C21&lt;0,0,C21)))</f>
        <v/>
      </c>
      <c r="U20" s="18"/>
      <c r="V20" s="18"/>
      <c r="W20" s="18"/>
      <c r="X20" s="18"/>
      <c r="Y20" s="18"/>
      <c r="Z20" s="18"/>
      <c r="AA20" s="243">
        <f>IF(E21&gt;0,O22,IF(AND(E21=0,E25&gt;0,O22&gt;0,C27&gt;0),C27*O22,O22))</f>
        <v>0</v>
      </c>
      <c r="AB20" s="243">
        <f>IF(E25&gt;0,O26,IF(AND(E25=0,E21&gt;0,O26&gt;0,C27&gt;0),C27*O26,O26))</f>
        <v>0</v>
      </c>
      <c r="AC20" s="243">
        <f>IF(AND(E21=0,E25=0,C27&gt;0),C27*AD25,AD25)</f>
        <v>0</v>
      </c>
      <c r="AD20" s="1035">
        <f>IF(AND(E21&gt;0,E25&gt;0),1,IF(AND(E21&gt;0,O26=0),1,IF(AND(E25&gt;0,O22=0),1,0)))</f>
        <v>0</v>
      </c>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row>
    <row r="21" spans="2:109" ht="15" customHeight="1" x14ac:dyDescent="0.2">
      <c r="B21" s="185" t="s">
        <v>1577</v>
      </c>
      <c r="C21" s="1308"/>
      <c r="D21" s="1308"/>
      <c r="E21" s="1558">
        <f>IF(AND(C21&lt;&gt;"",C21&lt;&gt;"NA",C20&lt;&gt;"NA",C20&lt;&gt;""),"ERROR",IF(AND(C21&lt;&gt;"",C21&lt;&gt;"NA",C19&lt;&gt;"",C19&lt;&gt;"NA"),"ERROR",UETable!AV5))</f>
        <v>0</v>
      </c>
      <c r="F21" s="1558"/>
      <c r="G21" s="1556" t="str">
        <f>IF(AND(C21&lt;&gt;"",C21&lt;&gt;"NA",C20&lt;&gt;"NA",C20&lt;&gt;""),"ERROR: Cannot rate ROM and ankylosis.",IF(AND(C21&lt;&gt;"",C21&lt;&gt;"NA",C19&lt;&gt;"",C19&lt;&gt;"NA"),"ERROR: Cannot rate ROM and ankylosis.",""))</f>
        <v/>
      </c>
      <c r="H21" s="1556"/>
      <c r="I21" s="1556"/>
      <c r="J21" s="1556"/>
      <c r="K21" s="1556"/>
      <c r="L21" s="1556"/>
      <c r="M21" s="1556"/>
      <c r="N21" s="1556"/>
      <c r="O21" s="1556"/>
      <c r="P21" s="1631"/>
      <c r="R21" s="1019"/>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row>
    <row r="22" spans="2:109" ht="15" customHeight="1" x14ac:dyDescent="0.2">
      <c r="B22" s="1613"/>
      <c r="C22" s="1614"/>
      <c r="D22" s="1614"/>
      <c r="E22" s="1614"/>
      <c r="F22" s="1614"/>
      <c r="G22" s="1614"/>
      <c r="H22" s="1614"/>
      <c r="I22" s="1614"/>
      <c r="J22" s="1615"/>
      <c r="K22" s="1568" t="s">
        <v>1842</v>
      </c>
      <c r="L22" s="1568"/>
      <c r="M22" s="1568"/>
      <c r="N22" s="1568"/>
      <c r="O22" s="77">
        <f>IF(E21="ERROR","ERROR",IF(R22&gt;1,1,R22))</f>
        <v>0</v>
      </c>
      <c r="P22" s="1631"/>
      <c r="R22" s="243">
        <f>SUM(I19,I20,E21)</f>
        <v>0</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row>
    <row r="23" spans="2:109" ht="15" customHeight="1" x14ac:dyDescent="0.2">
      <c r="B23" s="185" t="s">
        <v>1578</v>
      </c>
      <c r="C23" s="1308"/>
      <c r="D23" s="1308"/>
      <c r="E23" s="1558">
        <f>UETable!AV7</f>
        <v>0</v>
      </c>
      <c r="F23" s="1558"/>
      <c r="G23" s="1308"/>
      <c r="H23" s="1308"/>
      <c r="I23" s="1538">
        <f>IF(C23="",0,IF(OR(C23&lt;=0,G23&lt;=0),E23,IF(G23&lt;C23,0,UETable!BA7)))</f>
        <v>0</v>
      </c>
      <c r="J23" s="1538"/>
      <c r="K23" s="1556" t="str">
        <f>IF(OR(C23="NA",G23="NA"),"",IF(AND(C23&lt;&gt;"",G23=""),"Enter contralateral or NA.",IF(AND(C23="",G23&lt;&gt;""),"Need data","")))</f>
        <v/>
      </c>
      <c r="L23" s="1556"/>
      <c r="M23" s="1556"/>
      <c r="N23" s="1556"/>
      <c r="O23" s="1556"/>
      <c r="P23" s="1631"/>
      <c r="R23" s="1019"/>
      <c r="S23" s="1018">
        <v>60</v>
      </c>
      <c r="T23" s="58" t="str">
        <f>IF(OR(C23="",C23="NA"),"",IF(C23&gt;S23,S23,IF(C23&lt;0,0,C23)))</f>
        <v/>
      </c>
      <c r="U23" s="58" t="str">
        <f>IF(OR(G23="",G23="NA"),"",IF(G23&gt;S23,S23,IF(G23&lt;0,0,G23)))</f>
        <v/>
      </c>
      <c r="V23" s="696" t="str">
        <f>IF(Y23="","",ROUND(Y23,0))</f>
        <v/>
      </c>
      <c r="W23" s="1555" t="s">
        <v>1203</v>
      </c>
      <c r="X23" s="1555"/>
      <c r="Y23" s="697" t="str">
        <f>IF(T23="","",IF(OR(U23="",U23=0,U23&lt;T23),T23,(T23*60)/U23))</f>
        <v/>
      </c>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row>
    <row r="24" spans="2:109" ht="15" customHeight="1" x14ac:dyDescent="0.2">
      <c r="B24" s="185" t="s">
        <v>1579</v>
      </c>
      <c r="C24" s="1308"/>
      <c r="D24" s="1308"/>
      <c r="E24" s="1558">
        <f>UETable!AV8</f>
        <v>0</v>
      </c>
      <c r="F24" s="1558"/>
      <c r="G24" s="1308"/>
      <c r="H24" s="1308"/>
      <c r="I24" s="1538">
        <f>IF(C24="",0,IF(OR(C24&gt;=60,G24&gt;=60),E24,IF(G24&gt;C24,0,UETable!BA8)))</f>
        <v>0</v>
      </c>
      <c r="J24" s="1538"/>
      <c r="K24" s="1556" t="str">
        <f>IF(OR(C24="NA",G24="NA"),"",IF(AND(C24&lt;&gt;"",G24=""),"Enter contralateral or NA.",IF(AND(C24="",G24&lt;&gt;""),"Need data","")))</f>
        <v/>
      </c>
      <c r="L24" s="1556"/>
      <c r="M24" s="1556"/>
      <c r="N24" s="1556"/>
      <c r="O24" s="1556"/>
      <c r="P24" s="1631"/>
      <c r="S24" s="1018">
        <v>60</v>
      </c>
      <c r="T24" s="58" t="str">
        <f>IF(OR(C24="",C24="NA"),"",IF(C24&gt;S24,S24,IF(C24&lt;0,0,C24)))</f>
        <v/>
      </c>
      <c r="U24" s="58" t="str">
        <f>IF(OR(G24="",G24="NA"),"",IF(G24&gt;S24,S24,IF(G24&lt;0,0,G24)))</f>
        <v/>
      </c>
      <c r="V24" s="696" t="str">
        <f>IF(Y24="","",ROUND(Y24,0))</f>
        <v/>
      </c>
      <c r="W24" s="58">
        <f>IF(T24="",0,60-T24)</f>
        <v>0</v>
      </c>
      <c r="X24" s="58">
        <f>IF(U24="",0,60-U24)</f>
        <v>0</v>
      </c>
      <c r="Y24" s="697" t="str">
        <f>IF(T24="","",IF(OR(U24="",U24=0,U24&gt;T24),T24,60-(W24*60)/X24))</f>
        <v/>
      </c>
      <c r="Z24" s="18"/>
      <c r="AA24" s="185" t="s">
        <v>1307</v>
      </c>
      <c r="AB24" s="185" t="s">
        <v>1305</v>
      </c>
      <c r="AC24" s="58" t="s">
        <v>1306</v>
      </c>
      <c r="AD24" s="58" t="s">
        <v>1307</v>
      </c>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row>
    <row r="25" spans="2:109" ht="15" customHeight="1" x14ac:dyDescent="0.2">
      <c r="B25" s="185" t="s">
        <v>643</v>
      </c>
      <c r="C25" s="1308"/>
      <c r="D25" s="1308"/>
      <c r="E25" s="1558">
        <f>IF(AND(C25&lt;&gt;"",C25&lt;&gt;"NA",C24&lt;&gt;"NA",C24&lt;&gt;""),"ERROR",IF(AND(C25&lt;&gt;"",C25&lt;&gt;"NA",C23&lt;&gt;"",C23&lt;&gt;"NA"),"ERROR",UETable!AV9))</f>
        <v>0</v>
      </c>
      <c r="F25" s="1558"/>
      <c r="G25" s="1556" t="str">
        <f>IF(AND(C25&lt;&gt;"",C25&lt;&gt;"NA",C24&lt;&gt;"NA",C24&lt;&gt;""),"ERROR: Cannot rate ROM and ankylosis.",IF(AND(C25&lt;&gt;"",C25&lt;&gt;"NA",C23&lt;&gt;"",C23&lt;&gt;"NA"),"ERROR: Cannot rate ROM and ankylosis.",""))</f>
        <v/>
      </c>
      <c r="H25" s="1556"/>
      <c r="I25" s="1556"/>
      <c r="J25" s="1556"/>
      <c r="K25" s="1556"/>
      <c r="L25" s="1556"/>
      <c r="M25" s="1556"/>
      <c r="N25" s="1556"/>
      <c r="O25" s="1556"/>
      <c r="P25" s="1631"/>
      <c r="R25" s="1019"/>
      <c r="S25" s="1018">
        <v>60</v>
      </c>
      <c r="T25" s="58" t="str">
        <f>IF(OR(C25="",C25="NA"),"",IF(C25&gt;S25,S25,IF(C25&lt;0,0,C25)))</f>
        <v/>
      </c>
      <c r="U25" s="18"/>
      <c r="V25" s="18"/>
      <c r="W25" s="18"/>
      <c r="X25" s="18"/>
      <c r="Y25" s="18"/>
      <c r="AA25" s="688">
        <f>IF(AND(AA20&gt;0,AA20&lt;0.01),0.01,ROUND(AA20,2))</f>
        <v>0</v>
      </c>
      <c r="AB25" s="186">
        <f>LARGE(AA25:AA26,1)</f>
        <v>0</v>
      </c>
      <c r="AC25" s="688">
        <f>AB25+AB26*(1-AB25)</f>
        <v>0</v>
      </c>
      <c r="AD25" s="688">
        <f>ROUND(AC25,2)</f>
        <v>0</v>
      </c>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row>
    <row r="26" spans="2:109" ht="15" customHeight="1" x14ac:dyDescent="0.2">
      <c r="B26" s="1045"/>
      <c r="C26" s="1046"/>
      <c r="D26" s="1046"/>
      <c r="E26" s="1722" t="str">
        <f>IF(AND(OR(E21&gt;0,E25&gt;0),C27&gt;0),"Note: Ankylosis impairment is not apportioned.","")</f>
        <v/>
      </c>
      <c r="F26" s="1723"/>
      <c r="G26" s="1723"/>
      <c r="H26" s="1723"/>
      <c r="I26" s="1723"/>
      <c r="J26" s="1724"/>
      <c r="K26" s="1568" t="s">
        <v>1842</v>
      </c>
      <c r="L26" s="1568"/>
      <c r="M26" s="1568"/>
      <c r="N26" s="1568"/>
      <c r="O26" s="77">
        <f>IF(E25="ERROR","ERROR",IF(R26&gt;1,1,R26))</f>
        <v>0</v>
      </c>
      <c r="P26" s="1631"/>
      <c r="R26" s="243">
        <f>SUM(I23,I24,E25)</f>
        <v>0</v>
      </c>
      <c r="S26" s="18"/>
      <c r="T26" s="18"/>
      <c r="U26" s="18"/>
      <c r="V26" s="18"/>
      <c r="W26" s="18"/>
      <c r="X26" s="18"/>
      <c r="Y26" s="18"/>
      <c r="AA26" s="1033">
        <f>IF(AND(AB20&gt;0,AB20&lt;0.01),0.01,ROUND(AB20,2))</f>
        <v>0</v>
      </c>
      <c r="AB26" s="186">
        <f>LARGE(AA25:AA26,2)</f>
        <v>0</v>
      </c>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row>
    <row r="27" spans="2:109" ht="15" customHeight="1" x14ac:dyDescent="0.2">
      <c r="B27" s="1034" t="s">
        <v>2259</v>
      </c>
      <c r="C27" s="1544"/>
      <c r="D27" s="1577"/>
      <c r="E27" s="1725"/>
      <c r="F27" s="1726"/>
      <c r="G27" s="1726"/>
      <c r="H27" s="1726"/>
      <c r="I27" s="1726"/>
      <c r="J27" s="1727"/>
      <c r="K27" s="1568" t="s">
        <v>276</v>
      </c>
      <c r="L27" s="1568"/>
      <c r="M27" s="1568"/>
      <c r="N27" s="1568"/>
      <c r="O27" s="1568"/>
      <c r="P27" s="1623"/>
      <c r="R27" s="1018">
        <f>IF(OR(O22="ERROR",O26="ERROR"),1,0)</f>
        <v>0</v>
      </c>
      <c r="S27" s="18"/>
      <c r="T27" s="18"/>
      <c r="U27" s="18"/>
      <c r="V27" s="18"/>
      <c r="W27" s="18"/>
      <c r="X27" s="18"/>
      <c r="Y27" s="18"/>
      <c r="Z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row>
    <row r="28" spans="2:109" ht="10.5" customHeight="1" x14ac:dyDescent="0.2">
      <c r="B28" s="1395" t="str">
        <f>IF(AND(OR(E21&gt;0,E25&gt;0),C27&gt;0),"Note: Ankylosis is not apportioned.","")</f>
        <v/>
      </c>
      <c r="C28" s="1395"/>
      <c r="D28" s="1395"/>
      <c r="E28" s="1395"/>
      <c r="F28" s="1395"/>
      <c r="G28" s="1395"/>
      <c r="H28" s="1395"/>
      <c r="I28" s="1395"/>
      <c r="J28" s="1395"/>
      <c r="K28" s="1395"/>
      <c r="L28" s="1395"/>
      <c r="M28" s="1395"/>
      <c r="N28" s="1395"/>
      <c r="O28" s="1395"/>
      <c r="P28" s="3"/>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row>
    <row r="29" spans="2:109" ht="12" customHeight="1" x14ac:dyDescent="0.2">
      <c r="B29" s="604"/>
      <c r="C29" s="1607" t="s">
        <v>248</v>
      </c>
      <c r="D29" s="1709"/>
      <c r="E29" s="1596" t="s">
        <v>249</v>
      </c>
      <c r="F29" s="1721"/>
      <c r="G29" s="434"/>
      <c r="H29" s="436"/>
      <c r="I29" s="1625" t="s">
        <v>250</v>
      </c>
      <c r="J29" s="1707"/>
      <c r="K29" s="595"/>
      <c r="L29" s="436"/>
      <c r="M29" s="1596" t="s">
        <v>249</v>
      </c>
      <c r="N29" s="1721"/>
      <c r="O29" s="435"/>
      <c r="P29" s="436"/>
      <c r="AE29" s="600"/>
      <c r="AF29" s="600"/>
      <c r="AG29" s="600"/>
      <c r="AH29" s="600"/>
      <c r="AI29" s="600"/>
      <c r="AJ29" s="600"/>
      <c r="AK29" s="600"/>
      <c r="AL29" s="600"/>
      <c r="AM29" s="600"/>
      <c r="AN29" s="600"/>
    </row>
    <row r="30" spans="2:109" ht="12" customHeight="1" x14ac:dyDescent="0.2">
      <c r="B30" s="605"/>
      <c r="C30" s="1610" t="s">
        <v>251</v>
      </c>
      <c r="D30" s="1708"/>
      <c r="E30" s="1610" t="s">
        <v>252</v>
      </c>
      <c r="F30" s="1708"/>
      <c r="G30" s="1610" t="s">
        <v>253</v>
      </c>
      <c r="H30" s="1708"/>
      <c r="I30" s="1579" t="s">
        <v>254</v>
      </c>
      <c r="J30" s="1715"/>
      <c r="K30" s="1610" t="s">
        <v>255</v>
      </c>
      <c r="L30" s="1708"/>
      <c r="M30" s="1610" t="s">
        <v>256</v>
      </c>
      <c r="N30" s="1708"/>
      <c r="O30" s="3"/>
      <c r="P30" s="395"/>
      <c r="AE30" s="600"/>
      <c r="AF30" s="600"/>
      <c r="AG30" s="600"/>
      <c r="AH30" s="700"/>
      <c r="AI30" s="700"/>
      <c r="AJ30" s="700"/>
      <c r="AK30" s="700"/>
      <c r="AL30" s="600"/>
      <c r="AM30" s="600"/>
      <c r="AN30" s="600"/>
    </row>
    <row r="31" spans="2:109" ht="12" customHeight="1" x14ac:dyDescent="0.2">
      <c r="B31" s="605"/>
      <c r="C31" s="1552" t="s">
        <v>257</v>
      </c>
      <c r="D31" s="1706"/>
      <c r="E31" s="1552" t="s">
        <v>258</v>
      </c>
      <c r="F31" s="1706"/>
      <c r="G31" s="1552" t="s">
        <v>259</v>
      </c>
      <c r="H31" s="1706"/>
      <c r="I31" s="1635" t="s">
        <v>260</v>
      </c>
      <c r="J31" s="1716"/>
      <c r="K31" s="1552" t="s">
        <v>259</v>
      </c>
      <c r="L31" s="1706"/>
      <c r="M31" s="1552" t="s">
        <v>258</v>
      </c>
      <c r="N31" s="1706"/>
      <c r="O31" s="3"/>
      <c r="P31" s="395"/>
      <c r="S31" s="698"/>
      <c r="T31" s="698"/>
      <c r="U31" s="698"/>
      <c r="V31" s="698"/>
      <c r="AH31" s="58">
        <v>1</v>
      </c>
      <c r="AI31" s="58">
        <v>2</v>
      </c>
      <c r="AJ31" s="58">
        <v>3</v>
      </c>
      <c r="AK31" s="58">
        <v>4</v>
      </c>
      <c r="AM31" s="600"/>
      <c r="AN31" s="600"/>
      <c r="AO31" s="600"/>
      <c r="AP31" s="600"/>
      <c r="AQ31" s="600"/>
      <c r="AR31" s="600"/>
      <c r="AS31" s="600"/>
      <c r="AT31" s="600"/>
      <c r="AU31" s="600"/>
      <c r="AV31" s="600"/>
    </row>
    <row r="32" spans="2:109" ht="12" customHeight="1" x14ac:dyDescent="0.2">
      <c r="B32" s="679" t="s">
        <v>1986</v>
      </c>
      <c r="C32" s="1552" t="s">
        <v>261</v>
      </c>
      <c r="D32" s="1706"/>
      <c r="E32" s="1552" t="s">
        <v>261</v>
      </c>
      <c r="F32" s="1706"/>
      <c r="G32" s="1552" t="s">
        <v>261</v>
      </c>
      <c r="H32" s="1706"/>
      <c r="I32" s="1552" t="s">
        <v>261</v>
      </c>
      <c r="J32" s="1706"/>
      <c r="K32" s="1552" t="s">
        <v>261</v>
      </c>
      <c r="L32" s="1706"/>
      <c r="M32" s="1552" t="s">
        <v>261</v>
      </c>
      <c r="N32" s="1706"/>
      <c r="O32" s="3"/>
      <c r="P32" s="395"/>
      <c r="S32" s="1519" t="s">
        <v>2197</v>
      </c>
      <c r="T32" s="1520"/>
      <c r="U32" s="1520"/>
      <c r="V32" s="1521"/>
      <c r="W32" s="599"/>
      <c r="X32" s="1519" t="s">
        <v>2197</v>
      </c>
      <c r="Y32" s="1520"/>
      <c r="Z32" s="1520"/>
      <c r="AA32" s="1521"/>
      <c r="AB32" s="599"/>
      <c r="AC32" s="1562" t="s">
        <v>2197</v>
      </c>
      <c r="AD32" s="1563"/>
      <c r="AE32" s="1563"/>
      <c r="AF32" s="1564"/>
      <c r="AG32" s="599"/>
      <c r="AH32" s="1519" t="s">
        <v>2197</v>
      </c>
      <c r="AI32" s="1520"/>
      <c r="AJ32" s="1521"/>
      <c r="AL32" s="1516" t="s">
        <v>2197</v>
      </c>
      <c r="AM32" s="1517"/>
      <c r="AN32" s="1517"/>
      <c r="AO32" s="1518"/>
      <c r="AQ32" s="1516" t="s">
        <v>2197</v>
      </c>
      <c r="AR32" s="1517"/>
      <c r="AS32" s="1517"/>
      <c r="AT32" s="1518"/>
    </row>
    <row r="33" spans="1:109" ht="15" customHeight="1" x14ac:dyDescent="0.2">
      <c r="B33" s="185" t="s">
        <v>1600</v>
      </c>
      <c r="C33" s="1554"/>
      <c r="D33" s="1554"/>
      <c r="E33" s="1554"/>
      <c r="F33" s="1554"/>
      <c r="G33" s="1555" t="s">
        <v>1942</v>
      </c>
      <c r="H33" s="1555"/>
      <c r="I33" s="1554"/>
      <c r="J33" s="1554"/>
      <c r="K33" s="1555" t="s">
        <v>1942</v>
      </c>
      <c r="L33" s="1555"/>
      <c r="M33" s="1554"/>
      <c r="N33" s="1554"/>
      <c r="O33" s="3"/>
      <c r="P33" s="395"/>
      <c r="S33" s="699">
        <f>IF(C33="",0,C33)</f>
        <v>0</v>
      </c>
      <c r="T33" s="699">
        <f>IF(E33&lt;&gt;"",E33,IF(S33&gt;0,S33,0))</f>
        <v>0</v>
      </c>
      <c r="U33" s="699">
        <f>IF(I33&lt;&gt;"",I33,IF(T33&gt;0,T33,0))</f>
        <v>0</v>
      </c>
      <c r="V33" s="699">
        <f>IF(M33&lt;&gt;"",M33,IF(U33&gt;0,U33,0))</f>
        <v>0</v>
      </c>
      <c r="W33" s="599"/>
      <c r="X33" s="185">
        <f>IF(C33&gt;1,1,0)</f>
        <v>0</v>
      </c>
      <c r="Y33" s="369">
        <f t="shared" ref="Y33:AA35" si="0">IF(AND(S33&lt;&gt;T33,T33&gt;0),1,0)</f>
        <v>0</v>
      </c>
      <c r="Z33" s="369">
        <f t="shared" si="0"/>
        <v>0</v>
      </c>
      <c r="AA33" s="369">
        <f t="shared" si="0"/>
        <v>0</v>
      </c>
      <c r="AC33" s="602">
        <f>IF(S33=1,0,IF(S33=2,0.25,IF(S33=3,0.38,IF(S33=4,0.5,0))))</f>
        <v>0</v>
      </c>
      <c r="AD33" s="602">
        <f>IF(T33=1,0,IF(T33=2,0.19,IF(T33=3,0.28,IF(T33=4,0.37,0))))</f>
        <v>0</v>
      </c>
      <c r="AE33" s="602">
        <f>IF(U33=1,0,IF(U33=2,0.12,IF(U33=3,0.17,IF(U33=4,0.23,0))))</f>
        <v>0</v>
      </c>
      <c r="AF33" s="602">
        <f>IF(V33=1,0,IF(V33=2,0.08,IF(V33=3,0.12,IF(V33=4,0.15,0))))</f>
        <v>0</v>
      </c>
      <c r="AH33" s="602">
        <f>IF(S33=1,0,IF(S33=2,0.19,IF(S33=3,0.28,IF(S33=4,0.37,0))))</f>
        <v>0</v>
      </c>
      <c r="AI33" s="602">
        <f>IF(T33=1,0,IF(T33=2,0.12,IF(T33=3,0.17,IF(T33=4,0.23,0))))</f>
        <v>0</v>
      </c>
      <c r="AJ33" s="602">
        <f>IF(U33=1,0,IF(U33=2,0.08,IF(U33=3,0.12,IF(U33=4,0.15,0))))</f>
        <v>0</v>
      </c>
      <c r="AL33" s="701">
        <f>IF(S33=1,0,IF(S33=2,0.12,IF(S33=3,0.17,IF(S33=4,0.23,0))))</f>
        <v>0</v>
      </c>
      <c r="AM33" s="701">
        <f>IF(T33=1,0,IF(T33=2,0.08,IF(T33=3,0.12,IF(T33=4,0.15,0))))</f>
        <v>0</v>
      </c>
      <c r="AO33" s="701">
        <f>IF(S33=1,0,IF(S33=2,0.08,IF(S33=3,0.12,IF(S33=4,0.15,0))))</f>
        <v>0</v>
      </c>
      <c r="AP33" s="603"/>
      <c r="AQ33" s="602">
        <f>IF(X33=0,0,IF(OR(Y33=1,Y34=1,Y35=1),AC33-AH33,IF(OR(Z33=1,Z34=1,Z35=1),AC33-AL33,IF(OR(AA33=1,AA34=1,AA35=1),AC33-AO33,AC33))))</f>
        <v>0</v>
      </c>
      <c r="AR33" s="602">
        <f>IF(Y33=0,0,IF(OR(Z33=1,Z34=1,Z35=1),AD33-AI33,IF(OR(AA33=1,AA34=1,AA35=1),AD33-AM33,AD33)))</f>
        <v>0</v>
      </c>
      <c r="AS33" s="602">
        <f>IF(Z33=0,0,IF(OR(AA33=1,AA34=1,AA35=1),AE33-AJ33,AE33))</f>
        <v>0</v>
      </c>
      <c r="AT33" s="602">
        <f>IF(AA33=0,0,AF33)</f>
        <v>0</v>
      </c>
      <c r="AU33" s="603"/>
      <c r="AV33" s="784" t="s">
        <v>262</v>
      </c>
      <c r="AW33" s="784"/>
      <c r="AX33" s="1487" t="s">
        <v>2197</v>
      </c>
      <c r="AY33" s="1487"/>
      <c r="AZ33" s="1487"/>
      <c r="BA33" s="1487"/>
      <c r="BB33" s="1487"/>
      <c r="BC33" s="1487"/>
    </row>
    <row r="34" spans="1:109" ht="15" customHeight="1" x14ac:dyDescent="0.2">
      <c r="B34" s="369" t="s">
        <v>1601</v>
      </c>
      <c r="C34" s="1554"/>
      <c r="D34" s="1554"/>
      <c r="E34" s="1554"/>
      <c r="F34" s="1554"/>
      <c r="G34" s="1555" t="s">
        <v>1942</v>
      </c>
      <c r="H34" s="1555"/>
      <c r="I34" s="1554"/>
      <c r="J34" s="1554"/>
      <c r="K34" s="1555" t="s">
        <v>1942</v>
      </c>
      <c r="L34" s="1555"/>
      <c r="M34" s="1554"/>
      <c r="N34" s="1554"/>
      <c r="O34" s="3"/>
      <c r="P34" s="395"/>
      <c r="S34" s="369">
        <f>IF(C34="",0,C34)</f>
        <v>0</v>
      </c>
      <c r="T34" s="369">
        <f>IF(E34&lt;&gt;"",E34,IF(S34&gt;0,S34,0))</f>
        <v>0</v>
      </c>
      <c r="U34" s="369">
        <f>IF(I34&lt;&gt;"",I34,IF(T34&gt;0,T34,0))</f>
        <v>0</v>
      </c>
      <c r="V34" s="369">
        <f>IF(M34&lt;&gt;"",M34,IF(U34&gt;0,U34,0))</f>
        <v>0</v>
      </c>
      <c r="W34" s="599"/>
      <c r="X34" s="185">
        <f>IF(C34&gt;1,1,0)</f>
        <v>0</v>
      </c>
      <c r="Y34" s="369">
        <f t="shared" si="0"/>
        <v>0</v>
      </c>
      <c r="Z34" s="369">
        <f t="shared" si="0"/>
        <v>0</v>
      </c>
      <c r="AA34" s="369">
        <f t="shared" si="0"/>
        <v>0</v>
      </c>
      <c r="AC34" s="602">
        <f>IF(S34=1,0,IF(S34=2,0.1,IF(S34=3,0.17,IF(S34=4,0.23,0))))</f>
        <v>0</v>
      </c>
      <c r="AD34" s="602">
        <f>IF(T34=1,0,IF(T34=2,0.08,IF(T34=3,0.12,IF(T34=4,0.16,0))))</f>
        <v>0</v>
      </c>
      <c r="AE34" s="602">
        <f>IF(U34=1,0,IF(U34=2,0.05,IF(U34=3,0.07,IF(U34=4,0.09,0))))</f>
        <v>0</v>
      </c>
      <c r="AF34" s="602">
        <f>IF(V34=1,0,IF(V34=2,0.03,IF(V34=3,0.05,IF(V34=4,0.06,0))))</f>
        <v>0</v>
      </c>
      <c r="AH34" s="602">
        <f>IF(S34=1,0,IF(S34=2,0.08,IF(S34=3,0.12,IF(S34=4,0.16,0))))</f>
        <v>0</v>
      </c>
      <c r="AI34" s="602">
        <f>IF(T34=1,0,IF(T34=2,0.05,IF(T34=3,0.07,IF(T34=4,0.09,0))))</f>
        <v>0</v>
      </c>
      <c r="AJ34" s="602">
        <f>IF(U34=1,0,IF(U34=2,0.03,IF(U34=3,0.05,IF(U34=4,0.06,0))))</f>
        <v>0</v>
      </c>
      <c r="AL34" s="602">
        <f>IF(S34=1,0,IF(S34=2,0.05,IF(S34=3,0.07,IF(S34=4,0.09,0))))</f>
        <v>0</v>
      </c>
      <c r="AM34" s="602">
        <f>IF(T34=1,0,IF(T34=2,0.03,IF(T34=3,0.05,IF(T34=4,0.06,0))))</f>
        <v>0</v>
      </c>
      <c r="AO34" s="602">
        <f>IF(S34=1,0,IF(S34=2,0.03,IF(S34=3,0.05,IF(S34=4,0.06,0))))</f>
        <v>0</v>
      </c>
      <c r="AP34" s="603"/>
      <c r="AQ34" s="602">
        <f>IF(X34=0,0,IF(OR(Y33=1,Y34=1),AC34-AH34,IF(OR(Z33=1,Z34=1),AC34-AL34,IF(OR(AA33=1,AA34=1),AC34-AO34,AC34))))</f>
        <v>0</v>
      </c>
      <c r="AR34" s="602">
        <f>IF(Y34=0,0,IF(OR(Z33=1,Z34=1),AD34-AI34,IF(OR(AA33=1,AA34=1),AD34-AM34,AD34)))</f>
        <v>0</v>
      </c>
      <c r="AS34" s="602">
        <f>IF(Z34=0,0,IF(OR(AA33=1,AA34=1),AE34-AJ34,AE34))</f>
        <v>0</v>
      </c>
      <c r="AT34" s="602">
        <f>IF(AA34=0,0,AF34)</f>
        <v>0</v>
      </c>
      <c r="AU34" s="603"/>
      <c r="AV34" s="452">
        <f>LARGE((AQ33,AR33,AS33,AT33,AQ34,AR34,AS34,AT34,AQ35,AR35,AS35,AT35),1)</f>
        <v>0</v>
      </c>
      <c r="AW34" s="452">
        <f>LARGE((AQ33,AR33,AS33,AT33,AQ34,AR34,AS34,AT34,AQ35,AR35,AS35,AT35),2)</f>
        <v>0</v>
      </c>
      <c r="AX34" s="452">
        <f>LARGE((AQ33,AR33,AS33,AT33,AQ34,AR34,AS34,AT34,AQ35,AR35,AS35,AT35),3)</f>
        <v>0</v>
      </c>
      <c r="AY34" s="452">
        <f>LARGE((AQ33,AR33,AS33,AT33,AQ34,AR34,AS34,AT34,AQ35,AR35,AS35,AT35),4)</f>
        <v>0</v>
      </c>
      <c r="AZ34" s="452">
        <f>LARGE((AQ33,AR33,AS33,AT33,AQ34,AR34,AS34,AT34,AQ35,AR35,AS35,AT35),5)</f>
        <v>0</v>
      </c>
      <c r="BA34" s="452">
        <f>LARGE((AQ33,AR33,AS33,AT33,AQ34,AR34,AS34,AT34,AQ35,AR35,AS35,AT35),6)</f>
        <v>0</v>
      </c>
      <c r="BB34" s="452">
        <f>LARGE((AQ33,AR33,AS33,AT33,AQ34,AR34,AS34,AT34,AQ35,AR35,AS35,AT35),7)</f>
        <v>0</v>
      </c>
      <c r="BC34" s="452">
        <f>LARGE((AQ33,AR33,AS33,AT33,AQ34,AR34,AS34,AT34,AQ35,AR35,AS35,AT35),8)</f>
        <v>0</v>
      </c>
    </row>
    <row r="35" spans="1:109" ht="15" customHeight="1" x14ac:dyDescent="0.2">
      <c r="B35" s="606" t="s">
        <v>1602</v>
      </c>
      <c r="C35" s="1554"/>
      <c r="D35" s="1554"/>
      <c r="E35" s="1554"/>
      <c r="F35" s="1554"/>
      <c r="G35" s="1450" t="s">
        <v>1942</v>
      </c>
      <c r="H35" s="1450"/>
      <c r="I35" s="1554"/>
      <c r="J35" s="1554"/>
      <c r="K35" s="1450" t="s">
        <v>1942</v>
      </c>
      <c r="L35" s="1450"/>
      <c r="M35" s="1554"/>
      <c r="N35" s="1554"/>
      <c r="O35" s="3"/>
      <c r="P35" s="395"/>
      <c r="S35" s="369">
        <f>IF(C35="",0,C35)</f>
        <v>0</v>
      </c>
      <c r="T35" s="369">
        <f>IF(E35&lt;&gt;"",E35,IF(S35&gt;0,S35,0))</f>
        <v>0</v>
      </c>
      <c r="U35" s="369">
        <f>IF(I35&lt;&gt;"",I35,IF(T35&gt;0,T35,0))</f>
        <v>0</v>
      </c>
      <c r="V35" s="369">
        <f>IF(M35&lt;&gt;"",M35,IF(U35&gt;0,U35,0))</f>
        <v>0</v>
      </c>
      <c r="W35" s="599"/>
      <c r="X35" s="185">
        <f>IF(C35&gt;1,1,0)</f>
        <v>0</v>
      </c>
      <c r="Y35" s="369">
        <f t="shared" si="0"/>
        <v>0</v>
      </c>
      <c r="Z35" s="369">
        <f t="shared" si="0"/>
        <v>0</v>
      </c>
      <c r="AA35" s="369">
        <f t="shared" si="0"/>
        <v>0</v>
      </c>
      <c r="AC35" s="602">
        <f>IF(S35=1,0,IF(S35=2,0.17,IF(S35=3,0.25,IF(S35=4,0.35,0))))</f>
        <v>0</v>
      </c>
      <c r="AD35" s="602">
        <f>IF(T35=1,0,IF(T35=2,0.12,IF(T35=3,0.18,IF(T35=4,0.25,0))))</f>
        <v>0</v>
      </c>
      <c r="AE35" s="602">
        <f>IF(U35=1,0,IF(U35=2,0.07,IF(U35=3,0.11,IF(U35=4,0.15,0))))</f>
        <v>0</v>
      </c>
      <c r="AF35" s="602">
        <f>IF(V35=1,0,IF(V35=2,0.05,IF(V35=3,0.07,IF(V35=4,0.1,0))))</f>
        <v>0</v>
      </c>
      <c r="AH35" s="602">
        <f>IF(S35=1,0,IF(S35=2,0.12,IF(S35=3,0.18,IF(S35=4,0.25,0))))</f>
        <v>0</v>
      </c>
      <c r="AI35" s="602">
        <f>IF(T35=1,0,IF(T35=2,0.07,IF(T35=3,0.11,IF(T35=4,0.15,0))))</f>
        <v>0</v>
      </c>
      <c r="AJ35" s="602">
        <f>IF(U35=1,0,IF(U35=2,0.05,IF(U35=3,0.07,IF(U35=4,0.1,0))))</f>
        <v>0</v>
      </c>
      <c r="AL35" s="602">
        <f>IF(S35=1,0,IF(S35=2,0.07,IF(S35=3,0.11,IF(S35=4,0.15,0))))</f>
        <v>0</v>
      </c>
      <c r="AM35" s="602">
        <f>IF(T35=1,0,IF(T35=2,0.05,IF(T35=3,0.07,IF(T35=4,0.1,0))))</f>
        <v>0</v>
      </c>
      <c r="AO35" s="602">
        <f>IF(S35=1,0,IF(S35=2,0.05,IF(S35=3,0.07,IF(S35=4,0.1,0))))</f>
        <v>0</v>
      </c>
      <c r="AP35" s="603"/>
      <c r="AQ35" s="602">
        <f>IF(X35=0,0,IF(OR(Y33=1,Y35=1),AC35-AH35,IF(OR(Z33=1,Z35=1),AC35-AL35,IF(OR(AA33=1,AA35=1),AC35-AO35,AC35))))</f>
        <v>0</v>
      </c>
      <c r="AR35" s="602">
        <f>IF(Y35=0,0,IF(OR(Z33=1,Z35=1),AD35-AI35,IF(OR(AA33=1,AA35=1),AD35-AM35,AD35)))</f>
        <v>0</v>
      </c>
      <c r="AS35" s="602">
        <f>IF(Z35=0,0,IF(OR(AA33=1,AA35=1),AE35-AJ35,AE35))</f>
        <v>0</v>
      </c>
      <c r="AT35" s="602">
        <f>IF(AA35=0,0,AF35)</f>
        <v>0</v>
      </c>
      <c r="AU35" s="603"/>
      <c r="AV35" s="479">
        <f>ROUND(AV34+AW34*(1-AV34),2)</f>
        <v>0</v>
      </c>
      <c r="AW35" s="479">
        <f t="shared" ref="AW35:BB35" si="1">ROUND(AV35+AX34*(1-AV35),2)</f>
        <v>0</v>
      </c>
      <c r="AX35" s="479">
        <f t="shared" si="1"/>
        <v>0</v>
      </c>
      <c r="AY35" s="479">
        <f t="shared" si="1"/>
        <v>0</v>
      </c>
      <c r="AZ35" s="479">
        <f t="shared" si="1"/>
        <v>0</v>
      </c>
      <c r="BA35" s="479">
        <f t="shared" si="1"/>
        <v>0</v>
      </c>
      <c r="BB35" s="479">
        <f t="shared" si="1"/>
        <v>0</v>
      </c>
      <c r="BC35" s="185"/>
    </row>
    <row r="36" spans="1:109" x14ac:dyDescent="0.2">
      <c r="B36" s="1593" t="str">
        <f>IF(AA36=1,"ERROR: If radial or ulnar impairment is recorded, do not enter losses for 'both sides.'","")</f>
        <v/>
      </c>
      <c r="C36" s="1594"/>
      <c r="D36" s="1594"/>
      <c r="E36" s="1594"/>
      <c r="F36" s="1594"/>
      <c r="G36" s="1594"/>
      <c r="H36" s="1594"/>
      <c r="I36" s="1594"/>
      <c r="J36" s="1594"/>
      <c r="K36" s="1594"/>
      <c r="L36" s="1594"/>
      <c r="M36" s="1594"/>
      <c r="N36" s="1594"/>
      <c r="O36" s="1595"/>
      <c r="P36" s="303">
        <f>IF(B36&lt;&gt;"","ERROR",BB35)</f>
        <v>0</v>
      </c>
      <c r="S36" s="599"/>
      <c r="T36" s="599"/>
      <c r="U36" s="599"/>
      <c r="X36" s="369">
        <f>SUM(X33:AA33)</f>
        <v>0</v>
      </c>
      <c r="Y36" s="369">
        <f>SUM(X34:AA34)</f>
        <v>0</v>
      </c>
      <c r="Z36" s="369">
        <f>SUM(X35:AA35)</f>
        <v>0</v>
      </c>
      <c r="AA36" s="369">
        <f>IF(AND(X36&gt;0,Y36&gt;0),1,IF(AND(X36&gt;0,Z36&gt;0),1,0))</f>
        <v>0</v>
      </c>
    </row>
    <row r="37" spans="1:109" ht="15" customHeight="1" x14ac:dyDescent="0.2">
      <c r="B37" s="434" t="s">
        <v>1227</v>
      </c>
      <c r="C37" s="435"/>
      <c r="D37" s="435"/>
      <c r="E37" s="435"/>
      <c r="F37" s="435"/>
      <c r="G37" s="435"/>
      <c r="H37" s="435"/>
      <c r="I37" s="435"/>
      <c r="J37" s="435"/>
      <c r="K37" s="435"/>
      <c r="L37" s="435"/>
      <c r="M37" s="435"/>
      <c r="N37" s="435"/>
      <c r="O37" s="435"/>
      <c r="P37" s="436"/>
    </row>
    <row r="38" spans="1:109" ht="15" customHeight="1" x14ac:dyDescent="0.2">
      <c r="B38" s="185" t="s">
        <v>1600</v>
      </c>
      <c r="C38" s="1554"/>
      <c r="D38" s="1554"/>
      <c r="E38" s="1554"/>
      <c r="F38" s="1554"/>
      <c r="G38" s="1555" t="s">
        <v>1942</v>
      </c>
      <c r="H38" s="1555"/>
      <c r="I38" s="1554"/>
      <c r="J38" s="1554"/>
      <c r="K38" s="1555" t="s">
        <v>1942</v>
      </c>
      <c r="L38" s="1555"/>
      <c r="M38" s="1554"/>
      <c r="N38" s="1554"/>
      <c r="O38" s="3"/>
      <c r="P38" s="395"/>
      <c r="S38" s="369">
        <f>IF(C38="",0,C38)</f>
        <v>0</v>
      </c>
      <c r="T38" s="369">
        <f>IF(E38&lt;&gt;"",E38,IF(S38&gt;0,S38,0))</f>
        <v>0</v>
      </c>
      <c r="U38" s="369">
        <f>IF(I38&lt;&gt;"",I38,IF(T38&gt;0,T38,0))</f>
        <v>0</v>
      </c>
      <c r="V38" s="369">
        <f>IF(M38&lt;&gt;"",M38,IF(U38&gt;0,U38,0))</f>
        <v>0</v>
      </c>
      <c r="W38" s="599"/>
      <c r="X38" s="185">
        <f>IF(C38&gt;1,1,0)</f>
        <v>0</v>
      </c>
      <c r="Y38" s="369">
        <f t="shared" ref="Y38:AA40" si="2">IF(AND(S38&lt;&gt;T38,T38&gt;0),1,0)</f>
        <v>0</v>
      </c>
      <c r="Z38" s="369">
        <f t="shared" si="2"/>
        <v>0</v>
      </c>
      <c r="AA38" s="369">
        <f t="shared" si="2"/>
        <v>0</v>
      </c>
      <c r="AC38" s="602">
        <f>IF(S38=1,0,IF(S38=2,0.25,IF(S38=3,0.38,IF(S38=4,0.5,0))))</f>
        <v>0</v>
      </c>
      <c r="AD38" s="602">
        <f>IF(T38=1,0,IF(T38=2,0.19,IF(T38=3,0.28,IF(T38=4,0.37,0))))</f>
        <v>0</v>
      </c>
      <c r="AE38" s="602">
        <f>IF(U38=1,0,IF(U38=2,0.12,IF(U38=3,0.17,IF(U38=4,0.23,0))))</f>
        <v>0</v>
      </c>
      <c r="AF38" s="602">
        <f>IF(V38=1,0,IF(V38=2,0.08,IF(V38=3,0.12,IF(V38=4,0.15,0))))</f>
        <v>0</v>
      </c>
      <c r="AH38" s="602">
        <f>IF(S38=1,0,IF(S38=2,0.19,IF(S38=3,0.28,IF(S38=4,0.37,0))))</f>
        <v>0</v>
      </c>
      <c r="AI38" s="602">
        <f>IF(T38=1,0,IF(T38=2,0.12,IF(T38=3,0.17,IF(T38=4,0.23,0))))</f>
        <v>0</v>
      </c>
      <c r="AJ38" s="602">
        <f>IF(U38=1,0,IF(U38=2,0.08,IF(U38=3,0.12,IF(U38=4,0.15,0))))</f>
        <v>0</v>
      </c>
      <c r="AL38" s="602">
        <f>IF(S38=1,0,IF(S38=2,0.12,IF(S38=3,0.17,IF(S38=4,0.23,0))))</f>
        <v>0</v>
      </c>
      <c r="AM38" s="602">
        <f>IF(T38=1,0,IF(T38=2,0.08,IF(T38=3,0.12,IF(T38=4,0.15,0))))</f>
        <v>0</v>
      </c>
      <c r="AO38" s="602">
        <f>IF(S38=1,0,IF(S38=2,0.08,IF(S38=3,0.12,IF(S38=4,0.15,0))))</f>
        <v>0</v>
      </c>
      <c r="AP38" s="603"/>
      <c r="AQ38" s="602">
        <f>IF(X38=0,0,IF(OR(Y38=1,Y39=1,Y40=1),AC38-AH38,IF(OR(Z38=1,Z39=1,Z40=1),AC38-AL38,IF(OR(AA38=1,AA39=1,AA40=1),AC38-AO38,AC38))))</f>
        <v>0</v>
      </c>
      <c r="AR38" s="602">
        <f>IF(Y38=0,0,IF(OR(Z38=1,Z39=1,Z40=1),AD38-AI38,IF(OR(AA38=1,AA39=1,AA40=1),AD38-AM38,AD38)))</f>
        <v>0</v>
      </c>
      <c r="AS38" s="602">
        <f>IF(Z38=0,0,IF(OR(AA38=1,AA39=1,AA40=1),AE38-AJ38,AE38))</f>
        <v>0</v>
      </c>
      <c r="AT38" s="602">
        <f>IF(AA38=0,0,AF38)</f>
        <v>0</v>
      </c>
      <c r="AU38" s="603"/>
      <c r="AV38" s="784" t="s">
        <v>262</v>
      </c>
      <c r="AW38" s="784"/>
    </row>
    <row r="39" spans="1:109" ht="15" customHeight="1" x14ac:dyDescent="0.2">
      <c r="B39" s="369" t="s">
        <v>1601</v>
      </c>
      <c r="C39" s="1554"/>
      <c r="D39" s="1554"/>
      <c r="E39" s="1554"/>
      <c r="F39" s="1554"/>
      <c r="G39" s="1555" t="s">
        <v>1942</v>
      </c>
      <c r="H39" s="1555"/>
      <c r="I39" s="1554"/>
      <c r="J39" s="1554"/>
      <c r="K39" s="1555" t="s">
        <v>1942</v>
      </c>
      <c r="L39" s="1555"/>
      <c r="M39" s="1554"/>
      <c r="N39" s="1554"/>
      <c r="O39" s="3"/>
      <c r="P39" s="395"/>
      <c r="S39" s="369">
        <f>IF(C39="",0,C39)</f>
        <v>0</v>
      </c>
      <c r="T39" s="369">
        <f>IF(E39&lt;&gt;"",E39,IF(S39&gt;0,S39,0))</f>
        <v>0</v>
      </c>
      <c r="U39" s="369">
        <f>IF(I39&lt;&gt;"",I39,IF(T39&gt;0,T39,0))</f>
        <v>0</v>
      </c>
      <c r="V39" s="369">
        <f>IF(M39&lt;&gt;"",M39,IF(U39&gt;0,U39,0))</f>
        <v>0</v>
      </c>
      <c r="W39" s="599"/>
      <c r="X39" s="185">
        <f>IF(C39&gt;1,1,0)</f>
        <v>0</v>
      </c>
      <c r="Y39" s="369">
        <f t="shared" si="2"/>
        <v>0</v>
      </c>
      <c r="Z39" s="369">
        <f t="shared" si="2"/>
        <v>0</v>
      </c>
      <c r="AA39" s="369">
        <f t="shared" si="2"/>
        <v>0</v>
      </c>
      <c r="AC39" s="602">
        <f>IF(S39=1,0,IF(S39=2,0.1,IF(S39=3,0.17,IF(S39=4,0.23,0))))</f>
        <v>0</v>
      </c>
      <c r="AD39" s="602">
        <f>IF(T39=1,0,IF(T39=2,0.08,IF(T39=3,0.12,IF(T39=4,0.16,0))))</f>
        <v>0</v>
      </c>
      <c r="AE39" s="602">
        <f>IF(U39=1,0,IF(U39=2,0.05,IF(U39=3,0.07,IF(U39=4,0.09,0))))</f>
        <v>0</v>
      </c>
      <c r="AF39" s="602">
        <f>IF(V39=1,0,IF(V39=2,0.03,IF(V39=3,0.05,IF(V39=4,0.06,0))))</f>
        <v>0</v>
      </c>
      <c r="AH39" s="602">
        <f>IF(S39=1,0,IF(S39=2,0.08,IF(S39=3,0.12,IF(S39=4,0.16,0))))</f>
        <v>0</v>
      </c>
      <c r="AI39" s="602">
        <f>IF(T39=1,0,IF(T39=2,0.05,IF(T39=3,0.07,IF(T39=4,0.09,0))))</f>
        <v>0</v>
      </c>
      <c r="AJ39" s="602">
        <f>IF(U39=1,0,IF(U39=2,0.03,IF(U39=3,0.05,IF(U39=4,0.06,0))))</f>
        <v>0</v>
      </c>
      <c r="AL39" s="602">
        <f>IF(S39=1,0,IF(S39=2,0.05,IF(S39=3,0.07,IF(S39=4,0.09,0))))</f>
        <v>0</v>
      </c>
      <c r="AM39" s="602">
        <f>IF(T39=1,0,IF(T39=2,0.03,IF(T39=3,0.05,IF(T39=4,0.06,0))))</f>
        <v>0</v>
      </c>
      <c r="AO39" s="602">
        <f>IF(S39=1,0,IF(S39=2,0.03,IF(S39=3,0.05,IF(S39=4,0.06,0))))</f>
        <v>0</v>
      </c>
      <c r="AP39" s="603"/>
      <c r="AQ39" s="602">
        <f>IF(X39=0,0,IF(OR(Y38=1,Y39=1),AC39-AH39,IF(OR(Z38=1,Z39=1),AC39-AL39,IF(OR(AA38=1,AA39=1),AC39-AO39,AC39))))</f>
        <v>0</v>
      </c>
      <c r="AR39" s="602">
        <f>IF(Y39=0,0,IF(OR(Z38=1,Z39=1),AD39-AI39,IF(OR(AA38=1,AA39=1),AD39-AM39,AD39)))</f>
        <v>0</v>
      </c>
      <c r="AS39" s="602">
        <f>IF(Z39=0,0,IF(OR(AA38=1,AA39=1),AE39-AJ39,AE39))</f>
        <v>0</v>
      </c>
      <c r="AT39" s="602">
        <f>IF(AA39=0,0,AF39)</f>
        <v>0</v>
      </c>
      <c r="AU39" s="603"/>
      <c r="AV39" s="452">
        <f>LARGE((AQ38,AR38,AS38,AT38,AQ39,AR39,AS39,AT39,AQ40,AR40,AS40,AT40),1)</f>
        <v>0</v>
      </c>
      <c r="AW39" s="452">
        <f>LARGE((AQ38,AR38,AS38,AT38,AQ39,AR39,AS39,AT39,AQ40,AR40,AS40,AT40),2)</f>
        <v>0</v>
      </c>
      <c r="AX39" s="452">
        <f>LARGE((AQ38,AR38,AS38,AT38,AQ39,AR39,AS39,AT39,AQ40,AR40,AS40,AT40),3)</f>
        <v>0</v>
      </c>
      <c r="AY39" s="452">
        <f>LARGE((AQ38,AR38,AS38,AT38,AQ39,AR39,AS39,AT39,AQ40,AR40,AS40,AT40),4)</f>
        <v>0</v>
      </c>
      <c r="AZ39" s="452">
        <f>LARGE((AQ38,AR38,AS38,AT38,AQ39,AR39,AS39,AT39,AQ40,AR40,AS40,AT40),5)</f>
        <v>0</v>
      </c>
      <c r="BA39" s="452">
        <f>LARGE((AQ38,AR38,AS38,AT38,AQ39,AR39,AS39,AT39,AQ40,AR40,AS40,AT40),6)</f>
        <v>0</v>
      </c>
      <c r="BB39" s="452">
        <f>LARGE((AQ38,AR38,AS38,AT38,AQ39,AR39,AS39,AT39,AQ40,AR40,AS40,AT40),7)</f>
        <v>0</v>
      </c>
      <c r="BC39" s="452">
        <f>LARGE((AQ38,AR38,AS38,AT38,AQ39,AR39,AS39,AT39,AQ40,AR40,AS40,AT40),8)</f>
        <v>0</v>
      </c>
    </row>
    <row r="40" spans="1:109" ht="15" customHeight="1" x14ac:dyDescent="0.2">
      <c r="B40" s="606" t="s">
        <v>1602</v>
      </c>
      <c r="C40" s="1554"/>
      <c r="D40" s="1554"/>
      <c r="E40" s="1554"/>
      <c r="F40" s="1554"/>
      <c r="G40" s="1450" t="s">
        <v>1942</v>
      </c>
      <c r="H40" s="1450"/>
      <c r="I40" s="1554"/>
      <c r="J40" s="1554"/>
      <c r="K40" s="1450" t="s">
        <v>1942</v>
      </c>
      <c r="L40" s="1450"/>
      <c r="M40" s="1554"/>
      <c r="N40" s="1554"/>
      <c r="O40" s="3"/>
      <c r="P40" s="395"/>
      <c r="S40" s="369">
        <f>IF(C40="",0,C40)</f>
        <v>0</v>
      </c>
      <c r="T40" s="369">
        <f>IF(E40&lt;&gt;"",E40,IF(S40&gt;0,S40,0))</f>
        <v>0</v>
      </c>
      <c r="U40" s="369">
        <f>IF(I40&lt;&gt;"",I40,IF(T40&gt;0,T40,0))</f>
        <v>0</v>
      </c>
      <c r="V40" s="369">
        <f>IF(M40&lt;&gt;"",M40,IF(U40&gt;0,U40,0))</f>
        <v>0</v>
      </c>
      <c r="W40" s="599"/>
      <c r="X40" s="185">
        <f>IF(C40&gt;1,1,0)</f>
        <v>0</v>
      </c>
      <c r="Y40" s="369">
        <f t="shared" si="2"/>
        <v>0</v>
      </c>
      <c r="Z40" s="369">
        <f t="shared" si="2"/>
        <v>0</v>
      </c>
      <c r="AA40" s="369">
        <f t="shared" si="2"/>
        <v>0</v>
      </c>
      <c r="AC40" s="602">
        <f>IF(S40=1,0,IF(S40=2,0.17,IF(S40=3,0.25,IF(S40=4,0.35,0))))</f>
        <v>0</v>
      </c>
      <c r="AD40" s="602">
        <f>IF(T40=1,0,IF(T40=2,0.12,IF(T40=3,0.18,IF(T40=4,0.25,0))))</f>
        <v>0</v>
      </c>
      <c r="AE40" s="602">
        <f>IF(U40=1,0,IF(U40=2,0.07,IF(U40=3,0.11,IF(U40=4,0.15,0))))</f>
        <v>0</v>
      </c>
      <c r="AF40" s="602">
        <f>IF(V40=1,0,IF(V40=2,0.05,IF(V40=3,0.07,IF(V40=4,0.1,0))))</f>
        <v>0</v>
      </c>
      <c r="AH40" s="602">
        <f>IF(S40=1,0,IF(S40=2,0.12,IF(S40=3,0.18,IF(S40=4,0.25,0))))</f>
        <v>0</v>
      </c>
      <c r="AI40" s="602">
        <f>IF(T40=1,0,IF(T40=2,0.07,IF(T40=3,0.11,IF(T40=4,0.15,0))))</f>
        <v>0</v>
      </c>
      <c r="AJ40" s="602">
        <f>IF(U40=1,0,IF(U40=2,0.05,IF(U40=3,0.07,IF(U40=4,0.1,0))))</f>
        <v>0</v>
      </c>
      <c r="AL40" s="602">
        <f>IF(S40=1,0,IF(S40=2,0.07,IF(S40=3,0.11,IF(S40=4,0.15,0))))</f>
        <v>0</v>
      </c>
      <c r="AM40" s="602">
        <f>IF(T40=1,0,IF(T40=2,0.05,IF(T40=3,0.07,IF(T40=4,0.1,0))))</f>
        <v>0</v>
      </c>
      <c r="AO40" s="602">
        <f>IF(S40=1,0,IF(S40=2,0.05,IF(S40=3,0.07,IF(S40=4,0.1,0))))</f>
        <v>0</v>
      </c>
      <c r="AP40" s="603"/>
      <c r="AQ40" s="602">
        <f>IF(X40=0,0,IF(OR(Y38=1,Y40=1),AC40-AH40,IF(OR(Z38=1,Z40=1),AC40-AL40,IF(OR(AA38=1,AA40=1),AC40-AO40,AC40))))</f>
        <v>0</v>
      </c>
      <c r="AR40" s="602">
        <f>IF(Y40=0,0,IF(OR(Z38=1,Z40=1),AD40-AI40,IF(OR(AA38=1,AA40=1),AD40-AM40,AD40)))</f>
        <v>0</v>
      </c>
      <c r="AS40" s="602">
        <f>IF(Z40=0,0,IF(OR(AA38=1,AA40=1),AE40-AJ40,AE40))</f>
        <v>0</v>
      </c>
      <c r="AT40" s="602">
        <f>IF(AA40=0,0,AF40)</f>
        <v>0</v>
      </c>
      <c r="AU40" s="603"/>
      <c r="AV40" s="479">
        <f>ROUND(AV39+AW39*(1-AV39),2)</f>
        <v>0</v>
      </c>
      <c r="AW40" s="479">
        <f t="shared" ref="AW40:BB40" si="3">ROUND(AV40+AX39*(1-AV40),2)</f>
        <v>0</v>
      </c>
      <c r="AX40" s="479">
        <f t="shared" si="3"/>
        <v>0</v>
      </c>
      <c r="AY40" s="479">
        <f t="shared" si="3"/>
        <v>0</v>
      </c>
      <c r="AZ40" s="479">
        <f t="shared" si="3"/>
        <v>0</v>
      </c>
      <c r="BA40" s="479">
        <f t="shared" si="3"/>
        <v>0</v>
      </c>
      <c r="BB40" s="479">
        <f t="shared" si="3"/>
        <v>0</v>
      </c>
      <c r="BC40" s="185"/>
    </row>
    <row r="41" spans="1:109" x14ac:dyDescent="0.2">
      <c r="B41" s="1593" t="str">
        <f>IF(AA41=1,"ERROR: If radial or ulnar impairment is recorded, do not enter losses for 'both sides.'","")</f>
        <v/>
      </c>
      <c r="C41" s="1594"/>
      <c r="D41" s="1594"/>
      <c r="E41" s="1594"/>
      <c r="F41" s="1594"/>
      <c r="G41" s="1594"/>
      <c r="H41" s="1594"/>
      <c r="I41" s="1594"/>
      <c r="J41" s="1594"/>
      <c r="K41" s="1594"/>
      <c r="L41" s="1594"/>
      <c r="M41" s="1594"/>
      <c r="N41" s="1594"/>
      <c r="O41" s="1595"/>
      <c r="P41" s="303">
        <f>IF(B41&lt;&gt;"","ERROR",BB40)</f>
        <v>0</v>
      </c>
      <c r="S41" s="599"/>
      <c r="T41" s="599"/>
      <c r="U41" s="599"/>
      <c r="X41" s="369">
        <f>SUM(X38:AA38)</f>
        <v>0</v>
      </c>
      <c r="Y41" s="369">
        <f>SUM(X39:AA39)</f>
        <v>0</v>
      </c>
      <c r="Z41" s="369">
        <f>SUM(X40:AA40)</f>
        <v>0</v>
      </c>
      <c r="AA41" s="369">
        <f>IF(AND(X41&gt;0,Y41&gt;0),1,IF(AND(X41&gt;0,Z41&gt;0),1,0))</f>
        <v>0</v>
      </c>
    </row>
    <row r="42" spans="1:109" ht="10.5" customHeight="1" x14ac:dyDescent="0.2">
      <c r="B42" s="1705"/>
      <c r="C42" s="1705"/>
      <c r="D42" s="1705"/>
      <c r="E42" s="1705"/>
      <c r="F42" s="1705"/>
      <c r="G42" s="1705"/>
      <c r="H42" s="1705"/>
      <c r="I42" s="1705"/>
      <c r="J42" s="1705"/>
      <c r="K42" s="1705"/>
      <c r="L42" s="1705"/>
      <c r="M42" s="1705"/>
      <c r="N42" s="1705"/>
      <c r="O42" s="1705"/>
      <c r="P42" s="85"/>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row>
    <row r="43" spans="1:109" ht="10.5" customHeight="1" x14ac:dyDescent="0.2">
      <c r="B43" s="598"/>
      <c r="C43" s="598"/>
      <c r="D43" s="598"/>
      <c r="E43" s="598"/>
      <c r="F43" s="598"/>
      <c r="G43" s="598"/>
      <c r="H43" s="598"/>
      <c r="I43" s="598"/>
      <c r="J43" s="598"/>
      <c r="K43" s="598"/>
      <c r="L43" s="598"/>
      <c r="M43" s="598"/>
      <c r="N43" s="598"/>
      <c r="O43" s="598"/>
      <c r="P43" s="85"/>
      <c r="R43" s="18"/>
      <c r="S43" s="1487" t="s">
        <v>2197</v>
      </c>
      <c r="T43" s="1487"/>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row>
    <row r="44" spans="1:109" ht="14.25" customHeight="1" x14ac:dyDescent="0.2">
      <c r="A44" s="189"/>
      <c r="B44" s="1581" t="s">
        <v>1228</v>
      </c>
      <c r="C44" s="1582"/>
      <c r="D44" s="1543"/>
      <c r="E44" s="1543"/>
      <c r="F44" s="1587" t="s">
        <v>1229</v>
      </c>
      <c r="G44" s="1587"/>
      <c r="H44" s="1587"/>
      <c r="I44" s="1587"/>
      <c r="J44" s="1587"/>
      <c r="K44" s="1587"/>
      <c r="L44" s="1587"/>
      <c r="M44" s="1587"/>
      <c r="N44" s="1587"/>
      <c r="O44" s="1587"/>
      <c r="P44" s="95">
        <f>IF(T44=1,0.1,0)</f>
        <v>0</v>
      </c>
      <c r="R44" s="18"/>
      <c r="S44" s="686" t="b">
        <v>0</v>
      </c>
      <c r="T44" s="58">
        <f>IF(S44=TRUE,1,0)</f>
        <v>0</v>
      </c>
      <c r="W44" s="18"/>
      <c r="X44" s="18"/>
      <c r="Y44" s="18"/>
      <c r="Z44" s="18"/>
      <c r="AA44" s="18"/>
      <c r="AB44" s="18"/>
      <c r="AC44" s="18"/>
      <c r="AD44" s="18"/>
      <c r="AE44" s="18"/>
      <c r="AF44" s="18"/>
      <c r="AG44" s="18">
        <v>1E-4</v>
      </c>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row>
    <row r="45" spans="1:109" x14ac:dyDescent="0.2">
      <c r="B45" s="1583"/>
      <c r="C45" s="1584"/>
      <c r="D45" s="1543"/>
      <c r="E45" s="1543"/>
      <c r="F45" s="1587" t="s">
        <v>1231</v>
      </c>
      <c r="G45" s="1587"/>
      <c r="H45" s="1587"/>
      <c r="I45" s="1587"/>
      <c r="J45" s="1587"/>
      <c r="K45" s="1587"/>
      <c r="L45" s="1587"/>
      <c r="M45" s="1587"/>
      <c r="N45" s="1587"/>
      <c r="O45" s="1587"/>
      <c r="P45" s="95">
        <f>IF(T45=1,0.1,0)</f>
        <v>0</v>
      </c>
      <c r="R45" s="18"/>
      <c r="S45" s="686" t="b">
        <v>0</v>
      </c>
      <c r="T45" s="58">
        <f>IF(S45=TRUE,1,0)</f>
        <v>0</v>
      </c>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row>
    <row r="46" spans="1:109" x14ac:dyDescent="0.2">
      <c r="B46" s="1583"/>
      <c r="C46" s="1584"/>
      <c r="D46" s="1543"/>
      <c r="E46" s="1543"/>
      <c r="F46" s="1587" t="s">
        <v>1230</v>
      </c>
      <c r="G46" s="1587"/>
      <c r="H46" s="1587"/>
      <c r="I46" s="1587"/>
      <c r="J46" s="1587"/>
      <c r="K46" s="1587"/>
      <c r="L46" s="1587"/>
      <c r="M46" s="1587"/>
      <c r="N46" s="1587"/>
      <c r="O46" s="1587"/>
      <c r="P46" s="95">
        <f>IF(T46=1,0.1,0)</f>
        <v>0</v>
      </c>
      <c r="R46" s="18"/>
      <c r="S46" s="686" t="b">
        <v>0</v>
      </c>
      <c r="T46" s="58">
        <f>IF(S46=TRUE,1,0)</f>
        <v>0</v>
      </c>
      <c r="U46" s="164"/>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row>
    <row r="47" spans="1:109" x14ac:dyDescent="0.2">
      <c r="B47" s="1585"/>
      <c r="C47" s="1586"/>
      <c r="D47" s="1543"/>
      <c r="E47" s="1543"/>
      <c r="F47" s="1587" t="s">
        <v>1232</v>
      </c>
      <c r="G47" s="1587"/>
      <c r="H47" s="1587"/>
      <c r="I47" s="1587"/>
      <c r="J47" s="1587"/>
      <c r="K47" s="1587"/>
      <c r="L47" s="1587"/>
      <c r="M47" s="1587"/>
      <c r="N47" s="1587"/>
      <c r="O47" s="1587"/>
      <c r="P47" s="95">
        <f>IF(T47=1,0.1,0)</f>
        <v>0</v>
      </c>
      <c r="R47" s="18"/>
      <c r="S47" s="686" t="b">
        <v>0</v>
      </c>
      <c r="T47" s="58">
        <f>IF(S47=TRUE,1,0)</f>
        <v>0</v>
      </c>
      <c r="U47" s="164"/>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row>
    <row r="48" spans="1:109" ht="10.5" customHeight="1" x14ac:dyDescent="0.2">
      <c r="B48" s="1395"/>
      <c r="C48" s="1395"/>
      <c r="D48" s="1395"/>
      <c r="E48" s="1395"/>
      <c r="F48" s="1395"/>
      <c r="G48" s="1395"/>
      <c r="H48" s="1395"/>
      <c r="I48" s="1395"/>
      <c r="J48" s="1395"/>
      <c r="K48" s="1395"/>
      <c r="L48" s="1395"/>
      <c r="M48" s="1395"/>
      <c r="N48" s="1395"/>
      <c r="O48" s="1395"/>
      <c r="P48" s="3"/>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row>
    <row r="49" spans="1:109" ht="10.5" customHeight="1" x14ac:dyDescent="0.2">
      <c r="B49" s="1"/>
      <c r="C49" s="1"/>
      <c r="D49" s="1"/>
      <c r="E49" s="1"/>
      <c r="F49" s="1"/>
      <c r="G49" s="1"/>
      <c r="H49" s="1"/>
      <c r="I49" s="1"/>
      <c r="J49" s="1"/>
      <c r="K49" s="1"/>
      <c r="L49" s="1"/>
      <c r="M49" s="1"/>
      <c r="N49" s="1"/>
      <c r="O49" s="1"/>
      <c r="P49" s="3"/>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row>
    <row r="50" spans="1:109" ht="15" customHeight="1" x14ac:dyDescent="0.2">
      <c r="B50" s="256" t="s">
        <v>1233</v>
      </c>
      <c r="C50" s="1555" t="s">
        <v>1371</v>
      </c>
      <c r="D50" s="1555"/>
      <c r="E50" s="1555"/>
      <c r="F50" s="1555"/>
      <c r="G50" s="1555"/>
      <c r="H50" s="1534" t="s">
        <v>1796</v>
      </c>
      <c r="I50" s="1534"/>
      <c r="J50" s="1534"/>
      <c r="K50" s="42"/>
      <c r="L50" s="1534" t="s">
        <v>1234</v>
      </c>
      <c r="M50" s="1534"/>
      <c r="N50" s="1534"/>
      <c r="O50" s="1534"/>
      <c r="P50" s="1481">
        <f>U52</f>
        <v>0</v>
      </c>
      <c r="R50" s="18"/>
      <c r="S50" s="704" t="s">
        <v>1597</v>
      </c>
      <c r="T50" s="704" t="s">
        <v>1305</v>
      </c>
      <c r="U50" s="704" t="s">
        <v>2188</v>
      </c>
      <c r="V50" s="18"/>
      <c r="W50" s="1487" t="s">
        <v>2197</v>
      </c>
      <c r="X50" s="1487"/>
      <c r="Y50" s="1487"/>
      <c r="Z50" s="1487"/>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row>
    <row r="51" spans="1:109" ht="15" customHeight="1" x14ac:dyDescent="0.2">
      <c r="B51" s="256" t="s">
        <v>1235</v>
      </c>
      <c r="C51" s="1542"/>
      <c r="D51" s="1542"/>
      <c r="E51" s="1542"/>
      <c r="F51" s="1542"/>
      <c r="G51" s="1542"/>
      <c r="H51" s="1545">
        <f>IF(C51=$X$52,0.03,IF(C51=$Y$52,0.06,IF(C51=$Z$52,0.09,0)))</f>
        <v>0</v>
      </c>
      <c r="I51" s="1545"/>
      <c r="J51" s="1545"/>
      <c r="K51" s="185"/>
      <c r="L51" s="1308"/>
      <c r="M51" s="1308"/>
      <c r="N51" s="1308"/>
      <c r="O51" s="26">
        <f>IF(H51&gt;=S51,H51-S51,0)</f>
        <v>0</v>
      </c>
      <c r="P51" s="1631"/>
      <c r="R51" s="18"/>
      <c r="S51" s="186">
        <f>IF(L51=$X$51,0.03,IF(L51=$Y$51,0.06,IF(L51=$Z$51,0.09,0)))</f>
        <v>0</v>
      </c>
      <c r="T51" s="186">
        <f>LARGE(O51:O52,1)</f>
        <v>0</v>
      </c>
      <c r="U51" s="684">
        <f>T51+T52*(1-T51)</f>
        <v>0</v>
      </c>
      <c r="V51" s="18"/>
      <c r="W51" s="58" t="s">
        <v>523</v>
      </c>
      <c r="X51" s="58" t="s">
        <v>915</v>
      </c>
      <c r="Y51" s="186" t="s">
        <v>1803</v>
      </c>
      <c r="Z51" s="58" t="s">
        <v>1672</v>
      </c>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row>
    <row r="52" spans="1:109" ht="15" customHeight="1" x14ac:dyDescent="0.2">
      <c r="B52" s="185" t="s">
        <v>1236</v>
      </c>
      <c r="C52" s="1542"/>
      <c r="D52" s="1542"/>
      <c r="E52" s="1542"/>
      <c r="F52" s="1542"/>
      <c r="G52" s="1542"/>
      <c r="H52" s="1545">
        <f>IF(C52=$X$52,0.02,IF(C52=$Y$52,0.04,IF(C52=$Z$52,0.06,0)))</f>
        <v>0</v>
      </c>
      <c r="I52" s="1545"/>
      <c r="J52" s="1545"/>
      <c r="K52" s="185"/>
      <c r="L52" s="1308"/>
      <c r="M52" s="1308"/>
      <c r="N52" s="1308"/>
      <c r="O52" s="26">
        <f>IF(H52&gt;=S52,H52-S52,0)</f>
        <v>0</v>
      </c>
      <c r="P52" s="1623"/>
      <c r="R52" s="18"/>
      <c r="S52" s="186">
        <f>IF(L52=$X$51,0.02,IF(L52=$Y$51,0.04,IF(L52=$Z$51,0.06,0)))</f>
        <v>0</v>
      </c>
      <c r="T52" s="186">
        <f>LARGE(O51:O52,2)</f>
        <v>0</v>
      </c>
      <c r="U52" s="684">
        <f>ROUND(U51,2)</f>
        <v>0</v>
      </c>
      <c r="V52" s="18"/>
      <c r="W52" s="58"/>
      <c r="X52" s="58" t="s">
        <v>1237</v>
      </c>
      <c r="Y52" s="58" t="s">
        <v>1238</v>
      </c>
      <c r="Z52" s="58" t="s">
        <v>1239</v>
      </c>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row>
    <row r="53" spans="1:109" ht="10.5" customHeight="1" x14ac:dyDescent="0.2">
      <c r="B53" s="1395"/>
      <c r="C53" s="1395"/>
      <c r="D53" s="1395"/>
      <c r="E53" s="1395"/>
      <c r="F53" s="1395"/>
      <c r="G53" s="1395"/>
      <c r="H53" s="1395"/>
      <c r="I53" s="1395"/>
      <c r="J53" s="1395"/>
      <c r="K53" s="1395"/>
      <c r="L53" s="1395"/>
      <c r="M53" s="1395"/>
      <c r="N53" s="1395"/>
      <c r="O53" s="1395"/>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row>
    <row r="54" spans="1:109" ht="15" customHeight="1" x14ac:dyDescent="0.2">
      <c r="A54" s="189"/>
      <c r="B54" s="1710" t="s">
        <v>1240</v>
      </c>
      <c r="C54" s="1711"/>
      <c r="D54" s="1714"/>
      <c r="E54" s="1649"/>
      <c r="F54" s="1357" t="s">
        <v>787</v>
      </c>
      <c r="G54" s="1358"/>
      <c r="H54" s="1358"/>
      <c r="I54" s="1358"/>
      <c r="J54" s="1358"/>
      <c r="K54" s="1358"/>
      <c r="L54" s="1358"/>
      <c r="M54" s="1358"/>
      <c r="N54" s="1358"/>
      <c r="O54" s="1359"/>
      <c r="P54" s="303">
        <f>IF(T54=1,0.18,0)</f>
        <v>0</v>
      </c>
      <c r="R54" s="1565" t="s">
        <v>2197</v>
      </c>
      <c r="S54" s="706" t="b">
        <v>0</v>
      </c>
      <c r="T54" s="58">
        <f>IF(S54=TRUE,1,0)</f>
        <v>0</v>
      </c>
      <c r="U54" s="18"/>
      <c r="V54" s="18"/>
      <c r="W54" s="18"/>
      <c r="X54" s="18"/>
      <c r="Y54" s="18"/>
      <c r="Z54" s="18"/>
      <c r="AA54" s="18"/>
      <c r="AB54" s="18"/>
      <c r="AC54" s="18"/>
      <c r="AD54" s="18"/>
      <c r="AE54" s="18"/>
      <c r="AF54" s="18"/>
      <c r="AG54" s="18">
        <v>1E-4</v>
      </c>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row>
    <row r="55" spans="1:109" ht="15" customHeight="1" x14ac:dyDescent="0.2">
      <c r="B55" s="1712"/>
      <c r="C55" s="1713"/>
      <c r="D55" s="1714"/>
      <c r="E55" s="1649"/>
      <c r="F55" s="1357" t="s">
        <v>788</v>
      </c>
      <c r="G55" s="1358"/>
      <c r="H55" s="1358"/>
      <c r="I55" s="1358"/>
      <c r="J55" s="1358"/>
      <c r="K55" s="1358"/>
      <c r="L55" s="1358"/>
      <c r="M55" s="1358"/>
      <c r="N55" s="1358"/>
      <c r="O55" s="1359"/>
      <c r="P55" s="303">
        <f>IF(T55=1,0.22,0)</f>
        <v>0</v>
      </c>
      <c r="R55" s="1536"/>
      <c r="S55" s="706" t="b">
        <v>0</v>
      </c>
      <c r="T55" s="58">
        <f>IF(S55=TRUE,1,0)</f>
        <v>0</v>
      </c>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row>
    <row r="56" spans="1:109" ht="12" customHeight="1" x14ac:dyDescent="0.2">
      <c r="B56" s="1395"/>
      <c r="C56" s="1395"/>
      <c r="D56" s="1395"/>
      <c r="E56" s="1395"/>
      <c r="F56" s="1395"/>
      <c r="G56" s="1395"/>
      <c r="H56" s="1395"/>
      <c r="I56" s="1395"/>
      <c r="J56" s="1395"/>
      <c r="K56" s="1395"/>
      <c r="L56" s="1395"/>
      <c r="M56" s="1395"/>
      <c r="N56" s="1395"/>
      <c r="O56" s="1395"/>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row>
    <row r="57" spans="1:109" ht="15" customHeight="1" x14ac:dyDescent="0.2">
      <c r="B57" s="1541" t="s">
        <v>789</v>
      </c>
      <c r="C57" s="1541"/>
      <c r="D57" s="1541"/>
      <c r="E57" s="1541"/>
      <c r="F57" s="1541"/>
      <c r="G57" s="1541"/>
      <c r="H57" s="1541"/>
      <c r="I57" s="1541"/>
      <c r="J57" s="1541"/>
      <c r="K57" s="1541"/>
      <c r="L57" s="1541"/>
      <c r="M57" s="1541"/>
      <c r="N57" s="1541"/>
      <c r="O57" s="388"/>
      <c r="P57" s="26">
        <f>SUMIF(T57:X57,O57,T58:X58)</f>
        <v>0</v>
      </c>
      <c r="R57" s="1561" t="s">
        <v>2197</v>
      </c>
      <c r="S57" s="1561"/>
      <c r="T57" s="58" t="s">
        <v>1969</v>
      </c>
      <c r="U57" s="58" t="s">
        <v>1970</v>
      </c>
      <c r="V57" s="186" t="s">
        <v>1972</v>
      </c>
      <c r="W57" s="58" t="s">
        <v>945</v>
      </c>
      <c r="X57" s="186" t="s">
        <v>558</v>
      </c>
      <c r="Y57" s="18"/>
      <c r="Z57" s="58" t="s">
        <v>1969</v>
      </c>
      <c r="AA57" s="58" t="s">
        <v>1970</v>
      </c>
      <c r="AB57" s="186" t="s">
        <v>1972</v>
      </c>
      <c r="AC57" s="58" t="s">
        <v>945</v>
      </c>
      <c r="AD57" s="186" t="s">
        <v>558</v>
      </c>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row>
    <row r="58" spans="1:109" ht="15" customHeight="1" x14ac:dyDescent="0.2">
      <c r="B58" s="1541" t="s">
        <v>1499</v>
      </c>
      <c r="C58" s="1541"/>
      <c r="D58" s="1541"/>
      <c r="E58" s="1541"/>
      <c r="F58" s="1541"/>
      <c r="G58" s="1541"/>
      <c r="H58" s="1541"/>
      <c r="I58" s="1541"/>
      <c r="J58" s="1541"/>
      <c r="K58" s="1541"/>
      <c r="L58" s="1541"/>
      <c r="M58" s="1541"/>
      <c r="N58" s="1541"/>
      <c r="O58" s="388"/>
      <c r="P58" s="26">
        <f>SUMIF(Z57:AD57,O58,Z58:AD58)</f>
        <v>0</v>
      </c>
      <c r="R58" s="1561"/>
      <c r="S58" s="1561"/>
      <c r="T58" s="186">
        <v>0.03</v>
      </c>
      <c r="U58" s="186">
        <v>0.15</v>
      </c>
      <c r="V58" s="186">
        <v>0.38</v>
      </c>
      <c r="W58" s="186">
        <v>0.68</v>
      </c>
      <c r="X58" s="186">
        <v>0.9</v>
      </c>
      <c r="Y58" s="18"/>
      <c r="Z58" s="186">
        <v>0.03</v>
      </c>
      <c r="AA58" s="186">
        <v>0.15</v>
      </c>
      <c r="AB58" s="186">
        <v>0.35</v>
      </c>
      <c r="AC58" s="186">
        <v>0.63</v>
      </c>
      <c r="AD58" s="186">
        <v>0.88</v>
      </c>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row>
    <row r="59" spans="1:109" x14ac:dyDescent="0.2">
      <c r="B59" s="1395"/>
      <c r="C59" s="1395"/>
      <c r="D59" s="1395"/>
      <c r="E59" s="1395"/>
      <c r="F59" s="1395"/>
      <c r="G59" s="1395"/>
      <c r="H59" s="1395"/>
      <c r="I59" s="1395"/>
      <c r="J59" s="1395"/>
      <c r="K59" s="1395"/>
      <c r="L59" s="1395"/>
      <c r="M59" s="1395"/>
      <c r="N59" s="1395"/>
      <c r="O59" s="1395"/>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row>
    <row r="60" spans="1:109" ht="27" customHeight="1" x14ac:dyDescent="0.2">
      <c r="B60" s="1632" t="s">
        <v>1938</v>
      </c>
      <c r="C60" s="1633"/>
      <c r="D60" s="1633"/>
      <c r="E60" s="1633"/>
      <c r="F60" s="1634"/>
      <c r="G60" s="1626" t="s">
        <v>1525</v>
      </c>
      <c r="H60" s="1627"/>
      <c r="I60" s="1627"/>
      <c r="J60" s="1628"/>
      <c r="K60" s="1616"/>
      <c r="L60" s="1617"/>
      <c r="M60" s="1617"/>
      <c r="N60" s="1617"/>
      <c r="O60" s="1618"/>
      <c r="P60" s="1481">
        <f>U76</f>
        <v>0</v>
      </c>
      <c r="R60" s="185" t="s">
        <v>1865</v>
      </c>
      <c r="S60" s="58" t="s">
        <v>1305</v>
      </c>
      <c r="T60" s="58" t="s">
        <v>1306</v>
      </c>
      <c r="U60" s="58" t="s">
        <v>1307</v>
      </c>
      <c r="V60" s="1549" t="s">
        <v>801</v>
      </c>
      <c r="W60" s="1550"/>
      <c r="X60" s="1551"/>
      <c r="Y60" s="18"/>
      <c r="Z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row>
    <row r="61" spans="1:109" ht="15" customHeight="1" x14ac:dyDescent="0.2">
      <c r="B61" s="1394" t="s">
        <v>628</v>
      </c>
      <c r="C61" s="1394"/>
      <c r="D61" s="1394"/>
      <c r="E61" s="1623">
        <f>P6</f>
        <v>0</v>
      </c>
      <c r="F61" s="1624"/>
      <c r="G61" s="1611" t="s">
        <v>1942</v>
      </c>
      <c r="H61" s="1611"/>
      <c r="I61" s="1559"/>
      <c r="J61" s="1559"/>
      <c r="K61" s="1619"/>
      <c r="L61" s="1620"/>
      <c r="M61" s="1620"/>
      <c r="N61" s="1620"/>
      <c r="O61" s="1621"/>
      <c r="P61" s="1631"/>
      <c r="R61" s="688">
        <f>E61</f>
        <v>0</v>
      </c>
      <c r="S61" s="186">
        <f>LARGE($R$61:$R$77,1)</f>
        <v>0</v>
      </c>
      <c r="T61" s="684">
        <f>S61+S62*(1-S61)</f>
        <v>0</v>
      </c>
      <c r="U61" s="688">
        <f t="shared" ref="U61:U76" si="4">ROUND(T61,2)</f>
        <v>0</v>
      </c>
      <c r="V61" s="58">
        <f>IF(E61&gt;0,1,0)</f>
        <v>0</v>
      </c>
      <c r="W61" s="58">
        <f>COUNTIF(V61:V77,1)</f>
        <v>0</v>
      </c>
      <c r="X61" s="1081">
        <f>IF(AND(W61=0,W62&gt;0),1,IF(W61&gt;0,2,0))</f>
        <v>0</v>
      </c>
      <c r="Y61" s="1094"/>
      <c r="Z61" s="1094"/>
      <c r="AA61" s="1062"/>
      <c r="AB61" s="1062"/>
      <c r="AC61" s="1062"/>
      <c r="AD61" s="1062"/>
      <c r="AE61" s="1062"/>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row>
    <row r="62" spans="1:109" ht="15" customHeight="1" x14ac:dyDescent="0.2">
      <c r="B62" s="1410" t="s">
        <v>802</v>
      </c>
      <c r="C62" s="1410"/>
      <c r="D62" s="1410"/>
      <c r="E62" s="1373">
        <f>P11</f>
        <v>0</v>
      </c>
      <c r="F62" s="1346"/>
      <c r="G62" s="1611" t="s">
        <v>1942</v>
      </c>
      <c r="H62" s="1611"/>
      <c r="I62" s="1559"/>
      <c r="J62" s="1559"/>
      <c r="K62" s="1619"/>
      <c r="L62" s="1620"/>
      <c r="M62" s="1620"/>
      <c r="N62" s="1620"/>
      <c r="O62" s="1621"/>
      <c r="P62" s="1631"/>
      <c r="R62" s="688">
        <f>E62</f>
        <v>0</v>
      </c>
      <c r="S62" s="186">
        <f>LARGE($R$61:$R$77,2)</f>
        <v>0</v>
      </c>
      <c r="T62" s="684">
        <f>U61+S63*(1-U61)</f>
        <v>0</v>
      </c>
      <c r="U62" s="688">
        <f t="shared" si="4"/>
        <v>0</v>
      </c>
      <c r="V62" s="58">
        <f>IF(E62&gt;0,2,0)</f>
        <v>0</v>
      </c>
      <c r="W62" s="58">
        <f>COUNTIF(V61:V77,2)</f>
        <v>0</v>
      </c>
      <c r="X62" s="18"/>
      <c r="Y62" s="1094"/>
      <c r="Z62" s="1094"/>
      <c r="AA62" s="1062"/>
      <c r="AB62" s="1062"/>
      <c r="AC62" s="1062"/>
      <c r="AD62" s="1062"/>
      <c r="AE62" s="1062"/>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row>
    <row r="63" spans="1:109" ht="15" customHeight="1" x14ac:dyDescent="0.2">
      <c r="B63" s="1410" t="s">
        <v>803</v>
      </c>
      <c r="C63" s="1410"/>
      <c r="D63" s="1410"/>
      <c r="E63" s="1373">
        <f>P12</f>
        <v>0</v>
      </c>
      <c r="F63" s="1346"/>
      <c r="G63" s="1611" t="s">
        <v>1942</v>
      </c>
      <c r="H63" s="1611"/>
      <c r="I63" s="1559"/>
      <c r="J63" s="1559"/>
      <c r="K63" s="1619"/>
      <c r="L63" s="1620"/>
      <c r="M63" s="1620"/>
      <c r="N63" s="1620"/>
      <c r="O63" s="1621"/>
      <c r="P63" s="1631"/>
      <c r="R63" s="688">
        <f>E63</f>
        <v>0</v>
      </c>
      <c r="S63" s="186">
        <f>LARGE($R$61:$R$77,3)</f>
        <v>0</v>
      </c>
      <c r="T63" s="684">
        <f>U62+S64*(1-U62)</f>
        <v>0</v>
      </c>
      <c r="U63" s="688">
        <f t="shared" si="4"/>
        <v>0</v>
      </c>
      <c r="V63" s="58">
        <f>IF(E63&gt;0,2,0)</f>
        <v>0</v>
      </c>
      <c r="W63" s="18"/>
      <c r="X63" s="18"/>
      <c r="Y63" s="1094"/>
      <c r="Z63" s="1094"/>
      <c r="AA63" s="1062"/>
      <c r="AB63" s="1062"/>
      <c r="AC63" s="1062"/>
      <c r="AD63" s="1062"/>
      <c r="AE63" s="1062"/>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row>
    <row r="64" spans="1:109" ht="15" customHeight="1" x14ac:dyDescent="0.2">
      <c r="B64" s="1410" t="s">
        <v>804</v>
      </c>
      <c r="C64" s="1410"/>
      <c r="D64" s="1410"/>
      <c r="E64" s="1373">
        <f>P13</f>
        <v>0</v>
      </c>
      <c r="F64" s="1346"/>
      <c r="G64" s="1611" t="s">
        <v>1942</v>
      </c>
      <c r="H64" s="1611"/>
      <c r="I64" s="1559"/>
      <c r="J64" s="1559"/>
      <c r="K64" s="1619"/>
      <c r="L64" s="1620"/>
      <c r="M64" s="1620"/>
      <c r="N64" s="1620"/>
      <c r="O64" s="1621"/>
      <c r="P64" s="1631"/>
      <c r="R64" s="688">
        <f>E64</f>
        <v>0</v>
      </c>
      <c r="S64" s="186">
        <f>LARGE($R$61:$R$77,4)</f>
        <v>0</v>
      </c>
      <c r="T64" s="684">
        <f t="shared" ref="T64:T76" si="5">U63+S65*(1-U63)</f>
        <v>0</v>
      </c>
      <c r="U64" s="688">
        <f t="shared" si="4"/>
        <v>0</v>
      </c>
      <c r="V64" s="58">
        <f>IF(E64&gt;0,2,0)</f>
        <v>0</v>
      </c>
      <c r="W64" s="18"/>
      <c r="X64" s="18"/>
      <c r="Y64" s="1094"/>
      <c r="Z64" s="1094"/>
      <c r="AA64" s="1062"/>
      <c r="AB64" s="1062"/>
      <c r="AC64" s="1062"/>
      <c r="AD64" s="1062"/>
      <c r="AE64" s="1062"/>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row>
    <row r="65" spans="1:109" ht="15" customHeight="1" x14ac:dyDescent="0.2">
      <c r="B65" s="1410" t="s">
        <v>805</v>
      </c>
      <c r="C65" s="1410"/>
      <c r="D65" s="1410"/>
      <c r="E65" s="1373">
        <f>P14</f>
        <v>0</v>
      </c>
      <c r="F65" s="1346"/>
      <c r="G65" s="1611" t="s">
        <v>1942</v>
      </c>
      <c r="H65" s="1611"/>
      <c r="I65" s="1559"/>
      <c r="J65" s="1559"/>
      <c r="K65" s="1619"/>
      <c r="L65" s="1620"/>
      <c r="M65" s="1620"/>
      <c r="N65" s="1620"/>
      <c r="O65" s="1621"/>
      <c r="P65" s="1631"/>
      <c r="R65" s="688">
        <f>E65</f>
        <v>0</v>
      </c>
      <c r="S65" s="186">
        <f>LARGE($R$61:$R$77,5)</f>
        <v>0</v>
      </c>
      <c r="T65" s="684">
        <f t="shared" si="5"/>
        <v>0</v>
      </c>
      <c r="U65" s="688">
        <f t="shared" si="4"/>
        <v>0</v>
      </c>
      <c r="V65" s="58">
        <f>IF(E65&gt;0,2,0)</f>
        <v>0</v>
      </c>
      <c r="W65" s="18"/>
      <c r="X65" s="18"/>
      <c r="Y65" s="18" t="s">
        <v>511</v>
      </c>
      <c r="Z65" s="18"/>
      <c r="AA65" s="1062"/>
      <c r="AB65" s="1062"/>
      <c r="AC65" s="1062"/>
      <c r="AD65" s="1062"/>
      <c r="AE65" s="1062"/>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row>
    <row r="66" spans="1:109" ht="15" customHeight="1" x14ac:dyDescent="0.2">
      <c r="B66" s="1410" t="s">
        <v>1959</v>
      </c>
      <c r="C66" s="1410"/>
      <c r="D66" s="1410"/>
      <c r="E66" s="1373">
        <f>IF(E607&gt;0,0,P16)</f>
        <v>0</v>
      </c>
      <c r="F66" s="1346"/>
      <c r="G66" s="1770" t="s">
        <v>2260</v>
      </c>
      <c r="H66" s="1771"/>
      <c r="I66" s="1559"/>
      <c r="J66" s="1559"/>
      <c r="K66" s="1619"/>
      <c r="L66" s="1620"/>
      <c r="M66" s="1620"/>
      <c r="N66" s="1620"/>
      <c r="O66" s="1621"/>
      <c r="P66" s="1631"/>
      <c r="R66" s="688">
        <f>IF(I66&gt;0,I66,E66)</f>
        <v>0</v>
      </c>
      <c r="S66" s="186">
        <f>LARGE($R$61:$R$77,6)</f>
        <v>0</v>
      </c>
      <c r="T66" s="684">
        <f t="shared" si="5"/>
        <v>0</v>
      </c>
      <c r="U66" s="688">
        <f t="shared" si="4"/>
        <v>0</v>
      </c>
      <c r="V66" s="58">
        <f t="shared" ref="V66:V77" si="6">IF(E66&gt;0,1,0)</f>
        <v>0</v>
      </c>
      <c r="W66" s="18"/>
      <c r="X66" s="18"/>
      <c r="Y66" s="161"/>
      <c r="Z66" s="161"/>
      <c r="AA66" s="1062"/>
      <c r="AB66" s="1"/>
      <c r="AC66" s="1062"/>
      <c r="AD66" s="1062"/>
      <c r="AE66" s="1062"/>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row>
    <row r="67" spans="1:109" ht="15" customHeight="1" x14ac:dyDescent="0.2">
      <c r="B67" s="1410" t="s">
        <v>1986</v>
      </c>
      <c r="C67" s="1410"/>
      <c r="D67" s="1410"/>
      <c r="E67" s="1373">
        <f>P36</f>
        <v>0</v>
      </c>
      <c r="F67" s="1346"/>
      <c r="G67" s="1544"/>
      <c r="H67" s="1544"/>
      <c r="I67" s="1545">
        <f t="shared" ref="I67:I73" si="7">IF(AND(Y67&lt;0.01,Y67&gt;0),0.01,ROUND(Y67,2))</f>
        <v>0</v>
      </c>
      <c r="J67" s="1545"/>
      <c r="K67" s="1619"/>
      <c r="L67" s="1620"/>
      <c r="M67" s="1620"/>
      <c r="N67" s="1620"/>
      <c r="O67" s="1621"/>
      <c r="P67" s="1631"/>
      <c r="R67" s="688">
        <f t="shared" ref="R67:R73" si="8">IF(I67&gt;0,I67,E67)</f>
        <v>0</v>
      </c>
      <c r="S67" s="186">
        <f>LARGE($R$61:$R$77,7)</f>
        <v>0</v>
      </c>
      <c r="T67" s="684">
        <f t="shared" si="5"/>
        <v>0</v>
      </c>
      <c r="U67" s="688">
        <f t="shared" si="4"/>
        <v>0</v>
      </c>
      <c r="V67" s="58">
        <f t="shared" si="6"/>
        <v>0</v>
      </c>
      <c r="W67" s="18"/>
      <c r="X67" s="18"/>
      <c r="Y67" s="355">
        <f>E67*G67</f>
        <v>0</v>
      </c>
      <c r="Z67" s="161"/>
      <c r="AA67" s="1062"/>
      <c r="AB67" s="1062"/>
      <c r="AC67" s="1062"/>
      <c r="AD67" s="1062"/>
      <c r="AE67" s="1062"/>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row>
    <row r="68" spans="1:109" ht="15" customHeight="1" x14ac:dyDescent="0.2">
      <c r="B68" s="1410" t="s">
        <v>1227</v>
      </c>
      <c r="C68" s="1410"/>
      <c r="D68" s="1410"/>
      <c r="E68" s="1373">
        <f>P41</f>
        <v>0</v>
      </c>
      <c r="F68" s="1346"/>
      <c r="G68" s="1544"/>
      <c r="H68" s="1544"/>
      <c r="I68" s="1545">
        <f t="shared" si="7"/>
        <v>0</v>
      </c>
      <c r="J68" s="1545"/>
      <c r="K68" s="1619"/>
      <c r="L68" s="1620"/>
      <c r="M68" s="1620"/>
      <c r="N68" s="1620"/>
      <c r="O68" s="1621"/>
      <c r="P68" s="1631"/>
      <c r="R68" s="688">
        <f t="shared" si="8"/>
        <v>0</v>
      </c>
      <c r="S68" s="186">
        <f>LARGE($R$61:$R$77,8)</f>
        <v>0</v>
      </c>
      <c r="T68" s="684">
        <f t="shared" si="5"/>
        <v>0</v>
      </c>
      <c r="U68" s="688">
        <f t="shared" si="4"/>
        <v>0</v>
      </c>
      <c r="V68" s="58">
        <f t="shared" si="6"/>
        <v>0</v>
      </c>
      <c r="W68" s="18"/>
      <c r="X68" s="18"/>
      <c r="Y68" s="1020">
        <f t="shared" ref="Y68:Y73" si="9">E68*G68</f>
        <v>0</v>
      </c>
      <c r="Z68" s="373"/>
      <c r="AA68" s="1"/>
      <c r="AB68" s="1"/>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row>
    <row r="69" spans="1:109" ht="15" customHeight="1" x14ac:dyDescent="0.2">
      <c r="B69" s="1410" t="s">
        <v>1417</v>
      </c>
      <c r="C69" s="1410"/>
      <c r="D69" s="1410"/>
      <c r="E69" s="1373">
        <f>P44</f>
        <v>0</v>
      </c>
      <c r="F69" s="1373"/>
      <c r="G69" s="1544"/>
      <c r="H69" s="1544"/>
      <c r="I69" s="1545">
        <f t="shared" si="7"/>
        <v>0</v>
      </c>
      <c r="J69" s="1545"/>
      <c r="K69" s="1619"/>
      <c r="L69" s="1620"/>
      <c r="M69" s="1620"/>
      <c r="N69" s="1620"/>
      <c r="O69" s="1621"/>
      <c r="P69" s="1631"/>
      <c r="R69" s="688">
        <f t="shared" si="8"/>
        <v>0</v>
      </c>
      <c r="S69" s="186">
        <f>LARGE($R$61:$R$77,9)</f>
        <v>0</v>
      </c>
      <c r="T69" s="684">
        <f t="shared" si="5"/>
        <v>0</v>
      </c>
      <c r="U69" s="688">
        <f t="shared" si="4"/>
        <v>0</v>
      </c>
      <c r="V69" s="58">
        <f t="shared" si="6"/>
        <v>0</v>
      </c>
      <c r="W69" s="18"/>
      <c r="X69" s="18"/>
      <c r="Y69" s="1020">
        <f t="shared" si="9"/>
        <v>0</v>
      </c>
      <c r="Z69" s="373"/>
      <c r="AA69" s="1"/>
      <c r="AB69" s="1"/>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row>
    <row r="70" spans="1:109" ht="15" customHeight="1" x14ac:dyDescent="0.2">
      <c r="B70" s="1362" t="s">
        <v>1061</v>
      </c>
      <c r="C70" s="1363"/>
      <c r="D70" s="1364"/>
      <c r="E70" s="1373">
        <f>P45</f>
        <v>0</v>
      </c>
      <c r="F70" s="1373"/>
      <c r="G70" s="1544"/>
      <c r="H70" s="1544"/>
      <c r="I70" s="1545">
        <f t="shared" si="7"/>
        <v>0</v>
      </c>
      <c r="J70" s="1545"/>
      <c r="K70" s="1030"/>
      <c r="L70" s="1031"/>
      <c r="M70" s="1031"/>
      <c r="N70" s="1031"/>
      <c r="O70" s="1032"/>
      <c r="P70" s="1631"/>
      <c r="R70" s="688">
        <f t="shared" si="8"/>
        <v>0</v>
      </c>
      <c r="S70" s="186">
        <f>LARGE($R$61:$R$77,10)</f>
        <v>0</v>
      </c>
      <c r="T70" s="684">
        <f t="shared" si="5"/>
        <v>0</v>
      </c>
      <c r="U70" s="688">
        <f t="shared" si="4"/>
        <v>0</v>
      </c>
      <c r="V70" s="58">
        <f t="shared" si="6"/>
        <v>0</v>
      </c>
      <c r="W70" s="18"/>
      <c r="X70" s="18"/>
      <c r="Y70" s="1020">
        <f t="shared" si="9"/>
        <v>0</v>
      </c>
      <c r="Z70" s="373"/>
      <c r="AA70" s="1073"/>
      <c r="AB70" s="1073"/>
      <c r="AC70" s="1073"/>
      <c r="AD70" s="1073"/>
      <c r="AE70" s="1073"/>
      <c r="AF70" s="1073"/>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row>
    <row r="71" spans="1:109" ht="15" customHeight="1" x14ac:dyDescent="0.2">
      <c r="B71" s="1362" t="s">
        <v>1419</v>
      </c>
      <c r="C71" s="1363"/>
      <c r="D71" s="1364"/>
      <c r="E71" s="1373">
        <f>P46</f>
        <v>0</v>
      </c>
      <c r="F71" s="1373"/>
      <c r="G71" s="1544"/>
      <c r="H71" s="1544"/>
      <c r="I71" s="1545">
        <f t="shared" si="7"/>
        <v>0</v>
      </c>
      <c r="J71" s="1545"/>
      <c r="K71" s="1030"/>
      <c r="L71" s="1031"/>
      <c r="M71" s="1031"/>
      <c r="N71" s="1031"/>
      <c r="O71" s="1032"/>
      <c r="P71" s="1631"/>
      <c r="R71" s="688">
        <f t="shared" si="8"/>
        <v>0</v>
      </c>
      <c r="S71" s="186">
        <f>LARGE($R$61:$R$77,11)</f>
        <v>0</v>
      </c>
      <c r="T71" s="684">
        <f t="shared" si="5"/>
        <v>0</v>
      </c>
      <c r="U71" s="688">
        <f t="shared" si="4"/>
        <v>0</v>
      </c>
      <c r="V71" s="58">
        <f t="shared" si="6"/>
        <v>0</v>
      </c>
      <c r="W71" s="18"/>
      <c r="X71" s="18"/>
      <c r="Y71" s="1020">
        <f t="shared" si="9"/>
        <v>0</v>
      </c>
      <c r="Z71" s="373"/>
      <c r="AA71" s="1073"/>
      <c r="AB71" s="1073"/>
      <c r="AC71" s="1073"/>
      <c r="AD71" s="1073"/>
      <c r="AE71" s="1073"/>
      <c r="AF71" s="1073"/>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row>
    <row r="72" spans="1:109" ht="15" customHeight="1" x14ac:dyDescent="0.2">
      <c r="B72" s="1362" t="s">
        <v>1420</v>
      </c>
      <c r="C72" s="1363"/>
      <c r="D72" s="1364"/>
      <c r="E72" s="1373">
        <f>P47</f>
        <v>0</v>
      </c>
      <c r="F72" s="1373"/>
      <c r="G72" s="1544"/>
      <c r="H72" s="1544"/>
      <c r="I72" s="1545">
        <f t="shared" si="7"/>
        <v>0</v>
      </c>
      <c r="J72" s="1545"/>
      <c r="K72" s="1030"/>
      <c r="L72" s="1031"/>
      <c r="M72" s="1031"/>
      <c r="N72" s="1031"/>
      <c r="O72" s="1032"/>
      <c r="P72" s="1631"/>
      <c r="R72" s="688">
        <f t="shared" si="8"/>
        <v>0</v>
      </c>
      <c r="S72" s="186">
        <f>LARGE($R$61:$R$77,12)</f>
        <v>0</v>
      </c>
      <c r="T72" s="684">
        <f t="shared" si="5"/>
        <v>0</v>
      </c>
      <c r="U72" s="688">
        <f t="shared" si="4"/>
        <v>0</v>
      </c>
      <c r="V72" s="58">
        <f t="shared" si="6"/>
        <v>0</v>
      </c>
      <c r="W72" s="18"/>
      <c r="X72" s="18"/>
      <c r="Y72" s="1020">
        <f t="shared" si="9"/>
        <v>0</v>
      </c>
      <c r="Z72" s="373"/>
      <c r="AA72" s="1073"/>
      <c r="AB72" s="1073"/>
      <c r="AC72" s="1073"/>
      <c r="AD72" s="1073"/>
      <c r="AE72" s="1073"/>
      <c r="AF72" s="1073"/>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row>
    <row r="73" spans="1:109" ht="15" customHeight="1" x14ac:dyDescent="0.2">
      <c r="B73" s="1410" t="s">
        <v>1233</v>
      </c>
      <c r="C73" s="1410"/>
      <c r="D73" s="1410"/>
      <c r="E73" s="1373">
        <f>P50</f>
        <v>0</v>
      </c>
      <c r="F73" s="1346"/>
      <c r="G73" s="1544"/>
      <c r="H73" s="1544"/>
      <c r="I73" s="1545">
        <f t="shared" si="7"/>
        <v>0</v>
      </c>
      <c r="J73" s="1545"/>
      <c r="K73" s="1588" t="str">
        <f>IF(AND(P16&gt;0,E607&gt;0),"A value has been granted for motor loss. Additional impairment value is not allowed for reduced range of motion in the same extremity.","")</f>
        <v/>
      </c>
      <c r="L73" s="1589"/>
      <c r="M73" s="1589"/>
      <c r="N73" s="1589"/>
      <c r="O73" s="1590"/>
      <c r="P73" s="1631"/>
      <c r="R73" s="688">
        <f t="shared" si="8"/>
        <v>0</v>
      </c>
      <c r="S73" s="186">
        <f>LARGE($R$61:$R$77,13)</f>
        <v>0</v>
      </c>
      <c r="T73" s="684">
        <f t="shared" si="5"/>
        <v>0</v>
      </c>
      <c r="U73" s="688">
        <f t="shared" si="4"/>
        <v>0</v>
      </c>
      <c r="V73" s="58">
        <f t="shared" si="6"/>
        <v>0</v>
      </c>
      <c r="W73" s="18"/>
      <c r="X73" s="18"/>
      <c r="Y73" s="1020">
        <f t="shared" si="9"/>
        <v>0</v>
      </c>
      <c r="Z73" s="373"/>
      <c r="AA73" s="1073"/>
      <c r="AB73" s="1073"/>
      <c r="AC73" s="1073"/>
      <c r="AD73" s="1073"/>
      <c r="AE73" s="1073"/>
      <c r="AF73" s="1073"/>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row>
    <row r="74" spans="1:109" ht="15" customHeight="1" x14ac:dyDescent="0.2">
      <c r="B74" s="1410" t="s">
        <v>806</v>
      </c>
      <c r="C74" s="1410"/>
      <c r="D74" s="1410"/>
      <c r="E74" s="1373">
        <f>P54</f>
        <v>0</v>
      </c>
      <c r="F74" s="1346"/>
      <c r="G74" s="1611" t="s">
        <v>1942</v>
      </c>
      <c r="H74" s="1611"/>
      <c r="I74" s="1555"/>
      <c r="J74" s="1555"/>
      <c r="K74" s="1588"/>
      <c r="L74" s="1589"/>
      <c r="M74" s="1589"/>
      <c r="N74" s="1589"/>
      <c r="O74" s="1590"/>
      <c r="P74" s="1631"/>
      <c r="R74" s="688">
        <f>E74</f>
        <v>0</v>
      </c>
      <c r="S74" s="186">
        <f>LARGE($R$61:$R$77,14)</f>
        <v>0</v>
      </c>
      <c r="T74" s="684">
        <f t="shared" si="5"/>
        <v>0</v>
      </c>
      <c r="U74" s="688">
        <f t="shared" si="4"/>
        <v>0</v>
      </c>
      <c r="V74" s="58">
        <f t="shared" si="6"/>
        <v>0</v>
      </c>
      <c r="W74" s="18"/>
      <c r="X74" s="18"/>
      <c r="Y74" s="371"/>
      <c r="Z74" s="315"/>
      <c r="AA74" s="1073"/>
      <c r="AB74" s="1073"/>
      <c r="AC74" s="1073"/>
      <c r="AD74" s="1073"/>
      <c r="AE74" s="1073"/>
      <c r="AF74" s="1073"/>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row>
    <row r="75" spans="1:109" ht="15" customHeight="1" x14ac:dyDescent="0.2">
      <c r="B75" s="1410" t="s">
        <v>807</v>
      </c>
      <c r="C75" s="1410"/>
      <c r="D75" s="1410"/>
      <c r="E75" s="1373">
        <f>P55</f>
        <v>0</v>
      </c>
      <c r="F75" s="1346"/>
      <c r="G75" s="1611" t="s">
        <v>1942</v>
      </c>
      <c r="H75" s="1611"/>
      <c r="I75" s="1555"/>
      <c r="J75" s="1555"/>
      <c r="K75" s="1588"/>
      <c r="L75" s="1589"/>
      <c r="M75" s="1589"/>
      <c r="N75" s="1589"/>
      <c r="O75" s="1590"/>
      <c r="P75" s="1631"/>
      <c r="R75" s="688">
        <f>E75</f>
        <v>0</v>
      </c>
      <c r="S75" s="186">
        <f>LARGE($R$61:$R$77,15)</f>
        <v>0</v>
      </c>
      <c r="T75" s="684">
        <f t="shared" si="5"/>
        <v>0</v>
      </c>
      <c r="U75" s="688">
        <f t="shared" si="4"/>
        <v>0</v>
      </c>
      <c r="V75" s="58">
        <f t="shared" si="6"/>
        <v>0</v>
      </c>
      <c r="W75" s="18"/>
      <c r="X75" s="18"/>
      <c r="Y75" s="371"/>
      <c r="Z75" s="315"/>
      <c r="AA75" s="1073"/>
      <c r="AB75" s="1073"/>
      <c r="AC75" s="1073"/>
      <c r="AD75" s="1073"/>
      <c r="AE75" s="1073"/>
      <c r="AF75" s="1073"/>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row>
    <row r="76" spans="1:109" ht="15" customHeight="1" x14ac:dyDescent="0.2">
      <c r="B76" s="1410" t="s">
        <v>1447</v>
      </c>
      <c r="C76" s="1410"/>
      <c r="D76" s="1410"/>
      <c r="E76" s="1373">
        <f>P57</f>
        <v>0</v>
      </c>
      <c r="F76" s="1346"/>
      <c r="G76" s="1544"/>
      <c r="H76" s="1544"/>
      <c r="I76" s="1545">
        <f>IF(AND(Y76&lt;0.01,Y76&gt;0),0.01,ROUND(Y76,2))</f>
        <v>0</v>
      </c>
      <c r="J76" s="1545"/>
      <c r="K76" s="1588"/>
      <c r="L76" s="1589"/>
      <c r="M76" s="1589"/>
      <c r="N76" s="1589"/>
      <c r="O76" s="1590"/>
      <c r="P76" s="1631"/>
      <c r="R76" s="688">
        <f>IF(I76&gt;0,I76,E76)</f>
        <v>0</v>
      </c>
      <c r="S76" s="186">
        <f>LARGE($R$61:$R$77,16)</f>
        <v>0</v>
      </c>
      <c r="T76" s="684">
        <f t="shared" si="5"/>
        <v>0</v>
      </c>
      <c r="U76" s="688">
        <f t="shared" si="4"/>
        <v>0</v>
      </c>
      <c r="V76" s="58">
        <f t="shared" si="6"/>
        <v>0</v>
      </c>
      <c r="W76" s="18"/>
      <c r="X76" s="18"/>
      <c r="Y76" s="1020">
        <f t="shared" ref="Y76:Y77" si="10">E76*G76</f>
        <v>0</v>
      </c>
      <c r="Z76" s="85"/>
      <c r="AA76" s="1073"/>
      <c r="AB76" s="1073"/>
      <c r="AC76" s="1073"/>
      <c r="AD76" s="1073"/>
      <c r="AE76" s="1073"/>
      <c r="AF76" s="1073"/>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row>
    <row r="77" spans="1:109" ht="15" customHeight="1" x14ac:dyDescent="0.2">
      <c r="B77" s="1408" t="s">
        <v>1254</v>
      </c>
      <c r="C77" s="1408"/>
      <c r="D77" s="1408"/>
      <c r="E77" s="1630">
        <f>P58</f>
        <v>0</v>
      </c>
      <c r="F77" s="1482"/>
      <c r="G77" s="1622"/>
      <c r="H77" s="1622"/>
      <c r="I77" s="1612">
        <f>IF(AND(Y77&lt;0.01,Y77&gt;0),0.01,ROUND(Y77,2))</f>
        <v>0</v>
      </c>
      <c r="J77" s="1612"/>
      <c r="K77" s="1574"/>
      <c r="L77" s="1575"/>
      <c r="M77" s="1575"/>
      <c r="N77" s="1575"/>
      <c r="O77" s="1576"/>
      <c r="P77" s="1631"/>
      <c r="R77" s="688">
        <f>IF(I77&gt;0,I77,E77)</f>
        <v>0</v>
      </c>
      <c r="S77" s="186">
        <f>LARGE($R$61:$R$77,17)</f>
        <v>0</v>
      </c>
      <c r="T77" s="707"/>
      <c r="U77" s="684"/>
      <c r="V77" s="58">
        <f t="shared" si="6"/>
        <v>0</v>
      </c>
      <c r="W77" s="18"/>
      <c r="X77" s="18"/>
      <c r="Y77" s="1020">
        <f t="shared" si="10"/>
        <v>0</v>
      </c>
      <c r="Z77" s="85"/>
      <c r="AA77" s="1073"/>
      <c r="AB77" s="1073"/>
      <c r="AC77" s="1073"/>
      <c r="AD77" s="1073"/>
      <c r="AE77" s="1073"/>
      <c r="AF77" s="1073"/>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row>
    <row r="78" spans="1:109" ht="15" customHeight="1" x14ac:dyDescent="0.2">
      <c r="B78" s="1568" t="s">
        <v>114</v>
      </c>
      <c r="C78" s="1568"/>
      <c r="D78" s="1568"/>
      <c r="E78" s="1568"/>
      <c r="F78" s="1568"/>
      <c r="G78" s="1568"/>
      <c r="H78" s="1568"/>
      <c r="I78" s="1568"/>
      <c r="J78" s="1568"/>
      <c r="K78" s="1568"/>
      <c r="L78" s="1568"/>
      <c r="M78" s="1568"/>
      <c r="N78" s="1568"/>
      <c r="O78" s="1568"/>
      <c r="P78" s="1623"/>
      <c r="Q78" s="8"/>
      <c r="S78" s="19"/>
      <c r="T78" s="177"/>
      <c r="U78" s="114"/>
      <c r="V78" s="18"/>
      <c r="W78" s="18"/>
      <c r="X78" s="18"/>
      <c r="Y78" s="1006"/>
      <c r="Z78" s="85"/>
      <c r="AA78" s="1073"/>
      <c r="AB78" s="1073"/>
      <c r="AC78" s="1073"/>
      <c r="AD78" s="1073"/>
      <c r="AE78" s="1073"/>
      <c r="AF78" s="1073"/>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row>
    <row r="79" spans="1:109" x14ac:dyDescent="0.2">
      <c r="A79" s="3"/>
      <c r="B79" s="1787"/>
      <c r="C79" s="1745"/>
      <c r="D79" s="1745"/>
      <c r="E79" s="1745"/>
      <c r="F79" s="1745"/>
      <c r="G79" s="1745"/>
      <c r="H79" s="1745"/>
      <c r="I79" s="1745"/>
      <c r="J79" s="1745"/>
      <c r="K79" s="1745"/>
      <c r="L79" s="1745"/>
      <c r="M79" s="1745"/>
      <c r="N79" s="1745"/>
      <c r="O79" s="1745"/>
      <c r="P79" s="1788"/>
      <c r="Q79" s="3"/>
      <c r="R79" s="18"/>
      <c r="S79" s="18"/>
      <c r="T79" s="18"/>
      <c r="U79" s="18"/>
      <c r="V79" s="18"/>
      <c r="W79" s="1068"/>
      <c r="X79" s="1068"/>
      <c r="Y79" s="106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row>
    <row r="80" spans="1:109" ht="18" customHeight="1" x14ac:dyDescent="0.2">
      <c r="B80" s="1487" t="s">
        <v>115</v>
      </c>
      <c r="C80" s="1487"/>
      <c r="D80" s="1487"/>
      <c r="E80" s="1487"/>
      <c r="F80" s="1487"/>
      <c r="G80" s="1487"/>
      <c r="H80" s="1487"/>
      <c r="I80" s="1487"/>
      <c r="J80" s="1487"/>
      <c r="K80" s="1487"/>
      <c r="L80" s="1487"/>
      <c r="M80" s="1487"/>
      <c r="N80" s="1487"/>
      <c r="O80" s="1487"/>
      <c r="P80" s="1487"/>
      <c r="R80" s="18"/>
      <c r="S80" s="18"/>
      <c r="T80" s="18"/>
      <c r="U80" s="18"/>
      <c r="V80" s="18"/>
      <c r="W80" s="1068"/>
      <c r="X80" s="1068"/>
      <c r="Y80" s="1068"/>
      <c r="Z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row>
    <row r="81" spans="2:109" ht="18" customHeight="1" x14ac:dyDescent="0.2">
      <c r="B81" s="1410" t="s">
        <v>1324</v>
      </c>
      <c r="C81" s="1410"/>
      <c r="D81" s="1410"/>
      <c r="E81" s="1410"/>
      <c r="F81" s="1410"/>
      <c r="G81" s="1410"/>
      <c r="H81" s="1410"/>
      <c r="I81" s="1410"/>
      <c r="J81" s="1410"/>
      <c r="K81" s="1410"/>
      <c r="L81" s="1410"/>
      <c r="M81" s="1410"/>
      <c r="N81" s="1410"/>
      <c r="O81" s="1410"/>
      <c r="P81" s="1545">
        <f>SUMIF(S81:Y81,B82,S82:Y82)</f>
        <v>0</v>
      </c>
      <c r="R81" s="1560" t="s">
        <v>1325</v>
      </c>
      <c r="S81" s="58" t="s">
        <v>524</v>
      </c>
      <c r="T81" s="695" t="s">
        <v>1326</v>
      </c>
      <c r="U81" s="58" t="s">
        <v>526</v>
      </c>
      <c r="V81" s="58" t="s">
        <v>1077</v>
      </c>
      <c r="W81" s="58" t="s">
        <v>1080</v>
      </c>
      <c r="X81" s="58" t="s">
        <v>716</v>
      </c>
      <c r="Y81" s="58" t="s">
        <v>590</v>
      </c>
      <c r="Z81" s="18"/>
      <c r="AA81" s="18"/>
      <c r="AB81" s="18"/>
      <c r="AC81" s="18"/>
      <c r="AD81" s="18"/>
      <c r="AE81" s="18"/>
      <c r="AF81" s="18"/>
      <c r="AG81" s="18"/>
      <c r="AH81" s="18"/>
      <c r="AI81" s="18"/>
      <c r="AJ81" s="18"/>
      <c r="AK81" s="19"/>
      <c r="AL81" s="19"/>
      <c r="AM81" s="19"/>
      <c r="AN81" s="19"/>
      <c r="AO81" s="19"/>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row>
    <row r="82" spans="2:109" ht="15" customHeight="1" x14ac:dyDescent="0.2">
      <c r="B82" s="1629"/>
      <c r="C82" s="1629"/>
      <c r="D82" s="1629"/>
      <c r="E82" s="1629"/>
      <c r="F82" s="1629"/>
      <c r="G82" s="1629"/>
      <c r="H82" s="1629"/>
      <c r="I82" s="1629"/>
      <c r="J82" s="1629"/>
      <c r="K82" s="1629"/>
      <c r="L82" s="1629"/>
      <c r="M82" s="1629"/>
      <c r="N82" s="1629"/>
      <c r="O82" s="1629"/>
      <c r="P82" s="1545"/>
      <c r="R82" s="1394"/>
      <c r="S82" s="688">
        <v>0</v>
      </c>
      <c r="T82" s="186">
        <v>0.1</v>
      </c>
      <c r="U82" s="186">
        <v>0.3</v>
      </c>
      <c r="V82" s="186">
        <v>0.5</v>
      </c>
      <c r="W82" s="186">
        <v>0.63</v>
      </c>
      <c r="X82" s="186">
        <v>0.75</v>
      </c>
      <c r="Y82" s="186">
        <v>1</v>
      </c>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row>
    <row r="83" spans="2:109" ht="12" customHeight="1" x14ac:dyDescent="0.2">
      <c r="B83" s="1592" t="str">
        <f>IF(AND(P81&gt;0.1,B85=""),"Enter specific level of amputation or shortening below.","")</f>
        <v/>
      </c>
      <c r="C83" s="1592"/>
      <c r="D83" s="1592"/>
      <c r="E83" s="1592"/>
      <c r="F83" s="1592"/>
      <c r="G83" s="1592"/>
      <c r="H83" s="1592"/>
      <c r="I83" s="1592"/>
      <c r="J83" s="1592"/>
      <c r="K83" s="1592"/>
      <c r="L83" s="1592"/>
      <c r="M83" s="1592"/>
      <c r="N83" s="1592"/>
      <c r="O83" s="1592"/>
      <c r="P83" s="1592"/>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row>
    <row r="84" spans="2:109" ht="30" customHeight="1" x14ac:dyDescent="0.2">
      <c r="B84" s="1379" t="s">
        <v>1184</v>
      </c>
      <c r="C84" s="1379"/>
      <c r="D84" s="1379"/>
      <c r="E84" s="1379"/>
      <c r="F84" s="1379"/>
      <c r="G84" s="1379"/>
      <c r="H84" s="1379"/>
      <c r="I84" s="1379"/>
      <c r="J84" s="1379"/>
      <c r="K84" s="1379"/>
      <c r="L84" s="1379"/>
      <c r="M84" s="1379"/>
      <c r="N84" s="1379"/>
      <c r="O84" s="1379"/>
      <c r="P84" s="1545">
        <f>IF(P81=1,0,U11)</f>
        <v>0</v>
      </c>
      <c r="R84" s="709">
        <f>SUMIF(S84:AD84,B85,S85:AD85)</f>
        <v>0</v>
      </c>
      <c r="S84" s="58" t="s">
        <v>1185</v>
      </c>
      <c r="T84" s="58" t="s">
        <v>1186</v>
      </c>
      <c r="U84" s="58" t="s">
        <v>1187</v>
      </c>
      <c r="V84" s="58" t="s">
        <v>1188</v>
      </c>
      <c r="W84" s="58" t="s">
        <v>1924</v>
      </c>
      <c r="X84" s="58" t="s">
        <v>1925</v>
      </c>
      <c r="Y84" s="58" t="s">
        <v>673</v>
      </c>
      <c r="Z84" s="58" t="s">
        <v>674</v>
      </c>
      <c r="AA84" s="58" t="s">
        <v>675</v>
      </c>
      <c r="AB84" s="58" t="s">
        <v>676</v>
      </c>
      <c r="AC84" s="58" t="s">
        <v>677</v>
      </c>
      <c r="AD84" s="58" t="s">
        <v>678</v>
      </c>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row>
    <row r="85" spans="2:109" ht="15" customHeight="1" x14ac:dyDescent="0.2">
      <c r="B85" s="1629"/>
      <c r="C85" s="1629"/>
      <c r="D85" s="1629"/>
      <c r="E85" s="1629"/>
      <c r="F85" s="1629"/>
      <c r="G85" s="1629"/>
      <c r="H85" s="1629"/>
      <c r="I85" s="1629"/>
      <c r="J85" s="1629"/>
      <c r="K85" s="1629"/>
      <c r="L85" s="1629"/>
      <c r="M85" s="1629"/>
      <c r="N85" s="1629"/>
      <c r="O85" s="1629"/>
      <c r="P85" s="1545"/>
      <c r="R85" s="1379" t="s">
        <v>679</v>
      </c>
      <c r="S85" s="708">
        <v>0</v>
      </c>
      <c r="T85" s="186">
        <v>0.05</v>
      </c>
      <c r="U85" s="186">
        <v>0.05</v>
      </c>
      <c r="V85" s="186">
        <v>0.1</v>
      </c>
      <c r="W85" s="186">
        <v>0.15</v>
      </c>
      <c r="X85" s="186">
        <v>0.2</v>
      </c>
      <c r="Y85" s="186">
        <v>0.2</v>
      </c>
      <c r="Z85" s="186">
        <v>0.25</v>
      </c>
      <c r="AA85" s="186">
        <v>0.25</v>
      </c>
      <c r="AB85" s="186">
        <v>0.25</v>
      </c>
      <c r="AC85" s="186">
        <v>0.25</v>
      </c>
      <c r="AD85" s="186">
        <v>0.3</v>
      </c>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row>
    <row r="86" spans="2:109" ht="18" customHeight="1" x14ac:dyDescent="0.2">
      <c r="B86" s="1653" t="s">
        <v>680</v>
      </c>
      <c r="C86" s="1654"/>
      <c r="D86" s="1654"/>
      <c r="E86" s="1654"/>
      <c r="F86" s="1654"/>
      <c r="G86" s="1654"/>
      <c r="H86" s="1654"/>
      <c r="I86" s="1654"/>
      <c r="J86" s="1654"/>
      <c r="K86" s="1654"/>
      <c r="L86" s="1654"/>
      <c r="M86" s="1654"/>
      <c r="N86" s="1654"/>
      <c r="O86" s="1655"/>
      <c r="P86" s="1545"/>
      <c r="R86" s="1379"/>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row>
    <row r="87" spans="2:109" ht="12" customHeight="1" x14ac:dyDescent="0.2">
      <c r="B87" s="1395"/>
      <c r="C87" s="1395"/>
      <c r="D87" s="1395"/>
      <c r="E87" s="1395"/>
      <c r="F87" s="1395"/>
      <c r="G87" s="1395"/>
      <c r="H87" s="1395"/>
      <c r="I87" s="1395"/>
      <c r="J87" s="1395"/>
      <c r="K87" s="1395"/>
      <c r="L87" s="1395"/>
      <c r="M87" s="1395"/>
      <c r="N87" s="1395"/>
      <c r="O87" s="1395"/>
      <c r="P87" s="182"/>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row>
    <row r="88" spans="2:109" ht="15" customHeight="1" x14ac:dyDescent="0.2">
      <c r="B88" s="1555" t="s">
        <v>1595</v>
      </c>
      <c r="C88" s="1555"/>
      <c r="D88" s="1555"/>
      <c r="E88" s="1555"/>
      <c r="F88" s="1555"/>
      <c r="G88" s="1555"/>
      <c r="H88" s="1555"/>
      <c r="I88" s="1555"/>
      <c r="J88" s="1555"/>
      <c r="K88" s="1555"/>
      <c r="L88" s="1555"/>
      <c r="M88" s="1555"/>
      <c r="N88" s="1555"/>
      <c r="O88" s="1555"/>
      <c r="P88" s="1373">
        <f>IF(R101=1,"ERROR",IF(AND(AD92&gt;0,AD92&lt;0.01),0.01,ROUND(AD92,2)))</f>
        <v>0</v>
      </c>
      <c r="R88" s="18"/>
      <c r="S88" s="18"/>
      <c r="T88" s="1379" t="s">
        <v>1258</v>
      </c>
      <c r="U88" s="1379" t="s">
        <v>1258</v>
      </c>
      <c r="V88" s="18"/>
      <c r="W88" s="18"/>
      <c r="X88" s="18"/>
      <c r="Z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row>
    <row r="89" spans="2:109" ht="27" customHeight="1" x14ac:dyDescent="0.2">
      <c r="B89" s="23" t="s">
        <v>115</v>
      </c>
      <c r="C89" s="1555" t="s">
        <v>1596</v>
      </c>
      <c r="D89" s="1555"/>
      <c r="E89" s="1555"/>
      <c r="F89" s="1555"/>
      <c r="G89" s="1536" t="s">
        <v>1081</v>
      </c>
      <c r="H89" s="1536"/>
      <c r="I89" s="1536"/>
      <c r="J89" s="1536"/>
      <c r="K89" s="1555"/>
      <c r="L89" s="1555"/>
      <c r="M89" s="1555"/>
      <c r="N89" s="1555"/>
      <c r="O89" s="1555"/>
      <c r="P89" s="1373"/>
      <c r="R89" s="18"/>
      <c r="S89" s="18"/>
      <c r="T89" s="1379"/>
      <c r="U89" s="1379"/>
      <c r="V89" s="18"/>
      <c r="W89" s="18"/>
      <c r="X89" s="18"/>
      <c r="Y89" s="18"/>
      <c r="Z89" s="18"/>
      <c r="AA89" s="1598" t="s">
        <v>2262</v>
      </c>
      <c r="AB89" s="1599"/>
      <c r="AC89" s="1599"/>
      <c r="AD89" s="1600"/>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row>
    <row r="90" spans="2:109" ht="18" customHeight="1" x14ac:dyDescent="0.2">
      <c r="B90" s="23"/>
      <c r="C90" s="1555" t="s">
        <v>365</v>
      </c>
      <c r="D90" s="1555"/>
      <c r="E90" s="1555" t="s">
        <v>1796</v>
      </c>
      <c r="F90" s="1555"/>
      <c r="G90" s="1555" t="s">
        <v>365</v>
      </c>
      <c r="H90" s="1555"/>
      <c r="I90" s="1555" t="s">
        <v>1796</v>
      </c>
      <c r="J90" s="1555"/>
      <c r="K90" s="1555"/>
      <c r="L90" s="1555"/>
      <c r="M90" s="1555"/>
      <c r="N90" s="1555"/>
      <c r="O90" s="1555"/>
      <c r="P90" s="1373"/>
      <c r="R90" s="1019"/>
      <c r="S90" s="1018" t="s">
        <v>1655</v>
      </c>
      <c r="T90" s="711" t="s">
        <v>1596</v>
      </c>
      <c r="U90" s="711" t="s">
        <v>1597</v>
      </c>
      <c r="V90" s="1555" t="s">
        <v>1083</v>
      </c>
      <c r="W90" s="1555"/>
      <c r="X90" s="1555"/>
      <c r="Y90" s="1555"/>
      <c r="Z90" s="714"/>
      <c r="AA90" s="1601"/>
      <c r="AB90" s="1602"/>
      <c r="AC90" s="1602"/>
      <c r="AD90" s="1603"/>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row>
    <row r="91" spans="2:109" ht="13.5" customHeight="1" x14ac:dyDescent="0.2">
      <c r="B91" s="185" t="s">
        <v>681</v>
      </c>
      <c r="C91" s="1308"/>
      <c r="D91" s="1308"/>
      <c r="E91" s="1558">
        <f>UETable!AV12</f>
        <v>0</v>
      </c>
      <c r="F91" s="1558"/>
      <c r="G91" s="1308"/>
      <c r="H91" s="1308"/>
      <c r="I91" s="1538">
        <f>IF(C91="",0,IF(OR(C91&lt;=0,G91&lt;=0),E91,IF(G91&lt;C91,0,UETable!BA12)))</f>
        <v>0</v>
      </c>
      <c r="J91" s="1538"/>
      <c r="K91" s="1556" t="str">
        <f>IF(OR(C91="NA",G91="NA"),"",IF(AND(C91&lt;&gt;"",G91=""),"Enter contralateral or NA.",IF(AND(C91="",G91&lt;&gt;""),"Need data","")))</f>
        <v/>
      </c>
      <c r="L91" s="1556"/>
      <c r="M91" s="1556"/>
      <c r="N91" s="1556"/>
      <c r="O91" s="1556"/>
      <c r="P91" s="1373"/>
      <c r="R91" s="1019"/>
      <c r="S91" s="58">
        <v>70</v>
      </c>
      <c r="T91" s="58" t="str">
        <f>IF(OR(C91="",C91="NA"),"",IF(C91&gt;S91,S91,IF(C91&lt;0,0,C91)))</f>
        <v/>
      </c>
      <c r="U91" s="58" t="str">
        <f>IF(OR(G91="",G91="NA"),"",IF(G91&gt;S91,S91,IF(G91&lt;0,0,G91)))</f>
        <v/>
      </c>
      <c r="V91" s="696" t="str">
        <f>IF(Y91="","",ROUND(Y91,0))</f>
        <v/>
      </c>
      <c r="W91" s="1410" t="s">
        <v>1203</v>
      </c>
      <c r="X91" s="1410"/>
      <c r="Y91" s="697" t="str">
        <f>IF(T91="","",IF(OR(U91="",U91=0,U91&lt;T91),T91,(T91*70)/U91))</f>
        <v/>
      </c>
      <c r="Z91" s="18"/>
      <c r="AA91" s="1604"/>
      <c r="AB91" s="1605"/>
      <c r="AC91" s="1605"/>
      <c r="AD91" s="1606"/>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row>
    <row r="92" spans="2:109" ht="13.5" customHeight="1" x14ac:dyDescent="0.2">
      <c r="B92" s="185" t="s">
        <v>682</v>
      </c>
      <c r="C92" s="1308"/>
      <c r="D92" s="1308"/>
      <c r="E92" s="1558">
        <f>UETable!AV13</f>
        <v>0</v>
      </c>
      <c r="F92" s="1558"/>
      <c r="G92" s="1308"/>
      <c r="H92" s="1308"/>
      <c r="I92" s="1538">
        <f>IF(C92="",0,IF(OR(C92&gt;=70,G92&gt;=70),E92,IF(G92&gt;C92,0,UETable!BA13)))</f>
        <v>0</v>
      </c>
      <c r="J92" s="1538"/>
      <c r="K92" s="1556" t="str">
        <f>IF(OR(C92="NA",G92="NA"),"",IF(AND(C92&lt;&gt;"",G92=""),"Enter contralateral or NA.",IF(AND(C92="",G92&lt;&gt;""),"Need data","")))</f>
        <v/>
      </c>
      <c r="L92" s="1556"/>
      <c r="M92" s="1556"/>
      <c r="N92" s="1556"/>
      <c r="O92" s="1556"/>
      <c r="P92" s="1373"/>
      <c r="S92" s="58">
        <v>70</v>
      </c>
      <c r="T92" s="58" t="str">
        <f>IF(OR(C92="",C92="NA"),"",IF(C92&gt;S92,S92,IF(C92&lt;0,0,C92)))</f>
        <v/>
      </c>
      <c r="U92" s="58" t="str">
        <f>IF(OR(G92="",G92="NA"),"",IF(G92&gt;S92,S92,IF(G92&lt;0,0,G92)))</f>
        <v/>
      </c>
      <c r="V92" s="696" t="str">
        <f>IF(Y92="","",ROUND(Y92,0))</f>
        <v/>
      </c>
      <c r="W92" s="58">
        <f>IF(T92="",0,70-T92)</f>
        <v>0</v>
      </c>
      <c r="X92" s="58">
        <f>IF(U92="",0,70-U92)</f>
        <v>0</v>
      </c>
      <c r="Y92" s="697" t="str">
        <f>IF(T92="","",IF(OR(U92="",U92=0,U92&gt;T92),T92,70-(W92*70)/X92))</f>
        <v/>
      </c>
      <c r="Z92" s="18"/>
      <c r="AA92" s="243">
        <f>IF(E93&gt;0,O94,IF(AND(E93=0,AE92=1,O94&gt;0,C103&gt;0),C103*O94,O94))</f>
        <v>0</v>
      </c>
      <c r="AB92" s="243">
        <f>IF(E97&gt;0,O98,IF(AND(E97=0,AE92=1,O98&gt;0,C103&gt;0),C103*O98,O98))</f>
        <v>0</v>
      </c>
      <c r="AC92" s="1055">
        <f>IF(E101&gt;0,O102,IF(AND(E101=0,AE92=1,O102&gt;0,C103&gt;0),C103*O102,O102))</f>
        <v>0</v>
      </c>
      <c r="AD92" s="243">
        <f>IF(AND(AE92=0,C103&gt;0),C103*AD100,AD100)</f>
        <v>0</v>
      </c>
      <c r="AE92" s="1035">
        <f>IF(OR(E93&gt;0,E97&gt;0,E101&gt;0),1,0)</f>
        <v>0</v>
      </c>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row>
    <row r="93" spans="2:109" ht="15" customHeight="1" x14ac:dyDescent="0.2">
      <c r="B93" s="185" t="s">
        <v>683</v>
      </c>
      <c r="C93" s="1308"/>
      <c r="D93" s="1308"/>
      <c r="E93" s="1558">
        <f>IF(AND(C93&lt;&gt;"",C93&lt;&gt;"NA",C92&lt;&gt;"NA",C92&lt;&gt;""),"ERROR",IF(AND(C93&lt;&gt;"",C93&lt;&gt;"NA",C91&lt;&gt;"",C91&lt;&gt;"NA"),"ERROR",UETable!AV14))</f>
        <v>0</v>
      </c>
      <c r="F93" s="1558"/>
      <c r="G93" s="1556" t="str">
        <f>IF(AND(C93&lt;&gt;"",C93&lt;&gt;"NA",C92&lt;&gt;"NA",C92&lt;&gt;""),"ERROR: Cannot rate ROM and ankylosis.",IF(AND(C93&lt;&gt;"",C93&lt;&gt;"NA",C91&lt;&gt;"",C91&lt;&gt;"NA"),"ERROR: Cannot rate ROM and ankylosis.",""))</f>
        <v/>
      </c>
      <c r="H93" s="1556"/>
      <c r="I93" s="1556"/>
      <c r="J93" s="1556"/>
      <c r="K93" s="1556"/>
      <c r="L93" s="1556"/>
      <c r="M93" s="1556"/>
      <c r="N93" s="1556"/>
      <c r="O93" s="1556"/>
      <c r="P93" s="1373"/>
      <c r="R93" s="1019"/>
      <c r="S93" s="58">
        <v>70</v>
      </c>
      <c r="T93" s="58" t="str">
        <f>IF(OR(C93="",C93="NA"),"",IF(C93&gt;S93,S93,IF(C93&lt;0,0,C93)))</f>
        <v/>
      </c>
      <c r="U93" s="18"/>
      <c r="V93" s="18"/>
      <c r="W93" s="18"/>
      <c r="X93" s="18"/>
      <c r="Y93" s="18"/>
      <c r="Z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row>
    <row r="94" spans="2:109" x14ac:dyDescent="0.2">
      <c r="B94" s="1613"/>
      <c r="C94" s="1614"/>
      <c r="D94" s="1614"/>
      <c r="E94" s="1614"/>
      <c r="F94" s="1614"/>
      <c r="G94" s="1614"/>
      <c r="H94" s="1614"/>
      <c r="I94" s="1614"/>
      <c r="J94" s="1615"/>
      <c r="K94" s="1568" t="s">
        <v>1842</v>
      </c>
      <c r="L94" s="1568"/>
      <c r="M94" s="1568"/>
      <c r="N94" s="1568"/>
      <c r="O94" s="77">
        <f>IF(E93="ERROR","ERROR",IF(R94&gt;1,1,R94))</f>
        <v>0</v>
      </c>
      <c r="P94" s="1373"/>
      <c r="R94" s="243">
        <f>SUM(I91,I92,E93)</f>
        <v>0</v>
      </c>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row>
    <row r="95" spans="2:109" ht="13.5" customHeight="1" x14ac:dyDescent="0.2">
      <c r="B95" s="185" t="s">
        <v>684</v>
      </c>
      <c r="C95" s="1308"/>
      <c r="D95" s="1308"/>
      <c r="E95" s="1558">
        <f>UETable!AV16</f>
        <v>0</v>
      </c>
      <c r="F95" s="1558"/>
      <c r="G95" s="1308"/>
      <c r="H95" s="1308"/>
      <c r="I95" s="1538">
        <f>IF(C95="",0,IF(OR(C95&lt;=0,G95&lt;=0),E95,IF(G95&lt;C95,0,UETable!BA16)))</f>
        <v>0</v>
      </c>
      <c r="J95" s="1538"/>
      <c r="K95" s="1556" t="str">
        <f>IF(OR(C95="NA",G95="NA"),"",IF(AND(C95&lt;&gt;"",G95=""),"Enter contralateral or NA.",IF(AND(C95="",G95&lt;&gt;""),"Need data","")))</f>
        <v/>
      </c>
      <c r="L95" s="1556"/>
      <c r="M95" s="1556"/>
      <c r="N95" s="1556"/>
      <c r="O95" s="1556"/>
      <c r="P95" s="1373"/>
      <c r="R95" s="1019"/>
      <c r="S95" s="58">
        <v>100</v>
      </c>
      <c r="T95" s="58" t="str">
        <f>IF(OR(C95="",C95="NA"),"",IF(C95&gt;S95,S95,IF(C95&lt;0,0,C95)))</f>
        <v/>
      </c>
      <c r="U95" s="58" t="str">
        <f>IF(OR(G95="",G95="NA"),"",IF(G95&gt;S95,S95,IF(G95&lt;0,0,G95)))</f>
        <v/>
      </c>
      <c r="V95" s="696" t="str">
        <f>IF(Y95="","",ROUND(Y95,0))</f>
        <v/>
      </c>
      <c r="W95" s="1410" t="s">
        <v>1203</v>
      </c>
      <c r="X95" s="1410"/>
      <c r="Y95" s="697" t="str">
        <f>IF(T95="","",IF(OR(U95="",U95=0,U95&lt;T95),T95,(T95*100)/U95))</f>
        <v/>
      </c>
      <c r="Z95" s="18"/>
      <c r="AA95" s="1078"/>
      <c r="AB95" s="1078"/>
      <c r="AC95" s="1078"/>
      <c r="AD95" s="107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row>
    <row r="96" spans="2:109" ht="13.5" customHeight="1" x14ac:dyDescent="0.2">
      <c r="B96" s="185" t="s">
        <v>685</v>
      </c>
      <c r="C96" s="1308"/>
      <c r="D96" s="1308"/>
      <c r="E96" s="1558">
        <f>UETable!AV17</f>
        <v>0</v>
      </c>
      <c r="F96" s="1558"/>
      <c r="G96" s="1308"/>
      <c r="H96" s="1308"/>
      <c r="I96" s="1538">
        <f>IF(C96="",0,IF(OR(C96&gt;=100,G96&gt;=100),E96,IF(G96&gt;C96,0,UETable!BA17)))</f>
        <v>0</v>
      </c>
      <c r="J96" s="1538"/>
      <c r="K96" s="1556" t="str">
        <f>IF(OR(C96="NA",G96="NA"),"",IF(AND(C96&lt;&gt;"",G96=""),"Enter contralateral or NA.",IF(AND(C96="",G96&lt;&gt;""),"Need data","")))</f>
        <v/>
      </c>
      <c r="L96" s="1556"/>
      <c r="M96" s="1556"/>
      <c r="N96" s="1556"/>
      <c r="O96" s="1556"/>
      <c r="P96" s="1373"/>
      <c r="S96" s="58">
        <v>100</v>
      </c>
      <c r="T96" s="58" t="str">
        <f>IF(OR(C96="",C96="NA"),"",IF(C96&gt;S96,S96,IF(C96&lt;0,0,C96)))</f>
        <v/>
      </c>
      <c r="U96" s="58" t="str">
        <f>IF(OR(G96="",G96="NA"),"",IF(G96&gt;S96,S96,IF(G96&lt;0,0,G96)))</f>
        <v/>
      </c>
      <c r="V96" s="696" t="str">
        <f>IF(Y96="","",ROUND(Y96,0))</f>
        <v/>
      </c>
      <c r="W96" s="58">
        <f>IF(T96="",0,100-T96)</f>
        <v>0</v>
      </c>
      <c r="X96" s="58">
        <f>IF(U96="",0,100-U96)</f>
        <v>0</v>
      </c>
      <c r="Y96" s="697" t="str">
        <f>IF(T96="","",IF(OR(U96="",U96=0,U96&gt;T96),T96,100-(W96*100)/X96))</f>
        <v/>
      </c>
      <c r="Z96" s="18"/>
      <c r="AA96" s="1078"/>
      <c r="AB96" s="1078"/>
      <c r="AC96" s="1078"/>
      <c r="AD96" s="107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row>
    <row r="97" spans="1:109" ht="15" customHeight="1" x14ac:dyDescent="0.2">
      <c r="B97" s="185" t="s">
        <v>686</v>
      </c>
      <c r="C97" s="1308"/>
      <c r="D97" s="1308"/>
      <c r="E97" s="1558">
        <f>IF(AND(C97&lt;&gt;"",C97&lt;&gt;"NA",C96&lt;&gt;"NA",C96&lt;&gt;""),"ERROR",IF(AND(C97&lt;&gt;"",C97&lt;&gt;"NA",C95&lt;&gt;"",C95&lt;&gt;"NA"),"ERROR",UETable!AV18))</f>
        <v>0</v>
      </c>
      <c r="F97" s="1558"/>
      <c r="G97" s="1556" t="str">
        <f>IF(AND(C97&lt;&gt;"",C97&lt;&gt;"NA",C96&lt;&gt;"NA",C96&lt;&gt;""),"ERROR: Cannot rate ROM and ankylosis.",IF(AND(C97&lt;&gt;"",C97&lt;&gt;"NA",C95&lt;&gt;"",C95&lt;&gt;"NA"),"ERROR: Cannot rate ROM and ankylosis.",""))</f>
        <v/>
      </c>
      <c r="H97" s="1556"/>
      <c r="I97" s="1556"/>
      <c r="J97" s="1556"/>
      <c r="K97" s="1556"/>
      <c r="L97" s="1556"/>
      <c r="M97" s="1556"/>
      <c r="N97" s="1556"/>
      <c r="O97" s="1556"/>
      <c r="P97" s="1373"/>
      <c r="R97" s="18"/>
      <c r="S97" s="58">
        <v>100</v>
      </c>
      <c r="T97" s="58" t="str">
        <f>IF(OR(C97="",C97="NA"),"",IF(C97&gt;S97,S97,IF(C97&lt;0,0,C97)))</f>
        <v/>
      </c>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row>
    <row r="98" spans="1:109" x14ac:dyDescent="0.2">
      <c r="B98" s="1613"/>
      <c r="C98" s="1614"/>
      <c r="D98" s="1614"/>
      <c r="E98" s="1614"/>
      <c r="F98" s="1614"/>
      <c r="G98" s="1614"/>
      <c r="H98" s="1614"/>
      <c r="I98" s="1614"/>
      <c r="J98" s="1615"/>
      <c r="K98" s="1568" t="s">
        <v>1842</v>
      </c>
      <c r="L98" s="1568"/>
      <c r="M98" s="1568"/>
      <c r="N98" s="1568"/>
      <c r="O98" s="77">
        <f>IF(E97="ERROR","ERROR",IF(R98&gt;1,1,R98))</f>
        <v>0</v>
      </c>
      <c r="P98" s="1373"/>
      <c r="R98" s="243">
        <f>SUM(I95,I96,E97)</f>
        <v>0</v>
      </c>
      <c r="S98" s="18"/>
      <c r="T98" s="18"/>
      <c r="U98" s="18"/>
      <c r="V98" s="18"/>
      <c r="W98" s="18"/>
      <c r="X98" s="18"/>
      <c r="Y98" s="18"/>
      <c r="Z98" s="18"/>
      <c r="AA98" s="718" t="s">
        <v>1307</v>
      </c>
      <c r="AB98" s="718" t="s">
        <v>1305</v>
      </c>
      <c r="AC98" s="715" t="s">
        <v>1306</v>
      </c>
      <c r="AD98" s="715" t="s">
        <v>1307</v>
      </c>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row>
    <row r="99" spans="1:109" ht="13.5" customHeight="1" x14ac:dyDescent="0.2">
      <c r="B99" s="185" t="s">
        <v>1578</v>
      </c>
      <c r="C99" s="1308"/>
      <c r="D99" s="1308"/>
      <c r="E99" s="1558">
        <f>UETable!AV20</f>
        <v>0</v>
      </c>
      <c r="F99" s="1558"/>
      <c r="G99" s="1308"/>
      <c r="H99" s="1308"/>
      <c r="I99" s="1538">
        <f>IF(C99="",0,IF(OR(C99&lt;=0,G99&lt;=0),E99,IF(G99&lt;C99,0,UETable!BA20)))</f>
        <v>0</v>
      </c>
      <c r="J99" s="1538"/>
      <c r="K99" s="1556" t="str">
        <f>IF(OR(C99="NA",G99="NA"),"",IF(AND(C99&lt;&gt;"",G99=""),"Enter contralateral or NA.",IF(AND(C99="",G99&lt;&gt;""),"Need data","")))</f>
        <v/>
      </c>
      <c r="L99" s="1556"/>
      <c r="M99" s="1556"/>
      <c r="N99" s="1556"/>
      <c r="O99" s="1556"/>
      <c r="P99" s="1373"/>
      <c r="R99" s="712"/>
      <c r="S99" s="710">
        <v>90</v>
      </c>
      <c r="T99" s="58" t="str">
        <f>IF(OR(C99="",C99="NA"),"",IF(C99&gt;S99,S99,IF(C99&lt;0,0,C99)))</f>
        <v/>
      </c>
      <c r="U99" s="58" t="str">
        <f>IF(OR(G99="",G99="NA"),"",IF(G99&gt;S99,S99,IF(G99&lt;0,0,G99)))</f>
        <v/>
      </c>
      <c r="V99" s="696" t="str">
        <f>IF(Y99="","",ROUND(Y99,0))</f>
        <v/>
      </c>
      <c r="W99" s="1410" t="s">
        <v>1203</v>
      </c>
      <c r="X99" s="1410"/>
      <c r="Y99" s="697" t="str">
        <f>IF(T99="","",IF(OR(U99="",U99=0,U99&lt;T99),T99,(T99*90)/U99))</f>
        <v/>
      </c>
      <c r="Z99" s="18"/>
      <c r="AA99" s="688">
        <f>IF(AND(AA92&gt;0,AA92&lt;0.01),0.01,ROUND(AA92,2))</f>
        <v>0</v>
      </c>
      <c r="AB99" s="716">
        <f>LARGE(AA99:AA101,1)</f>
        <v>0</v>
      </c>
      <c r="AC99" s="688">
        <f>AB99+AB100*(1-AB99)</f>
        <v>0</v>
      </c>
      <c r="AD99" s="688">
        <f>ROUND(AC99,2)</f>
        <v>0</v>
      </c>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row>
    <row r="100" spans="1:109" ht="13.5" customHeight="1" x14ac:dyDescent="0.2">
      <c r="B100" s="185" t="s">
        <v>1579</v>
      </c>
      <c r="C100" s="1308"/>
      <c r="D100" s="1308"/>
      <c r="E100" s="1558">
        <f>UETable!AV21</f>
        <v>0</v>
      </c>
      <c r="F100" s="1558"/>
      <c r="G100" s="1308"/>
      <c r="H100" s="1308"/>
      <c r="I100" s="1538">
        <f>IF(C100="",0,IF(OR(C100&gt;=90,G100&gt;=90),E100,IF(G100&gt;C100,0,UETable!BA21)))</f>
        <v>0</v>
      </c>
      <c r="J100" s="1538"/>
      <c r="K100" s="1556" t="str">
        <f>IF(OR(C100="NA",G100="NA"),"",IF(AND(C100&lt;&gt;"",G100=""),"Enter contralateral or NA.",IF(AND(C100="",G100&lt;&gt;""),"Need data","")))</f>
        <v/>
      </c>
      <c r="L100" s="1556"/>
      <c r="M100" s="1556"/>
      <c r="N100" s="1556"/>
      <c r="O100" s="1556"/>
      <c r="P100" s="1373"/>
      <c r="R100" s="1025"/>
      <c r="S100" s="1021">
        <v>90</v>
      </c>
      <c r="T100" s="58" t="str">
        <f>IF(OR(C100="",C100="NA"),"",IF(C100&gt;S100,S100,IF(C100&lt;0,0,C100)))</f>
        <v/>
      </c>
      <c r="U100" s="58" t="str">
        <f>IF(OR(G100="",G100="NA"),"",IF(G100&gt;S100,S100,IF(G100&lt;0,0,G100)))</f>
        <v/>
      </c>
      <c r="V100" s="696" t="str">
        <f>IF(Y100="","",ROUND(Y100,0))</f>
        <v/>
      </c>
      <c r="W100" s="58">
        <f>IF(T100="",0,90-T100)</f>
        <v>0</v>
      </c>
      <c r="X100" s="58">
        <f>IF(U100="",0,90-U100)</f>
        <v>0</v>
      </c>
      <c r="Y100" s="697" t="str">
        <f>IF(T100="","",IF(OR(U100="",U100=0,U100&gt;T100),T100,90-(W100*90)/X100))</f>
        <v/>
      </c>
      <c r="Z100" s="18"/>
      <c r="AA100" s="688">
        <f>IF(AND(AB92&gt;0,AB92&lt;0.01),0.01,ROUND(AB92,2))</f>
        <v>0</v>
      </c>
      <c r="AB100" s="716">
        <f>LARGE(AA99:AA101,2)</f>
        <v>0</v>
      </c>
      <c r="AC100" s="684">
        <f>AD99+AB101*(1-AD99)</f>
        <v>0</v>
      </c>
      <c r="AD100" s="688">
        <f>ROUND(AC100,2)</f>
        <v>0</v>
      </c>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row>
    <row r="101" spans="1:109" ht="15" customHeight="1" x14ac:dyDescent="0.2">
      <c r="B101" s="185" t="s">
        <v>643</v>
      </c>
      <c r="C101" s="1308"/>
      <c r="D101" s="1308"/>
      <c r="E101" s="1558">
        <f>IF(AND(C101&lt;&gt;"",C101&lt;&gt;"NA",C100&lt;&gt;"NA",C100&lt;&gt;""),"ERROR",IF(AND(C101&lt;&gt;"",C101&lt;&gt;"NA",C99&lt;&gt;"",C99&lt;&gt;"NA"),"ERROR",UETable!AV22))</f>
        <v>0</v>
      </c>
      <c r="F101" s="1558"/>
      <c r="G101" s="1556" t="str">
        <f>IF(AND(C101&lt;&gt;"",C101&lt;&gt;"NA",C100&lt;&gt;"NA",C100&lt;&gt;""),"ERROR: Cannot rate ROM and ankylosis.",IF(AND(C101&lt;&gt;"",C101&lt;&gt;"NA",C99&lt;&gt;"",C99&lt;&gt;"NA"),"ERROR: Cannot rate ROM and ankylosis.",""))</f>
        <v/>
      </c>
      <c r="H101" s="1556"/>
      <c r="I101" s="1556"/>
      <c r="J101" s="1556"/>
      <c r="K101" s="1556"/>
      <c r="L101" s="1556"/>
      <c r="M101" s="1556"/>
      <c r="N101" s="1556"/>
      <c r="O101" s="1556"/>
      <c r="P101" s="1373"/>
      <c r="R101" s="1024">
        <f>IF(OR(O94="ERROR",O98="ERROR",O102="ERROR"),1,0)</f>
        <v>0</v>
      </c>
      <c r="S101" s="58">
        <v>90</v>
      </c>
      <c r="T101" s="58" t="str">
        <f>IF(OR(C101="",C101="NA"),"",IF(C101&gt;S101,S101,IF(C101&lt;0,0,C101)))</f>
        <v/>
      </c>
      <c r="U101" s="18"/>
      <c r="V101" s="18"/>
      <c r="W101" s="18"/>
      <c r="X101" s="18"/>
      <c r="Y101" s="18"/>
      <c r="Z101" s="18"/>
      <c r="AA101" s="688">
        <f>IF(AND(AC92&gt;0,AC92&lt;0.01),0.01,ROUND(AC92,2))</f>
        <v>0</v>
      </c>
      <c r="AB101" s="716">
        <f>LARGE(AA99:AA101,3)</f>
        <v>0</v>
      </c>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row>
    <row r="102" spans="1:109" ht="17.25" customHeight="1" x14ac:dyDescent="0.2">
      <c r="B102" s="1045"/>
      <c r="C102" s="1046"/>
      <c r="D102" s="1046"/>
      <c r="E102" s="1571" t="str">
        <f>IF(AND(OR(E93&gt;0,E97&gt;0,E101&gt;0),C103&gt;0),"Note: Ankylosis is not apportioned.","")</f>
        <v/>
      </c>
      <c r="F102" s="1572"/>
      <c r="G102" s="1572"/>
      <c r="H102" s="1572"/>
      <c r="I102" s="1573"/>
      <c r="J102" s="1568" t="s">
        <v>1842</v>
      </c>
      <c r="K102" s="1568"/>
      <c r="L102" s="1568"/>
      <c r="M102" s="1568"/>
      <c r="N102" s="1568"/>
      <c r="O102" s="77">
        <f>IF(E101="ERROR","ERROR",IF(R102&gt;1,1,R102))</f>
        <v>0</v>
      </c>
      <c r="P102" s="1373"/>
      <c r="R102" s="243">
        <f>SUM(I99,I100,E101)</f>
        <v>0</v>
      </c>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row>
    <row r="103" spans="1:109" ht="18" customHeight="1" x14ac:dyDescent="0.2">
      <c r="B103" s="1034" t="s">
        <v>2259</v>
      </c>
      <c r="C103" s="1544"/>
      <c r="D103" s="1577"/>
      <c r="E103" s="1574"/>
      <c r="F103" s="1575"/>
      <c r="G103" s="1575"/>
      <c r="H103" s="1575"/>
      <c r="I103" s="1576"/>
      <c r="J103" s="1568" t="s">
        <v>687</v>
      </c>
      <c r="K103" s="1568"/>
      <c r="L103" s="1568"/>
      <c r="M103" s="1568"/>
      <c r="N103" s="1568"/>
      <c r="O103" s="1568"/>
      <c r="P103" s="1373"/>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row>
    <row r="104" spans="1:109" ht="12" customHeight="1" x14ac:dyDescent="0.2">
      <c r="B104" s="1469"/>
      <c r="C104" s="1469"/>
      <c r="D104" s="1469"/>
      <c r="E104" s="1469"/>
      <c r="F104" s="1469"/>
      <c r="G104" s="1469"/>
      <c r="H104" s="1469"/>
      <c r="I104" s="1469"/>
      <c r="J104" s="1469"/>
      <c r="K104" s="1469"/>
      <c r="L104" s="1469"/>
      <c r="M104" s="1469"/>
      <c r="N104" s="1469"/>
      <c r="O104" s="1469"/>
      <c r="P104" s="1469"/>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row>
    <row r="105" spans="1:109" ht="12" customHeight="1" x14ac:dyDescent="0.2">
      <c r="B105" s="1395"/>
      <c r="C105" s="1395"/>
      <c r="D105" s="1395"/>
      <c r="E105" s="1395"/>
      <c r="F105" s="1395"/>
      <c r="G105" s="1395"/>
      <c r="H105" s="1395"/>
      <c r="I105" s="1395"/>
      <c r="J105" s="1395"/>
      <c r="K105" s="1395"/>
      <c r="L105" s="1395"/>
      <c r="M105" s="1395"/>
      <c r="N105" s="1395"/>
      <c r="O105" s="1395"/>
      <c r="P105" s="182"/>
      <c r="R105" s="18"/>
      <c r="S105" s="1487" t="s">
        <v>2197</v>
      </c>
      <c r="T105" s="1487"/>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row>
    <row r="106" spans="1:109" ht="14.25" customHeight="1" x14ac:dyDescent="0.2">
      <c r="A106" s="189"/>
      <c r="B106" s="1581" t="s">
        <v>967</v>
      </c>
      <c r="C106" s="1582"/>
      <c r="D106" s="1543"/>
      <c r="E106" s="1543"/>
      <c r="F106" s="1587" t="s">
        <v>1229</v>
      </c>
      <c r="G106" s="1587"/>
      <c r="H106" s="1587"/>
      <c r="I106" s="1587"/>
      <c r="J106" s="1587"/>
      <c r="K106" s="1587"/>
      <c r="L106" s="1587"/>
      <c r="M106" s="1587"/>
      <c r="N106" s="1587"/>
      <c r="O106" s="1587"/>
      <c r="P106" s="95">
        <f>IF(T106=1,0.1,0)</f>
        <v>0</v>
      </c>
      <c r="R106" s="18"/>
      <c r="S106" s="686" t="b">
        <v>0</v>
      </c>
      <c r="T106" s="58">
        <f>IF(S106=TRUE,1,0)</f>
        <v>0</v>
      </c>
      <c r="U106" s="182"/>
      <c r="W106" s="18"/>
      <c r="X106" s="18"/>
      <c r="Y106" s="18"/>
      <c r="Z106" s="18"/>
      <c r="AA106" s="18"/>
      <c r="AB106" s="18"/>
      <c r="AC106" s="18"/>
      <c r="AD106" s="18"/>
      <c r="AE106" s="18"/>
      <c r="AF106" s="18"/>
      <c r="AG106" s="18">
        <v>1E-4</v>
      </c>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row>
    <row r="107" spans="1:109" x14ac:dyDescent="0.2">
      <c r="B107" s="1583"/>
      <c r="C107" s="1584"/>
      <c r="D107" s="1543"/>
      <c r="E107" s="1543"/>
      <c r="F107" s="1587" t="s">
        <v>1231</v>
      </c>
      <c r="G107" s="1587"/>
      <c r="H107" s="1587"/>
      <c r="I107" s="1587"/>
      <c r="J107" s="1587"/>
      <c r="K107" s="1587"/>
      <c r="L107" s="1587"/>
      <c r="M107" s="1587"/>
      <c r="N107" s="1587"/>
      <c r="O107" s="1587"/>
      <c r="P107" s="95">
        <f>IF(T107=1,0.1,0)</f>
        <v>0</v>
      </c>
      <c r="R107" s="18"/>
      <c r="S107" s="686" t="b">
        <v>0</v>
      </c>
      <c r="T107" s="58">
        <f>IF(S107=TRUE,1,0)</f>
        <v>0</v>
      </c>
      <c r="U107" s="182"/>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row>
    <row r="108" spans="1:109" x14ac:dyDescent="0.2">
      <c r="B108" s="1583"/>
      <c r="C108" s="1584"/>
      <c r="D108" s="1543"/>
      <c r="E108" s="1543"/>
      <c r="F108" s="1587" t="s">
        <v>1230</v>
      </c>
      <c r="G108" s="1587"/>
      <c r="H108" s="1587"/>
      <c r="I108" s="1587"/>
      <c r="J108" s="1587"/>
      <c r="K108" s="1587"/>
      <c r="L108" s="1587"/>
      <c r="M108" s="1587"/>
      <c r="N108" s="1587"/>
      <c r="O108" s="1587"/>
      <c r="P108" s="95">
        <f>IF(T108=1,0.1,0)</f>
        <v>0</v>
      </c>
      <c r="R108" s="18"/>
      <c r="S108" s="686" t="b">
        <v>0</v>
      </c>
      <c r="T108" s="58">
        <f>IF(S108=TRUE,1,0)</f>
        <v>0</v>
      </c>
      <c r="U108" s="10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row>
    <row r="109" spans="1:109" x14ac:dyDescent="0.2">
      <c r="B109" s="1585"/>
      <c r="C109" s="1586"/>
      <c r="D109" s="1543"/>
      <c r="E109" s="1543"/>
      <c r="F109" s="1587" t="s">
        <v>1232</v>
      </c>
      <c r="G109" s="1587"/>
      <c r="H109" s="1587"/>
      <c r="I109" s="1587"/>
      <c r="J109" s="1587"/>
      <c r="K109" s="1587"/>
      <c r="L109" s="1587"/>
      <c r="M109" s="1587"/>
      <c r="N109" s="1587"/>
      <c r="O109" s="1587"/>
      <c r="P109" s="95">
        <f>IF(T109=1,0.1,0)</f>
        <v>0</v>
      </c>
      <c r="R109" s="18"/>
      <c r="S109" s="686" t="b">
        <v>0</v>
      </c>
      <c r="T109" s="58">
        <f>IF(S109=TRUE,1,0)</f>
        <v>0</v>
      </c>
      <c r="U109" s="10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row>
    <row r="110" spans="1:109" ht="12" customHeight="1" x14ac:dyDescent="0.2">
      <c r="B110" s="1395"/>
      <c r="C110" s="1395"/>
      <c r="D110" s="1395"/>
      <c r="E110" s="1395"/>
      <c r="F110" s="1395"/>
      <c r="G110" s="1395"/>
      <c r="H110" s="1395"/>
      <c r="I110" s="1395"/>
      <c r="J110" s="1395"/>
      <c r="K110" s="1395"/>
      <c r="L110" s="1395"/>
      <c r="M110" s="1395"/>
      <c r="N110" s="1395"/>
      <c r="O110" s="1395"/>
      <c r="P110" s="182"/>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row>
    <row r="111" spans="1:109" ht="12" customHeight="1" x14ac:dyDescent="0.2">
      <c r="B111" s="604"/>
      <c r="C111" s="1607" t="s">
        <v>248</v>
      </c>
      <c r="D111" s="1597"/>
      <c r="E111" s="1596" t="s">
        <v>249</v>
      </c>
      <c r="F111" s="1597"/>
      <c r="G111" s="434"/>
      <c r="H111" s="436"/>
      <c r="I111" s="1625" t="s">
        <v>250</v>
      </c>
      <c r="J111" s="1597"/>
      <c r="K111" s="595"/>
      <c r="L111" s="436"/>
      <c r="M111" s="1596" t="s">
        <v>249</v>
      </c>
      <c r="N111" s="1597"/>
      <c r="O111" s="435"/>
      <c r="P111" s="611"/>
      <c r="Z111" s="601"/>
      <c r="AE111" s="600"/>
      <c r="AF111" s="600"/>
      <c r="AG111" s="600"/>
      <c r="AH111" s="600"/>
      <c r="AI111" s="600"/>
      <c r="AJ111" s="600"/>
      <c r="AK111" s="600"/>
      <c r="AL111" s="600"/>
      <c r="AM111" s="600"/>
      <c r="AN111" s="600"/>
    </row>
    <row r="112" spans="1:109" ht="12" customHeight="1" x14ac:dyDescent="0.2">
      <c r="B112" s="605"/>
      <c r="C112" s="1610" t="s">
        <v>251</v>
      </c>
      <c r="D112" s="1580"/>
      <c r="E112" s="1610" t="s">
        <v>252</v>
      </c>
      <c r="F112" s="1580"/>
      <c r="G112" s="1610" t="s">
        <v>253</v>
      </c>
      <c r="H112" s="1580"/>
      <c r="I112" s="1579" t="s">
        <v>254</v>
      </c>
      <c r="J112" s="1580"/>
      <c r="K112" s="1610" t="s">
        <v>255</v>
      </c>
      <c r="L112" s="1580"/>
      <c r="M112" s="1610" t="s">
        <v>256</v>
      </c>
      <c r="N112" s="1580"/>
      <c r="O112" s="3"/>
      <c r="P112" s="612"/>
      <c r="Z112" s="418"/>
      <c r="AE112" s="600"/>
      <c r="AF112" s="600"/>
      <c r="AG112" s="600"/>
      <c r="AH112" s="600"/>
      <c r="AI112" s="600"/>
      <c r="AJ112" s="600"/>
      <c r="AK112" s="600"/>
      <c r="AL112" s="600"/>
      <c r="AM112" s="600"/>
      <c r="AN112" s="600"/>
    </row>
    <row r="113" spans="2:109" ht="12" customHeight="1" x14ac:dyDescent="0.2">
      <c r="B113" s="605"/>
      <c r="C113" s="1552" t="s">
        <v>257</v>
      </c>
      <c r="D113" s="1553"/>
      <c r="E113" s="1552" t="s">
        <v>258</v>
      </c>
      <c r="F113" s="1553"/>
      <c r="G113" s="1552" t="s">
        <v>259</v>
      </c>
      <c r="H113" s="1553"/>
      <c r="I113" s="1635" t="s">
        <v>260</v>
      </c>
      <c r="J113" s="1553"/>
      <c r="K113" s="1552" t="s">
        <v>259</v>
      </c>
      <c r="L113" s="1553"/>
      <c r="M113" s="1552" t="s">
        <v>258</v>
      </c>
      <c r="N113" s="1553"/>
      <c r="O113" s="3"/>
      <c r="P113" s="612"/>
      <c r="AH113" s="287">
        <v>1</v>
      </c>
      <c r="AI113" s="287">
        <v>2</v>
      </c>
      <c r="AJ113" s="287">
        <v>3</v>
      </c>
      <c r="AK113" s="287">
        <v>4</v>
      </c>
      <c r="AM113" s="600"/>
      <c r="AN113" s="600"/>
      <c r="AO113" s="600"/>
      <c r="AP113" s="600"/>
      <c r="AQ113" s="600"/>
      <c r="AR113" s="600"/>
      <c r="AS113" s="600"/>
      <c r="AT113" s="600"/>
      <c r="AU113" s="600"/>
      <c r="AV113" s="600"/>
    </row>
    <row r="114" spans="2:109" ht="12" customHeight="1" x14ac:dyDescent="0.2">
      <c r="B114" s="679" t="s">
        <v>1986</v>
      </c>
      <c r="C114" s="1608" t="s">
        <v>261</v>
      </c>
      <c r="D114" s="1609"/>
      <c r="E114" s="1608" t="s">
        <v>261</v>
      </c>
      <c r="F114" s="1609"/>
      <c r="G114" s="1608" t="s">
        <v>261</v>
      </c>
      <c r="H114" s="1609"/>
      <c r="I114" s="1608" t="s">
        <v>261</v>
      </c>
      <c r="J114" s="1609"/>
      <c r="K114" s="1608" t="s">
        <v>261</v>
      </c>
      <c r="L114" s="1609"/>
      <c r="M114" s="1608" t="s">
        <v>261</v>
      </c>
      <c r="N114" s="1609"/>
      <c r="O114" s="3"/>
      <c r="P114" s="612"/>
      <c r="S114" s="1516" t="s">
        <v>2197</v>
      </c>
      <c r="T114" s="1517"/>
      <c r="U114" s="1517"/>
      <c r="V114" s="1517"/>
      <c r="W114" s="1517"/>
      <c r="X114" s="1518"/>
      <c r="Y114" s="599"/>
      <c r="Z114" s="599"/>
      <c r="AA114" s="1562" t="s">
        <v>2197</v>
      </c>
      <c r="AB114" s="1563"/>
      <c r="AC114" s="1563"/>
      <c r="AD114" s="1563"/>
      <c r="AE114" s="1563"/>
      <c r="AF114" s="1564"/>
      <c r="AG114" s="599"/>
      <c r="AH114" s="1519" t="s">
        <v>2197</v>
      </c>
      <c r="AI114" s="1520"/>
      <c r="AJ114" s="1520"/>
      <c r="AK114" s="1520"/>
      <c r="AL114" s="1520"/>
      <c r="AM114" s="1521"/>
      <c r="AO114" s="1516" t="s">
        <v>2197</v>
      </c>
      <c r="AP114" s="1517"/>
      <c r="AQ114" s="1517"/>
      <c r="AR114" s="1517"/>
      <c r="AS114" s="1518"/>
      <c r="AU114" s="1516" t="s">
        <v>2197</v>
      </c>
      <c r="AV114" s="1517"/>
      <c r="AW114" s="1517"/>
      <c r="AX114" s="1518"/>
      <c r="AZ114" s="1516" t="s">
        <v>2197</v>
      </c>
      <c r="BA114" s="1517"/>
      <c r="BB114" s="1517"/>
      <c r="BC114" s="1517"/>
      <c r="BD114" s="1517"/>
      <c r="BE114" s="1517"/>
      <c r="BF114" s="1517"/>
      <c r="BG114" s="1518"/>
      <c r="BI114" s="1516" t="s">
        <v>2197</v>
      </c>
      <c r="BJ114" s="1517"/>
      <c r="BK114" s="1517"/>
      <c r="BL114" s="1517"/>
      <c r="BM114" s="1517"/>
      <c r="BN114" s="1518"/>
    </row>
    <row r="115" spans="2:109" s="419" customFormat="1" ht="15" customHeight="1" x14ac:dyDescent="0.2">
      <c r="B115" s="185" t="s">
        <v>1606</v>
      </c>
      <c r="C115" s="1554"/>
      <c r="D115" s="1554"/>
      <c r="E115" s="1554"/>
      <c r="F115" s="1554"/>
      <c r="G115" s="1554"/>
      <c r="H115" s="1554"/>
      <c r="I115" s="1554"/>
      <c r="J115" s="1554"/>
      <c r="K115" s="1554"/>
      <c r="L115" s="1554"/>
      <c r="M115" s="1554"/>
      <c r="N115" s="1554"/>
      <c r="O115" s="613"/>
      <c r="P115" s="614"/>
      <c r="S115" s="369">
        <f>IF(C115="",0,C115)</f>
        <v>0</v>
      </c>
      <c r="T115" s="369">
        <f>IF(E115&lt;&gt;"",E115,IF(S115&gt;0,S115,0))</f>
        <v>0</v>
      </c>
      <c r="U115" s="369">
        <f>IF(G115&lt;&gt;"",G115,IF(T115&gt;0,T115,0))</f>
        <v>0</v>
      </c>
      <c r="V115" s="369">
        <f>IF(I115&lt;&gt;"",I115,IF(U115&gt;0,U115,0))</f>
        <v>0</v>
      </c>
      <c r="W115" s="369">
        <f>IF(K115&lt;&gt;"",K115,IF(V115&gt;0,V115,0))</f>
        <v>0</v>
      </c>
      <c r="X115" s="369">
        <f>IF(M115&lt;&gt;"",M115,IF(W115&gt;0,W115,0))</f>
        <v>0</v>
      </c>
      <c r="Z115" s="599"/>
      <c r="AA115" s="607">
        <f>IF(C115&gt;1,1,0)</f>
        <v>0</v>
      </c>
      <c r="AB115" s="369">
        <f t="shared" ref="AB115:AF117" si="11">IF(AND(S115&lt;&gt;T115,T115&gt;0),1,0)</f>
        <v>0</v>
      </c>
      <c r="AC115" s="369">
        <f t="shared" si="11"/>
        <v>0</v>
      </c>
      <c r="AD115" s="369">
        <f t="shared" si="11"/>
        <v>0</v>
      </c>
      <c r="AE115" s="369">
        <f t="shared" si="11"/>
        <v>0</v>
      </c>
      <c r="AF115" s="369">
        <f t="shared" si="11"/>
        <v>0</v>
      </c>
      <c r="AH115" s="602">
        <f>IF(S115=1,0,IF(S115=2,0.25,IF(S115=3,0.38,IF(S115=4,0.5,0))))</f>
        <v>0</v>
      </c>
      <c r="AI115" s="602">
        <f>IF(T115=1,0,IF(T115=2,0.23,IF(T115=3,0.35,IF(T115=4,0.45,0))))</f>
        <v>0</v>
      </c>
      <c r="AJ115" s="602">
        <f>IF(U115=1,0,IF(U115=2,0.2,IF(U115=3,0.3,IF(U115=4,0.39,0))))</f>
        <v>0</v>
      </c>
      <c r="AK115" s="602">
        <f>IF(V115=1,0,IF(V115=2,0.17,IF(V115=3,0.25,IF(V115=4,0.33,0))))</f>
        <v>0</v>
      </c>
      <c r="AL115" s="602">
        <f>IF(W115=1,0,IF(W115=2,0.13,IF(W115=3,0.19,IF(W115=4,0.24,0))))</f>
        <v>0</v>
      </c>
      <c r="AM115" s="602">
        <f>IF(X115=1,0,IF(X115=2,0.08,IF(X115=3,0.12,IF(X115=4,0.15,0))))</f>
        <v>0</v>
      </c>
      <c r="AN115" s="603"/>
      <c r="AO115" s="602">
        <f>IF(S115=1,0,IF(S115=2,0.23,IF(S115=3,0.35,IF(S115=4,0.45,0))))</f>
        <v>0</v>
      </c>
      <c r="AP115" s="602">
        <f>IF(T115=1,0,IF(T115=2,0.2,IF(T115=3,0.3,IF(T115=4,0.39,0))))</f>
        <v>0</v>
      </c>
      <c r="AQ115" s="602">
        <f>IF(U115=1,0,IF(U115=2,0.17,IF(U115=3,0.25,IF(U115=4,0.33,0))))</f>
        <v>0</v>
      </c>
      <c r="AR115" s="602">
        <f>IF(V115=1,0,IF(V115=2,0.13,IF(V115=3,0.19,IF(V115=4,0.24,0))))</f>
        <v>0</v>
      </c>
      <c r="AS115" s="602">
        <f>IF(W115=1,0,IF(W115=2,0.08,IF(W115=3,0.12,IF(W115=4,0.15,0))))</f>
        <v>0</v>
      </c>
      <c r="AU115" s="602">
        <f>IF(S115=1,0,IF(S115=2,0.2,IF(S115=3,0.3,IF(S115=4,0.39,0))))</f>
        <v>0</v>
      </c>
      <c r="AV115" s="602">
        <f>IF(T115=1,0,IF(T115=2,0.17,IF(T115=3,0.25,IF(T115=4,0.33,0))))</f>
        <v>0</v>
      </c>
      <c r="AW115" s="602">
        <f>IF(U115=1,0,IF(U115=2,0.13,IF(U115=3,0.19,IF(U115=4,0.24,0))))</f>
        <v>0</v>
      </c>
      <c r="AX115" s="602">
        <f>IF(V115=1,0,IF(V115=2,0.08,IF(V115=3,0.12,IF(V115=4,0.15,0))))</f>
        <v>0</v>
      </c>
      <c r="AZ115" s="701">
        <f>IF(S115=1,0,IF(S115=2,0.17,IF(S115=3,0.25,IF(S115=4,0.33,0))))</f>
        <v>0</v>
      </c>
      <c r="BA115" s="701">
        <f>IF(T115=1,0,IF(T115=2,0.13,IF(T115=3,0.19,IF(T115=4,0.24,0))))</f>
        <v>0</v>
      </c>
      <c r="BB115" s="701">
        <f>IF(U115=1,0,IF(U115=2,0.08,IF(U115=3,0.12,IF(U115=4,0.15,0))))</f>
        <v>0</v>
      </c>
      <c r="BD115" s="701">
        <f>IF(S115=1,0,IF(S115=2,0.13,IF(S115=3,0.19,IF(S115=4,0.24,0))))</f>
        <v>0</v>
      </c>
      <c r="BE115" s="701">
        <f>IF(T115=1,0,IF(T115=2,0.08,IF(T115=3,0.12,IF(T115=4,0.15,0))))</f>
        <v>0</v>
      </c>
      <c r="BG115" s="701">
        <f>IF(S115=1,0,IF(S115=2,0.08,IF(S115=3,0.12,IF(S115=4,0.15,0))))</f>
        <v>0</v>
      </c>
      <c r="BI115" s="602">
        <f>IF(AA115=0,0,IF(OR(AB115=1,AB116=1,AB117=1),AH115-AO115,IF(OR(AC115=1,AC116=1,AC117=1),AH115-AU115,IF(OR(AD115=1,AD116=1,AD117=1),AH115-AZ115,IF(OR(AE115=1,AE116=1,AE117=1),AH115-BD115,IF(OR(AF115=1,AF116=1,AF117=1),AH115-BG115,AH115))))))</f>
        <v>0</v>
      </c>
      <c r="BJ115" s="602">
        <f>IF(AB115=0,0,IF(OR(AC115=1,AC116=1,AC117=1),AI115-AP115,IF(OR(AD115=1,AD116=1,AD117=1),AI115-AV115,IF(OR(AE115=1,AE116=1,AE117=1),AI115-BA115,IF(OR(AF115=1,AF116=1,AF117=1),AI115-BE115,AI115)))))</f>
        <v>0</v>
      </c>
      <c r="BK115" s="602">
        <f>IF(AC115=0,0,IF(OR(AD115=1,AD116=1,AD117=1),AJ115-AQ115,IF(OR(AE115=1,AE116=1,AE117=1),AJ115-AW115,IF(OR(AF115=1,AF116=1,AF117=1),AJ115-BB115,AJ115))))</f>
        <v>0</v>
      </c>
      <c r="BL115" s="602">
        <f>IF(AD115=0,0,IF(OR(AE115=1,AE116=1,AE117=1),AK115-AR115,IF(OR(AF115=1,AF116=1,AF117=1),AK115-AX115,AK115)))</f>
        <v>0</v>
      </c>
      <c r="BM115" s="602">
        <f>IF(AE115=0,0,IF(OR(AF115=1,AF116=1,AF117=1),AL115-AS115,AL115))</f>
        <v>0</v>
      </c>
      <c r="BN115" s="602">
        <f>IF(AF115=0,0,AM115)</f>
        <v>0</v>
      </c>
      <c r="BP115" s="419" t="s">
        <v>262</v>
      </c>
      <c r="BR115" s="1516" t="s">
        <v>2197</v>
      </c>
      <c r="BS115" s="1517"/>
      <c r="BT115" s="1517"/>
      <c r="BU115" s="1517"/>
      <c r="BV115" s="1517"/>
      <c r="BW115" s="1517"/>
      <c r="BX115" s="1517"/>
      <c r="BY115" s="1517"/>
      <c r="BZ115" s="1517"/>
      <c r="CA115" s="1518"/>
    </row>
    <row r="116" spans="2:109" s="419" customFormat="1" ht="15" customHeight="1" x14ac:dyDescent="0.2">
      <c r="B116" s="369" t="s">
        <v>1609</v>
      </c>
      <c r="C116" s="1554"/>
      <c r="D116" s="1554"/>
      <c r="E116" s="1554"/>
      <c r="F116" s="1554"/>
      <c r="G116" s="1554"/>
      <c r="H116" s="1554"/>
      <c r="I116" s="1554"/>
      <c r="J116" s="1554"/>
      <c r="K116" s="1554"/>
      <c r="L116" s="1554"/>
      <c r="M116" s="1554"/>
      <c r="N116" s="1554"/>
      <c r="O116" s="613"/>
      <c r="P116" s="622"/>
      <c r="S116" s="369">
        <f>IF(C116="",0,C116)</f>
        <v>0</v>
      </c>
      <c r="T116" s="369">
        <f>IF(E116&lt;&gt;"",E116,IF(S116&gt;0,S116,0))</f>
        <v>0</v>
      </c>
      <c r="U116" s="369">
        <f>IF(G116&lt;&gt;"",G116,IF(T116&gt;0,T116,0))</f>
        <v>0</v>
      </c>
      <c r="V116" s="369">
        <f>IF(I116&lt;&gt;"",I116,IF(U116&gt;0,U116,0))</f>
        <v>0</v>
      </c>
      <c r="W116" s="369">
        <f>IF(K116&lt;&gt;"",K116,IF(V116&gt;0,V116,0))</f>
        <v>0</v>
      </c>
      <c r="X116" s="369">
        <f>IF(M116&lt;&gt;"",M116,IF(W116&gt;0,W116,0))</f>
        <v>0</v>
      </c>
      <c r="Z116" s="599"/>
      <c r="AA116" s="607">
        <f>IF(C116&gt;1,1,0)</f>
        <v>0</v>
      </c>
      <c r="AB116" s="369">
        <f t="shared" si="11"/>
        <v>0</v>
      </c>
      <c r="AC116" s="369">
        <f t="shared" si="11"/>
        <v>0</v>
      </c>
      <c r="AD116" s="369">
        <f t="shared" si="11"/>
        <v>0</v>
      </c>
      <c r="AE116" s="369">
        <f t="shared" si="11"/>
        <v>0</v>
      </c>
      <c r="AF116" s="369">
        <f t="shared" si="11"/>
        <v>0</v>
      </c>
      <c r="AH116" s="602">
        <f>IF(S116=1,0,IF(S116=2,0.17,IF(S116=3,0.25,IF(S116=4,0.35,0))))</f>
        <v>0</v>
      </c>
      <c r="AI116" s="602">
        <f>IF(T116=1,0,IF(T116=2,0.15,IF(T116=3,0.23,IF(T116=4,0.31,0))))</f>
        <v>0</v>
      </c>
      <c r="AJ116" s="602">
        <f>IF(U116=1,0,IF(U116=2,0.13,IF(U116=3,0.2,IF(U116=4,0.27,0))))</f>
        <v>0</v>
      </c>
      <c r="AK116" s="602">
        <f>IF(V116=1,0,IF(V116=2,0.11,IF(V116=3,0.17,IF(V116=4,0.22,0))))</f>
        <v>0</v>
      </c>
      <c r="AL116" s="602">
        <f>IF(W116=1,0,IF(W116=2,0.08,IF(W116=3,0.12,IF(W116=4,0.16,0))))</f>
        <v>0</v>
      </c>
      <c r="AM116" s="602">
        <f>IF(X116=1,0,IF(X116=2,0.05,IF(X116=3,0.07,IF(X116=4,0.1,0))))</f>
        <v>0</v>
      </c>
      <c r="AN116" s="603"/>
      <c r="AO116" s="602">
        <f>IF(S116=1,0,IF(S116=2,0.15,IF(S116=3,0.23,IF(S116=4,0.31,0))))</f>
        <v>0</v>
      </c>
      <c r="AP116" s="602">
        <f>IF(T116=1,0,IF(T116=2,0.13,IF(T116=3,0.2,IF(T116=4,0.27,0))))</f>
        <v>0</v>
      </c>
      <c r="AQ116" s="602">
        <f>IF(U116=1,0,IF(U116=2,0.11,IF(U116=3,0.17,IF(U116=4,0.22,0))))</f>
        <v>0</v>
      </c>
      <c r="AR116" s="602">
        <f>IF(V116=1,0,IF(V116=2,0.08,IF(V116=3,0.12,IF(V116=4,0.16,0))))</f>
        <v>0</v>
      </c>
      <c r="AS116" s="602">
        <f>IF(W116=1,0,IF(W116=2,0.05,IF(W116=3,0.07,IF(W116=4,0.1,0))))</f>
        <v>0</v>
      </c>
      <c r="AU116" s="602">
        <f>IF(S116=1,0,IF(S116=2,0.13,IF(S116=3,0.2,IF(S116=4,0.27,0))))</f>
        <v>0</v>
      </c>
      <c r="AV116" s="602">
        <f>IF(T116=1,0,IF(T116=2,0.11,IF(T116=3,0.17,IF(T116=4,0.22,0))))</f>
        <v>0</v>
      </c>
      <c r="AW116" s="602">
        <f>IF(U116=1,0,IF(U116=2,0.08,IF(U116=3,0.12,IF(U116=4,0.16,0))))</f>
        <v>0</v>
      </c>
      <c r="AX116" s="602">
        <f>IF(V116=1,0,IF(V116=2,0.05,IF(V116=3,0.07,IF(V116=4,0.1,0))))</f>
        <v>0</v>
      </c>
      <c r="AZ116" s="602">
        <f>IF(S116=1,0,IF(S116=2,0.11,IF(S116=3,0.17,IF(S116=4,0.22,0))))</f>
        <v>0</v>
      </c>
      <c r="BA116" s="602">
        <f>IF(T116=1,0,IF(T116=2,0.08,IF(T116=3,0.12,IF(T116=4,0.16,0))))</f>
        <v>0</v>
      </c>
      <c r="BB116" s="602">
        <f>IF(U116=1,0,IF(U116=2,0.05,IF(U116=3,0.07,IF(U116=4,0.1,0))))</f>
        <v>0</v>
      </c>
      <c r="BD116" s="602">
        <f>IF(S116=1,0,IF(S116=2,0.08,IF(S116=3,0.12,IF(S116=4,0.16,0))))</f>
        <v>0</v>
      </c>
      <c r="BE116" s="602">
        <f>IF(T116=1,0,IF(T116=2,0.05,IF(T116=3,0.07,IF(T116=4,0.1,0))))</f>
        <v>0</v>
      </c>
      <c r="BG116" s="602">
        <f>IF(S116=1,0,IF(S116=2,0.05,IF(S116=3,0.07,IF(S116=4,0.1,0))))</f>
        <v>0</v>
      </c>
      <c r="BI116" s="602">
        <f>IF(AA116=0,0,IF(OR(AB115=1,AB116=1),AH116-AO116,IF(OR(AC115=1,AC116=1),AH116-AU116,IF(OR(AD115=1,AD116=1),AH116-AZ116,IF(OR(AE115=1,AE116=1),AH116-BD116,IF(OR(AF115=1,AF116=1),AH116-BG116,AH116))))))</f>
        <v>0</v>
      </c>
      <c r="BJ116" s="602">
        <f>IF(AB116=0,0,IF(OR(AC115=1,AC116=1),AI116-AP116,IF(OR(AD115=1,AD116=1),AI116-AV116,IF(OR(AE115=1,AE116=1),AI116-BA116,IF(OR(AF115=1,AF116=1),AI116-BE116,AI116)))))</f>
        <v>0</v>
      </c>
      <c r="BK116" s="602">
        <f>IF(AC116=0,0,IF(OR(AD115=1,AD116=1),AJ116-AQ116,IF(OR(AE115=1,AE116=1),AJ116-AW116,IF(OR(AF115=1,AF116=1),AJ116-BB116,AJ116))))</f>
        <v>0</v>
      </c>
      <c r="BL116" s="602">
        <f>IF(AD116=0,0,IF(OR(AE115=1,AE116=1),AK116-AR116,IF(OR(AF115=1,AF116=1),AK116-AX116,AK116)))</f>
        <v>0</v>
      </c>
      <c r="BM116" s="602">
        <f>IF(AE116=0,0,IF(OR(AF115=1,AF116=1),AL116-AS116,AL116))</f>
        <v>0</v>
      </c>
      <c r="BN116" s="602">
        <f>IF(AF116=0,0,AM116)</f>
        <v>0</v>
      </c>
      <c r="BP116" s="608">
        <f>LARGE((BI115,BJ115,BK115,BL115,BM115,BN115,BI116,BJ116,BK116,BL116,BM116,BN116,BI117,BJ117,BK117,BL117,BM117,BN117),1)</f>
        <v>0</v>
      </c>
      <c r="BQ116" s="609">
        <f>LARGE((BI115,BJ115,BK115,BL115,BM115,BN115,BI116,BJ116,BK116,BL116,BM116,BN116,BI117,BJ117,BK117,BL117,BM117,BN117),2)</f>
        <v>0</v>
      </c>
      <c r="BR116" s="609">
        <f>LARGE((BI115,BJ115,BK115,BL115,BM115,BN115,BI116,BJ116,BK116,BL116,BM116,BN116,BI117,BJ117,BK117,BL117,BM117,BN117),3)</f>
        <v>0</v>
      </c>
      <c r="BS116" s="609">
        <f>LARGE((BI115,BJ115,BK115,BL115,BM115,BN115,BI116,BJ116,BK116,BL116,BM116,BN116,BI117,BJ117,BK117,BL117,BM117,BN117),4)</f>
        <v>0</v>
      </c>
      <c r="BT116" s="609">
        <f>LARGE((BI115,BJ115,BK115,BL115,BM115,BN115,BI116,BJ116,BK116,BL116,BM116,BN116,BI117,BJ117,BK117,BL117,BM117,BN117),5)</f>
        <v>0</v>
      </c>
      <c r="BU116" s="609">
        <f>LARGE((BI115,BJ115,BK115,BL115,BM115,BN115,BI116,BJ116,BK116,BL116,BM116,BN116,BI117,BJ117,BK117,BL117,BM117,BN117),6)</f>
        <v>0</v>
      </c>
      <c r="BV116" s="609">
        <f>LARGE((BI115,BJ115,BK115,BL115,BM115,BN115,BI116,BJ116,BK116,BL116,BM116,BN116,BI117,BJ117,BK117,BL117,BM117,BN117),7)</f>
        <v>0</v>
      </c>
      <c r="BW116" s="609">
        <f>LARGE((BI115,BJ115,BK115,BL115,BM115,BN115,BI116,BJ116,BK116,BL116,BM116,BN116,BI117,BJ117,BK117,BL117,BM117,BN117),8)</f>
        <v>0</v>
      </c>
      <c r="BX116" s="609">
        <f>LARGE((BI115,BJ115,BK115,BL115,BM115,BN115,BI116,BJ116,BK116,BL116,BM116,BN116,BI117,BJ117,BK117,BL117,BM117,BN117),9)</f>
        <v>0</v>
      </c>
      <c r="BY116" s="609">
        <f>LARGE((BI115,BJ115,BK115,BL115,BM115,BN115,BI116,BJ116,BK116,BL116,BM116,BN116,BI117,BJ117,BK117,BL117,BM117,BN117),10)</f>
        <v>0</v>
      </c>
      <c r="BZ116" s="609">
        <f>LARGE((BI115,BJ115,BK115,BL115,BM115,BN115,BI116,BJ116,BK116,BL116,BM116,BN116,BI117,BJ117,BK117,BL117,BM117,BN117),11)</f>
        <v>0</v>
      </c>
      <c r="CA116" s="609">
        <f>LARGE((BI115,BJ115,BK115,BL115,BM115,BN115,BI116,BJ116,BK116,BL116,BM116,BN116,BI117,BJ117,BK117,BL117,BM117,BN117),12)</f>
        <v>0</v>
      </c>
    </row>
    <row r="117" spans="2:109" s="419" customFormat="1" ht="15" customHeight="1" x14ac:dyDescent="0.2">
      <c r="B117" s="606" t="s">
        <v>1612</v>
      </c>
      <c r="C117" s="1554"/>
      <c r="D117" s="1554"/>
      <c r="E117" s="1554"/>
      <c r="F117" s="1554"/>
      <c r="G117" s="1554"/>
      <c r="H117" s="1554"/>
      <c r="I117" s="1554"/>
      <c r="J117" s="1554"/>
      <c r="K117" s="1554"/>
      <c r="L117" s="1554"/>
      <c r="M117" s="1554"/>
      <c r="N117" s="1554"/>
      <c r="O117" s="613"/>
      <c r="P117" s="622"/>
      <c r="S117" s="369">
        <f>IF(C117="",0,C117)</f>
        <v>0</v>
      </c>
      <c r="T117" s="369">
        <f>IF(E117&lt;&gt;"",E117,IF(S117&gt;0,S117,0))</f>
        <v>0</v>
      </c>
      <c r="U117" s="369">
        <f>IF(G117&lt;&gt;"",G117,IF(T117&gt;0,T117,0))</f>
        <v>0</v>
      </c>
      <c r="V117" s="369">
        <f>IF(I117&lt;&gt;"",I117,IF(U117&gt;0,U117,0))</f>
        <v>0</v>
      </c>
      <c r="W117" s="369">
        <f>IF(K117&lt;&gt;"",K117,IF(V117&gt;0,V117,0))</f>
        <v>0</v>
      </c>
      <c r="X117" s="369">
        <f>IF(M117&lt;&gt;"",M117,IF(W117&gt;0,W117,0))</f>
        <v>0</v>
      </c>
      <c r="AA117" s="607">
        <f>IF(C117&gt;1,1,0)</f>
        <v>0</v>
      </c>
      <c r="AB117" s="369">
        <f t="shared" si="11"/>
        <v>0</v>
      </c>
      <c r="AC117" s="369">
        <f t="shared" si="11"/>
        <v>0</v>
      </c>
      <c r="AD117" s="369">
        <f t="shared" si="11"/>
        <v>0</v>
      </c>
      <c r="AE117" s="369">
        <f t="shared" si="11"/>
        <v>0</v>
      </c>
      <c r="AF117" s="369">
        <f t="shared" si="11"/>
        <v>0</v>
      </c>
      <c r="AH117" s="602">
        <f>IF(S117=1,0,IF(S117=2,0.1,IF(S117=3,0.17,IF(S117=4,0.23,0))))</f>
        <v>0</v>
      </c>
      <c r="AI117" s="602">
        <f>IF(T117=1,0,IF(T117=2,0.09,IF(T117=3,0.15,IF(T117=4,0.2,0))))</f>
        <v>0</v>
      </c>
      <c r="AJ117" s="602">
        <f>IF(U117=1,0,IF(U117=2,0.08,IF(U117=3,0.13,IF(U117=4,0.17,0))))</f>
        <v>0</v>
      </c>
      <c r="AK117" s="602">
        <f>IF(V117=1,0,IF(V117=2,0.07,IF(V117=3,0.1,IF(V117=4,0.14,0))))</f>
        <v>0</v>
      </c>
      <c r="AL117" s="602">
        <f>IF(W117=1,0,IF(W117=2,0.05,IF(W117=3,0.08,IF(W117=4,0.1,0))))</f>
        <v>0</v>
      </c>
      <c r="AM117" s="602">
        <f>IF(X117=1,0,IF(X117=2,0.03,IF(X117=3,0.05,IF(X117=4,0.06,0))))</f>
        <v>0</v>
      </c>
      <c r="AN117" s="603"/>
      <c r="AO117" s="602">
        <f>IF(S117=1,0,IF(S117=2,0.09,IF(S117=3,0.15,IF(S117=4,0.2,0))))</f>
        <v>0</v>
      </c>
      <c r="AP117" s="602">
        <f>IF(T117=1,0,IF(T117=2,0.08,IF(T117=3,0.13,IF(T117=4,0.17,0))))</f>
        <v>0</v>
      </c>
      <c r="AQ117" s="602">
        <f>IF(U117=1,0,IF(U117=2,0.07,IF(U117=3,0.1,IF(U117=4,0.14,0))))</f>
        <v>0</v>
      </c>
      <c r="AR117" s="602">
        <f>IF(V117=1,0,IF(V117=2,0.05,IF(V117=3,0.08,IF(V117=4,0.1,0))))</f>
        <v>0</v>
      </c>
      <c r="AS117" s="602">
        <f>IF(W117=1,0,IF(W117=2,0.03,IF(W117=3,0.05,IF(W117=4,0.06,0))))</f>
        <v>0</v>
      </c>
      <c r="AU117" s="602">
        <f>IF(S117=1,0,IF(S117=2,0.08,IF(S117=3,0.13,IF(S117=4,0.17,0))))</f>
        <v>0</v>
      </c>
      <c r="AV117" s="602">
        <f>IF(T117=1,0,IF(T117=2,0.07,IF(T117=3,0.1,IF(T117=4,0.14,0))))</f>
        <v>0</v>
      </c>
      <c r="AW117" s="602">
        <f>IF(U117=1,0,IF(U117=2,0.05,IF(U117=3,0.08,IF(U117=4,0.1,0))))</f>
        <v>0</v>
      </c>
      <c r="AX117" s="602">
        <f>IF(V117=1,0,IF(V117=2,0.03,IF(V117=3,0.05,IF(V117=4,0.06,0))))</f>
        <v>0</v>
      </c>
      <c r="AZ117" s="602">
        <f>IF(S117=1,0,IF(S117=2,0.07,IF(S117=3,0.1,IF(S117=4,0.14,0))))</f>
        <v>0</v>
      </c>
      <c r="BA117" s="602">
        <f>IF(T117=1,0,IF(T117=2,0.05,IF(T117=3,0.08,IF(T117=4,0.1,0))))</f>
        <v>0</v>
      </c>
      <c r="BB117" s="602">
        <f>IF(U117=1,0,IF(U117=2,0.03,IF(U117=3,0.05,IF(U117=4,0.06,0))))</f>
        <v>0</v>
      </c>
      <c r="BD117" s="602">
        <f>IF(S117=1,0,IF(S117=2,0.05,IF(S117=3,0.08,IF(S117=4,0.1,0))))</f>
        <v>0</v>
      </c>
      <c r="BE117" s="602">
        <f>IF(T117=1,0,IF(T117=2,0.03,IF(T117=3,0.05,IF(T117=4,0.06,0))))</f>
        <v>0</v>
      </c>
      <c r="BG117" s="602">
        <f>IF(S117=1,0,IF(S117=2,0.03,IF(S117=3,0.05,IF(S117=4,0.06,0))))</f>
        <v>0</v>
      </c>
      <c r="BI117" s="602">
        <f>IF(AA117=0,0,IF(OR(AB115=1,AB117=1),AH117-AO117,IF(OR(AC115=1,AC117=1),AH117-AU117,IF(OR(AD115=1,AD117=1),AH117-AZ117,IF(OR(AE115=1,AE117=1),AH117-BD117,IF(OR(AF115=1,AF117=1),AH117-BG117,AH117))))))</f>
        <v>0</v>
      </c>
      <c r="BJ117" s="602">
        <f>IF(AB117=0,0,IF(OR(AC115=1,AC117=1),AI117-AP117,IF(OR(AD115=1,AD117=1),AI117-AV117,IF(OR(AE115=1,AE117=1),AI117-BA117,IF(OR(AF115=1,AF117=1),AI117-BE117,AI117)))))</f>
        <v>0</v>
      </c>
      <c r="BK117" s="602">
        <f>IF(AC117=0,0,IF(OR(AD115=1,AD117=1),AJ117-AQ117,IF(OR(AE115=1,AE117=1),AJ117-AW117,IF(OR(AF115=1,AF117=1),AJ117-BB117,AJ117))))</f>
        <v>0</v>
      </c>
      <c r="BL117" s="602">
        <f>IF(AD117=0,0,IF(OR(AE115=1,AE117=1),AK117-AR117,IF(OR(AF115=1,AF117=1),AK117-AX117,AK117)))</f>
        <v>0</v>
      </c>
      <c r="BM117" s="602">
        <f>IF(AE117=0,0,IF(OR(AF115=1,AF117=1),AL117-AS117,AL117))</f>
        <v>0</v>
      </c>
      <c r="BN117" s="602">
        <f>IF(AF117=0,0,AM117)</f>
        <v>0</v>
      </c>
      <c r="BP117" s="610">
        <f>ROUND(BP116+BQ116*(1-BP116),2)</f>
        <v>0</v>
      </c>
      <c r="BQ117" s="610">
        <f t="shared" ref="BQ117:BZ117" si="12">ROUND(BP117+BR116*(1-BP117),2)</f>
        <v>0</v>
      </c>
      <c r="BR117" s="610">
        <f t="shared" si="12"/>
        <v>0</v>
      </c>
      <c r="BS117" s="610">
        <f t="shared" si="12"/>
        <v>0</v>
      </c>
      <c r="BT117" s="610">
        <f t="shared" si="12"/>
        <v>0</v>
      </c>
      <c r="BU117" s="610">
        <f t="shared" si="12"/>
        <v>0</v>
      </c>
      <c r="BV117" s="610">
        <f t="shared" si="12"/>
        <v>0</v>
      </c>
      <c r="BW117" s="610">
        <f t="shared" si="12"/>
        <v>0</v>
      </c>
      <c r="BX117" s="610">
        <f t="shared" si="12"/>
        <v>0</v>
      </c>
      <c r="BY117" s="610">
        <f t="shared" si="12"/>
        <v>0</v>
      </c>
      <c r="BZ117" s="610">
        <f t="shared" si="12"/>
        <v>0</v>
      </c>
      <c r="CA117" s="607"/>
    </row>
    <row r="118" spans="2:109" s="419" customFormat="1" ht="15" customHeight="1" x14ac:dyDescent="0.2">
      <c r="B118" s="1593" t="str">
        <f>IF(AD118=1,"ERROR: If radial or ulnar impairment is recorded, do not enter losses for 'both sides.'","")</f>
        <v/>
      </c>
      <c r="C118" s="1594"/>
      <c r="D118" s="1594"/>
      <c r="E118" s="1594"/>
      <c r="F118" s="1594"/>
      <c r="G118" s="1594"/>
      <c r="H118" s="1594"/>
      <c r="I118" s="1594"/>
      <c r="J118" s="1594"/>
      <c r="K118" s="1594"/>
      <c r="L118" s="1594"/>
      <c r="M118" s="1594"/>
      <c r="N118" s="1594"/>
      <c r="O118" s="1595"/>
      <c r="P118" s="303">
        <f>IF(B118&lt;&gt;"","ERROR",BZ117)</f>
        <v>0</v>
      </c>
      <c r="S118" s="599"/>
      <c r="T118" s="599"/>
      <c r="U118" s="599"/>
      <c r="V118" s="599"/>
      <c r="W118" s="599"/>
      <c r="AA118" s="369">
        <f>SUM(AA115:AF115)</f>
        <v>0</v>
      </c>
      <c r="AB118" s="369">
        <f>SUM(AA116:AF116)</f>
        <v>0</v>
      </c>
      <c r="AC118" s="369">
        <f>SUM(AA117:AF117)</f>
        <v>0</v>
      </c>
      <c r="AD118" s="369">
        <f>IF(AND(AA118&gt;0,AB118&gt;0),1,IF(AND(AA118&gt;0,AC118&gt;0),1,0))</f>
        <v>0</v>
      </c>
      <c r="AE118" s="369"/>
      <c r="AF118" s="369"/>
    </row>
    <row r="119" spans="2:109" s="419" customFormat="1" ht="15" customHeight="1" x14ac:dyDescent="0.2">
      <c r="B119" s="434" t="s">
        <v>1227</v>
      </c>
      <c r="C119" s="597"/>
      <c r="D119" s="597"/>
      <c r="E119" s="597"/>
      <c r="F119" s="597"/>
      <c r="G119" s="597"/>
      <c r="H119" s="597"/>
      <c r="I119" s="597"/>
      <c r="J119" s="597"/>
      <c r="K119" s="597"/>
      <c r="L119" s="597"/>
      <c r="M119" s="597"/>
      <c r="N119" s="597"/>
      <c r="O119" s="616"/>
      <c r="P119" s="617"/>
      <c r="S119" s="599"/>
      <c r="T119" s="599"/>
      <c r="U119" s="599"/>
      <c r="V119" s="599"/>
      <c r="W119" s="599"/>
      <c r="X119" s="620"/>
      <c r="AA119" s="599"/>
      <c r="AB119" s="599"/>
      <c r="AC119" s="599"/>
      <c r="AD119" s="599"/>
      <c r="AE119" s="599"/>
      <c r="AF119" s="599"/>
    </row>
    <row r="120" spans="2:109" s="419" customFormat="1" ht="15" customHeight="1" x14ac:dyDescent="0.2">
      <c r="B120" s="185" t="s">
        <v>1606</v>
      </c>
      <c r="C120" s="1554"/>
      <c r="D120" s="1554"/>
      <c r="E120" s="1554"/>
      <c r="F120" s="1554"/>
      <c r="G120" s="1554"/>
      <c r="H120" s="1554"/>
      <c r="I120" s="1554"/>
      <c r="J120" s="1554"/>
      <c r="K120" s="1554"/>
      <c r="L120" s="1554"/>
      <c r="M120" s="1554"/>
      <c r="N120" s="1554"/>
      <c r="O120" s="613"/>
      <c r="P120" s="614"/>
      <c r="S120" s="369">
        <f>IF(C120="",0,C120)</f>
        <v>0</v>
      </c>
      <c r="T120" s="369">
        <f>IF(E120&lt;&gt;"",E120,IF(S120&gt;0,S120,0))</f>
        <v>0</v>
      </c>
      <c r="U120" s="369">
        <f>IF(G120&lt;&gt;"",G120,IF(T120&gt;0,T120,0))</f>
        <v>0</v>
      </c>
      <c r="V120" s="369">
        <f>IF(I120&lt;&gt;"",I120,IF(U120&gt;0,U120,0))</f>
        <v>0</v>
      </c>
      <c r="W120" s="369">
        <f>IF(K120&lt;&gt;"",K120,IF(V120&gt;0,V120,0))</f>
        <v>0</v>
      </c>
      <c r="X120" s="369">
        <f>IF(M120&lt;&gt;"",M120,IF(W120&gt;0,W120,0))</f>
        <v>0</v>
      </c>
      <c r="Z120" s="599"/>
      <c r="AA120" s="607">
        <f>IF(C120&gt;1,1,0)</f>
        <v>0</v>
      </c>
      <c r="AB120" s="369">
        <f t="shared" ref="AB120:AF122" si="13">IF(AND(S120&lt;&gt;T120,T120&gt;0),1,0)</f>
        <v>0</v>
      </c>
      <c r="AC120" s="369">
        <f t="shared" si="13"/>
        <v>0</v>
      </c>
      <c r="AD120" s="369">
        <f t="shared" si="13"/>
        <v>0</v>
      </c>
      <c r="AE120" s="369">
        <f t="shared" si="13"/>
        <v>0</v>
      </c>
      <c r="AF120" s="369">
        <f t="shared" si="13"/>
        <v>0</v>
      </c>
      <c r="AH120" s="602">
        <f>IF(S120=1,0,IF(S120=2,0.25,IF(S120=3,0.38,IF(S120=4,0.5,0))))</f>
        <v>0</v>
      </c>
      <c r="AI120" s="602">
        <f>IF(T120=1,0,IF(T120=2,0.23,IF(T120=3,0.35,IF(T120=4,0.45,0))))</f>
        <v>0</v>
      </c>
      <c r="AJ120" s="602">
        <f>IF(U120=1,0,IF(U120=2,0.2,IF(U120=3,0.3,IF(U120=4,0.39,0))))</f>
        <v>0</v>
      </c>
      <c r="AK120" s="602">
        <f>IF(V120=1,0,IF(V120=2,0.17,IF(V120=3,0.25,IF(V120=4,0.33,0))))</f>
        <v>0</v>
      </c>
      <c r="AL120" s="602">
        <f>IF(W120=1,0,IF(W120=2,0.13,IF(W120=3,0.19,IF(W120=4,0.24,0))))</f>
        <v>0</v>
      </c>
      <c r="AM120" s="602">
        <f>IF(X120=1,0,IF(X120=2,0.08,IF(X120=3,0.12,IF(X120=4,0.15,0))))</f>
        <v>0</v>
      </c>
      <c r="AN120" s="603"/>
      <c r="AO120" s="602">
        <f>IF(S120=1,0,IF(S120=2,0.23,IF(S120=3,0.35,IF(S120=4,0.45,0))))</f>
        <v>0</v>
      </c>
      <c r="AP120" s="602">
        <f>IF(T120=1,0,IF(T120=2,0.2,IF(T120=3,0.3,IF(T120=4,0.39,0))))</f>
        <v>0</v>
      </c>
      <c r="AQ120" s="602">
        <f>IF(U120=1,0,IF(U120=2,0.17,IF(U120=3,0.25,IF(U120=4,0.33,0))))</f>
        <v>0</v>
      </c>
      <c r="AR120" s="602">
        <f>IF(V120=1,0,IF(V120=2,0.13,IF(V120=3,0.19,IF(V120=4,0.24,0))))</f>
        <v>0</v>
      </c>
      <c r="AS120" s="602">
        <f>IF(W120=1,0,IF(W120=2,0.08,IF(W120=3,0.12,IF(W120=4,0.15,0))))</f>
        <v>0</v>
      </c>
      <c r="AU120" s="602">
        <f>IF(S120=1,0,IF(S120=2,0.2,IF(S120=3,0.3,IF(S120=4,0.39,0))))</f>
        <v>0</v>
      </c>
      <c r="AV120" s="602">
        <f>IF(T120=1,0,IF(T120=2,0.17,IF(T120=3,0.25,IF(T120=4,0.33,0))))</f>
        <v>0</v>
      </c>
      <c r="AW120" s="602">
        <f>IF(U120=1,0,IF(U120=2,0.13,IF(U120=3,0.19,IF(U120=4,0.24,0))))</f>
        <v>0</v>
      </c>
      <c r="AX120" s="602">
        <f>IF(V120=1,0,IF(V120=2,0.08,IF(V120=3,0.12,IF(V120=4,0.15,0))))</f>
        <v>0</v>
      </c>
      <c r="AZ120" s="602">
        <f>IF(S120=1,0,IF(S120=2,0.17,IF(S120=3,0.25,IF(S120=4,0.33,0))))</f>
        <v>0</v>
      </c>
      <c r="BA120" s="602">
        <f>IF(T120=1,0,IF(T120=2,0.13,IF(T120=3,0.19,IF(T120=4,0.24,0))))</f>
        <v>0</v>
      </c>
      <c r="BB120" s="602">
        <f>IF(U120=1,0,IF(U120=2,0.08,IF(U120=3,0.12,IF(U120=4,0.15,0))))</f>
        <v>0</v>
      </c>
      <c r="BD120" s="602">
        <f>IF(S120=1,0,IF(S120=2,0.13,IF(S120=3,0.19,IF(S120=4,0.24,0))))</f>
        <v>0</v>
      </c>
      <c r="BE120" s="602">
        <f>IF(T120=1,0,IF(T120=2,0.08,IF(T120=3,0.12,IF(T120=4,0.15,0))))</f>
        <v>0</v>
      </c>
      <c r="BG120" s="602">
        <f>IF(S120=1,0,IF(S120=2,0.08,IF(S120=3,0.12,IF(S120=4,0.15,0))))</f>
        <v>0</v>
      </c>
      <c r="BI120" s="602">
        <f>IF(AA120=0,0,IF(OR(AB120=1,AB121=1,AB122=1),AH120-AO120,IF(OR(AC120=1,AC121=1,AC122=1),AH120-AU120,IF(OR(AD120=1,AD121=1,AD122=1),AH120-AZ120,IF(OR(AE120=1,AE121=1,AE122=1),AH120-BD120,IF(OR(AF120=1,AF121=1,AF122=1),AH120-BG120,AH120))))))</f>
        <v>0</v>
      </c>
      <c r="BJ120" s="602">
        <f>IF(AB120=0,0,IF(OR(AC120=1,AC121=1,AC122=1),AI120-AP120,IF(OR(AD120=1,AD121=1,AD122=1),AI120-AV120,IF(OR(AE120=1,AE121=1,AE122=1),AI120-BA120,IF(OR(AF120=1,AF121=1,AF122=1),AI120-BE120,AI120)))))</f>
        <v>0</v>
      </c>
      <c r="BK120" s="602">
        <f>IF(AC120=0,0,IF(OR(AD120=1,AD121=1,AD122=1),AJ120-AQ120,IF(OR(AE120=1,AE121=1,AE122=1),AJ120-AW120,IF(OR(AF120=1,AF121=1,AF122=1),AJ120-BB120,AJ120))))</f>
        <v>0</v>
      </c>
      <c r="BL120" s="602">
        <f>IF(AD120=0,0,IF(OR(AE120=1,AE121=1,AE122=1),AK120-AR120,IF(OR(AF120=1,AF121=1,AF122=1),AK120-AX120,AK120)))</f>
        <v>0</v>
      </c>
      <c r="BM120" s="602">
        <f>IF(AE120=0,0,IF(OR(AF120=1,AF121=1,AF122=1),AL120-AS120,AL120))</f>
        <v>0</v>
      </c>
      <c r="BN120" s="602">
        <f>IF(AF120=0,0,AM120)</f>
        <v>0</v>
      </c>
      <c r="BP120" s="419" t="s">
        <v>262</v>
      </c>
    </row>
    <row r="121" spans="2:109" s="419" customFormat="1" ht="15" customHeight="1" x14ac:dyDescent="0.2">
      <c r="B121" s="369" t="s">
        <v>1609</v>
      </c>
      <c r="C121" s="1554"/>
      <c r="D121" s="1554"/>
      <c r="E121" s="1554"/>
      <c r="F121" s="1554"/>
      <c r="G121" s="1554"/>
      <c r="H121" s="1554"/>
      <c r="I121" s="1554"/>
      <c r="J121" s="1554"/>
      <c r="K121" s="1554"/>
      <c r="L121" s="1554"/>
      <c r="M121" s="1554"/>
      <c r="N121" s="1554"/>
      <c r="O121" s="613"/>
      <c r="P121" s="622"/>
      <c r="S121" s="369">
        <f>IF(C121="",0,C121)</f>
        <v>0</v>
      </c>
      <c r="T121" s="369">
        <f>IF(E121&lt;&gt;"",E121,IF(S121&gt;0,S121,0))</f>
        <v>0</v>
      </c>
      <c r="U121" s="369">
        <f>IF(G121&lt;&gt;"",G121,IF(T121&gt;0,T121,0))</f>
        <v>0</v>
      </c>
      <c r="V121" s="369">
        <f>IF(I121&lt;&gt;"",I121,IF(U121&gt;0,U121,0))</f>
        <v>0</v>
      </c>
      <c r="W121" s="369">
        <f>IF(K121&lt;&gt;"",K121,IF(V121&gt;0,V121,0))</f>
        <v>0</v>
      </c>
      <c r="X121" s="369">
        <f>IF(M121&lt;&gt;"",M121,IF(W121&gt;0,W121,0))</f>
        <v>0</v>
      </c>
      <c r="Z121" s="599"/>
      <c r="AA121" s="607">
        <f>IF(C121&gt;1,1,0)</f>
        <v>0</v>
      </c>
      <c r="AB121" s="369">
        <f t="shared" si="13"/>
        <v>0</v>
      </c>
      <c r="AC121" s="369">
        <f t="shared" si="13"/>
        <v>0</v>
      </c>
      <c r="AD121" s="369">
        <f t="shared" si="13"/>
        <v>0</v>
      </c>
      <c r="AE121" s="369">
        <f t="shared" si="13"/>
        <v>0</v>
      </c>
      <c r="AF121" s="369">
        <f t="shared" si="13"/>
        <v>0</v>
      </c>
      <c r="AH121" s="602">
        <f>IF(S121=1,0,IF(S121=2,0.17,IF(S121=3,0.25,IF(S121=4,0.35,0))))</f>
        <v>0</v>
      </c>
      <c r="AI121" s="602">
        <f>IF(T121=1,0,IF(T121=2,0.15,IF(T121=3,0.23,IF(T121=4,0.31,0))))</f>
        <v>0</v>
      </c>
      <c r="AJ121" s="602">
        <f>IF(U121=1,0,IF(U121=2,0.13,IF(U121=3,0.2,IF(U121=4,0.27,0))))</f>
        <v>0</v>
      </c>
      <c r="AK121" s="602">
        <f>IF(V121=1,0,IF(V121=2,0.11,IF(V121=3,0.17,IF(V121=4,0.22,0))))</f>
        <v>0</v>
      </c>
      <c r="AL121" s="602">
        <f>IF(W121=1,0,IF(W121=2,0.08,IF(W121=3,0.12,IF(W121=4,0.16,0))))</f>
        <v>0</v>
      </c>
      <c r="AM121" s="602">
        <f>IF(X121=1,0,IF(X121=2,0.05,IF(X121=3,0.07,IF(X121=4,0.1,0))))</f>
        <v>0</v>
      </c>
      <c r="AN121" s="603"/>
      <c r="AO121" s="602">
        <f>IF(S121=1,0,IF(S121=2,0.15,IF(S121=3,0.23,IF(S121=4,0.31,0))))</f>
        <v>0</v>
      </c>
      <c r="AP121" s="602">
        <f>IF(T121=1,0,IF(T121=2,0.13,IF(T121=3,0.2,IF(T121=4,0.27,0))))</f>
        <v>0</v>
      </c>
      <c r="AQ121" s="602">
        <f>IF(U121=1,0,IF(U121=2,0.11,IF(U121=3,0.17,IF(U121=4,0.22,0))))</f>
        <v>0</v>
      </c>
      <c r="AR121" s="602">
        <f>IF(V121=1,0,IF(V121=2,0.08,IF(V121=3,0.12,IF(V121=4,0.16,0))))</f>
        <v>0</v>
      </c>
      <c r="AS121" s="602">
        <f>IF(W121=1,0,IF(W121=2,0.05,IF(W121=3,0.07,IF(W121=4,0.1,0))))</f>
        <v>0</v>
      </c>
      <c r="AU121" s="602">
        <f>IF(S121=1,0,IF(S121=2,0.13,IF(S121=3,0.2,IF(S121=4,0.27,0))))</f>
        <v>0</v>
      </c>
      <c r="AV121" s="602">
        <f>IF(T121=1,0,IF(T121=2,0.11,IF(T121=3,0.17,IF(T121=4,0.22,0))))</f>
        <v>0</v>
      </c>
      <c r="AW121" s="602">
        <f>IF(U121=1,0,IF(U121=2,0.08,IF(U121=3,0.12,IF(U121=4,0.16,0))))</f>
        <v>0</v>
      </c>
      <c r="AX121" s="602">
        <f>IF(V121=1,0,IF(V121=2,0.05,IF(V121=3,0.07,IF(V121=4,0.1,0))))</f>
        <v>0</v>
      </c>
      <c r="AZ121" s="602">
        <f>IF(S121=1,0,IF(S121=2,0.11,IF(S121=3,0.17,IF(S121=4,0.22,0))))</f>
        <v>0</v>
      </c>
      <c r="BA121" s="602">
        <f>IF(T121=1,0,IF(T121=2,0.08,IF(T121=3,0.12,IF(T121=4,0.16,0))))</f>
        <v>0</v>
      </c>
      <c r="BB121" s="602">
        <f>IF(U121=1,0,IF(U121=2,0.05,IF(U121=3,0.07,IF(U121=4,0.1,0))))</f>
        <v>0</v>
      </c>
      <c r="BD121" s="602">
        <f>IF(S121=1,0,IF(S121=2,0.08,IF(S121=3,0.12,IF(S121=4,0.16,0))))</f>
        <v>0</v>
      </c>
      <c r="BE121" s="602">
        <f>IF(T121=1,0,IF(T121=2,0.05,IF(T121=3,0.07,IF(T121=4,0.1,0))))</f>
        <v>0</v>
      </c>
      <c r="BG121" s="602">
        <f>IF(S121=1,0,IF(S121=2,0.05,IF(S121=3,0.07,IF(S121=4,0.1,0))))</f>
        <v>0</v>
      </c>
      <c r="BI121" s="602">
        <f>IF(AA121=0,0,IF(OR(AB120=1,AB121=1),AH121-AO121,IF(OR(AC120=1,AC121=1),AH121-AU121,IF(OR(AD120=1,AD121=1),AH121-AZ121,IF(OR(AE120=1,AE121=1),AH121-BD121,IF(OR(AF120=1,AF121=1),AH121-BG121,AH121))))))</f>
        <v>0</v>
      </c>
      <c r="BJ121" s="602">
        <f>IF(AB121=0,0,IF(OR(AC120=1,AC121=1),AI121-AP121,IF(OR(AD120=1,AD121=1),AI121-AV121,IF(OR(AE120=1,AE121=1),AI121-BA121,IF(OR(AF120=1,AF121=1),AI121-BE121,AI121)))))</f>
        <v>0</v>
      </c>
      <c r="BK121" s="602">
        <f>IF(AC121=0,0,IF(OR(AD120=1,AD121=1),AJ121-AQ121,IF(OR(AE120=1,AE121=1),AJ121-AW121,IF(OR(AF120=1,AF121=1),AJ121-BB121,AJ121))))</f>
        <v>0</v>
      </c>
      <c r="BL121" s="602">
        <f>IF(AD121=0,0,IF(OR(AE120=1,AE121=1),AK121-AR121,IF(OR(AF120=1,AF121=1),AK121-AX121,AK121)))</f>
        <v>0</v>
      </c>
      <c r="BM121" s="602">
        <f>IF(AE121=0,0,IF(OR(AF120=1,AF121=1),AL121-AS121,AL121))</f>
        <v>0</v>
      </c>
      <c r="BN121" s="602">
        <f>IF(AF121=0,0,AM121)</f>
        <v>0</v>
      </c>
      <c r="BP121" s="608">
        <f>LARGE((BI120,BJ120,BK120,BL120,BM120,BN120,BI121,BJ121,BK121,BL121,BM121,BN121,BI122,BJ122,BK122,BL122,BM122,BN122),1)</f>
        <v>0</v>
      </c>
      <c r="BQ121" s="609">
        <f>LARGE((BI120,BJ120,BK120,BL120,BM120,BN120,BI121,BJ121,BK121,BL121,BM121,BN121,BI122,BJ122,BK122,BL122,BM122,BN122),2)</f>
        <v>0</v>
      </c>
      <c r="BR121" s="609">
        <f>LARGE((BI120,BJ120,BK120,BL120,BM120,BN120,BI121,BJ121,BK121,BL121,BM121,BN121,BI122,BJ122,BK122,BL122,BM122,BN122),3)</f>
        <v>0</v>
      </c>
      <c r="BS121" s="609">
        <f>LARGE((BI120,BJ120,BK120,BL120,BM120,BN120,BI121,BJ121,BK121,BL121,BM121,BN121,BI122,BJ122,BK122,BL122,BM122,BN122),4)</f>
        <v>0</v>
      </c>
      <c r="BT121" s="609">
        <f>LARGE((BI120,BJ120,BK120,BL120,BM120,BN120,BI121,BJ121,BK121,BL121,BM121,BN121,BI122,BJ122,BK122,BL122,BM122,BN122),5)</f>
        <v>0</v>
      </c>
      <c r="BU121" s="609">
        <f>LARGE((BI120,BJ120,BK120,BL120,BM120,BN120,BI121,BJ121,BK121,BL121,BM121,BN121,BI122,BJ122,BK122,BL122,BM122,BN122),6)</f>
        <v>0</v>
      </c>
      <c r="BV121" s="609">
        <f>LARGE((BI120,BJ120,BK120,BL120,BM120,BN120,BI121,BJ121,BK121,BL121,BM121,BN121,BI122,BJ122,BK122,BL122,BM122,BN122),7)</f>
        <v>0</v>
      </c>
      <c r="BW121" s="609">
        <f>LARGE((BI120,BJ120,BK120,BL120,BM120,BN120,BI121,BJ121,BK121,BL121,BM121,BN121,BI122,BJ122,BK122,BL122,BM122,BN122),8)</f>
        <v>0</v>
      </c>
      <c r="BX121" s="609">
        <f>LARGE((BI120,BJ120,BK120,BL120,BM120,BN120,BI121,BJ121,BK121,BL121,BM121,BN121,BI122,BJ122,BK122,BL122,BM122,BN122),9)</f>
        <v>0</v>
      </c>
      <c r="BY121" s="609">
        <f>LARGE((BI120,BJ120,BK120,BL120,BM120,BN120,BI121,BJ121,BK121,BL121,BM121,BN121,BI122,BJ122,BK122,BL122,BM122,BN122),10)</f>
        <v>0</v>
      </c>
      <c r="BZ121" s="609">
        <f>LARGE((BI120,BJ120,BK120,BL120,BM120,BN120,BI121,BJ121,BK121,BL121,BM121,BN121,BI122,BJ122,BK122,BL122,BM122,BN122),11)</f>
        <v>0</v>
      </c>
      <c r="CA121" s="609">
        <f>LARGE((BI120,BJ120,BK120,BL120,BM120,BN120,BI121,BJ121,BK121,BL121,BM121,BN121,BI122,BJ122,BK122,BL122,BM122,BN122),12)</f>
        <v>0</v>
      </c>
    </row>
    <row r="122" spans="2:109" s="419" customFormat="1" ht="15" customHeight="1" x14ac:dyDescent="0.2">
      <c r="B122" s="606" t="s">
        <v>1612</v>
      </c>
      <c r="C122" s="1554"/>
      <c r="D122" s="1554"/>
      <c r="E122" s="1554"/>
      <c r="F122" s="1554"/>
      <c r="G122" s="1554"/>
      <c r="H122" s="1554"/>
      <c r="I122" s="1554"/>
      <c r="J122" s="1554"/>
      <c r="K122" s="1554"/>
      <c r="L122" s="1554"/>
      <c r="M122" s="1554"/>
      <c r="N122" s="1554"/>
      <c r="O122" s="613"/>
      <c r="P122" s="622"/>
      <c r="S122" s="369">
        <f>IF(C122="",0,C122)</f>
        <v>0</v>
      </c>
      <c r="T122" s="369">
        <f>IF(E122&lt;&gt;"",E122,IF(S122&gt;0,S122,0))</f>
        <v>0</v>
      </c>
      <c r="U122" s="369">
        <f>IF(G122&lt;&gt;"",G122,IF(T122&gt;0,T122,0))</f>
        <v>0</v>
      </c>
      <c r="V122" s="369">
        <f>IF(I122&lt;&gt;"",I122,IF(U122&gt;0,U122,0))</f>
        <v>0</v>
      </c>
      <c r="W122" s="369">
        <f>IF(K122&lt;&gt;"",K122,IF(V122&gt;0,V122,0))</f>
        <v>0</v>
      </c>
      <c r="X122" s="369">
        <f>IF(M122&lt;&gt;"",M122,IF(W122&gt;0,W122,0))</f>
        <v>0</v>
      </c>
      <c r="AA122" s="607">
        <f>IF(C122&gt;1,1,0)</f>
        <v>0</v>
      </c>
      <c r="AB122" s="369">
        <f t="shared" si="13"/>
        <v>0</v>
      </c>
      <c r="AC122" s="369">
        <f t="shared" si="13"/>
        <v>0</v>
      </c>
      <c r="AD122" s="369">
        <f t="shared" si="13"/>
        <v>0</v>
      </c>
      <c r="AE122" s="369">
        <f t="shared" si="13"/>
        <v>0</v>
      </c>
      <c r="AF122" s="369">
        <f t="shared" si="13"/>
        <v>0</v>
      </c>
      <c r="AH122" s="602">
        <f>IF(S122=1,0,IF(S122=2,0.1,IF(S122=3,0.17,IF(S122=4,0.23,0))))</f>
        <v>0</v>
      </c>
      <c r="AI122" s="602">
        <f>IF(T122=1,0,IF(T122=2,0.09,IF(T122=3,0.15,IF(T122=4,0.2,0))))</f>
        <v>0</v>
      </c>
      <c r="AJ122" s="602">
        <f>IF(U122=1,0,IF(U122=2,0.08,IF(U122=3,0.13,IF(U122=4,0.17,0))))</f>
        <v>0</v>
      </c>
      <c r="AK122" s="602">
        <f>IF(V122=1,0,IF(V122=2,0.07,IF(V122=3,0.1,IF(V122=4,0.14,0))))</f>
        <v>0</v>
      </c>
      <c r="AL122" s="602">
        <f>IF(W122=1,0,IF(W122=2,0.05,IF(W122=3,0.08,IF(W122=4,0.1,0))))</f>
        <v>0</v>
      </c>
      <c r="AM122" s="602">
        <f>IF(X122=1,0,IF(X122=2,0.03,IF(X122=3,0.05,IF(X122=4,0.06,0))))</f>
        <v>0</v>
      </c>
      <c r="AN122" s="603"/>
      <c r="AO122" s="602">
        <f>IF(S122=1,0,IF(S122=2,0.09,IF(S122=3,0.15,IF(S122=4,0.2,0))))</f>
        <v>0</v>
      </c>
      <c r="AP122" s="602">
        <f>IF(T122=1,0,IF(T122=2,0.08,IF(T122=3,0.13,IF(T122=4,0.17,0))))</f>
        <v>0</v>
      </c>
      <c r="AQ122" s="602">
        <f>IF(U122=1,0,IF(U122=2,0.07,IF(U122=3,0.1,IF(U122=4,0.14,0))))</f>
        <v>0</v>
      </c>
      <c r="AR122" s="602">
        <f>IF(V122=1,0,IF(V122=2,0.05,IF(V122=3,0.08,IF(V122=4,0.1,0))))</f>
        <v>0</v>
      </c>
      <c r="AS122" s="602">
        <f>IF(W122=1,0,IF(W122=2,0.03,IF(W122=3,0.05,IF(W122=4,0.06,0))))</f>
        <v>0</v>
      </c>
      <c r="AU122" s="602">
        <f>IF(S122=1,0,IF(S122=2,0.08,IF(S122=3,0.13,IF(S122=4,0.17,0))))</f>
        <v>0</v>
      </c>
      <c r="AV122" s="602">
        <f>IF(T122=1,0,IF(T122=2,0.07,IF(T122=3,0.1,IF(T122=4,0.14,0))))</f>
        <v>0</v>
      </c>
      <c r="AW122" s="602">
        <f>IF(U122=1,0,IF(U122=2,0.05,IF(U122=3,0.08,IF(U122=4,0.1,0))))</f>
        <v>0</v>
      </c>
      <c r="AX122" s="602">
        <f>IF(V122=1,0,IF(V122=2,0.03,IF(V122=3,0.05,IF(V122=4,0.06,0))))</f>
        <v>0</v>
      </c>
      <c r="AZ122" s="602">
        <f>IF(S122=1,0,IF(S122=2,0.07,IF(S122=3,0.1,IF(S122=4,0.14,0))))</f>
        <v>0</v>
      </c>
      <c r="BA122" s="602">
        <f>IF(T122=1,0,IF(T122=2,0.05,IF(T122=3,0.08,IF(T122=4,0.1,0))))</f>
        <v>0</v>
      </c>
      <c r="BB122" s="602">
        <f>IF(U122=1,0,IF(U122=2,0.03,IF(U122=3,0.05,IF(U122=4,0.06,0))))</f>
        <v>0</v>
      </c>
      <c r="BD122" s="602">
        <f>IF(S122=1,0,IF(S122=2,0.05,IF(S122=3,0.08,IF(S122=4,0.1,0))))</f>
        <v>0</v>
      </c>
      <c r="BE122" s="602">
        <f>IF(T122=1,0,IF(T122=2,0.03,IF(T122=3,0.05,IF(T122=4,0.06,0))))</f>
        <v>0</v>
      </c>
      <c r="BG122" s="602">
        <f>IF(S122=1,0,IF(S122=2,0.03,IF(S122=3,0.05,IF(S122=4,0.06,0))))</f>
        <v>0</v>
      </c>
      <c r="BI122" s="602">
        <f>IF(AA122=0,0,IF(OR(AB120=1,AB122=1),AH122-AO122,IF(OR(AC120=1,AC122=1),AH122-AU122,IF(OR(AD120=1,AD122=1),AH122-AZ122,IF(OR(AE120=1,AE122=1),AH122-BD122,IF(OR(AF120=1,AF122=1),AH122-BG122,AH122))))))</f>
        <v>0</v>
      </c>
      <c r="BJ122" s="602">
        <f>IF(AB122=0,0,IF(OR(AC120=1,AC122=1),AI122-AP122,IF(OR(AD120=1,AD122=1),AI122-AV122,IF(OR(AE120=1,AE122=1),AI122-BA122,IF(OR(AF120=1,AF122=1),AI122-BE122,AI122)))))</f>
        <v>0</v>
      </c>
      <c r="BK122" s="602">
        <f>IF(AC122=0,0,IF(OR(AD120=1,AD122=1),AJ122-AQ122,IF(OR(AE120=1,AE122=1),AJ122-AW122,IF(OR(AF120=1,AF122=1),AJ122-BB122,AJ122))))</f>
        <v>0</v>
      </c>
      <c r="BL122" s="602">
        <f>IF(AD122=0,0,IF(OR(AE120=1,AE122=1),AK122-AR122,IF(OR(AF120=1,AF122=1),AK122-AX122,AK122)))</f>
        <v>0</v>
      </c>
      <c r="BM122" s="602">
        <f>IF(AE122=0,0,IF(OR(AF120=1,AF122=1),AL122-AS122,AL122))</f>
        <v>0</v>
      </c>
      <c r="BN122" s="602">
        <f>IF(AF122=0,0,AM122)</f>
        <v>0</v>
      </c>
      <c r="BP122" s="610">
        <f>ROUND(BP121+BQ121*(1-BP121),2)</f>
        <v>0</v>
      </c>
      <c r="BQ122" s="610">
        <f t="shared" ref="BQ122:BZ122" si="14">ROUND(BP122+BR121*(1-BP122),2)</f>
        <v>0</v>
      </c>
      <c r="BR122" s="610">
        <f t="shared" si="14"/>
        <v>0</v>
      </c>
      <c r="BS122" s="610">
        <f t="shared" si="14"/>
        <v>0</v>
      </c>
      <c r="BT122" s="610">
        <f t="shared" si="14"/>
        <v>0</v>
      </c>
      <c r="BU122" s="610">
        <f t="shared" si="14"/>
        <v>0</v>
      </c>
      <c r="BV122" s="610">
        <f t="shared" si="14"/>
        <v>0</v>
      </c>
      <c r="BW122" s="610">
        <f t="shared" si="14"/>
        <v>0</v>
      </c>
      <c r="BX122" s="610">
        <f t="shared" si="14"/>
        <v>0</v>
      </c>
      <c r="BY122" s="610">
        <f t="shared" si="14"/>
        <v>0</v>
      </c>
      <c r="BZ122" s="610">
        <f t="shared" si="14"/>
        <v>0</v>
      </c>
      <c r="CA122" s="607"/>
    </row>
    <row r="123" spans="2:109" s="419" customFormat="1" ht="15" customHeight="1" x14ac:dyDescent="0.2">
      <c r="B123" s="1593" t="str">
        <f>IF(AD123=1,"ERROR: If radial or ulnar impairment is recorded, do not enter losses for 'both sides.'","")</f>
        <v/>
      </c>
      <c r="C123" s="1594"/>
      <c r="D123" s="1594"/>
      <c r="E123" s="1594"/>
      <c r="F123" s="1594"/>
      <c r="G123" s="1594"/>
      <c r="H123" s="1594"/>
      <c r="I123" s="1594"/>
      <c r="J123" s="1594"/>
      <c r="K123" s="1594"/>
      <c r="L123" s="1594"/>
      <c r="M123" s="1594"/>
      <c r="N123" s="1594"/>
      <c r="O123" s="1595"/>
      <c r="P123" s="303">
        <f>IF(B123&lt;&gt;"","ERROR",BZ122)</f>
        <v>0</v>
      </c>
      <c r="S123" s="599"/>
      <c r="T123" s="599"/>
      <c r="U123" s="599"/>
      <c r="V123" s="599"/>
      <c r="W123" s="599"/>
      <c r="AA123" s="369">
        <f>SUM(AA120:AF120)</f>
        <v>0</v>
      </c>
      <c r="AB123" s="369">
        <f>SUM(AA121:AF121)</f>
        <v>0</v>
      </c>
      <c r="AC123" s="369">
        <f>SUM(AA122:AF122)</f>
        <v>0</v>
      </c>
      <c r="AD123" s="369">
        <f>IF(AND(AA123&gt;0,AB123&gt;0),1,IF(AND(AA123&gt;0,AC123&gt;0),1,0))</f>
        <v>0</v>
      </c>
      <c r="AE123" s="599"/>
      <c r="AF123" s="599"/>
    </row>
    <row r="124" spans="2:109" ht="12" customHeight="1" x14ac:dyDescent="0.2">
      <c r="B124" s="1"/>
      <c r="C124" s="1"/>
      <c r="D124" s="1"/>
      <c r="E124" s="1"/>
      <c r="F124" s="1"/>
      <c r="G124" s="1"/>
      <c r="H124" s="1"/>
      <c r="I124" s="1"/>
      <c r="J124" s="1"/>
      <c r="K124" s="1"/>
      <c r="L124" s="1"/>
      <c r="M124" s="1"/>
      <c r="N124" s="1"/>
      <c r="O124" s="1"/>
      <c r="P124" s="182"/>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row>
    <row r="125" spans="2:109" x14ac:dyDescent="0.2">
      <c r="B125" s="256" t="s">
        <v>1233</v>
      </c>
      <c r="C125" s="1555" t="s">
        <v>1371</v>
      </c>
      <c r="D125" s="1555"/>
      <c r="E125" s="1555"/>
      <c r="F125" s="1555"/>
      <c r="G125" s="1555"/>
      <c r="H125" s="1534" t="s">
        <v>1796</v>
      </c>
      <c r="I125" s="1534"/>
      <c r="J125" s="1534"/>
      <c r="K125" s="42"/>
      <c r="L125" s="1534" t="s">
        <v>1234</v>
      </c>
      <c r="M125" s="1534"/>
      <c r="N125" s="1534"/>
      <c r="O125" s="1534"/>
      <c r="P125" s="1373">
        <f>V127</f>
        <v>0</v>
      </c>
      <c r="R125" s="18"/>
      <c r="S125" s="705" t="s">
        <v>1597</v>
      </c>
      <c r="T125" s="705" t="s">
        <v>1305</v>
      </c>
      <c r="U125" s="705" t="s">
        <v>1306</v>
      </c>
      <c r="V125" s="704" t="s">
        <v>1307</v>
      </c>
      <c r="W125" s="1567" t="s">
        <v>2197</v>
      </c>
      <c r="X125" s="1567"/>
      <c r="Y125" s="1567"/>
      <c r="Z125" s="1567"/>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row>
    <row r="126" spans="2:109" ht="15" customHeight="1" x14ac:dyDescent="0.2">
      <c r="B126" s="185" t="s">
        <v>1653</v>
      </c>
      <c r="C126" s="1542"/>
      <c r="D126" s="1542"/>
      <c r="E126" s="1542"/>
      <c r="F126" s="1542"/>
      <c r="G126" s="1542"/>
      <c r="H126" s="1545">
        <f>IF(C126=$X$127,0.09,IF(C126=$Y$127,0.18,IF(C126=$Z$127,0.27,0)))</f>
        <v>0</v>
      </c>
      <c r="I126" s="1545"/>
      <c r="J126" s="1545"/>
      <c r="K126" s="185"/>
      <c r="L126" s="1542"/>
      <c r="M126" s="1542"/>
      <c r="N126" s="1542"/>
      <c r="O126" s="26">
        <f>IF(H126&gt;=S126,H126-S126,0)</f>
        <v>0</v>
      </c>
      <c r="P126" s="1373"/>
      <c r="R126" s="18"/>
      <c r="S126" s="186">
        <f>IF(L126=$Y$128,0.09,IF(L126=$Z$128,0.18,IF(L126=$AA$128,0.27,0)))</f>
        <v>0</v>
      </c>
      <c r="T126" s="186">
        <f>LARGE(O126:O128,1)</f>
        <v>0</v>
      </c>
      <c r="U126" s="684">
        <f>T126+T127*(1-T126)</f>
        <v>0</v>
      </c>
      <c r="V126" s="684">
        <f>ROUND(U126,2)</f>
        <v>0</v>
      </c>
      <c r="W126" s="58"/>
      <c r="X126" s="58"/>
      <c r="Y126" s="58"/>
      <c r="Z126" s="58"/>
      <c r="AA126" s="5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row>
    <row r="127" spans="2:109" ht="15" customHeight="1" x14ac:dyDescent="0.2">
      <c r="B127" s="256" t="s">
        <v>571</v>
      </c>
      <c r="C127" s="1542"/>
      <c r="D127" s="1542"/>
      <c r="E127" s="1542"/>
      <c r="F127" s="1542"/>
      <c r="G127" s="1542"/>
      <c r="H127" s="1545">
        <f>IF(C127=$X$127,0.16,IF(C127=$Y$127,0.32,IF(C127=$Z$127,0.48,0)))</f>
        <v>0</v>
      </c>
      <c r="I127" s="1545"/>
      <c r="J127" s="1545"/>
      <c r="K127" s="185"/>
      <c r="L127" s="1542"/>
      <c r="M127" s="1542"/>
      <c r="N127" s="1542"/>
      <c r="O127" s="26">
        <f>IF(H127&gt;=S127,H127-S127,0)</f>
        <v>0</v>
      </c>
      <c r="P127" s="1373"/>
      <c r="R127" s="18"/>
      <c r="S127" s="186">
        <f>IF(L127=$Y$128,0.16,IF(L127=$Z$128,0.32,IF(L127=$AA$128,0.48,0)))</f>
        <v>0</v>
      </c>
      <c r="T127" s="186">
        <f>LARGE(O126:O128,2)</f>
        <v>0</v>
      </c>
      <c r="U127" s="684">
        <f>V126+T128*(1-V126)</f>
        <v>0</v>
      </c>
      <c r="V127" s="684">
        <f>ROUND(U127,2)</f>
        <v>0</v>
      </c>
      <c r="W127" s="58"/>
      <c r="X127" s="58" t="s">
        <v>1237</v>
      </c>
      <c r="Y127" s="58" t="s">
        <v>1238</v>
      </c>
      <c r="Z127" s="58" t="s">
        <v>1239</v>
      </c>
      <c r="AA127" s="5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row>
    <row r="128" spans="2:109" ht="15" customHeight="1" x14ac:dyDescent="0.2">
      <c r="B128" s="256" t="s">
        <v>572</v>
      </c>
      <c r="C128" s="1542"/>
      <c r="D128" s="1542"/>
      <c r="E128" s="1542"/>
      <c r="F128" s="1542"/>
      <c r="G128" s="1542"/>
      <c r="H128" s="1545">
        <f>IF(C128=$X$127,0.2,IF(C128=$Y$127,0.4,IF(C128=$Z$127,0.6,0)))</f>
        <v>0</v>
      </c>
      <c r="I128" s="1545"/>
      <c r="J128" s="1545"/>
      <c r="K128" s="185"/>
      <c r="L128" s="1542"/>
      <c r="M128" s="1542"/>
      <c r="N128" s="1542"/>
      <c r="O128" s="26">
        <f>IF(H128&gt;=S128,H128-S128,0)</f>
        <v>0</v>
      </c>
      <c r="P128" s="1373"/>
      <c r="R128" s="18"/>
      <c r="S128" s="186">
        <f>IF(L128=$Y$128,0.2,IF(L128=$Z$128,0.4,IF(L128=$AA$128,0.6,0)))</f>
        <v>0</v>
      </c>
      <c r="T128" s="186">
        <f>LARGE(O126:O128,3)</f>
        <v>0</v>
      </c>
      <c r="U128" s="58"/>
      <c r="V128" s="58"/>
      <c r="W128" s="58"/>
      <c r="X128" s="58" t="s">
        <v>523</v>
      </c>
      <c r="Y128" s="58" t="s">
        <v>915</v>
      </c>
      <c r="Z128" s="186" t="s">
        <v>1803</v>
      </c>
      <c r="AA128" s="58" t="s">
        <v>1672</v>
      </c>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row>
    <row r="129" spans="1:109" ht="12" customHeight="1" x14ac:dyDescent="0.2">
      <c r="B129" s="1578"/>
      <c r="C129" s="1578"/>
      <c r="D129" s="1578"/>
      <c r="E129" s="1578"/>
      <c r="F129" s="1578"/>
      <c r="G129" s="1578"/>
      <c r="H129" s="1578"/>
      <c r="I129" s="1578"/>
      <c r="J129" s="1578"/>
      <c r="K129" s="1578"/>
      <c r="L129" s="1578"/>
      <c r="M129" s="1578"/>
      <c r="N129" s="1578"/>
      <c r="O129" s="1578"/>
      <c r="P129" s="191"/>
      <c r="R129" s="18"/>
      <c r="S129" s="19"/>
      <c r="T129" s="19"/>
      <c r="U129" s="18"/>
      <c r="V129" s="18"/>
      <c r="W129" s="18"/>
      <c r="X129" s="18"/>
      <c r="Y129" s="18"/>
      <c r="Z129" s="19"/>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row>
    <row r="130" spans="1:109" ht="15" customHeight="1" x14ac:dyDescent="0.2">
      <c r="A130" s="189"/>
      <c r="B130" s="1591" t="s">
        <v>968</v>
      </c>
      <c r="C130" s="1539"/>
      <c r="D130" s="1540"/>
      <c r="E130" s="1357" t="s">
        <v>573</v>
      </c>
      <c r="F130" s="1358"/>
      <c r="G130" s="1358"/>
      <c r="H130" s="1358"/>
      <c r="I130" s="1358"/>
      <c r="J130" s="1358"/>
      <c r="K130" s="1358"/>
      <c r="L130" s="1358"/>
      <c r="M130" s="1358"/>
      <c r="N130" s="1358"/>
      <c r="O130" s="1359"/>
      <c r="P130" s="303">
        <f>IF(T130=1,0.15,0)</f>
        <v>0</v>
      </c>
      <c r="R130" s="1557" t="s">
        <v>2197</v>
      </c>
      <c r="S130" s="706" t="b">
        <v>0</v>
      </c>
      <c r="T130" s="710">
        <f>IF(S130=TRUE,1,0)</f>
        <v>0</v>
      </c>
      <c r="U130" s="18"/>
      <c r="V130" s="18"/>
      <c r="W130" s="18"/>
      <c r="X130" s="18"/>
      <c r="Y130" s="18"/>
      <c r="Z130" s="18"/>
      <c r="AA130" s="18"/>
      <c r="AB130" s="18"/>
      <c r="AC130" s="18"/>
      <c r="AD130" s="18"/>
      <c r="AE130" s="18"/>
      <c r="AF130" s="18"/>
      <c r="AG130" s="18">
        <v>1E-4</v>
      </c>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row>
    <row r="131" spans="1:109" ht="15" customHeight="1" x14ac:dyDescent="0.2">
      <c r="B131" s="1591"/>
      <c r="C131" s="1539"/>
      <c r="D131" s="1540"/>
      <c r="E131" s="1357" t="s">
        <v>574</v>
      </c>
      <c r="F131" s="1358"/>
      <c r="G131" s="1358"/>
      <c r="H131" s="1358"/>
      <c r="I131" s="1358"/>
      <c r="J131" s="1358"/>
      <c r="K131" s="1358"/>
      <c r="L131" s="1358"/>
      <c r="M131" s="1358"/>
      <c r="N131" s="1358"/>
      <c r="O131" s="1359"/>
      <c r="P131" s="303">
        <f>IF(T131=1,0.25,0)</f>
        <v>0</v>
      </c>
      <c r="R131" s="1557"/>
      <c r="S131" s="706" t="b">
        <v>0</v>
      </c>
      <c r="T131" s="710">
        <f>IF(S131=TRUE,1,0)</f>
        <v>0</v>
      </c>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row>
    <row r="132" spans="1:109" ht="15" customHeight="1" x14ac:dyDescent="0.2">
      <c r="B132" s="1591"/>
      <c r="C132" s="1539"/>
      <c r="D132" s="1540"/>
      <c r="E132" s="1357" t="s">
        <v>788</v>
      </c>
      <c r="F132" s="1358"/>
      <c r="G132" s="1358"/>
      <c r="H132" s="1358"/>
      <c r="I132" s="1358"/>
      <c r="J132" s="1358"/>
      <c r="K132" s="1358"/>
      <c r="L132" s="1358"/>
      <c r="M132" s="1358"/>
      <c r="N132" s="1358"/>
      <c r="O132" s="1359"/>
      <c r="P132" s="303">
        <f>IF(T132=1,0.23,0)</f>
        <v>0</v>
      </c>
      <c r="R132" s="1557"/>
      <c r="S132" s="706" t="b">
        <v>0</v>
      </c>
      <c r="T132" s="710">
        <f>IF(S132=TRUE,1,0)</f>
        <v>0</v>
      </c>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row>
    <row r="133" spans="1:109" ht="12" customHeight="1" x14ac:dyDescent="0.2">
      <c r="B133" s="1395"/>
      <c r="C133" s="1395"/>
      <c r="D133" s="1395"/>
      <c r="E133" s="1395"/>
      <c r="F133" s="1395"/>
      <c r="G133" s="1395"/>
      <c r="H133" s="1395"/>
      <c r="I133" s="1395"/>
      <c r="J133" s="1395"/>
      <c r="K133" s="1395"/>
      <c r="L133" s="1395"/>
      <c r="M133" s="1395"/>
      <c r="N133" s="1395"/>
      <c r="O133" s="1395"/>
      <c r="P133" s="2"/>
      <c r="R133" s="18"/>
      <c r="S133" s="163"/>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row>
    <row r="134" spans="1:109" ht="15" customHeight="1" x14ac:dyDescent="0.2">
      <c r="B134" s="1541" t="s">
        <v>380</v>
      </c>
      <c r="C134" s="1541"/>
      <c r="D134" s="1541"/>
      <c r="E134" s="1541"/>
      <c r="F134" s="1541"/>
      <c r="G134" s="1541"/>
      <c r="H134" s="1541"/>
      <c r="I134" s="1541"/>
      <c r="J134" s="1541"/>
      <c r="K134" s="1541"/>
      <c r="L134" s="1541"/>
      <c r="M134" s="1541"/>
      <c r="N134" s="1541"/>
      <c r="O134" s="388"/>
      <c r="P134" s="26">
        <f>SUMIF(T134:X134,O134,T135:X135)</f>
        <v>0</v>
      </c>
      <c r="R134" s="1561" t="s">
        <v>2197</v>
      </c>
      <c r="S134" s="1561"/>
      <c r="T134" s="710" t="s">
        <v>1969</v>
      </c>
      <c r="U134" s="710" t="s">
        <v>1970</v>
      </c>
      <c r="V134" s="713" t="s">
        <v>1972</v>
      </c>
      <c r="W134" s="710" t="s">
        <v>945</v>
      </c>
      <c r="X134" s="713" t="s">
        <v>558</v>
      </c>
      <c r="Y134" s="18"/>
      <c r="Z134" s="710" t="s">
        <v>1969</v>
      </c>
      <c r="AA134" s="710" t="s">
        <v>1970</v>
      </c>
      <c r="AB134" s="713" t="s">
        <v>1972</v>
      </c>
      <c r="AC134" s="710" t="s">
        <v>945</v>
      </c>
      <c r="AD134" s="713" t="s">
        <v>558</v>
      </c>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row>
    <row r="135" spans="1:109" ht="15" customHeight="1" x14ac:dyDescent="0.2">
      <c r="B135" s="1541" t="s">
        <v>1499</v>
      </c>
      <c r="C135" s="1541"/>
      <c r="D135" s="1541"/>
      <c r="E135" s="1541"/>
      <c r="F135" s="1541"/>
      <c r="G135" s="1541"/>
      <c r="H135" s="1541"/>
      <c r="I135" s="1541"/>
      <c r="J135" s="1541"/>
      <c r="K135" s="1541"/>
      <c r="L135" s="1541"/>
      <c r="M135" s="1541"/>
      <c r="N135" s="1541"/>
      <c r="O135" s="388"/>
      <c r="P135" s="26">
        <f>SUMIF(Z134:AD134,O135,Z135:AD135)</f>
        <v>0</v>
      </c>
      <c r="R135" s="1561"/>
      <c r="S135" s="1561"/>
      <c r="T135" s="713">
        <v>0.03</v>
      </c>
      <c r="U135" s="713">
        <v>0.15</v>
      </c>
      <c r="V135" s="713">
        <v>0.38</v>
      </c>
      <c r="W135" s="713">
        <v>0.68</v>
      </c>
      <c r="X135" s="713">
        <v>0.9</v>
      </c>
      <c r="Y135" s="18"/>
      <c r="Z135" s="713">
        <v>0.03</v>
      </c>
      <c r="AA135" s="713">
        <v>0.15</v>
      </c>
      <c r="AB135" s="713">
        <v>0.35</v>
      </c>
      <c r="AC135" s="713">
        <v>0.63</v>
      </c>
      <c r="AD135" s="713">
        <v>0.88</v>
      </c>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row>
    <row r="136" spans="1:109" ht="12" customHeight="1" x14ac:dyDescent="0.2">
      <c r="B136" s="1395"/>
      <c r="C136" s="1395"/>
      <c r="D136" s="1395"/>
      <c r="E136" s="1395"/>
      <c r="F136" s="1395"/>
      <c r="G136" s="1395"/>
      <c r="H136" s="1395"/>
      <c r="I136" s="1395"/>
      <c r="J136" s="1395"/>
      <c r="K136" s="1395"/>
      <c r="L136" s="1395"/>
      <c r="M136" s="1395"/>
      <c r="N136" s="1395"/>
      <c r="O136" s="1395"/>
      <c r="P136" s="182"/>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row>
    <row r="137" spans="1:109" ht="27" customHeight="1" x14ac:dyDescent="0.2">
      <c r="B137" s="1632" t="s">
        <v>116</v>
      </c>
      <c r="C137" s="1633"/>
      <c r="D137" s="1633"/>
      <c r="E137" s="1633"/>
      <c r="F137" s="1634"/>
      <c r="G137" s="1626" t="s">
        <v>1525</v>
      </c>
      <c r="H137" s="1627"/>
      <c r="I137" s="1627"/>
      <c r="J137" s="1628"/>
      <c r="K137" s="1616"/>
      <c r="L137" s="1617"/>
      <c r="M137" s="1617"/>
      <c r="N137" s="1617"/>
      <c r="O137" s="1618"/>
      <c r="P137" s="1481">
        <f>U151</f>
        <v>0</v>
      </c>
      <c r="R137" s="185" t="s">
        <v>1865</v>
      </c>
      <c r="S137" s="58" t="s">
        <v>1305</v>
      </c>
      <c r="T137" s="58" t="s">
        <v>1306</v>
      </c>
      <c r="U137" s="58" t="s">
        <v>1307</v>
      </c>
      <c r="V137" s="1549" t="s">
        <v>801</v>
      </c>
      <c r="W137" s="1550"/>
      <c r="X137" s="1551"/>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row>
    <row r="138" spans="1:109" ht="14.45" customHeight="1" x14ac:dyDescent="0.2">
      <c r="B138" s="1546" t="s">
        <v>628</v>
      </c>
      <c r="C138" s="1547"/>
      <c r="D138" s="1548"/>
      <c r="E138" s="1730">
        <f>P81</f>
        <v>0</v>
      </c>
      <c r="F138" s="1735"/>
      <c r="G138" s="1534" t="s">
        <v>1942</v>
      </c>
      <c r="H138" s="1534"/>
      <c r="I138" s="1559"/>
      <c r="J138" s="1559"/>
      <c r="K138" s="1619"/>
      <c r="L138" s="1620"/>
      <c r="M138" s="1620"/>
      <c r="N138" s="1620"/>
      <c r="O138" s="1621"/>
      <c r="P138" s="1631"/>
      <c r="R138" s="688">
        <f>E138</f>
        <v>0</v>
      </c>
      <c r="S138" s="186">
        <f>LARGE($R$138:$R$152,1)</f>
        <v>0</v>
      </c>
      <c r="T138" s="684">
        <f>S138+S139*(1-S138)</f>
        <v>0</v>
      </c>
      <c r="U138" s="688">
        <f t="shared" ref="U138:U151" si="15">ROUND(T138,2)</f>
        <v>0</v>
      </c>
      <c r="V138" s="58">
        <f>IF(E138&gt;0,1,0)</f>
        <v>0</v>
      </c>
      <c r="W138" s="58">
        <f>COUNTIF(V138:V152,1)</f>
        <v>0</v>
      </c>
      <c r="X138" s="58">
        <f>IF(AND(W138=0,W139&gt;0),1,IF(W138&gt;0,2,0))</f>
        <v>0</v>
      </c>
      <c r="AA138" s="18"/>
      <c r="AD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row>
    <row r="139" spans="1:109" ht="14.45" customHeight="1" x14ac:dyDescent="0.2">
      <c r="B139" s="1362" t="s">
        <v>382</v>
      </c>
      <c r="C139" s="1363"/>
      <c r="D139" s="1364"/>
      <c r="E139" s="1373">
        <f>P84</f>
        <v>0</v>
      </c>
      <c r="F139" s="1342"/>
      <c r="G139" s="1534" t="s">
        <v>1942</v>
      </c>
      <c r="H139" s="1534"/>
      <c r="I139" s="1559"/>
      <c r="J139" s="1559"/>
      <c r="K139" s="1619"/>
      <c r="L139" s="1620"/>
      <c r="M139" s="1620"/>
      <c r="N139" s="1620"/>
      <c r="O139" s="1621"/>
      <c r="P139" s="1631"/>
      <c r="R139" s="688">
        <f>E139</f>
        <v>0</v>
      </c>
      <c r="S139" s="186">
        <f>LARGE($R$138:$R$152,2)</f>
        <v>0</v>
      </c>
      <c r="T139" s="684">
        <f>U138+S140*(1-U138)</f>
        <v>0</v>
      </c>
      <c r="U139" s="688">
        <f t="shared" si="15"/>
        <v>0</v>
      </c>
      <c r="V139" s="58">
        <f>IF(E139&gt;0,2,0)</f>
        <v>0</v>
      </c>
      <c r="W139" s="58">
        <f>COUNTIF(V138:V152,2)</f>
        <v>0</v>
      </c>
      <c r="X139" s="18"/>
      <c r="Y139" s="18" t="s">
        <v>511</v>
      </c>
      <c r="AA139" s="8"/>
      <c r="AB139" s="8"/>
      <c r="AC139" s="8"/>
      <c r="AD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row>
    <row r="140" spans="1:109" ht="14.45" customHeight="1" x14ac:dyDescent="0.2">
      <c r="B140" s="1362" t="s">
        <v>1959</v>
      </c>
      <c r="C140" s="1363"/>
      <c r="D140" s="1364"/>
      <c r="E140" s="1373">
        <f>IF(E607&gt;0,0,P88)</f>
        <v>0</v>
      </c>
      <c r="F140" s="1342"/>
      <c r="G140" s="1729" t="s">
        <v>2260</v>
      </c>
      <c r="H140" s="1729"/>
      <c r="I140" s="1559"/>
      <c r="J140" s="1559"/>
      <c r="K140" s="1619"/>
      <c r="L140" s="1620"/>
      <c r="M140" s="1620"/>
      <c r="N140" s="1620"/>
      <c r="O140" s="1621"/>
      <c r="P140" s="1631"/>
      <c r="R140" s="688">
        <f t="shared" ref="R140:R147" si="16">IF(I140&gt;0,I140,E140)</f>
        <v>0</v>
      </c>
      <c r="S140" s="186">
        <f>LARGE($R$138:$R$152,3)</f>
        <v>0</v>
      </c>
      <c r="T140" s="684">
        <f>U139+S141*(1-U139)</f>
        <v>0</v>
      </c>
      <c r="U140" s="688">
        <f t="shared" si="15"/>
        <v>0</v>
      </c>
      <c r="V140" s="58">
        <f t="shared" ref="V140:V152" si="17">IF(E140&gt;0,1,0)</f>
        <v>0</v>
      </c>
      <c r="W140" s="18"/>
      <c r="X140" s="18"/>
      <c r="Y140" s="1078"/>
      <c r="Z140" s="18"/>
      <c r="AA140" s="8"/>
      <c r="AB140" s="8"/>
      <c r="AC140" s="8"/>
      <c r="AD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row>
    <row r="141" spans="1:109" ht="14.45" customHeight="1" x14ac:dyDescent="0.2">
      <c r="B141" s="1410" t="s">
        <v>1417</v>
      </c>
      <c r="C141" s="1410"/>
      <c r="D141" s="1410"/>
      <c r="E141" s="1342">
        <f>P106</f>
        <v>0</v>
      </c>
      <c r="F141" s="1343"/>
      <c r="G141" s="1544"/>
      <c r="H141" s="1544"/>
      <c r="I141" s="1545">
        <f t="shared" ref="I141:I147" si="18">IF(AND(Y141&lt;0.01,Y141&gt;0),0.01,ROUND(Y141,2))</f>
        <v>0</v>
      </c>
      <c r="J141" s="1545"/>
      <c r="K141" s="1619"/>
      <c r="L141" s="1620"/>
      <c r="M141" s="1620"/>
      <c r="N141" s="1620"/>
      <c r="O141" s="1621"/>
      <c r="P141" s="1631"/>
      <c r="R141" s="688">
        <f t="shared" si="16"/>
        <v>0</v>
      </c>
      <c r="S141" s="186">
        <f>LARGE($R$138:$R$152,4)</f>
        <v>0</v>
      </c>
      <c r="T141" s="684">
        <f t="shared" ref="T141:T151" si="19">U140+S142*(1-U140)</f>
        <v>0</v>
      </c>
      <c r="U141" s="688">
        <f t="shared" si="15"/>
        <v>0</v>
      </c>
      <c r="V141" s="58">
        <f t="shared" si="17"/>
        <v>0</v>
      </c>
      <c r="W141" s="18"/>
      <c r="X141" s="18"/>
      <c r="Y141" s="1020">
        <f>E141*G141</f>
        <v>0</v>
      </c>
      <c r="Z141" s="860"/>
      <c r="AA141" s="8"/>
      <c r="AB141" s="8"/>
      <c r="AC141" s="8"/>
      <c r="AD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row>
    <row r="142" spans="1:109" ht="14.45" customHeight="1" x14ac:dyDescent="0.2">
      <c r="B142" s="1362" t="s">
        <v>1418</v>
      </c>
      <c r="C142" s="1363"/>
      <c r="D142" s="1364"/>
      <c r="E142" s="1342">
        <f>P107</f>
        <v>0</v>
      </c>
      <c r="F142" s="1343"/>
      <c r="G142" s="1544"/>
      <c r="H142" s="1544"/>
      <c r="I142" s="1545">
        <f t="shared" si="18"/>
        <v>0</v>
      </c>
      <c r="J142" s="1545"/>
      <c r="K142" s="1619"/>
      <c r="L142" s="1620"/>
      <c r="M142" s="1620"/>
      <c r="N142" s="1620"/>
      <c r="O142" s="1621"/>
      <c r="P142" s="1631"/>
      <c r="R142" s="688">
        <f t="shared" si="16"/>
        <v>0</v>
      </c>
      <c r="S142" s="186">
        <f>LARGE($R$138:$R$152,5)</f>
        <v>0</v>
      </c>
      <c r="T142" s="684">
        <f t="shared" si="19"/>
        <v>0</v>
      </c>
      <c r="U142" s="688">
        <f t="shared" si="15"/>
        <v>0</v>
      </c>
      <c r="V142" s="58">
        <f t="shared" si="17"/>
        <v>0</v>
      </c>
      <c r="W142" s="18"/>
      <c r="X142" s="18"/>
      <c r="Y142" s="1020">
        <f t="shared" ref="Y142:Y147" si="20">E142*G142</f>
        <v>0</v>
      </c>
      <c r="Z142" s="860"/>
      <c r="AA142" s="8"/>
      <c r="AB142" s="8"/>
      <c r="AC142" s="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row>
    <row r="143" spans="1:109" ht="14.45" customHeight="1" x14ac:dyDescent="0.2">
      <c r="B143" s="1362" t="s">
        <v>1419</v>
      </c>
      <c r="C143" s="1363"/>
      <c r="D143" s="1364"/>
      <c r="E143" s="1342">
        <f>P108</f>
        <v>0</v>
      </c>
      <c r="F143" s="1343"/>
      <c r="G143" s="1544"/>
      <c r="H143" s="1544"/>
      <c r="I143" s="1545">
        <f t="shared" si="18"/>
        <v>0</v>
      </c>
      <c r="J143" s="1545"/>
      <c r="K143" s="1619"/>
      <c r="L143" s="1620"/>
      <c r="M143" s="1620"/>
      <c r="N143" s="1620"/>
      <c r="O143" s="1621"/>
      <c r="P143" s="1631"/>
      <c r="R143" s="688">
        <f t="shared" si="16"/>
        <v>0</v>
      </c>
      <c r="S143" s="186">
        <f>LARGE($R$138:$R$152,6)</f>
        <v>0</v>
      </c>
      <c r="T143" s="684">
        <f t="shared" si="19"/>
        <v>0</v>
      </c>
      <c r="U143" s="688">
        <f t="shared" si="15"/>
        <v>0</v>
      </c>
      <c r="V143" s="58">
        <f t="shared" si="17"/>
        <v>0</v>
      </c>
      <c r="W143" s="18"/>
      <c r="X143" s="18"/>
      <c r="Y143" s="1020">
        <f t="shared" si="20"/>
        <v>0</v>
      </c>
      <c r="Z143" s="860"/>
      <c r="AA143" s="40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row>
    <row r="144" spans="1:109" ht="14.45" customHeight="1" x14ac:dyDescent="0.2">
      <c r="B144" s="1362" t="s">
        <v>1420</v>
      </c>
      <c r="C144" s="1363"/>
      <c r="D144" s="1364"/>
      <c r="E144" s="1342">
        <f>P109</f>
        <v>0</v>
      </c>
      <c r="F144" s="1343"/>
      <c r="G144" s="1544"/>
      <c r="H144" s="1544"/>
      <c r="I144" s="1545">
        <f t="shared" si="18"/>
        <v>0</v>
      </c>
      <c r="J144" s="1545"/>
      <c r="K144" s="1619"/>
      <c r="L144" s="1620"/>
      <c r="M144" s="1620"/>
      <c r="N144" s="1620"/>
      <c r="O144" s="1621"/>
      <c r="P144" s="1631"/>
      <c r="R144" s="688">
        <f t="shared" si="16"/>
        <v>0</v>
      </c>
      <c r="S144" s="186">
        <f>LARGE($R$138:$R$152,7)</f>
        <v>0</v>
      </c>
      <c r="T144" s="684">
        <f t="shared" si="19"/>
        <v>0</v>
      </c>
      <c r="U144" s="688">
        <f t="shared" si="15"/>
        <v>0</v>
      </c>
      <c r="V144" s="58">
        <f t="shared" si="17"/>
        <v>0</v>
      </c>
      <c r="W144" s="18"/>
      <c r="X144" s="18"/>
      <c r="Y144" s="1020">
        <f t="shared" si="20"/>
        <v>0</v>
      </c>
      <c r="Z144" s="860"/>
      <c r="AA144" s="8"/>
      <c r="AB144" s="8"/>
      <c r="AC144" s="8"/>
      <c r="AD144" s="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row>
    <row r="145" spans="2:109" ht="14.45" customHeight="1" x14ac:dyDescent="0.2">
      <c r="B145" s="1362" t="s">
        <v>1986</v>
      </c>
      <c r="C145" s="1363"/>
      <c r="D145" s="1364"/>
      <c r="E145" s="1373">
        <f>P118</f>
        <v>0</v>
      </c>
      <c r="F145" s="1342"/>
      <c r="G145" s="1544"/>
      <c r="H145" s="1544"/>
      <c r="I145" s="1545">
        <f t="shared" si="18"/>
        <v>0</v>
      </c>
      <c r="J145" s="1545"/>
      <c r="K145" s="1619"/>
      <c r="L145" s="1620"/>
      <c r="M145" s="1620"/>
      <c r="N145" s="1620"/>
      <c r="O145" s="1621"/>
      <c r="P145" s="1631"/>
      <c r="R145" s="688">
        <f t="shared" si="16"/>
        <v>0</v>
      </c>
      <c r="S145" s="186">
        <f>LARGE($R$138:$R$152,8)</f>
        <v>0</v>
      </c>
      <c r="T145" s="684">
        <f t="shared" si="19"/>
        <v>0</v>
      </c>
      <c r="U145" s="688">
        <f t="shared" si="15"/>
        <v>0</v>
      </c>
      <c r="V145" s="58">
        <f t="shared" si="17"/>
        <v>0</v>
      </c>
      <c r="W145" s="18"/>
      <c r="X145" s="18"/>
      <c r="Y145" s="1020">
        <f t="shared" si="20"/>
        <v>0</v>
      </c>
      <c r="Z145" s="860"/>
      <c r="AA145" s="8"/>
      <c r="AB145" s="8"/>
      <c r="AC145" s="8"/>
      <c r="AD145" s="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row>
    <row r="146" spans="2:109" ht="14.45" customHeight="1" x14ac:dyDescent="0.2">
      <c r="B146" s="1362" t="s">
        <v>1227</v>
      </c>
      <c r="C146" s="1363"/>
      <c r="D146" s="1364"/>
      <c r="E146" s="1373">
        <f>P123</f>
        <v>0</v>
      </c>
      <c r="F146" s="1342"/>
      <c r="G146" s="1544"/>
      <c r="H146" s="1544"/>
      <c r="I146" s="1545">
        <f t="shared" si="18"/>
        <v>0</v>
      </c>
      <c r="J146" s="1545"/>
      <c r="K146" s="1030"/>
      <c r="L146" s="1031"/>
      <c r="M146" s="1031"/>
      <c r="N146" s="1031"/>
      <c r="O146" s="1032"/>
      <c r="P146" s="1631"/>
      <c r="R146" s="688">
        <f t="shared" si="16"/>
        <v>0</v>
      </c>
      <c r="S146" s="186">
        <f>LARGE($R$138:$R$152,9)</f>
        <v>0</v>
      </c>
      <c r="T146" s="684">
        <f t="shared" si="19"/>
        <v>0</v>
      </c>
      <c r="U146" s="688">
        <f t="shared" si="15"/>
        <v>0</v>
      </c>
      <c r="V146" s="58">
        <f t="shared" si="17"/>
        <v>0</v>
      </c>
      <c r="W146" s="18"/>
      <c r="X146" s="18"/>
      <c r="Y146" s="1020">
        <f t="shared" si="20"/>
        <v>0</v>
      </c>
      <c r="Z146" s="373"/>
      <c r="AA146" s="8"/>
      <c r="AB146" s="8"/>
      <c r="AC146" s="8"/>
      <c r="AD146" s="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row>
    <row r="147" spans="2:109" ht="14.45" customHeight="1" x14ac:dyDescent="0.2">
      <c r="B147" s="1362" t="s">
        <v>1233</v>
      </c>
      <c r="C147" s="1363"/>
      <c r="D147" s="1364"/>
      <c r="E147" s="1373">
        <f>P125</f>
        <v>0</v>
      </c>
      <c r="F147" s="1342"/>
      <c r="G147" s="1544"/>
      <c r="H147" s="1544"/>
      <c r="I147" s="1545">
        <f t="shared" si="18"/>
        <v>0</v>
      </c>
      <c r="J147" s="1545"/>
      <c r="K147" s="1030"/>
      <c r="L147" s="1031"/>
      <c r="M147" s="1031"/>
      <c r="N147" s="1031"/>
      <c r="O147" s="1032"/>
      <c r="P147" s="1631"/>
      <c r="R147" s="688">
        <f t="shared" si="16"/>
        <v>0</v>
      </c>
      <c r="S147" s="186">
        <f>LARGE($R$138:$R$152,10)</f>
        <v>0</v>
      </c>
      <c r="T147" s="684">
        <f t="shared" si="19"/>
        <v>0</v>
      </c>
      <c r="U147" s="688">
        <f t="shared" si="15"/>
        <v>0</v>
      </c>
      <c r="V147" s="58">
        <f t="shared" si="17"/>
        <v>0</v>
      </c>
      <c r="W147" s="18"/>
      <c r="X147" s="18"/>
      <c r="Y147" s="1020">
        <f t="shared" si="20"/>
        <v>0</v>
      </c>
      <c r="Z147" s="373"/>
      <c r="AA147" s="8"/>
      <c r="AB147" s="8"/>
      <c r="AC147" s="8"/>
      <c r="AD147" s="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row>
    <row r="148" spans="2:109" ht="14.45" customHeight="1" x14ac:dyDescent="0.2">
      <c r="B148" s="1362" t="s">
        <v>383</v>
      </c>
      <c r="C148" s="1363"/>
      <c r="D148" s="1364"/>
      <c r="E148" s="1373">
        <f>P130</f>
        <v>0</v>
      </c>
      <c r="F148" s="1342"/>
      <c r="G148" s="1534" t="s">
        <v>1942</v>
      </c>
      <c r="H148" s="1534"/>
      <c r="I148" s="1559"/>
      <c r="J148" s="1559"/>
      <c r="K148" s="1588" t="str">
        <f>IF(AND(P88&gt;0,E607&gt;0),"A value has been granted for motor loss. Additional impairment value is not allowed for reduced ROM in the same extremity.","")</f>
        <v/>
      </c>
      <c r="L148" s="1589"/>
      <c r="M148" s="1589"/>
      <c r="N148" s="1589"/>
      <c r="O148" s="1590"/>
      <c r="P148" s="1631"/>
      <c r="R148" s="688">
        <f>E148</f>
        <v>0</v>
      </c>
      <c r="S148" s="186">
        <f>LARGE($R$138:$R$152,11)</f>
        <v>0</v>
      </c>
      <c r="T148" s="684">
        <f t="shared" si="19"/>
        <v>0</v>
      </c>
      <c r="U148" s="688">
        <f t="shared" si="15"/>
        <v>0</v>
      </c>
      <c r="V148" s="58">
        <f t="shared" si="17"/>
        <v>0</v>
      </c>
      <c r="W148" s="18"/>
      <c r="X148" s="18"/>
      <c r="Y148" s="370"/>
      <c r="Z148" s="373"/>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row>
    <row r="149" spans="2:109" ht="14.45" customHeight="1" x14ac:dyDescent="0.2">
      <c r="B149" s="1362" t="s">
        <v>384</v>
      </c>
      <c r="C149" s="1363"/>
      <c r="D149" s="1364"/>
      <c r="E149" s="1373">
        <f>P131</f>
        <v>0</v>
      </c>
      <c r="F149" s="1342"/>
      <c r="G149" s="1534" t="s">
        <v>1942</v>
      </c>
      <c r="H149" s="1534"/>
      <c r="I149" s="1559"/>
      <c r="J149" s="1559"/>
      <c r="K149" s="1588"/>
      <c r="L149" s="1589"/>
      <c r="M149" s="1589"/>
      <c r="N149" s="1589"/>
      <c r="O149" s="1590"/>
      <c r="P149" s="1631"/>
      <c r="R149" s="688">
        <f>E149</f>
        <v>0</v>
      </c>
      <c r="S149" s="186">
        <f>LARGE($R$138:$R$152,12)</f>
        <v>0</v>
      </c>
      <c r="T149" s="684">
        <f t="shared" si="19"/>
        <v>0</v>
      </c>
      <c r="U149" s="688">
        <f t="shared" si="15"/>
        <v>0</v>
      </c>
      <c r="V149" s="58">
        <f t="shared" si="17"/>
        <v>0</v>
      </c>
      <c r="W149" s="18"/>
      <c r="X149" s="18"/>
      <c r="Y149" s="370"/>
      <c r="Z149" s="161"/>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row>
    <row r="150" spans="2:109" ht="14.45" customHeight="1" x14ac:dyDescent="0.2">
      <c r="B150" s="1362" t="s">
        <v>807</v>
      </c>
      <c r="C150" s="1363"/>
      <c r="D150" s="1364"/>
      <c r="E150" s="1373">
        <f>P132</f>
        <v>0</v>
      </c>
      <c r="F150" s="1342"/>
      <c r="G150" s="1534" t="s">
        <v>1942</v>
      </c>
      <c r="H150" s="1534"/>
      <c r="I150" s="1559"/>
      <c r="J150" s="1559"/>
      <c r="K150" s="1588"/>
      <c r="L150" s="1589"/>
      <c r="M150" s="1589"/>
      <c r="N150" s="1589"/>
      <c r="O150" s="1590"/>
      <c r="P150" s="1631"/>
      <c r="R150" s="688">
        <f>E150</f>
        <v>0</v>
      </c>
      <c r="S150" s="186">
        <f>LARGE($R$138:$R$152,13)</f>
        <v>0</v>
      </c>
      <c r="T150" s="684">
        <f t="shared" si="19"/>
        <v>0</v>
      </c>
      <c r="U150" s="688">
        <f t="shared" si="15"/>
        <v>0</v>
      </c>
      <c r="V150" s="58">
        <f t="shared" si="17"/>
        <v>0</v>
      </c>
      <c r="W150" s="18"/>
      <c r="X150" s="18"/>
      <c r="Y150" s="370"/>
      <c r="Z150" s="161"/>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row>
    <row r="151" spans="2:109" ht="14.45" customHeight="1" x14ac:dyDescent="0.2">
      <c r="B151" s="1362" t="s">
        <v>1447</v>
      </c>
      <c r="C151" s="1363"/>
      <c r="D151" s="1364"/>
      <c r="E151" s="1373">
        <f>P134</f>
        <v>0</v>
      </c>
      <c r="F151" s="1342"/>
      <c r="G151" s="1544"/>
      <c r="H151" s="1544"/>
      <c r="I151" s="1545">
        <f>IF(AND(Y151&lt;0.01,Y151&gt;0),0.01,ROUND(Y151,2))</f>
        <v>0</v>
      </c>
      <c r="J151" s="1545"/>
      <c r="K151" s="1588"/>
      <c r="L151" s="1589"/>
      <c r="M151" s="1589"/>
      <c r="N151" s="1589"/>
      <c r="O151" s="1590"/>
      <c r="P151" s="1631"/>
      <c r="R151" s="688">
        <f>IF(I151&gt;0,I151,E151)</f>
        <v>0</v>
      </c>
      <c r="S151" s="186">
        <f>LARGE($R$138:$R$152,14)</f>
        <v>0</v>
      </c>
      <c r="T151" s="684">
        <f t="shared" si="19"/>
        <v>0</v>
      </c>
      <c r="U151" s="688">
        <f t="shared" si="15"/>
        <v>0</v>
      </c>
      <c r="V151" s="58">
        <f t="shared" si="17"/>
        <v>0</v>
      </c>
      <c r="W151" s="18"/>
      <c r="X151" s="18"/>
      <c r="Y151" s="1020">
        <f t="shared" ref="Y151:Y152" si="21">E151*G151</f>
        <v>0</v>
      </c>
      <c r="Z151" s="85"/>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row>
    <row r="152" spans="2:109" ht="14.45" customHeight="1" x14ac:dyDescent="0.2">
      <c r="B152" s="1408" t="s">
        <v>1254</v>
      </c>
      <c r="C152" s="1408"/>
      <c r="D152" s="1408"/>
      <c r="E152" s="1630">
        <f>P135</f>
        <v>0</v>
      </c>
      <c r="F152" s="1630"/>
      <c r="G152" s="1622"/>
      <c r="H152" s="1622"/>
      <c r="I152" s="1612">
        <f>IF(AND(Y152&lt;0.01,Y152&gt;0),0.01,ROUND(Y152,2))</f>
        <v>0</v>
      </c>
      <c r="J152" s="1612"/>
      <c r="K152" s="1574"/>
      <c r="L152" s="1575"/>
      <c r="M152" s="1575"/>
      <c r="N152" s="1575"/>
      <c r="O152" s="1576"/>
      <c r="P152" s="1631"/>
      <c r="Q152" s="3"/>
      <c r="R152" s="688">
        <f>IF(I152&gt;0,I152,E152)</f>
        <v>0</v>
      </c>
      <c r="S152" s="186">
        <f>LARGE($R$138:$R$152,15)</f>
        <v>0</v>
      </c>
      <c r="T152" s="707"/>
      <c r="U152" s="688"/>
      <c r="V152" s="58">
        <f t="shared" si="17"/>
        <v>0</v>
      </c>
      <c r="W152" s="18"/>
      <c r="X152" s="18"/>
      <c r="Y152" s="1020">
        <f t="shared" si="21"/>
        <v>0</v>
      </c>
      <c r="Z152" s="85"/>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row>
    <row r="153" spans="2:109" ht="14.45" customHeight="1" x14ac:dyDescent="0.2">
      <c r="B153" s="1570" t="s">
        <v>2257</v>
      </c>
      <c r="C153" s="1570"/>
      <c r="D153" s="1570"/>
      <c r="E153" s="1570"/>
      <c r="F153" s="1570"/>
      <c r="G153" s="1570"/>
      <c r="H153" s="1570"/>
      <c r="I153" s="1570"/>
      <c r="J153" s="1570"/>
      <c r="K153" s="1570"/>
      <c r="L153" s="1570"/>
      <c r="M153" s="1570"/>
      <c r="N153" s="1570"/>
      <c r="O153" s="1570"/>
      <c r="P153" s="1623"/>
      <c r="Q153" s="3"/>
      <c r="S153" s="19"/>
      <c r="T153" s="177"/>
      <c r="U153" s="157"/>
      <c r="V153" s="18"/>
      <c r="W153" s="18"/>
      <c r="X153" s="18"/>
      <c r="Y153" s="85"/>
      <c r="Z153" s="85"/>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row>
    <row r="154" spans="2:109" ht="12" customHeight="1" x14ac:dyDescent="0.25">
      <c r="B154" s="1469"/>
      <c r="C154" s="1469"/>
      <c r="D154" s="1469"/>
      <c r="E154" s="1469"/>
      <c r="F154" s="1469"/>
      <c r="G154" s="1469"/>
      <c r="H154" s="1469"/>
      <c r="I154" s="1469"/>
      <c r="J154" s="1469"/>
      <c r="K154" s="1469"/>
      <c r="L154" s="1469"/>
      <c r="M154" s="1469"/>
      <c r="N154" s="1469"/>
      <c r="O154" s="1469"/>
      <c r="P154" s="1469"/>
      <c r="R154" s="255"/>
      <c r="S154" s="18"/>
      <c r="T154" s="18"/>
      <c r="U154" s="18"/>
      <c r="V154" s="18"/>
      <c r="W154" s="18"/>
      <c r="X154" s="18"/>
      <c r="Y154" s="1068"/>
      <c r="Z154" s="106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row>
    <row r="155" spans="2:109" ht="12" customHeight="1" x14ac:dyDescent="0.2">
      <c r="B155" s="10"/>
      <c r="C155" s="10"/>
      <c r="D155" s="10"/>
      <c r="E155" s="10"/>
      <c r="F155" s="10"/>
      <c r="G155" s="10"/>
      <c r="H155" s="10"/>
      <c r="I155" s="10"/>
      <c r="J155" s="10"/>
      <c r="K155" s="10"/>
      <c r="L155" s="10"/>
      <c r="M155" s="10"/>
      <c r="N155" s="10"/>
      <c r="O155" s="10"/>
      <c r="P155" s="10"/>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row>
    <row r="156" spans="2:109" ht="16.5" customHeight="1" x14ac:dyDescent="0.2">
      <c r="B156" s="1516" t="s">
        <v>117</v>
      </c>
      <c r="C156" s="1517"/>
      <c r="D156" s="1517"/>
      <c r="E156" s="1517"/>
      <c r="F156" s="1517"/>
      <c r="G156" s="1517"/>
      <c r="H156" s="1517"/>
      <c r="I156" s="1517"/>
      <c r="J156" s="1517"/>
      <c r="K156" s="1517"/>
      <c r="L156" s="1517"/>
      <c r="M156" s="1517"/>
      <c r="N156" s="1517"/>
      <c r="O156" s="1517"/>
      <c r="P156" s="15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row>
    <row r="157" spans="2:109" ht="15" customHeight="1" x14ac:dyDescent="0.2">
      <c r="B157" s="1410" t="s">
        <v>1816</v>
      </c>
      <c r="C157" s="1410"/>
      <c r="D157" s="1410"/>
      <c r="E157" s="1410"/>
      <c r="F157" s="1410"/>
      <c r="G157" s="1410"/>
      <c r="H157" s="1410"/>
      <c r="I157" s="1410"/>
      <c r="J157" s="1410"/>
      <c r="K157" s="1410"/>
      <c r="L157" s="1410"/>
      <c r="M157" s="1410"/>
      <c r="N157" s="1410"/>
      <c r="O157" s="1410"/>
      <c r="P157" s="1545">
        <f>SUMIF(S157:Y157,B158,S158:Y158)</f>
        <v>0</v>
      </c>
      <c r="R157" s="1560" t="s">
        <v>1325</v>
      </c>
      <c r="S157" s="58" t="s">
        <v>524</v>
      </c>
      <c r="T157" s="695" t="s">
        <v>1326</v>
      </c>
      <c r="U157" s="58" t="s">
        <v>526</v>
      </c>
      <c r="V157" s="58" t="s">
        <v>1077</v>
      </c>
      <c r="W157" s="58" t="s">
        <v>1080</v>
      </c>
      <c r="X157" s="58" t="s">
        <v>716</v>
      </c>
      <c r="Y157" s="58" t="s">
        <v>590</v>
      </c>
      <c r="Z157" s="18"/>
      <c r="AA157" s="18"/>
      <c r="AB157" s="18"/>
      <c r="AC157" s="18"/>
      <c r="AD157" s="18"/>
      <c r="AE157" s="18"/>
      <c r="AF157" s="18"/>
      <c r="AG157" s="18"/>
      <c r="AH157" s="18"/>
      <c r="AI157" s="18"/>
      <c r="AJ157" s="18"/>
      <c r="AK157" s="19"/>
      <c r="AL157" s="19"/>
      <c r="AM157" s="19"/>
      <c r="AN157" s="19"/>
      <c r="AO157" s="19"/>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row>
    <row r="158" spans="2:109" ht="15" customHeight="1" x14ac:dyDescent="0.2">
      <c r="B158" s="1629"/>
      <c r="C158" s="1629"/>
      <c r="D158" s="1629"/>
      <c r="E158" s="1629"/>
      <c r="F158" s="1629"/>
      <c r="G158" s="1629"/>
      <c r="H158" s="1629"/>
      <c r="I158" s="1629"/>
      <c r="J158" s="1629"/>
      <c r="K158" s="1629"/>
      <c r="L158" s="1629"/>
      <c r="M158" s="1629"/>
      <c r="N158" s="1629"/>
      <c r="O158" s="1629"/>
      <c r="P158" s="1545"/>
      <c r="R158" s="1394"/>
      <c r="S158" s="688">
        <v>0</v>
      </c>
      <c r="T158" s="186">
        <v>0.1</v>
      </c>
      <c r="U158" s="186">
        <v>0.3</v>
      </c>
      <c r="V158" s="186">
        <v>0.5</v>
      </c>
      <c r="W158" s="186">
        <v>0.63</v>
      </c>
      <c r="X158" s="186">
        <v>0.75</v>
      </c>
      <c r="Y158" s="186">
        <v>1</v>
      </c>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row>
    <row r="159" spans="2:109" ht="15" customHeight="1" x14ac:dyDescent="0.2">
      <c r="B159" s="1592" t="str">
        <f>IF(AND(P157&gt;0.1,B161=""),"Enter specific level of amputation or shortening below.","")</f>
        <v/>
      </c>
      <c r="C159" s="1592"/>
      <c r="D159" s="1592"/>
      <c r="E159" s="1592"/>
      <c r="F159" s="1592"/>
      <c r="G159" s="1592"/>
      <c r="H159" s="1592"/>
      <c r="I159" s="1592"/>
      <c r="J159" s="1592"/>
      <c r="K159" s="1592"/>
      <c r="L159" s="1592"/>
      <c r="M159" s="1592"/>
      <c r="N159" s="1592"/>
      <c r="O159" s="1592"/>
      <c r="P159" s="1592"/>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row>
    <row r="160" spans="2:109" ht="27" customHeight="1" x14ac:dyDescent="0.2">
      <c r="B160" s="1379" t="s">
        <v>588</v>
      </c>
      <c r="C160" s="1379"/>
      <c r="D160" s="1379"/>
      <c r="E160" s="1379"/>
      <c r="F160" s="1379"/>
      <c r="G160" s="1379"/>
      <c r="H160" s="1379"/>
      <c r="I160" s="1379"/>
      <c r="J160" s="1379"/>
      <c r="K160" s="1379"/>
      <c r="L160" s="1379"/>
      <c r="M160" s="1379"/>
      <c r="N160" s="1379"/>
      <c r="O160" s="1379"/>
      <c r="P160" s="1545">
        <f>IF(P157=1,0,U12)</f>
        <v>0</v>
      </c>
      <c r="R160" s="646">
        <f>SUMIF(S160:AD160,B161,S161:AD161)</f>
        <v>0</v>
      </c>
      <c r="S160" s="58" t="s">
        <v>1185</v>
      </c>
      <c r="T160" s="58" t="s">
        <v>1186</v>
      </c>
      <c r="U160" s="58" t="s">
        <v>1187</v>
      </c>
      <c r="V160" s="58" t="s">
        <v>1188</v>
      </c>
      <c r="W160" s="58" t="s">
        <v>1924</v>
      </c>
      <c r="X160" s="58" t="s">
        <v>1925</v>
      </c>
      <c r="Y160" s="58" t="s">
        <v>673</v>
      </c>
      <c r="Z160" s="58" t="s">
        <v>674</v>
      </c>
      <c r="AA160" s="58" t="s">
        <v>675</v>
      </c>
      <c r="AB160" s="58" t="s">
        <v>676</v>
      </c>
      <c r="AC160" s="58" t="s">
        <v>677</v>
      </c>
      <c r="AD160" s="58" t="s">
        <v>678</v>
      </c>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row>
    <row r="161" spans="2:109" ht="15" customHeight="1" x14ac:dyDescent="0.2">
      <c r="B161" s="1629"/>
      <c r="C161" s="1629"/>
      <c r="D161" s="1629"/>
      <c r="E161" s="1629"/>
      <c r="F161" s="1629"/>
      <c r="G161" s="1629"/>
      <c r="H161" s="1629"/>
      <c r="I161" s="1629"/>
      <c r="J161" s="1629"/>
      <c r="K161" s="1629"/>
      <c r="L161" s="1629"/>
      <c r="M161" s="1629"/>
      <c r="N161" s="1629"/>
      <c r="O161" s="1629"/>
      <c r="P161" s="1545"/>
      <c r="R161" s="1379" t="s">
        <v>679</v>
      </c>
      <c r="S161" s="186">
        <v>0</v>
      </c>
      <c r="T161" s="186">
        <v>0.05</v>
      </c>
      <c r="U161" s="186">
        <v>0.05</v>
      </c>
      <c r="V161" s="186">
        <v>0.1</v>
      </c>
      <c r="W161" s="186">
        <v>0.15</v>
      </c>
      <c r="X161" s="186">
        <v>0.2</v>
      </c>
      <c r="Y161" s="186">
        <v>0.2</v>
      </c>
      <c r="Z161" s="186">
        <v>0.25</v>
      </c>
      <c r="AA161" s="186">
        <v>0.25</v>
      </c>
      <c r="AB161" s="186">
        <v>0.25</v>
      </c>
      <c r="AC161" s="186">
        <v>0.25</v>
      </c>
      <c r="AD161" s="186">
        <v>0.3</v>
      </c>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row>
    <row r="162" spans="2:109" ht="15" customHeight="1" x14ac:dyDescent="0.2">
      <c r="B162" s="1703" t="s">
        <v>680</v>
      </c>
      <c r="C162" s="1703"/>
      <c r="D162" s="1703"/>
      <c r="E162" s="1703"/>
      <c r="F162" s="1703"/>
      <c r="G162" s="1703"/>
      <c r="H162" s="1703"/>
      <c r="I162" s="1703"/>
      <c r="J162" s="1703"/>
      <c r="K162" s="1703"/>
      <c r="L162" s="1703"/>
      <c r="M162" s="1703"/>
      <c r="N162" s="1703"/>
      <c r="O162" s="1703"/>
      <c r="P162" s="1545"/>
      <c r="R162" s="1379"/>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row>
    <row r="163" spans="2:109" ht="7.5" customHeight="1" x14ac:dyDescent="0.2">
      <c r="B163" s="1395"/>
      <c r="C163" s="1395"/>
      <c r="D163" s="1395"/>
      <c r="E163" s="1395"/>
      <c r="F163" s="1395"/>
      <c r="G163" s="1395"/>
      <c r="H163" s="1395"/>
      <c r="I163" s="1395"/>
      <c r="J163" s="1395"/>
      <c r="K163" s="1395"/>
      <c r="L163" s="1395"/>
      <c r="M163" s="1395"/>
      <c r="N163" s="1395"/>
      <c r="O163" s="1395"/>
      <c r="P163" s="182"/>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row>
    <row r="164" spans="2:109" ht="9.75" customHeight="1" x14ac:dyDescent="0.2">
      <c r="B164" s="1395"/>
      <c r="C164" s="1395"/>
      <c r="D164" s="1395"/>
      <c r="E164" s="1395"/>
      <c r="F164" s="1395"/>
      <c r="G164" s="1395"/>
      <c r="H164" s="1395"/>
      <c r="I164" s="1395"/>
      <c r="J164" s="1395"/>
      <c r="K164" s="1395"/>
      <c r="L164" s="1395"/>
      <c r="M164" s="1395"/>
      <c r="N164" s="1395"/>
      <c r="O164" s="1395"/>
      <c r="P164" s="182"/>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row>
    <row r="165" spans="2:109" ht="15" customHeight="1" x14ac:dyDescent="0.2">
      <c r="B165" s="1555" t="s">
        <v>1595</v>
      </c>
      <c r="C165" s="1555"/>
      <c r="D165" s="1555"/>
      <c r="E165" s="1555"/>
      <c r="F165" s="1555"/>
      <c r="G165" s="1555"/>
      <c r="H165" s="1555"/>
      <c r="I165" s="1555"/>
      <c r="J165" s="1555"/>
      <c r="K165" s="1555"/>
      <c r="L165" s="1555"/>
      <c r="M165" s="1555"/>
      <c r="N165" s="1555"/>
      <c r="O165" s="1555"/>
      <c r="P165" s="1373">
        <f>IF(R178=1,"ERROR",IF(AND(AD169&gt;0,AD169&lt;0.01),0.01,ROUND(AD169,2)))</f>
        <v>0</v>
      </c>
      <c r="R165" s="18"/>
      <c r="S165" s="18"/>
      <c r="T165" s="1379" t="s">
        <v>1258</v>
      </c>
      <c r="U165" s="1379" t="s">
        <v>1258</v>
      </c>
      <c r="V165" s="18"/>
      <c r="W165" s="18"/>
      <c r="X165" s="18"/>
      <c r="Y165" s="18"/>
      <c r="Z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row>
    <row r="166" spans="2:109" ht="27" customHeight="1" x14ac:dyDescent="0.2">
      <c r="B166" s="23" t="s">
        <v>1567</v>
      </c>
      <c r="C166" s="1555" t="s">
        <v>1596</v>
      </c>
      <c r="D166" s="1555"/>
      <c r="E166" s="1555"/>
      <c r="F166" s="1555"/>
      <c r="G166" s="1536" t="s">
        <v>1081</v>
      </c>
      <c r="H166" s="1536"/>
      <c r="I166" s="1536"/>
      <c r="J166" s="1536"/>
      <c r="K166" s="1555"/>
      <c r="L166" s="1555"/>
      <c r="M166" s="1555"/>
      <c r="N166" s="1555"/>
      <c r="O166" s="1555"/>
      <c r="P166" s="1373"/>
      <c r="R166" s="18"/>
      <c r="S166" s="18"/>
      <c r="T166" s="1379"/>
      <c r="U166" s="1379"/>
      <c r="V166" s="18"/>
      <c r="W166" s="18"/>
      <c r="X166" s="18"/>
      <c r="Y166" s="18"/>
      <c r="Z166" s="18"/>
      <c r="AA166" s="1598" t="s">
        <v>2262</v>
      </c>
      <c r="AB166" s="1599"/>
      <c r="AC166" s="1599"/>
      <c r="AD166" s="1600"/>
      <c r="AE166" s="1039"/>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row>
    <row r="167" spans="2:109" ht="18" customHeight="1" x14ac:dyDescent="0.2">
      <c r="B167" s="23"/>
      <c r="C167" s="1555" t="s">
        <v>365</v>
      </c>
      <c r="D167" s="1555"/>
      <c r="E167" s="1555" t="s">
        <v>1796</v>
      </c>
      <c r="F167" s="1555"/>
      <c r="G167" s="1555" t="s">
        <v>365</v>
      </c>
      <c r="H167" s="1555"/>
      <c r="I167" s="1555" t="s">
        <v>1796</v>
      </c>
      <c r="J167" s="1555"/>
      <c r="K167" s="1555"/>
      <c r="L167" s="1555"/>
      <c r="M167" s="1555"/>
      <c r="N167" s="1555"/>
      <c r="O167" s="1555"/>
      <c r="P167" s="1373"/>
      <c r="R167" s="1019"/>
      <c r="S167" s="710" t="s">
        <v>1655</v>
      </c>
      <c r="T167" s="711" t="s">
        <v>1596</v>
      </c>
      <c r="U167" s="711" t="s">
        <v>1597</v>
      </c>
      <c r="V167" s="1555" t="s">
        <v>1083</v>
      </c>
      <c r="W167" s="1555"/>
      <c r="X167" s="1555"/>
      <c r="Y167" s="1555"/>
      <c r="Z167" s="714"/>
      <c r="AA167" s="1601"/>
      <c r="AB167" s="1602"/>
      <c r="AC167" s="1602"/>
      <c r="AD167" s="1603"/>
      <c r="AE167" s="1039"/>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row>
    <row r="168" spans="2:109" ht="13.5" customHeight="1" x14ac:dyDescent="0.2">
      <c r="B168" s="185" t="s">
        <v>681</v>
      </c>
      <c r="C168" s="1308"/>
      <c r="D168" s="1308"/>
      <c r="E168" s="1558">
        <f>UETable!AV25</f>
        <v>0</v>
      </c>
      <c r="F168" s="1558"/>
      <c r="G168" s="1308"/>
      <c r="H168" s="1308"/>
      <c r="I168" s="1538">
        <f>IF(C168="",0,IF(OR(C168&lt;=0,G168&lt;=0),E168,IF(G168&lt;C168,0,UETable!BA25)))</f>
        <v>0</v>
      </c>
      <c r="J168" s="1538"/>
      <c r="K168" s="1556" t="str">
        <f>IF(OR(C168="NA",G168="NA"),"",IF(AND(C168&lt;&gt;"",G168=""),"Enter contralateral or NA.",IF(AND(C168="",G168&lt;&gt;""),"Need data","")))</f>
        <v/>
      </c>
      <c r="L168" s="1556"/>
      <c r="M168" s="1556"/>
      <c r="N168" s="1556"/>
      <c r="O168" s="1556"/>
      <c r="P168" s="1373"/>
      <c r="R168" s="1019"/>
      <c r="S168" s="58">
        <v>70</v>
      </c>
      <c r="T168" s="58" t="str">
        <f>IF(OR(C168="",C168="NA"),"",IF(C168&gt;S168,S168,IF(C168&lt;0,0,C168)))</f>
        <v/>
      </c>
      <c r="U168" s="58" t="str">
        <f>IF(OR(G168="",G168="NA"),"",IF(G168&gt;S168,S168,IF(G168&lt;0,0,G168)))</f>
        <v/>
      </c>
      <c r="V168" s="696" t="str">
        <f>IF(Y168="","",ROUND(Y168,0))</f>
        <v/>
      </c>
      <c r="W168" s="1410" t="s">
        <v>1203</v>
      </c>
      <c r="X168" s="1410"/>
      <c r="Y168" s="697" t="str">
        <f>IF(T168="","",IF(OR(U168="",U168=0,U168&lt;T168),T168,(T168*70)/U168))</f>
        <v/>
      </c>
      <c r="Z168" s="18"/>
      <c r="AA168" s="1604"/>
      <c r="AB168" s="1605"/>
      <c r="AC168" s="1605"/>
      <c r="AD168" s="1606"/>
      <c r="AE168" s="1041">
        <f>IF(OR(E170&gt;0,E174&gt;0,E178&gt;0),1,0)</f>
        <v>0</v>
      </c>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row>
    <row r="169" spans="2:109" ht="13.5" customHeight="1" x14ac:dyDescent="0.2">
      <c r="B169" s="185" t="s">
        <v>682</v>
      </c>
      <c r="C169" s="1308"/>
      <c r="D169" s="1308"/>
      <c r="E169" s="1558">
        <f>UETable!AV26</f>
        <v>0</v>
      </c>
      <c r="F169" s="1558"/>
      <c r="G169" s="1308"/>
      <c r="H169" s="1308"/>
      <c r="I169" s="1538">
        <f>IF(C169="",0,IF(OR(C169&gt;=70,G169&gt;=70),E169,IF(G169&gt;C169,0,UETable!BA26)))</f>
        <v>0</v>
      </c>
      <c r="J169" s="1538"/>
      <c r="K169" s="1556" t="str">
        <f>IF(OR(C169="NA",G169="NA"),"",IF(AND(C169&lt;&gt;"",G169=""),"Enter contralateral or NA.",IF(AND(C169="",G169&lt;&gt;""),"Need data","")))</f>
        <v/>
      </c>
      <c r="L169" s="1556"/>
      <c r="M169" s="1556"/>
      <c r="N169" s="1556"/>
      <c r="O169" s="1556"/>
      <c r="P169" s="1373"/>
      <c r="S169" s="58">
        <v>70</v>
      </c>
      <c r="T169" s="58" t="str">
        <f>IF(OR(C169="",C169="NA"),"",IF(C169&gt;S169,S169,IF(C169&lt;0,0,C169)))</f>
        <v/>
      </c>
      <c r="U169" s="58" t="str">
        <f>IF(OR(G169="",G169="NA"),"",IF(G169&gt;S169,S169,IF(G169&lt;0,0,G169)))</f>
        <v/>
      </c>
      <c r="V169" s="696" t="str">
        <f>IF(Y169="","",ROUND(Y169,0))</f>
        <v/>
      </c>
      <c r="W169" s="58">
        <f>IF(T169="",0,70-T169)</f>
        <v>0</v>
      </c>
      <c r="X169" s="58">
        <f>IF(U169="",0,70-U169)</f>
        <v>0</v>
      </c>
      <c r="Y169" s="697" t="str">
        <f>IF(T169="","",IF(OR(U169="",U169=0,U169&gt;T169),T169,70-(W169*70)/X169))</f>
        <v/>
      </c>
      <c r="Z169" s="18"/>
      <c r="AA169" s="1056">
        <f>IF(E170&gt;0,O171,IF(AND(E170=0,AE168=1,O171&gt;0,C180&gt;0),C180*O171,O171))</f>
        <v>0</v>
      </c>
      <c r="AB169" s="1056">
        <f>IF(E174&gt;0,O175,IF(AND(E174=0,AE168=1,O175&gt;0,C180&gt;0),C180*O175,O175))</f>
        <v>0</v>
      </c>
      <c r="AC169" s="1056">
        <f>IF(E178&gt;0,O179,IF(AND(E178=0,AE168=1,O179&gt;0,C180&gt;0),C180*O179,O179))</f>
        <v>0</v>
      </c>
      <c r="AD169" s="1056">
        <f>IF(AND(AE168=0,C180&gt;0),C180*AD177,AD177)</f>
        <v>0</v>
      </c>
      <c r="AE169" s="1041">
        <f>IF(AD172=AD173,1,0)</f>
        <v>1</v>
      </c>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row>
    <row r="170" spans="2:109" ht="15" customHeight="1" x14ac:dyDescent="0.2">
      <c r="B170" s="185" t="s">
        <v>683</v>
      </c>
      <c r="C170" s="1308"/>
      <c r="D170" s="1308"/>
      <c r="E170" s="1558">
        <f>IF(AND(C170&lt;&gt;"",C170&lt;&gt;"NA",C169&lt;&gt;"NA",C169&lt;&gt;""),"ERROR",IF(AND(C170&lt;&gt;"",C170&lt;&gt;"NA",C168&lt;&gt;"",C168&lt;&gt;"NA"),"ERROR",UETable!AV27))</f>
        <v>0</v>
      </c>
      <c r="F170" s="1558"/>
      <c r="G170" s="1556" t="str">
        <f>IF(AND(C170&lt;&gt;"",C170&lt;&gt;"NA",C169&lt;&gt;"NA",C169&lt;&gt;""),"ERROR: Cannot rate ROM and ankylosis.",IF(AND(C170&lt;&gt;"",C170&lt;&gt;"NA",C168&lt;&gt;"",C168&lt;&gt;"NA"),"ERROR: Cannot rate ROM and ankylosis.",""))</f>
        <v/>
      </c>
      <c r="H170" s="1556"/>
      <c r="I170" s="1556"/>
      <c r="J170" s="1556"/>
      <c r="K170" s="1556"/>
      <c r="L170" s="1556"/>
      <c r="M170" s="1556"/>
      <c r="N170" s="1556"/>
      <c r="O170" s="1556"/>
      <c r="P170" s="1373"/>
      <c r="R170" s="1019"/>
      <c r="S170" s="58">
        <v>70</v>
      </c>
      <c r="T170" s="58" t="str">
        <f>IF(OR(C170="",C170="NA"),"",IF(C170&gt;S170,S170,IF(C170&lt;0,0,C170)))</f>
        <v/>
      </c>
      <c r="U170" s="18"/>
      <c r="V170" s="18"/>
      <c r="W170" s="18"/>
      <c r="X170" s="18"/>
      <c r="Y170" s="18"/>
      <c r="Z170" s="18"/>
      <c r="AA170" s="1060"/>
      <c r="AB170" s="1060"/>
      <c r="AC170" s="1060"/>
      <c r="AD170" s="1060"/>
      <c r="AE170" s="1039"/>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row>
    <row r="171" spans="2:109" x14ac:dyDescent="0.2">
      <c r="B171" s="1613"/>
      <c r="C171" s="1614"/>
      <c r="D171" s="1614"/>
      <c r="E171" s="1614"/>
      <c r="F171" s="1614"/>
      <c r="G171" s="1614"/>
      <c r="H171" s="1614"/>
      <c r="I171" s="1614"/>
      <c r="J171" s="1615"/>
      <c r="K171" s="1568" t="s">
        <v>1842</v>
      </c>
      <c r="L171" s="1568"/>
      <c r="M171" s="1568"/>
      <c r="N171" s="1568"/>
      <c r="O171" s="77">
        <f>IF(E170="ERROR","ERROR",IF(R171&gt;1,1,R171))</f>
        <v>0</v>
      </c>
      <c r="P171" s="1373"/>
      <c r="R171" s="243">
        <f>SUM(I168,I169,E170)</f>
        <v>0</v>
      </c>
      <c r="S171" s="18"/>
      <c r="T171" s="18"/>
      <c r="U171" s="18"/>
      <c r="V171" s="18"/>
      <c r="W171" s="18"/>
      <c r="X171" s="18"/>
      <c r="Y171" s="18"/>
      <c r="Z171" s="18"/>
      <c r="AA171" s="1039"/>
      <c r="AB171" s="1039"/>
      <c r="AC171" s="1039"/>
      <c r="AD171" s="1039"/>
      <c r="AE171" s="1039"/>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row>
    <row r="172" spans="2:109" ht="13.5" customHeight="1" x14ac:dyDescent="0.2">
      <c r="B172" s="185" t="s">
        <v>684</v>
      </c>
      <c r="C172" s="1308"/>
      <c r="D172" s="1308"/>
      <c r="E172" s="1558">
        <f>UETable!AV29</f>
        <v>0</v>
      </c>
      <c r="F172" s="1558"/>
      <c r="G172" s="1308"/>
      <c r="H172" s="1308"/>
      <c r="I172" s="1538">
        <f>IF(C172="",0,IF(OR(C172&lt;=0,G172&lt;=0),E172,IF(G172&lt;C172,0,UETable!BA29)))</f>
        <v>0</v>
      </c>
      <c r="J172" s="1538"/>
      <c r="K172" s="1556" t="str">
        <f>IF(OR(C172="NA",G172="NA"),"",IF(AND(C172&lt;&gt;"",G172=""),"Enter contralateral or NA.",IF(AND(C172="",G172&lt;&gt;""),"Need data","")))</f>
        <v/>
      </c>
      <c r="L172" s="1556"/>
      <c r="M172" s="1556"/>
      <c r="N172" s="1556"/>
      <c r="O172" s="1556"/>
      <c r="P172" s="1373"/>
      <c r="R172" s="1019"/>
      <c r="S172" s="58">
        <v>100</v>
      </c>
      <c r="T172" s="58" t="str">
        <f>IF(OR(C172="",C172="NA"),"",IF(C172&gt;S172,S172,IF(C172&lt;0,0,C172)))</f>
        <v/>
      </c>
      <c r="U172" s="58" t="str">
        <f>IF(OR(G172="",G172="NA"),"",IF(G172&gt;S172,S172,IF(G172&lt;0,0,G172)))</f>
        <v/>
      </c>
      <c r="V172" s="696" t="str">
        <f>IF(Y172="","",ROUND(Y172,0))</f>
        <v/>
      </c>
      <c r="W172" s="1410" t="s">
        <v>1203</v>
      </c>
      <c r="X172" s="1410"/>
      <c r="Y172" s="697" t="str">
        <f>IF(T172="","",IF(OR(U172="",U172=0,U172&lt;T172),T172,(T172*100)/U172))</f>
        <v/>
      </c>
      <c r="Z172" s="18"/>
      <c r="AA172" s="242">
        <f>E170</f>
        <v>0</v>
      </c>
      <c r="AB172" s="242">
        <f>E174</f>
        <v>0</v>
      </c>
      <c r="AC172" s="242">
        <f>E178</f>
        <v>0</v>
      </c>
      <c r="AD172" s="1041">
        <f>COUNTIF(AA172:AC172,"&gt;0")</f>
        <v>0</v>
      </c>
      <c r="AE172" s="1039"/>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row>
    <row r="173" spans="2:109" ht="13.5" customHeight="1" x14ac:dyDescent="0.2">
      <c r="B173" s="185" t="s">
        <v>685</v>
      </c>
      <c r="C173" s="1308"/>
      <c r="D173" s="1308"/>
      <c r="E173" s="1558">
        <f>UETable!AV30</f>
        <v>0</v>
      </c>
      <c r="F173" s="1558"/>
      <c r="G173" s="1308"/>
      <c r="H173" s="1308"/>
      <c r="I173" s="1538">
        <f>IF(C173="",0,IF(OR(C173&gt;=100,G173&gt;=100),E173,IF(G173&gt;C173,0,UETable!BA30)))</f>
        <v>0</v>
      </c>
      <c r="J173" s="1538"/>
      <c r="K173" s="1556" t="str">
        <f>IF(OR(C173="NA",G173="NA"),"",IF(AND(C173&lt;&gt;"",G173=""),"Enter contralateral or NA.",IF(AND(C173="",G173&lt;&gt;""),"Need data","")))</f>
        <v/>
      </c>
      <c r="L173" s="1556"/>
      <c r="M173" s="1556"/>
      <c r="N173" s="1556"/>
      <c r="O173" s="1556"/>
      <c r="P173" s="1373"/>
      <c r="S173" s="58">
        <v>100</v>
      </c>
      <c r="T173" s="58" t="str">
        <f>IF(OR(C173="",C173="NA"),"",IF(C173&gt;S173,S173,IF(C173&lt;0,0,C173)))</f>
        <v/>
      </c>
      <c r="U173" s="58" t="str">
        <f>IF(OR(G173="",G173="NA"),"",IF(G173&gt;S173,S173,IF(G173&lt;0,0,G173)))</f>
        <v/>
      </c>
      <c r="V173" s="696" t="str">
        <f>IF(Y173="","",ROUND(Y173,0))</f>
        <v/>
      </c>
      <c r="W173" s="58">
        <f>IF(T173="",0,100-T173)</f>
        <v>0</v>
      </c>
      <c r="X173" s="58">
        <f>IF(U173="",0,100-U173)</f>
        <v>0</v>
      </c>
      <c r="Y173" s="697" t="str">
        <f>IF(T173="","",IF(OR(U173="",U173=0,U173&gt;T173),T173,100-(W173*100)/X173))</f>
        <v/>
      </c>
      <c r="Z173" s="18"/>
      <c r="AA173" s="242">
        <f>O171</f>
        <v>0</v>
      </c>
      <c r="AB173" s="242">
        <f>O175</f>
        <v>0</v>
      </c>
      <c r="AC173" s="242">
        <f>O179</f>
        <v>0</v>
      </c>
      <c r="AD173" s="1041">
        <f>COUNTIF(AA173:AC173,"&gt;0")</f>
        <v>0</v>
      </c>
      <c r="AE173" s="1039"/>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row>
    <row r="174" spans="2:109" ht="15" customHeight="1" x14ac:dyDescent="0.2">
      <c r="B174" s="185" t="s">
        <v>686</v>
      </c>
      <c r="C174" s="1308"/>
      <c r="D174" s="1308"/>
      <c r="E174" s="1558">
        <f>IF(AND(C174&lt;&gt;"",C174&lt;&gt;"NA",C173&lt;&gt;"NA",C173&lt;&gt;""),"ERROR",IF(AND(C174&lt;&gt;"",C174&lt;&gt;"NA",C172&lt;&gt;"",C172&lt;&gt;"NA"),"ERROR",UETable!AV31))</f>
        <v>0</v>
      </c>
      <c r="F174" s="1558"/>
      <c r="G174" s="1556" t="str">
        <f>IF(AND(C174&lt;&gt;"",C174&lt;&gt;"NA",C173&lt;&gt;"NA",C173&lt;&gt;""),"ERROR: Cannot rate ROM and ankylosis.",IF(AND(C174&lt;&gt;"",C174&lt;&gt;"NA",C172&lt;&gt;"",C172&lt;&gt;"NA"),"ERROR: Cannot rate ROM and ankylosis.",""))</f>
        <v/>
      </c>
      <c r="H174" s="1556"/>
      <c r="I174" s="1556"/>
      <c r="J174" s="1556"/>
      <c r="K174" s="1556"/>
      <c r="L174" s="1556"/>
      <c r="M174" s="1556"/>
      <c r="N174" s="1556"/>
      <c r="O174" s="1556"/>
      <c r="P174" s="1373"/>
      <c r="R174" s="18"/>
      <c r="S174" s="58">
        <v>100</v>
      </c>
      <c r="T174" s="58" t="str">
        <f>IF(OR(C174="",C174="NA"),"",IF(C174&gt;S174,S174,IF(C174&lt;0,0,C174)))</f>
        <v/>
      </c>
      <c r="U174" s="18"/>
      <c r="V174" s="18"/>
      <c r="W174" s="18"/>
      <c r="X174" s="18"/>
      <c r="Y174" s="18"/>
      <c r="Z174" s="18"/>
      <c r="AA174" s="1039"/>
      <c r="AB174" s="1039"/>
      <c r="AC174" s="1039"/>
      <c r="AD174" s="1039"/>
      <c r="AE174" s="1039"/>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row>
    <row r="175" spans="2:109" x14ac:dyDescent="0.2">
      <c r="B175" s="1613"/>
      <c r="C175" s="1614"/>
      <c r="D175" s="1614"/>
      <c r="E175" s="1614"/>
      <c r="F175" s="1614"/>
      <c r="G175" s="1614"/>
      <c r="H175" s="1614"/>
      <c r="I175" s="1614"/>
      <c r="J175" s="1615"/>
      <c r="K175" s="1568" t="s">
        <v>1842</v>
      </c>
      <c r="L175" s="1568"/>
      <c r="M175" s="1568"/>
      <c r="N175" s="1568"/>
      <c r="O175" s="77">
        <f>IF(E174="ERROR","ERROR",IF(R175&gt;1,1,R175))</f>
        <v>0</v>
      </c>
      <c r="P175" s="1373"/>
      <c r="R175" s="243">
        <f>SUM(I172,I173,E174)</f>
        <v>0</v>
      </c>
      <c r="S175" s="18"/>
      <c r="T175" s="18"/>
      <c r="U175" s="18"/>
      <c r="V175" s="18"/>
      <c r="W175" s="18"/>
      <c r="X175" s="18"/>
      <c r="Y175" s="18"/>
      <c r="Z175" s="18"/>
      <c r="AA175" s="1044" t="s">
        <v>1307</v>
      </c>
      <c r="AB175" s="1044" t="s">
        <v>1305</v>
      </c>
      <c r="AC175" s="1037" t="s">
        <v>1306</v>
      </c>
      <c r="AD175" s="1037" t="s">
        <v>1307</v>
      </c>
      <c r="AE175" s="1039"/>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row>
    <row r="176" spans="2:109" ht="13.5" customHeight="1" x14ac:dyDescent="0.2">
      <c r="B176" s="185" t="s">
        <v>1578</v>
      </c>
      <c r="C176" s="1308"/>
      <c r="D176" s="1308"/>
      <c r="E176" s="1558">
        <f>UETable!AV33</f>
        <v>0</v>
      </c>
      <c r="F176" s="1558"/>
      <c r="G176" s="1308"/>
      <c r="H176" s="1308"/>
      <c r="I176" s="1538">
        <f>IF(C176="",0,IF(OR(C176&lt;=0,G176&lt;=0),E176,IF(G176&lt;C176,0,UETable!BA33)))</f>
        <v>0</v>
      </c>
      <c r="J176" s="1538"/>
      <c r="K176" s="1556" t="str">
        <f>IF(OR(C176="NA",G176="NA"),"",IF(AND(C176&lt;&gt;"",G176=""),"Enter contralateral or NA.",IF(AND(C176="",G176&lt;&gt;""),"Need data","")))</f>
        <v/>
      </c>
      <c r="L176" s="1556"/>
      <c r="M176" s="1556"/>
      <c r="N176" s="1556"/>
      <c r="O176" s="1556"/>
      <c r="P176" s="1373"/>
      <c r="R176" s="1025"/>
      <c r="S176" s="1024">
        <v>90</v>
      </c>
      <c r="T176" s="58" t="str">
        <f>IF(OR(C176="",C176="NA"),"",IF(C176&gt;S176,S176,IF(C176&lt;0,0,C176)))</f>
        <v/>
      </c>
      <c r="U176" s="58" t="str">
        <f>IF(OR(G176="",G176="NA"),"",IF(G176&gt;S176,S176,IF(G176&lt;0,0,G176)))</f>
        <v/>
      </c>
      <c r="V176" s="696" t="str">
        <f>IF(Y176="","",ROUND(Y176,0))</f>
        <v/>
      </c>
      <c r="W176" s="1410" t="s">
        <v>1203</v>
      </c>
      <c r="X176" s="1410"/>
      <c r="Y176" s="697" t="str">
        <f>IF(T176="","",IF(OR(U176="",U176=0,U176&lt;T176),T176,(T176*90)/U176))</f>
        <v/>
      </c>
      <c r="Z176" s="18"/>
      <c r="AA176" s="1040">
        <f>IF(AND(AA169&gt;0,AA169&lt;0.01),0.01,ROUND(AA169,2))</f>
        <v>0</v>
      </c>
      <c r="AB176" s="1042">
        <f>LARGE(AA176:AA178,1)</f>
        <v>0</v>
      </c>
      <c r="AC176" s="1040">
        <f>AB176+AB177*(1-AB176)</f>
        <v>0</v>
      </c>
      <c r="AD176" s="1040">
        <f>ROUND(AC176,2)</f>
        <v>0</v>
      </c>
      <c r="AE176" s="1039"/>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row>
    <row r="177" spans="1:109" ht="13.5" customHeight="1" x14ac:dyDescent="0.2">
      <c r="B177" s="185" t="s">
        <v>1579</v>
      </c>
      <c r="C177" s="1308"/>
      <c r="D177" s="1308"/>
      <c r="E177" s="1558">
        <f>UETable!AV34</f>
        <v>0</v>
      </c>
      <c r="F177" s="1558"/>
      <c r="G177" s="1308"/>
      <c r="H177" s="1308"/>
      <c r="I177" s="1538">
        <f>IF(C177="",0,IF(OR(C177&gt;=90,G177&gt;=90),E177,IF(G177&gt;C177,0,UETable!BA34)))</f>
        <v>0</v>
      </c>
      <c r="J177" s="1538"/>
      <c r="K177" s="1556" t="str">
        <f>IF(OR(C177="NA",G177="NA"),"",IF(AND(C177&lt;&gt;"",G177=""),"Enter contralateral or NA.",IF(AND(C177="",G177&lt;&gt;""),"Need data","")))</f>
        <v/>
      </c>
      <c r="L177" s="1556"/>
      <c r="M177" s="1556"/>
      <c r="N177" s="1556"/>
      <c r="O177" s="1556"/>
      <c r="P177" s="1373"/>
      <c r="R177" s="1025"/>
      <c r="S177" s="1024">
        <v>90</v>
      </c>
      <c r="T177" s="58" t="str">
        <f>IF(OR(C177="",C177="NA"),"",IF(C177&gt;S177,S177,IF(C177&lt;0,0,C177)))</f>
        <v/>
      </c>
      <c r="U177" s="58" t="str">
        <f>IF(OR(G177="",G177="NA"),"",IF(G177&gt;S177,S177,IF(G177&lt;0,0,G177)))</f>
        <v/>
      </c>
      <c r="V177" s="696" t="str">
        <f>IF(Y177="","",ROUND(Y177,0))</f>
        <v/>
      </c>
      <c r="W177" s="58">
        <f>IF(T177="",0,90-T177)</f>
        <v>0</v>
      </c>
      <c r="X177" s="58">
        <f>IF(U177="",0,90-U177)</f>
        <v>0</v>
      </c>
      <c r="Y177" s="697" t="str">
        <f>IF(T177="","",IF(OR(U177="",U177=0,U177&gt;T177),T177,90-(W177*90)/X177))</f>
        <v/>
      </c>
      <c r="Z177" s="18"/>
      <c r="AA177" s="1040">
        <f>IF(AND(AB169&gt;0,AB169&lt;0.01),0.01,ROUND(AB169,2))</f>
        <v>0</v>
      </c>
      <c r="AB177" s="1042">
        <f>LARGE(AA176:AA178,2)</f>
        <v>0</v>
      </c>
      <c r="AC177" s="684">
        <f>AD176+AB178*(1-AD176)</f>
        <v>0</v>
      </c>
      <c r="AD177" s="1040">
        <f>ROUND(AC177,2)</f>
        <v>0</v>
      </c>
      <c r="AE177" s="1039"/>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row>
    <row r="178" spans="1:109" ht="15" customHeight="1" x14ac:dyDescent="0.2">
      <c r="B178" s="185" t="s">
        <v>643</v>
      </c>
      <c r="C178" s="1308"/>
      <c r="D178" s="1308"/>
      <c r="E178" s="1558">
        <f>IF(AND(C178&lt;&gt;"",C178&lt;&gt;"NA",C177&lt;&gt;"NA",C177&lt;&gt;""),"ERROR",IF(AND(C178&lt;&gt;"",C178&lt;&gt;"NA",C176&lt;&gt;"",C176&lt;&gt;"NA"),"ERROR",UETable!AV35))</f>
        <v>0</v>
      </c>
      <c r="F178" s="1558"/>
      <c r="G178" s="1556" t="str">
        <f>IF(AND(C178&lt;&gt;"",C178&lt;&gt;"NA",C177&lt;&gt;"NA",C177&lt;&gt;""),"ERROR: Cannot rate ROM and ankylosis.",IF(AND(C178&lt;&gt;"",C178&lt;&gt;"NA",C176&lt;&gt;"",C176&lt;&gt;"NA"),"ERROR: Cannot rate ROM and ankylosis.",""))</f>
        <v/>
      </c>
      <c r="H178" s="1556"/>
      <c r="I178" s="1556"/>
      <c r="J178" s="1556"/>
      <c r="K178" s="1556"/>
      <c r="L178" s="1556"/>
      <c r="M178" s="1556"/>
      <c r="N178" s="1556"/>
      <c r="O178" s="1556"/>
      <c r="P178" s="1373"/>
      <c r="R178" s="1024">
        <f>IF(OR(O171="ERROR",O175="ERROR",O179="ERROR"),1,0)</f>
        <v>0</v>
      </c>
      <c r="S178" s="58">
        <v>90</v>
      </c>
      <c r="T178" s="58" t="str">
        <f>IF(OR(C178="",C178="NA"),"",IF(C178&gt;S178,S178,IF(C178&lt;0,0,C178)))</f>
        <v/>
      </c>
      <c r="U178" s="18"/>
      <c r="V178" s="18"/>
      <c r="W178" s="18"/>
      <c r="X178" s="18"/>
      <c r="Y178" s="18"/>
      <c r="Z178" s="18"/>
      <c r="AA178" s="1040">
        <f>IF(AND(AC169&gt;0,AC169&lt;0.01),0.01,ROUND(AC169,2))</f>
        <v>0</v>
      </c>
      <c r="AB178" s="1042">
        <f>LARGE(AA176:AA178,3)</f>
        <v>0</v>
      </c>
      <c r="AC178" s="1038"/>
      <c r="AD178" s="1038"/>
      <c r="AE178" s="1039"/>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row>
    <row r="179" spans="1:109" ht="12.75" customHeight="1" x14ac:dyDescent="0.2">
      <c r="B179" s="1045"/>
      <c r="C179" s="1046"/>
      <c r="D179" s="1046"/>
      <c r="E179" s="1796" t="str">
        <f>IF(AND(OR(E170&gt;0,E174&gt;0,E178&gt;0),C180&gt;0),"Note: Ankylosis is not apportioned.","")</f>
        <v/>
      </c>
      <c r="F179" s="1796"/>
      <c r="G179" s="1796"/>
      <c r="H179" s="1796"/>
      <c r="I179" s="1796"/>
      <c r="J179" s="1568" t="s">
        <v>1842</v>
      </c>
      <c r="K179" s="1568"/>
      <c r="L179" s="1568"/>
      <c r="M179" s="1568"/>
      <c r="N179" s="1568"/>
      <c r="O179" s="77">
        <f>IF(E178="ERROR","ERROR",IF(R179&gt;1,1,R179))</f>
        <v>0</v>
      </c>
      <c r="P179" s="1373"/>
      <c r="R179" s="243">
        <f>SUM(I176,I177,E178)</f>
        <v>0</v>
      </c>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row>
    <row r="180" spans="1:109" ht="18" customHeight="1" x14ac:dyDescent="0.2">
      <c r="B180" s="1043" t="s">
        <v>2259</v>
      </c>
      <c r="C180" s="1544"/>
      <c r="D180" s="1577"/>
      <c r="E180" s="1796"/>
      <c r="F180" s="1796"/>
      <c r="G180" s="1796"/>
      <c r="H180" s="1796"/>
      <c r="I180" s="1796"/>
      <c r="J180" s="1568" t="s">
        <v>589</v>
      </c>
      <c r="K180" s="1568"/>
      <c r="L180" s="1568"/>
      <c r="M180" s="1568"/>
      <c r="N180" s="1568"/>
      <c r="O180" s="1568"/>
      <c r="P180" s="1373"/>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row>
    <row r="181" spans="1:109" ht="12" customHeight="1" x14ac:dyDescent="0.2">
      <c r="B181" s="1395"/>
      <c r="C181" s="1395"/>
      <c r="D181" s="1395"/>
      <c r="E181" s="1395"/>
      <c r="F181" s="1395"/>
      <c r="G181" s="1395"/>
      <c r="H181" s="1395"/>
      <c r="I181" s="1395"/>
      <c r="J181" s="1395"/>
      <c r="K181" s="1395"/>
      <c r="L181" s="1395"/>
      <c r="M181" s="1395"/>
      <c r="N181" s="1395"/>
      <c r="O181" s="1395"/>
      <c r="P181" s="182"/>
      <c r="R181" s="18"/>
      <c r="S181" s="1487" t="s">
        <v>2197</v>
      </c>
      <c r="T181" s="1487"/>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row>
    <row r="182" spans="1:109" ht="14.25" customHeight="1" x14ac:dyDescent="0.2">
      <c r="A182" s="189"/>
      <c r="B182" s="1581" t="s">
        <v>969</v>
      </c>
      <c r="C182" s="1582"/>
      <c r="D182" s="1543"/>
      <c r="E182" s="1543"/>
      <c r="F182" s="1587" t="s">
        <v>1229</v>
      </c>
      <c r="G182" s="1587"/>
      <c r="H182" s="1587"/>
      <c r="I182" s="1587"/>
      <c r="J182" s="1587"/>
      <c r="K182" s="1587"/>
      <c r="L182" s="1587"/>
      <c r="M182" s="1587"/>
      <c r="N182" s="1587"/>
      <c r="O182" s="1587"/>
      <c r="P182" s="95">
        <f>IF(T182=1,0.1,0)</f>
        <v>0</v>
      </c>
      <c r="R182" s="18"/>
      <c r="S182" s="686" t="b">
        <v>0</v>
      </c>
      <c r="T182" s="58">
        <f>IF(S182=TRUE,1,0)</f>
        <v>0</v>
      </c>
      <c r="U182" s="182"/>
      <c r="W182" s="18"/>
      <c r="X182" s="18"/>
      <c r="Y182" s="18"/>
      <c r="Z182" s="18"/>
      <c r="AA182" s="18"/>
      <c r="AB182" s="18"/>
      <c r="AC182" s="18"/>
      <c r="AD182" s="18"/>
      <c r="AE182" s="18"/>
      <c r="AF182" s="18"/>
      <c r="AG182" s="18">
        <v>1E-4</v>
      </c>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row>
    <row r="183" spans="1:109" x14ac:dyDescent="0.2">
      <c r="B183" s="1583"/>
      <c r="C183" s="1584"/>
      <c r="D183" s="1543"/>
      <c r="E183" s="1543"/>
      <c r="F183" s="1587" t="s">
        <v>1231</v>
      </c>
      <c r="G183" s="1587"/>
      <c r="H183" s="1587"/>
      <c r="I183" s="1587"/>
      <c r="J183" s="1587"/>
      <c r="K183" s="1587"/>
      <c r="L183" s="1587"/>
      <c r="M183" s="1587"/>
      <c r="N183" s="1587"/>
      <c r="O183" s="1587"/>
      <c r="P183" s="95">
        <f>IF(T183=1,0.1,0)</f>
        <v>0</v>
      </c>
      <c r="R183" s="18"/>
      <c r="S183" s="686" t="b">
        <v>0</v>
      </c>
      <c r="T183" s="58">
        <f>IF(S183=TRUE,1,0)</f>
        <v>0</v>
      </c>
      <c r="U183" s="182"/>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row>
    <row r="184" spans="1:109" x14ac:dyDescent="0.2">
      <c r="B184" s="1583"/>
      <c r="C184" s="1584"/>
      <c r="D184" s="1543"/>
      <c r="E184" s="1543"/>
      <c r="F184" s="1587" t="s">
        <v>1230</v>
      </c>
      <c r="G184" s="1587"/>
      <c r="H184" s="1587"/>
      <c r="I184" s="1587"/>
      <c r="J184" s="1587"/>
      <c r="K184" s="1587"/>
      <c r="L184" s="1587"/>
      <c r="M184" s="1587"/>
      <c r="N184" s="1587"/>
      <c r="O184" s="1587"/>
      <c r="P184" s="95">
        <f>IF(T184=1,0.1,0)</f>
        <v>0</v>
      </c>
      <c r="R184" s="18"/>
      <c r="S184" s="686" t="b">
        <v>0</v>
      </c>
      <c r="T184" s="58">
        <f>IF(S184=TRUE,1,0)</f>
        <v>0</v>
      </c>
      <c r="U184" s="10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row>
    <row r="185" spans="1:109" x14ac:dyDescent="0.2">
      <c r="B185" s="1585"/>
      <c r="C185" s="1586"/>
      <c r="D185" s="1543"/>
      <c r="E185" s="1543"/>
      <c r="F185" s="1587" t="s">
        <v>1232</v>
      </c>
      <c r="G185" s="1587"/>
      <c r="H185" s="1587"/>
      <c r="I185" s="1587"/>
      <c r="J185" s="1587"/>
      <c r="K185" s="1587"/>
      <c r="L185" s="1587"/>
      <c r="M185" s="1587"/>
      <c r="N185" s="1587"/>
      <c r="O185" s="1587"/>
      <c r="P185" s="95">
        <f>IF(T185=1,0.1,0)</f>
        <v>0</v>
      </c>
      <c r="R185" s="18"/>
      <c r="S185" s="686" t="b">
        <v>0</v>
      </c>
      <c r="T185" s="58">
        <f>IF(S185=TRUE,1,0)</f>
        <v>0</v>
      </c>
      <c r="U185" s="10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row>
    <row r="186" spans="1:109" ht="12" customHeight="1" x14ac:dyDescent="0.2">
      <c r="B186" s="1395"/>
      <c r="C186" s="1395"/>
      <c r="D186" s="1395"/>
      <c r="E186" s="1395"/>
      <c r="F186" s="1395"/>
      <c r="G186" s="1395"/>
      <c r="H186" s="1395"/>
      <c r="I186" s="1395"/>
      <c r="J186" s="1395"/>
      <c r="K186" s="1395"/>
      <c r="L186" s="1395"/>
      <c r="M186" s="1395"/>
      <c r="N186" s="1395"/>
      <c r="O186" s="1395"/>
      <c r="P186" s="182"/>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row>
    <row r="187" spans="1:109" ht="12" customHeight="1" x14ac:dyDescent="0.2">
      <c r="B187" s="604"/>
      <c r="C187" s="1607" t="s">
        <v>248</v>
      </c>
      <c r="D187" s="1597"/>
      <c r="E187" s="1596" t="s">
        <v>249</v>
      </c>
      <c r="F187" s="1597"/>
      <c r="G187" s="434"/>
      <c r="H187" s="436"/>
      <c r="I187" s="1625" t="s">
        <v>250</v>
      </c>
      <c r="J187" s="1597"/>
      <c r="K187" s="595"/>
      <c r="L187" s="436"/>
      <c r="M187" s="1596" t="s">
        <v>249</v>
      </c>
      <c r="N187" s="1597"/>
      <c r="O187" s="435"/>
      <c r="P187" s="611"/>
      <c r="Z187" s="601"/>
      <c r="AE187" s="600"/>
      <c r="AF187" s="600"/>
      <c r="AG187" s="600"/>
      <c r="AH187" s="600"/>
      <c r="AI187" s="600"/>
      <c r="AJ187" s="600"/>
      <c r="AK187" s="600"/>
      <c r="AL187" s="600"/>
      <c r="AM187" s="600"/>
      <c r="AN187" s="600"/>
    </row>
    <row r="188" spans="1:109" ht="12" customHeight="1" x14ac:dyDescent="0.2">
      <c r="B188" s="605"/>
      <c r="C188" s="1610" t="s">
        <v>251</v>
      </c>
      <c r="D188" s="1580"/>
      <c r="E188" s="1610" t="s">
        <v>252</v>
      </c>
      <c r="F188" s="1580"/>
      <c r="G188" s="1610" t="s">
        <v>253</v>
      </c>
      <c r="H188" s="1580"/>
      <c r="I188" s="1579" t="s">
        <v>254</v>
      </c>
      <c r="J188" s="1580"/>
      <c r="K188" s="1610" t="s">
        <v>255</v>
      </c>
      <c r="L188" s="1580"/>
      <c r="M188" s="1610" t="s">
        <v>256</v>
      </c>
      <c r="N188" s="1580"/>
      <c r="O188" s="3"/>
      <c r="P188" s="612"/>
      <c r="Z188" s="418"/>
      <c r="AE188" s="600"/>
      <c r="AF188" s="600"/>
      <c r="AG188" s="600"/>
      <c r="AH188" s="600"/>
      <c r="AI188" s="600"/>
      <c r="AJ188" s="600"/>
      <c r="AK188" s="600"/>
      <c r="AL188" s="600"/>
      <c r="AM188" s="600"/>
      <c r="AN188" s="600"/>
    </row>
    <row r="189" spans="1:109" ht="12" customHeight="1" x14ac:dyDescent="0.2">
      <c r="B189" s="605"/>
      <c r="C189" s="1552" t="s">
        <v>257</v>
      </c>
      <c r="D189" s="1553"/>
      <c r="E189" s="1552" t="s">
        <v>258</v>
      </c>
      <c r="F189" s="1553"/>
      <c r="G189" s="1552" t="s">
        <v>259</v>
      </c>
      <c r="H189" s="1553"/>
      <c r="I189" s="1635" t="s">
        <v>260</v>
      </c>
      <c r="J189" s="1553"/>
      <c r="K189" s="1552" t="s">
        <v>259</v>
      </c>
      <c r="L189" s="1553"/>
      <c r="M189" s="1552" t="s">
        <v>258</v>
      </c>
      <c r="N189" s="1553"/>
      <c r="O189" s="3"/>
      <c r="P189" s="612"/>
      <c r="AH189" s="783">
        <v>1</v>
      </c>
      <c r="AI189" s="783">
        <v>2</v>
      </c>
      <c r="AJ189" s="783">
        <v>3</v>
      </c>
      <c r="AK189" s="783">
        <v>4</v>
      </c>
      <c r="AM189" s="600"/>
      <c r="AN189" s="600"/>
      <c r="AO189" s="600"/>
      <c r="AP189" s="600"/>
      <c r="AQ189" s="600"/>
      <c r="AR189" s="600"/>
      <c r="AS189" s="600"/>
      <c r="AT189" s="600"/>
      <c r="AU189" s="600"/>
      <c r="AV189" s="600"/>
    </row>
    <row r="190" spans="1:109" ht="12" customHeight="1" x14ac:dyDescent="0.2">
      <c r="B190" s="679" t="s">
        <v>1986</v>
      </c>
      <c r="C190" s="1608" t="s">
        <v>261</v>
      </c>
      <c r="D190" s="1609"/>
      <c r="E190" s="1608" t="s">
        <v>261</v>
      </c>
      <c r="F190" s="1609"/>
      <c r="G190" s="1608" t="s">
        <v>261</v>
      </c>
      <c r="H190" s="1609"/>
      <c r="I190" s="1608" t="s">
        <v>261</v>
      </c>
      <c r="J190" s="1609"/>
      <c r="K190" s="1608" t="s">
        <v>261</v>
      </c>
      <c r="L190" s="1609"/>
      <c r="M190" s="1608" t="s">
        <v>261</v>
      </c>
      <c r="N190" s="1609"/>
      <c r="O190" s="3"/>
      <c r="P190" s="612"/>
      <c r="S190" s="1516" t="s">
        <v>2197</v>
      </c>
      <c r="T190" s="1517"/>
      <c r="U190" s="1517"/>
      <c r="V190" s="1517"/>
      <c r="W190" s="1517"/>
      <c r="X190" s="1518"/>
      <c r="Y190" s="599"/>
      <c r="Z190" s="599"/>
      <c r="AA190" s="1562" t="s">
        <v>2197</v>
      </c>
      <c r="AB190" s="1563"/>
      <c r="AC190" s="1563"/>
      <c r="AD190" s="1563"/>
      <c r="AE190" s="1563"/>
      <c r="AF190" s="1564"/>
      <c r="AG190" s="599"/>
      <c r="AH190" s="1519" t="s">
        <v>2197</v>
      </c>
      <c r="AI190" s="1520"/>
      <c r="AJ190" s="1520"/>
      <c r="AK190" s="1520"/>
      <c r="AL190" s="1520"/>
      <c r="AM190" s="1521"/>
      <c r="AO190" s="1516" t="s">
        <v>2197</v>
      </c>
      <c r="AP190" s="1517"/>
      <c r="AQ190" s="1517"/>
      <c r="AR190" s="1517"/>
      <c r="AS190" s="1518"/>
      <c r="AU190" s="1516" t="s">
        <v>2197</v>
      </c>
      <c r="AV190" s="1517"/>
      <c r="AW190" s="1517"/>
      <c r="AX190" s="1518"/>
      <c r="AZ190" s="1516" t="s">
        <v>2197</v>
      </c>
      <c r="BA190" s="1517"/>
      <c r="BB190" s="1517"/>
      <c r="BC190" s="1517"/>
      <c r="BD190" s="1517"/>
      <c r="BE190" s="1517"/>
      <c r="BF190" s="1517"/>
      <c r="BG190" s="1518"/>
      <c r="BI190" s="1516" t="s">
        <v>2197</v>
      </c>
      <c r="BJ190" s="1517"/>
      <c r="BK190" s="1517"/>
      <c r="BL190" s="1517"/>
      <c r="BM190" s="1517"/>
      <c r="BN190" s="1518"/>
    </row>
    <row r="191" spans="1:109" s="419" customFormat="1" ht="15" customHeight="1" x14ac:dyDescent="0.2">
      <c r="B191" s="185" t="s">
        <v>1607</v>
      </c>
      <c r="C191" s="1554"/>
      <c r="D191" s="1554"/>
      <c r="E191" s="1554"/>
      <c r="F191" s="1554"/>
      <c r="G191" s="1554"/>
      <c r="H191" s="1554"/>
      <c r="I191" s="1554"/>
      <c r="J191" s="1554"/>
      <c r="K191" s="1554"/>
      <c r="L191" s="1554"/>
      <c r="M191" s="1554"/>
      <c r="N191" s="1554"/>
      <c r="O191" s="613"/>
      <c r="P191" s="614"/>
      <c r="S191" s="369">
        <f>IF(C191="",0,C191)</f>
        <v>0</v>
      </c>
      <c r="T191" s="369">
        <f>IF(E191&lt;&gt;"",E191,IF(S191&gt;0,S191,0))</f>
        <v>0</v>
      </c>
      <c r="U191" s="369">
        <f>IF(G191&lt;&gt;"",G191,IF(T191&gt;0,T191,0))</f>
        <v>0</v>
      </c>
      <c r="V191" s="369">
        <f>IF(I191&lt;&gt;"",I191,IF(U191&gt;0,U191,0))</f>
        <v>0</v>
      </c>
      <c r="W191" s="369">
        <f>IF(K191&lt;&gt;"",K191,IF(V191&gt;0,V191,0))</f>
        <v>0</v>
      </c>
      <c r="X191" s="369">
        <f>IF(M191&lt;&gt;"",M191,IF(W191&gt;0,W191,0))</f>
        <v>0</v>
      </c>
      <c r="Z191" s="599"/>
      <c r="AA191" s="607">
        <f>IF(C191&gt;1,1,0)</f>
        <v>0</v>
      </c>
      <c r="AB191" s="369">
        <f t="shared" ref="AB191:AF193" si="22">IF(AND(S191&lt;&gt;T191,T191&gt;0),1,0)</f>
        <v>0</v>
      </c>
      <c r="AC191" s="369">
        <f t="shared" si="22"/>
        <v>0</v>
      </c>
      <c r="AD191" s="369">
        <f t="shared" si="22"/>
        <v>0</v>
      </c>
      <c r="AE191" s="369">
        <f t="shared" si="22"/>
        <v>0</v>
      </c>
      <c r="AF191" s="369">
        <f t="shared" si="22"/>
        <v>0</v>
      </c>
      <c r="AH191" s="602">
        <f>IF(S191=1,0,IF(S191=2,0.25,IF(S191=3,0.38,IF(S191=4,0.5,0))))</f>
        <v>0</v>
      </c>
      <c r="AI191" s="602">
        <f>IF(T191=1,0,IF(T191=2,0.23,IF(T191=3,0.35,IF(T191=4,0.45,0))))</f>
        <v>0</v>
      </c>
      <c r="AJ191" s="602">
        <f>IF(U191=1,0,IF(U191=2,0.2,IF(U191=3,0.3,IF(U191=4,0.39,0))))</f>
        <v>0</v>
      </c>
      <c r="AK191" s="602">
        <f>IF(V191=1,0,IF(V191=2,0.17,IF(V191=3,0.25,IF(V191=4,0.33,0))))</f>
        <v>0</v>
      </c>
      <c r="AL191" s="602">
        <f>IF(W191=1,0,IF(W191=2,0.13,IF(W191=3,0.19,IF(W191=4,0.24,0))))</f>
        <v>0</v>
      </c>
      <c r="AM191" s="602">
        <f>IF(X191=1,0,IF(X191=2,0.08,IF(X191=3,0.12,IF(X191=4,0.15,0))))</f>
        <v>0</v>
      </c>
      <c r="AN191" s="603"/>
      <c r="AO191" s="602">
        <f>IF(S191=1,0,IF(S191=2,0.23,IF(S191=3,0.35,IF(S191=4,0.45,0))))</f>
        <v>0</v>
      </c>
      <c r="AP191" s="602">
        <f>IF(T191=1,0,IF(T191=2,0.2,IF(T191=3,0.3,IF(T191=4,0.39,0))))</f>
        <v>0</v>
      </c>
      <c r="AQ191" s="602">
        <f>IF(U191=1,0,IF(U191=2,0.17,IF(U191=3,0.25,IF(U191=4,0.33,0))))</f>
        <v>0</v>
      </c>
      <c r="AR191" s="602">
        <f>IF(V191=1,0,IF(V191=2,0.13,IF(V191=3,0.19,IF(V191=4,0.24,0))))</f>
        <v>0</v>
      </c>
      <c r="AS191" s="602">
        <f>IF(W191=1,0,IF(W191=2,0.08,IF(W191=3,0.12,IF(W191=4,0.15,0))))</f>
        <v>0</v>
      </c>
      <c r="AU191" s="602">
        <f>IF(S191=1,0,IF(S191=2,0.2,IF(S191=3,0.3,IF(S191=4,0.39,0))))</f>
        <v>0</v>
      </c>
      <c r="AV191" s="602">
        <f>IF(T191=1,0,IF(T191=2,0.17,IF(T191=3,0.25,IF(T191=4,0.33,0))))</f>
        <v>0</v>
      </c>
      <c r="AW191" s="602">
        <f>IF(U191=1,0,IF(U191=2,0.13,IF(U191=3,0.19,IF(U191=4,0.24,0))))</f>
        <v>0</v>
      </c>
      <c r="AX191" s="602">
        <f>IF(V191=1,0,IF(V191=2,0.08,IF(V191=3,0.12,IF(V191=4,0.15,0))))</f>
        <v>0</v>
      </c>
      <c r="AZ191" s="602">
        <f>IF(S191=1,0,IF(S191=2,0.17,IF(S191=3,0.25,IF(S191=4,0.33,0))))</f>
        <v>0</v>
      </c>
      <c r="BA191" s="602">
        <f>IF(T191=1,0,IF(T191=2,0.13,IF(T191=3,0.19,IF(T191=4,0.24,0))))</f>
        <v>0</v>
      </c>
      <c r="BB191" s="602">
        <f>IF(U191=1,0,IF(U191=2,0.08,IF(U191=3,0.12,IF(U191=4,0.15,0))))</f>
        <v>0</v>
      </c>
      <c r="BD191" s="602">
        <f>IF(S191=1,0,IF(S191=2,0.13,IF(S191=3,0.19,IF(S191=4,0.24,0))))</f>
        <v>0</v>
      </c>
      <c r="BE191" s="602">
        <f>IF(T191=1,0,IF(T191=2,0.08,IF(T191=3,0.12,IF(T191=4,0.15,0))))</f>
        <v>0</v>
      </c>
      <c r="BG191" s="602">
        <f>IF(S191=1,0,IF(S191=2,0.08,IF(S191=3,0.12,IF(S191=4,0.15,0))))</f>
        <v>0</v>
      </c>
      <c r="BI191" s="602">
        <f>IF(AA191=0,0,IF(OR(AB191=1,AB192=1,AB193=1),AH191-AO191,IF(OR(AC191=1,AC192=1,AC193=1),AH191-AU191,IF(OR(AD191=1,AD192=1,AD193=1),AH191-AZ191,IF(OR(AE191=1,AE192=1,AE193=1),AH191-BD191,IF(OR(AF191=1,AF192=1,AF193=1),AH191-BG191,AH191))))))</f>
        <v>0</v>
      </c>
      <c r="BJ191" s="602">
        <f>IF(AB191=0,0,IF(OR(AC191=1,AC192=1,AC193=1),AI191-AP191,IF(OR(AD191=1,AD192=1,AD193=1),AI191-AV191,IF(OR(AE191=1,AE192=1,AE193=1),AI191-BA191,IF(OR(AF191=1,AF192=1,AF193=1),AI191-BE191,AI191)))))</f>
        <v>0</v>
      </c>
      <c r="BK191" s="602">
        <f>IF(AC191=0,0,IF(OR(AD191=1,AD192=1,AD193=1),AJ191-AQ191,IF(OR(AE191=1,AE192=1,AE193=1),AJ191-AW191,IF(OR(AF191=1,AF192=1,AF193=1),AJ191-BB191,AJ191))))</f>
        <v>0</v>
      </c>
      <c r="BL191" s="602">
        <f>IF(AD191=0,0,IF(OR(AE191=1,AE192=1,AE193=1),AK191-AR191,IF(OR(AF191=1,AF192=1,AF193=1),AK191-AX191,AK191)))</f>
        <v>0</v>
      </c>
      <c r="BM191" s="602">
        <f>IF(AE191=0,0,IF(OR(AF191=1,AF192=1,AF193=1),AL191-AS191,AL191))</f>
        <v>0</v>
      </c>
      <c r="BN191" s="602">
        <f>IF(AF191=0,0,AM191)</f>
        <v>0</v>
      </c>
      <c r="BP191" s="419" t="s">
        <v>262</v>
      </c>
      <c r="BR191" s="1516" t="s">
        <v>2197</v>
      </c>
      <c r="BS191" s="1517"/>
      <c r="BT191" s="1517"/>
      <c r="BU191" s="1517"/>
      <c r="BV191" s="1517"/>
      <c r="BW191" s="1517"/>
      <c r="BX191" s="1517"/>
      <c r="BY191" s="1517"/>
      <c r="BZ191" s="1517"/>
      <c r="CA191" s="1518"/>
    </row>
    <row r="192" spans="1:109" s="419" customFormat="1" ht="15" customHeight="1" x14ac:dyDescent="0.2">
      <c r="B192" s="369" t="s">
        <v>1610</v>
      </c>
      <c r="C192" s="1554"/>
      <c r="D192" s="1554"/>
      <c r="E192" s="1554"/>
      <c r="F192" s="1554"/>
      <c r="G192" s="1554"/>
      <c r="H192" s="1554"/>
      <c r="I192" s="1554"/>
      <c r="J192" s="1554"/>
      <c r="K192" s="1554"/>
      <c r="L192" s="1554"/>
      <c r="M192" s="1554"/>
      <c r="N192" s="1554"/>
      <c r="O192" s="613"/>
      <c r="P192" s="622"/>
      <c r="S192" s="369">
        <f>IF(C192="",0,C192)</f>
        <v>0</v>
      </c>
      <c r="T192" s="369">
        <f>IF(E192&lt;&gt;"",E192,IF(S192&gt;0,S192,0))</f>
        <v>0</v>
      </c>
      <c r="U192" s="369">
        <f>IF(G192&lt;&gt;"",G192,IF(T192&gt;0,T192,0))</f>
        <v>0</v>
      </c>
      <c r="V192" s="369">
        <f>IF(I192&lt;&gt;"",I192,IF(U192&gt;0,U192,0))</f>
        <v>0</v>
      </c>
      <c r="W192" s="369">
        <f>IF(K192&lt;&gt;"",K192,IF(V192&gt;0,V192,0))</f>
        <v>0</v>
      </c>
      <c r="X192" s="369">
        <f>IF(M192&lt;&gt;"",M192,IF(W192&gt;0,W192,0))</f>
        <v>0</v>
      </c>
      <c r="Z192" s="599"/>
      <c r="AA192" s="607">
        <f>IF(C192&gt;1,1,0)</f>
        <v>0</v>
      </c>
      <c r="AB192" s="369">
        <f t="shared" si="22"/>
        <v>0</v>
      </c>
      <c r="AC192" s="369">
        <f t="shared" si="22"/>
        <v>0</v>
      </c>
      <c r="AD192" s="369">
        <f t="shared" si="22"/>
        <v>0</v>
      </c>
      <c r="AE192" s="369">
        <f t="shared" si="22"/>
        <v>0</v>
      </c>
      <c r="AF192" s="369">
        <f t="shared" si="22"/>
        <v>0</v>
      </c>
      <c r="AH192" s="602">
        <f>IF(S192=1,0,IF(S192=2,0.17,IF(S192=3,0.25,IF(S192=4,0.35,0))))</f>
        <v>0</v>
      </c>
      <c r="AI192" s="602">
        <f>IF(T192=1,0,IF(T192=2,0.15,IF(T192=3,0.23,IF(T192=4,0.31,0))))</f>
        <v>0</v>
      </c>
      <c r="AJ192" s="602">
        <f>IF(U192=1,0,IF(U192=2,0.13,IF(U192=3,0.2,IF(U192=4,0.27,0))))</f>
        <v>0</v>
      </c>
      <c r="AK192" s="602">
        <f>IF(V192=1,0,IF(V192=2,0.11,IF(V192=3,0.17,IF(V192=4,0.22,0))))</f>
        <v>0</v>
      </c>
      <c r="AL192" s="602">
        <f>IF(W192=1,0,IF(W192=2,0.08,IF(W192=3,0.12,IF(W192=4,0.16,0))))</f>
        <v>0</v>
      </c>
      <c r="AM192" s="602">
        <f>IF(X192=1,0,IF(X192=2,0.05,IF(X192=3,0.07,IF(X192=4,0.1,0))))</f>
        <v>0</v>
      </c>
      <c r="AN192" s="603"/>
      <c r="AO192" s="602">
        <f>IF(S192=1,0,IF(S192=2,0.15,IF(S192=3,0.23,IF(S192=4,0.31,0))))</f>
        <v>0</v>
      </c>
      <c r="AP192" s="602">
        <f>IF(T192=1,0,IF(T192=2,0.13,IF(T192=3,0.2,IF(T192=4,0.27,0))))</f>
        <v>0</v>
      </c>
      <c r="AQ192" s="602">
        <f>IF(U192=1,0,IF(U192=2,0.11,IF(U192=3,0.17,IF(U192=4,0.22,0))))</f>
        <v>0</v>
      </c>
      <c r="AR192" s="602">
        <f>IF(V192=1,0,IF(V192=2,0.08,IF(V192=3,0.12,IF(V192=4,0.16,0))))</f>
        <v>0</v>
      </c>
      <c r="AS192" s="602">
        <f>IF(W192=1,0,IF(W192=2,0.05,IF(W192=3,0.07,IF(W192=4,0.1,0))))</f>
        <v>0</v>
      </c>
      <c r="AU192" s="602">
        <f>IF(S192=1,0,IF(S192=2,0.13,IF(S192=3,0.2,IF(S192=4,0.27,0))))</f>
        <v>0</v>
      </c>
      <c r="AV192" s="602">
        <f>IF(T192=1,0,IF(T192=2,0.11,IF(T192=3,0.17,IF(T192=4,0.22,0))))</f>
        <v>0</v>
      </c>
      <c r="AW192" s="602">
        <f>IF(U192=1,0,IF(U192=2,0.08,IF(U192=3,0.12,IF(U192=4,0.16,0))))</f>
        <v>0</v>
      </c>
      <c r="AX192" s="602">
        <f>IF(V192=1,0,IF(V192=2,0.05,IF(V192=3,0.07,IF(V192=4,0.1,0))))</f>
        <v>0</v>
      </c>
      <c r="AZ192" s="602">
        <f>IF(S192=1,0,IF(S192=2,0.11,IF(S192=3,0.17,IF(S192=4,0.22,0))))</f>
        <v>0</v>
      </c>
      <c r="BA192" s="602">
        <f>IF(T192=1,0,IF(T192=2,0.08,IF(T192=3,0.12,IF(T192=4,0.16,0))))</f>
        <v>0</v>
      </c>
      <c r="BB192" s="602">
        <f>IF(U192=1,0,IF(U192=2,0.05,IF(U192=3,0.07,IF(U192=4,0.1,0))))</f>
        <v>0</v>
      </c>
      <c r="BD192" s="602">
        <f>IF(S192=1,0,IF(S192=2,0.08,IF(S192=3,0.12,IF(S192=4,0.16,0))))</f>
        <v>0</v>
      </c>
      <c r="BE192" s="602">
        <f>IF(T192=1,0,IF(T192=2,0.05,IF(T192=3,0.07,IF(T192=4,0.1,0))))</f>
        <v>0</v>
      </c>
      <c r="BG192" s="602">
        <f>IF(S192=1,0,IF(S192=2,0.05,IF(S192=3,0.07,IF(S192=4,0.1,0))))</f>
        <v>0</v>
      </c>
      <c r="BI192" s="602">
        <f>IF(AA192=0,0,IF(OR(AB191=1,AB192=1),AH192-AO192,IF(OR(AC191=1,AC192=1),AH192-AU192,IF(OR(AD191=1,AD192=1),AH192-AZ192,IF(OR(AE191=1,AE192=1),AH192-BD192,IF(OR(AF191=1,AF192=1),AH192-BG192,AH192))))))</f>
        <v>0</v>
      </c>
      <c r="BJ192" s="602">
        <f>IF(AB192=0,0,IF(OR(AC191=1,AC192=1),AI192-AP192,IF(OR(AD191=1,AD192=1),AI192-AV192,IF(OR(AE191=1,AE192=1),AI192-BA192,IF(OR(AF191=1,AF192=1),AI192-BE192,AI192)))))</f>
        <v>0</v>
      </c>
      <c r="BK192" s="602">
        <f>IF(AC192=0,0,IF(OR(AD191=1,AD192=1),AJ192-AQ192,IF(OR(AE191=1,AE192=1),AJ192-AW192,IF(OR(AF191=1,AF192=1),AJ192-BB192,AJ192))))</f>
        <v>0</v>
      </c>
      <c r="BL192" s="602">
        <f>IF(AD192=0,0,IF(OR(AE191=1,AE192=1),AK192-AR192,IF(OR(AF191=1,AF192=1),AK192-AX192,AK192)))</f>
        <v>0</v>
      </c>
      <c r="BM192" s="602">
        <f>IF(AE192=0,0,IF(OR(AF191=1,AF192=1),AL192-AS192,AL192))</f>
        <v>0</v>
      </c>
      <c r="BN192" s="602">
        <f>IF(AF192=0,0,AM192)</f>
        <v>0</v>
      </c>
      <c r="BP192" s="608">
        <f>LARGE((BI191,BJ191,BK191,BL191,BM191,BN191,BI192,BJ192,BK192,BL192,BM192,BN192,BI193,BJ193,BK193,BL193,BM193,BN193),1)</f>
        <v>0</v>
      </c>
      <c r="BQ192" s="609">
        <f>LARGE((BI191,BJ191,BK191,BL191,BM191,BN191,BI192,BJ192,BK192,BL192,BM192,BN192,BI193,BJ193,BK193,BL193,BM193,BN193),2)</f>
        <v>0</v>
      </c>
      <c r="BR192" s="609">
        <f>LARGE((BI191,BJ191,BK191,BL191,BM191,BN191,BI192,BJ192,BK192,BL192,BM192,BN192,BI193,BJ193,BK193,BL193,BM193,BN193),3)</f>
        <v>0</v>
      </c>
      <c r="BS192" s="609">
        <f>LARGE((BI191,BJ191,BK191,BL191,BM191,BN191,BI192,BJ192,BK192,BL192,BM192,BN192,BI193,BJ193,BK193,BL193,BM193,BN193),4)</f>
        <v>0</v>
      </c>
      <c r="BT192" s="609">
        <f>LARGE((BI191,BJ191,BK191,BL191,BM191,BN191,BI192,BJ192,BK192,BL192,BM192,BN192,BI193,BJ193,BK193,BL193,BM193,BN193),5)</f>
        <v>0</v>
      </c>
      <c r="BU192" s="609">
        <f>LARGE((BI191,BJ191,BK191,BL191,BM191,BN191,BI192,BJ192,BK192,BL192,BM192,BN192,BI193,BJ193,BK193,BL193,BM193,BN193),6)</f>
        <v>0</v>
      </c>
      <c r="BV192" s="609">
        <f>LARGE((BI191,BJ191,BK191,BL191,BM191,BN191,BI192,BJ192,BK192,BL192,BM192,BN192,BI193,BJ193,BK193,BL193,BM193,BN193),7)</f>
        <v>0</v>
      </c>
      <c r="BW192" s="609">
        <f>LARGE((BI191,BJ191,BK191,BL191,BM191,BN191,BI192,BJ192,BK192,BL192,BM192,BN192,BI193,BJ193,BK193,BL193,BM193,BN193),8)</f>
        <v>0</v>
      </c>
      <c r="BX192" s="609">
        <f>LARGE((BI191,BJ191,BK191,BL191,BM191,BN191,BI192,BJ192,BK192,BL192,BM192,BN192,BI193,BJ193,BK193,BL193,BM193,BN193),9)</f>
        <v>0</v>
      </c>
      <c r="BY192" s="609">
        <f>LARGE((BI191,BJ191,BK191,BL191,BM191,BN191,BI192,BJ192,BK192,BL192,BM192,BN192,BI193,BJ193,BK193,BL193,BM193,BN193),10)</f>
        <v>0</v>
      </c>
      <c r="BZ192" s="609">
        <f>LARGE((BI191,BJ191,BK191,BL191,BM191,BN191,BI192,BJ192,BK192,BL192,BM192,BN192,BI193,BJ193,BK193,BL193,BM193,BN193),11)</f>
        <v>0</v>
      </c>
      <c r="CA192" s="609">
        <f>LARGE((BI191,BJ191,BK191,BL191,BM191,BN191,BI192,BJ192,BK192,BL192,BM192,BN192,BI193,BJ193,BK193,BL193,BM193,BN193),12)</f>
        <v>0</v>
      </c>
    </row>
    <row r="193" spans="1:109" s="419" customFormat="1" ht="15" customHeight="1" x14ac:dyDescent="0.2">
      <c r="B193" s="606" t="s">
        <v>1613</v>
      </c>
      <c r="C193" s="1554"/>
      <c r="D193" s="1554"/>
      <c r="E193" s="1554"/>
      <c r="F193" s="1554"/>
      <c r="G193" s="1554"/>
      <c r="H193" s="1554"/>
      <c r="I193" s="1554"/>
      <c r="J193" s="1554"/>
      <c r="K193" s="1554"/>
      <c r="L193" s="1554"/>
      <c r="M193" s="1554"/>
      <c r="N193" s="1554"/>
      <c r="O193" s="613"/>
      <c r="P193" s="622"/>
      <c r="S193" s="369">
        <f>IF(C193="",0,C193)</f>
        <v>0</v>
      </c>
      <c r="T193" s="369">
        <f>IF(E193&lt;&gt;"",E193,IF(S193&gt;0,S193,0))</f>
        <v>0</v>
      </c>
      <c r="U193" s="369">
        <f>IF(G193&lt;&gt;"",G193,IF(T193&gt;0,T193,0))</f>
        <v>0</v>
      </c>
      <c r="V193" s="369">
        <f>IF(I193&lt;&gt;"",I193,IF(U193&gt;0,U193,0))</f>
        <v>0</v>
      </c>
      <c r="W193" s="369">
        <f>IF(K193&lt;&gt;"",K193,IF(V193&gt;0,V193,0))</f>
        <v>0</v>
      </c>
      <c r="X193" s="369">
        <f>IF(M193&lt;&gt;"",M193,IF(W193&gt;0,W193,0))</f>
        <v>0</v>
      </c>
      <c r="AA193" s="607">
        <f>IF(C193&gt;1,1,0)</f>
        <v>0</v>
      </c>
      <c r="AB193" s="369">
        <f t="shared" si="22"/>
        <v>0</v>
      </c>
      <c r="AC193" s="369">
        <f t="shared" si="22"/>
        <v>0</v>
      </c>
      <c r="AD193" s="369">
        <f t="shared" si="22"/>
        <v>0</v>
      </c>
      <c r="AE193" s="369">
        <f t="shared" si="22"/>
        <v>0</v>
      </c>
      <c r="AF193" s="369">
        <f t="shared" si="22"/>
        <v>0</v>
      </c>
      <c r="AH193" s="602">
        <f>IF(S193=1,0,IF(S193=2,0.1,IF(S193=3,0.17,IF(S193=4,0.23,0))))</f>
        <v>0</v>
      </c>
      <c r="AI193" s="602">
        <f>IF(T193=1,0,IF(T193=2,0.09,IF(T193=3,0.15,IF(T193=4,0.2,0))))</f>
        <v>0</v>
      </c>
      <c r="AJ193" s="602">
        <f>IF(U193=1,0,IF(U193=2,0.08,IF(U193=3,0.13,IF(U193=4,0.17,0))))</f>
        <v>0</v>
      </c>
      <c r="AK193" s="602">
        <f>IF(V193=1,0,IF(V193=2,0.07,IF(V193=3,0.1,IF(V193=4,0.14,0))))</f>
        <v>0</v>
      </c>
      <c r="AL193" s="602">
        <f>IF(W193=1,0,IF(W193=2,0.05,IF(W193=3,0.08,IF(W193=4,0.1,0))))</f>
        <v>0</v>
      </c>
      <c r="AM193" s="602">
        <f>IF(X193=1,0,IF(X193=2,0.03,IF(X193=3,0.05,IF(X193=4,0.06,0))))</f>
        <v>0</v>
      </c>
      <c r="AN193" s="603"/>
      <c r="AO193" s="602">
        <f>IF(S193=1,0,IF(S193=2,0.09,IF(S193=3,0.15,IF(S193=4,0.2,0))))</f>
        <v>0</v>
      </c>
      <c r="AP193" s="602">
        <f>IF(T193=1,0,IF(T193=2,0.08,IF(T193=3,0.13,IF(T193=4,0.17,0))))</f>
        <v>0</v>
      </c>
      <c r="AQ193" s="602">
        <f>IF(U193=1,0,IF(U193=2,0.07,IF(U193=3,0.1,IF(U193=4,0.14,0))))</f>
        <v>0</v>
      </c>
      <c r="AR193" s="602">
        <f>IF(V193=1,0,IF(V193=2,0.05,IF(V193=3,0.08,IF(V193=4,0.1,0))))</f>
        <v>0</v>
      </c>
      <c r="AS193" s="602">
        <f>IF(W193=1,0,IF(W193=2,0.03,IF(W193=3,0.05,IF(W193=4,0.06,0))))</f>
        <v>0</v>
      </c>
      <c r="AU193" s="602">
        <f>IF(S193=1,0,IF(S193=2,0.08,IF(S193=3,0.13,IF(S193=4,0.17,0))))</f>
        <v>0</v>
      </c>
      <c r="AV193" s="602">
        <f>IF(T193=1,0,IF(T193=2,0.07,IF(T193=3,0.1,IF(T193=4,0.14,0))))</f>
        <v>0</v>
      </c>
      <c r="AW193" s="602">
        <f>IF(U193=1,0,IF(U193=2,0.05,IF(U193=3,0.08,IF(U193=4,0.1,0))))</f>
        <v>0</v>
      </c>
      <c r="AX193" s="602">
        <f>IF(V193=1,0,IF(V193=2,0.03,IF(V193=3,0.05,IF(V193=4,0.06,0))))</f>
        <v>0</v>
      </c>
      <c r="AZ193" s="602">
        <f>IF(S193=1,0,IF(S193=2,0.07,IF(S193=3,0.1,IF(S193=4,0.14,0))))</f>
        <v>0</v>
      </c>
      <c r="BA193" s="602">
        <f>IF(T193=1,0,IF(T193=2,0.05,IF(T193=3,0.08,IF(T193=4,0.1,0))))</f>
        <v>0</v>
      </c>
      <c r="BB193" s="602">
        <f>IF(U193=1,0,IF(U193=2,0.03,IF(U193=3,0.05,IF(U193=4,0.06,0))))</f>
        <v>0</v>
      </c>
      <c r="BD193" s="602">
        <f>IF(S193=1,0,IF(S193=2,0.05,IF(S193=3,0.08,IF(S193=4,0.1,0))))</f>
        <v>0</v>
      </c>
      <c r="BE193" s="602">
        <f>IF(T193=1,0,IF(T193=2,0.03,IF(T193=3,0.05,IF(T193=4,0.06,0))))</f>
        <v>0</v>
      </c>
      <c r="BG193" s="602">
        <f>IF(S193=1,0,IF(S193=2,0.03,IF(S193=3,0.05,IF(S193=4,0.06,0))))</f>
        <v>0</v>
      </c>
      <c r="BI193" s="602">
        <f>IF(AA193=0,0,IF(OR(AB191=1,AB193=1),AH193-AO193,IF(OR(AC191=1,AC193=1),AH193-AU193,IF(OR(AD191=1,AD193=1),AH193-AZ193,IF(OR(AE191=1,AE193=1),AH193-BD193,IF(OR(AF191=1,AF193=1),AH193-BG193,AH193))))))</f>
        <v>0</v>
      </c>
      <c r="BJ193" s="602">
        <f>IF(AB193=0,0,IF(OR(AC191=1,AC193=1),AI193-AP193,IF(OR(AD191=1,AD193=1),AI193-AV193,IF(OR(AE191=1,AE193=1),AI193-BA193,IF(OR(AF191=1,AF193=1),AI193-BE193,AI193)))))</f>
        <v>0</v>
      </c>
      <c r="BK193" s="602">
        <f>IF(AC193=0,0,IF(OR(AD191=1,AD193=1),AJ193-AQ193,IF(OR(AE191=1,AE193=1),AJ193-AW193,IF(OR(AF191=1,AF193=1),AJ193-BB193,AJ193))))</f>
        <v>0</v>
      </c>
      <c r="BL193" s="602">
        <f>IF(AD193=0,0,IF(OR(AE191=1,AE193=1),AK193-AR193,IF(OR(AF191=1,AF193=1),AK193-AX193,AK193)))</f>
        <v>0</v>
      </c>
      <c r="BM193" s="602">
        <f>IF(AE193=0,0,IF(OR(AF191=1,AF193=1),AL193-AS193,AL193))</f>
        <v>0</v>
      </c>
      <c r="BN193" s="602">
        <f>IF(AF193=0,0,AM193)</f>
        <v>0</v>
      </c>
      <c r="BP193" s="610">
        <f>ROUND(BP192+BQ192*(1-BP192),2)</f>
        <v>0</v>
      </c>
      <c r="BQ193" s="610">
        <f t="shared" ref="BQ193:BZ193" si="23">ROUND(BP193+BR192*(1-BP193),2)</f>
        <v>0</v>
      </c>
      <c r="BR193" s="610">
        <f t="shared" si="23"/>
        <v>0</v>
      </c>
      <c r="BS193" s="610">
        <f t="shared" si="23"/>
        <v>0</v>
      </c>
      <c r="BT193" s="610">
        <f t="shared" si="23"/>
        <v>0</v>
      </c>
      <c r="BU193" s="610">
        <f t="shared" si="23"/>
        <v>0</v>
      </c>
      <c r="BV193" s="610">
        <f t="shared" si="23"/>
        <v>0</v>
      </c>
      <c r="BW193" s="610">
        <f t="shared" si="23"/>
        <v>0</v>
      </c>
      <c r="BX193" s="610">
        <f t="shared" si="23"/>
        <v>0</v>
      </c>
      <c r="BY193" s="610">
        <f t="shared" si="23"/>
        <v>0</v>
      </c>
      <c r="BZ193" s="610">
        <f t="shared" si="23"/>
        <v>0</v>
      </c>
      <c r="CA193" s="607"/>
    </row>
    <row r="194" spans="1:109" s="419" customFormat="1" ht="15" customHeight="1" x14ac:dyDescent="0.2">
      <c r="B194" s="1593" t="str">
        <f>IF(AD194=1,"ERROR: If radial or ulnar impairment is recorded, do not enter losses for 'both sides.'","")</f>
        <v/>
      </c>
      <c r="C194" s="1594"/>
      <c r="D194" s="1594"/>
      <c r="E194" s="1594"/>
      <c r="F194" s="1594"/>
      <c r="G194" s="1594"/>
      <c r="H194" s="1594"/>
      <c r="I194" s="1594"/>
      <c r="J194" s="1594"/>
      <c r="K194" s="1594"/>
      <c r="L194" s="1594"/>
      <c r="M194" s="1594"/>
      <c r="N194" s="1594"/>
      <c r="O194" s="1595"/>
      <c r="P194" s="303">
        <f>IF(B194&lt;&gt;"","ERROR",BZ193)</f>
        <v>0</v>
      </c>
      <c r="S194" s="599"/>
      <c r="T194" s="599"/>
      <c r="U194" s="599"/>
      <c r="V194" s="599"/>
      <c r="W194" s="599"/>
      <c r="AA194" s="369">
        <f>SUM(AA191:AF191)</f>
        <v>0</v>
      </c>
      <c r="AB194" s="369">
        <f>SUM(AA192:AF192)</f>
        <v>0</v>
      </c>
      <c r="AC194" s="369">
        <f>SUM(AA193:AF193)</f>
        <v>0</v>
      </c>
      <c r="AD194" s="369">
        <f>IF(AND(AA194&gt;0,AB194&gt;0),1,IF(AND(AA194&gt;0,AC194&gt;0),1,0))</f>
        <v>0</v>
      </c>
      <c r="AE194" s="790"/>
      <c r="AF194" s="790"/>
    </row>
    <row r="195" spans="1:109" s="419" customFormat="1" ht="15" customHeight="1" x14ac:dyDescent="0.2">
      <c r="B195" s="434" t="s">
        <v>1227</v>
      </c>
      <c r="C195" s="597"/>
      <c r="D195" s="597"/>
      <c r="E195" s="597"/>
      <c r="F195" s="597"/>
      <c r="G195" s="597"/>
      <c r="H195" s="597"/>
      <c r="I195" s="597"/>
      <c r="J195" s="597"/>
      <c r="K195" s="597"/>
      <c r="L195" s="597"/>
      <c r="M195" s="597"/>
      <c r="N195" s="597"/>
      <c r="O195" s="616"/>
      <c r="P195" s="617"/>
      <c r="S195" s="599"/>
      <c r="T195" s="599"/>
      <c r="U195" s="599"/>
      <c r="V195" s="599"/>
      <c r="W195" s="599"/>
      <c r="X195" s="620"/>
      <c r="AA195" s="599"/>
      <c r="AB195" s="599"/>
      <c r="AC195" s="599"/>
      <c r="AD195" s="599"/>
      <c r="AE195" s="599"/>
      <c r="AF195" s="599"/>
    </row>
    <row r="196" spans="1:109" s="419" customFormat="1" ht="15" customHeight="1" x14ac:dyDescent="0.2">
      <c r="B196" s="185" t="s">
        <v>1607</v>
      </c>
      <c r="C196" s="1554"/>
      <c r="D196" s="1554"/>
      <c r="E196" s="1554"/>
      <c r="F196" s="1554"/>
      <c r="G196" s="1554"/>
      <c r="H196" s="1554"/>
      <c r="I196" s="1554"/>
      <c r="J196" s="1554"/>
      <c r="K196" s="1554"/>
      <c r="L196" s="1554"/>
      <c r="M196" s="1554"/>
      <c r="N196" s="1554"/>
      <c r="O196" s="613"/>
      <c r="P196" s="614"/>
      <c r="S196" s="369">
        <f>IF(C196="",0,C196)</f>
        <v>0</v>
      </c>
      <c r="T196" s="369">
        <f>IF(E196&lt;&gt;"",E196,IF(S196&gt;0,S196,0))</f>
        <v>0</v>
      </c>
      <c r="U196" s="369">
        <f>IF(G196&lt;&gt;"",G196,IF(T196&gt;0,T196,0))</f>
        <v>0</v>
      </c>
      <c r="V196" s="369">
        <f>IF(I196&lt;&gt;"",I196,IF(U196&gt;0,U196,0))</f>
        <v>0</v>
      </c>
      <c r="W196" s="369">
        <f>IF(K196&lt;&gt;"",K196,IF(V196&gt;0,V196,0))</f>
        <v>0</v>
      </c>
      <c r="X196" s="369">
        <f>IF(M196&lt;&gt;"",M196,IF(W196&gt;0,W196,0))</f>
        <v>0</v>
      </c>
      <c r="Z196" s="599"/>
      <c r="AA196" s="607">
        <f>IF(C196&gt;1,1,0)</f>
        <v>0</v>
      </c>
      <c r="AB196" s="369">
        <f t="shared" ref="AB196:AF198" si="24">IF(AND(S196&lt;&gt;T196,T196&gt;0),1,0)</f>
        <v>0</v>
      </c>
      <c r="AC196" s="369">
        <f t="shared" si="24"/>
        <v>0</v>
      </c>
      <c r="AD196" s="369">
        <f t="shared" si="24"/>
        <v>0</v>
      </c>
      <c r="AE196" s="369">
        <f t="shared" si="24"/>
        <v>0</v>
      </c>
      <c r="AF196" s="369">
        <f t="shared" si="24"/>
        <v>0</v>
      </c>
      <c r="AH196" s="602">
        <f>IF(S196=1,0,IF(S196=2,0.25,IF(S196=3,0.38,IF(S196=4,0.5,0))))</f>
        <v>0</v>
      </c>
      <c r="AI196" s="602">
        <f>IF(T196=1,0,IF(T196=2,0.23,IF(T196=3,0.35,IF(T196=4,0.45,0))))</f>
        <v>0</v>
      </c>
      <c r="AJ196" s="602">
        <f>IF(U196=1,0,IF(U196=2,0.2,IF(U196=3,0.3,IF(U196=4,0.39,0))))</f>
        <v>0</v>
      </c>
      <c r="AK196" s="602">
        <f>IF(V196=1,0,IF(V196=2,0.17,IF(V196=3,0.25,IF(V196=4,0.33,0))))</f>
        <v>0</v>
      </c>
      <c r="AL196" s="602">
        <f>IF(W196=1,0,IF(W196=2,0.13,IF(W196=3,0.19,IF(W196=4,0.24,0))))</f>
        <v>0</v>
      </c>
      <c r="AM196" s="602">
        <f>IF(X196=1,0,IF(X196=2,0.08,IF(X196=3,0.12,IF(X196=4,0.15,0))))</f>
        <v>0</v>
      </c>
      <c r="AN196" s="603"/>
      <c r="AO196" s="602">
        <f>IF(S196=1,0,IF(S196=2,0.23,IF(S196=3,0.35,IF(S196=4,0.45,0))))</f>
        <v>0</v>
      </c>
      <c r="AP196" s="602">
        <f>IF(T196=1,0,IF(T196=2,0.2,IF(T196=3,0.3,IF(T196=4,0.39,0))))</f>
        <v>0</v>
      </c>
      <c r="AQ196" s="602">
        <f>IF(U196=1,0,IF(U196=2,0.17,IF(U196=3,0.25,IF(U196=4,0.33,0))))</f>
        <v>0</v>
      </c>
      <c r="AR196" s="602">
        <f>IF(V196=1,0,IF(V196=2,0.13,IF(V196=3,0.19,IF(V196=4,0.24,0))))</f>
        <v>0</v>
      </c>
      <c r="AS196" s="602">
        <f>IF(W196=1,0,IF(W196=2,0.08,IF(W196=3,0.12,IF(W196=4,0.15,0))))</f>
        <v>0</v>
      </c>
      <c r="AU196" s="602">
        <f>IF(S196=1,0,IF(S196=2,0.2,IF(S196=3,0.3,IF(S196=4,0.39,0))))</f>
        <v>0</v>
      </c>
      <c r="AV196" s="602">
        <f>IF(T196=1,0,IF(T196=2,0.17,IF(T196=3,0.25,IF(T196=4,0.33,0))))</f>
        <v>0</v>
      </c>
      <c r="AW196" s="602">
        <f>IF(U196=1,0,IF(U196=2,0.13,IF(U196=3,0.19,IF(U196=4,0.24,0))))</f>
        <v>0</v>
      </c>
      <c r="AX196" s="602">
        <f>IF(V196=1,0,IF(V196=2,0.08,IF(V196=3,0.12,IF(V196=4,0.15,0))))</f>
        <v>0</v>
      </c>
      <c r="AZ196" s="602">
        <f>IF(S196=1,0,IF(S196=2,0.17,IF(S196=3,0.25,IF(S196=4,0.33,0))))</f>
        <v>0</v>
      </c>
      <c r="BA196" s="602">
        <f>IF(T196=1,0,IF(T196=2,0.13,IF(T196=3,0.19,IF(T196=4,0.24,0))))</f>
        <v>0</v>
      </c>
      <c r="BB196" s="602">
        <f>IF(U196=1,0,IF(U196=2,0.08,IF(U196=3,0.12,IF(U196=4,0.15,0))))</f>
        <v>0</v>
      </c>
      <c r="BD196" s="602">
        <f>IF(S196=1,0,IF(S196=2,0.13,IF(S196=3,0.19,IF(S196=4,0.24,0))))</f>
        <v>0</v>
      </c>
      <c r="BE196" s="602">
        <f>IF(T196=1,0,IF(T196=2,0.08,IF(T196=3,0.12,IF(T196=4,0.15,0))))</f>
        <v>0</v>
      </c>
      <c r="BG196" s="602">
        <f>IF(S196=1,0,IF(S196=2,0.08,IF(S196=3,0.12,IF(S196=4,0.15,0))))</f>
        <v>0</v>
      </c>
      <c r="BI196" s="602">
        <f>IF(AA196=0,0,IF(OR(AB196=1,AB197=1,AB198=1),AH196-AO196,IF(OR(AC196=1,AC197=1,AC198=1),AH196-AU196,IF(OR(AD196=1,AD197=1,AD198=1),AH196-AZ196,IF(OR(AE196=1,AE197=1,AE198=1),AH196-BD196,IF(OR(AF196=1,AF197=1,AF198=1),AH196-BG196,AH196))))))</f>
        <v>0</v>
      </c>
      <c r="BJ196" s="602">
        <f>IF(AB196=0,0,IF(OR(AC196=1,AC197=1,AC198=1),AI196-AP196,IF(OR(AD196=1,AD197=1,AD198=1),AI196-AV196,IF(OR(AE196=1,AE197=1,AE198=1),AI196-BA196,IF(OR(AF196=1,AF197=1,AF198=1),AI196-BE196,AI196)))))</f>
        <v>0</v>
      </c>
      <c r="BK196" s="602">
        <f>IF(AC196=0,0,IF(OR(AD196=1,AD197=1,AD198=1),AJ196-AQ196,IF(OR(AE196=1,AE197=1,AE198=1),AJ196-AW196,IF(OR(AF196=1,AF197=1,AF198=1),AJ196-BB196,AJ196))))</f>
        <v>0</v>
      </c>
      <c r="BL196" s="602">
        <f>IF(AD196=0,0,IF(OR(AE196=1,AE197=1,AE198=1),AK196-AR196,IF(OR(AF196=1,AF197=1,AF198=1),AK196-AX196,AK196)))</f>
        <v>0</v>
      </c>
      <c r="BM196" s="602">
        <f>IF(AE196=0,0,IF(OR(AF196=1,AF197=1,AF198=1),AL196-AS196,AL196))</f>
        <v>0</v>
      </c>
      <c r="BN196" s="602">
        <f>IF(AF196=0,0,AM196)</f>
        <v>0</v>
      </c>
      <c r="BP196" s="419" t="s">
        <v>262</v>
      </c>
    </row>
    <row r="197" spans="1:109" s="419" customFormat="1" ht="15" customHeight="1" x14ac:dyDescent="0.2">
      <c r="B197" s="369" t="s">
        <v>1610</v>
      </c>
      <c r="C197" s="1554"/>
      <c r="D197" s="1554"/>
      <c r="E197" s="1554"/>
      <c r="F197" s="1554"/>
      <c r="G197" s="1554"/>
      <c r="H197" s="1554"/>
      <c r="I197" s="1554"/>
      <c r="J197" s="1554"/>
      <c r="K197" s="1554"/>
      <c r="L197" s="1554"/>
      <c r="M197" s="1554"/>
      <c r="N197" s="1554"/>
      <c r="O197" s="613"/>
      <c r="P197" s="622"/>
      <c r="S197" s="369">
        <f>IF(C197="",0,C197)</f>
        <v>0</v>
      </c>
      <c r="T197" s="369">
        <f>IF(E197&lt;&gt;"",E197,IF(S197&gt;0,S197,0))</f>
        <v>0</v>
      </c>
      <c r="U197" s="369">
        <f>IF(G197&lt;&gt;"",G197,IF(T197&gt;0,T197,0))</f>
        <v>0</v>
      </c>
      <c r="V197" s="369">
        <f>IF(I197&lt;&gt;"",I197,IF(U197&gt;0,U197,0))</f>
        <v>0</v>
      </c>
      <c r="W197" s="369">
        <f>IF(K197&lt;&gt;"",K197,IF(V197&gt;0,V197,0))</f>
        <v>0</v>
      </c>
      <c r="X197" s="369">
        <f>IF(M197&lt;&gt;"",M197,IF(W197&gt;0,W197,0))</f>
        <v>0</v>
      </c>
      <c r="Z197" s="599"/>
      <c r="AA197" s="607">
        <f>IF(C197&gt;1,1,0)</f>
        <v>0</v>
      </c>
      <c r="AB197" s="369">
        <f t="shared" si="24"/>
        <v>0</v>
      </c>
      <c r="AC197" s="369">
        <f t="shared" si="24"/>
        <v>0</v>
      </c>
      <c r="AD197" s="369">
        <f t="shared" si="24"/>
        <v>0</v>
      </c>
      <c r="AE197" s="369">
        <f t="shared" si="24"/>
        <v>0</v>
      </c>
      <c r="AF197" s="369">
        <f t="shared" si="24"/>
        <v>0</v>
      </c>
      <c r="AH197" s="602">
        <f>IF(S197=1,0,IF(S197=2,0.17,IF(S197=3,0.25,IF(S197=4,0.35,0))))</f>
        <v>0</v>
      </c>
      <c r="AI197" s="602">
        <f>IF(T197=1,0,IF(T197=2,0.15,IF(T197=3,0.23,IF(T197=4,0.31,0))))</f>
        <v>0</v>
      </c>
      <c r="AJ197" s="602">
        <f>IF(U197=1,0,IF(U197=2,0.13,IF(U197=3,0.2,IF(U197=4,0.27,0))))</f>
        <v>0</v>
      </c>
      <c r="AK197" s="602">
        <f>IF(V197=1,0,IF(V197=2,0.11,IF(V197=3,0.17,IF(V197=4,0.22,0))))</f>
        <v>0</v>
      </c>
      <c r="AL197" s="602">
        <f>IF(W197=1,0,IF(W197=2,0.08,IF(W197=3,0.12,IF(W197=4,0.16,0))))</f>
        <v>0</v>
      </c>
      <c r="AM197" s="602">
        <f>IF(X197=1,0,IF(X197=2,0.05,IF(X197=3,0.07,IF(X197=4,0.1,0))))</f>
        <v>0</v>
      </c>
      <c r="AN197" s="603"/>
      <c r="AO197" s="602">
        <f>IF(S197=1,0,IF(S197=2,0.15,IF(S197=3,0.23,IF(S197=4,0.31,0))))</f>
        <v>0</v>
      </c>
      <c r="AP197" s="602">
        <f>IF(T197=1,0,IF(T197=2,0.13,IF(T197=3,0.2,IF(T197=4,0.27,0))))</f>
        <v>0</v>
      </c>
      <c r="AQ197" s="602">
        <f>IF(U197=1,0,IF(U197=2,0.11,IF(U197=3,0.17,IF(U197=4,0.22,0))))</f>
        <v>0</v>
      </c>
      <c r="AR197" s="602">
        <f>IF(V197=1,0,IF(V197=2,0.08,IF(V197=3,0.12,IF(V197=4,0.16,0))))</f>
        <v>0</v>
      </c>
      <c r="AS197" s="602">
        <f>IF(W197=1,0,IF(W197=2,0.05,IF(W197=3,0.07,IF(W197=4,0.1,0))))</f>
        <v>0</v>
      </c>
      <c r="AU197" s="602">
        <f>IF(S197=1,0,IF(S197=2,0.13,IF(S197=3,0.2,IF(S197=4,0.27,0))))</f>
        <v>0</v>
      </c>
      <c r="AV197" s="602">
        <f>IF(T197=1,0,IF(T197=2,0.11,IF(T197=3,0.17,IF(T197=4,0.22,0))))</f>
        <v>0</v>
      </c>
      <c r="AW197" s="602">
        <f>IF(U197=1,0,IF(U197=2,0.08,IF(U197=3,0.12,IF(U197=4,0.16,0))))</f>
        <v>0</v>
      </c>
      <c r="AX197" s="602">
        <f>IF(V197=1,0,IF(V197=2,0.05,IF(V197=3,0.07,IF(V197=4,0.1,0))))</f>
        <v>0</v>
      </c>
      <c r="AZ197" s="602">
        <f>IF(S197=1,0,IF(S197=2,0.11,IF(S197=3,0.17,IF(S197=4,0.22,0))))</f>
        <v>0</v>
      </c>
      <c r="BA197" s="602">
        <f>IF(T197=1,0,IF(T197=2,0.08,IF(T197=3,0.12,IF(T197=4,0.16,0))))</f>
        <v>0</v>
      </c>
      <c r="BB197" s="602">
        <f>IF(U197=1,0,IF(U197=2,0.05,IF(U197=3,0.07,IF(U197=4,0.1,0))))</f>
        <v>0</v>
      </c>
      <c r="BD197" s="602">
        <f>IF(S197=1,0,IF(S197=2,0.08,IF(S197=3,0.12,IF(S197=4,0.16,0))))</f>
        <v>0</v>
      </c>
      <c r="BE197" s="602">
        <f>IF(T197=1,0,IF(T197=2,0.05,IF(T197=3,0.07,IF(T197=4,0.1,0))))</f>
        <v>0</v>
      </c>
      <c r="BG197" s="602">
        <f>IF(S197=1,0,IF(S197=2,0.05,IF(S197=3,0.07,IF(S197=4,0.1,0))))</f>
        <v>0</v>
      </c>
      <c r="BI197" s="602">
        <f>IF(AA197=0,0,IF(OR(AB196=1,AB197=1),AH197-AO197,IF(OR(AC196=1,AC197=1),AH197-AU197,IF(OR(AD196=1,AD197=1),AH197-AZ197,IF(OR(AE196=1,AE197=1),AH197-BD197,IF(OR(AF196=1,AF197=1),AH197-BG197,AH197))))))</f>
        <v>0</v>
      </c>
      <c r="BJ197" s="602">
        <f>IF(AB197=0,0,IF(OR(AC196=1,AC197=1),AI197-AP197,IF(OR(AD196=1,AD197=1),AI197-AV197,IF(OR(AE196=1,AE197=1),AI197-BA197,IF(OR(AF196=1,AF197=1),AI197-BE197,AI197)))))</f>
        <v>0</v>
      </c>
      <c r="BK197" s="602">
        <f>IF(AC197=0,0,IF(OR(AD196=1,AD197=1),AJ197-AQ197,IF(OR(AE196=1,AE197=1),AJ197-AW197,IF(OR(AF196=1,AF197=1),AJ197-BB197,AJ197))))</f>
        <v>0</v>
      </c>
      <c r="BL197" s="602">
        <f>IF(AD197=0,0,IF(OR(AE196=1,AE197=1),AK197-AR197,IF(OR(AF196=1,AF197=1),AK197-AX197,AK197)))</f>
        <v>0</v>
      </c>
      <c r="BM197" s="602">
        <f>IF(AE197=0,0,IF(OR(AF196=1,AF197=1),AL197-AS197,AL197))</f>
        <v>0</v>
      </c>
      <c r="BN197" s="602">
        <f>IF(AF197=0,0,AM197)</f>
        <v>0</v>
      </c>
      <c r="BP197" s="608">
        <f>LARGE((BI196,BJ196,BK196,BL196,BM196,BN196,BI197,BJ197,BK197,BL197,BM197,BN197,BI198,BJ198,BK198,BL198,BM198,BN198),1)</f>
        <v>0</v>
      </c>
      <c r="BQ197" s="609">
        <f>LARGE((BI196,BJ196,BK196,BL196,BM196,BN196,BI197,BJ197,BK197,BL197,BM197,BN197,BI198,BJ198,BK198,BL198,BM198,BN198),2)</f>
        <v>0</v>
      </c>
      <c r="BR197" s="609">
        <f>LARGE((BI196,BJ196,BK196,BL196,BM196,BN196,BI197,BJ197,BK197,BL197,BM197,BN197,BI198,BJ198,BK198,BL198,BM198,BN198),3)</f>
        <v>0</v>
      </c>
      <c r="BS197" s="609">
        <f>LARGE((BI196,BJ196,BK196,BL196,BM196,BN196,BI197,BJ197,BK197,BL197,BM197,BN197,BI198,BJ198,BK198,BL198,BM198,BN198),4)</f>
        <v>0</v>
      </c>
      <c r="BT197" s="609">
        <f>LARGE((BI196,BJ196,BK196,BL196,BM196,BN196,BI197,BJ197,BK197,BL197,BM197,BN197,BI198,BJ198,BK198,BL198,BM198,BN198),5)</f>
        <v>0</v>
      </c>
      <c r="BU197" s="609">
        <f>LARGE((BI196,BJ196,BK196,BL196,BM196,BN196,BI197,BJ197,BK197,BL197,BM197,BN197,BI198,BJ198,BK198,BL198,BM198,BN198),6)</f>
        <v>0</v>
      </c>
      <c r="BV197" s="609">
        <f>LARGE((BI196,BJ196,BK196,BL196,BM196,BN196,BI197,BJ197,BK197,BL197,BM197,BN197,BI198,BJ198,BK198,BL198,BM198,BN198),7)</f>
        <v>0</v>
      </c>
      <c r="BW197" s="609">
        <f>LARGE((BI196,BJ196,BK196,BL196,BM196,BN196,BI197,BJ197,BK197,BL197,BM197,BN197,BI198,BJ198,BK198,BL198,BM198,BN198),8)</f>
        <v>0</v>
      </c>
      <c r="BX197" s="609">
        <f>LARGE((BI196,BJ196,BK196,BL196,BM196,BN196,BI197,BJ197,BK197,BL197,BM197,BN197,BI198,BJ198,BK198,BL198,BM198,BN198),9)</f>
        <v>0</v>
      </c>
      <c r="BY197" s="609">
        <f>LARGE((BI196,BJ196,BK196,BL196,BM196,BN196,BI197,BJ197,BK197,BL197,BM197,BN197,BI198,BJ198,BK198,BL198,BM198,BN198),10)</f>
        <v>0</v>
      </c>
      <c r="BZ197" s="609">
        <f>LARGE((BI196,BJ196,BK196,BL196,BM196,BN196,BI197,BJ197,BK197,BL197,BM197,BN197,BI198,BJ198,BK198,BL198,BM198,BN198),11)</f>
        <v>0</v>
      </c>
      <c r="CA197" s="609">
        <f>LARGE((BI196,BJ196,BK196,BL196,BM196,BN196,BI197,BJ197,BK197,BL197,BM197,BN197,BI198,BJ198,BK198,BL198,BM198,BN198),12)</f>
        <v>0</v>
      </c>
    </row>
    <row r="198" spans="1:109" s="419" customFormat="1" ht="15" customHeight="1" x14ac:dyDescent="0.2">
      <c r="B198" s="606" t="s">
        <v>1613</v>
      </c>
      <c r="C198" s="1554"/>
      <c r="D198" s="1554"/>
      <c r="E198" s="1554"/>
      <c r="F198" s="1554"/>
      <c r="G198" s="1554"/>
      <c r="H198" s="1554"/>
      <c r="I198" s="1554"/>
      <c r="J198" s="1554"/>
      <c r="K198" s="1554"/>
      <c r="L198" s="1554"/>
      <c r="M198" s="1554"/>
      <c r="N198" s="1554"/>
      <c r="O198" s="613"/>
      <c r="P198" s="622"/>
      <c r="S198" s="369">
        <f>IF(C198="",0,C198)</f>
        <v>0</v>
      </c>
      <c r="T198" s="369">
        <f>IF(E198&lt;&gt;"",E198,IF(S198&gt;0,S198,0))</f>
        <v>0</v>
      </c>
      <c r="U198" s="369">
        <f>IF(G198&lt;&gt;"",G198,IF(T198&gt;0,T198,0))</f>
        <v>0</v>
      </c>
      <c r="V198" s="369">
        <f>IF(I198&lt;&gt;"",I198,IF(U198&gt;0,U198,0))</f>
        <v>0</v>
      </c>
      <c r="W198" s="369">
        <f>IF(K198&lt;&gt;"",K198,IF(V198&gt;0,V198,0))</f>
        <v>0</v>
      </c>
      <c r="X198" s="369">
        <f>IF(M198&lt;&gt;"",M198,IF(W198&gt;0,W198,0))</f>
        <v>0</v>
      </c>
      <c r="AA198" s="607">
        <f>IF(C198&gt;1,1,0)</f>
        <v>0</v>
      </c>
      <c r="AB198" s="369">
        <f t="shared" si="24"/>
        <v>0</v>
      </c>
      <c r="AC198" s="369">
        <f t="shared" si="24"/>
        <v>0</v>
      </c>
      <c r="AD198" s="369">
        <f t="shared" si="24"/>
        <v>0</v>
      </c>
      <c r="AE198" s="369">
        <f t="shared" si="24"/>
        <v>0</v>
      </c>
      <c r="AF198" s="369">
        <f t="shared" si="24"/>
        <v>0</v>
      </c>
      <c r="AH198" s="602">
        <f>IF(S198=1,0,IF(S198=2,0.1,IF(S198=3,0.17,IF(S198=4,0.23,0))))</f>
        <v>0</v>
      </c>
      <c r="AI198" s="602">
        <f>IF(T198=1,0,IF(T198=2,0.09,IF(T198=3,0.15,IF(T198=4,0.2,0))))</f>
        <v>0</v>
      </c>
      <c r="AJ198" s="602">
        <f>IF(U198=1,0,IF(U198=2,0.08,IF(U198=3,0.13,IF(U198=4,0.17,0))))</f>
        <v>0</v>
      </c>
      <c r="AK198" s="602">
        <f>IF(V198=1,0,IF(V198=2,0.07,IF(V198=3,0.1,IF(V198=4,0.14,0))))</f>
        <v>0</v>
      </c>
      <c r="AL198" s="602">
        <f>IF(W198=1,0,IF(W198=2,0.05,IF(W198=3,0.08,IF(W198=4,0.1,0))))</f>
        <v>0</v>
      </c>
      <c r="AM198" s="602">
        <f>IF(X198=1,0,IF(X198=2,0.03,IF(X198=3,0.05,IF(X198=4,0.06,0))))</f>
        <v>0</v>
      </c>
      <c r="AN198" s="603"/>
      <c r="AO198" s="602">
        <f>IF(S198=1,0,IF(S198=2,0.09,IF(S198=3,0.15,IF(S198=4,0.2,0))))</f>
        <v>0</v>
      </c>
      <c r="AP198" s="602">
        <f>IF(T198=1,0,IF(T198=2,0.08,IF(T198=3,0.13,IF(T198=4,0.17,0))))</f>
        <v>0</v>
      </c>
      <c r="AQ198" s="602">
        <f>IF(U198=1,0,IF(U198=2,0.07,IF(U198=3,0.1,IF(U198=4,0.14,0))))</f>
        <v>0</v>
      </c>
      <c r="AR198" s="602">
        <f>IF(V198=1,0,IF(V198=2,0.05,IF(V198=3,0.08,IF(V198=4,0.1,0))))</f>
        <v>0</v>
      </c>
      <c r="AS198" s="602">
        <f>IF(W198=1,0,IF(W198=2,0.03,IF(W198=3,0.05,IF(W198=4,0.06,0))))</f>
        <v>0</v>
      </c>
      <c r="AU198" s="602">
        <f>IF(S198=1,0,IF(S198=2,0.08,IF(S198=3,0.13,IF(S198=4,0.17,0))))</f>
        <v>0</v>
      </c>
      <c r="AV198" s="602">
        <f>IF(T198=1,0,IF(T198=2,0.07,IF(T198=3,0.1,IF(T198=4,0.14,0))))</f>
        <v>0</v>
      </c>
      <c r="AW198" s="602">
        <f>IF(U198=1,0,IF(U198=2,0.05,IF(U198=3,0.08,IF(U198=4,0.1,0))))</f>
        <v>0</v>
      </c>
      <c r="AX198" s="602">
        <f>IF(V198=1,0,IF(V198=2,0.03,IF(V198=3,0.05,IF(V198=4,0.06,0))))</f>
        <v>0</v>
      </c>
      <c r="AZ198" s="602">
        <f>IF(S198=1,0,IF(S198=2,0.07,IF(S198=3,0.1,IF(S198=4,0.14,0))))</f>
        <v>0</v>
      </c>
      <c r="BA198" s="602">
        <f>IF(T198=1,0,IF(T198=2,0.05,IF(T198=3,0.08,IF(T198=4,0.1,0))))</f>
        <v>0</v>
      </c>
      <c r="BB198" s="602">
        <f>IF(U198=1,0,IF(U198=2,0.03,IF(U198=3,0.05,IF(U198=4,0.06,0))))</f>
        <v>0</v>
      </c>
      <c r="BD198" s="602">
        <f>IF(S198=1,0,IF(S198=2,0.05,IF(S198=3,0.08,IF(S198=4,0.1,0))))</f>
        <v>0</v>
      </c>
      <c r="BE198" s="602">
        <f>IF(T198=1,0,IF(T198=2,0.03,IF(T198=3,0.05,IF(T198=4,0.06,0))))</f>
        <v>0</v>
      </c>
      <c r="BG198" s="602">
        <f>IF(S198=1,0,IF(S198=2,0.03,IF(S198=3,0.05,IF(S198=4,0.06,0))))</f>
        <v>0</v>
      </c>
      <c r="BI198" s="602">
        <f>IF(AA198=0,0,IF(OR(AB196=1,AB198=1),AH198-AO198,IF(OR(AC196=1,AC198=1),AH198-AU198,IF(OR(AD196=1,AD198=1),AH198-AZ198,IF(OR(AE196=1,AE198=1),AH198-BD198,IF(OR(AF196=1,AF198=1),AH198-BG198,AH198))))))</f>
        <v>0</v>
      </c>
      <c r="BJ198" s="602">
        <f>IF(AB198=0,0,IF(OR(AC196=1,AC198=1),AI198-AP198,IF(OR(AD196=1,AD198=1),AI198-AV198,IF(OR(AE196=1,AE198=1),AI198-BA198,IF(OR(AF196=1,AF198=1),AI198-BE198,AI198)))))</f>
        <v>0</v>
      </c>
      <c r="BK198" s="602">
        <f>IF(AC198=0,0,IF(OR(AD196=1,AD198=1),AJ198-AQ198,IF(OR(AE196=1,AE198=1),AJ198-AW198,IF(OR(AF196=1,AF198=1),AJ198-BB198,AJ198))))</f>
        <v>0</v>
      </c>
      <c r="BL198" s="602">
        <f>IF(AD198=0,0,IF(OR(AE196=1,AE198=1),AK198-AR198,IF(OR(AF196=1,AF198=1),AK198-AX198,AK198)))</f>
        <v>0</v>
      </c>
      <c r="BM198" s="602">
        <f>IF(AE198=0,0,IF(OR(AF196=1,AF198=1),AL198-AS198,AL198))</f>
        <v>0</v>
      </c>
      <c r="BN198" s="602">
        <f>IF(AF198=0,0,AM198)</f>
        <v>0</v>
      </c>
      <c r="BP198" s="610">
        <f>ROUND(BP197+BQ197*(1-BP197),2)</f>
        <v>0</v>
      </c>
      <c r="BQ198" s="610">
        <f t="shared" ref="BQ198:BZ198" si="25">ROUND(BP198+BR197*(1-BP198),2)</f>
        <v>0</v>
      </c>
      <c r="BR198" s="610">
        <f t="shared" si="25"/>
        <v>0</v>
      </c>
      <c r="BS198" s="610">
        <f t="shared" si="25"/>
        <v>0</v>
      </c>
      <c r="BT198" s="610">
        <f t="shared" si="25"/>
        <v>0</v>
      </c>
      <c r="BU198" s="610">
        <f t="shared" si="25"/>
        <v>0</v>
      </c>
      <c r="BV198" s="610">
        <f t="shared" si="25"/>
        <v>0</v>
      </c>
      <c r="BW198" s="610">
        <f t="shared" si="25"/>
        <v>0</v>
      </c>
      <c r="BX198" s="610">
        <f t="shared" si="25"/>
        <v>0</v>
      </c>
      <c r="BY198" s="610">
        <f t="shared" si="25"/>
        <v>0</v>
      </c>
      <c r="BZ198" s="610">
        <f t="shared" si="25"/>
        <v>0</v>
      </c>
      <c r="CA198" s="607"/>
    </row>
    <row r="199" spans="1:109" s="419" customFormat="1" ht="15" customHeight="1" x14ac:dyDescent="0.2">
      <c r="B199" s="1593" t="str">
        <f>IF(AD199=1,"ERROR: If radial or ulnar impairment is recorded, do not enter losses for 'both sides.'","")</f>
        <v/>
      </c>
      <c r="C199" s="1594"/>
      <c r="D199" s="1594"/>
      <c r="E199" s="1594"/>
      <c r="F199" s="1594"/>
      <c r="G199" s="1594"/>
      <c r="H199" s="1594"/>
      <c r="I199" s="1594"/>
      <c r="J199" s="1594"/>
      <c r="K199" s="1594"/>
      <c r="L199" s="1594"/>
      <c r="M199" s="1594"/>
      <c r="N199" s="1594"/>
      <c r="O199" s="1595"/>
      <c r="P199" s="303">
        <f>IF(B199&lt;&gt;"","ERROR",BZ198)</f>
        <v>0</v>
      </c>
      <c r="S199" s="599"/>
      <c r="T199" s="599"/>
      <c r="U199" s="599"/>
      <c r="V199" s="599"/>
      <c r="W199" s="599"/>
      <c r="AA199" s="369">
        <f>SUM(AA196:AF196)</f>
        <v>0</v>
      </c>
      <c r="AB199" s="369">
        <f>SUM(AA197:AF197)</f>
        <v>0</v>
      </c>
      <c r="AC199" s="369">
        <f>SUM(AA198:AF198)</f>
        <v>0</v>
      </c>
      <c r="AD199" s="369">
        <f>IF(AND(AA199&gt;0,AB199&gt;0),1,IF(AND(AA199&gt;0,AC199&gt;0),1,0))</f>
        <v>0</v>
      </c>
      <c r="AE199" s="599"/>
      <c r="AF199" s="599"/>
    </row>
    <row r="200" spans="1:109" ht="12" customHeight="1" x14ac:dyDescent="0.2">
      <c r="B200" s="1"/>
      <c r="C200" s="1"/>
      <c r="D200" s="1"/>
      <c r="E200" s="1"/>
      <c r="F200" s="1"/>
      <c r="G200" s="1"/>
      <c r="H200" s="1"/>
      <c r="I200" s="1"/>
      <c r="J200" s="1"/>
      <c r="K200" s="1"/>
      <c r="L200" s="1"/>
      <c r="M200" s="1"/>
      <c r="N200" s="1"/>
      <c r="O200" s="1"/>
      <c r="P200" s="182"/>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row>
    <row r="201" spans="1:109" x14ac:dyDescent="0.2">
      <c r="B201" s="256" t="s">
        <v>1233</v>
      </c>
      <c r="C201" s="1555" t="s">
        <v>1371</v>
      </c>
      <c r="D201" s="1555"/>
      <c r="E201" s="1555"/>
      <c r="F201" s="1555"/>
      <c r="G201" s="1555"/>
      <c r="H201" s="1534" t="s">
        <v>1796</v>
      </c>
      <c r="I201" s="1534"/>
      <c r="J201" s="1534"/>
      <c r="K201" s="42"/>
      <c r="L201" s="1534" t="s">
        <v>1234</v>
      </c>
      <c r="M201" s="1534"/>
      <c r="N201" s="1534"/>
      <c r="O201" s="1534"/>
      <c r="P201" s="1373">
        <f>V203</f>
        <v>0</v>
      </c>
      <c r="R201" s="18"/>
      <c r="S201" s="705" t="s">
        <v>1597</v>
      </c>
      <c r="T201" s="705" t="s">
        <v>1305</v>
      </c>
      <c r="U201" s="705" t="s">
        <v>1306</v>
      </c>
      <c r="V201" s="704" t="s">
        <v>1307</v>
      </c>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row>
    <row r="202" spans="1:109" ht="15" customHeight="1" x14ac:dyDescent="0.2">
      <c r="B202" s="185" t="s">
        <v>546</v>
      </c>
      <c r="C202" s="1542"/>
      <c r="D202" s="1542"/>
      <c r="E202" s="1542"/>
      <c r="F202" s="1542"/>
      <c r="G202" s="1542"/>
      <c r="H202" s="1545">
        <f>IF(C202=$X$127,0.09,IF(C202=$Y$127,0.18,IF(C202=$Z$127,0.27,0)))</f>
        <v>0</v>
      </c>
      <c r="I202" s="1545"/>
      <c r="J202" s="1545"/>
      <c r="K202" s="185"/>
      <c r="L202" s="1542"/>
      <c r="M202" s="1542"/>
      <c r="N202" s="1542"/>
      <c r="O202" s="26">
        <f>IF(H202&gt;=S202,H202-S202,0)</f>
        <v>0</v>
      </c>
      <c r="P202" s="1373"/>
      <c r="R202" s="18"/>
      <c r="S202" s="186">
        <f>IF(L202=$Y$128,0.09,IF(L202=$Z$128,0.18,IF(L202=$AA$128,0.27,0)))</f>
        <v>0</v>
      </c>
      <c r="T202" s="186">
        <f>LARGE(O202:O204,1)</f>
        <v>0</v>
      </c>
      <c r="U202" s="684">
        <f>T202+T203*(1-T202)</f>
        <v>0</v>
      </c>
      <c r="V202" s="684">
        <f>ROUND(U202,2)</f>
        <v>0</v>
      </c>
      <c r="W202" s="1487" t="s">
        <v>2197</v>
      </c>
      <c r="X202" s="1487"/>
      <c r="Y202" s="1487"/>
      <c r="Z202" s="1487"/>
      <c r="AA202" s="775"/>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row>
    <row r="203" spans="1:109" ht="15" customHeight="1" x14ac:dyDescent="0.2">
      <c r="B203" s="256" t="s">
        <v>547</v>
      </c>
      <c r="C203" s="1542"/>
      <c r="D203" s="1542"/>
      <c r="E203" s="1542"/>
      <c r="F203" s="1542"/>
      <c r="G203" s="1542"/>
      <c r="H203" s="1545">
        <f>IF(C203=$X$127,0.16,IF(C203=$Y$127,0.32,IF(C203=$Z$127,0.48,0)))</f>
        <v>0</v>
      </c>
      <c r="I203" s="1545"/>
      <c r="J203" s="1545"/>
      <c r="K203" s="185"/>
      <c r="L203" s="1542"/>
      <c r="M203" s="1542"/>
      <c r="N203" s="1542"/>
      <c r="O203" s="26">
        <f>IF(H203&gt;=S203,H203-S203,0)</f>
        <v>0</v>
      </c>
      <c r="P203" s="1373"/>
      <c r="R203" s="18"/>
      <c r="S203" s="186">
        <f>IF(L203=$Y$128,0.16,IF(L203=$Z$128,0.32,IF(L203=$AA$128,0.48,0)))</f>
        <v>0</v>
      </c>
      <c r="T203" s="186">
        <f>LARGE(O202:O204,2)</f>
        <v>0</v>
      </c>
      <c r="U203" s="684">
        <f>V202+T204*(1-V202)</f>
        <v>0</v>
      </c>
      <c r="V203" s="684">
        <f>ROUND(U203,2)</f>
        <v>0</v>
      </c>
      <c r="W203" s="58"/>
      <c r="X203" s="58" t="s">
        <v>1237</v>
      </c>
      <c r="Y203" s="58" t="s">
        <v>1238</v>
      </c>
      <c r="Z203" s="769" t="s">
        <v>1239</v>
      </c>
      <c r="AA203" s="769"/>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row>
    <row r="204" spans="1:109" ht="15" customHeight="1" x14ac:dyDescent="0.2">
      <c r="B204" s="256" t="s">
        <v>548</v>
      </c>
      <c r="C204" s="1542"/>
      <c r="D204" s="1542"/>
      <c r="E204" s="1542"/>
      <c r="F204" s="1542"/>
      <c r="G204" s="1542"/>
      <c r="H204" s="1545">
        <f>IF(C204=$X$127,0.2,IF(C204=$Y$127,0.4,IF(C204=$Z$127,0.6,0)))</f>
        <v>0</v>
      </c>
      <c r="I204" s="1545"/>
      <c r="J204" s="1545"/>
      <c r="K204" s="185"/>
      <c r="L204" s="1542"/>
      <c r="M204" s="1542"/>
      <c r="N204" s="1542"/>
      <c r="O204" s="26">
        <f>IF(H204&gt;=S204,H204-S204,0)</f>
        <v>0</v>
      </c>
      <c r="P204" s="1373"/>
      <c r="R204" s="18"/>
      <c r="S204" s="186">
        <f>IF(L204=$Y$128,0.2,IF(L204=$Z$128,0.4,IF(L204=$AA$128,0.6,0)))</f>
        <v>0</v>
      </c>
      <c r="T204" s="186">
        <f>LARGE(O202:O204,3)</f>
        <v>0</v>
      </c>
      <c r="U204" s="58"/>
      <c r="V204" s="58"/>
      <c r="W204" s="58"/>
      <c r="X204" s="58" t="s">
        <v>523</v>
      </c>
      <c r="Y204" s="58" t="s">
        <v>915</v>
      </c>
      <c r="Z204" s="186" t="s">
        <v>1803</v>
      </c>
      <c r="AA204" s="58" t="s">
        <v>1672</v>
      </c>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row>
    <row r="205" spans="1:109" ht="12" customHeight="1" x14ac:dyDescent="0.2">
      <c r="B205" s="1578"/>
      <c r="C205" s="1578"/>
      <c r="D205" s="1578"/>
      <c r="E205" s="1578"/>
      <c r="F205" s="1578"/>
      <c r="G205" s="1578"/>
      <c r="H205" s="1578"/>
      <c r="I205" s="1578"/>
      <c r="J205" s="1578"/>
      <c r="K205" s="1578"/>
      <c r="L205" s="1578"/>
      <c r="M205" s="1578"/>
      <c r="N205" s="1578"/>
      <c r="O205" s="1578"/>
      <c r="P205" s="191"/>
      <c r="R205" s="18"/>
      <c r="S205" s="19"/>
      <c r="T205" s="19"/>
      <c r="U205" s="18"/>
      <c r="V205" s="18"/>
      <c r="W205" s="18"/>
      <c r="X205" s="18"/>
      <c r="Y205" s="18"/>
      <c r="Z205" s="19"/>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row>
    <row r="206" spans="1:109" ht="15" customHeight="1" x14ac:dyDescent="0.2">
      <c r="A206" s="189"/>
      <c r="B206" s="1591" t="s">
        <v>968</v>
      </c>
      <c r="C206" s="1539"/>
      <c r="D206" s="1540"/>
      <c r="E206" s="1357" t="s">
        <v>573</v>
      </c>
      <c r="F206" s="1358"/>
      <c r="G206" s="1358"/>
      <c r="H206" s="1358"/>
      <c r="I206" s="1358"/>
      <c r="J206" s="1358"/>
      <c r="K206" s="1358"/>
      <c r="L206" s="1358"/>
      <c r="M206" s="1358"/>
      <c r="N206" s="1358"/>
      <c r="O206" s="1359"/>
      <c r="P206" s="303">
        <f>IF(T206=1,0.15,0)</f>
        <v>0</v>
      </c>
      <c r="R206" s="1557" t="s">
        <v>2197</v>
      </c>
      <c r="S206" s="706" t="b">
        <v>0</v>
      </c>
      <c r="T206" s="715">
        <f>IF(S206=TRUE,1,0)</f>
        <v>0</v>
      </c>
      <c r="U206" s="18"/>
      <c r="V206" s="18"/>
      <c r="W206" s="18"/>
      <c r="X206" s="18"/>
      <c r="Y206" s="18"/>
      <c r="Z206" s="18"/>
      <c r="AA206" s="18"/>
      <c r="AB206" s="18"/>
      <c r="AC206" s="18"/>
      <c r="AD206" s="18"/>
      <c r="AE206" s="18"/>
      <c r="AF206" s="18"/>
      <c r="AG206" s="18">
        <v>1E-4</v>
      </c>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row>
    <row r="207" spans="1:109" ht="15" customHeight="1" x14ac:dyDescent="0.2">
      <c r="B207" s="1591"/>
      <c r="C207" s="1539"/>
      <c r="D207" s="1540"/>
      <c r="E207" s="1357" t="s">
        <v>574</v>
      </c>
      <c r="F207" s="1358"/>
      <c r="G207" s="1358"/>
      <c r="H207" s="1358"/>
      <c r="I207" s="1358"/>
      <c r="J207" s="1358"/>
      <c r="K207" s="1358"/>
      <c r="L207" s="1358"/>
      <c r="M207" s="1358"/>
      <c r="N207" s="1358"/>
      <c r="O207" s="1359"/>
      <c r="P207" s="303">
        <f>IF(T207=1,0.25,0)</f>
        <v>0</v>
      </c>
      <c r="R207" s="1557"/>
      <c r="S207" s="706" t="b">
        <v>0</v>
      </c>
      <c r="T207" s="715">
        <f>IF(S207=TRUE,1,0)</f>
        <v>0</v>
      </c>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row>
    <row r="208" spans="1:109" ht="15" customHeight="1" x14ac:dyDescent="0.2">
      <c r="B208" s="1591"/>
      <c r="C208" s="1539"/>
      <c r="D208" s="1540"/>
      <c r="E208" s="1357" t="s">
        <v>788</v>
      </c>
      <c r="F208" s="1358"/>
      <c r="G208" s="1358"/>
      <c r="H208" s="1358"/>
      <c r="I208" s="1358"/>
      <c r="J208" s="1358"/>
      <c r="K208" s="1358"/>
      <c r="L208" s="1358"/>
      <c r="M208" s="1358"/>
      <c r="N208" s="1358"/>
      <c r="O208" s="1359"/>
      <c r="P208" s="303">
        <f>IF(T208=1,0.23,0)</f>
        <v>0</v>
      </c>
      <c r="R208" s="1557"/>
      <c r="S208" s="706" t="b">
        <v>0</v>
      </c>
      <c r="T208" s="715">
        <f>IF(S208=TRUE,1,0)</f>
        <v>0</v>
      </c>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row>
    <row r="209" spans="2:109" ht="12" customHeight="1" x14ac:dyDescent="0.2">
      <c r="B209" s="1395"/>
      <c r="C209" s="1395"/>
      <c r="D209" s="1395"/>
      <c r="E209" s="1395"/>
      <c r="F209" s="1395"/>
      <c r="G209" s="1395"/>
      <c r="H209" s="1395"/>
      <c r="I209" s="1395"/>
      <c r="J209" s="1395"/>
      <c r="K209" s="1395"/>
      <c r="L209" s="1395"/>
      <c r="M209" s="1395"/>
      <c r="N209" s="1395"/>
      <c r="O209" s="1395"/>
      <c r="P209" s="2"/>
      <c r="R209" s="18"/>
      <c r="S209" s="163"/>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row>
    <row r="210" spans="2:109" ht="15" customHeight="1" x14ac:dyDescent="0.2">
      <c r="B210" s="1541" t="s">
        <v>1452</v>
      </c>
      <c r="C210" s="1541"/>
      <c r="D210" s="1541"/>
      <c r="E210" s="1541"/>
      <c r="F210" s="1541"/>
      <c r="G210" s="1541"/>
      <c r="H210" s="1541"/>
      <c r="I210" s="1541"/>
      <c r="J210" s="1541"/>
      <c r="K210" s="1541"/>
      <c r="L210" s="1541"/>
      <c r="M210" s="1541"/>
      <c r="N210" s="1541"/>
      <c r="O210" s="388"/>
      <c r="P210" s="26">
        <f>SUMIF(T210:X210,O210,T211:X211)</f>
        <v>0</v>
      </c>
      <c r="R210" s="1561" t="s">
        <v>2197</v>
      </c>
      <c r="S210" s="1561"/>
      <c r="T210" s="715" t="s">
        <v>1969</v>
      </c>
      <c r="U210" s="715" t="s">
        <v>1970</v>
      </c>
      <c r="V210" s="716" t="s">
        <v>1972</v>
      </c>
      <c r="W210" s="715" t="s">
        <v>945</v>
      </c>
      <c r="X210" s="716" t="s">
        <v>558</v>
      </c>
      <c r="Y210" s="18"/>
      <c r="Z210" s="715" t="s">
        <v>1969</v>
      </c>
      <c r="AA210" s="715" t="s">
        <v>1970</v>
      </c>
      <c r="AB210" s="716" t="s">
        <v>1972</v>
      </c>
      <c r="AC210" s="715" t="s">
        <v>945</v>
      </c>
      <c r="AD210" s="716" t="s">
        <v>558</v>
      </c>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row>
    <row r="211" spans="2:109" ht="15" customHeight="1" x14ac:dyDescent="0.2">
      <c r="B211" s="1541" t="s">
        <v>1499</v>
      </c>
      <c r="C211" s="1541"/>
      <c r="D211" s="1541"/>
      <c r="E211" s="1541"/>
      <c r="F211" s="1541"/>
      <c r="G211" s="1541"/>
      <c r="H211" s="1541"/>
      <c r="I211" s="1541"/>
      <c r="J211" s="1541"/>
      <c r="K211" s="1541"/>
      <c r="L211" s="1541"/>
      <c r="M211" s="1541"/>
      <c r="N211" s="1541"/>
      <c r="O211" s="388"/>
      <c r="P211" s="26">
        <f>SUMIF(Z210:AD210,O211,Z211:AD211)</f>
        <v>0</v>
      </c>
      <c r="R211" s="1561"/>
      <c r="S211" s="1561"/>
      <c r="T211" s="716">
        <v>0.03</v>
      </c>
      <c r="U211" s="716">
        <v>0.15</v>
      </c>
      <c r="V211" s="716">
        <v>0.38</v>
      </c>
      <c r="W211" s="716">
        <v>0.68</v>
      </c>
      <c r="X211" s="716">
        <v>0.9</v>
      </c>
      <c r="Y211" s="18"/>
      <c r="Z211" s="716">
        <v>0.03</v>
      </c>
      <c r="AA211" s="716">
        <v>0.15</v>
      </c>
      <c r="AB211" s="716">
        <v>0.35</v>
      </c>
      <c r="AC211" s="716">
        <v>0.63</v>
      </c>
      <c r="AD211" s="716">
        <v>0.88</v>
      </c>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row>
    <row r="212" spans="2:109" ht="6" customHeight="1" x14ac:dyDescent="0.2">
      <c r="B212" s="1395"/>
      <c r="C212" s="1395"/>
      <c r="D212" s="1395"/>
      <c r="E212" s="1395"/>
      <c r="F212" s="1395"/>
      <c r="G212" s="1395"/>
      <c r="H212" s="1395"/>
      <c r="I212" s="1395"/>
      <c r="J212" s="1395"/>
      <c r="K212" s="1395"/>
      <c r="L212" s="1395"/>
      <c r="M212" s="1395"/>
      <c r="N212" s="1395"/>
      <c r="O212" s="1395"/>
      <c r="P212" s="182"/>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row>
    <row r="213" spans="2:109" ht="6" customHeight="1" x14ac:dyDescent="0.2">
      <c r="B213" s="1395"/>
      <c r="C213" s="1395"/>
      <c r="D213" s="1395"/>
      <c r="E213" s="1395"/>
      <c r="F213" s="1395"/>
      <c r="G213" s="1395"/>
      <c r="H213" s="1395"/>
      <c r="I213" s="1395"/>
      <c r="J213" s="1395"/>
      <c r="K213" s="1395"/>
      <c r="L213" s="1395"/>
      <c r="M213" s="1395"/>
      <c r="N213" s="1395"/>
      <c r="O213" s="1395"/>
      <c r="P213" s="182"/>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row>
    <row r="214" spans="2:109" ht="27" customHeight="1" x14ac:dyDescent="0.2">
      <c r="B214" s="1632" t="s">
        <v>118</v>
      </c>
      <c r="C214" s="1633"/>
      <c r="D214" s="1633"/>
      <c r="E214" s="1633"/>
      <c r="F214" s="1633"/>
      <c r="G214" s="1626" t="s">
        <v>1525</v>
      </c>
      <c r="H214" s="1627"/>
      <c r="I214" s="1627"/>
      <c r="J214" s="1628"/>
      <c r="K214" s="1616"/>
      <c r="L214" s="1617"/>
      <c r="M214" s="1617"/>
      <c r="N214" s="1617"/>
      <c r="O214" s="1618"/>
      <c r="P214" s="1481">
        <f>U228</f>
        <v>0</v>
      </c>
      <c r="R214" s="185" t="s">
        <v>1865</v>
      </c>
      <c r="S214" s="58" t="s">
        <v>1305</v>
      </c>
      <c r="T214" s="58" t="s">
        <v>1306</v>
      </c>
      <c r="U214" s="58" t="s">
        <v>1307</v>
      </c>
      <c r="V214" s="1549" t="s">
        <v>801</v>
      </c>
      <c r="W214" s="1550"/>
      <c r="X214" s="1551"/>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row>
    <row r="215" spans="2:109" ht="15" customHeight="1" x14ac:dyDescent="0.2">
      <c r="B215" s="1546" t="s">
        <v>628</v>
      </c>
      <c r="C215" s="1547"/>
      <c r="D215" s="1548"/>
      <c r="E215" s="1730">
        <f>P157</f>
        <v>0</v>
      </c>
      <c r="F215" s="1731"/>
      <c r="G215" s="1534" t="s">
        <v>1942</v>
      </c>
      <c r="H215" s="1534"/>
      <c r="I215" s="1559"/>
      <c r="J215" s="1559"/>
      <c r="K215" s="1619"/>
      <c r="L215" s="1620"/>
      <c r="M215" s="1620"/>
      <c r="N215" s="1620"/>
      <c r="O215" s="1621"/>
      <c r="P215" s="1631"/>
      <c r="R215" s="688">
        <f>E215</f>
        <v>0</v>
      </c>
      <c r="S215" s="186">
        <f>LARGE($R$215:$R$229,1)</f>
        <v>0</v>
      </c>
      <c r="T215" s="684">
        <f>S215+S216*(1-S215)</f>
        <v>0</v>
      </c>
      <c r="U215" s="688">
        <f t="shared" ref="U215:U228" si="26">ROUND(T215,2)</f>
        <v>0</v>
      </c>
      <c r="V215" s="58">
        <f>IF(E215&gt;0,1,0)</f>
        <v>0</v>
      </c>
      <c r="W215" s="58">
        <f>COUNTIF(V215:V229,1)</f>
        <v>0</v>
      </c>
      <c r="X215" s="58">
        <f>IF(AND(W215=0,W216&gt;0),1,IF(W215&gt;0,2,0))</f>
        <v>0</v>
      </c>
      <c r="AA215" s="18"/>
      <c r="AD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row>
    <row r="216" spans="2:109" ht="15" customHeight="1" x14ac:dyDescent="0.2">
      <c r="B216" s="1362" t="s">
        <v>382</v>
      </c>
      <c r="C216" s="1363"/>
      <c r="D216" s="1364"/>
      <c r="E216" s="1373">
        <f>P160</f>
        <v>0</v>
      </c>
      <c r="F216" s="1373"/>
      <c r="G216" s="1534" t="s">
        <v>1942</v>
      </c>
      <c r="H216" s="1534"/>
      <c r="I216" s="1559"/>
      <c r="J216" s="1559"/>
      <c r="K216" s="1619"/>
      <c r="L216" s="1620"/>
      <c r="M216" s="1620"/>
      <c r="N216" s="1620"/>
      <c r="O216" s="1621"/>
      <c r="P216" s="1631"/>
      <c r="R216" s="688">
        <f>E216</f>
        <v>0</v>
      </c>
      <c r="S216" s="186">
        <f>LARGE($R$215:$R$229,2)</f>
        <v>0</v>
      </c>
      <c r="T216" s="684">
        <f>U215+S217*(1-U215)</f>
        <v>0</v>
      </c>
      <c r="U216" s="688">
        <f t="shared" si="26"/>
        <v>0</v>
      </c>
      <c r="V216" s="58">
        <f>IF(E216&gt;0,2,0)</f>
        <v>0</v>
      </c>
      <c r="W216" s="58">
        <f>COUNTIF(V215:V229,2)</f>
        <v>0</v>
      </c>
      <c r="X216" s="18"/>
      <c r="Y216" s="18" t="s">
        <v>511</v>
      </c>
      <c r="AA216" s="1395"/>
      <c r="AB216" s="1395"/>
      <c r="AC216" s="1395"/>
      <c r="AD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row>
    <row r="217" spans="2:109" ht="15" customHeight="1" x14ac:dyDescent="0.2">
      <c r="B217" s="1362" t="s">
        <v>1959</v>
      </c>
      <c r="C217" s="1363"/>
      <c r="D217" s="1364"/>
      <c r="E217" s="1373">
        <f>IF(E607&gt;0,0,P165)</f>
        <v>0</v>
      </c>
      <c r="F217" s="1373"/>
      <c r="G217" s="1729" t="s">
        <v>2260</v>
      </c>
      <c r="H217" s="1729"/>
      <c r="I217" s="1559"/>
      <c r="J217" s="1559"/>
      <c r="K217" s="1619"/>
      <c r="L217" s="1620"/>
      <c r="M217" s="1620"/>
      <c r="N217" s="1620"/>
      <c r="O217" s="1621"/>
      <c r="P217" s="1631"/>
      <c r="R217" s="688">
        <f t="shared" ref="R217:R224" si="27">IF(I217&gt;0,I217,E217)</f>
        <v>0</v>
      </c>
      <c r="S217" s="186">
        <f>LARGE($R$215:$R$229,3)</f>
        <v>0</v>
      </c>
      <c r="T217" s="684">
        <f>U216+S218*(1-U216)</f>
        <v>0</v>
      </c>
      <c r="U217" s="688">
        <f t="shared" si="26"/>
        <v>0</v>
      </c>
      <c r="V217" s="58">
        <f t="shared" ref="V217:V229" si="28">IF(E217&gt;0,1,0)</f>
        <v>0</v>
      </c>
      <c r="W217" s="18"/>
      <c r="X217" s="18"/>
      <c r="Y217" s="1087"/>
      <c r="Z217" s="18"/>
      <c r="AA217" s="1395"/>
      <c r="AB217" s="1395"/>
      <c r="AC217" s="1395"/>
      <c r="AD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row>
    <row r="218" spans="2:109" ht="15" customHeight="1" x14ac:dyDescent="0.2">
      <c r="B218" s="1410" t="s">
        <v>1417</v>
      </c>
      <c r="C218" s="1410"/>
      <c r="D218" s="1410"/>
      <c r="E218" s="1342">
        <f>P182</f>
        <v>0</v>
      </c>
      <c r="F218" s="1344"/>
      <c r="G218" s="1544"/>
      <c r="H218" s="1544"/>
      <c r="I218" s="1545">
        <f t="shared" ref="I218:I224" si="29">IF(AND(Y218&lt;0.01,Y218&gt;0),0.01,ROUND(Y218,2))</f>
        <v>0</v>
      </c>
      <c r="J218" s="1545"/>
      <c r="K218" s="1619"/>
      <c r="L218" s="1620"/>
      <c r="M218" s="1620"/>
      <c r="N218" s="1620"/>
      <c r="O218" s="1621"/>
      <c r="P218" s="1631"/>
      <c r="R218" s="688">
        <f t="shared" si="27"/>
        <v>0</v>
      </c>
      <c r="S218" s="186">
        <f>LARGE($R$215:$R$229,4)</f>
        <v>0</v>
      </c>
      <c r="T218" s="684">
        <f t="shared" ref="T218:T228" si="30">U217+S219*(1-U217)</f>
        <v>0</v>
      </c>
      <c r="U218" s="688">
        <f t="shared" si="26"/>
        <v>0</v>
      </c>
      <c r="V218" s="58">
        <f t="shared" si="28"/>
        <v>0</v>
      </c>
      <c r="W218" s="18"/>
      <c r="X218" s="18"/>
      <c r="Y218" s="1020">
        <f>E218*G218</f>
        <v>0</v>
      </c>
      <c r="Z218" s="860"/>
      <c r="AA218" s="1395"/>
      <c r="AB218" s="1395"/>
      <c r="AC218" s="1395"/>
      <c r="AD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row>
    <row r="219" spans="2:109" ht="15" customHeight="1" x14ac:dyDescent="0.2">
      <c r="B219" s="1362" t="s">
        <v>1418</v>
      </c>
      <c r="C219" s="1363"/>
      <c r="D219" s="1364"/>
      <c r="E219" s="1342">
        <f>P183</f>
        <v>0</v>
      </c>
      <c r="F219" s="1344"/>
      <c r="G219" s="1544"/>
      <c r="H219" s="1544"/>
      <c r="I219" s="1545">
        <f t="shared" si="29"/>
        <v>0</v>
      </c>
      <c r="J219" s="1545"/>
      <c r="K219" s="1619"/>
      <c r="L219" s="1620"/>
      <c r="M219" s="1620"/>
      <c r="N219" s="1620"/>
      <c r="O219" s="1621"/>
      <c r="P219" s="1631"/>
      <c r="R219" s="688">
        <f t="shared" si="27"/>
        <v>0</v>
      </c>
      <c r="S219" s="186">
        <f>LARGE($R$215:$R$229,5)</f>
        <v>0</v>
      </c>
      <c r="T219" s="684">
        <f t="shared" si="30"/>
        <v>0</v>
      </c>
      <c r="U219" s="688">
        <f t="shared" si="26"/>
        <v>0</v>
      </c>
      <c r="V219" s="58">
        <f t="shared" si="28"/>
        <v>0</v>
      </c>
      <c r="W219" s="18"/>
      <c r="X219" s="18"/>
      <c r="Y219" s="1020">
        <f t="shared" ref="Y219:Y224" si="31">E219*G219</f>
        <v>0</v>
      </c>
      <c r="Z219" s="860"/>
      <c r="AA219" s="1395"/>
      <c r="AB219" s="1395"/>
      <c r="AC219" s="1395"/>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row>
    <row r="220" spans="2:109" ht="15" customHeight="1" x14ac:dyDescent="0.2">
      <c r="B220" s="1362" t="s">
        <v>1419</v>
      </c>
      <c r="C220" s="1363"/>
      <c r="D220" s="1364"/>
      <c r="E220" s="1342">
        <f>P184</f>
        <v>0</v>
      </c>
      <c r="F220" s="1344"/>
      <c r="G220" s="1544"/>
      <c r="H220" s="1544"/>
      <c r="I220" s="1545">
        <f t="shared" si="29"/>
        <v>0</v>
      </c>
      <c r="J220" s="1545"/>
      <c r="K220" s="1619"/>
      <c r="L220" s="1620"/>
      <c r="M220" s="1620"/>
      <c r="N220" s="1620"/>
      <c r="O220" s="1621"/>
      <c r="P220" s="1631"/>
      <c r="R220" s="688">
        <f t="shared" si="27"/>
        <v>0</v>
      </c>
      <c r="S220" s="186">
        <f>LARGE($R$215:$R$229,6)</f>
        <v>0</v>
      </c>
      <c r="T220" s="684">
        <f t="shared" si="30"/>
        <v>0</v>
      </c>
      <c r="U220" s="688">
        <f t="shared" si="26"/>
        <v>0</v>
      </c>
      <c r="V220" s="58">
        <f t="shared" si="28"/>
        <v>0</v>
      </c>
      <c r="W220" s="18"/>
      <c r="X220" s="18"/>
      <c r="Y220" s="1020">
        <f t="shared" si="31"/>
        <v>0</v>
      </c>
      <c r="Z220" s="860"/>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row>
    <row r="221" spans="2:109" ht="15" customHeight="1" x14ac:dyDescent="0.2">
      <c r="B221" s="1362" t="s">
        <v>1420</v>
      </c>
      <c r="C221" s="1363"/>
      <c r="D221" s="1364"/>
      <c r="E221" s="1342">
        <f>P185</f>
        <v>0</v>
      </c>
      <c r="F221" s="1344"/>
      <c r="G221" s="1544"/>
      <c r="H221" s="1544"/>
      <c r="I221" s="1545">
        <f t="shared" si="29"/>
        <v>0</v>
      </c>
      <c r="J221" s="1545"/>
      <c r="K221" s="1619"/>
      <c r="L221" s="1620"/>
      <c r="M221" s="1620"/>
      <c r="N221" s="1620"/>
      <c r="O221" s="1621"/>
      <c r="P221" s="1631"/>
      <c r="R221" s="688">
        <f t="shared" si="27"/>
        <v>0</v>
      </c>
      <c r="S221" s="186">
        <f>LARGE($R$215:$R$229,7)</f>
        <v>0</v>
      </c>
      <c r="T221" s="684">
        <f t="shared" si="30"/>
        <v>0</v>
      </c>
      <c r="U221" s="688">
        <f t="shared" si="26"/>
        <v>0</v>
      </c>
      <c r="V221" s="58">
        <f t="shared" si="28"/>
        <v>0</v>
      </c>
      <c r="W221" s="18"/>
      <c r="X221" s="18"/>
      <c r="Y221" s="1020">
        <f t="shared" si="31"/>
        <v>0</v>
      </c>
      <c r="Z221" s="860"/>
      <c r="AA221" s="1073"/>
      <c r="AB221" s="1073"/>
      <c r="AC221" s="1073"/>
      <c r="AD221" s="1073"/>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row>
    <row r="222" spans="2:109" ht="15" customHeight="1" x14ac:dyDescent="0.2">
      <c r="B222" s="1362" t="s">
        <v>1986</v>
      </c>
      <c r="C222" s="1363"/>
      <c r="D222" s="1364"/>
      <c r="E222" s="1373">
        <f>P194</f>
        <v>0</v>
      </c>
      <c r="F222" s="1373"/>
      <c r="G222" s="1544"/>
      <c r="H222" s="1544"/>
      <c r="I222" s="1545">
        <f t="shared" si="29"/>
        <v>0</v>
      </c>
      <c r="J222" s="1545"/>
      <c r="K222" s="1619"/>
      <c r="L222" s="1620"/>
      <c r="M222" s="1620"/>
      <c r="N222" s="1620"/>
      <c r="O222" s="1621"/>
      <c r="P222" s="1631"/>
      <c r="R222" s="688">
        <f t="shared" si="27"/>
        <v>0</v>
      </c>
      <c r="S222" s="186">
        <f>LARGE($R$215:$R$229,8)</f>
        <v>0</v>
      </c>
      <c r="T222" s="684">
        <f t="shared" si="30"/>
        <v>0</v>
      </c>
      <c r="U222" s="688">
        <f t="shared" si="26"/>
        <v>0</v>
      </c>
      <c r="V222" s="58">
        <f t="shared" si="28"/>
        <v>0</v>
      </c>
      <c r="W222" s="18"/>
      <c r="X222" s="18"/>
      <c r="Y222" s="1020">
        <f t="shared" si="31"/>
        <v>0</v>
      </c>
      <c r="Z222" s="860"/>
      <c r="AA222" s="1073"/>
      <c r="AB222" s="1073"/>
      <c r="AC222" s="1073"/>
      <c r="AD222" s="1073"/>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row>
    <row r="223" spans="2:109" ht="15" customHeight="1" x14ac:dyDescent="0.2">
      <c r="B223" s="1362" t="s">
        <v>1227</v>
      </c>
      <c r="C223" s="1363"/>
      <c r="D223" s="1364"/>
      <c r="E223" s="1373">
        <f>P199</f>
        <v>0</v>
      </c>
      <c r="F223" s="1373"/>
      <c r="G223" s="1544"/>
      <c r="H223" s="1544"/>
      <c r="I223" s="1545">
        <f t="shared" si="29"/>
        <v>0</v>
      </c>
      <c r="J223" s="1545"/>
      <c r="K223" s="1030"/>
      <c r="L223" s="1031"/>
      <c r="M223" s="1031"/>
      <c r="N223" s="1031"/>
      <c r="O223" s="1032"/>
      <c r="P223" s="1631"/>
      <c r="R223" s="688">
        <f t="shared" si="27"/>
        <v>0</v>
      </c>
      <c r="S223" s="186">
        <f>LARGE($R$215:$R$229,9)</f>
        <v>0</v>
      </c>
      <c r="T223" s="684">
        <f t="shared" si="30"/>
        <v>0</v>
      </c>
      <c r="U223" s="688">
        <f t="shared" si="26"/>
        <v>0</v>
      </c>
      <c r="V223" s="58">
        <f t="shared" si="28"/>
        <v>0</v>
      </c>
      <c r="W223" s="18"/>
      <c r="X223" s="18"/>
      <c r="Y223" s="1020">
        <f t="shared" si="31"/>
        <v>0</v>
      </c>
      <c r="Z223" s="373"/>
      <c r="AA223" s="1073"/>
      <c r="AB223" s="1073"/>
      <c r="AC223" s="1073"/>
      <c r="AD223" s="1073"/>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row>
    <row r="224" spans="2:109" ht="15" customHeight="1" x14ac:dyDescent="0.2">
      <c r="B224" s="1362" t="s">
        <v>1233</v>
      </c>
      <c r="C224" s="1363"/>
      <c r="D224" s="1364"/>
      <c r="E224" s="1373">
        <f>P201</f>
        <v>0</v>
      </c>
      <c r="F224" s="1373"/>
      <c r="G224" s="1544"/>
      <c r="H224" s="1544"/>
      <c r="I224" s="1545">
        <f t="shared" si="29"/>
        <v>0</v>
      </c>
      <c r="J224" s="1545"/>
      <c r="K224" s="1030"/>
      <c r="L224" s="1031"/>
      <c r="M224" s="1031"/>
      <c r="N224" s="1031"/>
      <c r="O224" s="1032"/>
      <c r="P224" s="1631"/>
      <c r="R224" s="688">
        <f t="shared" si="27"/>
        <v>0</v>
      </c>
      <c r="S224" s="186">
        <f>LARGE($R$215:$R$229,10)</f>
        <v>0</v>
      </c>
      <c r="T224" s="684">
        <f t="shared" si="30"/>
        <v>0</v>
      </c>
      <c r="U224" s="688">
        <f t="shared" si="26"/>
        <v>0</v>
      </c>
      <c r="V224" s="58">
        <f t="shared" si="28"/>
        <v>0</v>
      </c>
      <c r="W224" s="18"/>
      <c r="X224" s="18"/>
      <c r="Y224" s="1020">
        <f t="shared" si="31"/>
        <v>0</v>
      </c>
      <c r="Z224" s="373"/>
      <c r="AA224" s="1073"/>
      <c r="AB224" s="1073"/>
      <c r="AC224" s="1073"/>
      <c r="AD224" s="1073"/>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row>
    <row r="225" spans="2:109" ht="15" customHeight="1" x14ac:dyDescent="0.2">
      <c r="B225" s="1362" t="s">
        <v>383</v>
      </c>
      <c r="C225" s="1363"/>
      <c r="D225" s="1364"/>
      <c r="E225" s="1373">
        <f>P206</f>
        <v>0</v>
      </c>
      <c r="F225" s="1373"/>
      <c r="G225" s="1534" t="s">
        <v>1942</v>
      </c>
      <c r="H225" s="1534"/>
      <c r="I225" s="1559"/>
      <c r="J225" s="1559"/>
      <c r="K225" s="1588" t="str">
        <f>IF(AND(P165&gt;0,E607&gt;0),"A value has been granted for motor loss. Additional impairment value is not allowed for reduced ROM in the same extremity.","")</f>
        <v/>
      </c>
      <c r="L225" s="1589"/>
      <c r="M225" s="1589"/>
      <c r="N225" s="1589"/>
      <c r="O225" s="1590"/>
      <c r="P225" s="1631"/>
      <c r="R225" s="688">
        <f>E225</f>
        <v>0</v>
      </c>
      <c r="S225" s="186">
        <f>LARGE($R$215:$R$229,11)</f>
        <v>0</v>
      </c>
      <c r="T225" s="684">
        <f t="shared" si="30"/>
        <v>0</v>
      </c>
      <c r="U225" s="688">
        <f t="shared" si="26"/>
        <v>0</v>
      </c>
      <c r="V225" s="58">
        <f t="shared" si="28"/>
        <v>0</v>
      </c>
      <c r="W225" s="18"/>
      <c r="X225" s="18"/>
      <c r="Y225" s="370"/>
      <c r="Z225" s="373"/>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row>
    <row r="226" spans="2:109" ht="15" customHeight="1" x14ac:dyDescent="0.2">
      <c r="B226" s="1362" t="s">
        <v>384</v>
      </c>
      <c r="C226" s="1363"/>
      <c r="D226" s="1364"/>
      <c r="E226" s="1373">
        <f>P207</f>
        <v>0</v>
      </c>
      <c r="F226" s="1373"/>
      <c r="G226" s="1534" t="s">
        <v>1942</v>
      </c>
      <c r="H226" s="1534"/>
      <c r="I226" s="1559"/>
      <c r="J226" s="1559"/>
      <c r="K226" s="1588"/>
      <c r="L226" s="1589"/>
      <c r="M226" s="1589"/>
      <c r="N226" s="1589"/>
      <c r="O226" s="1590"/>
      <c r="P226" s="1631"/>
      <c r="R226" s="688">
        <f>E226</f>
        <v>0</v>
      </c>
      <c r="S226" s="186">
        <f>LARGE($R$215:$R$229,12)</f>
        <v>0</v>
      </c>
      <c r="T226" s="684">
        <f t="shared" si="30"/>
        <v>0</v>
      </c>
      <c r="U226" s="688">
        <f t="shared" si="26"/>
        <v>0</v>
      </c>
      <c r="V226" s="58">
        <f t="shared" si="28"/>
        <v>0</v>
      </c>
      <c r="W226" s="18"/>
      <c r="X226" s="18"/>
      <c r="Y226" s="370"/>
      <c r="Z226" s="315"/>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row>
    <row r="227" spans="2:109" ht="15" customHeight="1" x14ac:dyDescent="0.2">
      <c r="B227" s="1362" t="s">
        <v>807</v>
      </c>
      <c r="C227" s="1363"/>
      <c r="D227" s="1364"/>
      <c r="E227" s="1373">
        <f>P208</f>
        <v>0</v>
      </c>
      <c r="F227" s="1373"/>
      <c r="G227" s="1534" t="s">
        <v>1942</v>
      </c>
      <c r="H227" s="1534"/>
      <c r="I227" s="1559"/>
      <c r="J227" s="1559"/>
      <c r="K227" s="1588"/>
      <c r="L227" s="1589"/>
      <c r="M227" s="1589"/>
      <c r="N227" s="1589"/>
      <c r="O227" s="1590"/>
      <c r="P227" s="1631"/>
      <c r="R227" s="688">
        <f>E227</f>
        <v>0</v>
      </c>
      <c r="S227" s="186">
        <f>LARGE($R$215:$R$229,13)</f>
        <v>0</v>
      </c>
      <c r="T227" s="684">
        <f t="shared" si="30"/>
        <v>0</v>
      </c>
      <c r="U227" s="688">
        <f t="shared" si="26"/>
        <v>0</v>
      </c>
      <c r="V227" s="58">
        <f t="shared" si="28"/>
        <v>0</v>
      </c>
      <c r="W227" s="18"/>
      <c r="X227" s="18"/>
      <c r="Y227" s="370"/>
      <c r="Z227" s="315"/>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row>
    <row r="228" spans="2:109" ht="15" customHeight="1" x14ac:dyDescent="0.2">
      <c r="B228" s="1362" t="s">
        <v>1447</v>
      </c>
      <c r="C228" s="1363"/>
      <c r="D228" s="1364"/>
      <c r="E228" s="1373">
        <f>P210</f>
        <v>0</v>
      </c>
      <c r="F228" s="1373"/>
      <c r="G228" s="1544"/>
      <c r="H228" s="1544"/>
      <c r="I228" s="1545">
        <f>IF(AND(Y228&lt;0.01,Y228&gt;0),0.01,ROUND(Y228,2))</f>
        <v>0</v>
      </c>
      <c r="J228" s="1545"/>
      <c r="K228" s="1588"/>
      <c r="L228" s="1589"/>
      <c r="M228" s="1589"/>
      <c r="N228" s="1589"/>
      <c r="O228" s="1590"/>
      <c r="P228" s="1631"/>
      <c r="R228" s="688">
        <f>IF(I228&gt;0,I228,E228)</f>
        <v>0</v>
      </c>
      <c r="S228" s="186">
        <f>LARGE($R$215:$R$229,14)</f>
        <v>0</v>
      </c>
      <c r="T228" s="684">
        <f t="shared" si="30"/>
        <v>0</v>
      </c>
      <c r="U228" s="688">
        <f t="shared" si="26"/>
        <v>0</v>
      </c>
      <c r="V228" s="58">
        <f t="shared" si="28"/>
        <v>0</v>
      </c>
      <c r="W228" s="18"/>
      <c r="X228" s="18"/>
      <c r="Y228" s="1020">
        <f t="shared" ref="Y228:Y229" si="32">E228*G228</f>
        <v>0</v>
      </c>
      <c r="Z228" s="85"/>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row>
    <row r="229" spans="2:109" ht="15" customHeight="1" x14ac:dyDescent="0.2">
      <c r="B229" s="1408" t="s">
        <v>1254</v>
      </c>
      <c r="C229" s="1408"/>
      <c r="D229" s="1408"/>
      <c r="E229" s="1481">
        <f>P211</f>
        <v>0</v>
      </c>
      <c r="F229" s="1728"/>
      <c r="G229" s="1622"/>
      <c r="H229" s="1622"/>
      <c r="I229" s="1612">
        <f>IF(AND(Y229&lt;0.01,Y229&gt;0),0.01,ROUND(Y229,2))</f>
        <v>0</v>
      </c>
      <c r="J229" s="1612"/>
      <c r="K229" s="1574"/>
      <c r="L229" s="1575"/>
      <c r="M229" s="1575"/>
      <c r="N229" s="1575"/>
      <c r="O229" s="1576"/>
      <c r="P229" s="1631"/>
      <c r="Q229" s="3"/>
      <c r="R229" s="688">
        <f>IF(I229&gt;0,I229,E229)</f>
        <v>0</v>
      </c>
      <c r="S229" s="186">
        <f>LARGE($R$215:$R$229,15)</f>
        <v>0</v>
      </c>
      <c r="T229" s="707"/>
      <c r="U229" s="688"/>
      <c r="V229" s="58">
        <f t="shared" si="28"/>
        <v>0</v>
      </c>
      <c r="W229" s="18"/>
      <c r="X229" s="18"/>
      <c r="Y229" s="1020">
        <f t="shared" si="32"/>
        <v>0</v>
      </c>
      <c r="Z229" s="85"/>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row>
    <row r="230" spans="2:109" ht="15" customHeight="1" x14ac:dyDescent="0.2">
      <c r="B230" s="1570" t="s">
        <v>2256</v>
      </c>
      <c r="C230" s="1570"/>
      <c r="D230" s="1570"/>
      <c r="E230" s="1570"/>
      <c r="F230" s="1570"/>
      <c r="G230" s="1570"/>
      <c r="H230" s="1570"/>
      <c r="I230" s="1570"/>
      <c r="J230" s="1570"/>
      <c r="K230" s="1570"/>
      <c r="L230" s="1570"/>
      <c r="M230" s="1570"/>
      <c r="N230" s="1570"/>
      <c r="O230" s="1570"/>
      <c r="P230" s="1623"/>
      <c r="Q230" s="3"/>
      <c r="S230" s="19"/>
      <c r="T230" s="177"/>
      <c r="U230" s="157"/>
      <c r="V230" s="18"/>
      <c r="W230" s="18"/>
      <c r="X230" s="18"/>
      <c r="Y230" s="729"/>
      <c r="Z230" s="19"/>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row>
    <row r="231" spans="2:109" ht="12" customHeight="1" x14ac:dyDescent="0.2">
      <c r="B231" s="1469"/>
      <c r="C231" s="1469"/>
      <c r="D231" s="1469"/>
      <c r="E231" s="1469"/>
      <c r="F231" s="1469"/>
      <c r="G231" s="1469"/>
      <c r="H231" s="1469"/>
      <c r="I231" s="1469"/>
      <c r="J231" s="1469"/>
      <c r="K231" s="1469"/>
      <c r="L231" s="1469"/>
      <c r="M231" s="1469"/>
      <c r="N231" s="1469"/>
      <c r="O231" s="1469"/>
      <c r="P231" s="1469"/>
      <c r="R231" s="18"/>
      <c r="S231" s="18"/>
      <c r="T231" s="18"/>
      <c r="U231" s="18"/>
      <c r="V231" s="18"/>
      <c r="W231" s="18"/>
      <c r="X231" s="18"/>
      <c r="Y231" s="1068"/>
      <c r="Z231" s="106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row>
    <row r="232" spans="2:109" ht="12" customHeight="1" x14ac:dyDescent="0.2">
      <c r="B232" s="10"/>
      <c r="C232" s="10"/>
      <c r="D232" s="10"/>
      <c r="E232" s="10"/>
      <c r="F232" s="10"/>
      <c r="G232" s="10"/>
      <c r="H232" s="10"/>
      <c r="I232" s="10"/>
      <c r="J232" s="10"/>
      <c r="K232" s="10"/>
      <c r="L232" s="10"/>
      <c r="M232" s="10"/>
      <c r="N232" s="10"/>
      <c r="O232" s="10"/>
      <c r="P232" s="10"/>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row>
    <row r="233" spans="2:109" ht="18" customHeight="1" x14ac:dyDescent="0.2">
      <c r="B233" s="1516" t="s">
        <v>119</v>
      </c>
      <c r="C233" s="1517"/>
      <c r="D233" s="1517"/>
      <c r="E233" s="1517"/>
      <c r="F233" s="1517"/>
      <c r="G233" s="1517"/>
      <c r="H233" s="1517"/>
      <c r="I233" s="1517"/>
      <c r="J233" s="1517"/>
      <c r="K233" s="1517"/>
      <c r="L233" s="1517"/>
      <c r="M233" s="1517"/>
      <c r="N233" s="1517"/>
      <c r="O233" s="1517"/>
      <c r="P233" s="15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row>
    <row r="234" spans="2:109" ht="18" customHeight="1" x14ac:dyDescent="0.2">
      <c r="B234" s="1394" t="s">
        <v>1455</v>
      </c>
      <c r="C234" s="1394"/>
      <c r="D234" s="1394"/>
      <c r="E234" s="1394"/>
      <c r="F234" s="1394"/>
      <c r="G234" s="1394"/>
      <c r="H234" s="1394"/>
      <c r="I234" s="1394"/>
      <c r="J234" s="1394"/>
      <c r="K234" s="1394"/>
      <c r="L234" s="1394"/>
      <c r="M234" s="1394"/>
      <c r="N234" s="1394"/>
      <c r="O234" s="1394"/>
      <c r="P234" s="1612">
        <f>SUMIF(S234:Y234,B235,S235:Y235)</f>
        <v>0</v>
      </c>
      <c r="R234" s="1560" t="s">
        <v>1325</v>
      </c>
      <c r="S234" s="58" t="s">
        <v>524</v>
      </c>
      <c r="T234" s="695" t="s">
        <v>1326</v>
      </c>
      <c r="U234" s="58" t="s">
        <v>526</v>
      </c>
      <c r="V234" s="58" t="s">
        <v>1077</v>
      </c>
      <c r="W234" s="58" t="s">
        <v>1080</v>
      </c>
      <c r="X234" s="58" t="s">
        <v>716</v>
      </c>
      <c r="Y234" s="58" t="s">
        <v>590</v>
      </c>
      <c r="Z234" s="18"/>
      <c r="AA234" s="18"/>
      <c r="AB234" s="18"/>
      <c r="AC234" s="18"/>
      <c r="AD234" s="18"/>
      <c r="AE234" s="18"/>
      <c r="AF234" s="18"/>
      <c r="AG234" s="18"/>
      <c r="AH234" s="18"/>
      <c r="AI234" s="18"/>
      <c r="AJ234" s="18"/>
      <c r="AK234" s="19"/>
      <c r="AL234" s="19"/>
      <c r="AM234" s="19"/>
      <c r="AN234" s="19"/>
      <c r="AO234" s="19"/>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row>
    <row r="235" spans="2:109" ht="15" customHeight="1" x14ac:dyDescent="0.2">
      <c r="B235" s="1629"/>
      <c r="C235" s="1629"/>
      <c r="D235" s="1629"/>
      <c r="E235" s="1629"/>
      <c r="F235" s="1629"/>
      <c r="G235" s="1629"/>
      <c r="H235" s="1629"/>
      <c r="I235" s="1629"/>
      <c r="J235" s="1629"/>
      <c r="K235" s="1629"/>
      <c r="L235" s="1629"/>
      <c r="M235" s="1629"/>
      <c r="N235" s="1629"/>
      <c r="O235" s="1629"/>
      <c r="P235" s="1733"/>
      <c r="R235" s="1394"/>
      <c r="S235" s="688">
        <v>0</v>
      </c>
      <c r="T235" s="186">
        <v>0.1</v>
      </c>
      <c r="U235" s="186">
        <v>0.3</v>
      </c>
      <c r="V235" s="186">
        <v>0.5</v>
      </c>
      <c r="W235" s="186">
        <v>0.63</v>
      </c>
      <c r="X235" s="186">
        <v>0.75</v>
      </c>
      <c r="Y235" s="186">
        <v>1</v>
      </c>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row>
    <row r="236" spans="2:109" ht="15" customHeight="1" x14ac:dyDescent="0.2">
      <c r="B236" s="1592" t="str">
        <f>IF(AND(P234&gt;0.1,B238=""),"Enter specific level of amputation or shortening below.","")</f>
        <v/>
      </c>
      <c r="C236" s="1592"/>
      <c r="D236" s="1592"/>
      <c r="E236" s="1592"/>
      <c r="F236" s="1592"/>
      <c r="G236" s="1592"/>
      <c r="H236" s="1592"/>
      <c r="I236" s="1592"/>
      <c r="J236" s="1592"/>
      <c r="K236" s="1592"/>
      <c r="L236" s="1592"/>
      <c r="M236" s="1592"/>
      <c r="N236" s="1592"/>
      <c r="O236" s="1592"/>
      <c r="P236" s="1592"/>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row>
    <row r="237" spans="2:109" ht="30" customHeight="1" x14ac:dyDescent="0.2">
      <c r="B237" s="1379" t="s">
        <v>1676</v>
      </c>
      <c r="C237" s="1379"/>
      <c r="D237" s="1379"/>
      <c r="E237" s="1379"/>
      <c r="F237" s="1379"/>
      <c r="G237" s="1379"/>
      <c r="H237" s="1379"/>
      <c r="I237" s="1379"/>
      <c r="J237" s="1379"/>
      <c r="K237" s="1379"/>
      <c r="L237" s="1379"/>
      <c r="M237" s="1379"/>
      <c r="N237" s="1379"/>
      <c r="O237" s="1379"/>
      <c r="P237" s="1612">
        <f>IF(P234=1,0,U13)</f>
        <v>0</v>
      </c>
      <c r="R237" s="646">
        <f>SUMIF(S237:AD237,B238,S238:AD238)</f>
        <v>0</v>
      </c>
      <c r="S237" s="58" t="s">
        <v>1185</v>
      </c>
      <c r="T237" s="58" t="s">
        <v>1186</v>
      </c>
      <c r="U237" s="58" t="s">
        <v>1187</v>
      </c>
      <c r="V237" s="58" t="s">
        <v>1188</v>
      </c>
      <c r="W237" s="58" t="s">
        <v>1924</v>
      </c>
      <c r="X237" s="58" t="s">
        <v>1925</v>
      </c>
      <c r="Y237" s="58" t="s">
        <v>673</v>
      </c>
      <c r="Z237" s="58" t="s">
        <v>674</v>
      </c>
      <c r="AA237" s="58" t="s">
        <v>675</v>
      </c>
      <c r="AB237" s="58" t="s">
        <v>676</v>
      </c>
      <c r="AC237" s="58" t="s">
        <v>677</v>
      </c>
      <c r="AD237" s="58" t="s">
        <v>678</v>
      </c>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row>
    <row r="238" spans="2:109" ht="15" customHeight="1" x14ac:dyDescent="0.2">
      <c r="B238" s="1629"/>
      <c r="C238" s="1629"/>
      <c r="D238" s="1629"/>
      <c r="E238" s="1629"/>
      <c r="F238" s="1629"/>
      <c r="G238" s="1629"/>
      <c r="H238" s="1629"/>
      <c r="I238" s="1629"/>
      <c r="J238" s="1629"/>
      <c r="K238" s="1629"/>
      <c r="L238" s="1629"/>
      <c r="M238" s="1629"/>
      <c r="N238" s="1629"/>
      <c r="O238" s="1629"/>
      <c r="P238" s="1732"/>
      <c r="R238" s="1379" t="s">
        <v>679</v>
      </c>
      <c r="S238" s="186">
        <v>0</v>
      </c>
      <c r="T238" s="186">
        <v>0</v>
      </c>
      <c r="U238" s="186">
        <v>0</v>
      </c>
      <c r="V238" s="186">
        <v>0.05</v>
      </c>
      <c r="W238" s="186">
        <v>0.05</v>
      </c>
      <c r="X238" s="186">
        <v>0.05</v>
      </c>
      <c r="Y238" s="186">
        <v>0.05</v>
      </c>
      <c r="Z238" s="186">
        <v>0.1</v>
      </c>
      <c r="AA238" s="186">
        <v>0.15</v>
      </c>
      <c r="AB238" s="186">
        <v>0.15</v>
      </c>
      <c r="AC238" s="186">
        <v>0.15</v>
      </c>
      <c r="AD238" s="186">
        <v>0.2</v>
      </c>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row>
    <row r="239" spans="2:109" ht="18" customHeight="1" x14ac:dyDescent="0.2">
      <c r="B239" s="1653" t="s">
        <v>680</v>
      </c>
      <c r="C239" s="1654"/>
      <c r="D239" s="1654"/>
      <c r="E239" s="1654"/>
      <c r="F239" s="1654"/>
      <c r="G239" s="1654"/>
      <c r="H239" s="1654"/>
      <c r="I239" s="1654"/>
      <c r="J239" s="1654"/>
      <c r="K239" s="1654"/>
      <c r="L239" s="1654"/>
      <c r="M239" s="1654"/>
      <c r="N239" s="1654"/>
      <c r="O239" s="1655"/>
      <c r="P239" s="1733"/>
      <c r="R239" s="1379"/>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row>
    <row r="240" spans="2:109" ht="12" customHeight="1" x14ac:dyDescent="0.2">
      <c r="B240" s="1395"/>
      <c r="C240" s="1395"/>
      <c r="D240" s="1395"/>
      <c r="E240" s="1395"/>
      <c r="F240" s="1395"/>
      <c r="G240" s="1395"/>
      <c r="H240" s="1395"/>
      <c r="I240" s="1395"/>
      <c r="J240" s="1395"/>
      <c r="K240" s="1395"/>
      <c r="L240" s="1395"/>
      <c r="M240" s="1395"/>
      <c r="N240" s="1395"/>
      <c r="O240" s="1395"/>
      <c r="P240" s="182"/>
      <c r="R240" s="18"/>
      <c r="S240" s="18"/>
      <c r="T240" s="18"/>
      <c r="U240" s="18"/>
      <c r="V240" s="18"/>
      <c r="W240" s="18"/>
      <c r="X240" s="18"/>
      <c r="Y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row>
    <row r="241" spans="2:109" ht="18" customHeight="1" x14ac:dyDescent="0.2">
      <c r="B241" s="1555" t="s">
        <v>1595</v>
      </c>
      <c r="C241" s="1555"/>
      <c r="D241" s="1555"/>
      <c r="E241" s="1555"/>
      <c r="F241" s="1555"/>
      <c r="G241" s="1555"/>
      <c r="H241" s="1555"/>
      <c r="I241" s="1555"/>
      <c r="J241" s="1555"/>
      <c r="K241" s="1555"/>
      <c r="L241" s="1555"/>
      <c r="M241" s="1555"/>
      <c r="N241" s="1555"/>
      <c r="O241" s="1555"/>
      <c r="P241" s="1373">
        <f>IF(R254=1,"ERROR",IF(AND(AD245&gt;0,AD245&lt;0.01),0.01,ROUND(AD245,2)))</f>
        <v>0</v>
      </c>
      <c r="R241" s="18"/>
      <c r="S241" s="18"/>
      <c r="T241" s="1379" t="s">
        <v>1258</v>
      </c>
      <c r="U241" s="1379" t="s">
        <v>1258</v>
      </c>
      <c r="V241" s="18"/>
      <c r="W241" s="18"/>
      <c r="X241" s="18"/>
      <c r="Y241" s="18"/>
      <c r="Z241" s="18"/>
      <c r="AA241" s="18"/>
      <c r="AB241" s="18"/>
      <c r="AC241" s="1569"/>
      <c r="AD241" s="1569"/>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row>
    <row r="242" spans="2:109" ht="27" customHeight="1" x14ac:dyDescent="0.2">
      <c r="B242" s="25" t="s">
        <v>1569</v>
      </c>
      <c r="C242" s="1452" t="s">
        <v>1596</v>
      </c>
      <c r="D242" s="1452"/>
      <c r="E242" s="1452"/>
      <c r="F242" s="1452"/>
      <c r="G242" s="1786" t="s">
        <v>1081</v>
      </c>
      <c r="H242" s="1786"/>
      <c r="I242" s="1786"/>
      <c r="J242" s="1786"/>
      <c r="K242" s="1452"/>
      <c r="L242" s="1452"/>
      <c r="M242" s="1452"/>
      <c r="N242" s="1452"/>
      <c r="O242" s="1739"/>
      <c r="P242" s="1373"/>
      <c r="R242" s="18"/>
      <c r="S242" s="18"/>
      <c r="T242" s="1379"/>
      <c r="U242" s="1379"/>
      <c r="V242" s="18"/>
      <c r="W242" s="18"/>
      <c r="X242" s="18"/>
      <c r="Y242" s="18"/>
      <c r="Z242" s="18"/>
      <c r="AA242" s="1598" t="s">
        <v>2262</v>
      </c>
      <c r="AB242" s="1599"/>
      <c r="AC242" s="1599"/>
      <c r="AD242" s="1600"/>
      <c r="AE242" s="1039"/>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row>
    <row r="243" spans="2:109" ht="18" customHeight="1" x14ac:dyDescent="0.2">
      <c r="B243" s="23"/>
      <c r="C243" s="1555" t="s">
        <v>365</v>
      </c>
      <c r="D243" s="1555"/>
      <c r="E243" s="1555" t="s">
        <v>1796</v>
      </c>
      <c r="F243" s="1555"/>
      <c r="G243" s="1555" t="s">
        <v>365</v>
      </c>
      <c r="H243" s="1555"/>
      <c r="I243" s="1555" t="s">
        <v>1796</v>
      </c>
      <c r="J243" s="1555"/>
      <c r="K243" s="1555"/>
      <c r="L243" s="1555"/>
      <c r="M243" s="1555"/>
      <c r="N243" s="1555"/>
      <c r="O243" s="1549"/>
      <c r="P243" s="1373"/>
      <c r="R243" s="1019"/>
      <c r="S243" s="58" t="s">
        <v>1655</v>
      </c>
      <c r="T243" s="334" t="s">
        <v>1596</v>
      </c>
      <c r="U243" s="334" t="s">
        <v>1597</v>
      </c>
      <c r="V243" s="1555" t="s">
        <v>1083</v>
      </c>
      <c r="W243" s="1555"/>
      <c r="X243" s="1555"/>
      <c r="Y243" s="1555"/>
      <c r="Z243" s="3"/>
      <c r="AA243" s="1601"/>
      <c r="AB243" s="1602"/>
      <c r="AC243" s="1602"/>
      <c r="AD243" s="1603"/>
      <c r="AE243" s="1039"/>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row>
    <row r="244" spans="2:109" ht="13.5" customHeight="1" x14ac:dyDescent="0.2">
      <c r="B244" s="185" t="s">
        <v>681</v>
      </c>
      <c r="C244" s="1308"/>
      <c r="D244" s="1308"/>
      <c r="E244" s="1558">
        <f>UETable!AV38</f>
        <v>0</v>
      </c>
      <c r="F244" s="1558"/>
      <c r="G244" s="1308"/>
      <c r="H244" s="1308"/>
      <c r="I244" s="1538">
        <f>IF(C244="",0,IF(OR(C244&lt;=0,G244&lt;=0),E244,IF(G244&lt;C244,0,UETable!BA38)))</f>
        <v>0</v>
      </c>
      <c r="J244" s="1538"/>
      <c r="K244" s="1556" t="str">
        <f>IF(OR(C244="NA",G244="NA"),"",IF(AND(C244&lt;&gt;"",G244=""),"Enter contralateral or NA.",IF(AND(C244="",G244&lt;&gt;""),"Need data","")))</f>
        <v/>
      </c>
      <c r="L244" s="1556"/>
      <c r="M244" s="1556"/>
      <c r="N244" s="1556"/>
      <c r="O244" s="1704"/>
      <c r="P244" s="1373"/>
      <c r="R244" s="1019"/>
      <c r="S244" s="58">
        <v>70</v>
      </c>
      <c r="T244" s="58" t="str">
        <f>IF(OR(C244="",C244="NA"),"",IF(C244&gt;S244,S244,IF(C244&lt;0,0,C244)))</f>
        <v/>
      </c>
      <c r="U244" s="58" t="str">
        <f>IF(OR(G244="",G244="NA"),"",IF(G244&gt;S244,S244,IF(G244&lt;0,0,G244)))</f>
        <v/>
      </c>
      <c r="V244" s="696" t="str">
        <f>IF(Y244="","",ROUND(Y244,0))</f>
        <v/>
      </c>
      <c r="W244" s="1410" t="s">
        <v>1203</v>
      </c>
      <c r="X244" s="1410"/>
      <c r="Y244" s="697" t="str">
        <f>IF(T244="","",IF(OR(U244="",U244=0,U244&lt;T244),T244,(T244*70)/U244))</f>
        <v/>
      </c>
      <c r="Z244" s="18"/>
      <c r="AA244" s="1604"/>
      <c r="AB244" s="1605"/>
      <c r="AC244" s="1605"/>
      <c r="AD244" s="1606"/>
      <c r="AE244" s="1041">
        <f>IF(OR(E246&gt;0,E250&gt;0,E254&gt;0),1,0)</f>
        <v>0</v>
      </c>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row>
    <row r="245" spans="2:109" ht="13.5" customHeight="1" x14ac:dyDescent="0.2">
      <c r="B245" s="185" t="s">
        <v>682</v>
      </c>
      <c r="C245" s="1308"/>
      <c r="D245" s="1308"/>
      <c r="E245" s="1558">
        <f>UETable!AV39</f>
        <v>0</v>
      </c>
      <c r="F245" s="1558"/>
      <c r="G245" s="1308"/>
      <c r="H245" s="1308"/>
      <c r="I245" s="1538">
        <f>IF(C245="",0,IF(OR(C245&gt;=70,G245&gt;=70),E245,IF(G245&gt;C245,0,UETable!BA39)))</f>
        <v>0</v>
      </c>
      <c r="J245" s="1538"/>
      <c r="K245" s="1556" t="str">
        <f>IF(OR(C245="NA",G245="NA"),"",IF(AND(C245&lt;&gt;"",G245=""),"Enter contralateral or NA.",IF(AND(C245="",G245&lt;&gt;""),"Need data","")))</f>
        <v/>
      </c>
      <c r="L245" s="1556"/>
      <c r="M245" s="1556"/>
      <c r="N245" s="1556"/>
      <c r="O245" s="1704"/>
      <c r="P245" s="1373"/>
      <c r="S245" s="58">
        <v>70</v>
      </c>
      <c r="T245" s="58" t="str">
        <f>IF(OR(C245="",C245="NA"),"",IF(C245&gt;S245,S245,IF(C245&lt;0,0,C245)))</f>
        <v/>
      </c>
      <c r="U245" s="58" t="str">
        <f>IF(OR(G245="",G245="NA"),"",IF(G245&gt;S245,S245,IF(G245&lt;0,0,G245)))</f>
        <v/>
      </c>
      <c r="V245" s="696" t="str">
        <f>IF(Y245="","",ROUND(Y245,0))</f>
        <v/>
      </c>
      <c r="W245" s="58">
        <f>IF(T245="",0,70-T245)</f>
        <v>0</v>
      </c>
      <c r="X245" s="58">
        <f>IF(U245="",0,70-U245)</f>
        <v>0</v>
      </c>
      <c r="Y245" s="697" t="str">
        <f>IF(T245="","",IF(OR(U245="",U245=0,U245&gt;T245),T245,70-(W245*70)/X245))</f>
        <v/>
      </c>
      <c r="Z245" s="18"/>
      <c r="AA245" s="243">
        <f>IF(E246&gt;0,O247,IF(AND(E246=0,AE244=1,O247&gt;0,C256&gt;0),C256*O247,O247))</f>
        <v>0</v>
      </c>
      <c r="AB245" s="243">
        <f>IF(E250&gt;0,O251,IF(AND(E250=0,AE244=1,O251&gt;0,C256&gt;0),C256*O251,O251))</f>
        <v>0</v>
      </c>
      <c r="AC245" s="1055">
        <f>IF(E254&gt;0,O255,IF(AND(E254=0,AE244=1,O255&gt;0,C256&gt;0),C256*O255,O255))</f>
        <v>0</v>
      </c>
      <c r="AD245" s="243">
        <f>IF(AND(AE244=0,C256&gt;0),C256*AD253,AD253)</f>
        <v>0</v>
      </c>
      <c r="AE245" s="1041">
        <f>IF(AD248=AD249,1,0)</f>
        <v>1</v>
      </c>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row>
    <row r="246" spans="2:109" ht="15" customHeight="1" x14ac:dyDescent="0.2">
      <c r="B246" s="185" t="s">
        <v>683</v>
      </c>
      <c r="C246" s="1308"/>
      <c r="D246" s="1308"/>
      <c r="E246" s="1558">
        <f>IF(AND(C246&lt;&gt;"",C246&lt;&gt;"NA",C245&lt;&gt;"NA",C245&lt;&gt;""),"ERROR",IF(AND(C246&lt;&gt;"",C246&lt;&gt;"NA",C244&lt;&gt;"",C244&lt;&gt;"NA"),"ERROR",UETable!AV40))</f>
        <v>0</v>
      </c>
      <c r="F246" s="1558"/>
      <c r="G246" s="1556" t="str">
        <f>IF(AND(C246&lt;&gt;"",C246&lt;&gt;"NA",C245&lt;&gt;"NA",C245&lt;&gt;""),"ERROR: Cannot rate ROM and ankylosis.",IF(AND(C246&lt;&gt;"",C246&lt;&gt;"NA",C244&lt;&gt;"",C244&lt;&gt;"NA"),"ERROR: Cannot rate ROM and ankylosis.",""))</f>
        <v/>
      </c>
      <c r="H246" s="1556"/>
      <c r="I246" s="1556"/>
      <c r="J246" s="1556"/>
      <c r="K246" s="1556"/>
      <c r="L246" s="1556"/>
      <c r="M246" s="1556"/>
      <c r="N246" s="1556"/>
      <c r="O246" s="1704"/>
      <c r="P246" s="1373"/>
      <c r="R246" s="1019"/>
      <c r="S246" s="58">
        <v>70</v>
      </c>
      <c r="T246" s="58" t="str">
        <f>IF(OR(C246="",C246="NA"),"",IF(C246&gt;S246,S246,IF(C246&lt;0,0,C246)))</f>
        <v/>
      </c>
      <c r="U246" s="18"/>
      <c r="V246" s="18"/>
      <c r="W246" s="18"/>
      <c r="X246" s="18"/>
      <c r="Y246" s="18"/>
      <c r="Z246" s="18"/>
      <c r="AA246" s="1038"/>
      <c r="AB246" s="1038"/>
      <c r="AC246" s="1038"/>
      <c r="AD246" s="1038"/>
      <c r="AE246" s="1039"/>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row>
    <row r="247" spans="2:109" x14ac:dyDescent="0.2">
      <c r="B247" s="1613"/>
      <c r="C247" s="1614"/>
      <c r="D247" s="1614"/>
      <c r="E247" s="1614"/>
      <c r="F247" s="1614"/>
      <c r="G247" s="1614"/>
      <c r="H247" s="1614"/>
      <c r="I247" s="1614"/>
      <c r="J247" s="1615"/>
      <c r="K247" s="1568" t="s">
        <v>1842</v>
      </c>
      <c r="L247" s="1568"/>
      <c r="M247" s="1568"/>
      <c r="N247" s="1568"/>
      <c r="O247" s="77">
        <f>IF(E246="ERROR","ERROR",IF(R247&gt;1,1,R247))</f>
        <v>0</v>
      </c>
      <c r="P247" s="1373"/>
      <c r="R247" s="243">
        <f>SUM(I244,I245,E246)</f>
        <v>0</v>
      </c>
      <c r="S247" s="18"/>
      <c r="T247" s="18"/>
      <c r="U247" s="18"/>
      <c r="V247" s="18"/>
      <c r="W247" s="18"/>
      <c r="X247" s="18"/>
      <c r="Y247" s="18"/>
      <c r="Z247" s="18"/>
      <c r="AA247" s="1039"/>
      <c r="AB247" s="1039"/>
      <c r="AC247" s="1039"/>
      <c r="AD247" s="1039"/>
      <c r="AE247" s="1039"/>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row>
    <row r="248" spans="2:109" ht="13.5" customHeight="1" x14ac:dyDescent="0.2">
      <c r="B248" s="286" t="s">
        <v>684</v>
      </c>
      <c r="C248" s="1308"/>
      <c r="D248" s="1308"/>
      <c r="E248" s="1738">
        <f>UETable!AV42</f>
        <v>0</v>
      </c>
      <c r="F248" s="1738"/>
      <c r="G248" s="1308"/>
      <c r="H248" s="1308"/>
      <c r="I248" s="1734">
        <f>IF(C248="",0,IF(OR(C248&lt;=0,G248&lt;=0),E248,IF(G248&lt;C248,0,UETable!BA42)))</f>
        <v>0</v>
      </c>
      <c r="J248" s="1734"/>
      <c r="K248" s="1736" t="str">
        <f>IF(OR(C248="NA",G248="NA"),"",IF(AND(C248&lt;&gt;"",G248=""),"Enter contralateral or NA.",IF(AND(C248="",G248&lt;&gt;""),"Need data","")))</f>
        <v/>
      </c>
      <c r="L248" s="1736"/>
      <c r="M248" s="1736"/>
      <c r="N248" s="1736"/>
      <c r="O248" s="1737"/>
      <c r="P248" s="1373"/>
      <c r="R248" s="1019"/>
      <c r="S248" s="58">
        <v>100</v>
      </c>
      <c r="T248" s="58" t="str">
        <f>IF(OR(C248="",C248="NA"),"",IF(C248&gt;S248,S248,IF(C248&lt;0,0,C248)))</f>
        <v/>
      </c>
      <c r="U248" s="58" t="str">
        <f>IF(OR(G248="",G248="NA"),"",IF(G248&gt;S248,S248,IF(G248&lt;0,0,G248)))</f>
        <v/>
      </c>
      <c r="V248" s="696" t="str">
        <f>IF(Y248="","",ROUND(Y248,0))</f>
        <v/>
      </c>
      <c r="W248" s="1410" t="s">
        <v>1203</v>
      </c>
      <c r="X248" s="1410"/>
      <c r="Y248" s="697" t="str">
        <f>IF(T248="","",IF(OR(U248="",U248=0,U248&lt;T248),T248,(T248*100)/U248))</f>
        <v/>
      </c>
      <c r="Z248" s="18"/>
      <c r="AA248" s="242">
        <f>E246</f>
        <v>0</v>
      </c>
      <c r="AB248" s="242">
        <f>E250</f>
        <v>0</v>
      </c>
      <c r="AC248" s="242">
        <f>E254</f>
        <v>0</v>
      </c>
      <c r="AD248" s="1041">
        <f>COUNTIF(AA248:AC248,"&gt;0")</f>
        <v>0</v>
      </c>
      <c r="AE248" s="1039"/>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row>
    <row r="249" spans="2:109" ht="13.5" customHeight="1" x14ac:dyDescent="0.2">
      <c r="B249" s="185" t="s">
        <v>685</v>
      </c>
      <c r="C249" s="1308"/>
      <c r="D249" s="1308"/>
      <c r="E249" s="1558">
        <f>UETable!AV43</f>
        <v>0</v>
      </c>
      <c r="F249" s="1558"/>
      <c r="G249" s="1308"/>
      <c r="H249" s="1308"/>
      <c r="I249" s="1538">
        <f>IF(C249="",0,IF(OR(C249&gt;=100,G249&gt;=100),E249,IF(G249&gt;C249,0,UETable!BA43)))</f>
        <v>0</v>
      </c>
      <c r="J249" s="1538"/>
      <c r="K249" s="1556" t="str">
        <f>IF(OR(C249="NA",G249="NA"),"",IF(AND(C249&lt;&gt;"",G249=""),"Enter contralateral or NA.",IF(AND(C249="",G249&lt;&gt;""),"Need data","")))</f>
        <v/>
      </c>
      <c r="L249" s="1556"/>
      <c r="M249" s="1556"/>
      <c r="N249" s="1556"/>
      <c r="O249" s="1704"/>
      <c r="P249" s="1373"/>
      <c r="S249" s="58">
        <v>100</v>
      </c>
      <c r="T249" s="58" t="str">
        <f>IF(OR(C249="",C249="NA"),"",IF(C249&gt;S249,S249,IF(C249&lt;0,0,C249)))</f>
        <v/>
      </c>
      <c r="U249" s="58" t="str">
        <f>IF(OR(G249="",G249="NA"),"",IF(G249&gt;S249,S249,IF(G249&lt;0,0,G249)))</f>
        <v/>
      </c>
      <c r="V249" s="696" t="str">
        <f>IF(Y249="","",ROUND(Y249,0))</f>
        <v/>
      </c>
      <c r="W249" s="58">
        <f>IF(T249="",0,100-T249)</f>
        <v>0</v>
      </c>
      <c r="X249" s="58">
        <f>IF(U249="",0,100-U249)</f>
        <v>0</v>
      </c>
      <c r="Y249" s="697" t="str">
        <f>IF(T249="","",IF(OR(U249="",U249=0,U249&gt;T249),T249,100-(W249*100)/X249))</f>
        <v/>
      </c>
      <c r="Z249" s="18"/>
      <c r="AA249" s="242">
        <f>O247</f>
        <v>0</v>
      </c>
      <c r="AB249" s="242">
        <f>O251</f>
        <v>0</v>
      </c>
      <c r="AC249" s="242">
        <f>O255</f>
        <v>0</v>
      </c>
      <c r="AD249" s="1041">
        <f>COUNTIF(AA249:AC249,"&gt;0")</f>
        <v>0</v>
      </c>
      <c r="AE249" s="1039"/>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row>
    <row r="250" spans="2:109" ht="15" customHeight="1" x14ac:dyDescent="0.2">
      <c r="B250" s="185" t="s">
        <v>686</v>
      </c>
      <c r="C250" s="1308"/>
      <c r="D250" s="1308"/>
      <c r="E250" s="1558">
        <f>IF(AND(C250&lt;&gt;"",C250&lt;&gt;"NA",C249&lt;&gt;"NA",C249&lt;&gt;""),"ERROR",IF(AND(C250&lt;&gt;"",C250&lt;&gt;"NA",C248&lt;&gt;"",C248&lt;&gt;"NA"),"ERROR",UETable!AV44))</f>
        <v>0</v>
      </c>
      <c r="F250" s="1558"/>
      <c r="G250" s="1556" t="str">
        <f>IF(AND(C250&lt;&gt;"",C250&lt;&gt;"NA",C249&lt;&gt;"NA",C249&lt;&gt;""),"ERROR: Cannot rate ROM and ankylosis.",IF(AND(C250&lt;&gt;"",C250&lt;&gt;"NA",C248&lt;&gt;"",C248&lt;&gt;"NA"),"ERROR: Cannot rate ROM and ankylosis.",""))</f>
        <v/>
      </c>
      <c r="H250" s="1556"/>
      <c r="I250" s="1556"/>
      <c r="J250" s="1556"/>
      <c r="K250" s="1556"/>
      <c r="L250" s="1556"/>
      <c r="M250" s="1556"/>
      <c r="N250" s="1556"/>
      <c r="O250" s="1704"/>
      <c r="P250" s="1373"/>
      <c r="R250" s="18"/>
      <c r="S250" s="58">
        <v>100</v>
      </c>
      <c r="T250" s="58" t="str">
        <f>IF(OR(C250="",C250="NA"),"",IF(C250&gt;S250,S250,IF(C250&lt;0,0,C250)))</f>
        <v/>
      </c>
      <c r="U250" s="18"/>
      <c r="V250" s="18"/>
      <c r="W250" s="18"/>
      <c r="X250" s="18"/>
      <c r="Y250" s="18"/>
      <c r="Z250" s="18"/>
      <c r="AA250" s="1039"/>
      <c r="AB250" s="1039"/>
      <c r="AC250" s="1039"/>
      <c r="AD250" s="1039"/>
      <c r="AE250" s="1039"/>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row>
    <row r="251" spans="2:109" x14ac:dyDescent="0.2">
      <c r="B251" s="1613"/>
      <c r="C251" s="1614"/>
      <c r="D251" s="1614"/>
      <c r="E251" s="1614"/>
      <c r="F251" s="1614"/>
      <c r="G251" s="1614"/>
      <c r="H251" s="1614"/>
      <c r="I251" s="1614"/>
      <c r="J251" s="1615"/>
      <c r="K251" s="1568" t="s">
        <v>1842</v>
      </c>
      <c r="L251" s="1568"/>
      <c r="M251" s="1568"/>
      <c r="N251" s="1568"/>
      <c r="O251" s="77">
        <f>IF(E250="ERROR","ERROR",IF(R251&gt;1,1,R251))</f>
        <v>0</v>
      </c>
      <c r="P251" s="1373"/>
      <c r="R251" s="243">
        <f>SUM(I248,I249,E250)</f>
        <v>0</v>
      </c>
      <c r="S251" s="18"/>
      <c r="T251" s="18"/>
      <c r="U251" s="18"/>
      <c r="V251" s="18"/>
      <c r="W251" s="18"/>
      <c r="X251" s="18"/>
      <c r="Y251" s="18"/>
      <c r="Z251" s="18"/>
      <c r="AA251" s="1044" t="s">
        <v>1307</v>
      </c>
      <c r="AB251" s="1044" t="s">
        <v>1305</v>
      </c>
      <c r="AC251" s="1037" t="s">
        <v>1306</v>
      </c>
      <c r="AD251" s="1037" t="s">
        <v>1307</v>
      </c>
      <c r="AE251" s="1039"/>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row>
    <row r="252" spans="2:109" ht="13.5" customHeight="1" x14ac:dyDescent="0.2">
      <c r="B252" s="286" t="s">
        <v>1578</v>
      </c>
      <c r="C252" s="1308"/>
      <c r="D252" s="1308"/>
      <c r="E252" s="1738">
        <f>UETable!AV46</f>
        <v>0</v>
      </c>
      <c r="F252" s="1738"/>
      <c r="G252" s="1308"/>
      <c r="H252" s="1308"/>
      <c r="I252" s="1734">
        <f>IF(C252="",0,IF(OR(C252&lt;=0,G252&lt;=0),E252,IF(G252&lt;C252,0,UETable!BA46)))</f>
        <v>0</v>
      </c>
      <c r="J252" s="1734"/>
      <c r="K252" s="1736" t="str">
        <f>IF(OR(C252="NA",G252="NA"),"",IF(AND(C252&lt;&gt;"",G252=""),"Enter contralateral or NA.",IF(AND(C252="",G252&lt;&gt;""),"Need data","")))</f>
        <v/>
      </c>
      <c r="L252" s="1736"/>
      <c r="M252" s="1736"/>
      <c r="N252" s="1736"/>
      <c r="O252" s="1737"/>
      <c r="P252" s="1373"/>
      <c r="R252" s="1025"/>
      <c r="S252" s="1024">
        <v>90</v>
      </c>
      <c r="T252" s="58" t="str">
        <f>IF(OR(C252="",C252="NA"),"",IF(C252&gt;S252,S252,IF(C252&lt;0,0,C252)))</f>
        <v/>
      </c>
      <c r="U252" s="58" t="str">
        <f>IF(OR(G252="",G252="NA"),"",IF(G252&gt;S252,S252,IF(G252&lt;0,0,G252)))</f>
        <v/>
      </c>
      <c r="V252" s="696" t="str">
        <f>IF(Y252="","",ROUND(Y252,0))</f>
        <v/>
      </c>
      <c r="W252" s="1410" t="s">
        <v>1203</v>
      </c>
      <c r="X252" s="1410"/>
      <c r="Y252" s="697" t="str">
        <f>IF(T252="","",IF(OR(U252="",U252=0,U252&lt;T252),T252,(T252*90)/U252))</f>
        <v/>
      </c>
      <c r="Z252" s="18"/>
      <c r="AA252" s="1040">
        <f>IF(AND(AA245&gt;0,AA245&lt;0.01),0.01,ROUND(AA245,2))</f>
        <v>0</v>
      </c>
      <c r="AB252" s="1042">
        <f>LARGE(AA252:AA254,1)</f>
        <v>0</v>
      </c>
      <c r="AC252" s="1040">
        <f>AB252+AB253*(1-AB252)</f>
        <v>0</v>
      </c>
      <c r="AD252" s="1040">
        <f>ROUND(AC252,2)</f>
        <v>0</v>
      </c>
      <c r="AE252" s="1039"/>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row>
    <row r="253" spans="2:109" ht="13.5" customHeight="1" x14ac:dyDescent="0.2">
      <c r="B253" s="185" t="s">
        <v>1579</v>
      </c>
      <c r="C253" s="1308"/>
      <c r="D253" s="1308"/>
      <c r="E253" s="1558">
        <f>UETable!AV47</f>
        <v>0</v>
      </c>
      <c r="F253" s="1558"/>
      <c r="G253" s="1308"/>
      <c r="H253" s="1308"/>
      <c r="I253" s="1538">
        <f>IF(C253="",0,IF(OR(C253&gt;=90,G253&gt;=90),E253,IF(G253&gt;C253,0,UETable!BA47)))</f>
        <v>0</v>
      </c>
      <c r="J253" s="1538"/>
      <c r="K253" s="1556" t="str">
        <f>IF(OR(C253="NA",G253="NA"),"",IF(AND(C253&lt;&gt;"",G253=""),"Enter contralateral or NA.",IF(AND(C253="",G253&lt;&gt;""),"Need data","")))</f>
        <v/>
      </c>
      <c r="L253" s="1556"/>
      <c r="M253" s="1556"/>
      <c r="N253" s="1556"/>
      <c r="O253" s="1704"/>
      <c r="P253" s="1373"/>
      <c r="R253" s="1025"/>
      <c r="S253" s="1024">
        <v>90</v>
      </c>
      <c r="T253" s="58" t="str">
        <f>IF(OR(C253="",C253="NA"),"",IF(C253&gt;S253,S253,IF(C253&lt;0,0,C253)))</f>
        <v/>
      </c>
      <c r="U253" s="58" t="str">
        <f>IF(OR(G253="",G253="NA"),"",IF(G253&gt;S253,S253,IF(G253&lt;0,0,G253)))</f>
        <v/>
      </c>
      <c r="V253" s="696" t="str">
        <f>IF(Y253="","",ROUND(Y253,0))</f>
        <v/>
      </c>
      <c r="W253" s="58">
        <f>IF(T253="",0,90-T253)</f>
        <v>0</v>
      </c>
      <c r="X253" s="58">
        <f>IF(U253="",0,90-U253)</f>
        <v>0</v>
      </c>
      <c r="Y253" s="697" t="str">
        <f>IF(T253="","",IF(OR(U253="",U253=0,U253&gt;T253),T253,90-(W253*90)/X253))</f>
        <v/>
      </c>
      <c r="Z253" s="18"/>
      <c r="AA253" s="1040">
        <f>IF(AND(AB245&gt;0,AB245&lt;0.01),0.01,ROUND(AB245,2))</f>
        <v>0</v>
      </c>
      <c r="AB253" s="1042">
        <f>LARGE(AA252:AA254,2)</f>
        <v>0</v>
      </c>
      <c r="AC253" s="684">
        <f>AD252+AB254*(1-AD252)</f>
        <v>0</v>
      </c>
      <c r="AD253" s="1040">
        <f>ROUND(AC253,2)</f>
        <v>0</v>
      </c>
      <c r="AE253" s="1039"/>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row>
    <row r="254" spans="2:109" ht="15" customHeight="1" x14ac:dyDescent="0.2">
      <c r="B254" s="185" t="s">
        <v>643</v>
      </c>
      <c r="C254" s="1308"/>
      <c r="D254" s="1308"/>
      <c r="E254" s="1558">
        <f>IF(AND(C254&lt;&gt;"",C254&lt;&gt;"NA",C253&lt;&gt;"NA",C253&lt;&gt;""),"ERROR",IF(AND(C254&lt;&gt;"",C254&lt;&gt;"NA",C252&lt;&gt;"",C252&lt;&gt;"NA"),"ERROR",UETable!AV48))</f>
        <v>0</v>
      </c>
      <c r="F254" s="1558"/>
      <c r="G254" s="1556" t="str">
        <f>IF(AND(C254&lt;&gt;"",C254&lt;&gt;"NA",C253&lt;&gt;"NA",C253&lt;&gt;""),"ERROR: Cannot rate ROM and ankylosis.",IF(AND(C254&lt;&gt;"",C254&lt;&gt;"NA",C252&lt;&gt;"",C252&lt;&gt;"NA"),"ERROR: Cannot rate ROM and ankylosis.",""))</f>
        <v/>
      </c>
      <c r="H254" s="1556"/>
      <c r="I254" s="1556"/>
      <c r="J254" s="1556"/>
      <c r="K254" s="1556"/>
      <c r="L254" s="1556"/>
      <c r="M254" s="1556"/>
      <c r="N254" s="1556"/>
      <c r="O254" s="1704"/>
      <c r="P254" s="1373"/>
      <c r="R254" s="1024">
        <f>IF(OR(O247="ERROR",O251="ERROR",O255="ERROR"),1,0)</f>
        <v>0</v>
      </c>
      <c r="S254" s="58">
        <v>90</v>
      </c>
      <c r="T254" s="58" t="str">
        <f>IF(OR(C254="",C254="NA"),"",IF(C254&gt;S254,S254,IF(C254&lt;0,0,C254)))</f>
        <v/>
      </c>
      <c r="U254" s="18"/>
      <c r="V254" s="18"/>
      <c r="W254" s="18"/>
      <c r="X254" s="18"/>
      <c r="Y254" s="18"/>
      <c r="Z254" s="18"/>
      <c r="AA254" s="1040">
        <f>IF(AND(AC245&gt;0,AC245&lt;0.01),0.01,ROUND(AC245,2))</f>
        <v>0</v>
      </c>
      <c r="AB254" s="1042">
        <f>LARGE(AA252:AA254,3)</f>
        <v>0</v>
      </c>
      <c r="AC254" s="1038"/>
      <c r="AD254" s="1038"/>
      <c r="AE254" s="1039"/>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row>
    <row r="255" spans="2:109" x14ac:dyDescent="0.2">
      <c r="B255" s="1045"/>
      <c r="C255" s="1046"/>
      <c r="D255" s="1046"/>
      <c r="E255" s="1796" t="str">
        <f>IF(AND(OR(E246&gt;0,E250&gt;0,E254&gt;0),C256&gt;0),"Note: Ankylosis is not apportioned.","")</f>
        <v/>
      </c>
      <c r="F255" s="1796"/>
      <c r="G255" s="1796"/>
      <c r="H255" s="1796"/>
      <c r="I255" s="1796"/>
      <c r="J255" s="1568" t="s">
        <v>1842</v>
      </c>
      <c r="K255" s="1568"/>
      <c r="L255" s="1568"/>
      <c r="M255" s="1568"/>
      <c r="N255" s="1568"/>
      <c r="O255" s="77">
        <f>IF(E254="ERROR","ERROR",IF(R255&gt;1,1,R255))</f>
        <v>0</v>
      </c>
      <c r="P255" s="1373"/>
      <c r="R255" s="243">
        <f>SUM(I252,I253,E254)</f>
        <v>0</v>
      </c>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row>
    <row r="256" spans="2:109" ht="15" customHeight="1" x14ac:dyDescent="0.2">
      <c r="B256" s="1043" t="s">
        <v>2259</v>
      </c>
      <c r="C256" s="1544"/>
      <c r="D256" s="1577"/>
      <c r="E256" s="1796"/>
      <c r="F256" s="1796"/>
      <c r="G256" s="1796"/>
      <c r="H256" s="1796"/>
      <c r="I256" s="1796"/>
      <c r="J256" s="1568" t="s">
        <v>928</v>
      </c>
      <c r="K256" s="1568"/>
      <c r="L256" s="1568"/>
      <c r="M256" s="1568"/>
      <c r="N256" s="1568"/>
      <c r="O256" s="1740"/>
      <c r="P256" s="1373"/>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row>
    <row r="257" spans="1:109" ht="9.75" customHeight="1" x14ac:dyDescent="0.2">
      <c r="B257" s="1395"/>
      <c r="C257" s="1395"/>
      <c r="D257" s="1395"/>
      <c r="E257" s="1395"/>
      <c r="F257" s="1395"/>
      <c r="G257" s="1395"/>
      <c r="H257" s="1395"/>
      <c r="I257" s="1395"/>
      <c r="J257" s="1395"/>
      <c r="K257" s="1395"/>
      <c r="L257" s="1395"/>
      <c r="M257" s="1395"/>
      <c r="N257" s="1395"/>
      <c r="O257" s="1395"/>
      <c r="P257" s="182"/>
      <c r="R257" s="18"/>
      <c r="S257" s="1487" t="s">
        <v>2197</v>
      </c>
      <c r="T257" s="1487"/>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row>
    <row r="258" spans="1:109" ht="14.25" customHeight="1" x14ac:dyDescent="0.2">
      <c r="A258" s="189"/>
      <c r="B258" s="1581" t="s">
        <v>970</v>
      </c>
      <c r="C258" s="1582"/>
      <c r="D258" s="1543"/>
      <c r="E258" s="1543"/>
      <c r="F258" s="1587" t="s">
        <v>1229</v>
      </c>
      <c r="G258" s="1587"/>
      <c r="H258" s="1587"/>
      <c r="I258" s="1587"/>
      <c r="J258" s="1587"/>
      <c r="K258" s="1587"/>
      <c r="L258" s="1587"/>
      <c r="M258" s="1587"/>
      <c r="N258" s="1587"/>
      <c r="O258" s="1587"/>
      <c r="P258" s="95">
        <f>IF(T258=1,0.1,0)</f>
        <v>0</v>
      </c>
      <c r="R258" s="18"/>
      <c r="S258" s="686" t="b">
        <v>0</v>
      </c>
      <c r="T258" s="58">
        <f>IF(S258=TRUE,1,0)</f>
        <v>0</v>
      </c>
      <c r="W258" s="18"/>
      <c r="X258" s="18"/>
      <c r="Y258" s="18"/>
      <c r="Z258" s="18"/>
      <c r="AA258" s="18"/>
      <c r="AB258" s="18"/>
      <c r="AC258" s="18"/>
      <c r="AD258" s="18"/>
      <c r="AE258" s="18"/>
      <c r="AF258" s="18"/>
      <c r="AG258" s="18">
        <v>1E-4</v>
      </c>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row>
    <row r="259" spans="1:109" x14ac:dyDescent="0.2">
      <c r="B259" s="1583"/>
      <c r="C259" s="1584"/>
      <c r="D259" s="1543"/>
      <c r="E259" s="1543"/>
      <c r="F259" s="1587" t="s">
        <v>1231</v>
      </c>
      <c r="G259" s="1587"/>
      <c r="H259" s="1587"/>
      <c r="I259" s="1587"/>
      <c r="J259" s="1587"/>
      <c r="K259" s="1587"/>
      <c r="L259" s="1587"/>
      <c r="M259" s="1587"/>
      <c r="N259" s="1587"/>
      <c r="O259" s="1587"/>
      <c r="P259" s="95">
        <f>IF(T259=1,0.1,0)</f>
        <v>0</v>
      </c>
      <c r="R259" s="18"/>
      <c r="S259" s="686" t="b">
        <v>0</v>
      </c>
      <c r="T259" s="58">
        <f>IF(S259=TRUE,1,0)</f>
        <v>0</v>
      </c>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row>
    <row r="260" spans="1:109" x14ac:dyDescent="0.2">
      <c r="B260" s="1583"/>
      <c r="C260" s="1584"/>
      <c r="D260" s="1543"/>
      <c r="E260" s="1543"/>
      <c r="F260" s="1587" t="s">
        <v>1230</v>
      </c>
      <c r="G260" s="1587"/>
      <c r="H260" s="1587"/>
      <c r="I260" s="1587"/>
      <c r="J260" s="1587"/>
      <c r="K260" s="1587"/>
      <c r="L260" s="1587"/>
      <c r="M260" s="1587"/>
      <c r="N260" s="1587"/>
      <c r="O260" s="1587"/>
      <c r="P260" s="95">
        <f>IF(T260=1,0.1,0)</f>
        <v>0</v>
      </c>
      <c r="R260" s="18"/>
      <c r="S260" s="686" t="b">
        <v>0</v>
      </c>
      <c r="T260" s="58">
        <f>IF(S260=TRUE,1,0)</f>
        <v>0</v>
      </c>
      <c r="U260" s="164"/>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row>
    <row r="261" spans="1:109" x14ac:dyDescent="0.2">
      <c r="B261" s="1585"/>
      <c r="C261" s="1586"/>
      <c r="D261" s="1543"/>
      <c r="E261" s="1543"/>
      <c r="F261" s="1587" t="s">
        <v>1232</v>
      </c>
      <c r="G261" s="1587"/>
      <c r="H261" s="1587"/>
      <c r="I261" s="1587"/>
      <c r="J261" s="1587"/>
      <c r="K261" s="1587"/>
      <c r="L261" s="1587"/>
      <c r="M261" s="1587"/>
      <c r="N261" s="1587"/>
      <c r="O261" s="1587"/>
      <c r="P261" s="95">
        <f>IF(T261=1,0.1,0)</f>
        <v>0</v>
      </c>
      <c r="R261" s="18"/>
      <c r="S261" s="686" t="b">
        <v>0</v>
      </c>
      <c r="T261" s="58">
        <f>IF(S261=TRUE,1,0)</f>
        <v>0</v>
      </c>
      <c r="U261" s="164"/>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row>
    <row r="262" spans="1:109" ht="12" customHeight="1" x14ac:dyDescent="0.2">
      <c r="B262" s="1395"/>
      <c r="C262" s="1395"/>
      <c r="D262" s="1395"/>
      <c r="E262" s="1395"/>
      <c r="F262" s="1395"/>
      <c r="G262" s="1395"/>
      <c r="H262" s="1395"/>
      <c r="I262" s="1395"/>
      <c r="J262" s="1395"/>
      <c r="K262" s="1395"/>
      <c r="L262" s="1395"/>
      <c r="M262" s="1395"/>
      <c r="N262" s="1395"/>
      <c r="O262" s="1395"/>
      <c r="P262" s="182"/>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row>
    <row r="263" spans="1:109" ht="12" customHeight="1" x14ac:dyDescent="0.2">
      <c r="B263" s="604"/>
      <c r="C263" s="1607" t="s">
        <v>248</v>
      </c>
      <c r="D263" s="1597"/>
      <c r="E263" s="1596" t="s">
        <v>249</v>
      </c>
      <c r="F263" s="1597"/>
      <c r="G263" s="434"/>
      <c r="H263" s="436"/>
      <c r="I263" s="1625" t="s">
        <v>250</v>
      </c>
      <c r="J263" s="1597"/>
      <c r="K263" s="595"/>
      <c r="L263" s="436"/>
      <c r="M263" s="1596" t="s">
        <v>249</v>
      </c>
      <c r="N263" s="1597"/>
      <c r="O263" s="435"/>
      <c r="P263" s="611"/>
      <c r="Z263" s="601"/>
      <c r="AE263" s="600"/>
      <c r="AF263" s="600"/>
      <c r="AG263" s="600"/>
      <c r="AH263" s="600"/>
      <c r="AI263" s="600"/>
      <c r="AJ263" s="600"/>
      <c r="AK263" s="600"/>
      <c r="AL263" s="600"/>
      <c r="AM263" s="600"/>
      <c r="AN263" s="600"/>
    </row>
    <row r="264" spans="1:109" ht="12" customHeight="1" x14ac:dyDescent="0.2">
      <c r="B264" s="605"/>
      <c r="C264" s="1610" t="s">
        <v>251</v>
      </c>
      <c r="D264" s="1580"/>
      <c r="E264" s="1610" t="s">
        <v>252</v>
      </c>
      <c r="F264" s="1580"/>
      <c r="G264" s="1610" t="s">
        <v>253</v>
      </c>
      <c r="H264" s="1580"/>
      <c r="I264" s="1579" t="s">
        <v>254</v>
      </c>
      <c r="J264" s="1580"/>
      <c r="K264" s="1610" t="s">
        <v>255</v>
      </c>
      <c r="L264" s="1580"/>
      <c r="M264" s="1610" t="s">
        <v>256</v>
      </c>
      <c r="N264" s="1580"/>
      <c r="O264" s="3"/>
      <c r="P264" s="612"/>
      <c r="Z264" s="418"/>
      <c r="AE264" s="600"/>
      <c r="AF264" s="600"/>
      <c r="AG264" s="600"/>
      <c r="AH264" s="600"/>
      <c r="AI264" s="600"/>
      <c r="AJ264" s="600"/>
      <c r="AK264" s="600"/>
      <c r="AL264" s="600"/>
      <c r="AM264" s="600"/>
      <c r="AN264" s="600"/>
    </row>
    <row r="265" spans="1:109" ht="12" customHeight="1" x14ac:dyDescent="0.2">
      <c r="B265" s="605"/>
      <c r="C265" s="1552" t="s">
        <v>257</v>
      </c>
      <c r="D265" s="1553"/>
      <c r="E265" s="1552" t="s">
        <v>258</v>
      </c>
      <c r="F265" s="1553"/>
      <c r="G265" s="1552" t="s">
        <v>259</v>
      </c>
      <c r="H265" s="1553"/>
      <c r="I265" s="1635" t="s">
        <v>260</v>
      </c>
      <c r="J265" s="1553"/>
      <c r="K265" s="1552" t="s">
        <v>259</v>
      </c>
      <c r="L265" s="1553"/>
      <c r="M265" s="1552" t="s">
        <v>258</v>
      </c>
      <c r="N265" s="1553"/>
      <c r="O265" s="3"/>
      <c r="P265" s="612"/>
      <c r="AH265" s="783">
        <v>1</v>
      </c>
      <c r="AI265" s="783">
        <v>2</v>
      </c>
      <c r="AJ265" s="783">
        <v>3</v>
      </c>
      <c r="AK265" s="783">
        <v>4</v>
      </c>
      <c r="AM265" s="600"/>
      <c r="AN265" s="600"/>
      <c r="AO265" s="600"/>
      <c r="AP265" s="600"/>
      <c r="AQ265" s="600"/>
      <c r="AR265" s="600"/>
      <c r="AS265" s="600"/>
      <c r="AT265" s="600"/>
      <c r="AU265" s="600"/>
      <c r="AV265" s="600"/>
    </row>
    <row r="266" spans="1:109" ht="12" customHeight="1" x14ac:dyDescent="0.2">
      <c r="B266" s="679" t="s">
        <v>1986</v>
      </c>
      <c r="C266" s="1608" t="s">
        <v>261</v>
      </c>
      <c r="D266" s="1609"/>
      <c r="E266" s="1608" t="s">
        <v>261</v>
      </c>
      <c r="F266" s="1609"/>
      <c r="G266" s="1608" t="s">
        <v>261</v>
      </c>
      <c r="H266" s="1609"/>
      <c r="I266" s="1608" t="s">
        <v>261</v>
      </c>
      <c r="J266" s="1609"/>
      <c r="K266" s="1608" t="s">
        <v>261</v>
      </c>
      <c r="L266" s="1609"/>
      <c r="M266" s="1608" t="s">
        <v>261</v>
      </c>
      <c r="N266" s="1609"/>
      <c r="O266" s="3"/>
      <c r="P266" s="612"/>
      <c r="S266" s="1516" t="s">
        <v>2197</v>
      </c>
      <c r="T266" s="1517"/>
      <c r="U266" s="1517"/>
      <c r="V266" s="1517"/>
      <c r="W266" s="1517"/>
      <c r="X266" s="1518"/>
      <c r="Y266" s="599"/>
      <c r="Z266" s="599"/>
      <c r="AA266" s="1562" t="s">
        <v>2197</v>
      </c>
      <c r="AB266" s="1563"/>
      <c r="AC266" s="1563"/>
      <c r="AD266" s="1563"/>
      <c r="AE266" s="1563"/>
      <c r="AF266" s="1564"/>
      <c r="AG266" s="599"/>
      <c r="AH266" s="1519" t="s">
        <v>2197</v>
      </c>
      <c r="AI266" s="1520"/>
      <c r="AJ266" s="1520"/>
      <c r="AK266" s="1520"/>
      <c r="AL266" s="1520"/>
      <c r="AM266" s="1521"/>
      <c r="AO266" s="1516" t="s">
        <v>2197</v>
      </c>
      <c r="AP266" s="1517"/>
      <c r="AQ266" s="1517"/>
      <c r="AR266" s="1517"/>
      <c r="AS266" s="1518"/>
      <c r="AU266" s="1516" t="s">
        <v>2197</v>
      </c>
      <c r="AV266" s="1517"/>
      <c r="AW266" s="1517"/>
      <c r="AX266" s="1518"/>
      <c r="AZ266" s="1516" t="s">
        <v>2197</v>
      </c>
      <c r="BA266" s="1517"/>
      <c r="BB266" s="1517"/>
      <c r="BC266" s="1517"/>
      <c r="BD266" s="1517"/>
      <c r="BE266" s="1517"/>
      <c r="BF266" s="1517"/>
      <c r="BG266" s="1518"/>
      <c r="BI266" s="1516" t="s">
        <v>2197</v>
      </c>
      <c r="BJ266" s="1517"/>
      <c r="BK266" s="1517"/>
      <c r="BL266" s="1517"/>
      <c r="BM266" s="1517"/>
      <c r="BN266" s="1518"/>
    </row>
    <row r="267" spans="1:109" s="419" customFormat="1" ht="15" customHeight="1" x14ac:dyDescent="0.2">
      <c r="B267" s="185" t="s">
        <v>1608</v>
      </c>
      <c r="C267" s="1554"/>
      <c r="D267" s="1554"/>
      <c r="E267" s="1554"/>
      <c r="F267" s="1554"/>
      <c r="G267" s="1554"/>
      <c r="H267" s="1554"/>
      <c r="I267" s="1554"/>
      <c r="J267" s="1554"/>
      <c r="K267" s="1554"/>
      <c r="L267" s="1554"/>
      <c r="M267" s="1554"/>
      <c r="N267" s="1554"/>
      <c r="O267" s="613"/>
      <c r="P267" s="614"/>
      <c r="S267" s="369">
        <f>IF(C267="",0,C267)</f>
        <v>0</v>
      </c>
      <c r="T267" s="369">
        <f>IF(E267&lt;&gt;"",E267,IF(S267&gt;0,S267,0))</f>
        <v>0</v>
      </c>
      <c r="U267" s="369">
        <f>IF(G267&lt;&gt;"",G267,IF(T267&gt;0,T267,0))</f>
        <v>0</v>
      </c>
      <c r="V267" s="369">
        <f>IF(I267&lt;&gt;"",I267,IF(U267&gt;0,U267,0))</f>
        <v>0</v>
      </c>
      <c r="W267" s="369">
        <f>IF(K267&lt;&gt;"",K267,IF(V267&gt;0,V267,0))</f>
        <v>0</v>
      </c>
      <c r="X267" s="369">
        <f>IF(M267&lt;&gt;"",M267,IF(W267&gt;0,W267,0))</f>
        <v>0</v>
      </c>
      <c r="Z267" s="599"/>
      <c r="AA267" s="607">
        <f>IF(C267&gt;1,1,0)</f>
        <v>0</v>
      </c>
      <c r="AB267" s="369">
        <f t="shared" ref="AB267:AF269" si="33">IF(AND(S267&lt;&gt;T267,T267&gt;0),1,0)</f>
        <v>0</v>
      </c>
      <c r="AC267" s="369">
        <f t="shared" si="33"/>
        <v>0</v>
      </c>
      <c r="AD267" s="369">
        <f t="shared" si="33"/>
        <v>0</v>
      </c>
      <c r="AE267" s="369">
        <f t="shared" si="33"/>
        <v>0</v>
      </c>
      <c r="AF267" s="369">
        <f t="shared" si="33"/>
        <v>0</v>
      </c>
      <c r="AH267" s="602">
        <f>IF(S267=1,0,IF(S267=2,0.25,IF(S267=3,0.38,IF(S267=4,0.5,0))))</f>
        <v>0</v>
      </c>
      <c r="AI267" s="602">
        <f>IF(T267=1,0,IF(T267=2,0.23,IF(T267=3,0.35,IF(T267=4,0.45,0))))</f>
        <v>0</v>
      </c>
      <c r="AJ267" s="602">
        <f>IF(U267=1,0,IF(U267=2,0.2,IF(U267=3,0.3,IF(U267=4,0.39,0))))</f>
        <v>0</v>
      </c>
      <c r="AK267" s="602">
        <f>IF(V267=1,0,IF(V267=2,0.17,IF(V267=3,0.25,IF(V267=4,0.33,0))))</f>
        <v>0</v>
      </c>
      <c r="AL267" s="602">
        <f>IF(W267=1,0,IF(W267=2,0.13,IF(W267=3,0.19,IF(W267=4,0.24,0))))</f>
        <v>0</v>
      </c>
      <c r="AM267" s="602">
        <f>IF(X267=1,0,IF(X267=2,0.08,IF(X267=3,0.12,IF(X267=4,0.15,0))))</f>
        <v>0</v>
      </c>
      <c r="AN267" s="603"/>
      <c r="AO267" s="602">
        <f>IF(S267=1,0,IF(S267=2,0.23,IF(S267=3,0.35,IF(S267=4,0.45,0))))</f>
        <v>0</v>
      </c>
      <c r="AP267" s="602">
        <f>IF(T267=1,0,IF(T267=2,0.2,IF(T267=3,0.3,IF(T267=4,0.39,0))))</f>
        <v>0</v>
      </c>
      <c r="AQ267" s="602">
        <f>IF(U267=1,0,IF(U267=2,0.17,IF(U267=3,0.25,IF(U267=4,0.33,0))))</f>
        <v>0</v>
      </c>
      <c r="AR267" s="602">
        <f>IF(V267=1,0,IF(V267=2,0.13,IF(V267=3,0.19,IF(V267=4,0.24,0))))</f>
        <v>0</v>
      </c>
      <c r="AS267" s="602">
        <f>IF(W267=1,0,IF(W267=2,0.08,IF(W267=3,0.12,IF(W267=4,0.15,0))))</f>
        <v>0</v>
      </c>
      <c r="AU267" s="602">
        <f>IF(S267=1,0,IF(S267=2,0.2,IF(S267=3,0.3,IF(S267=4,0.39,0))))</f>
        <v>0</v>
      </c>
      <c r="AV267" s="602">
        <f>IF(T267=1,0,IF(T267=2,0.17,IF(T267=3,0.25,IF(T267=4,0.33,0))))</f>
        <v>0</v>
      </c>
      <c r="AW267" s="602">
        <f>IF(U267=1,0,IF(U267=2,0.13,IF(U267=3,0.19,IF(U267=4,0.24,0))))</f>
        <v>0</v>
      </c>
      <c r="AX267" s="602">
        <f>IF(V267=1,0,IF(V267=2,0.08,IF(V267=3,0.12,IF(V267=4,0.15,0))))</f>
        <v>0</v>
      </c>
      <c r="AZ267" s="602">
        <f>IF(S267=1,0,IF(S267=2,0.17,IF(S267=3,0.25,IF(S267=4,0.33,0))))</f>
        <v>0</v>
      </c>
      <c r="BA267" s="602">
        <f>IF(T267=1,0,IF(T267=2,0.13,IF(T267=3,0.19,IF(T267=4,0.24,0))))</f>
        <v>0</v>
      </c>
      <c r="BB267" s="602">
        <f>IF(U267=1,0,IF(U267=2,0.08,IF(U267=3,0.12,IF(U267=4,0.15,0))))</f>
        <v>0</v>
      </c>
      <c r="BD267" s="602">
        <f>IF(S267=1,0,IF(S267=2,0.13,IF(S267=3,0.19,IF(S267=4,0.24,0))))</f>
        <v>0</v>
      </c>
      <c r="BE267" s="602">
        <f>IF(T267=1,0,IF(T267=2,0.08,IF(T267=3,0.12,IF(T267=4,0.15,0))))</f>
        <v>0</v>
      </c>
      <c r="BG267" s="602">
        <f>IF(S267=1,0,IF(S267=2,0.08,IF(S267=3,0.12,IF(S267=4,0.15,0))))</f>
        <v>0</v>
      </c>
      <c r="BI267" s="602">
        <f>IF(AA267=0,0,IF(OR(AB267=1,AB268=1,AB269=1),AH267-AO267,IF(OR(AC267=1,AC268=1,AC269=1),AH267-AU267,IF(OR(AD267=1,AD268=1,AD269=1),AH267-AZ267,IF(OR(AE267=1,AE268=1,AE269=1),AH267-BD267,IF(OR(AF267=1,AF268=1,AF269=1),AH267-BG267,AH267))))))</f>
        <v>0</v>
      </c>
      <c r="BJ267" s="602">
        <f>IF(AB267=0,0,IF(OR(AC267=1,AC268=1,AC269=1),AI267-AP267,IF(OR(AD267=1,AD268=1,AD269=1),AI267-AV267,IF(OR(AE267=1,AE268=1,AE269=1),AI267-BA267,IF(OR(AF267=1,AF268=1,AF269=1),AI267-BE267,AI267)))))</f>
        <v>0</v>
      </c>
      <c r="BK267" s="602">
        <f>IF(AC267=0,0,IF(OR(AD267=1,AD268=1,AD269=1),AJ267-AQ267,IF(OR(AE267=1,AE268=1,AE269=1),AJ267-AW267,IF(OR(AF267=1,AF268=1,AF269=1),AJ267-BB267,AJ267))))</f>
        <v>0</v>
      </c>
      <c r="BL267" s="602">
        <f>IF(AD267=0,0,IF(OR(AE267=1,AE268=1,AE269=1),AK267-AR267,IF(OR(AF267=1,AF268=1,AF269=1),AK267-AX267,AK267)))</f>
        <v>0</v>
      </c>
      <c r="BM267" s="602">
        <f>IF(AE267=0,0,IF(OR(AF267=1,AF268=1,AF269=1),AL267-AS267,AL267))</f>
        <v>0</v>
      </c>
      <c r="BN267" s="602">
        <f>IF(AF267=0,0,AM267)</f>
        <v>0</v>
      </c>
      <c r="BP267" s="419" t="s">
        <v>262</v>
      </c>
      <c r="BR267" s="1516" t="s">
        <v>2197</v>
      </c>
      <c r="BS267" s="1517"/>
      <c r="BT267" s="1517"/>
      <c r="BU267" s="1517"/>
      <c r="BV267" s="1517"/>
      <c r="BW267" s="1517"/>
      <c r="BX267" s="1517"/>
      <c r="BY267" s="1517"/>
      <c r="BZ267" s="1517"/>
      <c r="CA267" s="1518"/>
    </row>
    <row r="268" spans="1:109" s="419" customFormat="1" ht="15" customHeight="1" x14ac:dyDescent="0.2">
      <c r="B268" s="369" t="s">
        <v>1611</v>
      </c>
      <c r="C268" s="1554"/>
      <c r="D268" s="1554"/>
      <c r="E268" s="1554"/>
      <c r="F268" s="1554"/>
      <c r="G268" s="1554"/>
      <c r="H268" s="1554"/>
      <c r="I268" s="1554"/>
      <c r="J268" s="1554"/>
      <c r="K268" s="1554"/>
      <c r="L268" s="1554"/>
      <c r="M268" s="1554"/>
      <c r="N268" s="1554"/>
      <c r="O268" s="613"/>
      <c r="P268" s="622"/>
      <c r="S268" s="369">
        <f>IF(C268="",0,C268)</f>
        <v>0</v>
      </c>
      <c r="T268" s="369">
        <f>IF(E268&lt;&gt;"",E268,IF(S268&gt;0,S268,0))</f>
        <v>0</v>
      </c>
      <c r="U268" s="369">
        <f>IF(G268&lt;&gt;"",G268,IF(T268&gt;0,T268,0))</f>
        <v>0</v>
      </c>
      <c r="V268" s="369">
        <f>IF(I268&lt;&gt;"",I268,IF(U268&gt;0,U268,0))</f>
        <v>0</v>
      </c>
      <c r="W268" s="369">
        <f>IF(K268&lt;&gt;"",K268,IF(V268&gt;0,V268,0))</f>
        <v>0</v>
      </c>
      <c r="X268" s="369">
        <f>IF(M268&lt;&gt;"",M268,IF(W268&gt;0,W268,0))</f>
        <v>0</v>
      </c>
      <c r="Z268" s="599"/>
      <c r="AA268" s="607">
        <f>IF(C268&gt;1,1,0)</f>
        <v>0</v>
      </c>
      <c r="AB268" s="369">
        <f t="shared" si="33"/>
        <v>0</v>
      </c>
      <c r="AC268" s="369">
        <f t="shared" si="33"/>
        <v>0</v>
      </c>
      <c r="AD268" s="369">
        <f t="shared" si="33"/>
        <v>0</v>
      </c>
      <c r="AE268" s="369">
        <f t="shared" si="33"/>
        <v>0</v>
      </c>
      <c r="AF268" s="369">
        <f t="shared" si="33"/>
        <v>0</v>
      </c>
      <c r="AH268" s="602">
        <f>IF(S268=1,0,IF(S268=2,0.17,IF(S268=3,0.25,IF(S268=4,0.35,0))))</f>
        <v>0</v>
      </c>
      <c r="AI268" s="602">
        <f>IF(T268=1,0,IF(T268=2,0.15,IF(T268=3,0.23,IF(T268=4,0.31,0))))</f>
        <v>0</v>
      </c>
      <c r="AJ268" s="602">
        <f>IF(U268=1,0,IF(U268=2,0.13,IF(U268=3,0.2,IF(U268=4,0.27,0))))</f>
        <v>0</v>
      </c>
      <c r="AK268" s="602">
        <f>IF(V268=1,0,IF(V268=2,0.11,IF(V268=3,0.17,IF(V268=4,0.22,0))))</f>
        <v>0</v>
      </c>
      <c r="AL268" s="602">
        <f>IF(W268=1,0,IF(W268=2,0.08,IF(W268=3,0.12,IF(W268=4,0.16,0))))</f>
        <v>0</v>
      </c>
      <c r="AM268" s="602">
        <f>IF(X268=1,0,IF(X268=2,0.05,IF(X268=3,0.07,IF(X268=4,0.1,0))))</f>
        <v>0</v>
      </c>
      <c r="AN268" s="603"/>
      <c r="AO268" s="602">
        <f>IF(S268=1,0,IF(S268=2,0.15,IF(S268=3,0.23,IF(S268=4,0.31,0))))</f>
        <v>0</v>
      </c>
      <c r="AP268" s="602">
        <f>IF(T268=1,0,IF(T268=2,0.13,IF(T268=3,0.2,IF(T268=4,0.27,0))))</f>
        <v>0</v>
      </c>
      <c r="AQ268" s="602">
        <f>IF(U268=1,0,IF(U268=2,0.11,IF(U268=3,0.17,IF(U268=4,0.22,0))))</f>
        <v>0</v>
      </c>
      <c r="AR268" s="602">
        <f>IF(V268=1,0,IF(V268=2,0.08,IF(V268=3,0.12,IF(V268=4,0.16,0))))</f>
        <v>0</v>
      </c>
      <c r="AS268" s="602">
        <f>IF(W268=1,0,IF(W268=2,0.05,IF(W268=3,0.07,IF(W268=4,0.1,0))))</f>
        <v>0</v>
      </c>
      <c r="AU268" s="602">
        <f>IF(S268=1,0,IF(S268=2,0.13,IF(S268=3,0.2,IF(S268=4,0.27,0))))</f>
        <v>0</v>
      </c>
      <c r="AV268" s="602">
        <f>IF(T268=1,0,IF(T268=2,0.11,IF(T268=3,0.17,IF(T268=4,0.22,0))))</f>
        <v>0</v>
      </c>
      <c r="AW268" s="602">
        <f>IF(U268=1,0,IF(U268=2,0.08,IF(U268=3,0.12,IF(U268=4,0.16,0))))</f>
        <v>0</v>
      </c>
      <c r="AX268" s="602">
        <f>IF(V268=1,0,IF(V268=2,0.05,IF(V268=3,0.07,IF(V268=4,0.1,0))))</f>
        <v>0</v>
      </c>
      <c r="AZ268" s="602">
        <f>IF(S268=1,0,IF(S268=2,0.11,IF(S268=3,0.17,IF(S268=4,0.22,0))))</f>
        <v>0</v>
      </c>
      <c r="BA268" s="602">
        <f>IF(T268=1,0,IF(T268=2,0.08,IF(T268=3,0.12,IF(T268=4,0.16,0))))</f>
        <v>0</v>
      </c>
      <c r="BB268" s="602">
        <f>IF(U268=1,0,IF(U268=2,0.05,IF(U268=3,0.07,IF(U268=4,0.1,0))))</f>
        <v>0</v>
      </c>
      <c r="BD268" s="602">
        <f>IF(S268=1,0,IF(S268=2,0.08,IF(S268=3,0.12,IF(S268=4,0.16,0))))</f>
        <v>0</v>
      </c>
      <c r="BE268" s="602">
        <f>IF(T268=1,0,IF(T268=2,0.05,IF(T268=3,0.07,IF(T268=4,0.1,0))))</f>
        <v>0</v>
      </c>
      <c r="BG268" s="602">
        <f>IF(S268=1,0,IF(S268=2,0.05,IF(S268=3,0.07,IF(S268=4,0.1,0))))</f>
        <v>0</v>
      </c>
      <c r="BI268" s="602">
        <f>IF(AA268=0,0,IF(OR(AB267=1,AB268=1),AH268-AO268,IF(OR(AC267=1,AC268=1),AH268-AU268,IF(OR(AD267=1,AD268=1),AH268-AZ268,IF(OR(AE267=1,AE268=1),AH268-BD268,IF(OR(AF267=1,AF268=1),AH268-BG268,AH268))))))</f>
        <v>0</v>
      </c>
      <c r="BJ268" s="602">
        <f>IF(AB268=0,0,IF(OR(AC267=1,AC268=1),AI268-AP268,IF(OR(AD267=1,AD268=1),AI268-AV268,IF(OR(AE267=1,AE268=1),AI268-BA268,IF(OR(AF267=1,AF268=1),AI268-BE268,AI268)))))</f>
        <v>0</v>
      </c>
      <c r="BK268" s="602">
        <f>IF(AC268=0,0,IF(OR(AD267=1,AD268=1),AJ268-AQ268,IF(OR(AE267=1,AE268=1),AJ268-AW268,IF(OR(AF267=1,AF268=1),AJ268-BB268,AJ268))))</f>
        <v>0</v>
      </c>
      <c r="BL268" s="602">
        <f>IF(AD268=0,0,IF(OR(AE267=1,AE268=1),AK268-AR268,IF(OR(AF267=1,AF268=1),AK268-AX268,AK268)))</f>
        <v>0</v>
      </c>
      <c r="BM268" s="602">
        <f>IF(AE268=0,0,IF(OR(AF267=1,AF268=1),AL268-AS268,AL268))</f>
        <v>0</v>
      </c>
      <c r="BN268" s="602">
        <f>IF(AF268=0,0,AM268)</f>
        <v>0</v>
      </c>
      <c r="BP268" s="608">
        <f>LARGE((BI267,BJ267,BK267,BL267,BM267,BN267,BI268,BJ268,BK268,BL268,BM268,BN268,BI269,BJ269,BK269,BL269,BM269,BN269),1)</f>
        <v>0</v>
      </c>
      <c r="BQ268" s="609">
        <f>LARGE((BI267,BJ267,BK267,BL267,BM267,BN267,BI268,BJ268,BK268,BL268,BM268,BN268,BI269,BJ269,BK269,BL269,BM269,BN269),2)</f>
        <v>0</v>
      </c>
      <c r="BR268" s="609">
        <f>LARGE((BI267,BJ267,BK267,BL267,BM267,BN267,BI268,BJ268,BK268,BL268,BM268,BN268,BI269,BJ269,BK269,BL269,BM269,BN269),3)</f>
        <v>0</v>
      </c>
      <c r="BS268" s="609">
        <f>LARGE((BI267,BJ267,BK267,BL267,BM267,BN267,BI268,BJ268,BK268,BL268,BM268,BN268,BI269,BJ269,BK269,BL269,BM269,BN269),4)</f>
        <v>0</v>
      </c>
      <c r="BT268" s="609">
        <f>LARGE((BI267,BJ267,BK267,BL267,BM267,BN267,BI268,BJ268,BK268,BL268,BM268,BN268,BI269,BJ269,BK269,BL269,BM269,BN269),5)</f>
        <v>0</v>
      </c>
      <c r="BU268" s="609">
        <f>LARGE((BI267,BJ267,BK267,BL267,BM267,BN267,BI268,BJ268,BK268,BL268,BM268,BN268,BI269,BJ269,BK269,BL269,BM269,BN269),6)</f>
        <v>0</v>
      </c>
      <c r="BV268" s="609">
        <f>LARGE((BI267,BJ267,BK267,BL267,BM267,BN267,BI268,BJ268,BK268,BL268,BM268,BN268,BI269,BJ269,BK269,BL269,BM269,BN269),7)</f>
        <v>0</v>
      </c>
      <c r="BW268" s="609">
        <f>LARGE((BI267,BJ267,BK267,BL267,BM267,BN267,BI268,BJ268,BK268,BL268,BM268,BN268,BI269,BJ269,BK269,BL269,BM269,BN269),8)</f>
        <v>0</v>
      </c>
      <c r="BX268" s="609">
        <f>LARGE((BI267,BJ267,BK267,BL267,BM267,BN267,BI268,BJ268,BK268,BL268,BM268,BN268,BI269,BJ269,BK269,BL269,BM269,BN269),9)</f>
        <v>0</v>
      </c>
      <c r="BY268" s="609">
        <f>LARGE((BI267,BJ267,BK267,BL267,BM267,BN267,BI268,BJ268,BK268,BL268,BM268,BN268,BI269,BJ269,BK269,BL269,BM269,BN269),10)</f>
        <v>0</v>
      </c>
      <c r="BZ268" s="609">
        <f>LARGE((BI267,BJ267,BK267,BL267,BM267,BN267,BI268,BJ268,BK268,BL268,BM268,BN268,BI269,BJ269,BK269,BL269,BM269,BN269),11)</f>
        <v>0</v>
      </c>
      <c r="CA268" s="609">
        <f>LARGE((BI267,BJ267,BK267,BL267,BM267,BN267,BI268,BJ268,BK268,BL268,BM268,BN268,BI269,BJ269,BK269,BL269,BM269,BN269),12)</f>
        <v>0</v>
      </c>
    </row>
    <row r="269" spans="1:109" s="419" customFormat="1" ht="15" customHeight="1" x14ac:dyDescent="0.2">
      <c r="B269" s="606" t="s">
        <v>1614</v>
      </c>
      <c r="C269" s="1636"/>
      <c r="D269" s="1636"/>
      <c r="E269" s="1636"/>
      <c r="F269" s="1636"/>
      <c r="G269" s="1636"/>
      <c r="H269" s="1636"/>
      <c r="I269" s="1636"/>
      <c r="J269" s="1636"/>
      <c r="K269" s="1636"/>
      <c r="L269" s="1636"/>
      <c r="M269" s="1636"/>
      <c r="N269" s="1636"/>
      <c r="O269" s="613"/>
      <c r="P269" s="622"/>
      <c r="S269" s="369">
        <f>IF(C269="",0,C269)</f>
        <v>0</v>
      </c>
      <c r="T269" s="369">
        <f>IF(E269&lt;&gt;"",E269,IF(S269&gt;0,S269,0))</f>
        <v>0</v>
      </c>
      <c r="U269" s="369">
        <f>IF(G269&lt;&gt;"",G269,IF(T269&gt;0,T269,0))</f>
        <v>0</v>
      </c>
      <c r="V269" s="369">
        <f>IF(I269&lt;&gt;"",I269,IF(U269&gt;0,U269,0))</f>
        <v>0</v>
      </c>
      <c r="W269" s="369">
        <f>IF(K269&lt;&gt;"",K269,IF(V269&gt;0,V269,0))</f>
        <v>0</v>
      </c>
      <c r="X269" s="369">
        <f>IF(M269&lt;&gt;"",M269,IF(W269&gt;0,W269,0))</f>
        <v>0</v>
      </c>
      <c r="AA269" s="607">
        <f>IF(C269&gt;1,1,0)</f>
        <v>0</v>
      </c>
      <c r="AB269" s="369">
        <f t="shared" si="33"/>
        <v>0</v>
      </c>
      <c r="AC269" s="369">
        <f t="shared" si="33"/>
        <v>0</v>
      </c>
      <c r="AD269" s="369">
        <f t="shared" si="33"/>
        <v>0</v>
      </c>
      <c r="AE269" s="369">
        <f t="shared" si="33"/>
        <v>0</v>
      </c>
      <c r="AF269" s="369">
        <f t="shared" si="33"/>
        <v>0</v>
      </c>
      <c r="AH269" s="602">
        <f>IF(S269=1,0,IF(S269=2,0.1,IF(S269=3,0.17,IF(S269=4,0.23,0))))</f>
        <v>0</v>
      </c>
      <c r="AI269" s="602">
        <f>IF(T269=1,0,IF(T269=2,0.09,IF(T269=3,0.15,IF(T269=4,0.2,0))))</f>
        <v>0</v>
      </c>
      <c r="AJ269" s="602">
        <f>IF(U269=1,0,IF(U269=2,0.08,IF(U269=3,0.13,IF(U269=4,0.17,0))))</f>
        <v>0</v>
      </c>
      <c r="AK269" s="602">
        <f>IF(V269=1,0,IF(V269=2,0.07,IF(V269=3,0.1,IF(V269=4,0.14,0))))</f>
        <v>0</v>
      </c>
      <c r="AL269" s="602">
        <f>IF(W269=1,0,IF(W269=2,0.05,IF(W269=3,0.08,IF(W269=4,0.1,0))))</f>
        <v>0</v>
      </c>
      <c r="AM269" s="602">
        <f>IF(X269=1,0,IF(X269=2,0.03,IF(X269=3,0.05,IF(X269=4,0.06,0))))</f>
        <v>0</v>
      </c>
      <c r="AN269" s="603"/>
      <c r="AO269" s="602">
        <f>IF(S269=1,0,IF(S269=2,0.09,IF(S269=3,0.15,IF(S269=4,0.2,0))))</f>
        <v>0</v>
      </c>
      <c r="AP269" s="602">
        <f>IF(T269=1,0,IF(T269=2,0.08,IF(T269=3,0.13,IF(T269=4,0.17,0))))</f>
        <v>0</v>
      </c>
      <c r="AQ269" s="602">
        <f>IF(U269=1,0,IF(U269=2,0.07,IF(U269=3,0.1,IF(U269=4,0.14,0))))</f>
        <v>0</v>
      </c>
      <c r="AR269" s="602">
        <f>IF(V269=1,0,IF(V269=2,0.05,IF(V269=3,0.08,IF(V269=4,0.1,0))))</f>
        <v>0</v>
      </c>
      <c r="AS269" s="602">
        <f>IF(W269=1,0,IF(W269=2,0.03,IF(W269=3,0.05,IF(W269=4,0.06,0))))</f>
        <v>0</v>
      </c>
      <c r="AU269" s="602">
        <f>IF(S269=1,0,IF(S269=2,0.08,IF(S269=3,0.13,IF(S269=4,0.17,0))))</f>
        <v>0</v>
      </c>
      <c r="AV269" s="602">
        <f>IF(T269=1,0,IF(T269=2,0.07,IF(T269=3,0.1,IF(T269=4,0.14,0))))</f>
        <v>0</v>
      </c>
      <c r="AW269" s="602">
        <f>IF(U269=1,0,IF(U269=2,0.05,IF(U269=3,0.08,IF(U269=4,0.1,0))))</f>
        <v>0</v>
      </c>
      <c r="AX269" s="602">
        <f>IF(V269=1,0,IF(V269=2,0.03,IF(V269=3,0.05,IF(V269=4,0.06,0))))</f>
        <v>0</v>
      </c>
      <c r="AZ269" s="602">
        <f>IF(S269=1,0,IF(S269=2,0.07,IF(S269=3,0.1,IF(S269=4,0.14,0))))</f>
        <v>0</v>
      </c>
      <c r="BA269" s="602">
        <f>IF(T269=1,0,IF(T269=2,0.05,IF(T269=3,0.08,IF(T269=4,0.1,0))))</f>
        <v>0</v>
      </c>
      <c r="BB269" s="602">
        <f>IF(U269=1,0,IF(U269=2,0.03,IF(U269=3,0.05,IF(U269=4,0.06,0))))</f>
        <v>0</v>
      </c>
      <c r="BD269" s="602">
        <f>IF(S269=1,0,IF(S269=2,0.05,IF(S269=3,0.08,IF(S269=4,0.1,0))))</f>
        <v>0</v>
      </c>
      <c r="BE269" s="602">
        <f>IF(T269=1,0,IF(T269=2,0.03,IF(T269=3,0.05,IF(T269=4,0.06,0))))</f>
        <v>0</v>
      </c>
      <c r="BG269" s="602">
        <f>IF(S269=1,0,IF(S269=2,0.03,IF(S269=3,0.05,IF(S269=4,0.06,0))))</f>
        <v>0</v>
      </c>
      <c r="BI269" s="602">
        <f>IF(AA269=0,0,IF(OR(AB267=1,AB269=1),AH269-AO269,IF(OR(AC267=1,AC269=1),AH269-AU269,IF(OR(AD267=1,AD269=1),AH269-AZ269,IF(OR(AE267=1,AE269=1),AH269-BD269,IF(OR(AF267=1,AF269=1),AH269-BG269,AH269))))))</f>
        <v>0</v>
      </c>
      <c r="BJ269" s="602">
        <f>IF(AB269=0,0,IF(OR(AC267=1,AC269=1),AI269-AP269,IF(OR(AD267=1,AD269=1),AI269-AV269,IF(OR(AE267=1,AE269=1),AI269-BA269,IF(OR(AF267=1,AF269=1),AI269-BE269,AI269)))))</f>
        <v>0</v>
      </c>
      <c r="BK269" s="602">
        <f>IF(AC269=0,0,IF(OR(AD267=1,AD269=1),AJ269-AQ269,IF(OR(AE267=1,AE269=1),AJ269-AW269,IF(OR(AF267=1,AF269=1),AJ269-BB269,AJ269))))</f>
        <v>0</v>
      </c>
      <c r="BL269" s="602">
        <f>IF(AD269=0,0,IF(OR(AE267=1,AE269=1),AK269-AR269,IF(OR(AF267=1,AF269=1),AK269-AX269,AK269)))</f>
        <v>0</v>
      </c>
      <c r="BM269" s="602">
        <f>IF(AE269=0,0,IF(OR(AF267=1,AF269=1),AL269-AS269,AL269))</f>
        <v>0</v>
      </c>
      <c r="BN269" s="602">
        <f>IF(AF269=0,0,AM269)</f>
        <v>0</v>
      </c>
      <c r="BP269" s="610">
        <f>ROUND(BP268+BQ268*(1-BP268),2)</f>
        <v>0</v>
      </c>
      <c r="BQ269" s="610">
        <f t="shared" ref="BQ269:BZ269" si="34">ROUND(BP269+BR268*(1-BP269),2)</f>
        <v>0</v>
      </c>
      <c r="BR269" s="610">
        <f t="shared" si="34"/>
        <v>0</v>
      </c>
      <c r="BS269" s="610">
        <f t="shared" si="34"/>
        <v>0</v>
      </c>
      <c r="BT269" s="610">
        <f t="shared" si="34"/>
        <v>0</v>
      </c>
      <c r="BU269" s="610">
        <f t="shared" si="34"/>
        <v>0</v>
      </c>
      <c r="BV269" s="610">
        <f t="shared" si="34"/>
        <v>0</v>
      </c>
      <c r="BW269" s="610">
        <f t="shared" si="34"/>
        <v>0</v>
      </c>
      <c r="BX269" s="610">
        <f t="shared" si="34"/>
        <v>0</v>
      </c>
      <c r="BY269" s="610">
        <f t="shared" si="34"/>
        <v>0</v>
      </c>
      <c r="BZ269" s="610">
        <f t="shared" si="34"/>
        <v>0</v>
      </c>
      <c r="CA269" s="607"/>
    </row>
    <row r="270" spans="1:109" s="419" customFormat="1" ht="15" customHeight="1" x14ac:dyDescent="0.2">
      <c r="B270" s="1593" t="str">
        <f>IF(AD270=1,"ERROR: If radial or ulnar impairment is recorded, do not enter losses for 'both sides.'","")</f>
        <v/>
      </c>
      <c r="C270" s="1594"/>
      <c r="D270" s="1594"/>
      <c r="E270" s="1594"/>
      <c r="F270" s="1594"/>
      <c r="G270" s="1594"/>
      <c r="H270" s="1594"/>
      <c r="I270" s="1594"/>
      <c r="J270" s="1594"/>
      <c r="K270" s="1594"/>
      <c r="L270" s="1594"/>
      <c r="M270" s="1594"/>
      <c r="N270" s="1594"/>
      <c r="O270" s="1595"/>
      <c r="P270" s="303">
        <f>IF(B270&lt;&gt;"","ERROR",BZ269)</f>
        <v>0</v>
      </c>
      <c r="S270" s="599"/>
      <c r="T270" s="599"/>
      <c r="U270" s="599"/>
      <c r="V270" s="599"/>
      <c r="W270" s="599"/>
      <c r="AA270" s="369">
        <f>SUM(AA267:AF267)</f>
        <v>0</v>
      </c>
      <c r="AB270" s="369">
        <f>SUM(AA268:AF268)</f>
        <v>0</v>
      </c>
      <c r="AC270" s="369">
        <f>SUM(AA269:AF269)</f>
        <v>0</v>
      </c>
      <c r="AD270" s="369">
        <f>IF(AND(AA270&gt;0,AB270&gt;0),1,IF(AND(AA270&gt;0,AC270&gt;0),1,0))</f>
        <v>0</v>
      </c>
      <c r="AE270" s="369"/>
      <c r="AF270" s="369"/>
    </row>
    <row r="271" spans="1:109" s="419" customFormat="1" ht="15" customHeight="1" x14ac:dyDescent="0.2">
      <c r="B271" s="434" t="s">
        <v>1227</v>
      </c>
      <c r="C271" s="597"/>
      <c r="D271" s="597"/>
      <c r="E271" s="597"/>
      <c r="F271" s="597"/>
      <c r="G271" s="597"/>
      <c r="H271" s="597"/>
      <c r="I271" s="597"/>
      <c r="J271" s="597"/>
      <c r="K271" s="597"/>
      <c r="L271" s="597"/>
      <c r="M271" s="597"/>
      <c r="N271" s="597"/>
      <c r="O271" s="616"/>
      <c r="P271" s="617"/>
      <c r="S271" s="599"/>
      <c r="T271" s="599"/>
      <c r="U271" s="599"/>
      <c r="V271" s="599"/>
      <c r="W271" s="599"/>
      <c r="X271" s="620"/>
      <c r="AA271" s="599"/>
      <c r="AB271" s="599"/>
      <c r="AC271" s="599"/>
      <c r="AD271" s="599"/>
      <c r="AE271" s="599"/>
      <c r="AF271" s="599"/>
    </row>
    <row r="272" spans="1:109" s="419" customFormat="1" ht="15" customHeight="1" x14ac:dyDescent="0.2">
      <c r="B272" s="185" t="s">
        <v>1608</v>
      </c>
      <c r="C272" s="1554"/>
      <c r="D272" s="1554"/>
      <c r="E272" s="1554"/>
      <c r="F272" s="1554"/>
      <c r="G272" s="1554"/>
      <c r="H272" s="1554"/>
      <c r="I272" s="1554"/>
      <c r="J272" s="1554"/>
      <c r="K272" s="1554"/>
      <c r="L272" s="1554"/>
      <c r="M272" s="1554"/>
      <c r="N272" s="1554"/>
      <c r="O272" s="613"/>
      <c r="P272" s="614"/>
      <c r="S272" s="369">
        <f>IF(C272="",0,C272)</f>
        <v>0</v>
      </c>
      <c r="T272" s="369">
        <f>IF(E272&lt;&gt;"",E272,IF(S272&gt;0,S272,0))</f>
        <v>0</v>
      </c>
      <c r="U272" s="369">
        <f>IF(G272&lt;&gt;"",G272,IF(T272&gt;0,T272,0))</f>
        <v>0</v>
      </c>
      <c r="V272" s="369">
        <f>IF(I272&lt;&gt;"",I272,IF(U272&gt;0,U272,0))</f>
        <v>0</v>
      </c>
      <c r="W272" s="369">
        <f>IF(K272&lt;&gt;"",K272,IF(V272&gt;0,V272,0))</f>
        <v>0</v>
      </c>
      <c r="X272" s="369">
        <f>IF(M272&lt;&gt;"",M272,IF(W272&gt;0,W272,0))</f>
        <v>0</v>
      </c>
      <c r="Z272" s="599"/>
      <c r="AA272" s="607">
        <f>IF(C272&gt;1,1,0)</f>
        <v>0</v>
      </c>
      <c r="AB272" s="369">
        <f t="shared" ref="AB272:AF274" si="35">IF(AND(S272&lt;&gt;T272,T272&gt;0),1,0)</f>
        <v>0</v>
      </c>
      <c r="AC272" s="369">
        <f t="shared" si="35"/>
        <v>0</v>
      </c>
      <c r="AD272" s="369">
        <f t="shared" si="35"/>
        <v>0</v>
      </c>
      <c r="AE272" s="369">
        <f t="shared" si="35"/>
        <v>0</v>
      </c>
      <c r="AF272" s="369">
        <f t="shared" si="35"/>
        <v>0</v>
      </c>
      <c r="AH272" s="602">
        <f>IF(S272=1,0,IF(S272=2,0.25,IF(S272=3,0.38,IF(S272=4,0.5,0))))</f>
        <v>0</v>
      </c>
      <c r="AI272" s="602">
        <f>IF(T272=1,0,IF(T272=2,0.23,IF(T272=3,0.35,IF(T272=4,0.45,0))))</f>
        <v>0</v>
      </c>
      <c r="AJ272" s="602">
        <f>IF(U272=1,0,IF(U272=2,0.2,IF(U272=3,0.3,IF(U272=4,0.39,0))))</f>
        <v>0</v>
      </c>
      <c r="AK272" s="602">
        <f>IF(V272=1,0,IF(V272=2,0.17,IF(V272=3,0.25,IF(V272=4,0.33,0))))</f>
        <v>0</v>
      </c>
      <c r="AL272" s="602">
        <f>IF(W272=1,0,IF(W272=2,0.13,IF(W272=3,0.19,IF(W272=4,0.24,0))))</f>
        <v>0</v>
      </c>
      <c r="AM272" s="602">
        <f>IF(X272=1,0,IF(X272=2,0.08,IF(X272=3,0.12,IF(X272=4,0.15,0))))</f>
        <v>0</v>
      </c>
      <c r="AN272" s="603"/>
      <c r="AO272" s="602">
        <f>IF(S272=1,0,IF(S272=2,0.23,IF(S272=3,0.35,IF(S272=4,0.45,0))))</f>
        <v>0</v>
      </c>
      <c r="AP272" s="602">
        <f>IF(T272=1,0,IF(T272=2,0.2,IF(T272=3,0.3,IF(T272=4,0.39,0))))</f>
        <v>0</v>
      </c>
      <c r="AQ272" s="602">
        <f>IF(U272=1,0,IF(U272=2,0.17,IF(U272=3,0.25,IF(U272=4,0.33,0))))</f>
        <v>0</v>
      </c>
      <c r="AR272" s="602">
        <f>IF(V272=1,0,IF(V272=2,0.13,IF(V272=3,0.19,IF(V272=4,0.24,0))))</f>
        <v>0</v>
      </c>
      <c r="AS272" s="602">
        <f>IF(W272=1,0,IF(W272=2,0.08,IF(W272=3,0.12,IF(W272=4,0.15,0))))</f>
        <v>0</v>
      </c>
      <c r="AU272" s="602">
        <f>IF(S272=1,0,IF(S272=2,0.2,IF(S272=3,0.3,IF(S272=4,0.39,0))))</f>
        <v>0</v>
      </c>
      <c r="AV272" s="602">
        <f>IF(T272=1,0,IF(T272=2,0.17,IF(T272=3,0.25,IF(T272=4,0.33,0))))</f>
        <v>0</v>
      </c>
      <c r="AW272" s="602">
        <f>IF(U272=1,0,IF(U272=2,0.13,IF(U272=3,0.19,IF(U272=4,0.24,0))))</f>
        <v>0</v>
      </c>
      <c r="AX272" s="602">
        <f>IF(V272=1,0,IF(V272=2,0.08,IF(V272=3,0.12,IF(V272=4,0.15,0))))</f>
        <v>0</v>
      </c>
      <c r="AZ272" s="602">
        <f>IF(S272=1,0,IF(S272=2,0.17,IF(S272=3,0.25,IF(S272=4,0.33,0))))</f>
        <v>0</v>
      </c>
      <c r="BA272" s="602">
        <f>IF(T272=1,0,IF(T272=2,0.13,IF(T272=3,0.19,IF(T272=4,0.24,0))))</f>
        <v>0</v>
      </c>
      <c r="BB272" s="602">
        <f>IF(U272=1,0,IF(U272=2,0.08,IF(U272=3,0.12,IF(U272=4,0.15,0))))</f>
        <v>0</v>
      </c>
      <c r="BD272" s="602">
        <f>IF(S272=1,0,IF(S272=2,0.13,IF(S272=3,0.19,IF(S272=4,0.24,0))))</f>
        <v>0</v>
      </c>
      <c r="BE272" s="602">
        <f>IF(T272=1,0,IF(T272=2,0.08,IF(T272=3,0.12,IF(T272=4,0.15,0))))</f>
        <v>0</v>
      </c>
      <c r="BG272" s="602">
        <f>IF(S272=1,0,IF(S272=2,0.08,IF(S272=3,0.12,IF(S272=4,0.15,0))))</f>
        <v>0</v>
      </c>
      <c r="BI272" s="602">
        <f>IF(AA272=0,0,IF(OR(AB272=1,AB273=1,AB274=1),AH272-AO272,IF(OR(AC272=1,AC273=1,AC274=1),AH272-AU272,IF(OR(AD272=1,AD273=1,AD274=1),AH272-AZ272,IF(OR(AE272=1,AE273=1,AE274=1),AH272-BD272,IF(OR(AF272=1,AF273=1,AF274=1),AH272-BG272,AH272))))))</f>
        <v>0</v>
      </c>
      <c r="BJ272" s="602">
        <f>IF(AB272=0,0,IF(OR(AC272=1,AC273=1,AC274=1),AI272-AP272,IF(OR(AD272=1,AD273=1,AD274=1),AI272-AV272,IF(OR(AE272=1,AE273=1,AE274=1),AI272-BA272,IF(OR(AF272=1,AF273=1,AF274=1),AI272-BE272,AI272)))))</f>
        <v>0</v>
      </c>
      <c r="BK272" s="602">
        <f>IF(AC272=0,0,IF(OR(AD272=1,AD273=1,AD274=1),AJ272-AQ272,IF(OR(AE272=1,AE273=1,AE274=1),AJ272-AW272,IF(OR(AF272=1,AF273=1,AF274=1),AJ272-BB272,AJ272))))</f>
        <v>0</v>
      </c>
      <c r="BL272" s="602">
        <f>IF(AD272=0,0,IF(OR(AE272=1,AE273=1,AE274=1),AK272-AR272,IF(OR(AF272=1,AF273=1,AF274=1),AK272-AX272,AK272)))</f>
        <v>0</v>
      </c>
      <c r="BM272" s="602">
        <f>IF(AE272=0,0,IF(OR(AF272=1,AF273=1,AF274=1),AL272-AS272,AL272))</f>
        <v>0</v>
      </c>
      <c r="BN272" s="602">
        <f>IF(AF272=0,0,AM272)</f>
        <v>0</v>
      </c>
      <c r="BP272" s="419" t="s">
        <v>262</v>
      </c>
    </row>
    <row r="273" spans="1:109" s="419" customFormat="1" ht="15" customHeight="1" x14ac:dyDescent="0.2">
      <c r="B273" s="369" t="s">
        <v>1611</v>
      </c>
      <c r="C273" s="1554"/>
      <c r="D273" s="1554"/>
      <c r="E273" s="1554"/>
      <c r="F273" s="1554"/>
      <c r="G273" s="1554"/>
      <c r="H273" s="1554"/>
      <c r="I273" s="1554"/>
      <c r="J273" s="1554"/>
      <c r="K273" s="1554"/>
      <c r="L273" s="1554"/>
      <c r="M273" s="1554"/>
      <c r="N273" s="1554"/>
      <c r="O273" s="613"/>
      <c r="P273" s="622"/>
      <c r="S273" s="369">
        <f>IF(C273="",0,C273)</f>
        <v>0</v>
      </c>
      <c r="T273" s="369">
        <f>IF(E273&lt;&gt;"",E273,IF(S273&gt;0,S273,0))</f>
        <v>0</v>
      </c>
      <c r="U273" s="369">
        <f>IF(G273&lt;&gt;"",G273,IF(T273&gt;0,T273,0))</f>
        <v>0</v>
      </c>
      <c r="V273" s="369">
        <f>IF(I273&lt;&gt;"",I273,IF(U273&gt;0,U273,0))</f>
        <v>0</v>
      </c>
      <c r="W273" s="369">
        <f>IF(K273&lt;&gt;"",K273,IF(V273&gt;0,V273,0))</f>
        <v>0</v>
      </c>
      <c r="X273" s="369">
        <f>IF(M273&lt;&gt;"",M273,IF(W273&gt;0,W273,0))</f>
        <v>0</v>
      </c>
      <c r="Z273" s="599"/>
      <c r="AA273" s="607">
        <f>IF(C273&gt;1,1,0)</f>
        <v>0</v>
      </c>
      <c r="AB273" s="369">
        <f t="shared" si="35"/>
        <v>0</v>
      </c>
      <c r="AC273" s="369">
        <f t="shared" si="35"/>
        <v>0</v>
      </c>
      <c r="AD273" s="369">
        <f t="shared" si="35"/>
        <v>0</v>
      </c>
      <c r="AE273" s="369">
        <f t="shared" si="35"/>
        <v>0</v>
      </c>
      <c r="AF273" s="369">
        <f t="shared" si="35"/>
        <v>0</v>
      </c>
      <c r="AH273" s="602">
        <f>IF(S273=1,0,IF(S273=2,0.17,IF(S273=3,0.25,IF(S273=4,0.35,0))))</f>
        <v>0</v>
      </c>
      <c r="AI273" s="602">
        <f>IF(T273=1,0,IF(T273=2,0.15,IF(T273=3,0.23,IF(T273=4,0.31,0))))</f>
        <v>0</v>
      </c>
      <c r="AJ273" s="602">
        <f>IF(U273=1,0,IF(U273=2,0.13,IF(U273=3,0.2,IF(U273=4,0.27,0))))</f>
        <v>0</v>
      </c>
      <c r="AK273" s="602">
        <f>IF(V273=1,0,IF(V273=2,0.11,IF(V273=3,0.17,IF(V273=4,0.22,0))))</f>
        <v>0</v>
      </c>
      <c r="AL273" s="602">
        <f>IF(W273=1,0,IF(W273=2,0.08,IF(W273=3,0.12,IF(W273=4,0.16,0))))</f>
        <v>0</v>
      </c>
      <c r="AM273" s="602">
        <f>IF(X273=1,0,IF(X273=2,0.05,IF(X273=3,0.07,IF(X273=4,0.1,0))))</f>
        <v>0</v>
      </c>
      <c r="AN273" s="603"/>
      <c r="AO273" s="602">
        <f>IF(S273=1,0,IF(S273=2,0.15,IF(S273=3,0.23,IF(S273=4,0.31,0))))</f>
        <v>0</v>
      </c>
      <c r="AP273" s="602">
        <f>IF(T273=1,0,IF(T273=2,0.13,IF(T273=3,0.2,IF(T273=4,0.27,0))))</f>
        <v>0</v>
      </c>
      <c r="AQ273" s="602">
        <f>IF(U273=1,0,IF(U273=2,0.11,IF(U273=3,0.17,IF(U273=4,0.22,0))))</f>
        <v>0</v>
      </c>
      <c r="AR273" s="602">
        <f>IF(V273=1,0,IF(V273=2,0.08,IF(V273=3,0.12,IF(V273=4,0.16,0))))</f>
        <v>0</v>
      </c>
      <c r="AS273" s="602">
        <f>IF(W273=1,0,IF(W273=2,0.05,IF(W273=3,0.07,IF(W273=4,0.1,0))))</f>
        <v>0</v>
      </c>
      <c r="AU273" s="602">
        <f>IF(S273=1,0,IF(S273=2,0.13,IF(S273=3,0.2,IF(S273=4,0.27,0))))</f>
        <v>0</v>
      </c>
      <c r="AV273" s="602">
        <f>IF(T273=1,0,IF(T273=2,0.11,IF(T273=3,0.17,IF(T273=4,0.22,0))))</f>
        <v>0</v>
      </c>
      <c r="AW273" s="602">
        <f>IF(U273=1,0,IF(U273=2,0.08,IF(U273=3,0.12,IF(U273=4,0.16,0))))</f>
        <v>0</v>
      </c>
      <c r="AX273" s="602">
        <f>IF(V273=1,0,IF(V273=2,0.05,IF(V273=3,0.07,IF(V273=4,0.1,0))))</f>
        <v>0</v>
      </c>
      <c r="AZ273" s="602">
        <f>IF(S273=1,0,IF(S273=2,0.11,IF(S273=3,0.17,IF(S273=4,0.22,0))))</f>
        <v>0</v>
      </c>
      <c r="BA273" s="602">
        <f>IF(T273=1,0,IF(T273=2,0.08,IF(T273=3,0.12,IF(T273=4,0.16,0))))</f>
        <v>0</v>
      </c>
      <c r="BB273" s="602">
        <f>IF(U273=1,0,IF(U273=2,0.05,IF(U273=3,0.07,IF(U273=4,0.1,0))))</f>
        <v>0</v>
      </c>
      <c r="BD273" s="602">
        <f>IF(S273=1,0,IF(S273=2,0.08,IF(S273=3,0.12,IF(S273=4,0.16,0))))</f>
        <v>0</v>
      </c>
      <c r="BE273" s="602">
        <f>IF(T273=1,0,IF(T273=2,0.05,IF(T273=3,0.07,IF(T273=4,0.1,0))))</f>
        <v>0</v>
      </c>
      <c r="BG273" s="602">
        <f>IF(S273=1,0,IF(S273=2,0.05,IF(S273=3,0.07,IF(S273=4,0.1,0))))</f>
        <v>0</v>
      </c>
      <c r="BI273" s="602">
        <f>IF(AA273=0,0,IF(OR(AB272=1,AB273=1),AH273-AO273,IF(OR(AC272=1,AC273=1),AH273-AU273,IF(OR(AD272=1,AD273=1),AH273-AZ273,IF(OR(AE272=1,AE273=1),AH273-BD273,IF(OR(AF272=1,AF273=1),AH273-BG273,AH273))))))</f>
        <v>0</v>
      </c>
      <c r="BJ273" s="602">
        <f>IF(AB273=0,0,IF(OR(AC272=1,AC273=1),AI273-AP273,IF(OR(AD272=1,AD273=1),AI273-AV273,IF(OR(AE272=1,AE273=1),AI273-BA273,IF(OR(AF272=1,AF273=1),AI273-BE273,AI273)))))</f>
        <v>0</v>
      </c>
      <c r="BK273" s="602">
        <f>IF(AC273=0,0,IF(OR(AD272=1,AD273=1),AJ273-AQ273,IF(OR(AE272=1,AE273=1),AJ273-AW273,IF(OR(AF272=1,AF273=1),AJ273-BB273,AJ273))))</f>
        <v>0</v>
      </c>
      <c r="BL273" s="602">
        <f>IF(AD273=0,0,IF(OR(AE272=1,AE273=1),AK273-AR273,IF(OR(AF272=1,AF273=1),AK273-AX273,AK273)))</f>
        <v>0</v>
      </c>
      <c r="BM273" s="602">
        <f>IF(AE273=0,0,IF(OR(AF272=1,AF273=1),AL273-AS273,AL273))</f>
        <v>0</v>
      </c>
      <c r="BN273" s="602">
        <f>IF(AF273=0,0,AM273)</f>
        <v>0</v>
      </c>
      <c r="BP273" s="608">
        <f>LARGE((BI272,BJ272,BK272,BL272,BM272,BN272,BI273,BJ273,BK273,BL273,BM273,BN273,BI274,BJ274,BK274,BL274,BM274,BN274),1)</f>
        <v>0</v>
      </c>
      <c r="BQ273" s="609">
        <f>LARGE((BI272,BJ272,BK272,BL272,BM272,BN272,BI273,BJ273,BK273,BL273,BM273,BN273,BI274,BJ274,BK274,BL274,BM274,BN274),2)</f>
        <v>0</v>
      </c>
      <c r="BR273" s="609">
        <f>LARGE((BI272,BJ272,BK272,BL272,BM272,BN272,BI273,BJ273,BK273,BL273,BM273,BN273,BI274,BJ274,BK274,BL274,BM274,BN274),3)</f>
        <v>0</v>
      </c>
      <c r="BS273" s="609">
        <f>LARGE((BI272,BJ272,BK272,BL272,BM272,BN272,BI273,BJ273,BK273,BL273,BM273,BN273,BI274,BJ274,BK274,BL274,BM274,BN274),4)</f>
        <v>0</v>
      </c>
      <c r="BT273" s="609">
        <f>LARGE((BI272,BJ272,BK272,BL272,BM272,BN272,BI273,BJ273,BK273,BL273,BM273,BN273,BI274,BJ274,BK274,BL274,BM274,BN274),5)</f>
        <v>0</v>
      </c>
      <c r="BU273" s="609">
        <f>LARGE((BI272,BJ272,BK272,BL272,BM272,BN272,BI273,BJ273,BK273,BL273,BM273,BN273,BI274,BJ274,BK274,BL274,BM274,BN274),6)</f>
        <v>0</v>
      </c>
      <c r="BV273" s="609">
        <f>LARGE((BI272,BJ272,BK272,BL272,BM272,BN272,BI273,BJ273,BK273,BL273,BM273,BN273,BI274,BJ274,BK274,BL274,BM274,BN274),7)</f>
        <v>0</v>
      </c>
      <c r="BW273" s="609">
        <f>LARGE((BI272,BJ272,BK272,BL272,BM272,BN272,BI273,BJ273,BK273,BL273,BM273,BN273,BI274,BJ274,BK274,BL274,BM274,BN274),8)</f>
        <v>0</v>
      </c>
      <c r="BX273" s="609">
        <f>LARGE((BI272,BJ272,BK272,BL272,BM272,BN272,BI273,BJ273,BK273,BL273,BM273,BN273,BI274,BJ274,BK274,BL274,BM274,BN274),9)</f>
        <v>0</v>
      </c>
      <c r="BY273" s="609">
        <f>LARGE((BI272,BJ272,BK272,BL272,BM272,BN272,BI273,BJ273,BK273,BL273,BM273,BN273,BI274,BJ274,BK274,BL274,BM274,BN274),10)</f>
        <v>0</v>
      </c>
      <c r="BZ273" s="609">
        <f>LARGE((BI272,BJ272,BK272,BL272,BM272,BN272,BI273,BJ273,BK273,BL273,BM273,BN273,BI274,BJ274,BK274,BL274,BM274,BN274),11)</f>
        <v>0</v>
      </c>
      <c r="CA273" s="609">
        <f>LARGE((BI272,BJ272,BK272,BL272,BM272,BN272,BI273,BJ273,BK273,BL273,BM273,BN273,BI274,BJ274,BK274,BL274,BM274,BN274),12)</f>
        <v>0</v>
      </c>
    </row>
    <row r="274" spans="1:109" s="419" customFormat="1" ht="15" customHeight="1" x14ac:dyDescent="0.2">
      <c r="B274" s="606" t="s">
        <v>1614</v>
      </c>
      <c r="C274" s="1636"/>
      <c r="D274" s="1636"/>
      <c r="E274" s="1636"/>
      <c r="F274" s="1636"/>
      <c r="G274" s="1636"/>
      <c r="H274" s="1636"/>
      <c r="I274" s="1636"/>
      <c r="J274" s="1636"/>
      <c r="K274" s="1636"/>
      <c r="L274" s="1636"/>
      <c r="M274" s="1636"/>
      <c r="N274" s="1636"/>
      <c r="O274" s="613"/>
      <c r="P274" s="622"/>
      <c r="S274" s="369">
        <f>IF(C274="",0,C274)</f>
        <v>0</v>
      </c>
      <c r="T274" s="369">
        <f>IF(E274&lt;&gt;"",E274,IF(S274&gt;0,S274,0))</f>
        <v>0</v>
      </c>
      <c r="U274" s="369">
        <f>IF(G274&lt;&gt;"",G274,IF(T274&gt;0,T274,0))</f>
        <v>0</v>
      </c>
      <c r="V274" s="369">
        <f>IF(I274&lt;&gt;"",I274,IF(U274&gt;0,U274,0))</f>
        <v>0</v>
      </c>
      <c r="W274" s="369">
        <f>IF(K274&lt;&gt;"",K274,IF(V274&gt;0,V274,0))</f>
        <v>0</v>
      </c>
      <c r="X274" s="369">
        <f>IF(M274&lt;&gt;"",M274,IF(W274&gt;0,W274,0))</f>
        <v>0</v>
      </c>
      <c r="AA274" s="607">
        <f>IF(C274&gt;1,1,0)</f>
        <v>0</v>
      </c>
      <c r="AB274" s="369">
        <f t="shared" si="35"/>
        <v>0</v>
      </c>
      <c r="AC274" s="369">
        <f t="shared" si="35"/>
        <v>0</v>
      </c>
      <c r="AD274" s="369">
        <f t="shared" si="35"/>
        <v>0</v>
      </c>
      <c r="AE274" s="369">
        <f t="shared" si="35"/>
        <v>0</v>
      </c>
      <c r="AF274" s="369">
        <f t="shared" si="35"/>
        <v>0</v>
      </c>
      <c r="AH274" s="602">
        <f>IF(S274=1,0,IF(S274=2,0.1,IF(S274=3,0.17,IF(S274=4,0.23,0))))</f>
        <v>0</v>
      </c>
      <c r="AI274" s="602">
        <f>IF(T274=1,0,IF(T274=2,0.09,IF(T274=3,0.15,IF(T274=4,0.2,0))))</f>
        <v>0</v>
      </c>
      <c r="AJ274" s="602">
        <f>IF(U274=1,0,IF(U274=2,0.08,IF(U274=3,0.13,IF(U274=4,0.17,0))))</f>
        <v>0</v>
      </c>
      <c r="AK274" s="602">
        <f>IF(V274=1,0,IF(V274=2,0.07,IF(V274=3,0.1,IF(V274=4,0.14,0))))</f>
        <v>0</v>
      </c>
      <c r="AL274" s="602">
        <f>IF(W274=1,0,IF(W274=2,0.05,IF(W274=3,0.08,IF(W274=4,0.1,0))))</f>
        <v>0</v>
      </c>
      <c r="AM274" s="602">
        <f>IF(X274=1,0,IF(X274=2,0.03,IF(X274=3,0.05,IF(X274=4,0.06,0))))</f>
        <v>0</v>
      </c>
      <c r="AN274" s="603"/>
      <c r="AO274" s="602">
        <f>IF(S274=1,0,IF(S274=2,0.09,IF(S274=3,0.15,IF(S274=4,0.2,0))))</f>
        <v>0</v>
      </c>
      <c r="AP274" s="602">
        <f>IF(T274=1,0,IF(T274=2,0.08,IF(T274=3,0.13,IF(T274=4,0.17,0))))</f>
        <v>0</v>
      </c>
      <c r="AQ274" s="602">
        <f>IF(U274=1,0,IF(U274=2,0.07,IF(U274=3,0.1,IF(U274=4,0.14,0))))</f>
        <v>0</v>
      </c>
      <c r="AR274" s="602">
        <f>IF(V274=1,0,IF(V274=2,0.05,IF(V274=3,0.08,IF(V274=4,0.1,0))))</f>
        <v>0</v>
      </c>
      <c r="AS274" s="602">
        <f>IF(W274=1,0,IF(W274=2,0.03,IF(W274=3,0.05,IF(W274=4,0.06,0))))</f>
        <v>0</v>
      </c>
      <c r="AU274" s="602">
        <f>IF(S274=1,0,IF(S274=2,0.08,IF(S274=3,0.13,IF(S274=4,0.17,0))))</f>
        <v>0</v>
      </c>
      <c r="AV274" s="602">
        <f>IF(T274=1,0,IF(T274=2,0.07,IF(T274=3,0.1,IF(T274=4,0.14,0))))</f>
        <v>0</v>
      </c>
      <c r="AW274" s="602">
        <f>IF(U274=1,0,IF(U274=2,0.05,IF(U274=3,0.08,IF(U274=4,0.1,0))))</f>
        <v>0</v>
      </c>
      <c r="AX274" s="602">
        <f>IF(V274=1,0,IF(V274=2,0.03,IF(V274=3,0.05,IF(V274=4,0.06,0))))</f>
        <v>0</v>
      </c>
      <c r="AZ274" s="602">
        <f>IF(S274=1,0,IF(S274=2,0.07,IF(S274=3,0.1,IF(S274=4,0.14,0))))</f>
        <v>0</v>
      </c>
      <c r="BA274" s="602">
        <f>IF(T274=1,0,IF(T274=2,0.05,IF(T274=3,0.08,IF(T274=4,0.1,0))))</f>
        <v>0</v>
      </c>
      <c r="BB274" s="602">
        <f>IF(U274=1,0,IF(U274=2,0.03,IF(U274=3,0.05,IF(U274=4,0.06,0))))</f>
        <v>0</v>
      </c>
      <c r="BD274" s="602">
        <f>IF(S274=1,0,IF(S274=2,0.05,IF(S274=3,0.08,IF(S274=4,0.1,0))))</f>
        <v>0</v>
      </c>
      <c r="BE274" s="602">
        <f>IF(T274=1,0,IF(T274=2,0.03,IF(T274=3,0.05,IF(T274=4,0.06,0))))</f>
        <v>0</v>
      </c>
      <c r="BG274" s="602">
        <f>IF(S274=1,0,IF(S274=2,0.03,IF(S274=3,0.05,IF(S274=4,0.06,0))))</f>
        <v>0</v>
      </c>
      <c r="BI274" s="602">
        <f>IF(AA274=0,0,IF(OR(AB272=1,AB274=1),AH274-AO274,IF(OR(AC272=1,AC274=1),AH274-AU274,IF(OR(AD272=1,AD274=1),AH274-AZ274,IF(OR(AE272=1,AE274=1),AH274-BD274,IF(OR(AF272=1,AF274=1),AH274-BG274,AH274))))))</f>
        <v>0</v>
      </c>
      <c r="BJ274" s="602">
        <f>IF(AB274=0,0,IF(OR(AC272=1,AC274=1),AI274-AP274,IF(OR(AD272=1,AD274=1),AI274-AV274,IF(OR(AE272=1,AE274=1),AI274-BA274,IF(OR(AF272=1,AF274=1),AI274-BE274,AI274)))))</f>
        <v>0</v>
      </c>
      <c r="BK274" s="602">
        <f>IF(AC274=0,0,IF(OR(AD272=1,AD274=1),AJ274-AQ274,IF(OR(AE272=1,AE274=1),AJ274-AW274,IF(OR(AF272=1,AF274=1),AJ274-BB274,AJ274))))</f>
        <v>0</v>
      </c>
      <c r="BL274" s="602">
        <f>IF(AD274=0,0,IF(OR(AE272=1,AE274=1),AK274-AR274,IF(OR(AF272=1,AF274=1),AK274-AX274,AK274)))</f>
        <v>0</v>
      </c>
      <c r="BM274" s="602">
        <f>IF(AE274=0,0,IF(OR(AF272=1,AF274=1),AL274-AS274,AL274))</f>
        <v>0</v>
      </c>
      <c r="BN274" s="602">
        <f>IF(AF274=0,0,AM274)</f>
        <v>0</v>
      </c>
      <c r="BP274" s="610">
        <f>ROUND(BP273+BQ273*(1-BP273),2)</f>
        <v>0</v>
      </c>
      <c r="BQ274" s="610">
        <f t="shared" ref="BQ274:BZ274" si="36">ROUND(BP274+BR273*(1-BP274),2)</f>
        <v>0</v>
      </c>
      <c r="BR274" s="610">
        <f t="shared" si="36"/>
        <v>0</v>
      </c>
      <c r="BS274" s="610">
        <f t="shared" si="36"/>
        <v>0</v>
      </c>
      <c r="BT274" s="610">
        <f t="shared" si="36"/>
        <v>0</v>
      </c>
      <c r="BU274" s="610">
        <f t="shared" si="36"/>
        <v>0</v>
      </c>
      <c r="BV274" s="610">
        <f t="shared" si="36"/>
        <v>0</v>
      </c>
      <c r="BW274" s="610">
        <f t="shared" si="36"/>
        <v>0</v>
      </c>
      <c r="BX274" s="610">
        <f t="shared" si="36"/>
        <v>0</v>
      </c>
      <c r="BY274" s="610">
        <f t="shared" si="36"/>
        <v>0</v>
      </c>
      <c r="BZ274" s="610">
        <f t="shared" si="36"/>
        <v>0</v>
      </c>
      <c r="CA274" s="607"/>
    </row>
    <row r="275" spans="1:109" s="419" customFormat="1" ht="15" customHeight="1" x14ac:dyDescent="0.2">
      <c r="B275" s="1593" t="str">
        <f>IF(AD275=1,"ERROR: If radial or ulnar impairment is recorded, do not enter losses for 'both sides.'","")</f>
        <v/>
      </c>
      <c r="C275" s="1594"/>
      <c r="D275" s="1594"/>
      <c r="E275" s="1594"/>
      <c r="F275" s="1594"/>
      <c r="G275" s="1594"/>
      <c r="H275" s="1594"/>
      <c r="I275" s="1594"/>
      <c r="J275" s="1594"/>
      <c r="K275" s="1594"/>
      <c r="L275" s="1594"/>
      <c r="M275" s="1594"/>
      <c r="N275" s="1594"/>
      <c r="O275" s="1595"/>
      <c r="P275" s="303">
        <f>IF(B275&lt;&gt;"","ERROR",BZ274)</f>
        <v>0</v>
      </c>
      <c r="S275" s="599"/>
      <c r="T275" s="599"/>
      <c r="U275" s="599"/>
      <c r="V275" s="599"/>
      <c r="W275" s="599"/>
      <c r="AA275" s="369">
        <f>SUM(AA272:AF272)</f>
        <v>0</v>
      </c>
      <c r="AB275" s="369">
        <f>SUM(AA273:AF273)</f>
        <v>0</v>
      </c>
      <c r="AC275" s="369">
        <f>SUM(AA274:AF274)</f>
        <v>0</v>
      </c>
      <c r="AD275" s="369">
        <f>IF(AND(AA275&gt;0,AB275&gt;0),1,IF(AND(AA275&gt;0,AC275&gt;0),1,0))</f>
        <v>0</v>
      </c>
      <c r="AE275" s="599"/>
      <c r="AF275" s="599"/>
    </row>
    <row r="276" spans="1:109" ht="9.75" customHeight="1" x14ac:dyDescent="0.2">
      <c r="B276" s="225"/>
      <c r="C276" s="225"/>
      <c r="D276" s="225"/>
      <c r="E276" s="225"/>
      <c r="F276" s="225"/>
      <c r="G276" s="225"/>
      <c r="H276" s="225"/>
      <c r="I276" s="225"/>
      <c r="J276" s="225"/>
      <c r="K276" s="225"/>
      <c r="L276" s="225"/>
      <c r="M276" s="225"/>
      <c r="N276" s="225"/>
      <c r="O276" s="225"/>
      <c r="P276" s="182"/>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row>
    <row r="277" spans="1:109" x14ac:dyDescent="0.2">
      <c r="B277" s="256" t="s">
        <v>1233</v>
      </c>
      <c r="C277" s="1555" t="s">
        <v>1371</v>
      </c>
      <c r="D277" s="1555"/>
      <c r="E277" s="1555"/>
      <c r="F277" s="1555"/>
      <c r="G277" s="1555"/>
      <c r="H277" s="1534" t="s">
        <v>1796</v>
      </c>
      <c r="I277" s="1534"/>
      <c r="J277" s="1534"/>
      <c r="K277" s="42"/>
      <c r="L277" s="1534" t="s">
        <v>1234</v>
      </c>
      <c r="M277" s="1534"/>
      <c r="N277" s="1534"/>
      <c r="O277" s="1534"/>
      <c r="P277" s="1373">
        <f>V279</f>
        <v>0</v>
      </c>
      <c r="R277" s="18"/>
      <c r="S277" s="705" t="s">
        <v>1597</v>
      </c>
      <c r="T277" s="705" t="s">
        <v>1305</v>
      </c>
      <c r="U277" s="705" t="s">
        <v>1306</v>
      </c>
      <c r="V277" s="704" t="s">
        <v>1307</v>
      </c>
      <c r="AA277" s="775"/>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row>
    <row r="278" spans="1:109" ht="15" customHeight="1" x14ac:dyDescent="0.2">
      <c r="B278" s="185" t="s">
        <v>1662</v>
      </c>
      <c r="C278" s="1542"/>
      <c r="D278" s="1542"/>
      <c r="E278" s="1542"/>
      <c r="F278" s="1542"/>
      <c r="G278" s="1542"/>
      <c r="H278" s="1545">
        <f>IF(C278=$X$127,0.09,IF(C278=$Y$127,0.18,IF(C278=$Z$127,0.27,0)))</f>
        <v>0</v>
      </c>
      <c r="I278" s="1545"/>
      <c r="J278" s="1545"/>
      <c r="K278" s="185"/>
      <c r="L278" s="1542"/>
      <c r="M278" s="1542"/>
      <c r="N278" s="1542"/>
      <c r="O278" s="26">
        <f>IF(H278&gt;=S278,H278-S278,0)</f>
        <v>0</v>
      </c>
      <c r="P278" s="1373"/>
      <c r="R278" s="18"/>
      <c r="S278" s="186">
        <f>IF(L278=$Y$128,0.09,IF(L278=$Z$128,0.18,IF(L278=$AA$128,0.27,0)))</f>
        <v>0</v>
      </c>
      <c r="T278" s="186">
        <f>LARGE(O278:O280,1)</f>
        <v>0</v>
      </c>
      <c r="U278" s="684">
        <f>T278+T279*(1-T278)</f>
        <v>0</v>
      </c>
      <c r="V278" s="684">
        <f>ROUND(U278,2)</f>
        <v>0</v>
      </c>
      <c r="W278" s="1567" t="s">
        <v>2197</v>
      </c>
      <c r="X278" s="1567"/>
      <c r="Y278" s="1567"/>
      <c r="Z278" s="1567"/>
      <c r="AA278" s="780"/>
      <c r="AB278" s="775"/>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row>
    <row r="279" spans="1:109" ht="15" customHeight="1" x14ac:dyDescent="0.2">
      <c r="B279" s="256" t="s">
        <v>1663</v>
      </c>
      <c r="C279" s="1542"/>
      <c r="D279" s="1542"/>
      <c r="E279" s="1542"/>
      <c r="F279" s="1542"/>
      <c r="G279" s="1542"/>
      <c r="H279" s="1545">
        <f>IF(C279=$X$127,0.16,IF(C279=$Y$127,0.32,IF(C279=$Z$127,0.48,0)))</f>
        <v>0</v>
      </c>
      <c r="I279" s="1545"/>
      <c r="J279" s="1545"/>
      <c r="K279" s="185"/>
      <c r="L279" s="1542"/>
      <c r="M279" s="1542"/>
      <c r="N279" s="1542"/>
      <c r="O279" s="26">
        <f>IF(H279&gt;=S279,H279-S279,0)</f>
        <v>0</v>
      </c>
      <c r="P279" s="1373"/>
      <c r="R279" s="18"/>
      <c r="S279" s="186">
        <f>IF(L279=$Y$128,0.16,IF(L279=$Z$128,0.32,IF(L279=$AA$128,0.48,0)))</f>
        <v>0</v>
      </c>
      <c r="T279" s="186">
        <f>LARGE(O278:O280,2)</f>
        <v>0</v>
      </c>
      <c r="U279" s="684">
        <f>V278+T280*(1-V278)</f>
        <v>0</v>
      </c>
      <c r="V279" s="684">
        <f>ROUND(U279,2)</f>
        <v>0</v>
      </c>
      <c r="W279" s="58"/>
      <c r="X279" s="58" t="s">
        <v>1237</v>
      </c>
      <c r="Y279" s="58" t="s">
        <v>1238</v>
      </c>
      <c r="Z279" s="58" t="s">
        <v>1239</v>
      </c>
      <c r="AA279" s="5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row>
    <row r="280" spans="1:109" ht="15" customHeight="1" x14ac:dyDescent="0.2">
      <c r="B280" s="256" t="s">
        <v>1664</v>
      </c>
      <c r="C280" s="1542"/>
      <c r="D280" s="1542"/>
      <c r="E280" s="1542"/>
      <c r="F280" s="1542"/>
      <c r="G280" s="1542"/>
      <c r="H280" s="1545">
        <f>IF(C280=$X$127,0.2,IF(C280=$Y$127,0.4,IF(C280=$Z$127,0.6,0)))</f>
        <v>0</v>
      </c>
      <c r="I280" s="1545"/>
      <c r="J280" s="1545"/>
      <c r="K280" s="185"/>
      <c r="L280" s="1542"/>
      <c r="M280" s="1542"/>
      <c r="N280" s="1542"/>
      <c r="O280" s="26">
        <f>IF(H280&gt;=S280,H280-S280,0)</f>
        <v>0</v>
      </c>
      <c r="P280" s="1373"/>
      <c r="R280" s="18"/>
      <c r="S280" s="186">
        <f>IF(L280=$Y$128,0.2,IF(L280=$Z$128,0.4,IF(L280=$AA$128,0.6,0)))</f>
        <v>0</v>
      </c>
      <c r="T280" s="186">
        <f>LARGE(O278:O280,3)</f>
        <v>0</v>
      </c>
      <c r="U280" s="58"/>
      <c r="V280" s="58"/>
      <c r="W280" s="58"/>
      <c r="X280" s="58" t="s">
        <v>523</v>
      </c>
      <c r="Y280" s="58" t="s">
        <v>915</v>
      </c>
      <c r="Z280" s="186" t="s">
        <v>1803</v>
      </c>
      <c r="AA280" s="58" t="s">
        <v>1672</v>
      </c>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row>
    <row r="281" spans="1:109" ht="12" customHeight="1" x14ac:dyDescent="0.2">
      <c r="B281" s="1578"/>
      <c r="C281" s="1578"/>
      <c r="D281" s="1578"/>
      <c r="E281" s="1578"/>
      <c r="F281" s="1578"/>
      <c r="G281" s="1578"/>
      <c r="H281" s="1578"/>
      <c r="I281" s="1578"/>
      <c r="J281" s="1578"/>
      <c r="K281" s="1578"/>
      <c r="L281" s="1578"/>
      <c r="M281" s="1578"/>
      <c r="N281" s="1578"/>
      <c r="O281" s="1578"/>
      <c r="P281" s="191"/>
      <c r="R281" s="18"/>
      <c r="S281" s="19"/>
      <c r="T281" s="19"/>
      <c r="U281" s="18"/>
      <c r="V281" s="18"/>
      <c r="W281" s="18"/>
      <c r="X281" s="18"/>
      <c r="Y281" s="18"/>
      <c r="Z281" s="19"/>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row>
    <row r="282" spans="1:109" ht="15" customHeight="1" x14ac:dyDescent="0.2">
      <c r="A282" s="189"/>
      <c r="B282" s="1591" t="s">
        <v>968</v>
      </c>
      <c r="C282" s="1539"/>
      <c r="D282" s="1540"/>
      <c r="E282" s="1357" t="s">
        <v>573</v>
      </c>
      <c r="F282" s="1358"/>
      <c r="G282" s="1358"/>
      <c r="H282" s="1358"/>
      <c r="I282" s="1358"/>
      <c r="J282" s="1358"/>
      <c r="K282" s="1358"/>
      <c r="L282" s="1358"/>
      <c r="M282" s="1358"/>
      <c r="N282" s="1358"/>
      <c r="O282" s="1359"/>
      <c r="P282" s="303">
        <f>IF(T282=1,0.15,0)</f>
        <v>0</v>
      </c>
      <c r="R282" s="1557" t="s">
        <v>2197</v>
      </c>
      <c r="S282" s="706" t="b">
        <v>0</v>
      </c>
      <c r="T282" s="58">
        <f>IF(S282=TRUE,1,0)</f>
        <v>0</v>
      </c>
      <c r="U282" s="18"/>
      <c r="V282" s="18"/>
      <c r="W282" s="18"/>
      <c r="X282" s="18"/>
      <c r="Y282" s="18"/>
      <c r="Z282" s="18"/>
      <c r="AA282" s="18"/>
      <c r="AB282" s="18"/>
      <c r="AC282" s="18"/>
      <c r="AD282" s="18"/>
      <c r="AE282" s="18"/>
      <c r="AF282" s="18"/>
      <c r="AG282" s="18">
        <v>1E-4</v>
      </c>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row>
    <row r="283" spans="1:109" ht="15" customHeight="1" x14ac:dyDescent="0.2">
      <c r="B283" s="1591"/>
      <c r="C283" s="1539"/>
      <c r="D283" s="1540"/>
      <c r="E283" s="1357" t="s">
        <v>574</v>
      </c>
      <c r="F283" s="1358"/>
      <c r="G283" s="1358"/>
      <c r="H283" s="1358"/>
      <c r="I283" s="1358"/>
      <c r="J283" s="1358"/>
      <c r="K283" s="1358"/>
      <c r="L283" s="1358"/>
      <c r="M283" s="1358"/>
      <c r="N283" s="1358"/>
      <c r="O283" s="1359"/>
      <c r="P283" s="303">
        <f>IF(T283=1,0.25,0)</f>
        <v>0</v>
      </c>
      <c r="R283" s="1557"/>
      <c r="S283" s="706" t="b">
        <v>0</v>
      </c>
      <c r="T283" s="58">
        <f>IF(S283=TRUE,1,0)</f>
        <v>0</v>
      </c>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row>
    <row r="284" spans="1:109" ht="15" customHeight="1" x14ac:dyDescent="0.2">
      <c r="B284" s="1591"/>
      <c r="C284" s="1539"/>
      <c r="D284" s="1540"/>
      <c r="E284" s="1357" t="s">
        <v>788</v>
      </c>
      <c r="F284" s="1358"/>
      <c r="G284" s="1358"/>
      <c r="H284" s="1358"/>
      <c r="I284" s="1358"/>
      <c r="J284" s="1358"/>
      <c r="K284" s="1358"/>
      <c r="L284" s="1358"/>
      <c r="M284" s="1358"/>
      <c r="N284" s="1358"/>
      <c r="O284" s="1359"/>
      <c r="P284" s="303">
        <f>IF(T284=1,0.23,0)</f>
        <v>0</v>
      </c>
      <c r="R284" s="1557"/>
      <c r="S284" s="706" t="b">
        <v>0</v>
      </c>
      <c r="T284" s="58">
        <f>IF(S284=TRUE,1,0)</f>
        <v>0</v>
      </c>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row>
    <row r="285" spans="1:109" ht="12" customHeight="1" x14ac:dyDescent="0.2">
      <c r="B285" s="1395"/>
      <c r="C285" s="1395"/>
      <c r="D285" s="1395"/>
      <c r="E285" s="1395"/>
      <c r="F285" s="1395"/>
      <c r="G285" s="1395"/>
      <c r="H285" s="1395"/>
      <c r="I285" s="1395"/>
      <c r="J285" s="1395"/>
      <c r="K285" s="1395"/>
      <c r="L285" s="1395"/>
      <c r="M285" s="1395"/>
      <c r="N285" s="1395"/>
      <c r="O285" s="1395"/>
      <c r="P285" s="2"/>
      <c r="R285" s="18"/>
      <c r="S285" s="163"/>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row>
    <row r="286" spans="1:109" ht="15" customHeight="1" x14ac:dyDescent="0.2">
      <c r="B286" s="1541" t="s">
        <v>1253</v>
      </c>
      <c r="C286" s="1541"/>
      <c r="D286" s="1541"/>
      <c r="E286" s="1541"/>
      <c r="F286" s="1541"/>
      <c r="G286" s="1541"/>
      <c r="H286" s="1541"/>
      <c r="I286" s="1541"/>
      <c r="J286" s="1541"/>
      <c r="K286" s="1541"/>
      <c r="L286" s="1541"/>
      <c r="M286" s="1541"/>
      <c r="N286" s="1541"/>
      <c r="O286" s="388"/>
      <c r="P286" s="26">
        <f>SUMIF(T286:X286,O286,T287:X287)</f>
        <v>0</v>
      </c>
      <c r="R286" s="1561" t="s">
        <v>2197</v>
      </c>
      <c r="S286" s="1561"/>
      <c r="T286" s="58" t="s">
        <v>1969</v>
      </c>
      <c r="U286" s="58" t="s">
        <v>1970</v>
      </c>
      <c r="V286" s="186" t="s">
        <v>1972</v>
      </c>
      <c r="W286" s="58" t="s">
        <v>945</v>
      </c>
      <c r="X286" s="186" t="s">
        <v>558</v>
      </c>
      <c r="Y286" s="18"/>
      <c r="Z286" s="58" t="s">
        <v>1969</v>
      </c>
      <c r="AA286" s="58" t="s">
        <v>1970</v>
      </c>
      <c r="AB286" s="186" t="s">
        <v>1972</v>
      </c>
      <c r="AC286" s="58" t="s">
        <v>945</v>
      </c>
      <c r="AD286" s="186" t="s">
        <v>558</v>
      </c>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row>
    <row r="287" spans="1:109" ht="15" customHeight="1" x14ac:dyDescent="0.2">
      <c r="B287" s="1541" t="s">
        <v>1499</v>
      </c>
      <c r="C287" s="1541"/>
      <c r="D287" s="1541"/>
      <c r="E287" s="1541"/>
      <c r="F287" s="1541"/>
      <c r="G287" s="1541"/>
      <c r="H287" s="1541"/>
      <c r="I287" s="1541"/>
      <c r="J287" s="1541"/>
      <c r="K287" s="1541"/>
      <c r="L287" s="1541"/>
      <c r="M287" s="1541"/>
      <c r="N287" s="1541"/>
      <c r="O287" s="388"/>
      <c r="P287" s="26">
        <f>SUMIF(Z286:AD286,O287,Z287:AD287)</f>
        <v>0</v>
      </c>
      <c r="R287" s="1561"/>
      <c r="S287" s="1561"/>
      <c r="T287" s="186">
        <v>0.03</v>
      </c>
      <c r="U287" s="186">
        <v>0.15</v>
      </c>
      <c r="V287" s="186">
        <v>0.38</v>
      </c>
      <c r="W287" s="186">
        <v>0.68</v>
      </c>
      <c r="X287" s="186">
        <v>0.9</v>
      </c>
      <c r="Y287" s="18"/>
      <c r="Z287" s="186">
        <v>0.03</v>
      </c>
      <c r="AA287" s="186">
        <v>0.15</v>
      </c>
      <c r="AB287" s="186">
        <v>0.35</v>
      </c>
      <c r="AC287" s="186">
        <v>0.63</v>
      </c>
      <c r="AD287" s="186">
        <v>0.88</v>
      </c>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row>
    <row r="288" spans="1:109" ht="9.75" customHeight="1" x14ac:dyDescent="0.2">
      <c r="B288" s="1395"/>
      <c r="C288" s="1395"/>
      <c r="D288" s="1395"/>
      <c r="E288" s="1395"/>
      <c r="F288" s="1395"/>
      <c r="G288" s="1395"/>
      <c r="H288" s="1395"/>
      <c r="I288" s="1395"/>
      <c r="J288" s="1395"/>
      <c r="K288" s="1395"/>
      <c r="L288" s="1395"/>
      <c r="M288" s="1395"/>
      <c r="N288" s="1395"/>
      <c r="O288" s="1395"/>
      <c r="P288" s="182"/>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row>
    <row r="289" spans="2:109" ht="27" customHeight="1" x14ac:dyDescent="0.2">
      <c r="B289" s="1632" t="s">
        <v>120</v>
      </c>
      <c r="C289" s="1633"/>
      <c r="D289" s="1633"/>
      <c r="E289" s="1633"/>
      <c r="F289" s="1634"/>
      <c r="G289" s="1626" t="s">
        <v>1525</v>
      </c>
      <c r="H289" s="1627"/>
      <c r="I289" s="1627"/>
      <c r="J289" s="1628"/>
      <c r="K289" s="1616"/>
      <c r="L289" s="1617"/>
      <c r="M289" s="1617"/>
      <c r="N289" s="1617"/>
      <c r="O289" s="1618"/>
      <c r="P289" s="1481">
        <f>U303</f>
        <v>0</v>
      </c>
      <c r="R289" s="185" t="s">
        <v>1865</v>
      </c>
      <c r="S289" s="58" t="s">
        <v>1305</v>
      </c>
      <c r="T289" s="58" t="s">
        <v>1306</v>
      </c>
      <c r="U289" s="58" t="s">
        <v>1307</v>
      </c>
      <c r="V289" s="1549" t="s">
        <v>801</v>
      </c>
      <c r="W289" s="1550"/>
      <c r="X289" s="1551"/>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row>
    <row r="290" spans="2:109" ht="14.1" customHeight="1" x14ac:dyDescent="0.2">
      <c r="B290" s="1546" t="s">
        <v>628</v>
      </c>
      <c r="C290" s="1547"/>
      <c r="D290" s="1548"/>
      <c r="E290" s="1730">
        <f>P234</f>
        <v>0</v>
      </c>
      <c r="F290" s="1731"/>
      <c r="G290" s="1534" t="s">
        <v>1942</v>
      </c>
      <c r="H290" s="1534"/>
      <c r="I290" s="1559"/>
      <c r="J290" s="1559"/>
      <c r="K290" s="1619"/>
      <c r="L290" s="1620"/>
      <c r="M290" s="1620"/>
      <c r="N290" s="1620"/>
      <c r="O290" s="1621"/>
      <c r="P290" s="1631"/>
      <c r="R290" s="688">
        <f>E290</f>
        <v>0</v>
      </c>
      <c r="S290" s="186">
        <f>LARGE($R$290:$R$304,1)</f>
        <v>0</v>
      </c>
      <c r="T290" s="684">
        <f>S290+S291*(1-S290)</f>
        <v>0</v>
      </c>
      <c r="U290" s="688">
        <f t="shared" ref="U290:U303" si="37">ROUND(T290,2)</f>
        <v>0</v>
      </c>
      <c r="V290" s="58">
        <f>IF(E290&gt;0,1,0)</f>
        <v>0</v>
      </c>
      <c r="W290" s="58">
        <f>COUNTIF(V290:V304,1)</f>
        <v>0</v>
      </c>
      <c r="X290" s="58">
        <f>IF(AND(W290=0,W291&gt;0),1,IF(W290&gt;0,2,0))</f>
        <v>0</v>
      </c>
      <c r="AA290" s="18"/>
      <c r="AD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row>
    <row r="291" spans="2:109" ht="14.1" customHeight="1" x14ac:dyDescent="0.2">
      <c r="B291" s="1362" t="s">
        <v>382</v>
      </c>
      <c r="C291" s="1363"/>
      <c r="D291" s="1364"/>
      <c r="E291" s="1373">
        <f>P237</f>
        <v>0</v>
      </c>
      <c r="F291" s="1373"/>
      <c r="G291" s="1534" t="s">
        <v>1942</v>
      </c>
      <c r="H291" s="1534"/>
      <c r="I291" s="1559"/>
      <c r="J291" s="1559"/>
      <c r="K291" s="1619"/>
      <c r="L291" s="1620"/>
      <c r="M291" s="1620"/>
      <c r="N291" s="1620"/>
      <c r="O291" s="1621"/>
      <c r="P291" s="1631"/>
      <c r="R291" s="688">
        <f>E291</f>
        <v>0</v>
      </c>
      <c r="S291" s="186">
        <f>LARGE($R$290:$R$304,2)</f>
        <v>0</v>
      </c>
      <c r="T291" s="684">
        <f>U290+S292*(1-U290)</f>
        <v>0</v>
      </c>
      <c r="U291" s="688">
        <f t="shared" si="37"/>
        <v>0</v>
      </c>
      <c r="V291" s="58">
        <f>IF(E291&gt;0,2,0)</f>
        <v>0</v>
      </c>
      <c r="W291" s="58">
        <f>COUNTIF(V290:V304,2)</f>
        <v>0</v>
      </c>
      <c r="X291" s="18"/>
      <c r="Y291" s="18" t="s">
        <v>511</v>
      </c>
      <c r="AA291" s="1395"/>
      <c r="AB291" s="1395"/>
      <c r="AC291" s="1395"/>
      <c r="AD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row>
    <row r="292" spans="2:109" ht="14.1" customHeight="1" x14ac:dyDescent="0.2">
      <c r="B292" s="1362" t="s">
        <v>1959</v>
      </c>
      <c r="C292" s="1363"/>
      <c r="D292" s="1364"/>
      <c r="E292" s="1373">
        <f>IF(E607&gt;0,0,P241)</f>
        <v>0</v>
      </c>
      <c r="F292" s="1373"/>
      <c r="G292" s="1729" t="s">
        <v>2260</v>
      </c>
      <c r="H292" s="1729"/>
      <c r="I292" s="1559"/>
      <c r="J292" s="1559"/>
      <c r="K292" s="1619"/>
      <c r="L292" s="1620"/>
      <c r="M292" s="1620"/>
      <c r="N292" s="1620"/>
      <c r="O292" s="1621"/>
      <c r="P292" s="1631"/>
      <c r="R292" s="688">
        <f t="shared" ref="R292:R299" si="38">IF(I292&gt;0,I292,E292)</f>
        <v>0</v>
      </c>
      <c r="S292" s="186">
        <f>LARGE($R$290:$R$304,3)</f>
        <v>0</v>
      </c>
      <c r="T292" s="684">
        <f>U291+S293*(1-U291)</f>
        <v>0</v>
      </c>
      <c r="U292" s="688">
        <f t="shared" si="37"/>
        <v>0</v>
      </c>
      <c r="V292" s="58">
        <f t="shared" ref="V292:V304" si="39">IF(E292&gt;0,1,0)</f>
        <v>0</v>
      </c>
      <c r="W292" s="18"/>
      <c r="X292" s="18"/>
      <c r="Y292" s="1087"/>
      <c r="Z292" s="18"/>
      <c r="AA292" s="1395"/>
      <c r="AB292" s="1395"/>
      <c r="AC292" s="1395"/>
      <c r="AD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row>
    <row r="293" spans="2:109" ht="14.1" customHeight="1" x14ac:dyDescent="0.2">
      <c r="B293" s="1410" t="s">
        <v>1417</v>
      </c>
      <c r="C293" s="1410"/>
      <c r="D293" s="1410"/>
      <c r="E293" s="1342">
        <f>P258</f>
        <v>0</v>
      </c>
      <c r="F293" s="1344"/>
      <c r="G293" s="1544"/>
      <c r="H293" s="1544"/>
      <c r="I293" s="1545">
        <f t="shared" ref="I293:I299" si="40">IF(AND(Y293&lt;0.01,Y293&gt;0),0.01,ROUND(Y293,2))</f>
        <v>0</v>
      </c>
      <c r="J293" s="1545"/>
      <c r="K293" s="1619"/>
      <c r="L293" s="1620"/>
      <c r="M293" s="1620"/>
      <c r="N293" s="1620"/>
      <c r="O293" s="1621"/>
      <c r="P293" s="1631"/>
      <c r="R293" s="688">
        <f t="shared" si="38"/>
        <v>0</v>
      </c>
      <c r="S293" s="186">
        <f>LARGE($R$290:$R$304,4)</f>
        <v>0</v>
      </c>
      <c r="T293" s="684">
        <f t="shared" ref="T293:T303" si="41">U292+S294*(1-U292)</f>
        <v>0</v>
      </c>
      <c r="U293" s="688">
        <f t="shared" si="37"/>
        <v>0</v>
      </c>
      <c r="V293" s="58">
        <f t="shared" si="39"/>
        <v>0</v>
      </c>
      <c r="W293" s="18"/>
      <c r="X293" s="18"/>
      <c r="Y293" s="1020">
        <f>E293*G293</f>
        <v>0</v>
      </c>
      <c r="Z293" s="860"/>
      <c r="AA293" s="1395"/>
      <c r="AB293" s="1395"/>
      <c r="AC293" s="1395"/>
      <c r="AD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row>
    <row r="294" spans="2:109" ht="14.1" customHeight="1" x14ac:dyDescent="0.2">
      <c r="B294" s="1362" t="s">
        <v>1418</v>
      </c>
      <c r="C294" s="1363"/>
      <c r="D294" s="1364"/>
      <c r="E294" s="1342">
        <f>P259</f>
        <v>0</v>
      </c>
      <c r="F294" s="1344"/>
      <c r="G294" s="1544"/>
      <c r="H294" s="1544"/>
      <c r="I294" s="1545">
        <f t="shared" si="40"/>
        <v>0</v>
      </c>
      <c r="J294" s="1545"/>
      <c r="K294" s="1619"/>
      <c r="L294" s="1620"/>
      <c r="M294" s="1620"/>
      <c r="N294" s="1620"/>
      <c r="O294" s="1621"/>
      <c r="P294" s="1631"/>
      <c r="R294" s="688">
        <f t="shared" si="38"/>
        <v>0</v>
      </c>
      <c r="S294" s="186">
        <f>LARGE($R$290:$R$304,5)</f>
        <v>0</v>
      </c>
      <c r="T294" s="684">
        <f t="shared" si="41"/>
        <v>0</v>
      </c>
      <c r="U294" s="688">
        <f t="shared" si="37"/>
        <v>0</v>
      </c>
      <c r="V294" s="58">
        <f t="shared" si="39"/>
        <v>0</v>
      </c>
      <c r="W294" s="18"/>
      <c r="X294" s="18"/>
      <c r="Y294" s="1020">
        <f t="shared" ref="Y294:Y299" si="42">E294*G294</f>
        <v>0</v>
      </c>
      <c r="Z294" s="860"/>
      <c r="AA294" s="1395"/>
      <c r="AB294" s="1395"/>
      <c r="AC294" s="1395"/>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row>
    <row r="295" spans="2:109" ht="14.1" customHeight="1" x14ac:dyDescent="0.2">
      <c r="B295" s="1362" t="s">
        <v>1419</v>
      </c>
      <c r="C295" s="1363"/>
      <c r="D295" s="1364"/>
      <c r="E295" s="1342">
        <f>P260</f>
        <v>0</v>
      </c>
      <c r="F295" s="1344"/>
      <c r="G295" s="1544"/>
      <c r="H295" s="1544"/>
      <c r="I295" s="1545">
        <f t="shared" si="40"/>
        <v>0</v>
      </c>
      <c r="J295" s="1545"/>
      <c r="K295" s="1619"/>
      <c r="L295" s="1620"/>
      <c r="M295" s="1620"/>
      <c r="N295" s="1620"/>
      <c r="O295" s="1621"/>
      <c r="P295" s="1631"/>
      <c r="R295" s="688">
        <f t="shared" si="38"/>
        <v>0</v>
      </c>
      <c r="S295" s="186">
        <f>LARGE($R$290:$R$304,6)</f>
        <v>0</v>
      </c>
      <c r="T295" s="684">
        <f t="shared" si="41"/>
        <v>0</v>
      </c>
      <c r="U295" s="688">
        <f t="shared" si="37"/>
        <v>0</v>
      </c>
      <c r="V295" s="58">
        <f t="shared" si="39"/>
        <v>0</v>
      </c>
      <c r="W295" s="18"/>
      <c r="X295" s="18"/>
      <c r="Y295" s="1020">
        <f t="shared" si="42"/>
        <v>0</v>
      </c>
      <c r="Z295" s="860"/>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row>
    <row r="296" spans="2:109" ht="14.1" customHeight="1" x14ac:dyDescent="0.2">
      <c r="B296" s="1362" t="s">
        <v>1420</v>
      </c>
      <c r="C296" s="1363"/>
      <c r="D296" s="1364"/>
      <c r="E296" s="1342">
        <f>P261</f>
        <v>0</v>
      </c>
      <c r="F296" s="1344"/>
      <c r="G296" s="1544"/>
      <c r="H296" s="1544"/>
      <c r="I296" s="1545">
        <f t="shared" si="40"/>
        <v>0</v>
      </c>
      <c r="J296" s="1545"/>
      <c r="K296" s="1619"/>
      <c r="L296" s="1620"/>
      <c r="M296" s="1620"/>
      <c r="N296" s="1620"/>
      <c r="O296" s="1621"/>
      <c r="P296" s="1631"/>
      <c r="R296" s="688">
        <f t="shared" si="38"/>
        <v>0</v>
      </c>
      <c r="S296" s="186">
        <f>LARGE($R$290:$R$304,7)</f>
        <v>0</v>
      </c>
      <c r="T296" s="684">
        <f t="shared" si="41"/>
        <v>0</v>
      </c>
      <c r="U296" s="688">
        <f t="shared" si="37"/>
        <v>0</v>
      </c>
      <c r="V296" s="58">
        <f t="shared" si="39"/>
        <v>0</v>
      </c>
      <c r="W296" s="18"/>
      <c r="X296" s="18"/>
      <c r="Y296" s="1020">
        <f t="shared" si="42"/>
        <v>0</v>
      </c>
      <c r="Z296" s="860"/>
      <c r="AA296" s="1073"/>
      <c r="AB296" s="1073"/>
      <c r="AC296" s="1073"/>
      <c r="AD296" s="1073"/>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row>
    <row r="297" spans="2:109" ht="14.1" customHeight="1" x14ac:dyDescent="0.2">
      <c r="B297" s="1362" t="s">
        <v>1986</v>
      </c>
      <c r="C297" s="1363"/>
      <c r="D297" s="1364"/>
      <c r="E297" s="1373">
        <f>P270</f>
        <v>0</v>
      </c>
      <c r="F297" s="1373"/>
      <c r="G297" s="1544"/>
      <c r="H297" s="1544"/>
      <c r="I297" s="1545">
        <f t="shared" si="40"/>
        <v>0</v>
      </c>
      <c r="J297" s="1545"/>
      <c r="K297" s="1619"/>
      <c r="L297" s="1620"/>
      <c r="M297" s="1620"/>
      <c r="N297" s="1620"/>
      <c r="O297" s="1621"/>
      <c r="P297" s="1631"/>
      <c r="R297" s="688">
        <f t="shared" si="38"/>
        <v>0</v>
      </c>
      <c r="S297" s="186">
        <f>LARGE($R$290:$R$304,8)</f>
        <v>0</v>
      </c>
      <c r="T297" s="684">
        <f t="shared" si="41"/>
        <v>0</v>
      </c>
      <c r="U297" s="688">
        <f t="shared" si="37"/>
        <v>0</v>
      </c>
      <c r="V297" s="58">
        <f t="shared" si="39"/>
        <v>0</v>
      </c>
      <c r="W297" s="18"/>
      <c r="X297" s="18"/>
      <c r="Y297" s="1020">
        <f t="shared" si="42"/>
        <v>0</v>
      </c>
      <c r="Z297" s="860"/>
      <c r="AA297" s="1073"/>
      <c r="AB297" s="1073"/>
      <c r="AC297" s="1073"/>
      <c r="AD297" s="1073"/>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row>
    <row r="298" spans="2:109" ht="14.1" customHeight="1" x14ac:dyDescent="0.2">
      <c r="B298" s="1362" t="s">
        <v>1227</v>
      </c>
      <c r="C298" s="1363"/>
      <c r="D298" s="1364"/>
      <c r="E298" s="1373">
        <f>P275</f>
        <v>0</v>
      </c>
      <c r="F298" s="1373"/>
      <c r="G298" s="1544"/>
      <c r="H298" s="1544"/>
      <c r="I298" s="1545">
        <f t="shared" si="40"/>
        <v>0</v>
      </c>
      <c r="J298" s="1545"/>
      <c r="K298" s="1030"/>
      <c r="L298" s="1031"/>
      <c r="M298" s="1031"/>
      <c r="N298" s="1031"/>
      <c r="O298" s="1032"/>
      <c r="P298" s="1631"/>
      <c r="R298" s="688">
        <f t="shared" si="38"/>
        <v>0</v>
      </c>
      <c r="S298" s="186">
        <f>LARGE($R$290:$R$304,9)</f>
        <v>0</v>
      </c>
      <c r="T298" s="684">
        <f t="shared" si="41"/>
        <v>0</v>
      </c>
      <c r="U298" s="688">
        <f t="shared" si="37"/>
        <v>0</v>
      </c>
      <c r="V298" s="58">
        <f t="shared" si="39"/>
        <v>0</v>
      </c>
      <c r="W298" s="18"/>
      <c r="X298" s="18"/>
      <c r="Y298" s="1020">
        <f t="shared" si="42"/>
        <v>0</v>
      </c>
      <c r="Z298" s="373"/>
      <c r="AA298" s="1073"/>
      <c r="AB298" s="1073"/>
      <c r="AC298" s="1073"/>
      <c r="AD298" s="1073"/>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row>
    <row r="299" spans="2:109" ht="14.1" customHeight="1" x14ac:dyDescent="0.2">
      <c r="B299" s="1362" t="s">
        <v>1233</v>
      </c>
      <c r="C299" s="1363"/>
      <c r="D299" s="1364"/>
      <c r="E299" s="1373">
        <f>P277</f>
        <v>0</v>
      </c>
      <c r="F299" s="1373"/>
      <c r="G299" s="1544"/>
      <c r="H299" s="1544"/>
      <c r="I299" s="1545">
        <f t="shared" si="40"/>
        <v>0</v>
      </c>
      <c r="J299" s="1545"/>
      <c r="K299" s="1030"/>
      <c r="L299" s="1031"/>
      <c r="M299" s="1031"/>
      <c r="N299" s="1031"/>
      <c r="O299" s="1032"/>
      <c r="P299" s="1631"/>
      <c r="R299" s="688">
        <f t="shared" si="38"/>
        <v>0</v>
      </c>
      <c r="S299" s="186">
        <f>LARGE($R$290:$R$304,10)</f>
        <v>0</v>
      </c>
      <c r="T299" s="684">
        <f t="shared" si="41"/>
        <v>0</v>
      </c>
      <c r="U299" s="688">
        <f t="shared" si="37"/>
        <v>0</v>
      </c>
      <c r="V299" s="58">
        <f t="shared" si="39"/>
        <v>0</v>
      </c>
      <c r="W299" s="18"/>
      <c r="X299" s="18"/>
      <c r="Y299" s="1020">
        <f t="shared" si="42"/>
        <v>0</v>
      </c>
      <c r="Z299" s="373"/>
      <c r="AA299" s="1073"/>
      <c r="AB299" s="1073"/>
      <c r="AC299" s="1073"/>
      <c r="AD299" s="1073"/>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8"/>
      <c r="CY299" s="18"/>
      <c r="CZ299" s="18"/>
      <c r="DA299" s="18"/>
      <c r="DB299" s="18"/>
      <c r="DC299" s="18"/>
      <c r="DD299" s="18"/>
      <c r="DE299" s="18"/>
    </row>
    <row r="300" spans="2:109" ht="14.1" customHeight="1" x14ac:dyDescent="0.2">
      <c r="B300" s="1362" t="s">
        <v>383</v>
      </c>
      <c r="C300" s="1363"/>
      <c r="D300" s="1364"/>
      <c r="E300" s="1373">
        <f>P282</f>
        <v>0</v>
      </c>
      <c r="F300" s="1373"/>
      <c r="G300" s="1534" t="s">
        <v>1942</v>
      </c>
      <c r="H300" s="1534"/>
      <c r="I300" s="1559"/>
      <c r="J300" s="1559"/>
      <c r="K300" s="1588" t="str">
        <f>IF(AND(P241&gt;0,E607&gt;0),"A value has been granted for motor loss. Additional impairment value is not allowed for reduced ROM in the same extremity.","")</f>
        <v/>
      </c>
      <c r="L300" s="1589"/>
      <c r="M300" s="1589"/>
      <c r="N300" s="1589"/>
      <c r="O300" s="1590"/>
      <c r="P300" s="1631"/>
      <c r="R300" s="688">
        <f>E300</f>
        <v>0</v>
      </c>
      <c r="S300" s="186">
        <f>LARGE($R$290:$R$304,11)</f>
        <v>0</v>
      </c>
      <c r="T300" s="684">
        <f t="shared" si="41"/>
        <v>0</v>
      </c>
      <c r="U300" s="688">
        <f t="shared" si="37"/>
        <v>0</v>
      </c>
      <c r="V300" s="58">
        <f t="shared" si="39"/>
        <v>0</v>
      </c>
      <c r="W300" s="18"/>
      <c r="X300" s="18"/>
      <c r="Y300" s="370"/>
      <c r="Z300" s="373"/>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row>
    <row r="301" spans="2:109" ht="14.1" customHeight="1" x14ac:dyDescent="0.2">
      <c r="B301" s="1362" t="s">
        <v>384</v>
      </c>
      <c r="C301" s="1363"/>
      <c r="D301" s="1364"/>
      <c r="E301" s="1373">
        <f>P283</f>
        <v>0</v>
      </c>
      <c r="F301" s="1373"/>
      <c r="G301" s="1534" t="s">
        <v>1942</v>
      </c>
      <c r="H301" s="1534"/>
      <c r="I301" s="1559"/>
      <c r="J301" s="1559"/>
      <c r="K301" s="1588"/>
      <c r="L301" s="1589"/>
      <c r="M301" s="1589"/>
      <c r="N301" s="1589"/>
      <c r="O301" s="1590"/>
      <c r="P301" s="1631"/>
      <c r="R301" s="688">
        <f>E301</f>
        <v>0</v>
      </c>
      <c r="S301" s="186">
        <f>LARGE($R$290:$R$304,12)</f>
        <v>0</v>
      </c>
      <c r="T301" s="684">
        <f t="shared" si="41"/>
        <v>0</v>
      </c>
      <c r="U301" s="688">
        <f t="shared" si="37"/>
        <v>0</v>
      </c>
      <c r="V301" s="58">
        <f t="shared" si="39"/>
        <v>0</v>
      </c>
      <c r="W301" s="18"/>
      <c r="X301" s="18"/>
      <c r="Y301" s="370"/>
      <c r="Z301" s="315"/>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row>
    <row r="302" spans="2:109" ht="14.1" customHeight="1" x14ac:dyDescent="0.2">
      <c r="B302" s="1362" t="s">
        <v>807</v>
      </c>
      <c r="C302" s="1363"/>
      <c r="D302" s="1364"/>
      <c r="E302" s="1373">
        <f>P284</f>
        <v>0</v>
      </c>
      <c r="F302" s="1373"/>
      <c r="G302" s="1534" t="s">
        <v>1942</v>
      </c>
      <c r="H302" s="1534"/>
      <c r="I302" s="1559"/>
      <c r="J302" s="1559"/>
      <c r="K302" s="1588"/>
      <c r="L302" s="1589"/>
      <c r="M302" s="1589"/>
      <c r="N302" s="1589"/>
      <c r="O302" s="1590"/>
      <c r="P302" s="1631"/>
      <c r="R302" s="688">
        <f>E302</f>
        <v>0</v>
      </c>
      <c r="S302" s="186">
        <f>LARGE($R$290:$R$304,13)</f>
        <v>0</v>
      </c>
      <c r="T302" s="684">
        <f t="shared" si="41"/>
        <v>0</v>
      </c>
      <c r="U302" s="688">
        <f t="shared" si="37"/>
        <v>0</v>
      </c>
      <c r="V302" s="58">
        <f t="shared" si="39"/>
        <v>0</v>
      </c>
      <c r="W302" s="18"/>
      <c r="X302" s="18"/>
      <c r="Y302" s="370"/>
      <c r="Z302" s="315"/>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row>
    <row r="303" spans="2:109" ht="14.1" customHeight="1" x14ac:dyDescent="0.2">
      <c r="B303" s="1362" t="s">
        <v>1447</v>
      </c>
      <c r="C303" s="1363"/>
      <c r="D303" s="1364"/>
      <c r="E303" s="1373">
        <f>P286</f>
        <v>0</v>
      </c>
      <c r="F303" s="1373"/>
      <c r="G303" s="1544"/>
      <c r="H303" s="1544"/>
      <c r="I303" s="1545">
        <f>IF(AND(Y303&lt;0.01,Y303&gt;0),0.01,ROUND(Y303,2))</f>
        <v>0</v>
      </c>
      <c r="J303" s="1545"/>
      <c r="K303" s="1588"/>
      <c r="L303" s="1589"/>
      <c r="M303" s="1589"/>
      <c r="N303" s="1589"/>
      <c r="O303" s="1590"/>
      <c r="P303" s="1631"/>
      <c r="R303" s="688">
        <f>IF(I303&gt;0,I303,E303)</f>
        <v>0</v>
      </c>
      <c r="S303" s="186">
        <f>LARGE($R$290:$R$304,14)</f>
        <v>0</v>
      </c>
      <c r="T303" s="684">
        <f t="shared" si="41"/>
        <v>0</v>
      </c>
      <c r="U303" s="688">
        <f t="shared" si="37"/>
        <v>0</v>
      </c>
      <c r="V303" s="58">
        <f t="shared" si="39"/>
        <v>0</v>
      </c>
      <c r="W303" s="18"/>
      <c r="X303" s="18"/>
      <c r="Y303" s="1020">
        <f t="shared" ref="Y303:Y304" si="43">E303*G303</f>
        <v>0</v>
      </c>
      <c r="Z303" s="85"/>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row>
    <row r="304" spans="2:109" ht="14.1" customHeight="1" x14ac:dyDescent="0.2">
      <c r="B304" s="1408" t="s">
        <v>1254</v>
      </c>
      <c r="C304" s="1408"/>
      <c r="D304" s="1408"/>
      <c r="E304" s="1481">
        <f>P287</f>
        <v>0</v>
      </c>
      <c r="F304" s="1481"/>
      <c r="G304" s="1622"/>
      <c r="H304" s="1622"/>
      <c r="I304" s="1612">
        <f>IF(AND(Y304&lt;0.01,Y304&gt;0),0.01,ROUND(Y304,2))</f>
        <v>0</v>
      </c>
      <c r="J304" s="1612"/>
      <c r="K304" s="1574"/>
      <c r="L304" s="1575"/>
      <c r="M304" s="1575"/>
      <c r="N304" s="1575"/>
      <c r="O304" s="1576"/>
      <c r="P304" s="1631"/>
      <c r="Q304" s="3"/>
      <c r="R304" s="688">
        <f>IF(I304&gt;0,I304,E304)</f>
        <v>0</v>
      </c>
      <c r="S304" s="186">
        <f>LARGE($R$290:$R$304,15)</f>
        <v>0</v>
      </c>
      <c r="T304" s="707"/>
      <c r="U304" s="688"/>
      <c r="V304" s="58">
        <f t="shared" si="39"/>
        <v>0</v>
      </c>
      <c r="W304" s="18"/>
      <c r="X304" s="18"/>
      <c r="Y304" s="1020">
        <f t="shared" si="43"/>
        <v>0</v>
      </c>
      <c r="Z304" s="85"/>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row>
    <row r="305" spans="2:109" ht="14.1" customHeight="1" x14ac:dyDescent="0.2">
      <c r="B305" s="1570" t="s">
        <v>1389</v>
      </c>
      <c r="C305" s="1570"/>
      <c r="D305" s="1570"/>
      <c r="E305" s="1570"/>
      <c r="F305" s="1570"/>
      <c r="G305" s="1570"/>
      <c r="H305" s="1570"/>
      <c r="I305" s="1570"/>
      <c r="J305" s="1570"/>
      <c r="K305" s="1570"/>
      <c r="L305" s="1570"/>
      <c r="M305" s="1570"/>
      <c r="N305" s="1570"/>
      <c r="O305" s="1570"/>
      <c r="P305" s="1623"/>
      <c r="Q305" s="3"/>
      <c r="R305" s="19"/>
      <c r="S305" s="177"/>
      <c r="T305" s="157"/>
      <c r="U305" s="18"/>
      <c r="V305" s="18"/>
      <c r="W305" s="18"/>
      <c r="X305" s="18"/>
      <c r="Y305" s="1017"/>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row>
    <row r="306" spans="2:109" x14ac:dyDescent="0.2">
      <c r="B306" s="1784"/>
      <c r="C306" s="1784"/>
      <c r="D306" s="1784"/>
      <c r="E306" s="1784"/>
      <c r="F306" s="1784"/>
      <c r="G306" s="1784"/>
      <c r="H306" s="1784"/>
      <c r="I306" s="1784"/>
      <c r="J306" s="1784"/>
      <c r="K306" s="1784"/>
      <c r="L306" s="1784"/>
      <c r="M306" s="1784"/>
      <c r="N306" s="1784"/>
      <c r="O306" s="1784"/>
      <c r="P306" s="1784"/>
      <c r="R306" s="18"/>
      <c r="S306" s="18"/>
      <c r="T306" s="18"/>
      <c r="U306" s="18"/>
      <c r="V306" s="18"/>
      <c r="W306" s="18"/>
      <c r="X306" s="18"/>
      <c r="Y306" s="1068"/>
      <c r="Z306" s="106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row>
    <row r="307" spans="2:109" x14ac:dyDescent="0.2">
      <c r="B307" s="226"/>
      <c r="C307" s="226"/>
      <c r="D307" s="226"/>
      <c r="E307" s="226"/>
      <c r="F307" s="226"/>
      <c r="G307" s="226"/>
      <c r="H307" s="226"/>
      <c r="I307" s="226"/>
      <c r="J307" s="226"/>
      <c r="K307" s="226"/>
      <c r="L307" s="226"/>
      <c r="M307" s="226"/>
      <c r="N307" s="226"/>
      <c r="O307" s="226"/>
      <c r="P307" s="226"/>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row>
    <row r="308" spans="2:109" ht="18" customHeight="1" x14ac:dyDescent="0.2">
      <c r="B308" s="1516" t="s">
        <v>1390</v>
      </c>
      <c r="C308" s="1517"/>
      <c r="D308" s="1517"/>
      <c r="E308" s="1517"/>
      <c r="F308" s="1517"/>
      <c r="G308" s="1517"/>
      <c r="H308" s="1517"/>
      <c r="I308" s="1517"/>
      <c r="J308" s="1517"/>
      <c r="K308" s="1517"/>
      <c r="L308" s="1517"/>
      <c r="M308" s="1517"/>
      <c r="N308" s="1517"/>
      <c r="O308" s="1517"/>
      <c r="P308" s="15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row>
    <row r="309" spans="2:109" ht="18" customHeight="1" x14ac:dyDescent="0.2">
      <c r="B309" s="1394" t="s">
        <v>1668</v>
      </c>
      <c r="C309" s="1394"/>
      <c r="D309" s="1394"/>
      <c r="E309" s="1394"/>
      <c r="F309" s="1394"/>
      <c r="G309" s="1394"/>
      <c r="H309" s="1394"/>
      <c r="I309" s="1394"/>
      <c r="J309" s="1394"/>
      <c r="K309" s="1394"/>
      <c r="L309" s="1394"/>
      <c r="M309" s="1394"/>
      <c r="N309" s="1394"/>
      <c r="O309" s="1394"/>
      <c r="P309" s="1612">
        <f>SUMIF(S309:Y309,B310,S310:Y310)</f>
        <v>0</v>
      </c>
      <c r="R309" s="1560" t="s">
        <v>1325</v>
      </c>
      <c r="S309" s="58" t="s">
        <v>524</v>
      </c>
      <c r="T309" s="695" t="s">
        <v>1326</v>
      </c>
      <c r="U309" s="58" t="s">
        <v>526</v>
      </c>
      <c r="V309" s="58" t="s">
        <v>1077</v>
      </c>
      <c r="W309" s="58" t="s">
        <v>1080</v>
      </c>
      <c r="X309" s="58" t="s">
        <v>716</v>
      </c>
      <c r="Y309" s="58" t="s">
        <v>590</v>
      </c>
      <c r="Z309" s="18"/>
      <c r="AA309" s="18"/>
      <c r="AB309" s="18"/>
      <c r="AC309" s="18"/>
      <c r="AD309" s="18"/>
      <c r="AE309" s="18"/>
      <c r="AF309" s="18"/>
      <c r="AG309" s="18"/>
      <c r="AH309" s="18"/>
      <c r="AI309" s="18"/>
      <c r="AJ309" s="18"/>
      <c r="AK309" s="19"/>
      <c r="AL309" s="19"/>
      <c r="AM309" s="19"/>
      <c r="AN309" s="19"/>
      <c r="AO309" s="19"/>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row>
    <row r="310" spans="2:109" ht="15" customHeight="1" x14ac:dyDescent="0.2">
      <c r="B310" s="1629"/>
      <c r="C310" s="1629"/>
      <c r="D310" s="1629"/>
      <c r="E310" s="1629"/>
      <c r="F310" s="1629"/>
      <c r="G310" s="1629"/>
      <c r="H310" s="1629"/>
      <c r="I310" s="1629"/>
      <c r="J310" s="1629"/>
      <c r="K310" s="1629"/>
      <c r="L310" s="1629"/>
      <c r="M310" s="1629"/>
      <c r="N310" s="1629"/>
      <c r="O310" s="1629"/>
      <c r="P310" s="1733"/>
      <c r="R310" s="1394"/>
      <c r="S310" s="688">
        <v>0</v>
      </c>
      <c r="T310" s="186">
        <v>0.1</v>
      </c>
      <c r="U310" s="186">
        <v>0.3</v>
      </c>
      <c r="V310" s="186">
        <v>0.5</v>
      </c>
      <c r="W310" s="186">
        <v>0.63</v>
      </c>
      <c r="X310" s="186">
        <v>0.75</v>
      </c>
      <c r="Y310" s="186">
        <v>1</v>
      </c>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row>
    <row r="311" spans="2:109" ht="15" customHeight="1" x14ac:dyDescent="0.2">
      <c r="B311" s="1592" t="str">
        <f>IF(AND(P309&gt;0.1,B313=""),"Enter specific level of amputation or shortening below.","")</f>
        <v/>
      </c>
      <c r="C311" s="1592"/>
      <c r="D311" s="1592"/>
      <c r="E311" s="1592"/>
      <c r="F311" s="1592"/>
      <c r="G311" s="1592"/>
      <c r="H311" s="1592"/>
      <c r="I311" s="1592"/>
      <c r="J311" s="1592"/>
      <c r="K311" s="1592"/>
      <c r="L311" s="1592"/>
      <c r="M311" s="1592"/>
      <c r="N311" s="1592"/>
      <c r="O311" s="1592"/>
      <c r="P311" s="1592"/>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row>
    <row r="312" spans="2:109" ht="30" customHeight="1" x14ac:dyDescent="0.2">
      <c r="B312" s="1379" t="s">
        <v>798</v>
      </c>
      <c r="C312" s="1379"/>
      <c r="D312" s="1379"/>
      <c r="E312" s="1379"/>
      <c r="F312" s="1379"/>
      <c r="G312" s="1379"/>
      <c r="H312" s="1379"/>
      <c r="I312" s="1379"/>
      <c r="J312" s="1379"/>
      <c r="K312" s="1379"/>
      <c r="L312" s="1379"/>
      <c r="M312" s="1379"/>
      <c r="N312" s="1379"/>
      <c r="O312" s="1379"/>
      <c r="P312" s="1612">
        <f>IF(P309=1,0,U14)</f>
        <v>0</v>
      </c>
      <c r="R312" s="646">
        <f>SUMIF(S312:AD312,B313,S313:AD313)</f>
        <v>0</v>
      </c>
      <c r="S312" s="58" t="s">
        <v>1185</v>
      </c>
      <c r="T312" s="58" t="s">
        <v>1186</v>
      </c>
      <c r="U312" s="58" t="s">
        <v>1187</v>
      </c>
      <c r="V312" s="58" t="s">
        <v>1188</v>
      </c>
      <c r="W312" s="58" t="s">
        <v>1924</v>
      </c>
      <c r="X312" s="58" t="s">
        <v>1925</v>
      </c>
      <c r="Y312" s="58" t="s">
        <v>673</v>
      </c>
      <c r="Z312" s="58" t="s">
        <v>674</v>
      </c>
      <c r="AA312" s="58" t="s">
        <v>675</v>
      </c>
      <c r="AB312" s="58" t="s">
        <v>676</v>
      </c>
      <c r="AC312" s="58" t="s">
        <v>677</v>
      </c>
      <c r="AD312" s="58" t="s">
        <v>678</v>
      </c>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row>
    <row r="313" spans="2:109" ht="15" customHeight="1" x14ac:dyDescent="0.2">
      <c r="B313" s="1629"/>
      <c r="C313" s="1629"/>
      <c r="D313" s="1629"/>
      <c r="E313" s="1629"/>
      <c r="F313" s="1629"/>
      <c r="G313" s="1629"/>
      <c r="H313" s="1629"/>
      <c r="I313" s="1629"/>
      <c r="J313" s="1629"/>
      <c r="K313" s="1629"/>
      <c r="L313" s="1629"/>
      <c r="M313" s="1629"/>
      <c r="N313" s="1629"/>
      <c r="O313" s="1629"/>
      <c r="P313" s="1732"/>
      <c r="R313" s="1379" t="s">
        <v>679</v>
      </c>
      <c r="S313" s="186">
        <v>0</v>
      </c>
      <c r="T313" s="186">
        <v>0</v>
      </c>
      <c r="U313" s="186">
        <v>0</v>
      </c>
      <c r="V313" s="186">
        <v>0.05</v>
      </c>
      <c r="W313" s="186">
        <v>0.05</v>
      </c>
      <c r="X313" s="186">
        <v>0.05</v>
      </c>
      <c r="Y313" s="186">
        <v>0.05</v>
      </c>
      <c r="Z313" s="186">
        <v>0.1</v>
      </c>
      <c r="AA313" s="186">
        <v>0.15</v>
      </c>
      <c r="AB313" s="186">
        <v>0.15</v>
      </c>
      <c r="AC313" s="186">
        <v>0.15</v>
      </c>
      <c r="AD313" s="186">
        <v>0.2</v>
      </c>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row>
    <row r="314" spans="2:109" ht="18" customHeight="1" x14ac:dyDescent="0.2">
      <c r="B314" s="1653" t="s">
        <v>680</v>
      </c>
      <c r="C314" s="1654"/>
      <c r="D314" s="1654"/>
      <c r="E314" s="1654"/>
      <c r="F314" s="1654"/>
      <c r="G314" s="1654"/>
      <c r="H314" s="1654"/>
      <c r="I314" s="1654"/>
      <c r="J314" s="1654"/>
      <c r="K314" s="1654"/>
      <c r="L314" s="1654"/>
      <c r="M314" s="1654"/>
      <c r="N314" s="1654"/>
      <c r="O314" s="1655"/>
      <c r="P314" s="1733"/>
      <c r="R314" s="1379"/>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row>
    <row r="315" spans="2:109" ht="12" customHeight="1" x14ac:dyDescent="0.2">
      <c r="B315" s="1395"/>
      <c r="C315" s="1395"/>
      <c r="D315" s="1395"/>
      <c r="E315" s="1395"/>
      <c r="F315" s="1395"/>
      <c r="G315" s="1395"/>
      <c r="H315" s="1395"/>
      <c r="I315" s="1395"/>
      <c r="J315" s="1395"/>
      <c r="K315" s="1395"/>
      <c r="L315" s="1395"/>
      <c r="M315" s="1395"/>
      <c r="N315" s="1395"/>
      <c r="O315" s="1395"/>
      <c r="P315" s="182"/>
      <c r="R315" s="18"/>
      <c r="S315" s="18"/>
      <c r="T315" s="18"/>
      <c r="U315" s="18"/>
      <c r="V315" s="18"/>
      <c r="W315" s="18"/>
      <c r="X315" s="18"/>
      <c r="Y315" s="18"/>
      <c r="Z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row>
    <row r="316" spans="2:109" ht="15" customHeight="1" x14ac:dyDescent="0.2">
      <c r="B316" s="1555" t="s">
        <v>1595</v>
      </c>
      <c r="C316" s="1555"/>
      <c r="D316" s="1555"/>
      <c r="E316" s="1555"/>
      <c r="F316" s="1555"/>
      <c r="G316" s="1555"/>
      <c r="H316" s="1555"/>
      <c r="I316" s="1555"/>
      <c r="J316" s="1555"/>
      <c r="K316" s="1555"/>
      <c r="L316" s="1555"/>
      <c r="M316" s="1555"/>
      <c r="N316" s="1555"/>
      <c r="O316" s="1555"/>
      <c r="P316" s="1373">
        <f>IF(R329=1,"ERROR",IF(AND(AD320&gt;0,AD320&lt;0.01),0.01,ROUND(AD320,2)))</f>
        <v>0</v>
      </c>
      <c r="R316" s="18"/>
      <c r="S316" s="18"/>
      <c r="T316" s="1379" t="s">
        <v>1258</v>
      </c>
      <c r="U316" s="1379" t="s">
        <v>1258</v>
      </c>
      <c r="V316" s="18"/>
      <c r="W316" s="18"/>
      <c r="X316" s="18"/>
      <c r="Y316" s="18"/>
      <c r="Z316" s="717">
        <v>2</v>
      </c>
      <c r="AA316" s="18"/>
      <c r="AB316" s="18"/>
      <c r="AC316" s="1569"/>
      <c r="AD316" s="1569"/>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row>
    <row r="317" spans="2:109" ht="27" customHeight="1" x14ac:dyDescent="0.2">
      <c r="B317" s="23" t="s">
        <v>1390</v>
      </c>
      <c r="C317" s="1555" t="s">
        <v>1596</v>
      </c>
      <c r="D317" s="1555"/>
      <c r="E317" s="1555"/>
      <c r="F317" s="1555"/>
      <c r="G317" s="1536" t="s">
        <v>1081</v>
      </c>
      <c r="H317" s="1536"/>
      <c r="I317" s="1536"/>
      <c r="J317" s="1536"/>
      <c r="K317" s="1555"/>
      <c r="L317" s="1555"/>
      <c r="M317" s="1555"/>
      <c r="N317" s="1555"/>
      <c r="O317" s="1555"/>
      <c r="P317" s="1373"/>
      <c r="R317" s="18"/>
      <c r="S317" s="18"/>
      <c r="T317" s="1379"/>
      <c r="U317" s="1379"/>
      <c r="V317" s="18"/>
      <c r="W317" s="18"/>
      <c r="X317" s="18"/>
      <c r="Y317" s="18"/>
      <c r="Z317" s="18"/>
      <c r="AA317" s="1598" t="s">
        <v>2262</v>
      </c>
      <c r="AB317" s="1599"/>
      <c r="AC317" s="1599"/>
      <c r="AD317" s="1600"/>
      <c r="AE317" s="1039"/>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row>
    <row r="318" spans="2:109" ht="18" customHeight="1" x14ac:dyDescent="0.2">
      <c r="B318" s="23"/>
      <c r="C318" s="1555" t="s">
        <v>365</v>
      </c>
      <c r="D318" s="1555"/>
      <c r="E318" s="1555" t="s">
        <v>1796</v>
      </c>
      <c r="F318" s="1555"/>
      <c r="G318" s="1555" t="s">
        <v>365</v>
      </c>
      <c r="H318" s="1555"/>
      <c r="I318" s="1555" t="s">
        <v>1796</v>
      </c>
      <c r="J318" s="1555"/>
      <c r="K318" s="1555"/>
      <c r="L318" s="1555"/>
      <c r="M318" s="1555"/>
      <c r="N318" s="1555"/>
      <c r="O318" s="1555"/>
      <c r="P318" s="1373"/>
      <c r="R318" s="1019"/>
      <c r="S318" s="710" t="s">
        <v>1655</v>
      </c>
      <c r="T318" s="711" t="s">
        <v>1596</v>
      </c>
      <c r="U318" s="711" t="s">
        <v>1597</v>
      </c>
      <c r="V318" s="1555" t="s">
        <v>1083</v>
      </c>
      <c r="W318" s="1555"/>
      <c r="X318" s="1555"/>
      <c r="Y318" s="1555"/>
      <c r="Z318" s="714"/>
      <c r="AA318" s="1601"/>
      <c r="AB318" s="1602"/>
      <c r="AC318" s="1602"/>
      <c r="AD318" s="1603"/>
      <c r="AE318" s="1039"/>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row>
    <row r="319" spans="2:109" ht="13.5" customHeight="1" x14ac:dyDescent="0.2">
      <c r="B319" s="185" t="s">
        <v>681</v>
      </c>
      <c r="C319" s="1308"/>
      <c r="D319" s="1308"/>
      <c r="E319" s="1558">
        <f>UETable!AV51</f>
        <v>0</v>
      </c>
      <c r="F319" s="1558"/>
      <c r="G319" s="1308"/>
      <c r="H319" s="1308"/>
      <c r="I319" s="1538">
        <f>IF(C319="",0,IF(OR(C319&lt;=0,G319&lt;=0),E319,IF(G319&lt;C319,0,UETable!BA51)))</f>
        <v>0</v>
      </c>
      <c r="J319" s="1538"/>
      <c r="K319" s="1556" t="str">
        <f>IF(OR(C319="NA",G319="NA"),"",IF(AND(C319&lt;&gt;"",G319=""),"Enter contralateral or NA.",IF(AND(C319="",G319&lt;&gt;""),"Need data","")))</f>
        <v/>
      </c>
      <c r="L319" s="1556"/>
      <c r="M319" s="1556"/>
      <c r="N319" s="1556"/>
      <c r="O319" s="1556"/>
      <c r="P319" s="1373"/>
      <c r="R319" s="1019"/>
      <c r="S319" s="58">
        <v>70</v>
      </c>
      <c r="T319" s="58" t="str">
        <f>IF(OR(C319="",C319="NA"),"",IF(C319&gt;S319,S319,IF(C319&lt;0,0,C319)))</f>
        <v/>
      </c>
      <c r="U319" s="58" t="str">
        <f>IF(OR(G319="",G319="NA"),"",IF(G319&gt;S319,S319,IF(G319&lt;0,0,G319)))</f>
        <v/>
      </c>
      <c r="V319" s="696" t="str">
        <f>IF(Y319="","",ROUND(Y319,0))</f>
        <v/>
      </c>
      <c r="W319" s="1410" t="s">
        <v>1203</v>
      </c>
      <c r="X319" s="1410"/>
      <c r="Y319" s="697" t="str">
        <f>IF(T319="","",IF(OR(U319="",U319=0,U319&lt;T319),T319,(T319*70)/U319))</f>
        <v/>
      </c>
      <c r="Z319" s="18"/>
      <c r="AA319" s="1604"/>
      <c r="AB319" s="1605"/>
      <c r="AC319" s="1605"/>
      <c r="AD319" s="1606"/>
      <c r="AE319" s="1041">
        <f>IF(OR(E321&gt;0,E325&gt;0,E329&gt;0),1,0)</f>
        <v>0</v>
      </c>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row>
    <row r="320" spans="2:109" ht="13.5" customHeight="1" x14ac:dyDescent="0.2">
      <c r="B320" s="185" t="s">
        <v>682</v>
      </c>
      <c r="C320" s="1308"/>
      <c r="D320" s="1308"/>
      <c r="E320" s="1558">
        <f>UETable!AV52</f>
        <v>0</v>
      </c>
      <c r="F320" s="1558"/>
      <c r="G320" s="1308"/>
      <c r="H320" s="1308"/>
      <c r="I320" s="1538">
        <f>IF(C320="",0,IF(OR(C320&gt;=70,G320&gt;=70),E320,IF(G320&gt;C320,0,UETable!BA52)))</f>
        <v>0</v>
      </c>
      <c r="J320" s="1538"/>
      <c r="K320" s="1556" t="str">
        <f>IF(OR(C320="NA",G320="NA"),"",IF(AND(C320&lt;&gt;"",G320=""),"Enter contralateral or NA.",IF(AND(C320="",G320&lt;&gt;""),"Need data","")))</f>
        <v/>
      </c>
      <c r="L320" s="1556"/>
      <c r="M320" s="1556"/>
      <c r="N320" s="1556"/>
      <c r="O320" s="1556"/>
      <c r="P320" s="1373"/>
      <c r="S320" s="58">
        <v>70</v>
      </c>
      <c r="T320" s="58" t="str">
        <f>IF(OR(C320="",C320="NA"),"",IF(C320&gt;S320,S320,IF(C320&lt;0,0,C320)))</f>
        <v/>
      </c>
      <c r="U320" s="58" t="str">
        <f>IF(OR(G320="",G320="NA"),"",IF(G320&gt;S320,S320,IF(G320&lt;0,0,G320)))</f>
        <v/>
      </c>
      <c r="V320" s="696" t="str">
        <f>IF(Y320="","",ROUND(Y320,0))</f>
        <v/>
      </c>
      <c r="W320" s="58">
        <f>IF(T320="",0,70-T320)</f>
        <v>0</v>
      </c>
      <c r="X320" s="58">
        <f>IF(U320="",0,70-U320)</f>
        <v>0</v>
      </c>
      <c r="Y320" s="697" t="str">
        <f>IF(T320="","",IF(OR(U320="",U320=0,U320&gt;T320),T320,70-(W320*70)/X320))</f>
        <v/>
      </c>
      <c r="Z320" s="18"/>
      <c r="AA320" s="243">
        <f>IF(E321&gt;0,O322,IF(AND(E321=0,AE319=1,O322&gt;0,C331&gt;0),C331*O322,O322))</f>
        <v>0</v>
      </c>
      <c r="AB320" s="243">
        <f>IF(E325&gt;0,O326,IF(AND(E325=0,AE319=1,O326&gt;0,C331&gt;0),C331*O326,O326))</f>
        <v>0</v>
      </c>
      <c r="AC320" s="1055">
        <f>IF(E329&gt;0,O330,IF(AND(E329=0,AE319=1,O330&gt;0,C331&gt;0),C331*O330,O330))</f>
        <v>0</v>
      </c>
      <c r="AD320" s="243">
        <f>IF(AND(AE319=0,C331&gt;0),C331*AD328,AD328)</f>
        <v>0</v>
      </c>
      <c r="AE320" s="1041">
        <f>IF(AD323=AD324,1,0)</f>
        <v>1</v>
      </c>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8"/>
      <c r="CY320" s="18"/>
      <c r="CZ320" s="18"/>
      <c r="DA320" s="18"/>
      <c r="DB320" s="18"/>
      <c r="DC320" s="18"/>
      <c r="DD320" s="18"/>
      <c r="DE320" s="18"/>
    </row>
    <row r="321" spans="1:109" ht="15" customHeight="1" x14ac:dyDescent="0.2">
      <c r="B321" s="185" t="s">
        <v>683</v>
      </c>
      <c r="C321" s="1308"/>
      <c r="D321" s="1308"/>
      <c r="E321" s="1558">
        <f>IF(AND(C321&lt;&gt;"",C321&lt;&gt;"NA",C320&lt;&gt;"NA",C320&lt;&gt;""),"ERROR",IF(AND(C321&lt;&gt;"",C321&lt;&gt;"NA",C319&lt;&gt;"",C319&lt;&gt;"NA"),"ERROR",UETable!AV53))</f>
        <v>0</v>
      </c>
      <c r="F321" s="1558"/>
      <c r="G321" s="1556" t="str">
        <f>IF(AND(C321&lt;&gt;"",C321&lt;&gt;"NA",C320&lt;&gt;"NA",C320&lt;&gt;""),"ERROR: Cannot rate ROM and ankylosis.",IF(AND(C321&lt;&gt;"",C321&lt;&gt;"NA",C319&lt;&gt;"",C319&lt;&gt;"NA"),"ERROR: Cannot rate ROM and ankylosis.",""))</f>
        <v/>
      </c>
      <c r="H321" s="1556"/>
      <c r="I321" s="1556"/>
      <c r="J321" s="1556"/>
      <c r="K321" s="1556"/>
      <c r="L321" s="1556"/>
      <c r="M321" s="1556"/>
      <c r="N321" s="1556"/>
      <c r="O321" s="1556"/>
      <c r="P321" s="1373"/>
      <c r="R321" s="1019"/>
      <c r="S321" s="58">
        <v>70</v>
      </c>
      <c r="T321" s="58" t="str">
        <f>IF(OR(C321="",C321="NA"),"",IF(C321&gt;S321,S321,IF(C321&lt;0,0,C321)))</f>
        <v/>
      </c>
      <c r="U321" s="18"/>
      <c r="V321" s="18"/>
      <c r="W321" s="18"/>
      <c r="X321" s="18"/>
      <c r="Y321" s="18"/>
      <c r="Z321" s="18"/>
      <c r="AA321" s="1038"/>
      <c r="AB321" s="1038"/>
      <c r="AC321" s="1038"/>
      <c r="AD321" s="1038"/>
      <c r="AE321" s="1039"/>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row>
    <row r="322" spans="1:109" x14ac:dyDescent="0.2">
      <c r="B322" s="1613"/>
      <c r="C322" s="1614"/>
      <c r="D322" s="1614"/>
      <c r="E322" s="1614"/>
      <c r="F322" s="1614"/>
      <c r="G322" s="1614"/>
      <c r="H322" s="1614"/>
      <c r="I322" s="1614"/>
      <c r="J322" s="1615"/>
      <c r="K322" s="1568" t="s">
        <v>1842</v>
      </c>
      <c r="L322" s="1568"/>
      <c r="M322" s="1568"/>
      <c r="N322" s="1568"/>
      <c r="O322" s="77">
        <f>IF(E321="ERROR","ERROR",IF(R322&gt;1,1,R322))</f>
        <v>0</v>
      </c>
      <c r="P322" s="1373"/>
      <c r="R322" s="243">
        <f>SUM(I319,I320,E321)</f>
        <v>0</v>
      </c>
      <c r="S322" s="18"/>
      <c r="T322" s="18"/>
      <c r="U322" s="18"/>
      <c r="V322" s="18"/>
      <c r="W322" s="18"/>
      <c r="X322" s="18"/>
      <c r="Y322" s="18"/>
      <c r="Z322" s="18"/>
      <c r="AA322" s="1039"/>
      <c r="AB322" s="1039"/>
      <c r="AC322" s="1039"/>
      <c r="AD322" s="1039"/>
      <c r="AE322" s="1039"/>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row>
    <row r="323" spans="1:109" ht="13.5" customHeight="1" x14ac:dyDescent="0.2">
      <c r="B323" s="185" t="s">
        <v>684</v>
      </c>
      <c r="C323" s="1308"/>
      <c r="D323" s="1308"/>
      <c r="E323" s="1558">
        <f>UETable!AV55</f>
        <v>0</v>
      </c>
      <c r="F323" s="1558"/>
      <c r="G323" s="1308"/>
      <c r="H323" s="1308"/>
      <c r="I323" s="1538">
        <f>IF(C323="",0,IF(OR(C323&lt;=0,G323&lt;=0),E323,IF(G323&lt;C323,0,UETable!BA55)))</f>
        <v>0</v>
      </c>
      <c r="J323" s="1538"/>
      <c r="K323" s="1556" t="str">
        <f>IF(OR(C323="NA",G323="NA"),"",IF(AND(C323&lt;&gt;"",G323=""),"Enter contralateral or NA.",IF(AND(C323="",G323&lt;&gt;""),"Need data","")))</f>
        <v/>
      </c>
      <c r="L323" s="1556"/>
      <c r="M323" s="1556"/>
      <c r="N323" s="1556"/>
      <c r="O323" s="1556"/>
      <c r="P323" s="1373"/>
      <c r="R323" s="1019"/>
      <c r="S323" s="58">
        <v>100</v>
      </c>
      <c r="T323" s="58" t="str">
        <f>IF(OR(C323="",C323="NA"),"",IF(C323&gt;S323,S323,IF(C323&lt;0,0,C323)))</f>
        <v/>
      </c>
      <c r="U323" s="58" t="str">
        <f>IF(OR(G323="",G323="NA"),"",IF(G323&gt;S323,S323,IF(G323&lt;0,0,G323)))</f>
        <v/>
      </c>
      <c r="V323" s="696" t="str">
        <f>IF(Y323="","",ROUND(Y323,0))</f>
        <v/>
      </c>
      <c r="W323" s="1410" t="s">
        <v>1203</v>
      </c>
      <c r="X323" s="1410"/>
      <c r="Y323" s="697" t="str">
        <f>IF(T323="","",IF(OR(U323="",U323=0,U323&lt;T323),T323,(T323*100)/U323))</f>
        <v/>
      </c>
      <c r="Z323" s="18"/>
      <c r="AA323" s="242">
        <f>E321</f>
        <v>0</v>
      </c>
      <c r="AB323" s="242">
        <f>E325</f>
        <v>0</v>
      </c>
      <c r="AC323" s="242">
        <f>E329</f>
        <v>0</v>
      </c>
      <c r="AD323" s="1041">
        <f>COUNTIF(AA323:AC323,"&gt;0")</f>
        <v>0</v>
      </c>
      <c r="AE323" s="1039"/>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row>
    <row r="324" spans="1:109" ht="13.5" customHeight="1" x14ac:dyDescent="0.2">
      <c r="B324" s="185" t="s">
        <v>685</v>
      </c>
      <c r="C324" s="1308"/>
      <c r="D324" s="1308"/>
      <c r="E324" s="1558">
        <f>UETable!AV56</f>
        <v>0</v>
      </c>
      <c r="F324" s="1558"/>
      <c r="G324" s="1308"/>
      <c r="H324" s="1308"/>
      <c r="I324" s="1538">
        <f>IF(C324="",0,IF(OR(C324&gt;=100,G324&gt;=100),E324,IF(G324&gt;C324,0,UETable!BA56)))</f>
        <v>0</v>
      </c>
      <c r="J324" s="1538"/>
      <c r="K324" s="1556" t="str">
        <f>IF(OR(C324="NA",G324="NA"),"",IF(AND(C324&lt;&gt;"",G324=""),"Enter contralateral or NA.",IF(AND(C324="",G324&lt;&gt;""),"Need data","")))</f>
        <v/>
      </c>
      <c r="L324" s="1556"/>
      <c r="M324" s="1556"/>
      <c r="N324" s="1556"/>
      <c r="O324" s="1556"/>
      <c r="P324" s="1373"/>
      <c r="S324" s="58">
        <v>100</v>
      </c>
      <c r="T324" s="58" t="str">
        <f>IF(OR(C324="",C324="NA"),"",IF(C324&gt;S324,S324,IF(C324&lt;0,0,C324)))</f>
        <v/>
      </c>
      <c r="U324" s="58" t="str">
        <f>IF(OR(G324="",G324="NA"),"",IF(G324&gt;S324,S324,IF(G324&lt;0,0,G324)))</f>
        <v/>
      </c>
      <c r="V324" s="696" t="str">
        <f>IF(Y324="","",ROUND(Y324,0))</f>
        <v/>
      </c>
      <c r="W324" s="58">
        <f>IF(T324="",0,100-T324)</f>
        <v>0</v>
      </c>
      <c r="X324" s="58">
        <f>IF(U324="",0,100-U324)</f>
        <v>0</v>
      </c>
      <c r="Y324" s="697" t="str">
        <f>IF(T324="","",IF(OR(U324="",U324=0,U324&gt;T324),T324,100-(W324*100)/X324))</f>
        <v/>
      </c>
      <c r="Z324" s="18"/>
      <c r="AA324" s="242">
        <f>O322</f>
        <v>0</v>
      </c>
      <c r="AB324" s="242">
        <f>O326</f>
        <v>0</v>
      </c>
      <c r="AC324" s="242">
        <f>O330</f>
        <v>0</v>
      </c>
      <c r="AD324" s="1041">
        <f>COUNTIF(AA324:AC324,"&gt;0")</f>
        <v>0</v>
      </c>
      <c r="AE324" s="1039"/>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row>
    <row r="325" spans="1:109" ht="15" customHeight="1" x14ac:dyDescent="0.2">
      <c r="B325" s="185" t="s">
        <v>686</v>
      </c>
      <c r="C325" s="1308"/>
      <c r="D325" s="1308"/>
      <c r="E325" s="1558">
        <f>IF(AND(C325&lt;&gt;"",C325&lt;&gt;"NA",C324&lt;&gt;"NA",C324&lt;&gt;""),"ERROR",IF(AND(C325&lt;&gt;"",C325&lt;&gt;"NA",C323&lt;&gt;"",C323&lt;&gt;"NA"),"ERROR",UETable!AV57))</f>
        <v>0</v>
      </c>
      <c r="F325" s="1558"/>
      <c r="G325" s="1556" t="str">
        <f>IF(AND(C325&lt;&gt;"",C325&lt;&gt;"NA",C324&lt;&gt;"NA",C324&lt;&gt;""),"ERROR: Cannot rate ROM and ankylosis.",IF(AND(C325&lt;&gt;"",C325&lt;&gt;"NA",C323&lt;&gt;"",C323&lt;&gt;"NA"),"ERROR: Cannot rate ROM and ankylosis.",""))</f>
        <v/>
      </c>
      <c r="H325" s="1556"/>
      <c r="I325" s="1556"/>
      <c r="J325" s="1556"/>
      <c r="K325" s="1556"/>
      <c r="L325" s="1556"/>
      <c r="M325" s="1556"/>
      <c r="N325" s="1556"/>
      <c r="O325" s="1556"/>
      <c r="P325" s="1373"/>
      <c r="R325" s="18"/>
      <c r="S325" s="58">
        <v>100</v>
      </c>
      <c r="T325" s="710" t="str">
        <f>IF(OR(C325="",C325="NA"),"",IF(C325&gt;S325,S325,IF(C325&lt;0,0,C325)))</f>
        <v/>
      </c>
      <c r="U325" s="18"/>
      <c r="V325" s="18"/>
      <c r="W325" s="18"/>
      <c r="X325" s="18"/>
      <c r="Y325" s="18"/>
      <c r="Z325" s="18"/>
      <c r="AA325" s="1039"/>
      <c r="AB325" s="1039"/>
      <c r="AC325" s="1039"/>
      <c r="AD325" s="1039"/>
      <c r="AE325" s="1039"/>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row>
    <row r="326" spans="1:109" x14ac:dyDescent="0.2">
      <c r="B326" s="1613"/>
      <c r="C326" s="1614"/>
      <c r="D326" s="1614"/>
      <c r="E326" s="1614"/>
      <c r="F326" s="1614"/>
      <c r="G326" s="1614"/>
      <c r="H326" s="1614"/>
      <c r="I326" s="1614"/>
      <c r="J326" s="1615"/>
      <c r="K326" s="1568" t="s">
        <v>1842</v>
      </c>
      <c r="L326" s="1568"/>
      <c r="M326" s="1568"/>
      <c r="N326" s="1568"/>
      <c r="O326" s="77">
        <f>IF(E325="ERROR","ERROR",IF(R326&gt;1,1,R326))</f>
        <v>0</v>
      </c>
      <c r="P326" s="1373"/>
      <c r="R326" s="243">
        <f>SUM(I323,I324,E325)</f>
        <v>0</v>
      </c>
      <c r="S326" s="18"/>
      <c r="T326" s="712"/>
      <c r="U326" s="712"/>
      <c r="V326" s="712"/>
      <c r="W326" s="712"/>
      <c r="X326" s="712"/>
      <c r="Y326" s="18"/>
      <c r="Z326" s="18"/>
      <c r="AA326" s="1044" t="s">
        <v>1307</v>
      </c>
      <c r="AB326" s="1044" t="s">
        <v>1305</v>
      </c>
      <c r="AC326" s="1037" t="s">
        <v>1306</v>
      </c>
      <c r="AD326" s="1037" t="s">
        <v>1307</v>
      </c>
      <c r="AE326" s="1039"/>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row>
    <row r="327" spans="1:109" ht="13.5" customHeight="1" x14ac:dyDescent="0.2">
      <c r="B327" s="185" t="s">
        <v>1578</v>
      </c>
      <c r="C327" s="1308"/>
      <c r="D327" s="1308"/>
      <c r="E327" s="1558">
        <f>UETable!AV59</f>
        <v>0</v>
      </c>
      <c r="F327" s="1558"/>
      <c r="G327" s="1308"/>
      <c r="H327" s="1308"/>
      <c r="I327" s="1538">
        <f>IF(C327="",0,IF(OR(C327&lt;=0,G327&lt;=0),E327,IF(G327&lt;C327,0,UETable!BA59)))</f>
        <v>0</v>
      </c>
      <c r="J327" s="1538"/>
      <c r="K327" s="1556" t="str">
        <f>IF(OR(C327="NA",G327="NA"),"",IF(AND(C327&lt;&gt;"",G327=""),"Enter contralateral or NA.",IF(AND(C327="",G327&lt;&gt;""),"Need data","")))</f>
        <v/>
      </c>
      <c r="L327" s="1556"/>
      <c r="M327" s="1556"/>
      <c r="N327" s="1556"/>
      <c r="O327" s="1556"/>
      <c r="P327" s="1373"/>
      <c r="R327" s="1025"/>
      <c r="S327" s="1024">
        <v>90</v>
      </c>
      <c r="T327" s="710" t="str">
        <f>IF(OR(C327="",C327="NA"),"",IF(C327&gt;S327,S327,IF(C327&lt;0,0,C327)))</f>
        <v/>
      </c>
      <c r="U327" s="710" t="str">
        <f>IF(OR(G327="",G327="NA"),"",IF(G327&gt;S327,S327,IF(G327&lt;0,0,G327)))</f>
        <v/>
      </c>
      <c r="V327" s="696" t="str">
        <f>IF(Y327="","",ROUND(Y327,0))</f>
        <v/>
      </c>
      <c r="W327" s="1410" t="s">
        <v>1203</v>
      </c>
      <c r="X327" s="1410"/>
      <c r="Y327" s="697" t="str">
        <f>IF(T327="","",IF(OR(U327="",U327=0,U327&lt;T327),T327,(T327*90)/U327))</f>
        <v/>
      </c>
      <c r="Z327" s="18"/>
      <c r="AA327" s="1040">
        <f>IF(AND(AA320&gt;0,AA320&lt;0.01),0.01,ROUND(AA320,2))</f>
        <v>0</v>
      </c>
      <c r="AB327" s="1042">
        <f>LARGE(AA327:AA329,1)</f>
        <v>0</v>
      </c>
      <c r="AC327" s="1040">
        <f>AB327+AB328*(1-AB327)</f>
        <v>0</v>
      </c>
      <c r="AD327" s="1040">
        <f>ROUND(AC327,2)</f>
        <v>0</v>
      </c>
      <c r="AE327" s="1039"/>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row>
    <row r="328" spans="1:109" ht="13.5" customHeight="1" x14ac:dyDescent="0.2">
      <c r="B328" s="185" t="s">
        <v>1579</v>
      </c>
      <c r="C328" s="1308"/>
      <c r="D328" s="1308"/>
      <c r="E328" s="1558">
        <f>UETable!AV60</f>
        <v>0</v>
      </c>
      <c r="F328" s="1558"/>
      <c r="G328" s="1308"/>
      <c r="H328" s="1308"/>
      <c r="I328" s="1538">
        <f>IF(C328="",0,IF(OR(C328&gt;=90,G328&gt;=90),E328,IF(G328&gt;C328,0,UETable!BA60)))</f>
        <v>0</v>
      </c>
      <c r="J328" s="1538"/>
      <c r="K328" s="1556" t="str">
        <f>IF(OR(C328="NA",G328="NA"),"",IF(AND(C328&lt;&gt;"",G328=""),"Enter contralateral or NA.",IF(AND(C328="",G328&lt;&gt;""),"Need data","")))</f>
        <v/>
      </c>
      <c r="L328" s="1556"/>
      <c r="M328" s="1556"/>
      <c r="N328" s="1556"/>
      <c r="O328" s="1556"/>
      <c r="P328" s="1373"/>
      <c r="R328" s="1025"/>
      <c r="S328" s="1024">
        <v>90</v>
      </c>
      <c r="T328" s="340" t="str">
        <f>IF(OR(C328="",C328="NA"),"",IF(C328&gt;S328,S328,IF(C328&lt;0,0,C328)))</f>
        <v/>
      </c>
      <c r="U328" s="58" t="str">
        <f>IF(OR(G328="",G328="NA"),"",IF(G328&gt;S328,S328,IF(G328&lt;0,0,G328)))</f>
        <v/>
      </c>
      <c r="V328" s="696" t="str">
        <f>IF(Y328="","",ROUND(Y328,0))</f>
        <v/>
      </c>
      <c r="W328" s="58">
        <f>IF(T328="",0,90-T328)</f>
        <v>0</v>
      </c>
      <c r="X328" s="58">
        <f>IF(U328="",0,90-U328)</f>
        <v>0</v>
      </c>
      <c r="Y328" s="697" t="str">
        <f>IF(T328="","",IF(OR(U328="",U328=0,U328&gt;T328),T328,90-(W328*90)/X328))</f>
        <v/>
      </c>
      <c r="Z328" s="18"/>
      <c r="AA328" s="1040">
        <f>IF(AND(AB320&gt;0,AB320&lt;0.01),0.01,ROUND(AB320,2))</f>
        <v>0</v>
      </c>
      <c r="AB328" s="1042">
        <f>LARGE(AA327:AA329,2)</f>
        <v>0</v>
      </c>
      <c r="AC328" s="684">
        <f>AD327+AB329*(1-AD327)</f>
        <v>0</v>
      </c>
      <c r="AD328" s="1040">
        <f>ROUND(AC328,2)</f>
        <v>0</v>
      </c>
      <c r="AE328" s="1039"/>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row>
    <row r="329" spans="1:109" ht="15" customHeight="1" x14ac:dyDescent="0.2">
      <c r="B329" s="185" t="s">
        <v>643</v>
      </c>
      <c r="C329" s="1308"/>
      <c r="D329" s="1308"/>
      <c r="E329" s="1558">
        <f>IF(AND(C329&lt;&gt;"",C329&lt;&gt;"NA",C328&lt;&gt;"NA",C328&lt;&gt;""),"ERROR",IF(AND(C329&lt;&gt;"",C329&lt;&gt;"NA",C327&lt;&gt;"",C327&lt;&gt;"NA"),"ERROR",UETable!AV61))</f>
        <v>0</v>
      </c>
      <c r="F329" s="1558"/>
      <c r="G329" s="1556" t="str">
        <f>IF(AND(C329&lt;&gt;"",C329&lt;&gt;"NA",C328&lt;&gt;"NA",C328&lt;&gt;""),"ERROR: Cannot rate ROM and ankylosis.",IF(AND(C329&lt;&gt;"",C329&lt;&gt;"NA",C327&lt;&gt;"",C327&lt;&gt;"NA"),"ERROR: Cannot rate ROM and ankylosis.",""))</f>
        <v/>
      </c>
      <c r="H329" s="1556"/>
      <c r="I329" s="1556"/>
      <c r="J329" s="1556"/>
      <c r="K329" s="1556"/>
      <c r="L329" s="1556"/>
      <c r="M329" s="1556"/>
      <c r="N329" s="1556"/>
      <c r="O329" s="1556"/>
      <c r="P329" s="1373"/>
      <c r="R329" s="1024">
        <f>IF(OR(O322="ERROR",O326="ERROR",O330="ERROR"),1,0)</f>
        <v>0</v>
      </c>
      <c r="S329" s="58">
        <v>90</v>
      </c>
      <c r="T329" s="58" t="str">
        <f>IF(OR(C329="",C329="NA"),"",IF(C329&gt;S329,S329,IF(C329&lt;0,0,C329)))</f>
        <v/>
      </c>
      <c r="U329" s="18"/>
      <c r="V329" s="18"/>
      <c r="W329" s="18"/>
      <c r="X329" s="18"/>
      <c r="Y329" s="18"/>
      <c r="Z329" s="18"/>
      <c r="AA329" s="1040">
        <f>IF(AND(AC320&gt;0,AC320&lt;0.01),0.01,ROUND(AC320,2))</f>
        <v>0</v>
      </c>
      <c r="AB329" s="1042">
        <f>LARGE(AA327:AA329,3)</f>
        <v>0</v>
      </c>
      <c r="AC329" s="1038"/>
      <c r="AD329" s="1038"/>
      <c r="AE329" s="1039"/>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row>
    <row r="330" spans="1:109" ht="12.75" customHeight="1" x14ac:dyDescent="0.2">
      <c r="B330" s="1045"/>
      <c r="C330" s="1046"/>
      <c r="D330" s="1046"/>
      <c r="E330" s="1796" t="str">
        <f>IF(AND(OR(E321&gt;0,E325&gt;0,E329&gt;0),C331&gt;0),"Note: Ankylosis is not apportioned.","")</f>
        <v/>
      </c>
      <c r="F330" s="1796"/>
      <c r="G330" s="1796"/>
      <c r="H330" s="1796"/>
      <c r="I330" s="1796"/>
      <c r="J330" s="1568" t="s">
        <v>1842</v>
      </c>
      <c r="K330" s="1568"/>
      <c r="L330" s="1568"/>
      <c r="M330" s="1568"/>
      <c r="N330" s="1568"/>
      <c r="O330" s="77">
        <f>IF(E329="ERROR","ERROR",IF(R330&gt;1,1,R330))</f>
        <v>0</v>
      </c>
      <c r="P330" s="1373"/>
      <c r="R330" s="243">
        <f>SUM(I327,I328,E329)</f>
        <v>0</v>
      </c>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row>
    <row r="331" spans="1:109" ht="18" customHeight="1" x14ac:dyDescent="0.2">
      <c r="B331" s="1043" t="s">
        <v>2259</v>
      </c>
      <c r="C331" s="1544"/>
      <c r="D331" s="1577"/>
      <c r="E331" s="1796"/>
      <c r="F331" s="1796"/>
      <c r="G331" s="1796"/>
      <c r="H331" s="1796"/>
      <c r="I331" s="1796"/>
      <c r="J331" s="1568" t="s">
        <v>1670</v>
      </c>
      <c r="K331" s="1568"/>
      <c r="L331" s="1568"/>
      <c r="M331" s="1568"/>
      <c r="N331" s="1568"/>
      <c r="O331" s="1568"/>
      <c r="P331" s="1373"/>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row>
    <row r="332" spans="1:109" ht="12" customHeight="1" x14ac:dyDescent="0.2">
      <c r="B332" s="1395"/>
      <c r="C332" s="1395"/>
      <c r="D332" s="1395"/>
      <c r="E332" s="1395"/>
      <c r="F332" s="1395"/>
      <c r="G332" s="1395"/>
      <c r="H332" s="1395"/>
      <c r="I332" s="1395"/>
      <c r="J332" s="1395"/>
      <c r="K332" s="1395"/>
      <c r="L332" s="1395"/>
      <c r="M332" s="1395"/>
      <c r="N332" s="1395"/>
      <c r="O332" s="1395"/>
      <c r="P332" s="182"/>
      <c r="R332" s="18"/>
      <c r="S332" s="1487" t="s">
        <v>2197</v>
      </c>
      <c r="T332" s="1487"/>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8"/>
      <c r="CY332" s="18"/>
      <c r="CZ332" s="18"/>
      <c r="DA332" s="18"/>
      <c r="DB332" s="18"/>
      <c r="DC332" s="18"/>
      <c r="DD332" s="18"/>
      <c r="DE332" s="18"/>
    </row>
    <row r="333" spans="1:109" ht="14.25" customHeight="1" x14ac:dyDescent="0.2">
      <c r="A333" s="189"/>
      <c r="B333" s="1581" t="s">
        <v>971</v>
      </c>
      <c r="C333" s="1582"/>
      <c r="D333" s="1543"/>
      <c r="E333" s="1543"/>
      <c r="F333" s="1587" t="s">
        <v>1229</v>
      </c>
      <c r="G333" s="1587"/>
      <c r="H333" s="1587"/>
      <c r="I333" s="1587"/>
      <c r="J333" s="1587"/>
      <c r="K333" s="1587"/>
      <c r="L333" s="1587"/>
      <c r="M333" s="1587"/>
      <c r="N333" s="1587"/>
      <c r="O333" s="1587"/>
      <c r="P333" s="95">
        <f>IF(T333=1,0.1,0)</f>
        <v>0</v>
      </c>
      <c r="R333" s="18"/>
      <c r="S333" s="686" t="b">
        <v>0</v>
      </c>
      <c r="T333" s="58">
        <f>IF(S333=TRUE,1,0)</f>
        <v>0</v>
      </c>
      <c r="W333" s="18"/>
      <c r="X333" s="18"/>
      <c r="Y333" s="18"/>
      <c r="Z333" s="18"/>
      <c r="AA333" s="18"/>
      <c r="AB333" s="18"/>
      <c r="AC333" s="18"/>
      <c r="AD333" s="18"/>
      <c r="AE333" s="18"/>
      <c r="AF333" s="18"/>
      <c r="AG333" s="18">
        <v>1E-4</v>
      </c>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row>
    <row r="334" spans="1:109" x14ac:dyDescent="0.2">
      <c r="B334" s="1583"/>
      <c r="C334" s="1584"/>
      <c r="D334" s="1543"/>
      <c r="E334" s="1543"/>
      <c r="F334" s="1587" t="s">
        <v>1231</v>
      </c>
      <c r="G334" s="1587"/>
      <c r="H334" s="1587"/>
      <c r="I334" s="1587"/>
      <c r="J334" s="1587"/>
      <c r="K334" s="1587"/>
      <c r="L334" s="1587"/>
      <c r="M334" s="1587"/>
      <c r="N334" s="1587"/>
      <c r="O334" s="1587"/>
      <c r="P334" s="95">
        <f>IF(T334=1,0.1,0)</f>
        <v>0</v>
      </c>
      <c r="R334" s="18"/>
      <c r="S334" s="686" t="b">
        <v>0</v>
      </c>
      <c r="T334" s="58">
        <f>IF(S334=TRUE,1,0)</f>
        <v>0</v>
      </c>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row>
    <row r="335" spans="1:109" x14ac:dyDescent="0.2">
      <c r="B335" s="1583"/>
      <c r="C335" s="1584"/>
      <c r="D335" s="1543"/>
      <c r="E335" s="1543"/>
      <c r="F335" s="1587" t="s">
        <v>1230</v>
      </c>
      <c r="G335" s="1587"/>
      <c r="H335" s="1587"/>
      <c r="I335" s="1587"/>
      <c r="J335" s="1587"/>
      <c r="K335" s="1587"/>
      <c r="L335" s="1587"/>
      <c r="M335" s="1587"/>
      <c r="N335" s="1587"/>
      <c r="O335" s="1587"/>
      <c r="P335" s="95">
        <f>IF(T335=1,0.1,0)</f>
        <v>0</v>
      </c>
      <c r="R335" s="18"/>
      <c r="S335" s="686" t="b">
        <v>0</v>
      </c>
      <c r="T335" s="58">
        <f>IF(S335=TRUE,1,0)</f>
        <v>0</v>
      </c>
      <c r="U335" s="164"/>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row>
    <row r="336" spans="1:109" x14ac:dyDescent="0.2">
      <c r="B336" s="1585"/>
      <c r="C336" s="1586"/>
      <c r="D336" s="1543"/>
      <c r="E336" s="1543"/>
      <c r="F336" s="1587" t="s">
        <v>1232</v>
      </c>
      <c r="G336" s="1587"/>
      <c r="H336" s="1587"/>
      <c r="I336" s="1587"/>
      <c r="J336" s="1587"/>
      <c r="K336" s="1587"/>
      <c r="L336" s="1587"/>
      <c r="M336" s="1587"/>
      <c r="N336" s="1587"/>
      <c r="O336" s="1587"/>
      <c r="P336" s="95">
        <f>IF(T336=1,0.1,0)</f>
        <v>0</v>
      </c>
      <c r="R336" s="18"/>
      <c r="S336" s="686" t="b">
        <v>0</v>
      </c>
      <c r="T336" s="58">
        <f>IF(S336=TRUE,1,0)</f>
        <v>0</v>
      </c>
      <c r="U336" s="164"/>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row>
    <row r="337" spans="2:109" ht="12" customHeight="1" x14ac:dyDescent="0.2">
      <c r="B337" s="1395"/>
      <c r="C337" s="1395"/>
      <c r="D337" s="1395"/>
      <c r="E337" s="1395"/>
      <c r="F337" s="1395"/>
      <c r="G337" s="1395"/>
      <c r="H337" s="1395"/>
      <c r="I337" s="1395"/>
      <c r="J337" s="1395"/>
      <c r="K337" s="1395"/>
      <c r="L337" s="1395"/>
      <c r="M337" s="1395"/>
      <c r="N337" s="1395"/>
      <c r="O337" s="1395"/>
      <c r="P337" s="182"/>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row>
    <row r="338" spans="2:109" ht="12" customHeight="1" x14ac:dyDescent="0.2">
      <c r="B338" s="604"/>
      <c r="C338" s="1607" t="s">
        <v>248</v>
      </c>
      <c r="D338" s="1597"/>
      <c r="E338" s="1596" t="s">
        <v>249</v>
      </c>
      <c r="F338" s="1597"/>
      <c r="G338" s="434"/>
      <c r="H338" s="436"/>
      <c r="I338" s="1625" t="s">
        <v>250</v>
      </c>
      <c r="J338" s="1597"/>
      <c r="K338" s="595"/>
      <c r="L338" s="436"/>
      <c r="M338" s="1596" t="s">
        <v>249</v>
      </c>
      <c r="N338" s="1597"/>
      <c r="O338" s="435"/>
      <c r="P338" s="611"/>
      <c r="Z338" s="601"/>
      <c r="AE338" s="600"/>
      <c r="AF338" s="600"/>
      <c r="AG338" s="600"/>
      <c r="AH338" s="600"/>
      <c r="AI338" s="600"/>
      <c r="AJ338" s="600"/>
      <c r="AK338" s="600"/>
      <c r="AL338" s="600"/>
      <c r="AM338" s="600"/>
      <c r="AN338" s="600"/>
    </row>
    <row r="339" spans="2:109" ht="12" customHeight="1" x14ac:dyDescent="0.2">
      <c r="B339" s="605"/>
      <c r="C339" s="1610" t="s">
        <v>251</v>
      </c>
      <c r="D339" s="1580"/>
      <c r="E339" s="1610" t="s">
        <v>252</v>
      </c>
      <c r="F339" s="1580"/>
      <c r="G339" s="1610" t="s">
        <v>253</v>
      </c>
      <c r="H339" s="1580"/>
      <c r="I339" s="1579" t="s">
        <v>254</v>
      </c>
      <c r="J339" s="1580"/>
      <c r="K339" s="1610" t="s">
        <v>255</v>
      </c>
      <c r="L339" s="1580"/>
      <c r="M339" s="1610" t="s">
        <v>256</v>
      </c>
      <c r="N339" s="1580"/>
      <c r="O339" s="3"/>
      <c r="P339" s="612"/>
      <c r="Z339" s="418"/>
      <c r="AE339" s="600"/>
      <c r="AF339" s="600"/>
      <c r="AG339" s="600"/>
      <c r="AH339" s="600"/>
      <c r="AI339" s="600"/>
      <c r="AJ339" s="600"/>
      <c r="AK339" s="600"/>
      <c r="AL339" s="600"/>
      <c r="AM339" s="600"/>
      <c r="AN339" s="600"/>
    </row>
    <row r="340" spans="2:109" ht="12" customHeight="1" x14ac:dyDescent="0.2">
      <c r="B340" s="605"/>
      <c r="C340" s="1552" t="s">
        <v>257</v>
      </c>
      <c r="D340" s="1553"/>
      <c r="E340" s="1552" t="s">
        <v>258</v>
      </c>
      <c r="F340" s="1553"/>
      <c r="G340" s="1552" t="s">
        <v>259</v>
      </c>
      <c r="H340" s="1553"/>
      <c r="I340" s="1635" t="s">
        <v>260</v>
      </c>
      <c r="J340" s="1553"/>
      <c r="K340" s="1552" t="s">
        <v>259</v>
      </c>
      <c r="L340" s="1553"/>
      <c r="M340" s="1552" t="s">
        <v>258</v>
      </c>
      <c r="N340" s="1553"/>
      <c r="O340" s="3"/>
      <c r="P340" s="612"/>
      <c r="AH340" s="783">
        <v>1</v>
      </c>
      <c r="AI340" s="783">
        <v>2</v>
      </c>
      <c r="AJ340" s="783">
        <v>3</v>
      </c>
      <c r="AK340" s="783">
        <v>4</v>
      </c>
      <c r="AM340" s="600"/>
      <c r="AN340" s="600"/>
      <c r="AO340" s="600"/>
      <c r="AP340" s="600"/>
      <c r="AQ340" s="600"/>
      <c r="AR340" s="600"/>
      <c r="AS340" s="600"/>
      <c r="AT340" s="600"/>
      <c r="AU340" s="600"/>
      <c r="AV340" s="600"/>
    </row>
    <row r="341" spans="2:109" ht="12" customHeight="1" x14ac:dyDescent="0.2">
      <c r="B341" s="679" t="s">
        <v>1986</v>
      </c>
      <c r="C341" s="1608" t="s">
        <v>261</v>
      </c>
      <c r="D341" s="1609"/>
      <c r="E341" s="1608" t="s">
        <v>261</v>
      </c>
      <c r="F341" s="1609"/>
      <c r="G341" s="1608" t="s">
        <v>261</v>
      </c>
      <c r="H341" s="1609"/>
      <c r="I341" s="1608" t="s">
        <v>261</v>
      </c>
      <c r="J341" s="1609"/>
      <c r="K341" s="1608" t="s">
        <v>261</v>
      </c>
      <c r="L341" s="1609"/>
      <c r="M341" s="1608" t="s">
        <v>261</v>
      </c>
      <c r="N341" s="1609"/>
      <c r="O341" s="3"/>
      <c r="P341" s="612"/>
      <c r="S341" s="1516" t="s">
        <v>2197</v>
      </c>
      <c r="T341" s="1517"/>
      <c r="U341" s="1517"/>
      <c r="V341" s="1517"/>
      <c r="W341" s="1517"/>
      <c r="X341" s="1518"/>
      <c r="Y341" s="599"/>
      <c r="Z341" s="599"/>
      <c r="AA341" s="1562" t="s">
        <v>2197</v>
      </c>
      <c r="AB341" s="1563"/>
      <c r="AC341" s="1563"/>
      <c r="AD341" s="1563"/>
      <c r="AE341" s="1563"/>
      <c r="AF341" s="1564"/>
      <c r="AG341" s="599"/>
      <c r="AH341" s="1519" t="s">
        <v>2197</v>
      </c>
      <c r="AI341" s="1520"/>
      <c r="AJ341" s="1520"/>
      <c r="AK341" s="1520"/>
      <c r="AL341" s="1520"/>
      <c r="AM341" s="1521"/>
      <c r="AO341" s="1516" t="s">
        <v>2197</v>
      </c>
      <c r="AP341" s="1517"/>
      <c r="AQ341" s="1517"/>
      <c r="AR341" s="1517"/>
      <c r="AS341" s="1518"/>
      <c r="AU341" s="1516" t="s">
        <v>2197</v>
      </c>
      <c r="AV341" s="1517"/>
      <c r="AW341" s="1517"/>
      <c r="AX341" s="1518"/>
      <c r="AZ341" s="1516" t="s">
        <v>2197</v>
      </c>
      <c r="BA341" s="1517"/>
      <c r="BB341" s="1517"/>
      <c r="BC341" s="1517"/>
      <c r="BD341" s="1517"/>
      <c r="BE341" s="1517"/>
      <c r="BF341" s="1517"/>
      <c r="BG341" s="1518"/>
      <c r="BI341" s="1516" t="s">
        <v>2197</v>
      </c>
      <c r="BJ341" s="1517"/>
      <c r="BK341" s="1517"/>
      <c r="BL341" s="1517"/>
      <c r="BM341" s="1517"/>
      <c r="BN341" s="1518"/>
    </row>
    <row r="342" spans="2:109" s="419" customFormat="1" ht="15" customHeight="1" x14ac:dyDescent="0.2">
      <c r="B342" s="185" t="s">
        <v>1603</v>
      </c>
      <c r="C342" s="1554"/>
      <c r="D342" s="1554"/>
      <c r="E342" s="1554"/>
      <c r="F342" s="1554"/>
      <c r="G342" s="1554"/>
      <c r="H342" s="1554"/>
      <c r="I342" s="1554"/>
      <c r="J342" s="1554"/>
      <c r="K342" s="1554"/>
      <c r="L342" s="1554"/>
      <c r="M342" s="1554"/>
      <c r="N342" s="1554"/>
      <c r="O342" s="613"/>
      <c r="P342" s="614"/>
      <c r="S342" s="369">
        <f>IF(C342="",0,C342)</f>
        <v>0</v>
      </c>
      <c r="T342" s="369">
        <f>IF(E342&lt;&gt;"",E342,IF(S342&gt;0,S342,0))</f>
        <v>0</v>
      </c>
      <c r="U342" s="369">
        <f>IF(G342&lt;&gt;"",G342,IF(T342&gt;0,T342,0))</f>
        <v>0</v>
      </c>
      <c r="V342" s="369">
        <f>IF(I342&lt;&gt;"",I342,IF(U342&gt;0,U342,0))</f>
        <v>0</v>
      </c>
      <c r="W342" s="369">
        <f>IF(K342&lt;&gt;"",K342,IF(V342&gt;0,V342,0))</f>
        <v>0</v>
      </c>
      <c r="X342" s="369">
        <f>IF(M342&lt;&gt;"",M342,IF(W342&gt;0,W342,0))</f>
        <v>0</v>
      </c>
      <c r="Z342" s="599"/>
      <c r="AA342" s="607">
        <f>IF(C342&gt;1,1,0)</f>
        <v>0</v>
      </c>
      <c r="AB342" s="369">
        <f t="shared" ref="AB342:AF344" si="44">IF(AND(S342&lt;&gt;T342,T342&gt;0),1,0)</f>
        <v>0</v>
      </c>
      <c r="AC342" s="369">
        <f t="shared" si="44"/>
        <v>0</v>
      </c>
      <c r="AD342" s="369">
        <f t="shared" si="44"/>
        <v>0</v>
      </c>
      <c r="AE342" s="369">
        <f t="shared" si="44"/>
        <v>0</v>
      </c>
      <c r="AF342" s="369">
        <f t="shared" si="44"/>
        <v>0</v>
      </c>
      <c r="AH342" s="602">
        <f>IF(S342=1,0,IF(S342=2,0.25,IF(S342=3,0.38,IF(S342=4,0.5,0))))</f>
        <v>0</v>
      </c>
      <c r="AI342" s="602">
        <f>IF(T342=1,0,IF(T342=2,0.23,IF(T342=3,0.35,IF(T342=4,0.45,0))))</f>
        <v>0</v>
      </c>
      <c r="AJ342" s="602">
        <f>IF(U342=1,0,IF(U342=2,0.2,IF(U342=3,0.3,IF(U342=4,0.39,0))))</f>
        <v>0</v>
      </c>
      <c r="AK342" s="602">
        <f>IF(V342=1,0,IF(V342=2,0.17,IF(V342=3,0.25,IF(V342=4,0.33,0))))</f>
        <v>0</v>
      </c>
      <c r="AL342" s="602">
        <f>IF(W342=1,0,IF(W342=2,0.13,IF(W342=3,0.19,IF(W342=4,0.24,0))))</f>
        <v>0</v>
      </c>
      <c r="AM342" s="602">
        <f>IF(X342=1,0,IF(X342=2,0.08,IF(X342=3,0.12,IF(X342=4,0.15,0))))</f>
        <v>0</v>
      </c>
      <c r="AN342" s="603"/>
      <c r="AO342" s="602">
        <f>IF(S342=1,0,IF(S342=2,0.23,IF(S342=3,0.35,IF(S342=4,0.45,0))))</f>
        <v>0</v>
      </c>
      <c r="AP342" s="602">
        <f>IF(T342=1,0,IF(T342=2,0.2,IF(T342=3,0.3,IF(T342=4,0.39,0))))</f>
        <v>0</v>
      </c>
      <c r="AQ342" s="602">
        <f>IF(U342=1,0,IF(U342=2,0.17,IF(U342=3,0.25,IF(U342=4,0.33,0))))</f>
        <v>0</v>
      </c>
      <c r="AR342" s="602">
        <f>IF(V342=1,0,IF(V342=2,0.13,IF(V342=3,0.19,IF(V342=4,0.24,0))))</f>
        <v>0</v>
      </c>
      <c r="AS342" s="602">
        <f>IF(W342=1,0,IF(W342=2,0.08,IF(W342=3,0.12,IF(W342=4,0.15,0))))</f>
        <v>0</v>
      </c>
      <c r="AU342" s="602">
        <f>IF(S342=1,0,IF(S342=2,0.2,IF(S342=3,0.3,IF(S342=4,0.39,0))))</f>
        <v>0</v>
      </c>
      <c r="AV342" s="602">
        <f>IF(T342=1,0,IF(T342=2,0.17,IF(T342=3,0.25,IF(T342=4,0.33,0))))</f>
        <v>0</v>
      </c>
      <c r="AW342" s="602">
        <f>IF(U342=1,0,IF(U342=2,0.13,IF(U342=3,0.19,IF(U342=4,0.24,0))))</f>
        <v>0</v>
      </c>
      <c r="AX342" s="602">
        <f>IF(V342=1,0,IF(V342=2,0.08,IF(V342=3,0.12,IF(V342=4,0.15,0))))</f>
        <v>0</v>
      </c>
      <c r="AZ342" s="602">
        <f>IF(S342=1,0,IF(S342=2,0.17,IF(S342=3,0.25,IF(S342=4,0.33,0))))</f>
        <v>0</v>
      </c>
      <c r="BA342" s="602">
        <f>IF(T342=1,0,IF(T342=2,0.13,IF(T342=3,0.19,IF(T342=4,0.24,0))))</f>
        <v>0</v>
      </c>
      <c r="BB342" s="602">
        <f>IF(U342=1,0,IF(U342=2,0.08,IF(U342=3,0.12,IF(U342=4,0.15,0))))</f>
        <v>0</v>
      </c>
      <c r="BD342" s="602">
        <f>IF(S342=1,0,IF(S342=2,0.13,IF(S342=3,0.19,IF(S342=4,0.24,0))))</f>
        <v>0</v>
      </c>
      <c r="BE342" s="602">
        <f>IF(T342=1,0,IF(T342=2,0.08,IF(T342=3,0.12,IF(T342=4,0.15,0))))</f>
        <v>0</v>
      </c>
      <c r="BG342" s="602">
        <f>IF(S342=1,0,IF(S342=2,0.08,IF(S342=3,0.12,IF(S342=4,0.15,0))))</f>
        <v>0</v>
      </c>
      <c r="BI342" s="602">
        <f>IF(AA342=0,0,IF(OR(AB342=1,AB343=1,AB344=1),AH342-AO342,IF(OR(AC342=1,AC343=1,AC344=1),AH342-AU342,IF(OR(AD342=1,AD343=1,AD344=1),AH342-AZ342,IF(OR(AE342=1,AE343=1,AE344=1),AH342-BD342,IF(OR(AF342=1,AF343=1,AF344=1),AH342-BG342,AH342))))))</f>
        <v>0</v>
      </c>
      <c r="BJ342" s="602">
        <f>IF(AB342=0,0,IF(OR(AC342=1,AC343=1,AC344=1),AI342-AP342,IF(OR(AD342=1,AD343=1,AD344=1),AI342-AV342,IF(OR(AE342=1,AE343=1,AE344=1),AI342-BA342,IF(OR(AF342=1,AF343=1,AF344=1),AI342-BE342,AI342)))))</f>
        <v>0</v>
      </c>
      <c r="BK342" s="602">
        <f>IF(AC342=0,0,IF(OR(AD342=1,AD343=1,AD344=1),AJ342-AQ342,IF(OR(AE342=1,AE343=1,AE344=1),AJ342-AW342,IF(OR(AF342=1,AF343=1,AF344=1),AJ342-BB342,AJ342))))</f>
        <v>0</v>
      </c>
      <c r="BL342" s="602">
        <f>IF(AD342=0,0,IF(OR(AE342=1,AE343=1,AE344=1),AK342-AR342,IF(OR(AF342=1,AF343=1,AF344=1),AK342-AX342,AK342)))</f>
        <v>0</v>
      </c>
      <c r="BM342" s="602">
        <f>IF(AE342=0,0,IF(OR(AF342=1,AF343=1,AF344=1),AL342-AS342,AL342))</f>
        <v>0</v>
      </c>
      <c r="BN342" s="602">
        <f>IF(AF342=0,0,AM342)</f>
        <v>0</v>
      </c>
      <c r="BP342" s="419" t="s">
        <v>262</v>
      </c>
      <c r="BR342" s="1516" t="s">
        <v>2197</v>
      </c>
      <c r="BS342" s="1517"/>
      <c r="BT342" s="1517"/>
      <c r="BU342" s="1517"/>
      <c r="BV342" s="1517"/>
      <c r="BW342" s="1517"/>
      <c r="BX342" s="1517"/>
      <c r="BY342" s="1517"/>
      <c r="BZ342" s="1517"/>
      <c r="CA342" s="1518"/>
    </row>
    <row r="343" spans="2:109" s="419" customFormat="1" ht="15" customHeight="1" x14ac:dyDescent="0.2">
      <c r="B343" s="369" t="s">
        <v>1604</v>
      </c>
      <c r="C343" s="1554"/>
      <c r="D343" s="1554"/>
      <c r="E343" s="1554"/>
      <c r="F343" s="1554"/>
      <c r="G343" s="1554"/>
      <c r="H343" s="1554"/>
      <c r="I343" s="1554"/>
      <c r="J343" s="1554"/>
      <c r="K343" s="1554"/>
      <c r="L343" s="1554"/>
      <c r="M343" s="1554"/>
      <c r="N343" s="1554"/>
      <c r="O343" s="613"/>
      <c r="P343" s="614"/>
      <c r="S343" s="369">
        <f>IF(C343="",0,C343)</f>
        <v>0</v>
      </c>
      <c r="T343" s="369">
        <f>IF(E343&lt;&gt;"",E343,IF(S343&gt;0,S343,0))</f>
        <v>0</v>
      </c>
      <c r="U343" s="369">
        <f>IF(G343&lt;&gt;"",G343,IF(T343&gt;0,T343,0))</f>
        <v>0</v>
      </c>
      <c r="V343" s="369">
        <f>IF(I343&lt;&gt;"",I343,IF(U343&gt;0,U343,0))</f>
        <v>0</v>
      </c>
      <c r="W343" s="369">
        <f>IF(K343&lt;&gt;"",K343,IF(V343&gt;0,V343,0))</f>
        <v>0</v>
      </c>
      <c r="X343" s="369">
        <f>IF(M343&lt;&gt;"",M343,IF(W343&gt;0,W343,0))</f>
        <v>0</v>
      </c>
      <c r="Z343" s="599"/>
      <c r="AA343" s="607">
        <f>IF(C343&gt;1,1,0)</f>
        <v>0</v>
      </c>
      <c r="AB343" s="369">
        <f t="shared" si="44"/>
        <v>0</v>
      </c>
      <c r="AC343" s="369">
        <f t="shared" si="44"/>
        <v>0</v>
      </c>
      <c r="AD343" s="369">
        <f t="shared" si="44"/>
        <v>0</v>
      </c>
      <c r="AE343" s="369">
        <f t="shared" si="44"/>
        <v>0</v>
      </c>
      <c r="AF343" s="369">
        <f t="shared" si="44"/>
        <v>0</v>
      </c>
      <c r="AH343" s="602">
        <f>IF(S343=1,0,IF(S343=2,0.1,IF(S343=3,0.17,IF(S343=4,0.23,0))))</f>
        <v>0</v>
      </c>
      <c r="AI343" s="602">
        <f>IF(T343=1,0,IF(T343=2,0.09,IF(T343=3,0.15,IF(T343=4,0.2,0))))</f>
        <v>0</v>
      </c>
      <c r="AJ343" s="602">
        <f>IF(U343=1,0,IF(U343=2,0.08,IF(U343=3,0.13,IF(U343=4,0.17,0))))</f>
        <v>0</v>
      </c>
      <c r="AK343" s="602">
        <f>IF(V343=1,0,IF(V343=2,0.07,IF(V343=3,0.1,IF(V343=4,0.14,0))))</f>
        <v>0</v>
      </c>
      <c r="AL343" s="602">
        <f>IF(W343=1,0,IF(W343=2,0.05,IF(W343=3,0.08,IF(W343=4,0.1,0))))</f>
        <v>0</v>
      </c>
      <c r="AM343" s="602">
        <f>IF(X343=1,0,IF(X343=2,0.03,IF(X343=3,0.05,IF(X343=4,0.06,0))))</f>
        <v>0</v>
      </c>
      <c r="AN343" s="603"/>
      <c r="AO343" s="602">
        <f>IF(S343=1,0,IF(S343=2,0.09,IF(S343=3,0.15,IF(S343=4,0.2,0))))</f>
        <v>0</v>
      </c>
      <c r="AP343" s="602">
        <f>IF(T343=1,0,IF(T343=2,0.08,IF(T343=3,0.13,IF(T343=4,0.17,0))))</f>
        <v>0</v>
      </c>
      <c r="AQ343" s="602">
        <f>IF(U343=1,0,IF(U343=2,0.07,IF(U343=3,0.1,IF(U343=4,0.14,0))))</f>
        <v>0</v>
      </c>
      <c r="AR343" s="602">
        <f>IF(V343=1,0,IF(V343=2,0.05,IF(V343=3,0.08,IF(V343=4,0.1,0))))</f>
        <v>0</v>
      </c>
      <c r="AS343" s="602">
        <f>IF(W343=1,0,IF(W343=2,0.03,IF(W343=3,0.05,IF(W343=4,0.06,0))))</f>
        <v>0</v>
      </c>
      <c r="AU343" s="602">
        <f>IF(S343=1,0,IF(S343=2,0.08,IF(S343=3,0.13,IF(S343=4,0.17,0))))</f>
        <v>0</v>
      </c>
      <c r="AV343" s="602">
        <f>IF(T343=1,0,IF(T343=2,0.07,IF(T343=3,0.1,IF(T343=4,0.14,0))))</f>
        <v>0</v>
      </c>
      <c r="AW343" s="602">
        <f>IF(U343=1,0,IF(U343=2,0.05,IF(U343=3,0.08,IF(U343=4,0.1,0))))</f>
        <v>0</v>
      </c>
      <c r="AX343" s="602">
        <f>IF(V343=1,0,IF(V343=2,0.03,IF(V343=3,0.05,IF(V343=4,0.06,0))))</f>
        <v>0</v>
      </c>
      <c r="AZ343" s="602">
        <f>IF(S343=1,0,IF(S343=2,0.07,IF(S343=3,0.1,IF(S343=4,0.14,0))))</f>
        <v>0</v>
      </c>
      <c r="BA343" s="602">
        <f>IF(T343=1,0,IF(T343=2,0.05,IF(T343=3,0.08,IF(T343=4,0.1,0))))</f>
        <v>0</v>
      </c>
      <c r="BB343" s="602">
        <f>IF(U343=1,0,IF(U343=2,0.03,IF(U343=3,0.05,IF(U343=4,0.06,0))))</f>
        <v>0</v>
      </c>
      <c r="BD343" s="602">
        <f>IF(S343=1,0,IF(S343=2,0.05,IF(S343=3,0.08,IF(S343=4,0.1,0))))</f>
        <v>0</v>
      </c>
      <c r="BE343" s="602">
        <f>IF(T343=1,0,IF(T343=2,0.03,IF(T343=3,0.05,IF(T343=4,0.06,0))))</f>
        <v>0</v>
      </c>
      <c r="BG343" s="602">
        <f>IF(S343=1,0,IF(S343=2,0.03,IF(S343=3,0.05,IF(S343=4,0.06,0))))</f>
        <v>0</v>
      </c>
      <c r="BI343" s="602">
        <f>IF(AA343=0,0,IF(OR(AB342=1,AB343=1),AH343-AO343,IF(OR(AC342=1,AC343=1),AH343-AU343,IF(OR(AD342=1,AD343=1),AH343-AZ343,IF(OR(AE342=1,AE343=1),AH343-BD343,IF(OR(AF342=1,AF343=1),AH343-BG343,AH343))))))</f>
        <v>0</v>
      </c>
      <c r="BJ343" s="602">
        <f>IF(AB343=0,0,IF(OR(AC342=1,AC343=1),AI343-AP343,IF(OR(AD342=1,AD343=1),AI343-AV343,IF(OR(AE342=1,AE343=1),AI343-BA343,IF(OR(AF342=1,AF343=1),AI343-BE343,AI343)))))</f>
        <v>0</v>
      </c>
      <c r="BK343" s="602">
        <f>IF(AC343=0,0,IF(OR(AD342=1,AD343=1),AJ343-AQ343,IF(OR(AE342=1,AE343=1),AJ343-AW343,IF(OR(AF342=1,AF343=1),AJ343-BB343,AJ343))))</f>
        <v>0</v>
      </c>
      <c r="BL343" s="602">
        <f>IF(AD343=0,0,IF(OR(AE342=1,AE343=1),AK343-AR343,IF(OR(AF342=1,AF343=1),AK343-AX343,AK343)))</f>
        <v>0</v>
      </c>
      <c r="BM343" s="602">
        <f>IF(AE343=0,0,IF(OR(AF342=1,AF343=1),AL343-AS343,AL343))</f>
        <v>0</v>
      </c>
      <c r="BN343" s="602">
        <f>IF(AF343=0,0,AM343)</f>
        <v>0</v>
      </c>
      <c r="BP343" s="608">
        <f>LARGE((BI342,BJ342,BK342,BL342,BM342,BN342,BI343,BJ343,BK343,BL343,BM343,BN343,BI344,BJ344,BK344,BL344,BM344,BN344),1)</f>
        <v>0</v>
      </c>
      <c r="BQ343" s="609">
        <f>LARGE((BI342,BJ342,BK342,BL342,BM342,BN342,BI343,BJ343,BK343,BL343,BM343,BN343,BI344,BJ344,BK344,BL344,BM344,BN344),2)</f>
        <v>0</v>
      </c>
      <c r="BR343" s="609">
        <f>LARGE((BI342,BJ342,BK342,BL342,BM342,BN342,BI343,BJ343,BK343,BL343,BM343,BN343,BI344,BJ344,BK344,BL344,BM344,BN344),3)</f>
        <v>0</v>
      </c>
      <c r="BS343" s="609">
        <f>LARGE((BI342,BJ342,BK342,BL342,BM342,BN342,BI343,BJ343,BK343,BL343,BM343,BN343,BI344,BJ344,BK344,BL344,BM344,BN344),4)</f>
        <v>0</v>
      </c>
      <c r="BT343" s="609">
        <f>LARGE((BI342,BJ342,BK342,BL342,BM342,BN342,BI343,BJ343,BK343,BL343,BM343,BN343,BI344,BJ344,BK344,BL344,BM344,BN344),5)</f>
        <v>0</v>
      </c>
      <c r="BU343" s="609">
        <f>LARGE((BI342,BJ342,BK342,BL342,BM342,BN342,BI343,BJ343,BK343,BL343,BM343,BN343,BI344,BJ344,BK344,BL344,BM344,BN344),6)</f>
        <v>0</v>
      </c>
      <c r="BV343" s="609">
        <f>LARGE((BI342,BJ342,BK342,BL342,BM342,BN342,BI343,BJ343,BK343,BL343,BM343,BN343,BI344,BJ344,BK344,BL344,BM344,BN344),7)</f>
        <v>0</v>
      </c>
      <c r="BW343" s="609">
        <f>LARGE((BI342,BJ342,BK342,BL342,BM342,BN342,BI343,BJ343,BK343,BL343,BM343,BN343,BI344,BJ344,BK344,BL344,BM344,BN344),8)</f>
        <v>0</v>
      </c>
      <c r="BX343" s="609">
        <f>LARGE((BI342,BJ342,BK342,BL342,BM342,BN342,BI343,BJ343,BK343,BL343,BM343,BN343,BI344,BJ344,BK344,BL344,BM344,BN344),9)</f>
        <v>0</v>
      </c>
      <c r="BY343" s="609">
        <f>LARGE((BI342,BJ342,BK342,BL342,BM342,BN342,BI343,BJ343,BK343,BL343,BM343,BN343,BI344,BJ344,BK344,BL344,BM344,BN344),10)</f>
        <v>0</v>
      </c>
      <c r="BZ343" s="609">
        <f>LARGE((BI342,BJ342,BK342,BL342,BM342,BN342,BI343,BJ343,BK343,BL343,BM343,BN343,BI344,BJ344,BK344,BL344,BM344,BN344),11)</f>
        <v>0</v>
      </c>
      <c r="CA343" s="609">
        <f>LARGE((BI342,BJ342,BK342,BL342,BM342,BN342,BI343,BJ343,BK343,BL343,BM343,BN343,BI344,BJ344,BK344,BL344,BM344,BN344),12)</f>
        <v>0</v>
      </c>
    </row>
    <row r="344" spans="2:109" s="419" customFormat="1" ht="15" customHeight="1" x14ac:dyDescent="0.2">
      <c r="B344" s="606" t="s">
        <v>1605</v>
      </c>
      <c r="C344" s="1636"/>
      <c r="D344" s="1636"/>
      <c r="E344" s="1636"/>
      <c r="F344" s="1636"/>
      <c r="G344" s="1636"/>
      <c r="H344" s="1636"/>
      <c r="I344" s="1636"/>
      <c r="J344" s="1636"/>
      <c r="K344" s="1636"/>
      <c r="L344" s="1636"/>
      <c r="M344" s="1636"/>
      <c r="N344" s="1636"/>
      <c r="O344" s="613"/>
      <c r="P344" s="622"/>
      <c r="S344" s="369">
        <f>IF(C344="",0,C344)</f>
        <v>0</v>
      </c>
      <c r="T344" s="369">
        <f>IF(E344&lt;&gt;"",E344,IF(S344&gt;0,S344,0))</f>
        <v>0</v>
      </c>
      <c r="U344" s="369">
        <f>IF(G344&lt;&gt;"",G344,IF(T344&gt;0,T344,0))</f>
        <v>0</v>
      </c>
      <c r="V344" s="369">
        <f>IF(I344&lt;&gt;"",I344,IF(U344&gt;0,U344,0))</f>
        <v>0</v>
      </c>
      <c r="W344" s="369">
        <f>IF(K344&lt;&gt;"",K344,IF(V344&gt;0,V344,0))</f>
        <v>0</v>
      </c>
      <c r="X344" s="369">
        <f>IF(M344&lt;&gt;"",M344,IF(W344&gt;0,W344,0))</f>
        <v>0</v>
      </c>
      <c r="AA344" s="607">
        <f>IF(C344&gt;1,1,0)</f>
        <v>0</v>
      </c>
      <c r="AB344" s="369">
        <f t="shared" si="44"/>
        <v>0</v>
      </c>
      <c r="AC344" s="369">
        <f t="shared" si="44"/>
        <v>0</v>
      </c>
      <c r="AD344" s="369">
        <f t="shared" si="44"/>
        <v>0</v>
      </c>
      <c r="AE344" s="369">
        <f t="shared" si="44"/>
        <v>0</v>
      </c>
      <c r="AF344" s="369">
        <f t="shared" si="44"/>
        <v>0</v>
      </c>
      <c r="AH344" s="602">
        <f>IF(S344=1,0,IF(S344=2,0.17,IF(S344=3,0.25,IF(S344=4,0.35,0))))</f>
        <v>0</v>
      </c>
      <c r="AI344" s="602">
        <f>IF(T344=1,0,IF(T344=2,0.15,IF(T344=3,0.23,IF(T344=4,0.31,0))))</f>
        <v>0</v>
      </c>
      <c r="AJ344" s="602">
        <f>IF(U344=1,0,IF(U344=2,0.13,IF(U344=3,0.2,IF(U344=4,0.27,0))))</f>
        <v>0</v>
      </c>
      <c r="AK344" s="602">
        <f>IF(V344=1,0,IF(V344=2,0.11,IF(V344=3,0.17,IF(V344=4,0.22,0))))</f>
        <v>0</v>
      </c>
      <c r="AL344" s="602">
        <f>IF(W344=1,0,IF(W344=2,0.08,IF(W344=3,0.12,IF(W344=4,0.16,0))))</f>
        <v>0</v>
      </c>
      <c r="AM344" s="602">
        <f>IF(X344=1,0,IF(X344=2,0.05,IF(X344=3,0.07,IF(X344=4,0.1,0))))</f>
        <v>0</v>
      </c>
      <c r="AN344" s="603"/>
      <c r="AO344" s="602">
        <f>IF(S344=1,0,IF(S344=2,0.15,IF(S344=3,0.23,IF(S344=4,0.31,0))))</f>
        <v>0</v>
      </c>
      <c r="AP344" s="602">
        <f>IF(T344=1,0,IF(T344=2,0.13,IF(T344=3,0.2,IF(T344=4,0.27,0))))</f>
        <v>0</v>
      </c>
      <c r="AQ344" s="602">
        <f>IF(U344=1,0,IF(U344=2,0.11,IF(U344=3,0.17,IF(U344=4,0.22,0))))</f>
        <v>0</v>
      </c>
      <c r="AR344" s="602">
        <f>IF(V344=1,0,IF(V344=2,0.08,IF(V344=3,0.12,IF(V344=4,0.16,0))))</f>
        <v>0</v>
      </c>
      <c r="AS344" s="602">
        <f>IF(W344=1,0,IF(W344=2,0.05,IF(W344=3,0.07,IF(W344=4,0.1,0))))</f>
        <v>0</v>
      </c>
      <c r="AU344" s="602">
        <f>IF(S344=1,0,IF(S344=2,0.13,IF(S344=3,0.2,IF(S344=4,0.27,0))))</f>
        <v>0</v>
      </c>
      <c r="AV344" s="602">
        <f>IF(T344=1,0,IF(T344=2,0.11,IF(T344=3,0.17,IF(T344=4,0.22,0))))</f>
        <v>0</v>
      </c>
      <c r="AW344" s="602">
        <f>IF(U344=1,0,IF(U344=2,0.08,IF(U344=3,0.12,IF(U344=4,0.16,0))))</f>
        <v>0</v>
      </c>
      <c r="AX344" s="602">
        <f>IF(V344=1,0,IF(V344=2,0.05,IF(V344=3,0.07,IF(V344=4,0.1,0))))</f>
        <v>0</v>
      </c>
      <c r="AZ344" s="602">
        <f>IF(S344=1,0,IF(S344=2,0.11,IF(S344=3,0.17,IF(S344=4,0.22,0))))</f>
        <v>0</v>
      </c>
      <c r="BA344" s="602">
        <f>IF(T344=1,0,IF(T344=2,0.08,IF(T344=3,0.12,IF(T344=4,0.16,0))))</f>
        <v>0</v>
      </c>
      <c r="BB344" s="602">
        <f>IF(U344=1,0,IF(U344=2,0.05,IF(U344=3,0.07,IF(U344=4,0.1,0))))</f>
        <v>0</v>
      </c>
      <c r="BD344" s="602">
        <f>IF(S344=1,0,IF(S344=2,0.08,IF(S344=3,0.12,IF(S344=4,0.16,0))))</f>
        <v>0</v>
      </c>
      <c r="BE344" s="602">
        <f>IF(T344=1,0,IF(T344=2,0.05,IF(T344=3,0.07,IF(T344=4,0.1,0))))</f>
        <v>0</v>
      </c>
      <c r="BG344" s="602">
        <f>IF(S344=1,0,IF(S344=2,0.05,IF(S344=3,0.07,IF(S344=4,0.1,0))))</f>
        <v>0</v>
      </c>
      <c r="BI344" s="602">
        <f>IF(AA344=0,0,IF(OR(AB342=1,AB344=1),AH344-AO344,IF(OR(AC342=1,AC344=1),AH344-AU344,IF(OR(AD342=1,AD344=1),AH344-AZ344,IF(OR(AE342=1,AE344=1),AH344-BD344,IF(OR(AF342=1,AF344=1),AH344-BG344,AH344))))))</f>
        <v>0</v>
      </c>
      <c r="BJ344" s="602">
        <f>IF(AB344=0,0,IF(OR(AC342=1,AC344=1),AI344-AP344,IF(OR(AD342=1,AD344=1),AI344-AV344,IF(OR(AE342=1,AE344=1),AI344-BA344,IF(OR(AF342=1,AF344=1),AI344-BE344,AI344)))))</f>
        <v>0</v>
      </c>
      <c r="BK344" s="602">
        <f>IF(AC344=0,0,IF(OR(AD342=1,AD344=1),AJ344-AQ344,IF(OR(AE342=1,AE344=1),AJ344-AW344,IF(OR(AF342=1,AF344=1),AJ344-BB344,AJ344))))</f>
        <v>0</v>
      </c>
      <c r="BL344" s="602">
        <f>IF(AD344=0,0,IF(OR(AE342=1,AE344=1),AK344-AR344,IF(OR(AF342=1,AF344=1),AK344-AX344,AK344)))</f>
        <v>0</v>
      </c>
      <c r="BM344" s="602">
        <f>IF(AE344=0,0,IF(OR(AF342=1,AF344=1),AL344-AS344,AL344))</f>
        <v>0</v>
      </c>
      <c r="BN344" s="602">
        <f>IF(AF344=0,0,AM344)</f>
        <v>0</v>
      </c>
      <c r="BP344" s="610">
        <f>ROUND(BP343+BQ343*(1-BP343),2)</f>
        <v>0</v>
      </c>
      <c r="BQ344" s="610">
        <f t="shared" ref="BQ344:BZ344" si="45">ROUND(BP344+BR343*(1-BP344),2)</f>
        <v>0</v>
      </c>
      <c r="BR344" s="610">
        <f t="shared" si="45"/>
        <v>0</v>
      </c>
      <c r="BS344" s="610">
        <f t="shared" si="45"/>
        <v>0</v>
      </c>
      <c r="BT344" s="610">
        <f t="shared" si="45"/>
        <v>0</v>
      </c>
      <c r="BU344" s="610">
        <f t="shared" si="45"/>
        <v>0</v>
      </c>
      <c r="BV344" s="610">
        <f t="shared" si="45"/>
        <v>0</v>
      </c>
      <c r="BW344" s="610">
        <f t="shared" si="45"/>
        <v>0</v>
      </c>
      <c r="BX344" s="610">
        <f t="shared" si="45"/>
        <v>0</v>
      </c>
      <c r="BY344" s="610">
        <f t="shared" si="45"/>
        <v>0</v>
      </c>
      <c r="BZ344" s="610">
        <f t="shared" si="45"/>
        <v>0</v>
      </c>
      <c r="CA344" s="607"/>
    </row>
    <row r="345" spans="2:109" s="419" customFormat="1" ht="15" customHeight="1" x14ac:dyDescent="0.2">
      <c r="B345" s="1699" t="str">
        <f>IF(AD345=1,"ERROR: If radial or ulnar impairment is recorded, do not enter losses for 'both sides.'","")</f>
        <v/>
      </c>
      <c r="C345" s="1700"/>
      <c r="D345" s="1700"/>
      <c r="E345" s="1700"/>
      <c r="F345" s="1700"/>
      <c r="G345" s="1700"/>
      <c r="H345" s="1700"/>
      <c r="I345" s="1700"/>
      <c r="J345" s="1700"/>
      <c r="K345" s="1700"/>
      <c r="L345" s="1700"/>
      <c r="M345" s="1700"/>
      <c r="N345" s="1700"/>
      <c r="O345" s="1701"/>
      <c r="P345" s="596">
        <f>IF(B345&lt;&gt;"","ERROR",BZ344)</f>
        <v>0</v>
      </c>
      <c r="S345" s="599"/>
      <c r="T345" s="599"/>
      <c r="U345" s="599"/>
      <c r="V345" s="599"/>
      <c r="W345" s="599"/>
      <c r="AA345" s="369">
        <f>SUM(AA342:AF342)</f>
        <v>0</v>
      </c>
      <c r="AB345" s="369">
        <f>SUM(AA343:AF343)</f>
        <v>0</v>
      </c>
      <c r="AC345" s="369">
        <f>SUM(AA344:AF344)</f>
        <v>0</v>
      </c>
      <c r="AD345" s="369">
        <f>IF(AND(AA345&gt;0,AB345&gt;0),1,IF(AND(AA345&gt;0,AC345&gt;0),1,0))</f>
        <v>0</v>
      </c>
      <c r="AE345" s="369"/>
      <c r="AF345" s="369"/>
    </row>
    <row r="346" spans="2:109" s="419" customFormat="1" ht="15" customHeight="1" x14ac:dyDescent="0.2">
      <c r="B346" s="434" t="s">
        <v>1227</v>
      </c>
      <c r="C346" s="615"/>
      <c r="D346" s="615"/>
      <c r="E346" s="615"/>
      <c r="F346" s="615"/>
      <c r="G346" s="615"/>
      <c r="H346" s="615"/>
      <c r="I346" s="623"/>
      <c r="J346" s="615"/>
      <c r="K346" s="624"/>
      <c r="L346" s="624"/>
      <c r="M346" s="624"/>
      <c r="N346" s="624"/>
      <c r="O346" s="624"/>
      <c r="P346" s="611"/>
      <c r="S346" s="599"/>
      <c r="T346" s="599"/>
      <c r="U346" s="599"/>
      <c r="V346" s="599"/>
      <c r="W346" s="599"/>
      <c r="X346" s="620"/>
      <c r="AA346" s="599"/>
      <c r="AB346" s="599"/>
      <c r="AC346" s="599"/>
      <c r="AD346" s="599"/>
      <c r="AE346" s="599"/>
      <c r="AF346" s="599"/>
    </row>
    <row r="347" spans="2:109" s="419" customFormat="1" ht="15" customHeight="1" x14ac:dyDescent="0.2">
      <c r="B347" s="185" t="s">
        <v>1603</v>
      </c>
      <c r="C347" s="1554"/>
      <c r="D347" s="1554"/>
      <c r="E347" s="1554"/>
      <c r="F347" s="1554"/>
      <c r="G347" s="1554"/>
      <c r="H347" s="1554"/>
      <c r="I347" s="1554"/>
      <c r="J347" s="1554"/>
      <c r="K347" s="1554"/>
      <c r="L347" s="1554"/>
      <c r="M347" s="1554"/>
      <c r="N347" s="1554"/>
      <c r="O347" s="615"/>
      <c r="P347" s="618"/>
      <c r="S347" s="369">
        <f>IF(C347="",0,C347)</f>
        <v>0</v>
      </c>
      <c r="T347" s="369">
        <f>IF(E347&lt;&gt;"",E347,IF(S347&gt;0,S347,0))</f>
        <v>0</v>
      </c>
      <c r="U347" s="369">
        <f>IF(G347&lt;&gt;"",G347,IF(T347&gt;0,T347,0))</f>
        <v>0</v>
      </c>
      <c r="V347" s="369">
        <f>IF(I347&lt;&gt;"",I347,IF(U347&gt;0,U347,0))</f>
        <v>0</v>
      </c>
      <c r="W347" s="369">
        <f>IF(K347&lt;&gt;"",K347,IF(V347&gt;0,V347,0))</f>
        <v>0</v>
      </c>
      <c r="X347" s="369">
        <f>IF(M347&lt;&gt;"",M347,IF(W347&gt;0,W347,0))</f>
        <v>0</v>
      </c>
      <c r="Z347" s="599"/>
      <c r="AA347" s="607">
        <f>IF(C347&gt;1,1,0)</f>
        <v>0</v>
      </c>
      <c r="AB347" s="369">
        <f t="shared" ref="AB347:AF349" si="46">IF(AND(S347&lt;&gt;T347,T347&gt;0),1,0)</f>
        <v>0</v>
      </c>
      <c r="AC347" s="369">
        <f t="shared" si="46"/>
        <v>0</v>
      </c>
      <c r="AD347" s="369">
        <f t="shared" si="46"/>
        <v>0</v>
      </c>
      <c r="AE347" s="369">
        <f t="shared" si="46"/>
        <v>0</v>
      </c>
      <c r="AF347" s="369">
        <f t="shared" si="46"/>
        <v>0</v>
      </c>
      <c r="AH347" s="602">
        <f>IF(S347=1,0,IF(S347=2,0.25,IF(S347=3,0.38,IF(S347=4,0.5,0))))</f>
        <v>0</v>
      </c>
      <c r="AI347" s="602">
        <f>IF(T347=1,0,IF(T347=2,0.23,IF(T347=3,0.35,IF(T347=4,0.45,0))))</f>
        <v>0</v>
      </c>
      <c r="AJ347" s="602">
        <f>IF(U347=1,0,IF(U347=2,0.2,IF(U347=3,0.3,IF(U347=4,0.39,0))))</f>
        <v>0</v>
      </c>
      <c r="AK347" s="602">
        <f>IF(V347=1,0,IF(V347=2,0.17,IF(V347=3,0.25,IF(V347=4,0.33,0))))</f>
        <v>0</v>
      </c>
      <c r="AL347" s="602">
        <f>IF(W347=1,0,IF(W347=2,0.13,IF(W347=3,0.19,IF(W347=4,0.24,0))))</f>
        <v>0</v>
      </c>
      <c r="AM347" s="602">
        <f>IF(X347=1,0,IF(X347=2,0.08,IF(X347=3,0.12,IF(X347=4,0.15,0))))</f>
        <v>0</v>
      </c>
      <c r="AN347" s="603"/>
      <c r="AO347" s="602">
        <f>IF(S347=1,0,IF(S347=2,0.23,IF(S347=3,0.35,IF(S347=4,0.45,0))))</f>
        <v>0</v>
      </c>
      <c r="AP347" s="602">
        <f>IF(T347=1,0,IF(T347=2,0.2,IF(T347=3,0.3,IF(T347=4,0.39,0))))</f>
        <v>0</v>
      </c>
      <c r="AQ347" s="602">
        <f>IF(U347=1,0,IF(U347=2,0.17,IF(U347=3,0.25,IF(U347=4,0.33,0))))</f>
        <v>0</v>
      </c>
      <c r="AR347" s="602">
        <f>IF(V347=1,0,IF(V347=2,0.13,IF(V347=3,0.19,IF(V347=4,0.24,0))))</f>
        <v>0</v>
      </c>
      <c r="AS347" s="602">
        <f>IF(W347=1,0,IF(W347=2,0.08,IF(W347=3,0.12,IF(W347=4,0.15,0))))</f>
        <v>0</v>
      </c>
      <c r="AU347" s="602">
        <f>IF(S347=1,0,IF(S347=2,0.2,IF(S347=3,0.3,IF(S347=4,0.39,0))))</f>
        <v>0</v>
      </c>
      <c r="AV347" s="602">
        <f>IF(T347=1,0,IF(T347=2,0.17,IF(T347=3,0.25,IF(T347=4,0.33,0))))</f>
        <v>0</v>
      </c>
      <c r="AW347" s="602">
        <f>IF(U347=1,0,IF(U347=2,0.13,IF(U347=3,0.19,IF(U347=4,0.24,0))))</f>
        <v>0</v>
      </c>
      <c r="AX347" s="602">
        <f>IF(V347=1,0,IF(V347=2,0.08,IF(V347=3,0.12,IF(V347=4,0.15,0))))</f>
        <v>0</v>
      </c>
      <c r="AZ347" s="602">
        <f>IF(S347=1,0,IF(S347=2,0.17,IF(S347=3,0.25,IF(S347=4,0.33,0))))</f>
        <v>0</v>
      </c>
      <c r="BA347" s="602">
        <f>IF(T347=1,0,IF(T347=2,0.13,IF(T347=3,0.19,IF(T347=4,0.24,0))))</f>
        <v>0</v>
      </c>
      <c r="BB347" s="602">
        <f>IF(U347=1,0,IF(U347=2,0.08,IF(U347=3,0.12,IF(U347=4,0.15,0))))</f>
        <v>0</v>
      </c>
      <c r="BD347" s="602">
        <f>IF(S347=1,0,IF(S347=2,0.13,IF(S347=3,0.19,IF(S347=4,0.24,0))))</f>
        <v>0</v>
      </c>
      <c r="BE347" s="602">
        <f>IF(T347=1,0,IF(T347=2,0.08,IF(T347=3,0.12,IF(T347=4,0.15,0))))</f>
        <v>0</v>
      </c>
      <c r="BG347" s="602">
        <f>IF(S347=1,0,IF(S347=2,0.08,IF(S347=3,0.12,IF(S347=4,0.15,0))))</f>
        <v>0</v>
      </c>
      <c r="BI347" s="602">
        <f>IF(AA347=0,0,IF(OR(AB347=1,AB348=1,AB349=1),AH347-AO347,IF(OR(AC347=1,AC348=1,AC349=1),AH347-AU347,IF(OR(AD347=1,AD348=1,AD349=1),AH347-AZ347,IF(OR(AE347=1,AE348=1,AE349=1),AH347-BD347,IF(OR(AF347=1,AF348=1,AF349=1),AH347-BG347,AH347))))))</f>
        <v>0</v>
      </c>
      <c r="BJ347" s="602">
        <f>IF(AB347=0,0,IF(OR(AC347=1,AC348=1,AC349=1),AI347-AP347,IF(OR(AD347=1,AD348=1,AD349=1),AI347-AV347,IF(OR(AE347=1,AE348=1,AE349=1),AI347-BA347,IF(OR(AF347=1,AF348=1,AF349=1),AI347-BE347,AI347)))))</f>
        <v>0</v>
      </c>
      <c r="BK347" s="602">
        <f>IF(AC347=0,0,IF(OR(AD347=1,AD348=1,AD349=1),AJ347-AQ347,IF(OR(AE347=1,AE348=1,AE349=1),AJ347-AW347,IF(OR(AF347=1,AF348=1,AF349=1),AJ347-BB347,AJ347))))</f>
        <v>0</v>
      </c>
      <c r="BL347" s="602">
        <f>IF(AD347=0,0,IF(OR(AE347=1,AE348=1,AE349=1),AK347-AR347,IF(OR(AF347=1,AF348=1,AF349=1),AK347-AX347,AK347)))</f>
        <v>0</v>
      </c>
      <c r="BM347" s="602">
        <f>IF(AE347=0,0,IF(OR(AF347=1,AF348=1,AF349=1),AL347-AS347,AL347))</f>
        <v>0</v>
      </c>
      <c r="BN347" s="602">
        <f>IF(AF347=0,0,AM347)</f>
        <v>0</v>
      </c>
      <c r="BP347" s="419" t="s">
        <v>262</v>
      </c>
    </row>
    <row r="348" spans="2:109" s="419" customFormat="1" ht="15" customHeight="1" x14ac:dyDescent="0.2">
      <c r="B348" s="369" t="s">
        <v>1604</v>
      </c>
      <c r="C348" s="1554"/>
      <c r="D348" s="1554"/>
      <c r="E348" s="1554"/>
      <c r="F348" s="1554"/>
      <c r="G348" s="1554"/>
      <c r="H348" s="1554"/>
      <c r="I348" s="1554"/>
      <c r="J348" s="1554"/>
      <c r="K348" s="1554"/>
      <c r="L348" s="1554"/>
      <c r="M348" s="1554"/>
      <c r="N348" s="1554"/>
      <c r="O348" s="613"/>
      <c r="P348" s="619"/>
      <c r="S348" s="369">
        <f>IF(C348="",0,C348)</f>
        <v>0</v>
      </c>
      <c r="T348" s="369">
        <f>IF(E348&lt;&gt;"",E348,IF(S348&gt;0,S348,0))</f>
        <v>0</v>
      </c>
      <c r="U348" s="369">
        <f>IF(G348&lt;&gt;"",G348,IF(T348&gt;0,T348,0))</f>
        <v>0</v>
      </c>
      <c r="V348" s="369">
        <f>IF(I348&lt;&gt;"",I348,IF(U348&gt;0,U348,0))</f>
        <v>0</v>
      </c>
      <c r="W348" s="369">
        <f>IF(K348&lt;&gt;"",K348,IF(V348&gt;0,V348,0))</f>
        <v>0</v>
      </c>
      <c r="X348" s="369">
        <f>IF(M348&lt;&gt;"",M348,IF(W348&gt;0,W348,0))</f>
        <v>0</v>
      </c>
      <c r="Z348" s="599"/>
      <c r="AA348" s="607">
        <f>IF(C348&gt;1,1,0)</f>
        <v>0</v>
      </c>
      <c r="AB348" s="369">
        <f t="shared" si="46"/>
        <v>0</v>
      </c>
      <c r="AC348" s="369">
        <f t="shared" si="46"/>
        <v>0</v>
      </c>
      <c r="AD348" s="369">
        <f t="shared" si="46"/>
        <v>0</v>
      </c>
      <c r="AE348" s="369">
        <f t="shared" si="46"/>
        <v>0</v>
      </c>
      <c r="AF348" s="369">
        <f t="shared" si="46"/>
        <v>0</v>
      </c>
      <c r="AH348" s="602">
        <f>IF(S348=1,0,IF(S348=2,0.1,IF(S348=3,0.17,IF(S348=4,0.23,0))))</f>
        <v>0</v>
      </c>
      <c r="AI348" s="602">
        <f>IF(T348=1,0,IF(T348=2,0.09,IF(T348=3,0.15,IF(T348=4,0.2,0))))</f>
        <v>0</v>
      </c>
      <c r="AJ348" s="602">
        <f>IF(U348=1,0,IF(U348=2,0.08,IF(U348=3,0.13,IF(U348=4,0.17,0))))</f>
        <v>0</v>
      </c>
      <c r="AK348" s="602">
        <f>IF(V348=1,0,IF(V348=2,0.07,IF(V348=3,0.1,IF(V348=4,0.14,0))))</f>
        <v>0</v>
      </c>
      <c r="AL348" s="602">
        <f>IF(W348=1,0,IF(W348=2,0.05,IF(W348=3,0.08,IF(W348=4,0.1,0))))</f>
        <v>0</v>
      </c>
      <c r="AM348" s="602">
        <f>IF(X348=1,0,IF(X348=2,0.03,IF(X348=3,0.05,IF(X348=4,0.06,0))))</f>
        <v>0</v>
      </c>
      <c r="AN348" s="603"/>
      <c r="AO348" s="602">
        <f>IF(S348=1,0,IF(S348=2,0.09,IF(S348=3,0.15,IF(S348=4,0.2,0))))</f>
        <v>0</v>
      </c>
      <c r="AP348" s="602">
        <f>IF(T348=1,0,IF(T348=2,0.08,IF(T348=3,0.13,IF(T348=4,0.17,0))))</f>
        <v>0</v>
      </c>
      <c r="AQ348" s="602">
        <f>IF(U348=1,0,IF(U348=2,0.07,IF(U348=3,0.1,IF(U348=4,0.14,0))))</f>
        <v>0</v>
      </c>
      <c r="AR348" s="602">
        <f>IF(V348=1,0,IF(V348=2,0.05,IF(V348=3,0.08,IF(V348=4,0.1,0))))</f>
        <v>0</v>
      </c>
      <c r="AS348" s="602">
        <f>IF(W348=1,0,IF(W348=2,0.03,IF(W348=3,0.05,IF(W348=4,0.06,0))))</f>
        <v>0</v>
      </c>
      <c r="AU348" s="602">
        <f>IF(S348=1,0,IF(S348=2,0.08,IF(S348=3,0.13,IF(S348=4,0.17,0))))</f>
        <v>0</v>
      </c>
      <c r="AV348" s="602">
        <f>IF(T348=1,0,IF(T348=2,0.07,IF(T348=3,0.1,IF(T348=4,0.14,0))))</f>
        <v>0</v>
      </c>
      <c r="AW348" s="602">
        <f>IF(U348=1,0,IF(U348=2,0.05,IF(U348=3,0.08,IF(U348=4,0.1,0))))</f>
        <v>0</v>
      </c>
      <c r="AX348" s="602">
        <f>IF(V348=1,0,IF(V348=2,0.03,IF(V348=3,0.05,IF(V348=4,0.06,0))))</f>
        <v>0</v>
      </c>
      <c r="AZ348" s="602">
        <f>IF(S348=1,0,IF(S348=2,0.07,IF(S348=3,0.1,IF(S348=4,0.14,0))))</f>
        <v>0</v>
      </c>
      <c r="BA348" s="602">
        <f>IF(T348=1,0,IF(T348=2,0.05,IF(T348=3,0.08,IF(T348=4,0.1,0))))</f>
        <v>0</v>
      </c>
      <c r="BB348" s="602">
        <f>IF(U348=1,0,IF(U348=2,0.03,IF(U348=3,0.05,IF(U348=4,0.06,0))))</f>
        <v>0</v>
      </c>
      <c r="BD348" s="602">
        <f>IF(S348=1,0,IF(S348=2,0.05,IF(S348=3,0.08,IF(S348=4,0.1,0))))</f>
        <v>0</v>
      </c>
      <c r="BE348" s="602">
        <f>IF(T348=1,0,IF(T348=2,0.03,IF(T348=3,0.05,IF(T348=4,0.06,0))))</f>
        <v>0</v>
      </c>
      <c r="BG348" s="602">
        <f>IF(S348=1,0,IF(S348=2,0.03,IF(S348=3,0.05,IF(S348=4,0.06,0))))</f>
        <v>0</v>
      </c>
      <c r="BI348" s="602">
        <f>IF(AA348=0,0,IF(OR(AB347=1,AB348=1),AH348-AO348,IF(OR(AC347=1,AC348=1),AH348-AU348,IF(OR(AD347=1,AD348=1),AH348-AZ348,IF(OR(AE347=1,AE348=1),AH348-BD348,IF(OR(AF347=1,AF348=1),AH348-BG348,AH348))))))</f>
        <v>0</v>
      </c>
      <c r="BJ348" s="602">
        <f>IF(AB348=0,0,IF(OR(AC347=1,AC348=1),AI348-AP348,IF(OR(AD347=1,AD348=1),AI348-AV348,IF(OR(AE347=1,AE348=1),AI348-BA348,IF(OR(AF347=1,AF348=1),AI348-BE348,AI348)))))</f>
        <v>0</v>
      </c>
      <c r="BK348" s="602">
        <f>IF(AC348=0,0,IF(OR(AD347=1,AD348=1),AJ348-AQ348,IF(OR(AE347=1,AE348=1),AJ348-AW348,IF(OR(AF347=1,AF348=1),AJ348-BB348,AJ348))))</f>
        <v>0</v>
      </c>
      <c r="BL348" s="602">
        <f>IF(AD348=0,0,IF(OR(AE347=1,AE348=1),AK348-AR348,IF(OR(AF347=1,AF348=1),AK348-AX348,AK348)))</f>
        <v>0</v>
      </c>
      <c r="BM348" s="602">
        <f>IF(AE348=0,0,IF(OR(AF347=1,AF348=1),AL348-AS348,AL348))</f>
        <v>0</v>
      </c>
      <c r="BN348" s="602">
        <f>IF(AF348=0,0,AM348)</f>
        <v>0</v>
      </c>
      <c r="BP348" s="608">
        <f>LARGE((BI347,BJ347,BK347,BL347,BM347,BN347,BI348,BJ348,BK348,BL348,BM348,BN348,BI349,BJ349,BK349,BL349,BM349,BN349),1)</f>
        <v>0</v>
      </c>
      <c r="BQ348" s="609">
        <f>LARGE((BI347,BJ347,BK347,BL347,BM347,BN347,BI348,BJ348,BK348,BL348,BM348,BN348,BI349,BJ349,BK349,BL349,BM349,BN349),2)</f>
        <v>0</v>
      </c>
      <c r="BR348" s="609">
        <f>LARGE((BI347,BJ347,BK347,BL347,BM347,BN347,BI348,BJ348,BK348,BL348,BM348,BN348,BI349,BJ349,BK349,BL349,BM349,BN349),3)</f>
        <v>0</v>
      </c>
      <c r="BS348" s="609">
        <f>LARGE((BI347,BJ347,BK347,BL347,BM347,BN347,BI348,BJ348,BK348,BL348,BM348,BN348,BI349,BJ349,BK349,BL349,BM349,BN349),4)</f>
        <v>0</v>
      </c>
      <c r="BT348" s="609">
        <f>LARGE((BI347,BJ347,BK347,BL347,BM347,BN347,BI348,BJ348,BK348,BL348,BM348,BN348,BI349,BJ349,BK349,BL349,BM349,BN349),5)</f>
        <v>0</v>
      </c>
      <c r="BU348" s="609">
        <f>LARGE((BI347,BJ347,BK347,BL347,BM347,BN347,BI348,BJ348,BK348,BL348,BM348,BN348,BI349,BJ349,BK349,BL349,BM349,BN349),6)</f>
        <v>0</v>
      </c>
      <c r="BV348" s="609">
        <f>LARGE((BI347,BJ347,BK347,BL347,BM347,BN347,BI348,BJ348,BK348,BL348,BM348,BN348,BI349,BJ349,BK349,BL349,BM349,BN349),7)</f>
        <v>0</v>
      </c>
      <c r="BW348" s="609">
        <f>LARGE((BI347,BJ347,BK347,BL347,BM347,BN347,BI348,BJ348,BK348,BL348,BM348,BN348,BI349,BJ349,BK349,BL349,BM349,BN349),8)</f>
        <v>0</v>
      </c>
      <c r="BX348" s="609">
        <f>LARGE((BI347,BJ347,BK347,BL347,BM347,BN347,BI348,BJ348,BK348,BL348,BM348,BN348,BI349,BJ349,BK349,BL349,BM349,BN349),9)</f>
        <v>0</v>
      </c>
      <c r="BY348" s="609">
        <f>LARGE((BI347,BJ347,BK347,BL347,BM347,BN347,BI348,BJ348,BK348,BL348,BM348,BN348,BI349,BJ349,BK349,BL349,BM349,BN349),10)</f>
        <v>0</v>
      </c>
      <c r="BZ348" s="609">
        <f>LARGE((BI347,BJ347,BK347,BL347,BM347,BN347,BI348,BJ348,BK348,BL348,BM348,BN348,BI349,BJ349,BK349,BL349,BM349,BN349),11)</f>
        <v>0</v>
      </c>
      <c r="CA348" s="609">
        <f>LARGE((BI347,BJ347,BK347,BL347,BM347,BN347,BI348,BJ348,BK348,BL348,BM348,BN348,BI349,BJ349,BK349,BL349,BM349,BN349),12)</f>
        <v>0</v>
      </c>
    </row>
    <row r="349" spans="2:109" s="419" customFormat="1" ht="15" customHeight="1" x14ac:dyDescent="0.2">
      <c r="B349" s="606" t="s">
        <v>1605</v>
      </c>
      <c r="C349" s="1636"/>
      <c r="D349" s="1636"/>
      <c r="E349" s="1636"/>
      <c r="F349" s="1636"/>
      <c r="G349" s="1636"/>
      <c r="H349" s="1636"/>
      <c r="I349" s="1636"/>
      <c r="J349" s="1636"/>
      <c r="K349" s="1636"/>
      <c r="L349" s="1636"/>
      <c r="M349" s="1636"/>
      <c r="N349" s="1636"/>
      <c r="O349" s="613"/>
      <c r="P349" s="619"/>
      <c r="S349" s="369">
        <f>IF(C349="",0,C349)</f>
        <v>0</v>
      </c>
      <c r="T349" s="369">
        <f>IF(E349&lt;&gt;"",E349,IF(S349&gt;0,S349,0))</f>
        <v>0</v>
      </c>
      <c r="U349" s="369">
        <f>IF(G349&lt;&gt;"",G349,IF(T349&gt;0,T349,0))</f>
        <v>0</v>
      </c>
      <c r="V349" s="369">
        <f>IF(I349&lt;&gt;"",I349,IF(U349&gt;0,U349,0))</f>
        <v>0</v>
      </c>
      <c r="W349" s="369">
        <f>IF(K349&lt;&gt;"",K349,IF(V349&gt;0,V349,0))</f>
        <v>0</v>
      </c>
      <c r="X349" s="369">
        <f>IF(M349&lt;&gt;"",M349,IF(W349&gt;0,W349,0))</f>
        <v>0</v>
      </c>
      <c r="AA349" s="607">
        <f>IF(C349&gt;1,1,0)</f>
        <v>0</v>
      </c>
      <c r="AB349" s="369">
        <f t="shared" si="46"/>
        <v>0</v>
      </c>
      <c r="AC349" s="369">
        <f t="shared" si="46"/>
        <v>0</v>
      </c>
      <c r="AD349" s="369">
        <f t="shared" si="46"/>
        <v>0</v>
      </c>
      <c r="AE349" s="369">
        <f t="shared" si="46"/>
        <v>0</v>
      </c>
      <c r="AF349" s="369">
        <f t="shared" si="46"/>
        <v>0</v>
      </c>
      <c r="AH349" s="602">
        <f>IF(S349=1,0,IF(S349=2,0.17,IF(S349=3,0.25,IF(S349=4,0.35,0))))</f>
        <v>0</v>
      </c>
      <c r="AI349" s="602">
        <f>IF(T349=1,0,IF(T349=2,0.15,IF(T349=3,0.23,IF(T349=4,0.31,0))))</f>
        <v>0</v>
      </c>
      <c r="AJ349" s="602">
        <f>IF(U349=1,0,IF(U349=2,0.13,IF(U349=3,0.2,IF(U349=4,0.27,0))))</f>
        <v>0</v>
      </c>
      <c r="AK349" s="602">
        <f>IF(V349=1,0,IF(V349=2,0.11,IF(V349=3,0.17,IF(V349=4,0.22,0))))</f>
        <v>0</v>
      </c>
      <c r="AL349" s="602">
        <f>IF(W349=1,0,IF(W349=2,0.08,IF(W349=3,0.12,IF(W349=4,0.16,0))))</f>
        <v>0</v>
      </c>
      <c r="AM349" s="602">
        <f>IF(X349=1,0,IF(X349=2,0.05,IF(X349=3,0.07,IF(X349=4,0.1,0))))</f>
        <v>0</v>
      </c>
      <c r="AN349" s="603"/>
      <c r="AO349" s="602">
        <f>IF(S349=1,0,IF(S349=2,0.15,IF(S349=3,0.23,IF(S349=4,0.31,0))))</f>
        <v>0</v>
      </c>
      <c r="AP349" s="602">
        <f>IF(T349=1,0,IF(T349=2,0.13,IF(T349=3,0.2,IF(T349=4,0.27,0))))</f>
        <v>0</v>
      </c>
      <c r="AQ349" s="602">
        <f>IF(U349=1,0,IF(U349=2,0.11,IF(U349=3,0.17,IF(U349=4,0.22,0))))</f>
        <v>0</v>
      </c>
      <c r="AR349" s="602">
        <f>IF(V349=1,0,IF(V349=2,0.08,IF(V349=3,0.12,IF(V349=4,0.16,0))))</f>
        <v>0</v>
      </c>
      <c r="AS349" s="602">
        <f>IF(W349=1,0,IF(W349=2,0.05,IF(W349=3,0.07,IF(W349=4,0.1,0))))</f>
        <v>0</v>
      </c>
      <c r="AU349" s="602">
        <f>IF(S349=1,0,IF(S349=2,0.13,IF(S349=3,0.2,IF(S349=4,0.27,0))))</f>
        <v>0</v>
      </c>
      <c r="AV349" s="602">
        <f>IF(T349=1,0,IF(T349=2,0.11,IF(T349=3,0.17,IF(T349=4,0.22,0))))</f>
        <v>0</v>
      </c>
      <c r="AW349" s="602">
        <f>IF(U349=1,0,IF(U349=2,0.08,IF(U349=3,0.12,IF(U349=4,0.16,0))))</f>
        <v>0</v>
      </c>
      <c r="AX349" s="602">
        <f>IF(V349=1,0,IF(V349=2,0.05,IF(V349=3,0.07,IF(V349=4,0.1,0))))</f>
        <v>0</v>
      </c>
      <c r="AZ349" s="602">
        <f>IF(S349=1,0,IF(S349=2,0.11,IF(S349=3,0.17,IF(S349=4,0.22,0))))</f>
        <v>0</v>
      </c>
      <c r="BA349" s="602">
        <f>IF(T349=1,0,IF(T349=2,0.08,IF(T349=3,0.12,IF(T349=4,0.16,0))))</f>
        <v>0</v>
      </c>
      <c r="BB349" s="602">
        <f>IF(U349=1,0,IF(U349=2,0.05,IF(U349=3,0.07,IF(U349=4,0.1,0))))</f>
        <v>0</v>
      </c>
      <c r="BD349" s="602">
        <f>IF(S349=1,0,IF(S349=2,0.08,IF(S349=3,0.12,IF(S349=4,0.16,0))))</f>
        <v>0</v>
      </c>
      <c r="BE349" s="602">
        <f>IF(T349=1,0,IF(T349=2,0.05,IF(T349=3,0.07,IF(T349=4,0.1,0))))</f>
        <v>0</v>
      </c>
      <c r="BG349" s="602">
        <f>IF(S349=1,0,IF(S349=2,0.05,IF(S349=3,0.07,IF(S349=4,0.1,0))))</f>
        <v>0</v>
      </c>
      <c r="BI349" s="602">
        <f>IF(AA349=0,0,IF(OR(AB347=1,AB349=1),AH349-AO349,IF(OR(AC347=1,AC349=1),AH349-AU349,IF(OR(AD347=1,AD349=1),AH349-AZ349,IF(OR(AE347=1,AE349=1),AH349-BD349,IF(OR(AF347=1,AF349=1),AH349-BG349,AH349))))))</f>
        <v>0</v>
      </c>
      <c r="BJ349" s="602">
        <f>IF(AB349=0,0,IF(OR(AC347=1,AC349=1),AI349-AP349,IF(OR(AD347=1,AD349=1),AI349-AV349,IF(OR(AE347=1,AE349=1),AI349-BA349,IF(OR(AF347=1,AF349=1),AI349-BE349,AI349)))))</f>
        <v>0</v>
      </c>
      <c r="BK349" s="602">
        <f>IF(AC349=0,0,IF(OR(AD347=1,AD349=1),AJ349-AQ349,IF(OR(AE347=1,AE349=1),AJ349-AW349,IF(OR(AF347=1,AF349=1),AJ349-BB349,AJ349))))</f>
        <v>0</v>
      </c>
      <c r="BL349" s="602">
        <f>IF(AD349=0,0,IF(OR(AE347=1,AE349=1),AK349-AR349,IF(OR(AF347=1,AF349=1),AK349-AX349,AK349)))</f>
        <v>0</v>
      </c>
      <c r="BM349" s="602">
        <f>IF(AE349=0,0,IF(OR(AF347=1,AF349=1),AL349-AS349,AL349))</f>
        <v>0</v>
      </c>
      <c r="BN349" s="602">
        <f>IF(AF349=0,0,AM349)</f>
        <v>0</v>
      </c>
      <c r="BP349" s="610">
        <f>ROUND(BP348+BQ348*(1-BP348),2)</f>
        <v>0</v>
      </c>
      <c r="BQ349" s="610">
        <f t="shared" ref="BQ349:BZ349" si="47">ROUND(BP349+BR348*(1-BP349),2)</f>
        <v>0</v>
      </c>
      <c r="BR349" s="610">
        <f t="shared" si="47"/>
        <v>0</v>
      </c>
      <c r="BS349" s="610">
        <f t="shared" si="47"/>
        <v>0</v>
      </c>
      <c r="BT349" s="610">
        <f t="shared" si="47"/>
        <v>0</v>
      </c>
      <c r="BU349" s="610">
        <f t="shared" si="47"/>
        <v>0</v>
      </c>
      <c r="BV349" s="610">
        <f t="shared" si="47"/>
        <v>0</v>
      </c>
      <c r="BW349" s="610">
        <f t="shared" si="47"/>
        <v>0</v>
      </c>
      <c r="BX349" s="610">
        <f t="shared" si="47"/>
        <v>0</v>
      </c>
      <c r="BY349" s="610">
        <f t="shared" si="47"/>
        <v>0</v>
      </c>
      <c r="BZ349" s="610">
        <f t="shared" si="47"/>
        <v>0</v>
      </c>
      <c r="CA349" s="607"/>
    </row>
    <row r="350" spans="2:109" s="419" customFormat="1" ht="15" customHeight="1" x14ac:dyDescent="0.2">
      <c r="B350" s="1593" t="str">
        <f>IF(AD350=1,"ERROR: If radial or ulnar impairment is recorded, do not enter losses for 'both sides.'","")</f>
        <v/>
      </c>
      <c r="C350" s="1594"/>
      <c r="D350" s="1594"/>
      <c r="E350" s="1594"/>
      <c r="F350" s="1594"/>
      <c r="G350" s="1594"/>
      <c r="H350" s="1594"/>
      <c r="I350" s="1594"/>
      <c r="J350" s="1594"/>
      <c r="K350" s="1594"/>
      <c r="L350" s="1594"/>
      <c r="M350" s="1594"/>
      <c r="N350" s="1594"/>
      <c r="O350" s="1595"/>
      <c r="P350" s="303">
        <f>IF(B350&lt;&gt;"","ERROR",BZ349)</f>
        <v>0</v>
      </c>
      <c r="S350" s="599"/>
      <c r="T350" s="599"/>
      <c r="U350" s="599"/>
      <c r="V350" s="599"/>
      <c r="W350" s="599"/>
      <c r="AA350" s="369">
        <f>SUM(AA347:AF347)</f>
        <v>0</v>
      </c>
      <c r="AB350" s="369">
        <f>SUM(AA348:AF348)</f>
        <v>0</v>
      </c>
      <c r="AC350" s="369">
        <f>SUM(AA349:AF349)</f>
        <v>0</v>
      </c>
      <c r="AD350" s="369">
        <f>IF(AND(AA350&gt;0,AB350&gt;0),1,IF(AND(AA350&gt;0,AC350&gt;0),1,0))</f>
        <v>0</v>
      </c>
      <c r="AE350" s="599"/>
      <c r="AF350" s="599"/>
    </row>
    <row r="351" spans="2:109" ht="12" customHeight="1" x14ac:dyDescent="0.2">
      <c r="B351" s="1"/>
      <c r="C351" s="1"/>
      <c r="D351" s="1"/>
      <c r="E351" s="1"/>
      <c r="F351" s="1"/>
      <c r="G351" s="1"/>
      <c r="H351" s="1"/>
      <c r="I351" s="1"/>
      <c r="J351" s="1"/>
      <c r="K351" s="1"/>
      <c r="L351" s="1"/>
      <c r="M351" s="1"/>
      <c r="N351" s="1"/>
      <c r="O351" s="1"/>
      <c r="P351" s="182"/>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row>
    <row r="352" spans="2:109" x14ac:dyDescent="0.2">
      <c r="B352" s="256" t="s">
        <v>1233</v>
      </c>
      <c r="C352" s="1555" t="s">
        <v>1371</v>
      </c>
      <c r="D352" s="1555"/>
      <c r="E352" s="1555"/>
      <c r="F352" s="1555"/>
      <c r="G352" s="1555"/>
      <c r="H352" s="1534" t="s">
        <v>1796</v>
      </c>
      <c r="I352" s="1534"/>
      <c r="J352" s="1534"/>
      <c r="K352" s="42"/>
      <c r="L352" s="1534" t="s">
        <v>1234</v>
      </c>
      <c r="M352" s="1534"/>
      <c r="N352" s="1534"/>
      <c r="O352" s="1534"/>
      <c r="P352" s="1373">
        <f>V354</f>
        <v>0</v>
      </c>
      <c r="R352" s="18"/>
      <c r="S352" s="705" t="s">
        <v>1597</v>
      </c>
      <c r="T352" s="705" t="s">
        <v>1305</v>
      </c>
      <c r="U352" s="705" t="s">
        <v>1306</v>
      </c>
      <c r="V352" s="704" t="s">
        <v>1307</v>
      </c>
      <c r="AA352" s="775"/>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row>
    <row r="353" spans="1:109" ht="15" customHeight="1" x14ac:dyDescent="0.2">
      <c r="B353" s="185" t="s">
        <v>1246</v>
      </c>
      <c r="C353" s="1542"/>
      <c r="D353" s="1542"/>
      <c r="E353" s="1542"/>
      <c r="F353" s="1542"/>
      <c r="G353" s="1542"/>
      <c r="H353" s="1545">
        <f>IF(C353=$X$127,0.09,IF(C353=$Y$127,0.18,IF(C353=$Z$127,0.27,0)))</f>
        <v>0</v>
      </c>
      <c r="I353" s="1545"/>
      <c r="J353" s="1545"/>
      <c r="K353" s="185"/>
      <c r="L353" s="1542"/>
      <c r="M353" s="1542"/>
      <c r="N353" s="1542"/>
      <c r="O353" s="26">
        <f>IF(H353&gt;=S353,H353-S353,0)</f>
        <v>0</v>
      </c>
      <c r="P353" s="1373"/>
      <c r="R353" s="18"/>
      <c r="S353" s="186">
        <f>IF(L353=$Y$128,0.09,IF(L353=$Z$128,0.18,IF(L353=$AA$128,0.27,0)))</f>
        <v>0</v>
      </c>
      <c r="T353" s="186">
        <f>LARGE(O353:O355,1)</f>
        <v>0</v>
      </c>
      <c r="U353" s="684">
        <f>T353+T354*(1-T353)</f>
        <v>0</v>
      </c>
      <c r="V353" s="684">
        <f>ROUND(U353,2)</f>
        <v>0</v>
      </c>
      <c r="W353" s="1567" t="s">
        <v>2197</v>
      </c>
      <c r="X353" s="1567"/>
      <c r="Y353" s="1567"/>
      <c r="Z353" s="1567"/>
      <c r="AA353" s="780"/>
      <c r="AB353" s="775"/>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row>
    <row r="354" spans="1:109" ht="15" customHeight="1" x14ac:dyDescent="0.2">
      <c r="B354" s="256" t="s">
        <v>1247</v>
      </c>
      <c r="C354" s="1542"/>
      <c r="D354" s="1542"/>
      <c r="E354" s="1542"/>
      <c r="F354" s="1542"/>
      <c r="G354" s="1542"/>
      <c r="H354" s="1545">
        <f>IF(C354=$X$127,0.16,IF(C354=$Y$127,0.32,IF(C354=$Z$127,0.48,0)))</f>
        <v>0</v>
      </c>
      <c r="I354" s="1545"/>
      <c r="J354" s="1545"/>
      <c r="K354" s="185"/>
      <c r="L354" s="1542"/>
      <c r="M354" s="1542"/>
      <c r="N354" s="1542"/>
      <c r="O354" s="26">
        <f>IF(H354&gt;=S354,H354-S354,0)</f>
        <v>0</v>
      </c>
      <c r="P354" s="1373"/>
      <c r="R354" s="18"/>
      <c r="S354" s="186">
        <f>IF(L354=$Y$128,0.16,IF(L354=$Z$128,0.32,IF(L354=$AA$128,0.48,0)))</f>
        <v>0</v>
      </c>
      <c r="T354" s="186">
        <f>LARGE(O353:O355,2)</f>
        <v>0</v>
      </c>
      <c r="U354" s="684">
        <f>V353+T355*(1-V353)</f>
        <v>0</v>
      </c>
      <c r="V354" s="684">
        <f>ROUND(U354,2)</f>
        <v>0</v>
      </c>
      <c r="W354" s="58"/>
      <c r="X354" s="58" t="s">
        <v>1237</v>
      </c>
      <c r="Y354" s="58" t="s">
        <v>1238</v>
      </c>
      <c r="Z354" s="58" t="s">
        <v>1239</v>
      </c>
      <c r="AA354" s="5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row>
    <row r="355" spans="1:109" ht="15" customHeight="1" x14ac:dyDescent="0.2">
      <c r="B355" s="256" t="s">
        <v>1248</v>
      </c>
      <c r="C355" s="1542"/>
      <c r="D355" s="1542"/>
      <c r="E355" s="1542"/>
      <c r="F355" s="1542"/>
      <c r="G355" s="1542"/>
      <c r="H355" s="1545">
        <f>IF(C355=$X$127,0.2,IF(C355=$Y$127,0.4,IF(C355=$Z$127,0.6,0)))</f>
        <v>0</v>
      </c>
      <c r="I355" s="1545"/>
      <c r="J355" s="1545"/>
      <c r="K355" s="185"/>
      <c r="L355" s="1542"/>
      <c r="M355" s="1542"/>
      <c r="N355" s="1542"/>
      <c r="O355" s="26">
        <f>IF(H355&gt;=S355,H355-S355,0)</f>
        <v>0</v>
      </c>
      <c r="P355" s="1373"/>
      <c r="R355" s="18"/>
      <c r="S355" s="186">
        <f>IF(L355=$Y$128,0.2,IF(L355=$Z$128,0.4,IF(L355=$AA$128,0.6,0)))</f>
        <v>0</v>
      </c>
      <c r="T355" s="186">
        <f>LARGE(O353:O355,3)</f>
        <v>0</v>
      </c>
      <c r="U355" s="58"/>
      <c r="V355" s="58"/>
      <c r="W355" s="58"/>
      <c r="X355" s="58" t="s">
        <v>523</v>
      </c>
      <c r="Y355" s="58" t="s">
        <v>915</v>
      </c>
      <c r="Z355" s="186" t="s">
        <v>1803</v>
      </c>
      <c r="AA355" s="58" t="s">
        <v>1672</v>
      </c>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row>
    <row r="356" spans="1:109" ht="12" customHeight="1" x14ac:dyDescent="0.2">
      <c r="B356" s="1578"/>
      <c r="C356" s="1578"/>
      <c r="D356" s="1578"/>
      <c r="E356" s="1578"/>
      <c r="F356" s="1578"/>
      <c r="G356" s="1578"/>
      <c r="H356" s="1578"/>
      <c r="I356" s="1578"/>
      <c r="J356" s="1578"/>
      <c r="K356" s="1578"/>
      <c r="L356" s="1578"/>
      <c r="M356" s="1578"/>
      <c r="N356" s="1578"/>
      <c r="O356" s="1578"/>
      <c r="P356" s="191"/>
      <c r="R356" s="18"/>
      <c r="S356" s="19"/>
      <c r="T356" s="19"/>
      <c r="U356" s="18"/>
      <c r="V356" s="18"/>
      <c r="W356" s="18"/>
      <c r="X356" s="18"/>
      <c r="Y356" s="18"/>
      <c r="Z356" s="19"/>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row>
    <row r="357" spans="1:109" ht="15" customHeight="1" x14ac:dyDescent="0.2">
      <c r="A357" s="189"/>
      <c r="B357" s="1591" t="s">
        <v>968</v>
      </c>
      <c r="C357" s="1539"/>
      <c r="D357" s="1540"/>
      <c r="E357" s="1357" t="s">
        <v>573</v>
      </c>
      <c r="F357" s="1358"/>
      <c r="G357" s="1358"/>
      <c r="H357" s="1358"/>
      <c r="I357" s="1358"/>
      <c r="J357" s="1358"/>
      <c r="K357" s="1358"/>
      <c r="L357" s="1358"/>
      <c r="M357" s="1358"/>
      <c r="N357" s="1358"/>
      <c r="O357" s="1359"/>
      <c r="P357" s="303">
        <f>IF(T357=1,0.15,0)</f>
        <v>0</v>
      </c>
      <c r="R357" s="1557" t="s">
        <v>2197</v>
      </c>
      <c r="S357" s="706" t="b">
        <v>0</v>
      </c>
      <c r="T357" s="715">
        <f>IF(S357=TRUE,1,0)</f>
        <v>0</v>
      </c>
      <c r="U357" s="18"/>
      <c r="V357" s="18"/>
      <c r="W357" s="18"/>
      <c r="X357" s="18"/>
      <c r="Y357" s="18"/>
      <c r="Z357" s="18"/>
      <c r="AA357" s="18"/>
      <c r="AB357" s="18"/>
      <c r="AC357" s="18"/>
      <c r="AD357" s="18"/>
      <c r="AE357" s="18"/>
      <c r="AF357" s="18"/>
      <c r="AG357" s="18">
        <v>1E-4</v>
      </c>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row>
    <row r="358" spans="1:109" ht="15" customHeight="1" x14ac:dyDescent="0.2">
      <c r="B358" s="1591"/>
      <c r="C358" s="1539"/>
      <c r="D358" s="1540"/>
      <c r="E358" s="1357" t="s">
        <v>574</v>
      </c>
      <c r="F358" s="1358"/>
      <c r="G358" s="1358"/>
      <c r="H358" s="1358"/>
      <c r="I358" s="1358"/>
      <c r="J358" s="1358"/>
      <c r="K358" s="1358"/>
      <c r="L358" s="1358"/>
      <c r="M358" s="1358"/>
      <c r="N358" s="1358"/>
      <c r="O358" s="1359"/>
      <c r="P358" s="303">
        <f>IF(T358=1,0.25,0)</f>
        <v>0</v>
      </c>
      <c r="R358" s="1557"/>
      <c r="S358" s="706" t="b">
        <v>0</v>
      </c>
      <c r="T358" s="715">
        <f>IF(S358=TRUE,1,0)</f>
        <v>0</v>
      </c>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row>
    <row r="359" spans="1:109" ht="15" customHeight="1" x14ac:dyDescent="0.2">
      <c r="B359" s="1591"/>
      <c r="C359" s="1539"/>
      <c r="D359" s="1540"/>
      <c r="E359" s="1357" t="s">
        <v>788</v>
      </c>
      <c r="F359" s="1358"/>
      <c r="G359" s="1358"/>
      <c r="H359" s="1358"/>
      <c r="I359" s="1358"/>
      <c r="J359" s="1358"/>
      <c r="K359" s="1358"/>
      <c r="L359" s="1358"/>
      <c r="M359" s="1358"/>
      <c r="N359" s="1358"/>
      <c r="O359" s="1359"/>
      <c r="P359" s="303">
        <f>IF(T359=1,0.23,0)</f>
        <v>0</v>
      </c>
      <c r="R359" s="1557"/>
      <c r="S359" s="706" t="b">
        <v>0</v>
      </c>
      <c r="T359" s="715">
        <f>IF(S359=TRUE,1,0)</f>
        <v>0</v>
      </c>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row>
    <row r="360" spans="1:109" ht="12" customHeight="1" x14ac:dyDescent="0.2">
      <c r="B360" s="1395"/>
      <c r="C360" s="1395"/>
      <c r="D360" s="1395"/>
      <c r="E360" s="1395"/>
      <c r="F360" s="1395"/>
      <c r="G360" s="1395"/>
      <c r="H360" s="1395"/>
      <c r="I360" s="1395"/>
      <c r="J360" s="1395"/>
      <c r="K360" s="1395"/>
      <c r="L360" s="1395"/>
      <c r="M360" s="1395"/>
      <c r="N360" s="1395"/>
      <c r="O360" s="1395"/>
      <c r="P360" s="2"/>
      <c r="R360" s="18"/>
      <c r="S360" s="163"/>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row>
    <row r="361" spans="1:109" ht="15" customHeight="1" x14ac:dyDescent="0.2">
      <c r="B361" s="1541" t="s">
        <v>1249</v>
      </c>
      <c r="C361" s="1541"/>
      <c r="D361" s="1541"/>
      <c r="E361" s="1541"/>
      <c r="F361" s="1541"/>
      <c r="G361" s="1541"/>
      <c r="H361" s="1541"/>
      <c r="I361" s="1541"/>
      <c r="J361" s="1541"/>
      <c r="K361" s="1541"/>
      <c r="L361" s="1541"/>
      <c r="M361" s="1541"/>
      <c r="N361" s="1541"/>
      <c r="O361" s="388"/>
      <c r="P361" s="26">
        <f>SUMIF(T361:X361,O361,T362:X362)</f>
        <v>0</v>
      </c>
      <c r="R361" s="1561" t="s">
        <v>2197</v>
      </c>
      <c r="S361" s="1561"/>
      <c r="T361" s="715" t="s">
        <v>1969</v>
      </c>
      <c r="U361" s="715" t="s">
        <v>1970</v>
      </c>
      <c r="V361" s="716" t="s">
        <v>1972</v>
      </c>
      <c r="W361" s="715" t="s">
        <v>945</v>
      </c>
      <c r="X361" s="716" t="s">
        <v>558</v>
      </c>
      <c r="Y361" s="18"/>
      <c r="Z361" s="715" t="s">
        <v>1969</v>
      </c>
      <c r="AA361" s="715" t="s">
        <v>1970</v>
      </c>
      <c r="AB361" s="716" t="s">
        <v>1972</v>
      </c>
      <c r="AC361" s="715" t="s">
        <v>945</v>
      </c>
      <c r="AD361" s="716" t="s">
        <v>558</v>
      </c>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row>
    <row r="362" spans="1:109" ht="15" customHeight="1" x14ac:dyDescent="0.2">
      <c r="B362" s="1541" t="s">
        <v>1499</v>
      </c>
      <c r="C362" s="1541"/>
      <c r="D362" s="1541"/>
      <c r="E362" s="1541"/>
      <c r="F362" s="1541"/>
      <c r="G362" s="1541"/>
      <c r="H362" s="1541"/>
      <c r="I362" s="1541"/>
      <c r="J362" s="1541"/>
      <c r="K362" s="1541"/>
      <c r="L362" s="1541"/>
      <c r="M362" s="1541"/>
      <c r="N362" s="1541"/>
      <c r="O362" s="388"/>
      <c r="P362" s="26">
        <f>SUMIF(Z361:AD361,O362,Z362:AD362)</f>
        <v>0</v>
      </c>
      <c r="R362" s="1561"/>
      <c r="S362" s="1561"/>
      <c r="T362" s="716">
        <v>0.03</v>
      </c>
      <c r="U362" s="716">
        <v>0.15</v>
      </c>
      <c r="V362" s="716">
        <v>0.38</v>
      </c>
      <c r="W362" s="716">
        <v>0.68</v>
      </c>
      <c r="X362" s="716">
        <v>0.9</v>
      </c>
      <c r="Y362" s="18"/>
      <c r="Z362" s="716">
        <v>0.03</v>
      </c>
      <c r="AA362" s="716">
        <v>0.15</v>
      </c>
      <c r="AB362" s="716">
        <v>0.35</v>
      </c>
      <c r="AC362" s="716">
        <v>0.63</v>
      </c>
      <c r="AD362" s="716">
        <v>0.88</v>
      </c>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row>
    <row r="363" spans="1:109" ht="12" customHeight="1" x14ac:dyDescent="0.2">
      <c r="B363" s="1395"/>
      <c r="C363" s="1395"/>
      <c r="D363" s="1395"/>
      <c r="E363" s="1395"/>
      <c r="F363" s="1395"/>
      <c r="G363" s="1395"/>
      <c r="H363" s="1395"/>
      <c r="I363" s="1395"/>
      <c r="J363" s="1395"/>
      <c r="K363" s="1395"/>
      <c r="L363" s="1395"/>
      <c r="M363" s="1395"/>
      <c r="N363" s="1395"/>
      <c r="O363" s="1395"/>
      <c r="P363" s="182"/>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row>
    <row r="364" spans="1:109" ht="27" customHeight="1" x14ac:dyDescent="0.2">
      <c r="B364" s="1632" t="s">
        <v>1391</v>
      </c>
      <c r="C364" s="1633"/>
      <c r="D364" s="1633"/>
      <c r="E364" s="1633"/>
      <c r="F364" s="1634"/>
      <c r="G364" s="1626" t="s">
        <v>1525</v>
      </c>
      <c r="H364" s="1627"/>
      <c r="I364" s="1627"/>
      <c r="J364" s="1628"/>
      <c r="K364" s="1616"/>
      <c r="L364" s="1617"/>
      <c r="M364" s="1617"/>
      <c r="N364" s="1617"/>
      <c r="O364" s="1618"/>
      <c r="P364" s="1373">
        <f>U378</f>
        <v>0</v>
      </c>
      <c r="R364" s="185" t="s">
        <v>1865</v>
      </c>
      <c r="S364" s="58" t="s">
        <v>1305</v>
      </c>
      <c r="T364" s="58" t="s">
        <v>1306</v>
      </c>
      <c r="U364" s="58" t="s">
        <v>1307</v>
      </c>
      <c r="V364" s="1549" t="s">
        <v>801</v>
      </c>
      <c r="W364" s="1550"/>
      <c r="X364" s="1551"/>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row>
    <row r="365" spans="1:109" ht="15" customHeight="1" x14ac:dyDescent="0.2">
      <c r="B365" s="1410" t="s">
        <v>628</v>
      </c>
      <c r="C365" s="1410"/>
      <c r="D365" s="1410"/>
      <c r="E365" s="1373">
        <f>P309</f>
        <v>0</v>
      </c>
      <c r="F365" s="1373"/>
      <c r="G365" s="1534" t="s">
        <v>1942</v>
      </c>
      <c r="H365" s="1534"/>
      <c r="I365" s="1559"/>
      <c r="J365" s="1559"/>
      <c r="K365" s="1619"/>
      <c r="L365" s="1620"/>
      <c r="M365" s="1620"/>
      <c r="N365" s="1620"/>
      <c r="O365" s="1621"/>
      <c r="P365" s="1373"/>
      <c r="R365" s="688">
        <f>E365</f>
        <v>0</v>
      </c>
      <c r="S365" s="186">
        <f>LARGE($R$365:$R$379,1)</f>
        <v>0</v>
      </c>
      <c r="T365" s="684">
        <f>S365+S366*(1-S365)</f>
        <v>0</v>
      </c>
      <c r="U365" s="688">
        <f t="shared" ref="U365:U378" si="48">ROUND(T365,2)</f>
        <v>0</v>
      </c>
      <c r="V365" s="58">
        <f>IF(E365&gt;0,1,0)</f>
        <v>0</v>
      </c>
      <c r="W365" s="58">
        <f>COUNTIF(V365:V379,1)</f>
        <v>0</v>
      </c>
      <c r="X365" s="58">
        <f>IF(AND(W365=0,W366&gt;0),1,IF(W365&gt;0,2,0))</f>
        <v>0</v>
      </c>
      <c r="AA365" s="18"/>
      <c r="AC365" s="18"/>
      <c r="AD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row>
    <row r="366" spans="1:109" ht="15" customHeight="1" x14ac:dyDescent="0.2">
      <c r="B366" s="1410" t="s">
        <v>382</v>
      </c>
      <c r="C366" s="1410"/>
      <c r="D366" s="1410"/>
      <c r="E366" s="1373">
        <f>P312</f>
        <v>0</v>
      </c>
      <c r="F366" s="1373"/>
      <c r="G366" s="1534" t="s">
        <v>1942</v>
      </c>
      <c r="H366" s="1534"/>
      <c r="I366" s="1559"/>
      <c r="J366" s="1559"/>
      <c r="K366" s="1619"/>
      <c r="L366" s="1620"/>
      <c r="M366" s="1620"/>
      <c r="N366" s="1620"/>
      <c r="O366" s="1621"/>
      <c r="P366" s="1373"/>
      <c r="R366" s="688">
        <f>E366</f>
        <v>0</v>
      </c>
      <c r="S366" s="186">
        <f>LARGE($R$365:$R$379,2)</f>
        <v>0</v>
      </c>
      <c r="T366" s="684">
        <f>U365+S367*(1-U365)</f>
        <v>0</v>
      </c>
      <c r="U366" s="688">
        <f t="shared" si="48"/>
        <v>0</v>
      </c>
      <c r="V366" s="58">
        <f>IF(E366&gt;0,2,0)</f>
        <v>0</v>
      </c>
      <c r="W366" s="58">
        <f>COUNTIF(V365:V379,2)</f>
        <v>0</v>
      </c>
      <c r="X366" s="18"/>
      <c r="Y366" s="18" t="s">
        <v>511</v>
      </c>
      <c r="AA366" s="1395"/>
      <c r="AB366" s="1395"/>
      <c r="AC366" s="1395"/>
      <c r="AD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row>
    <row r="367" spans="1:109" ht="15" customHeight="1" x14ac:dyDescent="0.2">
      <c r="B367" s="1362" t="s">
        <v>1959</v>
      </c>
      <c r="C367" s="1363"/>
      <c r="D367" s="1364"/>
      <c r="E367" s="1373">
        <f>IF(E607&gt;0,0,P316)</f>
        <v>0</v>
      </c>
      <c r="F367" s="1373"/>
      <c r="G367" s="1729" t="s">
        <v>2260</v>
      </c>
      <c r="H367" s="1729"/>
      <c r="I367" s="1559"/>
      <c r="J367" s="1559"/>
      <c r="K367" s="1619"/>
      <c r="L367" s="1620"/>
      <c r="M367" s="1620"/>
      <c r="N367" s="1620"/>
      <c r="O367" s="1621"/>
      <c r="P367" s="1373"/>
      <c r="R367" s="688">
        <f t="shared" ref="R367:R374" si="49">IF(I367&gt;0,I367,E367)</f>
        <v>0</v>
      </c>
      <c r="S367" s="186">
        <f>LARGE($R$365:$R$379,3)</f>
        <v>0</v>
      </c>
      <c r="T367" s="684">
        <f>U366+S368*(1-U366)</f>
        <v>0</v>
      </c>
      <c r="U367" s="688">
        <f t="shared" si="48"/>
        <v>0</v>
      </c>
      <c r="V367" s="58">
        <f t="shared" ref="V367:V379" si="50">IF(E367&gt;0,1,0)</f>
        <v>0</v>
      </c>
      <c r="W367" s="18"/>
      <c r="X367" s="18"/>
      <c r="Y367" s="1087"/>
      <c r="Z367" s="18"/>
      <c r="AA367" s="1395"/>
      <c r="AB367" s="1395"/>
      <c r="AC367" s="1395"/>
      <c r="AD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row>
    <row r="368" spans="1:109" ht="15" customHeight="1" x14ac:dyDescent="0.2">
      <c r="B368" s="1410" t="s">
        <v>1417</v>
      </c>
      <c r="C368" s="1410"/>
      <c r="D368" s="1410"/>
      <c r="E368" s="1373">
        <f>P333</f>
        <v>0</v>
      </c>
      <c r="F368" s="1373"/>
      <c r="G368" s="1544"/>
      <c r="H368" s="1544"/>
      <c r="I368" s="1545">
        <f t="shared" ref="I368:I374" si="51">IF(AND(Y368&lt;0.01,Y368&gt;0),0.01,ROUND(Y368,2))</f>
        <v>0</v>
      </c>
      <c r="J368" s="1545"/>
      <c r="K368" s="1619"/>
      <c r="L368" s="1620"/>
      <c r="M368" s="1620"/>
      <c r="N368" s="1620"/>
      <c r="O368" s="1621"/>
      <c r="P368" s="1373"/>
      <c r="R368" s="688">
        <f t="shared" si="49"/>
        <v>0</v>
      </c>
      <c r="S368" s="186">
        <f>LARGE($R$365:$R$379,4)</f>
        <v>0</v>
      </c>
      <c r="T368" s="684">
        <f t="shared" ref="T368:T378" si="52">U367+S369*(1-U367)</f>
        <v>0</v>
      </c>
      <c r="U368" s="688">
        <f t="shared" si="48"/>
        <v>0</v>
      </c>
      <c r="V368" s="58">
        <f t="shared" si="50"/>
        <v>0</v>
      </c>
      <c r="W368" s="18"/>
      <c r="X368" s="18"/>
      <c r="Y368" s="1020">
        <f>E368*G368</f>
        <v>0</v>
      </c>
      <c r="Z368" s="860"/>
      <c r="AA368" s="1395"/>
      <c r="AB368" s="1395"/>
      <c r="AC368" s="1395"/>
      <c r="AD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row>
    <row r="369" spans="2:109" ht="15" customHeight="1" x14ac:dyDescent="0.2">
      <c r="B369" s="1362" t="s">
        <v>1418</v>
      </c>
      <c r="C369" s="1363"/>
      <c r="D369" s="1364"/>
      <c r="E369" s="1373">
        <f>P334</f>
        <v>0</v>
      </c>
      <c r="F369" s="1373"/>
      <c r="G369" s="1544"/>
      <c r="H369" s="1544"/>
      <c r="I369" s="1545">
        <f t="shared" si="51"/>
        <v>0</v>
      </c>
      <c r="J369" s="1545"/>
      <c r="K369" s="1619"/>
      <c r="L369" s="1620"/>
      <c r="M369" s="1620"/>
      <c r="N369" s="1620"/>
      <c r="O369" s="1621"/>
      <c r="P369" s="1373"/>
      <c r="R369" s="688">
        <f t="shared" si="49"/>
        <v>0</v>
      </c>
      <c r="S369" s="186">
        <f>LARGE($R$365:$R$379,5)</f>
        <v>0</v>
      </c>
      <c r="T369" s="684">
        <f t="shared" si="52"/>
        <v>0</v>
      </c>
      <c r="U369" s="688">
        <f t="shared" si="48"/>
        <v>0</v>
      </c>
      <c r="V369" s="58">
        <f t="shared" si="50"/>
        <v>0</v>
      </c>
      <c r="W369" s="18"/>
      <c r="X369" s="18"/>
      <c r="Y369" s="1020">
        <f t="shared" ref="Y369:Y374" si="53">E369*G369</f>
        <v>0</v>
      </c>
      <c r="Z369" s="860"/>
      <c r="AA369" s="1395"/>
      <c r="AB369" s="1395"/>
      <c r="AC369" s="1395"/>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row>
    <row r="370" spans="2:109" ht="15" customHeight="1" x14ac:dyDescent="0.2">
      <c r="B370" s="1362" t="s">
        <v>1419</v>
      </c>
      <c r="C370" s="1363"/>
      <c r="D370" s="1364"/>
      <c r="E370" s="1373">
        <f>P335</f>
        <v>0</v>
      </c>
      <c r="F370" s="1373"/>
      <c r="G370" s="1544"/>
      <c r="H370" s="1544"/>
      <c r="I370" s="1545">
        <f t="shared" si="51"/>
        <v>0</v>
      </c>
      <c r="J370" s="1545"/>
      <c r="K370" s="1619"/>
      <c r="L370" s="1620"/>
      <c r="M370" s="1620"/>
      <c r="N370" s="1620"/>
      <c r="O370" s="1621"/>
      <c r="P370" s="1373"/>
      <c r="R370" s="688">
        <f t="shared" si="49"/>
        <v>0</v>
      </c>
      <c r="S370" s="186">
        <f>LARGE($R$365:$R$379,6)</f>
        <v>0</v>
      </c>
      <c r="T370" s="684">
        <f t="shared" si="52"/>
        <v>0</v>
      </c>
      <c r="U370" s="688">
        <f t="shared" si="48"/>
        <v>0</v>
      </c>
      <c r="V370" s="58">
        <f t="shared" si="50"/>
        <v>0</v>
      </c>
      <c r="W370" s="18"/>
      <c r="X370" s="18"/>
      <c r="Y370" s="1020">
        <f t="shared" si="53"/>
        <v>0</v>
      </c>
      <c r="Z370" s="860"/>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row>
    <row r="371" spans="2:109" ht="15" customHeight="1" x14ac:dyDescent="0.2">
      <c r="B371" s="1362" t="s">
        <v>1420</v>
      </c>
      <c r="C371" s="1363"/>
      <c r="D371" s="1364"/>
      <c r="E371" s="1373">
        <f>P336</f>
        <v>0</v>
      </c>
      <c r="F371" s="1373"/>
      <c r="G371" s="1544"/>
      <c r="H371" s="1544"/>
      <c r="I371" s="1545">
        <f t="shared" si="51"/>
        <v>0</v>
      </c>
      <c r="J371" s="1545"/>
      <c r="K371" s="1619"/>
      <c r="L371" s="1620"/>
      <c r="M371" s="1620"/>
      <c r="N371" s="1620"/>
      <c r="O371" s="1621"/>
      <c r="P371" s="1373"/>
      <c r="R371" s="688">
        <f t="shared" si="49"/>
        <v>0</v>
      </c>
      <c r="S371" s="186">
        <f>LARGE($R$365:$R$379,7)</f>
        <v>0</v>
      </c>
      <c r="T371" s="684">
        <f t="shared" si="52"/>
        <v>0</v>
      </c>
      <c r="U371" s="688">
        <f t="shared" si="48"/>
        <v>0</v>
      </c>
      <c r="V371" s="58">
        <f t="shared" si="50"/>
        <v>0</v>
      </c>
      <c r="W371" s="18"/>
      <c r="X371" s="18"/>
      <c r="Y371" s="1020">
        <f t="shared" si="53"/>
        <v>0</v>
      </c>
      <c r="Z371" s="860"/>
      <c r="AA371" s="1073"/>
      <c r="AB371" s="1073"/>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row>
    <row r="372" spans="2:109" ht="15" customHeight="1" x14ac:dyDescent="0.2">
      <c r="B372" s="1410" t="s">
        <v>1986</v>
      </c>
      <c r="C372" s="1410"/>
      <c r="D372" s="1410"/>
      <c r="E372" s="1373">
        <f>P345</f>
        <v>0</v>
      </c>
      <c r="F372" s="1373"/>
      <c r="G372" s="1544"/>
      <c r="H372" s="1544"/>
      <c r="I372" s="1545">
        <f t="shared" si="51"/>
        <v>0</v>
      </c>
      <c r="J372" s="1545"/>
      <c r="K372" s="1619"/>
      <c r="L372" s="1620"/>
      <c r="M372" s="1620"/>
      <c r="N372" s="1620"/>
      <c r="O372" s="1621"/>
      <c r="P372" s="1373"/>
      <c r="R372" s="688">
        <f t="shared" si="49"/>
        <v>0</v>
      </c>
      <c r="S372" s="186">
        <f>LARGE($R$365:$R$379,8)</f>
        <v>0</v>
      </c>
      <c r="T372" s="684">
        <f t="shared" si="52"/>
        <v>0</v>
      </c>
      <c r="U372" s="688">
        <f t="shared" si="48"/>
        <v>0</v>
      </c>
      <c r="V372" s="58">
        <f t="shared" si="50"/>
        <v>0</v>
      </c>
      <c r="W372" s="18"/>
      <c r="X372" s="18"/>
      <c r="Y372" s="1020">
        <f t="shared" si="53"/>
        <v>0</v>
      </c>
      <c r="Z372" s="860"/>
      <c r="AA372" s="1073"/>
      <c r="AB372" s="1073"/>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row>
    <row r="373" spans="2:109" ht="15" customHeight="1" x14ac:dyDescent="0.2">
      <c r="B373" s="1410" t="s">
        <v>1227</v>
      </c>
      <c r="C373" s="1410"/>
      <c r="D373" s="1410"/>
      <c r="E373" s="1373">
        <f>P350</f>
        <v>0</v>
      </c>
      <c r="F373" s="1373"/>
      <c r="G373" s="1544"/>
      <c r="H373" s="1544"/>
      <c r="I373" s="1545">
        <f t="shared" si="51"/>
        <v>0</v>
      </c>
      <c r="J373" s="1545"/>
      <c r="K373" s="1030"/>
      <c r="L373" s="1031"/>
      <c r="M373" s="1031"/>
      <c r="N373" s="1031"/>
      <c r="O373" s="1032"/>
      <c r="P373" s="1373"/>
      <c r="R373" s="688">
        <f t="shared" si="49"/>
        <v>0</v>
      </c>
      <c r="S373" s="186">
        <f>LARGE($R$365:$R$379,9)</f>
        <v>0</v>
      </c>
      <c r="T373" s="684">
        <f t="shared" si="52"/>
        <v>0</v>
      </c>
      <c r="U373" s="688">
        <f t="shared" si="48"/>
        <v>0</v>
      </c>
      <c r="V373" s="58">
        <f t="shared" si="50"/>
        <v>0</v>
      </c>
      <c r="W373" s="18"/>
      <c r="X373" s="18"/>
      <c r="Y373" s="1020">
        <f t="shared" si="53"/>
        <v>0</v>
      </c>
      <c r="Z373" s="373"/>
      <c r="AA373" s="1073"/>
      <c r="AB373" s="1073"/>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row>
    <row r="374" spans="2:109" ht="15" customHeight="1" x14ac:dyDescent="0.2">
      <c r="B374" s="1410" t="s">
        <v>1233</v>
      </c>
      <c r="C374" s="1410"/>
      <c r="D374" s="1410"/>
      <c r="E374" s="1373">
        <f>P352</f>
        <v>0</v>
      </c>
      <c r="F374" s="1373"/>
      <c r="G374" s="1544"/>
      <c r="H374" s="1544"/>
      <c r="I374" s="1545">
        <f t="shared" si="51"/>
        <v>0</v>
      </c>
      <c r="J374" s="1545"/>
      <c r="K374" s="1030"/>
      <c r="L374" s="1031"/>
      <c r="M374" s="1031"/>
      <c r="N374" s="1031"/>
      <c r="O374" s="1032"/>
      <c r="P374" s="1373"/>
      <c r="R374" s="688">
        <f t="shared" si="49"/>
        <v>0</v>
      </c>
      <c r="S374" s="186">
        <f>LARGE($R$365:$R$379,10)</f>
        <v>0</v>
      </c>
      <c r="T374" s="684">
        <f t="shared" si="52"/>
        <v>0</v>
      </c>
      <c r="U374" s="688">
        <f t="shared" si="48"/>
        <v>0</v>
      </c>
      <c r="V374" s="58">
        <f t="shared" si="50"/>
        <v>0</v>
      </c>
      <c r="W374" s="18"/>
      <c r="X374" s="18"/>
      <c r="Y374" s="1020">
        <f t="shared" si="53"/>
        <v>0</v>
      </c>
      <c r="Z374" s="373"/>
      <c r="AA374" s="1073"/>
      <c r="AB374" s="1073"/>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row>
    <row r="375" spans="2:109" ht="15" customHeight="1" x14ac:dyDescent="0.2">
      <c r="B375" s="1410" t="s">
        <v>383</v>
      </c>
      <c r="C375" s="1410"/>
      <c r="D375" s="1410"/>
      <c r="E375" s="1373">
        <f>P357</f>
        <v>0</v>
      </c>
      <c r="F375" s="1373"/>
      <c r="G375" s="1534" t="s">
        <v>1942</v>
      </c>
      <c r="H375" s="1534"/>
      <c r="I375" s="1559"/>
      <c r="J375" s="1559"/>
      <c r="K375" s="1588" t="str">
        <f>IF(AND(P316&gt;0,E607&gt;0),"A value has been granted for motor loss. Additional impairment value is not allowed for reduced ROM in the same extremity.","")</f>
        <v/>
      </c>
      <c r="L375" s="1589"/>
      <c r="M375" s="1589"/>
      <c r="N375" s="1589"/>
      <c r="O375" s="1590"/>
      <c r="P375" s="1373"/>
      <c r="R375" s="688">
        <f>E375</f>
        <v>0</v>
      </c>
      <c r="S375" s="186">
        <f>LARGE($R$365:$R$379,11)</f>
        <v>0</v>
      </c>
      <c r="T375" s="684">
        <f t="shared" si="52"/>
        <v>0</v>
      </c>
      <c r="U375" s="688">
        <f t="shared" si="48"/>
        <v>0</v>
      </c>
      <c r="V375" s="58">
        <f t="shared" si="50"/>
        <v>0</v>
      </c>
      <c r="W375" s="18"/>
      <c r="X375" s="18"/>
      <c r="Y375" s="370"/>
      <c r="Z375" s="373"/>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row>
    <row r="376" spans="2:109" ht="15" customHeight="1" x14ac:dyDescent="0.2">
      <c r="B376" s="1410" t="s">
        <v>384</v>
      </c>
      <c r="C376" s="1410"/>
      <c r="D376" s="1410"/>
      <c r="E376" s="1373">
        <f>P358</f>
        <v>0</v>
      </c>
      <c r="F376" s="1373"/>
      <c r="G376" s="1534" t="s">
        <v>1942</v>
      </c>
      <c r="H376" s="1534"/>
      <c r="I376" s="1559"/>
      <c r="J376" s="1559"/>
      <c r="K376" s="1588"/>
      <c r="L376" s="1589"/>
      <c r="M376" s="1589"/>
      <c r="N376" s="1589"/>
      <c r="O376" s="1590"/>
      <c r="P376" s="1373"/>
      <c r="R376" s="688">
        <f>E376</f>
        <v>0</v>
      </c>
      <c r="S376" s="186">
        <f>LARGE($R$365:$R$379,12)</f>
        <v>0</v>
      </c>
      <c r="T376" s="684">
        <f t="shared" si="52"/>
        <v>0</v>
      </c>
      <c r="U376" s="688">
        <f t="shared" si="48"/>
        <v>0</v>
      </c>
      <c r="V376" s="58">
        <f t="shared" si="50"/>
        <v>0</v>
      </c>
      <c r="W376" s="18"/>
      <c r="X376" s="18"/>
      <c r="Y376" s="370"/>
      <c r="Z376" s="315"/>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row>
    <row r="377" spans="2:109" ht="15" customHeight="1" x14ac:dyDescent="0.2">
      <c r="B377" s="1410" t="s">
        <v>807</v>
      </c>
      <c r="C377" s="1410"/>
      <c r="D377" s="1410"/>
      <c r="E377" s="1373">
        <f>P359</f>
        <v>0</v>
      </c>
      <c r="F377" s="1373"/>
      <c r="G377" s="1534" t="s">
        <v>1942</v>
      </c>
      <c r="H377" s="1534"/>
      <c r="I377" s="1559"/>
      <c r="J377" s="1559"/>
      <c r="K377" s="1588"/>
      <c r="L377" s="1589"/>
      <c r="M377" s="1589"/>
      <c r="N377" s="1589"/>
      <c r="O377" s="1590"/>
      <c r="P377" s="1373"/>
      <c r="R377" s="688">
        <f>E377</f>
        <v>0</v>
      </c>
      <c r="S377" s="186">
        <f>LARGE($R$365:$R$379,13)</f>
        <v>0</v>
      </c>
      <c r="T377" s="684">
        <f t="shared" si="52"/>
        <v>0</v>
      </c>
      <c r="U377" s="688">
        <f t="shared" si="48"/>
        <v>0</v>
      </c>
      <c r="V377" s="58">
        <f t="shared" si="50"/>
        <v>0</v>
      </c>
      <c r="W377" s="18"/>
      <c r="X377" s="18"/>
      <c r="Y377" s="370"/>
      <c r="Z377" s="315"/>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row>
    <row r="378" spans="2:109" ht="15" customHeight="1" x14ac:dyDescent="0.2">
      <c r="B378" s="1410" t="s">
        <v>1447</v>
      </c>
      <c r="C378" s="1410"/>
      <c r="D378" s="1410"/>
      <c r="E378" s="1373">
        <f>P361</f>
        <v>0</v>
      </c>
      <c r="F378" s="1373"/>
      <c r="G378" s="1544"/>
      <c r="H378" s="1544"/>
      <c r="I378" s="1545">
        <f>IF(AND(Y378&lt;0.01,Y378&gt;0),0.01,ROUND(Y378,2))</f>
        <v>0</v>
      </c>
      <c r="J378" s="1545"/>
      <c r="K378" s="1588"/>
      <c r="L378" s="1589"/>
      <c r="M378" s="1589"/>
      <c r="N378" s="1589"/>
      <c r="O378" s="1590"/>
      <c r="P378" s="1373"/>
      <c r="R378" s="688">
        <f>IF(I378&gt;0,I378,E378)</f>
        <v>0</v>
      </c>
      <c r="S378" s="186">
        <f>LARGE($R$365:$R$379,14)</f>
        <v>0</v>
      </c>
      <c r="T378" s="684">
        <f t="shared" si="52"/>
        <v>0</v>
      </c>
      <c r="U378" s="688">
        <f t="shared" si="48"/>
        <v>0</v>
      </c>
      <c r="V378" s="58">
        <f t="shared" si="50"/>
        <v>0</v>
      </c>
      <c r="W378" s="18"/>
      <c r="X378" s="18"/>
      <c r="Y378" s="1020">
        <f t="shared" ref="Y378:Y379" si="54">E378*G378</f>
        <v>0</v>
      </c>
      <c r="Z378" s="85"/>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row>
    <row r="379" spans="2:109" ht="15" customHeight="1" x14ac:dyDescent="0.2">
      <c r="B379" s="1408" t="s">
        <v>1254</v>
      </c>
      <c r="C379" s="1408"/>
      <c r="D379" s="1408"/>
      <c r="E379" s="1630">
        <f>P362</f>
        <v>0</v>
      </c>
      <c r="F379" s="1630"/>
      <c r="G379" s="1622"/>
      <c r="H379" s="1622"/>
      <c r="I379" s="1612">
        <f>IF(AND(Y379&lt;0.01,Y379&gt;0),0.01,ROUND(Y379,2))</f>
        <v>0</v>
      </c>
      <c r="J379" s="1612"/>
      <c r="K379" s="1574"/>
      <c r="L379" s="1575"/>
      <c r="M379" s="1575"/>
      <c r="N379" s="1575"/>
      <c r="O379" s="1576"/>
      <c r="P379" s="1373"/>
      <c r="Q379" s="3"/>
      <c r="R379" s="688">
        <f>IF(I379&gt;0,I379,E379)</f>
        <v>0</v>
      </c>
      <c r="S379" s="186">
        <f>LARGE($R$365:$R$379,15)</f>
        <v>0</v>
      </c>
      <c r="T379" s="707"/>
      <c r="U379" s="688"/>
      <c r="V379" s="58">
        <f t="shared" si="50"/>
        <v>0</v>
      </c>
      <c r="W379" s="18"/>
      <c r="X379" s="18"/>
      <c r="Y379" s="1020">
        <f t="shared" si="54"/>
        <v>0</v>
      </c>
      <c r="Z379" s="85"/>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row>
    <row r="380" spans="2:109" ht="15" customHeight="1" x14ac:dyDescent="0.2">
      <c r="B380" s="1568" t="s">
        <v>1392</v>
      </c>
      <c r="C380" s="1568"/>
      <c r="D380" s="1568"/>
      <c r="E380" s="1568"/>
      <c r="F380" s="1568"/>
      <c r="G380" s="1568"/>
      <c r="H380" s="1568"/>
      <c r="I380" s="1568"/>
      <c r="J380" s="1568"/>
      <c r="K380" s="1568"/>
      <c r="L380" s="1568"/>
      <c r="M380" s="1568"/>
      <c r="N380" s="1568"/>
      <c r="O380" s="1568"/>
      <c r="P380" s="1373"/>
      <c r="Q380" s="3"/>
      <c r="R380" s="19"/>
      <c r="S380" s="177"/>
      <c r="T380" s="157"/>
      <c r="U380" s="18"/>
      <c r="V380" s="18"/>
      <c r="W380" s="18"/>
      <c r="X380" s="18"/>
      <c r="Y380" s="85"/>
      <c r="Z380" s="85"/>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row>
    <row r="381" spans="2:109" ht="15" customHeight="1" x14ac:dyDescent="0.2">
      <c r="B381" s="1469"/>
      <c r="C381" s="1469"/>
      <c r="D381" s="1469"/>
      <c r="E381" s="1469"/>
      <c r="F381" s="1469"/>
      <c r="G381" s="1469"/>
      <c r="H381" s="1469"/>
      <c r="I381" s="1469"/>
      <c r="J381" s="1469"/>
      <c r="K381" s="1469"/>
      <c r="L381" s="1469"/>
      <c r="M381" s="1469"/>
      <c r="N381" s="1469"/>
      <c r="O381" s="1469"/>
      <c r="P381" s="1469"/>
      <c r="R381" s="18"/>
      <c r="S381" s="18"/>
      <c r="T381" s="18"/>
      <c r="U381" s="18"/>
      <c r="V381" s="18"/>
      <c r="W381" s="18"/>
      <c r="X381" s="18"/>
      <c r="Y381" s="1068"/>
      <c r="Z381" s="106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row>
    <row r="382" spans="2:109" ht="15" customHeight="1" x14ac:dyDescent="0.2">
      <c r="B382" s="10"/>
      <c r="C382" s="10"/>
      <c r="D382" s="10"/>
      <c r="E382" s="10"/>
      <c r="F382" s="10"/>
      <c r="G382" s="10"/>
      <c r="H382" s="10"/>
      <c r="I382" s="10"/>
      <c r="J382" s="10"/>
      <c r="K382" s="10"/>
      <c r="L382" s="10"/>
      <c r="M382" s="10"/>
      <c r="N382" s="10"/>
      <c r="O382" s="10"/>
      <c r="P382" s="10"/>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row>
    <row r="383" spans="2:109" ht="18" customHeight="1" x14ac:dyDescent="0.2">
      <c r="B383" s="1679" t="s">
        <v>1393</v>
      </c>
      <c r="C383" s="1779"/>
      <c r="D383" s="1779"/>
      <c r="E383" s="1779"/>
      <c r="F383" s="1779"/>
      <c r="G383" s="1779"/>
      <c r="H383" s="1779"/>
      <c r="I383" s="1779"/>
      <c r="J383" s="1779"/>
      <c r="K383" s="1779"/>
      <c r="L383" s="1779"/>
      <c r="M383" s="1779"/>
      <c r="N383" s="1779"/>
      <c r="O383" s="1779"/>
      <c r="P383" s="1780"/>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row>
    <row r="384" spans="2:109" ht="18" customHeight="1" x14ac:dyDescent="0.2">
      <c r="B384" s="1410" t="s">
        <v>145</v>
      </c>
      <c r="C384" s="1410"/>
      <c r="D384" s="1410"/>
      <c r="E384" s="1410"/>
      <c r="F384" s="1410"/>
      <c r="G384" s="1410"/>
      <c r="H384" s="1410"/>
      <c r="I384" s="1410"/>
      <c r="J384" s="1410"/>
      <c r="K384" s="1410"/>
      <c r="L384" s="1410"/>
      <c r="M384" s="1410"/>
      <c r="N384" s="1410"/>
      <c r="O384" s="1410"/>
      <c r="P384" s="269"/>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row>
    <row r="385" spans="1:109" ht="21" customHeight="1" x14ac:dyDescent="0.2">
      <c r="A385" s="189"/>
      <c r="B385" s="1639"/>
      <c r="C385" s="1639"/>
      <c r="D385" s="1639"/>
      <c r="E385" s="1639"/>
      <c r="F385" s="1639"/>
      <c r="G385" s="1639"/>
      <c r="H385" s="1639"/>
      <c r="I385" s="1639"/>
      <c r="J385" s="1639"/>
      <c r="K385" s="1639"/>
      <c r="L385" s="1639"/>
      <c r="M385" s="1639"/>
      <c r="N385" s="1639"/>
      <c r="O385" s="1639"/>
      <c r="P385" s="26">
        <f>IF(R385&gt;1,1,0)</f>
        <v>0</v>
      </c>
      <c r="R385" s="735">
        <v>1</v>
      </c>
      <c r="S385" s="19"/>
      <c r="T385" s="19"/>
      <c r="U385" s="18"/>
      <c r="V385" s="19"/>
      <c r="W385" s="178">
        <v>1E-4</v>
      </c>
      <c r="X385" s="19"/>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row>
    <row r="386" spans="1:109" ht="18" customHeight="1" x14ac:dyDescent="0.2">
      <c r="A386" s="189"/>
      <c r="B386" s="1410" t="s">
        <v>1623</v>
      </c>
      <c r="C386" s="1410"/>
      <c r="D386" s="1410"/>
      <c r="E386" s="1410"/>
      <c r="F386" s="1639"/>
      <c r="G386" s="1639"/>
      <c r="H386" s="1410" t="s">
        <v>715</v>
      </c>
      <c r="I386" s="1410"/>
      <c r="J386" s="1410"/>
      <c r="K386" s="1410"/>
      <c r="L386" s="1410"/>
      <c r="M386" s="1410"/>
      <c r="N386" s="1410"/>
      <c r="O386" s="1410"/>
      <c r="P386" s="26">
        <f>IF($P$385&gt;0,0,IF(S386=1,0.1,0))</f>
        <v>0</v>
      </c>
      <c r="R386" s="686" t="b">
        <v>0</v>
      </c>
      <c r="S386" s="736">
        <f>IF(R386=TRUE,1,0)</f>
        <v>0</v>
      </c>
      <c r="T386" s="18"/>
      <c r="U386" s="18"/>
      <c r="V386" s="18"/>
      <c r="W386" s="18">
        <v>1E-4</v>
      </c>
      <c r="X386" s="18"/>
      <c r="Y386" s="165"/>
      <c r="Z386" s="1569"/>
      <c r="AA386" s="1569"/>
      <c r="AB386" s="1569"/>
      <c r="AC386" s="18"/>
      <c r="AD386" s="18"/>
      <c r="AE386" s="18"/>
      <c r="AF386" s="18"/>
      <c r="AG386" s="18"/>
      <c r="AH386" s="18"/>
      <c r="AI386" s="111"/>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row>
    <row r="387" spans="1:109" ht="18" customHeight="1" x14ac:dyDescent="0.2">
      <c r="B387" s="1765" t="str">
        <f>IF(AND(P385=1,T389&gt;0),"ERROR: Hand loss has occurred proximal to the metacarpals. Uncheck boxes at right.","")</f>
        <v/>
      </c>
      <c r="C387" s="1765"/>
      <c r="D387" s="1765"/>
      <c r="E387" s="1765"/>
      <c r="F387" s="1639"/>
      <c r="G387" s="1639"/>
      <c r="H387" s="1410" t="s">
        <v>1259</v>
      </c>
      <c r="I387" s="1410"/>
      <c r="J387" s="1410"/>
      <c r="K387" s="1410"/>
      <c r="L387" s="1410"/>
      <c r="M387" s="1410"/>
      <c r="N387" s="1410"/>
      <c r="O387" s="1410"/>
      <c r="P387" s="26">
        <f>IF($P$385&gt;0,0,IF(S387=1,0.1,0))</f>
        <v>0</v>
      </c>
      <c r="R387" s="686" t="b">
        <v>0</v>
      </c>
      <c r="S387" s="736">
        <f>IF(R387=TRUE,1,0)</f>
        <v>0</v>
      </c>
      <c r="T387" s="724" t="s">
        <v>1260</v>
      </c>
      <c r="U387" s="18"/>
      <c r="V387" s="18"/>
      <c r="W387" s="18"/>
      <c r="X387" s="18"/>
      <c r="Y387" s="165"/>
      <c r="Z387" s="18"/>
      <c r="AA387" s="18"/>
      <c r="AB387" s="18"/>
      <c r="AC387" s="18"/>
      <c r="AD387" s="18"/>
      <c r="AE387" s="18"/>
      <c r="AF387" s="18"/>
      <c r="AG387" s="18"/>
      <c r="AH387" s="18"/>
      <c r="AI387" s="111"/>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row>
    <row r="388" spans="1:109" ht="18" customHeight="1" x14ac:dyDescent="0.2">
      <c r="B388" s="1765"/>
      <c r="C388" s="1765"/>
      <c r="D388" s="1765"/>
      <c r="E388" s="1765"/>
      <c r="F388" s="1639"/>
      <c r="G388" s="1639"/>
      <c r="H388" s="1410" t="s">
        <v>1261</v>
      </c>
      <c r="I388" s="1410"/>
      <c r="J388" s="1410"/>
      <c r="K388" s="1410"/>
      <c r="L388" s="1410"/>
      <c r="M388" s="1410"/>
      <c r="N388" s="1410"/>
      <c r="O388" s="1410"/>
      <c r="P388" s="26">
        <f>IF($P$385&gt;0,0,IF(S388=1,0.1,0))</f>
        <v>0</v>
      </c>
      <c r="R388" s="686" t="b">
        <v>0</v>
      </c>
      <c r="S388" s="736">
        <f>IF(R388=TRUE,1,0)</f>
        <v>0</v>
      </c>
      <c r="T388" s="724" t="s">
        <v>1262</v>
      </c>
      <c r="U388" s="18"/>
      <c r="V388" s="18"/>
      <c r="W388" s="18"/>
      <c r="X388" s="18"/>
      <c r="Y388" s="165"/>
      <c r="Z388" s="18"/>
      <c r="AA388" s="18"/>
      <c r="AB388" s="18"/>
      <c r="AC388" s="18"/>
      <c r="AD388" s="18"/>
      <c r="AE388" s="18"/>
      <c r="AF388" s="18"/>
      <c r="AG388" s="18"/>
      <c r="AH388" s="18"/>
      <c r="AI388" s="111"/>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row>
    <row r="389" spans="1:109" ht="18" customHeight="1" x14ac:dyDescent="0.2">
      <c r="B389" s="1765"/>
      <c r="C389" s="1765"/>
      <c r="D389" s="1765"/>
      <c r="E389" s="1765"/>
      <c r="F389" s="1639"/>
      <c r="G389" s="1639"/>
      <c r="H389" s="1410" t="s">
        <v>1263</v>
      </c>
      <c r="I389" s="1410"/>
      <c r="J389" s="1410"/>
      <c r="K389" s="1410"/>
      <c r="L389" s="1410"/>
      <c r="M389" s="1410"/>
      <c r="N389" s="1410"/>
      <c r="O389" s="1410"/>
      <c r="P389" s="26">
        <f>IF($P$385&gt;0,0,IF(S389=1,0.1,0))</f>
        <v>0</v>
      </c>
      <c r="R389" s="686" t="b">
        <v>0</v>
      </c>
      <c r="S389" s="736">
        <f>IF(R389=TRUE,1,0)</f>
        <v>0</v>
      </c>
      <c r="T389" s="724">
        <f>IF(OR(S386=1,S387=1,S388=1,S389=1,S390=1),1,0)</f>
        <v>0</v>
      </c>
      <c r="U389" s="18"/>
      <c r="V389" s="18"/>
      <c r="W389" s="18"/>
      <c r="X389" s="725"/>
      <c r="Y389" s="725"/>
      <c r="Z389" s="725"/>
      <c r="AA389" s="725"/>
      <c r="AB389" s="725"/>
      <c r="AC389" s="725"/>
      <c r="AD389" s="725"/>
      <c r="AE389" s="18"/>
      <c r="AF389" s="18"/>
      <c r="AG389" s="18"/>
      <c r="AH389" s="18"/>
      <c r="AI389" s="111"/>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row>
    <row r="390" spans="1:109" ht="18" customHeight="1" x14ac:dyDescent="0.2">
      <c r="B390" s="1765"/>
      <c r="C390" s="1765"/>
      <c r="D390" s="1765"/>
      <c r="E390" s="1765"/>
      <c r="F390" s="1639"/>
      <c r="G390" s="1639"/>
      <c r="H390" s="1410" t="s">
        <v>894</v>
      </c>
      <c r="I390" s="1410"/>
      <c r="J390" s="1410"/>
      <c r="K390" s="1410"/>
      <c r="L390" s="1410"/>
      <c r="M390" s="1410"/>
      <c r="N390" s="1410"/>
      <c r="O390" s="1410"/>
      <c r="P390" s="26">
        <f>IF($P$385&gt;0,0,IF(S390=1,0.1,0))</f>
        <v>0</v>
      </c>
      <c r="R390" s="686" t="b">
        <v>0</v>
      </c>
      <c r="S390" s="736">
        <f>IF(R390=TRUE,1,0)</f>
        <v>0</v>
      </c>
      <c r="T390" s="18"/>
      <c r="U390" s="18"/>
      <c r="V390" s="18"/>
      <c r="W390" s="18"/>
      <c r="X390" s="18"/>
      <c r="Y390" s="165"/>
      <c r="Z390" s="18"/>
      <c r="AA390" s="18"/>
      <c r="AB390" s="18"/>
      <c r="AC390" s="18"/>
      <c r="AD390" s="18"/>
      <c r="AE390" s="18"/>
      <c r="AF390" s="18"/>
      <c r="AG390" s="18"/>
      <c r="AH390" s="18"/>
      <c r="AI390" s="111"/>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row>
    <row r="391" spans="1:109" ht="12" customHeight="1" x14ac:dyDescent="0.2">
      <c r="B391" s="1395"/>
      <c r="C391" s="1395"/>
      <c r="D391" s="1395"/>
      <c r="E391" s="1395"/>
      <c r="F391" s="1395"/>
      <c r="G391" s="1395"/>
      <c r="H391" s="1395"/>
      <c r="I391" s="1395"/>
      <c r="J391" s="1395"/>
      <c r="K391" s="1395"/>
      <c r="L391" s="1395"/>
      <c r="M391" s="1395"/>
      <c r="N391" s="1395"/>
      <c r="O391" s="1395"/>
      <c r="P391" s="1"/>
      <c r="R391" s="18"/>
      <c r="S391" s="18"/>
      <c r="T391" s="18"/>
      <c r="U391" s="18"/>
      <c r="V391" s="18"/>
      <c r="W391" s="18"/>
      <c r="X391" s="18"/>
      <c r="Y391" s="18"/>
      <c r="Z391" s="18"/>
      <c r="AA391" s="18"/>
      <c r="AB391" s="18"/>
      <c r="AC391" s="18"/>
      <c r="AD391" s="18"/>
      <c r="AE391" s="18"/>
      <c r="AF391" s="18"/>
      <c r="AG391" s="18"/>
      <c r="AH391" s="18"/>
      <c r="AI391" s="111"/>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row>
    <row r="392" spans="1:109" ht="18" customHeight="1" x14ac:dyDescent="0.2">
      <c r="B392" s="1555" t="s">
        <v>1595</v>
      </c>
      <c r="C392" s="1555"/>
      <c r="D392" s="1555"/>
      <c r="E392" s="1555"/>
      <c r="F392" s="1555"/>
      <c r="G392" s="1555"/>
      <c r="H392" s="1555"/>
      <c r="I392" s="1555"/>
      <c r="J392" s="1555"/>
      <c r="K392" s="1555"/>
      <c r="L392" s="1555"/>
      <c r="M392" s="1555"/>
      <c r="N392" s="1555"/>
      <c r="O392" s="1555"/>
      <c r="P392" s="1645"/>
      <c r="R392" s="18"/>
      <c r="S392" s="18"/>
      <c r="T392" s="1531" t="s">
        <v>2189</v>
      </c>
      <c r="U392" s="1532"/>
      <c r="V392" s="18"/>
      <c r="W392" s="18"/>
      <c r="X392" s="18"/>
      <c r="Y392" s="18"/>
      <c r="Z392" s="18"/>
      <c r="AA392" s="18"/>
      <c r="AB392" s="18"/>
      <c r="AC392" s="18"/>
      <c r="AD392" s="18"/>
      <c r="AE392" s="18"/>
      <c r="AF392" s="18"/>
      <c r="AG392" s="18"/>
      <c r="AH392" s="18"/>
      <c r="AI392" s="18"/>
      <c r="AJ392" s="1379" t="s">
        <v>692</v>
      </c>
      <c r="AK392" s="1379" t="s">
        <v>693</v>
      </c>
      <c r="AL392" s="1379" t="s">
        <v>895</v>
      </c>
      <c r="AM392" s="1379" t="s">
        <v>896</v>
      </c>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row>
    <row r="393" spans="1:109" ht="27" customHeight="1" x14ac:dyDescent="0.2">
      <c r="B393" s="23" t="s">
        <v>729</v>
      </c>
      <c r="C393" s="1555" t="s">
        <v>1596</v>
      </c>
      <c r="D393" s="1555"/>
      <c r="E393" s="1555"/>
      <c r="F393" s="1555"/>
      <c r="G393" s="1536" t="s">
        <v>898</v>
      </c>
      <c r="H393" s="1536"/>
      <c r="I393" s="1536"/>
      <c r="J393" s="1536"/>
      <c r="K393" s="1555"/>
      <c r="L393" s="1555"/>
      <c r="M393" s="1555"/>
      <c r="N393" s="1555"/>
      <c r="O393" s="1555"/>
      <c r="P393" s="1745"/>
      <c r="R393" s="18"/>
      <c r="S393" s="721" t="s">
        <v>1655</v>
      </c>
      <c r="T393" s="731" t="s">
        <v>1596</v>
      </c>
      <c r="U393" s="731" t="s">
        <v>1597</v>
      </c>
      <c r="V393" s="1549" t="s">
        <v>1083</v>
      </c>
      <c r="W393" s="1550"/>
      <c r="X393" s="1550"/>
      <c r="Y393" s="1551"/>
      <c r="Z393" s="18"/>
      <c r="AA393" s="18"/>
      <c r="AB393" s="18"/>
      <c r="AC393" s="18"/>
      <c r="AD393" s="18"/>
      <c r="AE393" s="18"/>
      <c r="AF393" s="18"/>
      <c r="AG393" s="18"/>
      <c r="AH393" s="18"/>
      <c r="AI393" s="18"/>
      <c r="AJ393" s="1379"/>
      <c r="AK393" s="1379"/>
      <c r="AL393" s="1379"/>
      <c r="AM393" s="1379"/>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row>
    <row r="394" spans="1:109" ht="13.5" customHeight="1" x14ac:dyDescent="0.2">
      <c r="B394" s="185" t="s">
        <v>899</v>
      </c>
      <c r="C394" s="1345"/>
      <c r="D394" s="1440"/>
      <c r="E394" s="1558">
        <f>UETable!AV64</f>
        <v>0</v>
      </c>
      <c r="F394" s="1558"/>
      <c r="G394" s="1345"/>
      <c r="H394" s="1440"/>
      <c r="I394" s="1538">
        <f>IF(C394="",0,IF(OR(C394&lt;=0,G394&lt;=0),E394,IF(G394&lt;C394,0,UETable!BA64)))</f>
        <v>0</v>
      </c>
      <c r="J394" s="1538"/>
      <c r="K394" s="1556" t="str">
        <f>IF(OR(C394="NA",G394="NA"),"",IF(AND(C394&lt;&gt;"",G394=""),"Enter contralateral or NA.",IF(AND(C394="",G394&lt;&gt;""),"Need data","")))</f>
        <v/>
      </c>
      <c r="L394" s="1556"/>
      <c r="M394" s="1556"/>
      <c r="N394" s="1556"/>
      <c r="O394" s="1556"/>
      <c r="P394" s="1745"/>
      <c r="R394" s="160"/>
      <c r="S394" s="721">
        <v>15</v>
      </c>
      <c r="T394" s="721" t="str">
        <f>IF(OR(C394="",C394="NA"),"",IF(C394&gt;S394,S394,IF(C394&lt;0,0,C394)))</f>
        <v/>
      </c>
      <c r="U394" s="721" t="str">
        <f>IF(OR(G394="",G394="NA"),"",IF(G394&gt;S394,S394,IF(G394&lt;0,0,G394)))</f>
        <v/>
      </c>
      <c r="V394" s="696" t="str">
        <f>IF(Y394="","",ROUND(Y394,0))</f>
        <v/>
      </c>
      <c r="W394" s="1462"/>
      <c r="X394" s="1464"/>
      <c r="Y394" s="697" t="str">
        <f>IF(T394="","",IF(OR(U394="",U394=0,U394&lt;T394),T394,(T394*15)/U394))</f>
        <v/>
      </c>
      <c r="Z394" s="18"/>
      <c r="AA394" s="18"/>
      <c r="AB394" s="18"/>
      <c r="AC394" s="18"/>
      <c r="AD394" s="18"/>
      <c r="AE394" s="18"/>
      <c r="AF394" s="18"/>
      <c r="AG394" s="18"/>
      <c r="AH394" s="18"/>
      <c r="AI394" s="18"/>
      <c r="AJ394" s="1379"/>
      <c r="AK394" s="1379"/>
      <c r="AL394" s="1379"/>
      <c r="AM394" s="1379"/>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row>
    <row r="395" spans="1:109" ht="13.5" customHeight="1" x14ac:dyDescent="0.2">
      <c r="B395" s="185" t="s">
        <v>900</v>
      </c>
      <c r="C395" s="1345"/>
      <c r="D395" s="1440"/>
      <c r="E395" s="1558">
        <f>UETable!AV65</f>
        <v>0</v>
      </c>
      <c r="F395" s="1558"/>
      <c r="G395" s="1345"/>
      <c r="H395" s="1440"/>
      <c r="I395" s="1538">
        <f>IF(C395="",0,IF(OR(C395&lt;=0,G395&lt;=0),E395,IF(G395&lt;C395,0,UETable!BA65)))</f>
        <v>0</v>
      </c>
      <c r="J395" s="1538"/>
      <c r="K395" s="1556" t="str">
        <f>IF(OR(C395="NA",G395="NA"),"",IF(AND(C395&lt;&gt;"",G395=""),"Enter contralateral or NA.",IF(AND(C395="",G395&lt;&gt;""),"Need data","")))</f>
        <v/>
      </c>
      <c r="L395" s="1556"/>
      <c r="M395" s="1556"/>
      <c r="N395" s="1556"/>
      <c r="O395" s="1556"/>
      <c r="P395" s="1745"/>
      <c r="R395" s="113"/>
      <c r="S395" s="721">
        <v>30</v>
      </c>
      <c r="T395" s="720" t="str">
        <f>IF(OR(C395="",C395="NA"),"",IF(C395&gt;S395,S395,IF(C395&lt;0,0,C395)))</f>
        <v/>
      </c>
      <c r="U395" s="721" t="str">
        <f>IF(OR(G395="",G395="NA"),"",IF(G395&gt;S395,S395,IF(G395&lt;0,0,G395)))</f>
        <v/>
      </c>
      <c r="V395" s="737" t="str">
        <f>IF(Y395="","",ROUND(Y395,0))</f>
        <v/>
      </c>
      <c r="W395" s="727"/>
      <c r="X395" s="723"/>
      <c r="Y395" s="738" t="str">
        <f>IF(T395="","",IF(OR(U395="",U395=0,U395&lt;T395),T395,(T395*30)/U395))</f>
        <v/>
      </c>
      <c r="Z395" s="18"/>
      <c r="AA395" s="18"/>
      <c r="AB395" s="73"/>
      <c r="AC395" s="242">
        <f>MAX(E396,E397)</f>
        <v>0</v>
      </c>
      <c r="AD395" s="1410" t="s">
        <v>1943</v>
      </c>
      <c r="AE395" s="1410"/>
      <c r="AF395" s="1410"/>
      <c r="AG395" s="1410"/>
      <c r="AH395" s="18"/>
      <c r="AI395" s="18"/>
      <c r="AJ395" s="1379"/>
      <c r="AK395" s="1379"/>
      <c r="AL395" s="1379"/>
      <c r="AM395" s="1379"/>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row>
    <row r="396" spans="1:109" ht="13.5" customHeight="1" x14ac:dyDescent="0.2">
      <c r="B396" s="185" t="s">
        <v>901</v>
      </c>
      <c r="C396" s="1345"/>
      <c r="D396" s="1440"/>
      <c r="E396" s="1558">
        <f>IF(AND($AJ$396=1,$AK$396=1),"ERROR",UETable!AV66)</f>
        <v>0</v>
      </c>
      <c r="F396" s="1558"/>
      <c r="G396" s="1785" t="str">
        <f>IF(AND($AK$396=1,$AJ$396=1),"Cannot rate ROM and ankylosis.","")</f>
        <v/>
      </c>
      <c r="H396" s="1785"/>
      <c r="I396" s="1785"/>
      <c r="J396" s="1785"/>
      <c r="K396" s="1785"/>
      <c r="L396" s="1785"/>
      <c r="M396" s="1785"/>
      <c r="N396" s="1785"/>
      <c r="O396" s="1785"/>
      <c r="P396" s="1745"/>
      <c r="R396" s="18"/>
      <c r="S396" s="721">
        <v>15</v>
      </c>
      <c r="T396" s="720" t="str">
        <f>IF(OR(C396="",C396="NA"),"",IF(C396&gt;S396,S396,IF(C396&lt;0,0,C396)))</f>
        <v/>
      </c>
      <c r="U396" s="725"/>
      <c r="V396" s="1549" t="s">
        <v>2190</v>
      </c>
      <c r="W396" s="1550"/>
      <c r="X396" s="1550"/>
      <c r="Y396" s="1551"/>
      <c r="AB396" s="18"/>
      <c r="AC396" s="243">
        <f>IF(AND(AJ396=1,AK396=1),"ERROR",I394+I395+AC395)</f>
        <v>0</v>
      </c>
      <c r="AD396" s="1410" t="s">
        <v>902</v>
      </c>
      <c r="AE396" s="1410"/>
      <c r="AF396" s="1410"/>
      <c r="AG396" s="1410"/>
      <c r="AH396" s="18"/>
      <c r="AI396" s="18"/>
      <c r="AJ396" s="721">
        <f>IF(OR(V397=1,W397=1),1,0)</f>
        <v>0</v>
      </c>
      <c r="AK396" s="721">
        <f>IF(OR(X397=1,Y397=1),1,0)</f>
        <v>0</v>
      </c>
      <c r="AL396" s="721">
        <f>SUM(V397,W397)</f>
        <v>0</v>
      </c>
      <c r="AM396" s="721">
        <f>IF(AL396=1,1,0)</f>
        <v>0</v>
      </c>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row>
    <row r="397" spans="1:109" ht="13.5" customHeight="1" x14ac:dyDescent="0.2">
      <c r="B397" s="185" t="s">
        <v>903</v>
      </c>
      <c r="C397" s="1345"/>
      <c r="D397" s="1440"/>
      <c r="E397" s="1558">
        <f>IF(AND($AJ$396=1,$AK$396=1),"ERROR",UETable!AV67)</f>
        <v>0</v>
      </c>
      <c r="F397" s="1558"/>
      <c r="G397" s="1785" t="str">
        <f>IF(AND($AK$396=1,$AJ$396=1),"Cannot rate ROM and ankylosis.",IF(AND(E396&gt;0,E397&gt;0),"Multiple ankylosis values; use higher value only.",""))</f>
        <v/>
      </c>
      <c r="H397" s="1785"/>
      <c r="I397" s="1785"/>
      <c r="J397" s="1785"/>
      <c r="K397" s="1785"/>
      <c r="L397" s="1785"/>
      <c r="M397" s="1785"/>
      <c r="N397" s="1785"/>
      <c r="O397" s="1785"/>
      <c r="P397" s="1746"/>
      <c r="R397" s="18"/>
      <c r="S397" s="721">
        <v>30</v>
      </c>
      <c r="T397" s="720" t="str">
        <f>IF(OR(C397="",C397="NA"),"",IF(C397&gt;S397,S397,IF(C397&lt;0,0,C397)))</f>
        <v/>
      </c>
      <c r="U397" s="725"/>
      <c r="V397" s="721">
        <f>IF(AND(C394&lt;&gt;"",C394&lt;&gt;"NA"),1,0)</f>
        <v>0</v>
      </c>
      <c r="W397" s="721">
        <f>IF(AND(C395&lt;&gt;"",C395&lt;&gt;"NA"),1,0)</f>
        <v>0</v>
      </c>
      <c r="X397" s="721">
        <f>IF(AND(C396&lt;&gt;"",C396&lt;&gt;"NA"),1,0)</f>
        <v>0</v>
      </c>
      <c r="Y397" s="721">
        <f>IF(AND(C397&lt;&gt;"",C397&lt;&gt;"NA"),1,0)</f>
        <v>0</v>
      </c>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row>
    <row r="398" spans="1:109" ht="13.5" customHeight="1" x14ac:dyDescent="0.2">
      <c r="A398" s="408"/>
      <c r="B398" s="1549"/>
      <c r="C398" s="1550"/>
      <c r="D398" s="1550"/>
      <c r="E398" s="1550"/>
      <c r="F398" s="1550"/>
      <c r="G398" s="1740" t="s">
        <v>730</v>
      </c>
      <c r="H398" s="1741"/>
      <c r="I398" s="1741"/>
      <c r="J398" s="1741"/>
      <c r="K398" s="1741"/>
      <c r="L398" s="1741"/>
      <c r="M398" s="1741"/>
      <c r="N398" s="1741"/>
      <c r="O398" s="1742"/>
      <c r="P398" s="360">
        <f>IF(AND(AJ396=1,AK396=1),"ERROR",IF(AND(AC396&gt;0,AC396&lt;0.01),0.01,ROUND(AC396,2)))</f>
        <v>0</v>
      </c>
      <c r="R398" s="166"/>
      <c r="S398" s="742"/>
      <c r="T398" s="725"/>
      <c r="U398" s="725"/>
      <c r="V398" s="725"/>
      <c r="W398" s="725"/>
      <c r="X398" s="725"/>
      <c r="Y398" s="723"/>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row>
    <row r="399" spans="1:109" ht="27" customHeight="1" x14ac:dyDescent="0.2">
      <c r="B399" s="23" t="s">
        <v>731</v>
      </c>
      <c r="C399" s="1555" t="s">
        <v>1596</v>
      </c>
      <c r="D399" s="1555"/>
      <c r="E399" s="1555"/>
      <c r="F399" s="1555"/>
      <c r="G399" s="1536" t="s">
        <v>898</v>
      </c>
      <c r="H399" s="1536"/>
      <c r="I399" s="1536"/>
      <c r="J399" s="1536"/>
      <c r="K399" s="1555"/>
      <c r="L399" s="1555"/>
      <c r="M399" s="1555"/>
      <c r="N399" s="1555"/>
      <c r="O399" s="1555"/>
      <c r="P399" s="1645"/>
      <c r="R399" s="18"/>
      <c r="S399" s="727"/>
      <c r="T399" s="725"/>
      <c r="U399" s="725"/>
      <c r="V399" s="725"/>
      <c r="W399" s="725"/>
      <c r="X399" s="725"/>
      <c r="Y399" s="723"/>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row>
    <row r="400" spans="1:109" ht="13.5" customHeight="1" x14ac:dyDescent="0.2">
      <c r="B400" s="186" t="s">
        <v>906</v>
      </c>
      <c r="C400" s="1308"/>
      <c r="D400" s="1308"/>
      <c r="E400" s="1558">
        <f>UETable!AV70</f>
        <v>0</v>
      </c>
      <c r="F400" s="1558"/>
      <c r="G400" s="1308"/>
      <c r="H400" s="1308"/>
      <c r="I400" s="1538">
        <f>IF(C400="",0,IF(OR(C400&lt;=0,G400&lt;=0),E400,IF(G400&lt;C400,0,UETable!BA70)))</f>
        <v>0</v>
      </c>
      <c r="J400" s="1538"/>
      <c r="K400" s="1556" t="str">
        <f>IF(OR(C400="NA",G400="NA"),"",IF(AND(C400&lt;&gt;"",G400=""),"Enter contralateral or NA.",IF(AND(C400="",G400&lt;&gt;""),"Need data","")))</f>
        <v/>
      </c>
      <c r="L400" s="1556"/>
      <c r="M400" s="1556"/>
      <c r="N400" s="1556"/>
      <c r="O400" s="1556"/>
      <c r="P400" s="1745"/>
      <c r="R400" s="160"/>
      <c r="S400" s="721">
        <v>60</v>
      </c>
      <c r="T400" s="721" t="str">
        <f t="shared" ref="T400:T407" si="55">IF(OR(C400="",C400="NA"),"",IF(C400&gt;S400,S400,IF(C400&lt;0,0,C400)))</f>
        <v/>
      </c>
      <c r="U400" s="721" t="str">
        <f>IF(OR(G400="",G400="NA"),"",IF(G400&gt;S400,S400,IF(G400&lt;0,0,G400)))</f>
        <v/>
      </c>
      <c r="V400" s="696" t="str">
        <f>IF(Y400="","",ROUND(Y400,0))</f>
        <v/>
      </c>
      <c r="W400" s="1569"/>
      <c r="X400" s="1569"/>
      <c r="Y400" s="697" t="str">
        <f>IF(T400="","",IF(OR(U400="",U400=0,U400&lt;T400),T400,(T400*60)/U400))</f>
        <v/>
      </c>
      <c r="Z400" s="18"/>
      <c r="AA400" s="18"/>
      <c r="AB400" s="18"/>
      <c r="AC400" s="18"/>
      <c r="AD400" s="18"/>
      <c r="AE400" s="18"/>
      <c r="AF400" s="18"/>
      <c r="AG400" s="18"/>
      <c r="AH400" s="18"/>
      <c r="AI400" s="111"/>
      <c r="AJ400" s="1569"/>
      <c r="AK400" s="1569"/>
      <c r="AL400" s="1569"/>
      <c r="AM400" s="1569"/>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row>
    <row r="401" spans="1:109" ht="13.5" customHeight="1" x14ac:dyDescent="0.2">
      <c r="B401" s="186" t="s">
        <v>1206</v>
      </c>
      <c r="C401" s="1308"/>
      <c r="D401" s="1308"/>
      <c r="E401" s="1558">
        <f>IF(AND($AJ$407=1,$AK$407=1),"ERROR",UETable!AV71)</f>
        <v>0</v>
      </c>
      <c r="F401" s="1558"/>
      <c r="G401" s="1556" t="str">
        <f>IF(AND($AK$407=1,$AJ$407=1),"Cannot rate ROM and ankylosis.","")</f>
        <v/>
      </c>
      <c r="H401" s="1556"/>
      <c r="I401" s="1556"/>
      <c r="J401" s="1556"/>
      <c r="K401" s="1556"/>
      <c r="L401" s="1556"/>
      <c r="M401" s="1556"/>
      <c r="N401" s="1556"/>
      <c r="O401" s="1556"/>
      <c r="P401" s="1745"/>
      <c r="R401" s="113"/>
      <c r="S401" s="721">
        <v>60</v>
      </c>
      <c r="T401" s="721" t="str">
        <f t="shared" si="55"/>
        <v/>
      </c>
      <c r="U401" s="725"/>
      <c r="V401" s="73"/>
      <c r="W401" s="725"/>
      <c r="X401" s="725"/>
      <c r="Y401" s="743"/>
      <c r="Z401" s="18"/>
      <c r="AA401" s="18"/>
      <c r="AB401" s="73"/>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row>
    <row r="402" spans="1:109" ht="13.5" customHeight="1" x14ac:dyDescent="0.2">
      <c r="B402" s="186" t="s">
        <v>908</v>
      </c>
      <c r="C402" s="1308"/>
      <c r="D402" s="1308"/>
      <c r="E402" s="1558">
        <f>UETable!AV72</f>
        <v>0</v>
      </c>
      <c r="F402" s="1558"/>
      <c r="G402" s="1308"/>
      <c r="H402" s="1308"/>
      <c r="I402" s="1538">
        <f>IF(C402="",0,IF(OR(C402&lt;=0,G402&lt;=0),E402,IF(G402&lt;C402,0,UETable!BA72)))</f>
        <v>0</v>
      </c>
      <c r="J402" s="1538"/>
      <c r="K402" s="1556" t="str">
        <f>IF(OR(C402="NA",G402="NA"),"",IF(AND(C402&lt;&gt;"",G402=""),"Enter contralateral or NA.",IF(AND(C402="",G402&lt;&gt;""),"Need data","")))</f>
        <v/>
      </c>
      <c r="L402" s="1556"/>
      <c r="M402" s="1556"/>
      <c r="N402" s="1556"/>
      <c r="O402" s="1556"/>
      <c r="P402" s="1745"/>
      <c r="R402" s="18"/>
      <c r="S402" s="721">
        <v>70</v>
      </c>
      <c r="T402" s="721" t="str">
        <f t="shared" si="55"/>
        <v/>
      </c>
      <c r="U402" s="721" t="str">
        <f>IF(OR(G402="",G402="NA"),"",IF(G402&gt;S402,S402,IF(G402&lt;0,0,G402)))</f>
        <v/>
      </c>
      <c r="V402" s="696" t="str">
        <f>IF(Y402="","",ROUND(Y402,0))</f>
        <v/>
      </c>
      <c r="W402" s="725"/>
      <c r="X402" s="725"/>
      <c r="Y402" s="697" t="str">
        <f>IF(T402="","",IF(OR(U402="",U402=0,U402&lt;T402),T402,(T402*70)/U402))</f>
        <v/>
      </c>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row>
    <row r="403" spans="1:109" ht="13.5" customHeight="1" x14ac:dyDescent="0.2">
      <c r="B403" s="186" t="s">
        <v>1204</v>
      </c>
      <c r="C403" s="1308"/>
      <c r="D403" s="1308"/>
      <c r="E403" s="1558">
        <f>IF(AND($AJ$407=1,$AK$407=1),"ERROR",UETable!AV73)</f>
        <v>0</v>
      </c>
      <c r="F403" s="1558"/>
      <c r="G403" s="1556" t="str">
        <f>IF(AND($AK$407=1,$AJ$407=1),"Cannot rate ROM and ankylosis.","")</f>
        <v/>
      </c>
      <c r="H403" s="1556"/>
      <c r="I403" s="1556"/>
      <c r="J403" s="1556"/>
      <c r="K403" s="1556"/>
      <c r="L403" s="1556"/>
      <c r="M403" s="1556"/>
      <c r="N403" s="1556"/>
      <c r="O403" s="1556"/>
      <c r="P403" s="1745"/>
      <c r="R403" s="18"/>
      <c r="S403" s="721">
        <v>70</v>
      </c>
      <c r="T403" s="721" t="str">
        <f t="shared" si="55"/>
        <v/>
      </c>
      <c r="U403" s="725"/>
      <c r="V403" s="725"/>
      <c r="W403" s="725"/>
      <c r="X403" s="725"/>
      <c r="Y403" s="723"/>
      <c r="Z403" s="18"/>
      <c r="AA403" s="18"/>
      <c r="AB403" s="18"/>
      <c r="AC403" s="242">
        <f>MAX(E401,E403,E405,E407)</f>
        <v>0</v>
      </c>
      <c r="AD403" s="1410" t="s">
        <v>1943</v>
      </c>
      <c r="AE403" s="1410"/>
      <c r="AF403" s="1410"/>
      <c r="AG403" s="1410"/>
      <c r="AH403" s="18"/>
      <c r="AI403" s="18"/>
      <c r="AJ403" s="1379" t="s">
        <v>692</v>
      </c>
      <c r="AK403" s="1379" t="s">
        <v>693</v>
      </c>
      <c r="AL403" s="1379" t="s">
        <v>895</v>
      </c>
      <c r="AM403" s="1379" t="s">
        <v>896</v>
      </c>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row>
    <row r="404" spans="1:109" ht="13.5" customHeight="1" x14ac:dyDescent="0.2">
      <c r="B404" s="185" t="s">
        <v>909</v>
      </c>
      <c r="C404" s="1308"/>
      <c r="D404" s="1308"/>
      <c r="E404" s="1558">
        <f>UETable!AV74</f>
        <v>0</v>
      </c>
      <c r="F404" s="1558"/>
      <c r="G404" s="1308"/>
      <c r="H404" s="1308"/>
      <c r="I404" s="1538">
        <f>IF(C404="",0,IF(OR(C404&lt;=0,G404&lt;=0),E404,IF(G404&lt;C404,0,UETable!BA74)))</f>
        <v>0</v>
      </c>
      <c r="J404" s="1538"/>
      <c r="K404" s="1556" t="str">
        <f>IF(OR(C404="NA",G404="NA"),"",IF(AND(C404&lt;&gt;"",G404=""),"Enter contralateral or NA.",IF(AND(C404="",G404&lt;&gt;""),"Need data","")))</f>
        <v/>
      </c>
      <c r="L404" s="1556"/>
      <c r="M404" s="1556"/>
      <c r="N404" s="1556"/>
      <c r="O404" s="1556"/>
      <c r="P404" s="1745"/>
      <c r="R404" s="18"/>
      <c r="S404" s="721">
        <v>20</v>
      </c>
      <c r="T404" s="721" t="str">
        <f t="shared" si="55"/>
        <v/>
      </c>
      <c r="U404" s="721" t="str">
        <f>IF(OR(G404="",G404="NA"),"",IF(G404&gt;S404,S404,IF(G404&lt;0,0,G404)))</f>
        <v/>
      </c>
      <c r="V404" s="696" t="str">
        <f>IF(Y404="","",ROUND(Y404,0))</f>
        <v/>
      </c>
      <c r="W404" s="725"/>
      <c r="X404" s="725"/>
      <c r="Y404" s="697" t="str">
        <f>IF(T404="","",IF(OR(U404="",U404=0,U404&lt;T404),T404,(T404*20)/U404))</f>
        <v/>
      </c>
      <c r="Z404" s="18"/>
      <c r="AA404" s="18"/>
      <c r="AB404" s="18"/>
      <c r="AC404" s="243">
        <f>IF(AND(AJ407=1,AK407=1),"ERROR",I400+I402+I404+I406+AC403)</f>
        <v>0</v>
      </c>
      <c r="AD404" s="1410" t="s">
        <v>907</v>
      </c>
      <c r="AE404" s="1410"/>
      <c r="AF404" s="1410"/>
      <c r="AG404" s="1410"/>
      <c r="AH404" s="47"/>
      <c r="AI404" s="18"/>
      <c r="AJ404" s="1379"/>
      <c r="AK404" s="1379"/>
      <c r="AL404" s="1379"/>
      <c r="AM404" s="1379"/>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row>
    <row r="405" spans="1:109" ht="13.5" customHeight="1" x14ac:dyDescent="0.2">
      <c r="B405" s="185" t="s">
        <v>910</v>
      </c>
      <c r="C405" s="1308"/>
      <c r="D405" s="1308"/>
      <c r="E405" s="1558">
        <f>IF(AND($AJ$407=1,$AK$407=1),"ERROR",UETable!AV75)</f>
        <v>0</v>
      </c>
      <c r="F405" s="1558"/>
      <c r="G405" s="1556" t="str">
        <f>IF(AND($AK$407=1,$AJ$407=1),"Cannot rate ROM and ankylosis.","")</f>
        <v/>
      </c>
      <c r="H405" s="1556"/>
      <c r="I405" s="1556"/>
      <c r="J405" s="1556"/>
      <c r="K405" s="1556"/>
      <c r="L405" s="1556"/>
      <c r="M405" s="1556"/>
      <c r="N405" s="1556"/>
      <c r="O405" s="1556"/>
      <c r="P405" s="1745"/>
      <c r="R405" s="18"/>
      <c r="S405" s="721">
        <v>20</v>
      </c>
      <c r="T405" s="721" t="str">
        <f t="shared" si="55"/>
        <v/>
      </c>
      <c r="U405" s="725"/>
      <c r="V405" s="725"/>
      <c r="W405" s="725"/>
      <c r="X405" s="725"/>
      <c r="Y405" s="723"/>
      <c r="Z405" s="18"/>
      <c r="AA405" s="18"/>
      <c r="AB405" s="18"/>
      <c r="AC405" s="18"/>
      <c r="AD405" s="18"/>
      <c r="AE405" s="18"/>
      <c r="AF405" s="18"/>
      <c r="AG405" s="18"/>
      <c r="AH405" s="47"/>
      <c r="AI405" s="18"/>
      <c r="AJ405" s="1379"/>
      <c r="AK405" s="1379"/>
      <c r="AL405" s="1379"/>
      <c r="AM405" s="1379"/>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row>
    <row r="406" spans="1:109" ht="13.5" customHeight="1" x14ac:dyDescent="0.2">
      <c r="B406" s="185" t="s">
        <v>911</v>
      </c>
      <c r="C406" s="1308"/>
      <c r="D406" s="1308"/>
      <c r="E406" s="1558">
        <f>UETable!AV76</f>
        <v>0</v>
      </c>
      <c r="F406" s="1558"/>
      <c r="G406" s="1308"/>
      <c r="H406" s="1308"/>
      <c r="I406" s="1538">
        <f>IF(C406="",0,IF(OR(C406&lt;=0,G406&lt;=0),E406,IF(G406&lt;C406,0,UETable!BA76)))</f>
        <v>0</v>
      </c>
      <c r="J406" s="1538"/>
      <c r="K406" s="1556" t="str">
        <f>IF(OR(C406="NA",G406="NA"),"",IF(AND(C406&lt;&gt;"",G406=""),"Enter contralateral or NA.",IF(AND(C406="",G406&lt;&gt;""),"Need data","")))</f>
        <v/>
      </c>
      <c r="L406" s="1556"/>
      <c r="M406" s="1556"/>
      <c r="N406" s="1556"/>
      <c r="O406" s="1556"/>
      <c r="P406" s="1745"/>
      <c r="R406" s="18"/>
      <c r="S406" s="721">
        <v>30</v>
      </c>
      <c r="T406" s="721" t="str">
        <f t="shared" si="55"/>
        <v/>
      </c>
      <c r="U406" s="721" t="str">
        <f>IF(OR(G406="",G406="NA"),"",IF(G406&gt;S406,S406,IF(G406&lt;0,0,G406)))</f>
        <v/>
      </c>
      <c r="V406" s="696" t="str">
        <f>IF(Y406="","",ROUND(Y406,0))</f>
        <v/>
      </c>
      <c r="W406" s="726"/>
      <c r="X406" s="726"/>
      <c r="Y406" s="697" t="str">
        <f>IF(T406="","",IF(OR(U406="",U406=0,U406&lt;T406),T406,(T406*30)/U406))</f>
        <v/>
      </c>
      <c r="Z406" s="18"/>
      <c r="AA406" s="18"/>
      <c r="AB406" s="18"/>
      <c r="AC406" s="18"/>
      <c r="AD406" s="18"/>
      <c r="AE406" s="18"/>
      <c r="AF406" s="18"/>
      <c r="AG406" s="18"/>
      <c r="AH406" s="47"/>
      <c r="AI406" s="18"/>
      <c r="AJ406" s="1379"/>
      <c r="AK406" s="1379"/>
      <c r="AL406" s="1379"/>
      <c r="AM406" s="1379"/>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row>
    <row r="407" spans="1:109" ht="13.5" customHeight="1" x14ac:dyDescent="0.2">
      <c r="B407" s="185" t="s">
        <v>912</v>
      </c>
      <c r="C407" s="1308"/>
      <c r="D407" s="1308"/>
      <c r="E407" s="1558">
        <f>IF(AND($AJ$407=1,$AK$407=1),"ERROR",UETable!AV77)</f>
        <v>0</v>
      </c>
      <c r="F407" s="1558"/>
      <c r="G407" s="1556" t="str">
        <f>IF(AND($AK$407=1,$AJ$407=1),"Cannot rate ROM and ankylosis.","")</f>
        <v/>
      </c>
      <c r="H407" s="1556"/>
      <c r="I407" s="1556"/>
      <c r="J407" s="1556"/>
      <c r="K407" s="1556"/>
      <c r="L407" s="1556"/>
      <c r="M407" s="1556"/>
      <c r="N407" s="1556"/>
      <c r="O407" s="1556"/>
      <c r="P407" s="1746"/>
      <c r="R407" s="18"/>
      <c r="S407" s="721">
        <v>30</v>
      </c>
      <c r="T407" s="721" t="str">
        <f t="shared" si="55"/>
        <v/>
      </c>
      <c r="U407" s="773"/>
      <c r="V407" s="1549" t="s">
        <v>2190</v>
      </c>
      <c r="W407" s="1550"/>
      <c r="X407" s="1550"/>
      <c r="Y407" s="1550"/>
      <c r="Z407" s="1550"/>
      <c r="AA407" s="1550"/>
      <c r="AB407" s="1550"/>
      <c r="AC407" s="1551"/>
      <c r="AF407" s="725"/>
      <c r="AH407" s="18"/>
      <c r="AI407" s="18"/>
      <c r="AJ407" s="721">
        <f>IF(OR(V408=1,X408=1,Z408=1,AB408=1),1,0)</f>
        <v>0</v>
      </c>
      <c r="AK407" s="721">
        <f>IF(OR(W408=1,Y408=1,AA408=1,AC408=1),1,0)</f>
        <v>0</v>
      </c>
      <c r="AL407" s="721">
        <f>SUM(V408,X408,Z408,AB408)</f>
        <v>0</v>
      </c>
      <c r="AM407" s="721">
        <f>IF(OR(AL407=1,AL407=2,AL407=3),1,0)</f>
        <v>0</v>
      </c>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row>
    <row r="408" spans="1:109" ht="13.5" customHeight="1" x14ac:dyDescent="0.2">
      <c r="B408" s="1549"/>
      <c r="C408" s="1550"/>
      <c r="D408" s="1550"/>
      <c r="E408" s="1550"/>
      <c r="F408" s="1551"/>
      <c r="G408" s="1741" t="s">
        <v>732</v>
      </c>
      <c r="H408" s="1741"/>
      <c r="I408" s="1741"/>
      <c r="J408" s="1741"/>
      <c r="K408" s="1741"/>
      <c r="L408" s="1741"/>
      <c r="M408" s="1741"/>
      <c r="N408" s="1741"/>
      <c r="O408" s="1742"/>
      <c r="P408" s="360">
        <f>IF(AND(AJ407=1,AK407=1),"ERROR",IF(AND(AC404&gt;0,AC404&lt;0.01),0.01,ROUND(AC404,2)))</f>
        <v>0</v>
      </c>
      <c r="R408" s="166"/>
      <c r="S408" s="157"/>
      <c r="T408" s="18"/>
      <c r="U408" s="775"/>
      <c r="V408" s="769">
        <f>IF(AND(C400&lt;&gt;"",C400&lt;&gt;"NA"),1,0)</f>
        <v>0</v>
      </c>
      <c r="W408" s="721">
        <f>IF(AND(C401&lt;&gt;"",C401&lt;&gt;"NA"),1,0)</f>
        <v>0</v>
      </c>
      <c r="X408" s="721">
        <f>IF(AND(C402&lt;&gt;"",C402&lt;&gt;"NA"),1,0)</f>
        <v>0</v>
      </c>
      <c r="Y408" s="721">
        <f>IF(AND(C403&lt;&gt;"",C403&lt;&gt;"NA"),1,0)</f>
        <v>0</v>
      </c>
      <c r="Z408" s="721">
        <f>IF(AND(C404&lt;&gt;"",C404&lt;&gt;"NA"),1,0)</f>
        <v>0</v>
      </c>
      <c r="AA408" s="721">
        <f>IF(AND(C405&lt;&gt;"",C405&lt;&gt;"NA"),1,0)</f>
        <v>0</v>
      </c>
      <c r="AB408" s="721">
        <f>IF(AND(C406&lt;&gt;"",C406&lt;&gt;"NA"),1,0)</f>
        <v>0</v>
      </c>
      <c r="AC408" s="721">
        <f>IF(AND(C407&lt;&gt;"",C407&lt;&gt;"NA"),1,0)</f>
        <v>0</v>
      </c>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row>
    <row r="409" spans="1:109" ht="6.75" customHeight="1" x14ac:dyDescent="0.2">
      <c r="B409" s="1395"/>
      <c r="C409" s="1395"/>
      <c r="D409" s="1395"/>
      <c r="E409" s="1395"/>
      <c r="F409" s="1395"/>
      <c r="G409" s="1395"/>
      <c r="H409" s="1395"/>
      <c r="I409" s="1395"/>
      <c r="J409" s="1395"/>
      <c r="K409" s="1395"/>
      <c r="L409" s="1395"/>
      <c r="M409" s="1395"/>
      <c r="N409" s="1395"/>
      <c r="O409" s="1395"/>
      <c r="P409" s="3"/>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row>
    <row r="410" spans="1:109" ht="6.75" customHeight="1" x14ac:dyDescent="0.2">
      <c r="B410" s="1395"/>
      <c r="C410" s="1395"/>
      <c r="D410" s="1395"/>
      <c r="E410" s="1395"/>
      <c r="F410" s="1395"/>
      <c r="G410" s="1395"/>
      <c r="H410" s="1395"/>
      <c r="I410" s="1395"/>
      <c r="J410" s="1395"/>
      <c r="K410" s="1395"/>
      <c r="L410" s="1395"/>
      <c r="M410" s="1395"/>
      <c r="N410" s="1395"/>
      <c r="O410" s="1395"/>
      <c r="P410" s="3"/>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row>
    <row r="411" spans="1:109" s="8" customFormat="1" ht="18" customHeight="1" x14ac:dyDescent="0.2">
      <c r="B411" s="1534" t="s">
        <v>1989</v>
      </c>
      <c r="C411" s="1534"/>
      <c r="D411" s="1534"/>
      <c r="E411" s="1534"/>
      <c r="F411" s="1534"/>
      <c r="G411" s="1534"/>
      <c r="H411" s="1534"/>
      <c r="I411" s="1534"/>
      <c r="J411" s="1534"/>
      <c r="K411" s="1534"/>
      <c r="L411" s="1534"/>
      <c r="M411" s="1534"/>
      <c r="N411" s="1534"/>
      <c r="O411" s="1534"/>
      <c r="P411" s="1689"/>
      <c r="R411" s="168"/>
      <c r="S411" s="1657" t="s">
        <v>2191</v>
      </c>
      <c r="T411" s="1657"/>
      <c r="U411" s="728" t="s">
        <v>1305</v>
      </c>
      <c r="V411" s="728" t="s">
        <v>1306</v>
      </c>
      <c r="W411" s="728" t="s">
        <v>1307</v>
      </c>
      <c r="X411" s="60"/>
      <c r="Y411" s="60"/>
      <c r="Z411" s="60"/>
      <c r="AA411" s="60"/>
      <c r="AB411" s="60"/>
      <c r="AC411" s="60"/>
      <c r="AD411" s="60"/>
      <c r="AE411" s="60"/>
      <c r="AF411" s="60"/>
      <c r="AG411" s="60"/>
      <c r="AH411" s="60"/>
      <c r="AI411" s="60"/>
      <c r="AJ411" s="60"/>
      <c r="AK411" s="60"/>
      <c r="AL411" s="60"/>
      <c r="AM411" s="60"/>
      <c r="AN411" s="60"/>
      <c r="AO411" s="60"/>
      <c r="AP411" s="60"/>
      <c r="AQ411" s="60"/>
      <c r="AR411" s="60"/>
      <c r="AS411" s="60"/>
      <c r="AT411" s="60"/>
      <c r="AU411" s="60"/>
      <c r="AV411" s="60"/>
      <c r="AW411" s="60"/>
      <c r="AX411" s="60"/>
      <c r="AY411" s="60"/>
      <c r="AZ411" s="60"/>
      <c r="BA411" s="60"/>
      <c r="BB411" s="60"/>
      <c r="BC411" s="60"/>
      <c r="BD411" s="60"/>
      <c r="BE411" s="60"/>
      <c r="BF411" s="60"/>
      <c r="BG411" s="60"/>
      <c r="BH411" s="60"/>
      <c r="BI411" s="60"/>
      <c r="BJ411" s="60"/>
      <c r="BK411" s="60"/>
      <c r="BL411" s="60"/>
      <c r="BM411" s="60"/>
      <c r="BN411" s="60"/>
      <c r="BO411" s="60"/>
      <c r="BP411" s="60"/>
      <c r="BQ411" s="60"/>
      <c r="BR411" s="60"/>
      <c r="BS411" s="60"/>
      <c r="BT411" s="60"/>
      <c r="BU411" s="60"/>
      <c r="BV411" s="60"/>
      <c r="BW411" s="60"/>
      <c r="BX411" s="60"/>
      <c r="BY411" s="60"/>
      <c r="BZ411" s="60"/>
      <c r="CA411" s="60"/>
      <c r="CB411" s="60"/>
      <c r="CC411" s="60"/>
      <c r="CD411" s="60"/>
      <c r="CE411" s="60"/>
      <c r="CF411" s="60"/>
      <c r="CG411" s="60"/>
      <c r="CH411" s="60"/>
      <c r="CI411" s="60"/>
      <c r="CJ411" s="60"/>
      <c r="CK411" s="60"/>
      <c r="CL411" s="60"/>
      <c r="CM411" s="60"/>
      <c r="CN411" s="60"/>
      <c r="CO411" s="60"/>
      <c r="CP411" s="60"/>
      <c r="CQ411" s="60"/>
      <c r="CR411" s="60"/>
      <c r="CS411" s="60"/>
      <c r="CT411" s="60"/>
      <c r="CU411" s="60"/>
      <c r="CV411" s="60"/>
      <c r="CW411" s="60"/>
      <c r="CX411" s="60"/>
      <c r="CY411" s="60"/>
      <c r="CZ411" s="60"/>
      <c r="DA411" s="60"/>
      <c r="DB411" s="60"/>
      <c r="DC411" s="60"/>
      <c r="DD411" s="60"/>
      <c r="DE411" s="60"/>
    </row>
    <row r="412" spans="1:109" s="8" customFormat="1" ht="19.5" customHeight="1" x14ac:dyDescent="0.2">
      <c r="A412" s="20"/>
      <c r="B412" s="256" t="s">
        <v>1557</v>
      </c>
      <c r="C412" s="1639"/>
      <c r="D412" s="1639"/>
      <c r="E412" s="1639"/>
      <c r="F412" s="1639"/>
      <c r="G412" s="1639"/>
      <c r="H412" s="1639"/>
      <c r="I412" s="1639"/>
      <c r="J412" s="1639"/>
      <c r="K412" s="1639"/>
      <c r="L412" s="1639"/>
      <c r="M412" s="1639"/>
      <c r="N412" s="1639"/>
      <c r="O412" s="1639"/>
      <c r="P412" s="1690"/>
      <c r="R412" s="60"/>
      <c r="S412" s="739">
        <v>1</v>
      </c>
      <c r="T412" s="646">
        <f>IF(S412=2,0.11,IF(S412=3,0.15,0))</f>
        <v>0</v>
      </c>
      <c r="U412" s="646">
        <f>LARGE(T412:T413,1)</f>
        <v>0</v>
      </c>
      <c r="V412" s="684">
        <f>U412+U413*(1-U412)</f>
        <v>0</v>
      </c>
      <c r="W412" s="740">
        <f>ROUND(V412,2)</f>
        <v>0</v>
      </c>
      <c r="X412" s="60"/>
      <c r="Y412" s="60"/>
      <c r="Z412" s="60">
        <v>1E-4</v>
      </c>
      <c r="AA412" s="60"/>
      <c r="AB412" s="60"/>
      <c r="AC412" s="60"/>
      <c r="AD412" s="60"/>
      <c r="AE412" s="60"/>
      <c r="AF412" s="60"/>
      <c r="AG412" s="60"/>
      <c r="AH412" s="60"/>
      <c r="AI412" s="60"/>
      <c r="AJ412" s="60"/>
      <c r="AK412" s="60"/>
      <c r="AL412" s="60"/>
      <c r="AM412" s="60"/>
      <c r="AN412" s="60"/>
      <c r="AO412" s="60"/>
      <c r="AP412" s="60"/>
      <c r="AQ412" s="60"/>
      <c r="AR412" s="60"/>
      <c r="AS412" s="60"/>
      <c r="AT412" s="60"/>
      <c r="AU412" s="60"/>
      <c r="AV412" s="60"/>
      <c r="AW412" s="60"/>
      <c r="AX412" s="60"/>
      <c r="AY412" s="60"/>
      <c r="AZ412" s="60"/>
      <c r="BA412" s="60"/>
      <c r="BB412" s="60"/>
      <c r="BC412" s="60"/>
      <c r="BD412" s="60"/>
      <c r="BE412" s="60"/>
      <c r="BF412" s="60"/>
      <c r="BG412" s="60"/>
      <c r="BH412" s="60"/>
      <c r="BI412" s="60"/>
      <c r="BJ412" s="60"/>
      <c r="BK412" s="60"/>
      <c r="BL412" s="60"/>
      <c r="BM412" s="60"/>
      <c r="BN412" s="60"/>
      <c r="BO412" s="60"/>
      <c r="BP412" s="60"/>
      <c r="BQ412" s="60"/>
      <c r="BR412" s="60"/>
      <c r="BS412" s="60"/>
      <c r="BT412" s="60"/>
      <c r="BU412" s="60"/>
      <c r="BV412" s="60"/>
      <c r="BW412" s="60"/>
      <c r="BX412" s="60"/>
      <c r="BY412" s="60"/>
      <c r="BZ412" s="60"/>
      <c r="CA412" s="60"/>
      <c r="CB412" s="60"/>
      <c r="CC412" s="60"/>
      <c r="CD412" s="60"/>
      <c r="CE412" s="60"/>
      <c r="CF412" s="60"/>
      <c r="CG412" s="60"/>
      <c r="CH412" s="60"/>
      <c r="CI412" s="60"/>
      <c r="CJ412" s="60"/>
      <c r="CK412" s="60"/>
      <c r="CL412" s="60"/>
      <c r="CM412" s="60"/>
      <c r="CN412" s="60"/>
      <c r="CO412" s="60"/>
      <c r="CP412" s="60"/>
      <c r="CQ412" s="60"/>
      <c r="CR412" s="60"/>
      <c r="CS412" s="60"/>
      <c r="CT412" s="60"/>
      <c r="CU412" s="60"/>
      <c r="CV412" s="60"/>
      <c r="CW412" s="60"/>
      <c r="CX412" s="60"/>
      <c r="CY412" s="60"/>
      <c r="CZ412" s="60"/>
      <c r="DA412" s="60"/>
      <c r="DB412" s="60"/>
      <c r="DC412" s="60"/>
      <c r="DD412" s="60"/>
      <c r="DE412" s="60"/>
    </row>
    <row r="413" spans="1:109" s="8" customFormat="1" ht="19.5" customHeight="1" x14ac:dyDescent="0.2">
      <c r="B413" s="256" t="s">
        <v>1558</v>
      </c>
      <c r="C413" s="1639"/>
      <c r="D413" s="1639"/>
      <c r="E413" s="1639"/>
      <c r="F413" s="1639"/>
      <c r="G413" s="1639"/>
      <c r="H413" s="1639"/>
      <c r="I413" s="1639"/>
      <c r="J413" s="1639"/>
      <c r="K413" s="1639"/>
      <c r="L413" s="1639"/>
      <c r="M413" s="1639"/>
      <c r="N413" s="1639"/>
      <c r="O413" s="1639"/>
      <c r="P413" s="303">
        <f>W412</f>
        <v>0</v>
      </c>
      <c r="R413" s="60"/>
      <c r="S413" s="739">
        <v>1</v>
      </c>
      <c r="T413" s="646">
        <f>IF(S413=2,0.05,IF(S413=3,0.07,0))</f>
        <v>0</v>
      </c>
      <c r="U413" s="646">
        <f>LARGE(T412:T413,2)</f>
        <v>0</v>
      </c>
      <c r="V413" s="60"/>
      <c r="W413" s="60"/>
      <c r="X413" s="60"/>
      <c r="Y413" s="60"/>
      <c r="Z413" s="60"/>
      <c r="AA413" s="60"/>
      <c r="AB413" s="60"/>
      <c r="AC413" s="60"/>
      <c r="AD413" s="60"/>
      <c r="AE413" s="60"/>
      <c r="AF413" s="60"/>
      <c r="AG413" s="60"/>
      <c r="AH413" s="60"/>
      <c r="AI413" s="60"/>
      <c r="AJ413" s="60"/>
      <c r="AK413" s="60"/>
      <c r="AL413" s="60"/>
      <c r="AM413" s="60"/>
      <c r="AN413" s="60"/>
      <c r="AO413" s="60"/>
      <c r="AP413" s="60"/>
      <c r="AQ413" s="60"/>
      <c r="AR413" s="60"/>
      <c r="AS413" s="60"/>
      <c r="AT413" s="60"/>
      <c r="AU413" s="60"/>
      <c r="AV413" s="60"/>
      <c r="AW413" s="60"/>
      <c r="AX413" s="60"/>
      <c r="AY413" s="60"/>
      <c r="AZ413" s="60"/>
      <c r="BA413" s="60"/>
      <c r="BB413" s="60"/>
      <c r="BC413" s="60"/>
      <c r="BD413" s="60"/>
      <c r="BE413" s="60"/>
      <c r="BF413" s="60"/>
      <c r="BG413" s="60"/>
      <c r="BH413" s="60"/>
      <c r="BI413" s="60"/>
      <c r="BJ413" s="60"/>
      <c r="BK413" s="60"/>
      <c r="BL413" s="60"/>
      <c r="BM413" s="60"/>
      <c r="BN413" s="60"/>
      <c r="BO413" s="60"/>
      <c r="BP413" s="60"/>
      <c r="BQ413" s="60"/>
      <c r="BR413" s="60"/>
      <c r="BS413" s="60"/>
      <c r="BT413" s="60"/>
      <c r="BU413" s="60"/>
      <c r="BV413" s="60"/>
      <c r="BW413" s="60"/>
      <c r="BX413" s="60"/>
      <c r="BY413" s="60"/>
      <c r="BZ413" s="60"/>
      <c r="CA413" s="60"/>
      <c r="CB413" s="60"/>
      <c r="CC413" s="60"/>
      <c r="CD413" s="60"/>
      <c r="CE413" s="60"/>
      <c r="CF413" s="60"/>
      <c r="CG413" s="60"/>
      <c r="CH413" s="60"/>
      <c r="CI413" s="60"/>
      <c r="CJ413" s="60"/>
      <c r="CK413" s="60"/>
      <c r="CL413" s="60"/>
      <c r="CM413" s="60"/>
      <c r="CN413" s="60"/>
      <c r="CO413" s="60"/>
      <c r="CP413" s="60"/>
      <c r="CQ413" s="60"/>
      <c r="CR413" s="60"/>
      <c r="CS413" s="60"/>
      <c r="CT413" s="60"/>
      <c r="CU413" s="60"/>
      <c r="CV413" s="60"/>
      <c r="CW413" s="60"/>
      <c r="CX413" s="60"/>
      <c r="CY413" s="60"/>
      <c r="CZ413" s="60"/>
      <c r="DA413" s="60"/>
      <c r="DB413" s="60"/>
      <c r="DC413" s="60"/>
      <c r="DD413" s="60"/>
      <c r="DE413" s="60"/>
    </row>
    <row r="414" spans="1:109" s="8" customFormat="1" ht="18" customHeight="1" x14ac:dyDescent="0.2">
      <c r="B414" s="1534" t="s">
        <v>733</v>
      </c>
      <c r="C414" s="1534"/>
      <c r="D414" s="1534"/>
      <c r="E414" s="1534"/>
      <c r="F414" s="1534"/>
      <c r="G414" s="1534"/>
      <c r="H414" s="1534"/>
      <c r="I414" s="1534"/>
      <c r="J414" s="1534"/>
      <c r="K414" s="1534"/>
      <c r="L414" s="1534"/>
      <c r="M414" s="1534"/>
      <c r="N414" s="1534"/>
      <c r="O414" s="1534"/>
      <c r="P414" s="1689"/>
      <c r="R414" s="168"/>
      <c r="S414" s="1657" t="s">
        <v>2191</v>
      </c>
      <c r="T414" s="1657"/>
      <c r="U414" s="728" t="s">
        <v>1305</v>
      </c>
      <c r="V414" s="728" t="s">
        <v>1306</v>
      </c>
      <c r="W414" s="728" t="s">
        <v>1307</v>
      </c>
      <c r="X414" s="60"/>
      <c r="Y414" s="60"/>
      <c r="Z414" s="60"/>
      <c r="AA414" s="60"/>
      <c r="AB414" s="60"/>
      <c r="AC414" s="60"/>
      <c r="AD414" s="60"/>
      <c r="AE414" s="60"/>
      <c r="AF414" s="60"/>
      <c r="AG414" s="60"/>
      <c r="AH414" s="60"/>
      <c r="AI414" s="60"/>
      <c r="AJ414" s="60"/>
      <c r="AK414" s="60"/>
      <c r="AL414" s="60"/>
      <c r="AM414" s="60"/>
      <c r="AN414" s="60"/>
      <c r="AO414" s="60"/>
      <c r="AP414" s="60"/>
      <c r="AQ414" s="60"/>
      <c r="AR414" s="60"/>
      <c r="AS414" s="60"/>
      <c r="AT414" s="60"/>
      <c r="AU414" s="60"/>
      <c r="AV414" s="60"/>
      <c r="AW414" s="60"/>
      <c r="AX414" s="60"/>
      <c r="AY414" s="60"/>
      <c r="AZ414" s="60"/>
      <c r="BA414" s="60"/>
      <c r="BB414" s="60"/>
      <c r="BC414" s="60"/>
      <c r="BD414" s="60"/>
      <c r="BE414" s="60"/>
      <c r="BF414" s="60"/>
      <c r="BG414" s="60"/>
      <c r="BH414" s="60"/>
      <c r="BI414" s="60"/>
      <c r="BJ414" s="60"/>
      <c r="BK414" s="60"/>
      <c r="BL414" s="60"/>
      <c r="BM414" s="60"/>
      <c r="BN414" s="60"/>
      <c r="BO414" s="60"/>
      <c r="BP414" s="60"/>
      <c r="BQ414" s="60"/>
      <c r="BR414" s="60"/>
      <c r="BS414" s="60"/>
      <c r="BT414" s="60"/>
      <c r="BU414" s="60"/>
      <c r="BV414" s="60"/>
      <c r="BW414" s="60"/>
      <c r="BX414" s="60"/>
      <c r="BY414" s="60"/>
      <c r="BZ414" s="60"/>
      <c r="CA414" s="60"/>
      <c r="CB414" s="60"/>
      <c r="CC414" s="60"/>
      <c r="CD414" s="60"/>
      <c r="CE414" s="60"/>
      <c r="CF414" s="60"/>
      <c r="CG414" s="60"/>
      <c r="CH414" s="60"/>
      <c r="CI414" s="60"/>
      <c r="CJ414" s="60"/>
      <c r="CK414" s="60"/>
      <c r="CL414" s="60"/>
      <c r="CM414" s="60"/>
      <c r="CN414" s="60"/>
      <c r="CO414" s="60"/>
      <c r="CP414" s="60"/>
      <c r="CQ414" s="60"/>
      <c r="CR414" s="60"/>
      <c r="CS414" s="60"/>
      <c r="CT414" s="60"/>
      <c r="CU414" s="60"/>
      <c r="CV414" s="60"/>
      <c r="CW414" s="60"/>
      <c r="CX414" s="60"/>
      <c r="CY414" s="60"/>
      <c r="CZ414" s="60"/>
      <c r="DA414" s="60"/>
      <c r="DB414" s="60"/>
      <c r="DC414" s="60"/>
      <c r="DD414" s="60"/>
      <c r="DE414" s="60"/>
    </row>
    <row r="415" spans="1:109" s="8" customFormat="1" ht="19.5" customHeight="1" x14ac:dyDescent="0.2">
      <c r="A415" s="20"/>
      <c r="B415" s="256" t="s">
        <v>1557</v>
      </c>
      <c r="C415" s="1639"/>
      <c r="D415" s="1639"/>
      <c r="E415" s="1639"/>
      <c r="F415" s="1639"/>
      <c r="G415" s="1639"/>
      <c r="H415" s="1639"/>
      <c r="I415" s="1639"/>
      <c r="J415" s="1639"/>
      <c r="K415" s="1639"/>
      <c r="L415" s="1639"/>
      <c r="M415" s="1639"/>
      <c r="N415" s="1639"/>
      <c r="O415" s="1639"/>
      <c r="P415" s="1690"/>
      <c r="R415" s="60"/>
      <c r="S415" s="739">
        <v>1</v>
      </c>
      <c r="T415" s="646">
        <f>IF(S415=2,0.11,IF(S415=3,0.15,0))</f>
        <v>0</v>
      </c>
      <c r="U415" s="646">
        <f>LARGE(T415:T416,1)</f>
        <v>0</v>
      </c>
      <c r="V415" s="684">
        <f>U415+U416*(1-U415)</f>
        <v>0</v>
      </c>
      <c r="W415" s="740">
        <f>ROUND(V415,2)</f>
        <v>0</v>
      </c>
      <c r="X415" s="60"/>
      <c r="Y415" s="60"/>
      <c r="Z415" s="60">
        <v>1E-4</v>
      </c>
      <c r="AA415" s="60"/>
      <c r="AB415" s="60"/>
      <c r="AC415" s="60"/>
      <c r="AD415" s="60"/>
      <c r="AE415" s="60"/>
      <c r="AF415" s="60"/>
      <c r="AG415" s="60"/>
      <c r="AH415" s="60"/>
      <c r="AI415" s="60"/>
      <c r="AJ415" s="60"/>
      <c r="AK415" s="60"/>
      <c r="AL415" s="60"/>
      <c r="AM415" s="60"/>
      <c r="AN415" s="60"/>
      <c r="AO415" s="60"/>
      <c r="AP415" s="60"/>
      <c r="AQ415" s="60"/>
      <c r="AR415" s="60"/>
      <c r="AS415" s="60"/>
      <c r="AT415" s="60"/>
      <c r="AU415" s="60"/>
      <c r="AV415" s="60"/>
      <c r="AW415" s="60"/>
      <c r="AX415" s="60"/>
      <c r="AY415" s="60"/>
      <c r="AZ415" s="60"/>
      <c r="BA415" s="60"/>
      <c r="BB415" s="60"/>
      <c r="BC415" s="60"/>
      <c r="BD415" s="60"/>
      <c r="BE415" s="60"/>
      <c r="BF415" s="60"/>
      <c r="BG415" s="60"/>
      <c r="BH415" s="60"/>
      <c r="BI415" s="60"/>
      <c r="BJ415" s="60"/>
      <c r="BK415" s="60"/>
      <c r="BL415" s="60"/>
      <c r="BM415" s="60"/>
      <c r="BN415" s="60"/>
      <c r="BO415" s="60"/>
      <c r="BP415" s="60"/>
      <c r="BQ415" s="60"/>
      <c r="BR415" s="60"/>
      <c r="BS415" s="60"/>
      <c r="BT415" s="60"/>
      <c r="BU415" s="60"/>
      <c r="BV415" s="60"/>
      <c r="BW415" s="60"/>
      <c r="BX415" s="60"/>
      <c r="BY415" s="60"/>
      <c r="BZ415" s="60"/>
      <c r="CA415" s="60"/>
      <c r="CB415" s="60"/>
      <c r="CC415" s="60"/>
      <c r="CD415" s="60"/>
      <c r="CE415" s="60"/>
      <c r="CF415" s="60"/>
      <c r="CG415" s="60"/>
      <c r="CH415" s="60"/>
      <c r="CI415" s="60"/>
      <c r="CJ415" s="60"/>
      <c r="CK415" s="60"/>
      <c r="CL415" s="60"/>
      <c r="CM415" s="60"/>
      <c r="CN415" s="60"/>
      <c r="CO415" s="60"/>
      <c r="CP415" s="60"/>
      <c r="CQ415" s="60"/>
      <c r="CR415" s="60"/>
      <c r="CS415" s="60"/>
      <c r="CT415" s="60"/>
      <c r="CU415" s="60"/>
      <c r="CV415" s="60"/>
      <c r="CW415" s="60"/>
      <c r="CX415" s="60"/>
      <c r="CY415" s="60"/>
      <c r="CZ415" s="60"/>
      <c r="DA415" s="60"/>
      <c r="DB415" s="60"/>
      <c r="DC415" s="60"/>
      <c r="DD415" s="60"/>
      <c r="DE415" s="60"/>
    </row>
    <row r="416" spans="1:109" s="8" customFormat="1" ht="19.5" customHeight="1" x14ac:dyDescent="0.2">
      <c r="B416" s="256" t="s">
        <v>1558</v>
      </c>
      <c r="C416" s="1639"/>
      <c r="D416" s="1639"/>
      <c r="E416" s="1639"/>
      <c r="F416" s="1639"/>
      <c r="G416" s="1639"/>
      <c r="H416" s="1639"/>
      <c r="I416" s="1639"/>
      <c r="J416" s="1639"/>
      <c r="K416" s="1639"/>
      <c r="L416" s="1639"/>
      <c r="M416" s="1639"/>
      <c r="N416" s="1639"/>
      <c r="O416" s="1639"/>
      <c r="P416" s="303">
        <f>W415</f>
        <v>0</v>
      </c>
      <c r="R416" s="60"/>
      <c r="S416" s="739">
        <v>1</v>
      </c>
      <c r="T416" s="646">
        <f>IF(S416=2,0.05,IF(S416=3,0.07,0))</f>
        <v>0</v>
      </c>
      <c r="U416" s="646">
        <f>LARGE(T415:T416,2)</f>
        <v>0</v>
      </c>
      <c r="V416" s="60"/>
      <c r="W416" s="60"/>
      <c r="X416" s="60"/>
      <c r="Y416" s="60"/>
      <c r="Z416" s="60"/>
      <c r="AA416" s="60"/>
      <c r="AB416" s="60"/>
      <c r="AC416" s="60"/>
      <c r="AD416" s="60"/>
      <c r="AE416" s="60"/>
      <c r="AF416" s="60"/>
      <c r="AG416" s="60"/>
      <c r="AH416" s="60"/>
      <c r="AI416" s="60"/>
      <c r="AJ416" s="60"/>
      <c r="AK416" s="60"/>
      <c r="AL416" s="60"/>
      <c r="AM416" s="60"/>
      <c r="AN416" s="60"/>
      <c r="AO416" s="60"/>
      <c r="AP416" s="60"/>
      <c r="AQ416" s="60"/>
      <c r="AR416" s="60"/>
      <c r="AS416" s="60"/>
      <c r="AT416" s="60"/>
      <c r="AU416" s="60"/>
      <c r="AV416" s="60"/>
      <c r="AW416" s="60"/>
      <c r="AX416" s="60"/>
      <c r="AY416" s="60"/>
      <c r="AZ416" s="60"/>
      <c r="BA416" s="60"/>
      <c r="BB416" s="60"/>
      <c r="BC416" s="60"/>
      <c r="BD416" s="60"/>
      <c r="BE416" s="60"/>
      <c r="BF416" s="60"/>
      <c r="BG416" s="60"/>
      <c r="BH416" s="60"/>
      <c r="BI416" s="60"/>
      <c r="BJ416" s="60"/>
      <c r="BK416" s="60"/>
      <c r="BL416" s="60"/>
      <c r="BM416" s="60"/>
      <c r="BN416" s="60"/>
      <c r="BO416" s="60"/>
      <c r="BP416" s="60"/>
      <c r="BQ416" s="60"/>
      <c r="BR416" s="60"/>
      <c r="BS416" s="60"/>
      <c r="BT416" s="60"/>
      <c r="BU416" s="60"/>
      <c r="BV416" s="60"/>
      <c r="BW416" s="60"/>
      <c r="BX416" s="60"/>
      <c r="BY416" s="60"/>
      <c r="BZ416" s="60"/>
      <c r="CA416" s="60"/>
      <c r="CB416" s="60"/>
      <c r="CC416" s="60"/>
      <c r="CD416" s="60"/>
      <c r="CE416" s="60"/>
      <c r="CF416" s="60"/>
      <c r="CG416" s="60"/>
      <c r="CH416" s="60"/>
      <c r="CI416" s="60"/>
      <c r="CJ416" s="60"/>
      <c r="CK416" s="60"/>
      <c r="CL416" s="60"/>
      <c r="CM416" s="60"/>
      <c r="CN416" s="60"/>
      <c r="CO416" s="60"/>
      <c r="CP416" s="60"/>
      <c r="CQ416" s="60"/>
      <c r="CR416" s="60"/>
      <c r="CS416" s="60"/>
      <c r="CT416" s="60"/>
      <c r="CU416" s="60"/>
      <c r="CV416" s="60"/>
      <c r="CW416" s="60"/>
      <c r="CX416" s="60"/>
      <c r="CY416" s="60"/>
      <c r="CZ416" s="60"/>
      <c r="DA416" s="60"/>
      <c r="DB416" s="60"/>
      <c r="DC416" s="60"/>
      <c r="DD416" s="60"/>
      <c r="DE416" s="60"/>
    </row>
    <row r="417" spans="1:109" ht="12" customHeight="1" x14ac:dyDescent="0.2">
      <c r="B417" s="1395"/>
      <c r="C417" s="1395"/>
      <c r="D417" s="1395"/>
      <c r="E417" s="1395"/>
      <c r="F417" s="1395"/>
      <c r="G417" s="1395"/>
      <c r="H417" s="1395"/>
      <c r="I417" s="1395"/>
      <c r="J417" s="1395"/>
      <c r="K417" s="1395"/>
      <c r="L417" s="1395"/>
      <c r="M417" s="1395"/>
      <c r="N417" s="1395"/>
      <c r="O417" s="1395"/>
      <c r="P417" s="11"/>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row>
    <row r="418" spans="1:109" x14ac:dyDescent="0.2">
      <c r="B418" s="256" t="s">
        <v>1233</v>
      </c>
      <c r="C418" s="1555" t="s">
        <v>1371</v>
      </c>
      <c r="D418" s="1555"/>
      <c r="E418" s="1555"/>
      <c r="F418" s="1555"/>
      <c r="G418" s="1555"/>
      <c r="H418" s="1534" t="s">
        <v>1796</v>
      </c>
      <c r="I418" s="1534"/>
      <c r="J418" s="1534"/>
      <c r="K418" s="42"/>
      <c r="L418" s="1534" t="s">
        <v>1234</v>
      </c>
      <c r="M418" s="1534"/>
      <c r="N418" s="1534"/>
      <c r="O418" s="1534"/>
      <c r="P418" s="185"/>
      <c r="R418" s="18"/>
      <c r="S418" s="1555" t="s">
        <v>2192</v>
      </c>
      <c r="T418" s="1555"/>
      <c r="U418" s="1487" t="s">
        <v>2197</v>
      </c>
      <c r="V418" s="1487"/>
      <c r="W418" s="1487"/>
      <c r="X418" s="1487"/>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row>
    <row r="419" spans="1:109" ht="12" customHeight="1" x14ac:dyDescent="0.2">
      <c r="B419" s="185" t="s">
        <v>734</v>
      </c>
      <c r="C419" s="1542"/>
      <c r="D419" s="1542"/>
      <c r="E419" s="1542"/>
      <c r="F419" s="1542"/>
      <c r="G419" s="1542"/>
      <c r="H419" s="1545">
        <f>IF(C419=$U$419,0.15,IF(C419=$V$419,0.3,IF(C419=$W$419,0.45,0)))</f>
        <v>0</v>
      </c>
      <c r="I419" s="1545"/>
      <c r="J419" s="1545"/>
      <c r="K419" s="185"/>
      <c r="L419" s="1308"/>
      <c r="M419" s="1308"/>
      <c r="N419" s="1308"/>
      <c r="O419" s="26">
        <f>IF(H419&gt;=S419,H419-S419,0)</f>
        <v>0</v>
      </c>
      <c r="P419" s="303">
        <f>O419</f>
        <v>0</v>
      </c>
      <c r="R419" s="18"/>
      <c r="S419" s="741">
        <f>IF(L419=$V$420,0.15,IF(L419=$W$420,0.3,IF(L419=$X$420,0.45,0)))</f>
        <v>0</v>
      </c>
      <c r="T419" s="18"/>
      <c r="U419" s="721" t="s">
        <v>1237</v>
      </c>
      <c r="V419" s="721" t="s">
        <v>1238</v>
      </c>
      <c r="W419" s="721" t="s">
        <v>1239</v>
      </c>
      <c r="X419" s="721"/>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row>
    <row r="420" spans="1:109" ht="12" customHeight="1" x14ac:dyDescent="0.2">
      <c r="B420" s="185" t="s">
        <v>731</v>
      </c>
      <c r="C420" s="1542"/>
      <c r="D420" s="1542"/>
      <c r="E420" s="1542"/>
      <c r="F420" s="1542"/>
      <c r="G420" s="1542"/>
      <c r="H420" s="1545">
        <f>IF(C420=$U$419,0.15,IF(C420=$V$419,0.3,IF(C420=$W$419,0.45,0)))</f>
        <v>0</v>
      </c>
      <c r="I420" s="1545"/>
      <c r="J420" s="1545"/>
      <c r="K420" s="185"/>
      <c r="L420" s="1308"/>
      <c r="M420" s="1308"/>
      <c r="N420" s="1308"/>
      <c r="O420" s="26">
        <f>IF(H420&gt;=S420,H420-S420,0)</f>
        <v>0</v>
      </c>
      <c r="P420" s="303">
        <f>O420</f>
        <v>0</v>
      </c>
      <c r="R420" s="18"/>
      <c r="S420" s="730">
        <f>IF(L420=$V$420,0.15,IF(L420=$W$420,0.3,IF(L420=$X$420,0.45,0)))</f>
        <v>0</v>
      </c>
      <c r="T420" s="18"/>
      <c r="U420" s="721" t="s">
        <v>523</v>
      </c>
      <c r="V420" s="721" t="s">
        <v>915</v>
      </c>
      <c r="W420" s="730" t="s">
        <v>1803</v>
      </c>
      <c r="X420" s="721" t="s">
        <v>1672</v>
      </c>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row>
    <row r="421" spans="1:109" ht="12" customHeight="1" x14ac:dyDescent="0.2">
      <c r="B421" s="1395"/>
      <c r="C421" s="1395"/>
      <c r="D421" s="1395"/>
      <c r="E421" s="1395"/>
      <c r="F421" s="1395"/>
      <c r="G421" s="1395"/>
      <c r="H421" s="1395"/>
      <c r="I421" s="1395"/>
      <c r="J421" s="1395"/>
      <c r="K421" s="1395"/>
      <c r="L421" s="1395"/>
      <c r="M421" s="1395"/>
      <c r="N421" s="1395"/>
      <c r="O421" s="1395"/>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row>
    <row r="422" spans="1:109" ht="18" customHeight="1" x14ac:dyDescent="0.2">
      <c r="A422" s="20"/>
      <c r="B422" s="1374" t="s">
        <v>791</v>
      </c>
      <c r="C422" s="1375"/>
      <c r="D422" s="1375"/>
      <c r="E422" s="1375"/>
      <c r="F422" s="1376"/>
      <c r="G422" s="1639"/>
      <c r="H422" s="1639"/>
      <c r="I422" s="1656" t="s">
        <v>792</v>
      </c>
      <c r="J422" s="1656"/>
      <c r="K422" s="1656"/>
      <c r="L422" s="1656"/>
      <c r="M422" s="1656"/>
      <c r="N422" s="1656"/>
      <c r="O422" s="1656"/>
      <c r="P422" s="303">
        <f>IF(T422=1,0.1,0)</f>
        <v>0</v>
      </c>
      <c r="R422" s="1792" t="s">
        <v>2197</v>
      </c>
      <c r="S422" s="686" t="b">
        <v>0</v>
      </c>
      <c r="T422" s="721">
        <f>IF(S422=TRUE,1,0)</f>
        <v>0</v>
      </c>
      <c r="U422" s="18"/>
      <c r="V422" s="18"/>
      <c r="W422" s="18"/>
      <c r="X422" s="18"/>
      <c r="Y422" s="18"/>
      <c r="Z422" s="60">
        <v>1E-4</v>
      </c>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row>
    <row r="423" spans="1:109" ht="18" customHeight="1" x14ac:dyDescent="0.2">
      <c r="A423" s="20"/>
      <c r="B423" s="1374" t="s">
        <v>791</v>
      </c>
      <c r="C423" s="1375"/>
      <c r="D423" s="1375"/>
      <c r="E423" s="1375"/>
      <c r="F423" s="1376"/>
      <c r="G423" s="1639"/>
      <c r="H423" s="1639"/>
      <c r="I423" s="1656" t="s">
        <v>793</v>
      </c>
      <c r="J423" s="1656"/>
      <c r="K423" s="1656"/>
      <c r="L423" s="1656"/>
      <c r="M423" s="1656"/>
      <c r="N423" s="1656"/>
      <c r="O423" s="1656"/>
      <c r="P423" s="303">
        <f>IF(T423=1,0.1,0)</f>
        <v>0</v>
      </c>
      <c r="R423" s="1792"/>
      <c r="S423" s="686" t="b">
        <v>0</v>
      </c>
      <c r="T423" s="721">
        <f>IF(S423=TRUE,1,0)</f>
        <v>0</v>
      </c>
      <c r="U423" s="18"/>
      <c r="V423" s="18"/>
      <c r="W423" s="18"/>
      <c r="X423" s="18"/>
      <c r="Y423" s="18"/>
      <c r="Z423" s="60"/>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row>
    <row r="424" spans="1:109" ht="12" customHeight="1" x14ac:dyDescent="0.2">
      <c r="B424" s="1638"/>
      <c r="C424" s="1638"/>
      <c r="D424" s="1638"/>
      <c r="E424" s="1638"/>
      <c r="F424" s="1638"/>
      <c r="G424" s="1638"/>
      <c r="H424" s="1638"/>
      <c r="I424" s="1638"/>
      <c r="J424" s="1638"/>
      <c r="K424" s="1638"/>
      <c r="L424" s="1638"/>
      <c r="M424" s="1638"/>
      <c r="N424" s="1638"/>
      <c r="O424" s="1638"/>
      <c r="P424" s="11"/>
      <c r="R424" s="18"/>
      <c r="S424" s="19"/>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row>
    <row r="425" spans="1:109" ht="18" customHeight="1" x14ac:dyDescent="0.2">
      <c r="B425" s="1534" t="s">
        <v>614</v>
      </c>
      <c r="C425" s="1534"/>
      <c r="D425" s="1534"/>
      <c r="E425" s="1534"/>
      <c r="F425" s="1534"/>
      <c r="G425" s="1534"/>
      <c r="H425" s="1534"/>
      <c r="I425" s="1534"/>
      <c r="J425" s="1534"/>
      <c r="K425" s="1534"/>
      <c r="L425" s="1534"/>
      <c r="M425" s="1534"/>
      <c r="N425" s="1534"/>
      <c r="O425" s="1534"/>
      <c r="P425" s="185"/>
      <c r="R425" s="18"/>
      <c r="S425" s="18"/>
      <c r="T425" s="18"/>
      <c r="U425" s="18"/>
      <c r="V425" s="18"/>
      <c r="W425" s="18"/>
      <c r="X425" s="18"/>
      <c r="Y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row>
    <row r="426" spans="1:109" x14ac:dyDescent="0.2">
      <c r="B426" s="1656" t="s">
        <v>207</v>
      </c>
      <c r="C426" s="1656"/>
      <c r="D426" s="1656"/>
      <c r="E426" s="1656"/>
      <c r="F426" s="1656"/>
      <c r="G426" s="636"/>
      <c r="H426" s="1549" t="s">
        <v>222</v>
      </c>
      <c r="I426" s="1550"/>
      <c r="J426" s="1550"/>
      <c r="K426" s="1550"/>
      <c r="L426" s="1550"/>
      <c r="M426" s="1550"/>
      <c r="N426" s="1550"/>
      <c r="O426" s="1551"/>
      <c r="P426" s="26">
        <f>IF(G426=1,0.05,IF(G426=2,0.1,IF(G426=3,0.15,IF(G426=4,0.2,IF(G426=5,0.25,IF(G426&gt;5,0.3,0))))))</f>
        <v>0</v>
      </c>
      <c r="R426" s="19"/>
      <c r="S426" s="721" t="s">
        <v>1728</v>
      </c>
      <c r="T426" s="696">
        <v>1</v>
      </c>
      <c r="U426" s="696">
        <v>2</v>
      </c>
      <c r="V426" s="744">
        <v>3</v>
      </c>
      <c r="W426" s="696">
        <v>4</v>
      </c>
      <c r="X426" s="744">
        <v>5</v>
      </c>
      <c r="Y426" s="696">
        <v>6</v>
      </c>
      <c r="Z426" s="721">
        <v>7</v>
      </c>
      <c r="AA426" s="721">
        <v>8</v>
      </c>
      <c r="AH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row>
    <row r="427" spans="1:109" x14ac:dyDescent="0.2">
      <c r="B427" s="1656" t="s">
        <v>474</v>
      </c>
      <c r="C427" s="1656"/>
      <c r="D427" s="1656"/>
      <c r="E427" s="1656"/>
      <c r="F427" s="1656"/>
      <c r="G427" s="636"/>
      <c r="H427" s="1353">
        <f>IF(G427&gt;=1,0.05,0)</f>
        <v>0</v>
      </c>
      <c r="I427" s="1354"/>
      <c r="J427" s="1355"/>
      <c r="K427" s="1353">
        <f>IF(G427&gt;1,0.05,0)</f>
        <v>0</v>
      </c>
      <c r="L427" s="1355"/>
      <c r="M427" s="1353">
        <f>IF(G427&gt;2,0.05,0)</f>
        <v>0</v>
      </c>
      <c r="N427" s="1355"/>
      <c r="O427" s="26">
        <f>IF(G427&gt;3,0.05,0)</f>
        <v>0</v>
      </c>
      <c r="P427" s="1695" t="str">
        <f>IF(SUM(G426,G427,G429)&gt;8,"Check data: More than 8 carpal bones affected.","")</f>
        <v/>
      </c>
      <c r="R427" s="18"/>
      <c r="S427" s="721" t="s">
        <v>2193</v>
      </c>
      <c r="T427" s="696">
        <v>1</v>
      </c>
      <c r="U427" s="696">
        <v>2</v>
      </c>
      <c r="V427" s="744">
        <v>3</v>
      </c>
      <c r="W427" s="696">
        <v>4</v>
      </c>
      <c r="X427" s="744">
        <v>5</v>
      </c>
      <c r="Y427" s="696">
        <v>6</v>
      </c>
      <c r="Z427" s="744">
        <v>7</v>
      </c>
      <c r="AA427" s="696">
        <v>8</v>
      </c>
      <c r="AH427" s="18"/>
      <c r="AI427" s="18"/>
      <c r="AJ427" s="19"/>
      <c r="AK427" s="19"/>
      <c r="AL427" s="19"/>
      <c r="AM427" s="19"/>
      <c r="AN427" s="19"/>
      <c r="AO427" s="19"/>
      <c r="AP427" s="157"/>
      <c r="AQ427" s="157"/>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row>
    <row r="428" spans="1:109" x14ac:dyDescent="0.2">
      <c r="B428" s="1702"/>
      <c r="C428" s="1627"/>
      <c r="D428" s="1627"/>
      <c r="E428" s="1627"/>
      <c r="F428" s="1627"/>
      <c r="G428" s="1627"/>
      <c r="H428" s="1353">
        <f>IF(G427&gt;4,0.05,0)</f>
        <v>0</v>
      </c>
      <c r="I428" s="1354"/>
      <c r="J428" s="1355"/>
      <c r="K428" s="1353">
        <f>IF(G427&gt;5,0.05,0)</f>
        <v>0</v>
      </c>
      <c r="L428" s="1355"/>
      <c r="M428" s="1353">
        <f>IF(G427&gt;6,0.05,0)</f>
        <v>0</v>
      </c>
      <c r="N428" s="1355"/>
      <c r="O428" s="26">
        <f>IF(G427&gt;7,0.05,0)</f>
        <v>0</v>
      </c>
      <c r="P428" s="1696"/>
      <c r="R428" s="18"/>
      <c r="S428" s="721" t="s">
        <v>2194</v>
      </c>
      <c r="T428" s="696">
        <v>1</v>
      </c>
      <c r="U428" s="696">
        <v>2</v>
      </c>
      <c r="V428" s="744">
        <v>3</v>
      </c>
      <c r="W428" s="696">
        <v>4</v>
      </c>
      <c r="X428" s="744">
        <v>5</v>
      </c>
      <c r="Y428" s="696">
        <v>6</v>
      </c>
      <c r="Z428" s="744">
        <v>7</v>
      </c>
      <c r="AA428" s="696">
        <v>8</v>
      </c>
      <c r="AH428" s="18"/>
      <c r="AI428" s="18"/>
      <c r="AJ428" s="19"/>
      <c r="AK428" s="19"/>
      <c r="AL428" s="19"/>
      <c r="AM428" s="19"/>
      <c r="AN428" s="19"/>
      <c r="AO428" s="19"/>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row>
    <row r="429" spans="1:109" x14ac:dyDescent="0.2">
      <c r="B429" s="1656" t="s">
        <v>1550</v>
      </c>
      <c r="C429" s="1656"/>
      <c r="D429" s="1656"/>
      <c r="E429" s="1656"/>
      <c r="F429" s="1656"/>
      <c r="G429" s="636"/>
      <c r="H429" s="1353">
        <f>IF(G429&gt;=1,0.05,0)</f>
        <v>0</v>
      </c>
      <c r="I429" s="1354"/>
      <c r="J429" s="1355"/>
      <c r="K429" s="1353">
        <f>IF(G429&gt;1,0.05,0)</f>
        <v>0</v>
      </c>
      <c r="L429" s="1355"/>
      <c r="M429" s="1353">
        <f>IF(G429&gt;2,0.05,0)</f>
        <v>0</v>
      </c>
      <c r="N429" s="1355"/>
      <c r="O429" s="26">
        <f>IF(G429&gt;3,0.05,0)</f>
        <v>0</v>
      </c>
      <c r="P429" s="1696"/>
      <c r="R429" s="18"/>
      <c r="S429" s="18"/>
      <c r="T429" s="18"/>
      <c r="U429" s="18"/>
      <c r="V429" s="18"/>
      <c r="W429" s="18"/>
      <c r="X429" s="18"/>
      <c r="Y429" s="18"/>
      <c r="AI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row>
    <row r="430" spans="1:109" x14ac:dyDescent="0.2">
      <c r="B430" s="1702"/>
      <c r="C430" s="1627"/>
      <c r="D430" s="1627"/>
      <c r="E430" s="1627"/>
      <c r="F430" s="1627"/>
      <c r="G430" s="1627"/>
      <c r="H430" s="1353">
        <f>IF(G429&gt;4,0.05,0)</f>
        <v>0</v>
      </c>
      <c r="I430" s="1354"/>
      <c r="J430" s="1355"/>
      <c r="K430" s="1353">
        <f>IF(G429&gt;5,0.05,0)</f>
        <v>0</v>
      </c>
      <c r="L430" s="1355"/>
      <c r="M430" s="1353">
        <f>IF(G429&gt;6,0.05,0)</f>
        <v>0</v>
      </c>
      <c r="N430" s="1355"/>
      <c r="O430" s="26">
        <f>IF(G429&gt;7,0.05,0)</f>
        <v>0</v>
      </c>
      <c r="P430" s="1697"/>
      <c r="R430" s="18"/>
      <c r="S430" s="18"/>
      <c r="T430" s="18"/>
      <c r="U430" s="18"/>
      <c r="V430" s="18"/>
      <c r="W430" s="18"/>
      <c r="X430" s="18"/>
      <c r="Y430" s="18"/>
      <c r="Z430" s="18"/>
      <c r="AA430" s="18"/>
      <c r="AB430" s="19"/>
      <c r="AC430" s="18"/>
      <c r="AD430" s="19"/>
      <c r="AE430" s="18"/>
      <c r="AF430" s="19"/>
      <c r="AG430" s="18"/>
      <c r="AH430" s="18"/>
      <c r="AI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row>
    <row r="431" spans="1:109" x14ac:dyDescent="0.2">
      <c r="B431" s="1656" t="s">
        <v>1535</v>
      </c>
      <c r="C431" s="1656"/>
      <c r="D431" s="1656"/>
      <c r="E431" s="1656"/>
      <c r="F431" s="1656"/>
      <c r="G431" s="1345"/>
      <c r="H431" s="1501"/>
      <c r="I431" s="1501"/>
      <c r="J431" s="1501"/>
      <c r="K431" s="1501"/>
      <c r="L431" s="1501"/>
      <c r="M431" s="1501"/>
      <c r="N431" s="1440"/>
      <c r="O431" s="185"/>
      <c r="P431" s="26">
        <f>IF(G431="Resection with replacement",0.05,IF(G431="Resection without replacement",0.1,0))</f>
        <v>0</v>
      </c>
      <c r="R431" s="1565" t="s">
        <v>2197</v>
      </c>
      <c r="S431" s="721" t="s">
        <v>1551</v>
      </c>
      <c r="T431" s="721" t="s">
        <v>1534</v>
      </c>
      <c r="W431" s="18"/>
      <c r="X431" s="18"/>
      <c r="Y431" s="18"/>
      <c r="Z431" s="19"/>
      <c r="AA431" s="19"/>
      <c r="AB431" s="19"/>
      <c r="AC431" s="19"/>
      <c r="AD431" s="19"/>
      <c r="AE431" s="19"/>
      <c r="AF431" s="19"/>
      <c r="AH431" s="18"/>
      <c r="AI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row>
    <row r="432" spans="1:109" x14ac:dyDescent="0.2">
      <c r="B432" s="1357" t="s">
        <v>1140</v>
      </c>
      <c r="C432" s="1358"/>
      <c r="D432" s="1358"/>
      <c r="E432" s="1358"/>
      <c r="F432" s="1359"/>
      <c r="G432" s="1345"/>
      <c r="H432" s="1670"/>
      <c r="I432" s="1670"/>
      <c r="J432" s="1670"/>
      <c r="K432" s="1670"/>
      <c r="L432" s="1670"/>
      <c r="M432" s="1670"/>
      <c r="N432" s="1609"/>
      <c r="O432" s="185"/>
      <c r="P432" s="26">
        <f>IF(G432="Yes",0.06,0)</f>
        <v>0</v>
      </c>
      <c r="R432" s="1565"/>
      <c r="S432" s="721" t="s">
        <v>1141</v>
      </c>
      <c r="T432" s="721" t="s">
        <v>1142</v>
      </c>
      <c r="U432" s="18"/>
      <c r="V432" s="18"/>
      <c r="W432" s="18"/>
      <c r="X432" s="18"/>
      <c r="Y432" s="18"/>
      <c r="Z432" s="19"/>
      <c r="AA432" s="19"/>
      <c r="AB432" s="19"/>
      <c r="AC432" s="19"/>
      <c r="AD432" s="19"/>
      <c r="AE432" s="19"/>
      <c r="AF432" s="19"/>
      <c r="AG432" s="19"/>
      <c r="AH432" s="18"/>
      <c r="AI432" s="18"/>
      <c r="AJ432" s="19"/>
      <c r="AK432" s="19"/>
      <c r="AL432" s="18"/>
      <c r="AM432" s="18"/>
      <c r="AN432" s="18"/>
      <c r="AO432" s="18"/>
      <c r="AP432" s="18"/>
      <c r="AQ432" s="18"/>
      <c r="AR432" s="18"/>
      <c r="AS432" s="18"/>
      <c r="AT432" s="18"/>
    </row>
    <row r="433" spans="1:109" ht="12" customHeight="1" x14ac:dyDescent="0.2">
      <c r="B433" s="1469"/>
      <c r="C433" s="1469"/>
      <c r="D433" s="1469"/>
      <c r="E433" s="1469"/>
      <c r="F433" s="1469"/>
      <c r="G433" s="1469"/>
      <c r="H433" s="1469"/>
      <c r="I433" s="1469"/>
      <c r="J433" s="1469"/>
      <c r="K433" s="1469"/>
      <c r="L433" s="1469"/>
      <c r="M433" s="1469"/>
      <c r="N433" s="1469"/>
      <c r="O433" s="1469"/>
      <c r="R433" s="18"/>
      <c r="S433" s="18"/>
      <c r="T433" s="18"/>
      <c r="U433" s="19"/>
      <c r="V433" s="19"/>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row>
    <row r="434" spans="1:109" ht="15" customHeight="1" x14ac:dyDescent="0.2">
      <c r="B434" s="547" t="s">
        <v>812</v>
      </c>
      <c r="C434" s="435"/>
      <c r="D434" s="435"/>
      <c r="E434" s="435"/>
      <c r="F434" s="436"/>
      <c r="G434" s="1379" t="s">
        <v>615</v>
      </c>
      <c r="H434" s="1379"/>
      <c r="I434" s="1379"/>
      <c r="J434" s="1379"/>
      <c r="K434" s="1379"/>
      <c r="L434" s="1345"/>
      <c r="M434" s="1501"/>
      <c r="N434" s="1440"/>
      <c r="O434" s="26">
        <f>SUMIF(T434:X434,L434,T435:X435)</f>
        <v>0</v>
      </c>
      <c r="P434" s="1692"/>
      <c r="R434" s="1566" t="s">
        <v>2195</v>
      </c>
      <c r="S434" s="1566"/>
      <c r="T434" s="770" t="s">
        <v>1969</v>
      </c>
      <c r="U434" s="769" t="s">
        <v>1970</v>
      </c>
      <c r="V434" s="776" t="s">
        <v>1972</v>
      </c>
      <c r="W434" s="769" t="s">
        <v>945</v>
      </c>
      <c r="X434" s="776" t="s">
        <v>558</v>
      </c>
      <c r="Y434" s="729"/>
      <c r="Z434" s="1569"/>
      <c r="AA434" s="1569"/>
      <c r="AB434" s="1569"/>
      <c r="AC434" s="18"/>
      <c r="AD434" s="18"/>
      <c r="AE434" s="18"/>
      <c r="AF434" s="18"/>
      <c r="AG434" s="18"/>
      <c r="AH434" s="18"/>
      <c r="AI434" s="18"/>
      <c r="AJ434" s="18"/>
      <c r="AK434" s="18"/>
      <c r="AL434" s="18"/>
      <c r="AM434" s="18"/>
      <c r="AN434" s="18"/>
      <c r="AO434" s="18"/>
      <c r="AP434" s="18"/>
      <c r="AQ434" s="18"/>
      <c r="AR434" s="18"/>
      <c r="AS434" s="18"/>
      <c r="AT434" s="18"/>
    </row>
    <row r="435" spans="1:109" ht="18" customHeight="1" x14ac:dyDescent="0.2">
      <c r="B435" s="437"/>
      <c r="C435" s="396"/>
      <c r="D435" s="396"/>
      <c r="E435" s="396"/>
      <c r="F435" s="244"/>
      <c r="G435" s="1379" t="s">
        <v>951</v>
      </c>
      <c r="H435" s="1379"/>
      <c r="I435" s="1379"/>
      <c r="J435" s="1379"/>
      <c r="K435" s="1379"/>
      <c r="L435" s="1345"/>
      <c r="M435" s="1501"/>
      <c r="N435" s="1440"/>
      <c r="O435" s="26">
        <f>SUMIF(T434:X434,L435,T435:X435)</f>
        <v>0</v>
      </c>
      <c r="P435" s="1693"/>
      <c r="R435" s="1566"/>
      <c r="S435" s="1566"/>
      <c r="T435" s="777">
        <v>0.03</v>
      </c>
      <c r="U435" s="776">
        <v>0.15</v>
      </c>
      <c r="V435" s="776">
        <v>0.38</v>
      </c>
      <c r="W435" s="776">
        <v>0.68</v>
      </c>
      <c r="X435" s="776">
        <v>0.9</v>
      </c>
      <c r="Y435" s="729"/>
      <c r="Z435" s="1569"/>
      <c r="AA435" s="1569"/>
      <c r="AB435" s="1569"/>
      <c r="AC435" s="18"/>
      <c r="AD435" s="18"/>
      <c r="AE435" s="18"/>
      <c r="AF435" s="18"/>
      <c r="AG435" s="18"/>
      <c r="AH435" s="18"/>
      <c r="AI435" s="18"/>
      <c r="AJ435" s="18"/>
      <c r="AK435" s="18"/>
      <c r="AL435" s="18"/>
      <c r="AM435" s="18"/>
      <c r="AN435" s="18"/>
      <c r="AO435" s="18"/>
      <c r="AP435" s="18"/>
      <c r="AQ435" s="18"/>
      <c r="AR435" s="18"/>
      <c r="AS435" s="18"/>
      <c r="AT435" s="18"/>
    </row>
    <row r="436" spans="1:109" ht="18" customHeight="1" x14ac:dyDescent="0.2">
      <c r="B436" s="1379" t="s">
        <v>1654</v>
      </c>
      <c r="C436" s="1379"/>
      <c r="D436" s="1379"/>
      <c r="E436" s="1379"/>
      <c r="F436" s="1379"/>
      <c r="G436" s="1379"/>
      <c r="H436" s="1379"/>
      <c r="I436" s="1379"/>
      <c r="J436" s="1379"/>
      <c r="K436" s="1379"/>
      <c r="L436" s="1379"/>
      <c r="M436" s="1379"/>
      <c r="N436" s="1379"/>
      <c r="O436" s="1379"/>
      <c r="P436" s="303">
        <f>MAX(O434,O435)</f>
        <v>0</v>
      </c>
      <c r="R436" s="1566"/>
      <c r="S436" s="1566"/>
      <c r="T436" s="775"/>
      <c r="U436" s="775"/>
      <c r="V436" s="775"/>
      <c r="W436" s="775"/>
      <c r="X436" s="771"/>
      <c r="Y436" s="729"/>
      <c r="Z436" s="1569"/>
      <c r="AA436" s="1569"/>
      <c r="AB436" s="1569"/>
      <c r="AC436" s="18"/>
      <c r="AD436" s="18"/>
      <c r="AE436" s="18"/>
      <c r="AF436" s="18"/>
      <c r="AG436" s="18"/>
      <c r="AH436" s="18"/>
      <c r="AI436" s="18"/>
      <c r="AJ436" s="18"/>
      <c r="AK436" s="18"/>
      <c r="AL436" s="18"/>
      <c r="AM436" s="18"/>
      <c r="AN436" s="18"/>
      <c r="AO436" s="18"/>
      <c r="AP436" s="18"/>
      <c r="AQ436" s="18"/>
      <c r="AR436" s="18"/>
      <c r="AS436" s="18"/>
      <c r="AT436" s="18"/>
    </row>
    <row r="437" spans="1:109" ht="10.5" customHeight="1" x14ac:dyDescent="0.2">
      <c r="B437" s="1395"/>
      <c r="C437" s="1395"/>
      <c r="D437" s="1395"/>
      <c r="E437" s="1395"/>
      <c r="F437" s="1395"/>
      <c r="G437" s="1395"/>
      <c r="H437" s="1395"/>
      <c r="I437" s="1395"/>
      <c r="J437" s="1395"/>
      <c r="K437" s="1395"/>
      <c r="L437" s="1395"/>
      <c r="M437" s="1395"/>
      <c r="N437" s="1395"/>
      <c r="O437" s="1395"/>
      <c r="P437" s="1"/>
      <c r="R437" s="1566"/>
      <c r="S437" s="1566"/>
      <c r="T437" s="775"/>
      <c r="U437" s="775"/>
      <c r="V437" s="775"/>
      <c r="W437" s="775"/>
      <c r="X437" s="771"/>
      <c r="Y437" s="729"/>
      <c r="Z437" s="18"/>
      <c r="AA437" s="18"/>
      <c r="AB437" s="18"/>
      <c r="AC437" s="18"/>
      <c r="AD437" s="18"/>
      <c r="AE437" s="18"/>
      <c r="AF437" s="18"/>
      <c r="AG437" s="18"/>
      <c r="AH437" s="18"/>
      <c r="AI437" s="18"/>
      <c r="AJ437" s="18"/>
      <c r="AK437" s="18"/>
      <c r="AL437" s="18"/>
      <c r="AM437" s="18"/>
      <c r="AN437" s="18"/>
      <c r="AO437" s="18"/>
      <c r="AP437" s="18"/>
      <c r="AQ437" s="18"/>
      <c r="AR437" s="18"/>
      <c r="AS437" s="18"/>
      <c r="AT437" s="18"/>
    </row>
    <row r="438" spans="1:109" ht="15" customHeight="1" x14ac:dyDescent="0.2">
      <c r="B438" s="1751" t="s">
        <v>1255</v>
      </c>
      <c r="C438" s="1752"/>
      <c r="D438" s="1752"/>
      <c r="E438" s="1752"/>
      <c r="F438" s="1753"/>
      <c r="G438" s="1379" t="s">
        <v>1656</v>
      </c>
      <c r="H438" s="1379"/>
      <c r="I438" s="1379"/>
      <c r="J438" s="1379"/>
      <c r="K438" s="1379"/>
      <c r="L438" s="1345"/>
      <c r="M438" s="1501"/>
      <c r="N438" s="1440"/>
      <c r="O438" s="26">
        <f>SUMIF(T438:X438,L438,T439:X439)</f>
        <v>0</v>
      </c>
      <c r="P438" s="1692"/>
      <c r="R438" s="1566"/>
      <c r="S438" s="1566"/>
      <c r="T438" s="770" t="s">
        <v>1969</v>
      </c>
      <c r="U438" s="769" t="s">
        <v>1970</v>
      </c>
      <c r="V438" s="776" t="s">
        <v>1972</v>
      </c>
      <c r="W438" s="769" t="s">
        <v>945</v>
      </c>
      <c r="X438" s="776" t="s">
        <v>558</v>
      </c>
      <c r="Y438" s="729"/>
      <c r="Z438" s="1569"/>
      <c r="AA438" s="1569"/>
      <c r="AB438" s="1569"/>
      <c r="AC438" s="18"/>
      <c r="AD438" s="18"/>
      <c r="AE438" s="18"/>
      <c r="AF438" s="18"/>
      <c r="AG438" s="18"/>
      <c r="AH438" s="18"/>
      <c r="AI438" s="18"/>
      <c r="AJ438" s="18"/>
      <c r="AK438" s="18"/>
      <c r="AL438" s="18"/>
      <c r="AM438" s="18"/>
      <c r="AN438" s="18"/>
      <c r="AO438" s="18"/>
      <c r="AP438" s="18"/>
      <c r="AQ438" s="18"/>
      <c r="AR438" s="18"/>
      <c r="AS438" s="18"/>
      <c r="AT438" s="18"/>
    </row>
    <row r="439" spans="1:109" ht="15" customHeight="1" x14ac:dyDescent="0.2">
      <c r="B439" s="1754"/>
      <c r="C439" s="1755"/>
      <c r="D439" s="1755"/>
      <c r="E439" s="1755"/>
      <c r="F439" s="1756"/>
      <c r="G439" s="1379" t="s">
        <v>1657</v>
      </c>
      <c r="H439" s="1379"/>
      <c r="I439" s="1379"/>
      <c r="J439" s="1379"/>
      <c r="K439" s="1379"/>
      <c r="L439" s="1345"/>
      <c r="M439" s="1501"/>
      <c r="N439" s="1440"/>
      <c r="O439" s="26">
        <f>SUMIF(T438:X438,L439,T439:X439)</f>
        <v>0</v>
      </c>
      <c r="P439" s="1693"/>
      <c r="R439" s="1566"/>
      <c r="S439" s="1566"/>
      <c r="T439" s="777">
        <v>0.03</v>
      </c>
      <c r="U439" s="776">
        <v>0.15</v>
      </c>
      <c r="V439" s="776">
        <v>0.35</v>
      </c>
      <c r="W439" s="776">
        <v>0.63</v>
      </c>
      <c r="X439" s="776">
        <v>0.88</v>
      </c>
      <c r="Y439" s="729"/>
      <c r="Z439" s="1569"/>
      <c r="AA439" s="1569"/>
      <c r="AB439" s="1569"/>
      <c r="AC439" s="18"/>
      <c r="AD439" s="18"/>
      <c r="AE439" s="18"/>
      <c r="AF439" s="18"/>
      <c r="AG439" s="18"/>
      <c r="AH439" s="18"/>
      <c r="AI439" s="18"/>
      <c r="AJ439" s="18"/>
      <c r="AK439" s="18"/>
      <c r="AL439" s="18"/>
      <c r="AM439" s="18"/>
      <c r="AN439" s="18"/>
      <c r="AO439" s="18"/>
      <c r="AP439" s="18"/>
      <c r="AQ439" s="18"/>
      <c r="AR439" s="18"/>
      <c r="AS439" s="18"/>
      <c r="AT439" s="18"/>
    </row>
    <row r="440" spans="1:109" ht="18" customHeight="1" x14ac:dyDescent="0.2">
      <c r="B440" s="1374" t="s">
        <v>1654</v>
      </c>
      <c r="C440" s="1375"/>
      <c r="D440" s="1375"/>
      <c r="E440" s="1375"/>
      <c r="F440" s="1375"/>
      <c r="G440" s="1375"/>
      <c r="H440" s="1375"/>
      <c r="I440" s="1375"/>
      <c r="J440" s="1375"/>
      <c r="K440" s="1375"/>
      <c r="L440" s="1375"/>
      <c r="M440" s="1375"/>
      <c r="N440" s="1375"/>
      <c r="O440" s="1376"/>
      <c r="P440" s="303">
        <f>MAX(O438,O439)</f>
        <v>0</v>
      </c>
      <c r="R440" s="18"/>
      <c r="S440" s="18"/>
      <c r="T440" s="18"/>
      <c r="U440" s="18"/>
      <c r="V440" s="18"/>
      <c r="W440" s="18"/>
      <c r="X440" s="18"/>
      <c r="Y440" s="729"/>
      <c r="Z440" s="1569"/>
      <c r="AA440" s="1569"/>
      <c r="AB440" s="1569"/>
      <c r="AC440" s="18"/>
      <c r="AD440" s="18"/>
      <c r="AE440" s="18"/>
      <c r="AF440" s="18"/>
      <c r="AG440" s="18"/>
      <c r="AH440" s="18"/>
      <c r="AI440" s="18"/>
      <c r="AJ440" s="18"/>
      <c r="AK440" s="18"/>
      <c r="AL440" s="18"/>
      <c r="AM440" s="18"/>
      <c r="AN440" s="18"/>
      <c r="AO440" s="18"/>
      <c r="AP440" s="18"/>
      <c r="AQ440" s="18"/>
      <c r="AR440" s="18"/>
      <c r="AS440" s="18"/>
      <c r="AT440" s="18"/>
    </row>
    <row r="441" spans="1:109" ht="12" customHeight="1" x14ac:dyDescent="0.2">
      <c r="B441" s="1602"/>
      <c r="C441" s="1602"/>
      <c r="D441" s="1602"/>
      <c r="E441" s="1602"/>
      <c r="F441" s="1602"/>
      <c r="G441" s="1602"/>
      <c r="H441" s="1602"/>
      <c r="I441" s="1602"/>
      <c r="J441" s="1602"/>
      <c r="K441" s="1602"/>
      <c r="L441" s="1602"/>
      <c r="M441" s="1602"/>
      <c r="N441" s="1602"/>
      <c r="O441" s="1602"/>
      <c r="P441" s="11"/>
      <c r="R441" s="18"/>
      <c r="S441" s="18"/>
      <c r="T441" s="18"/>
      <c r="U441" s="18"/>
      <c r="V441" s="18"/>
      <c r="W441" s="18"/>
      <c r="X441" s="18"/>
      <c r="Y441" s="729"/>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row>
    <row r="442" spans="1:109" ht="18" customHeight="1" x14ac:dyDescent="0.2">
      <c r="B442" s="1687" t="s">
        <v>952</v>
      </c>
      <c r="C442" s="1687"/>
      <c r="D442" s="1687"/>
      <c r="E442" s="1687"/>
      <c r="F442" s="1687"/>
      <c r="G442" s="1687"/>
      <c r="H442" s="1687"/>
      <c r="I442" s="1687"/>
      <c r="J442" s="1687"/>
      <c r="K442" s="1687"/>
      <c r="L442" s="1687"/>
      <c r="M442" s="1687"/>
      <c r="N442" s="1687"/>
      <c r="O442" s="1687"/>
      <c r="P442" s="1687"/>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row>
    <row r="443" spans="1:109" ht="114" customHeight="1" x14ac:dyDescent="0.2">
      <c r="B443" s="1379" t="s">
        <v>1776</v>
      </c>
      <c r="C443" s="1379"/>
      <c r="D443" s="1379"/>
      <c r="E443" s="1379"/>
      <c r="F443" s="1379"/>
      <c r="G443" s="1379"/>
      <c r="H443" s="1379"/>
      <c r="I443" s="1379"/>
      <c r="J443" s="1379"/>
      <c r="K443" s="1379"/>
      <c r="L443" s="1379"/>
      <c r="M443" s="1379"/>
      <c r="N443" s="1379"/>
      <c r="O443" s="1379"/>
      <c r="P443" s="1379"/>
      <c r="R443" s="731" t="s">
        <v>2196</v>
      </c>
      <c r="S443" s="721" t="s">
        <v>1942</v>
      </c>
      <c r="T443" s="695" t="s">
        <v>827</v>
      </c>
      <c r="U443" s="695" t="s">
        <v>828</v>
      </c>
      <c r="V443" s="695" t="s">
        <v>829</v>
      </c>
      <c r="W443" s="695" t="s">
        <v>830</v>
      </c>
      <c r="X443" s="721" t="s">
        <v>831</v>
      </c>
      <c r="Y443" s="695" t="s">
        <v>832</v>
      </c>
      <c r="Z443" s="695" t="s">
        <v>833</v>
      </c>
      <c r="AA443" s="695" t="s">
        <v>834</v>
      </c>
      <c r="AB443" s="695" t="s">
        <v>835</v>
      </c>
      <c r="AC443" s="695" t="s">
        <v>836</v>
      </c>
      <c r="AD443" s="695" t="s">
        <v>1681</v>
      </c>
      <c r="AE443" s="695" t="s">
        <v>1682</v>
      </c>
      <c r="AF443" s="695" t="s">
        <v>1683</v>
      </c>
      <c r="AG443" s="695" t="s">
        <v>1684</v>
      </c>
      <c r="AH443" s="695" t="s">
        <v>1685</v>
      </c>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row>
    <row r="444" spans="1:109" ht="15" customHeight="1" x14ac:dyDescent="0.2">
      <c r="B444" s="1555"/>
      <c r="C444" s="1555"/>
      <c r="D444" s="1555"/>
      <c r="E444" s="1555"/>
      <c r="F444" s="1555"/>
      <c r="G444" s="1555"/>
      <c r="H444" s="1555"/>
      <c r="I444" s="1555"/>
      <c r="J444" s="1555"/>
      <c r="K444" s="1555"/>
      <c r="L444" s="1536" t="s">
        <v>1686</v>
      </c>
      <c r="M444" s="1640" t="s">
        <v>1687</v>
      </c>
      <c r="N444" s="1640"/>
      <c r="O444" s="1640"/>
      <c r="P444" s="1640"/>
      <c r="R444" s="732" t="s">
        <v>2197</v>
      </c>
      <c r="S444" s="688">
        <v>0</v>
      </c>
      <c r="T444" s="730">
        <v>0</v>
      </c>
      <c r="U444" s="730">
        <v>0.05</v>
      </c>
      <c r="V444" s="730">
        <v>0.1</v>
      </c>
      <c r="W444" s="730">
        <v>0.2</v>
      </c>
      <c r="X444" s="730">
        <v>0.3</v>
      </c>
      <c r="Y444" s="730">
        <v>0.4</v>
      </c>
      <c r="Z444" s="730">
        <v>0.5</v>
      </c>
      <c r="AA444" s="730">
        <v>0.6</v>
      </c>
      <c r="AB444" s="730">
        <v>0.7</v>
      </c>
      <c r="AC444" s="730">
        <v>0.75</v>
      </c>
      <c r="AD444" s="730">
        <v>0.8</v>
      </c>
      <c r="AE444" s="754">
        <v>0.85</v>
      </c>
      <c r="AF444" s="754">
        <v>0.9</v>
      </c>
      <c r="AG444" s="754">
        <v>0.95</v>
      </c>
      <c r="AH444" s="754">
        <v>1</v>
      </c>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row>
    <row r="445" spans="1:109" ht="15" customHeight="1" x14ac:dyDescent="0.2">
      <c r="B445" s="316" t="s">
        <v>1688</v>
      </c>
      <c r="C445" s="1687" t="s">
        <v>953</v>
      </c>
      <c r="D445" s="1687"/>
      <c r="E445" s="1687"/>
      <c r="F445" s="1687"/>
      <c r="G445" s="1687"/>
      <c r="H445" s="1687"/>
      <c r="I445" s="1687"/>
      <c r="J445" s="1687"/>
      <c r="K445" s="1687"/>
      <c r="L445" s="1536"/>
      <c r="M445" s="1536" t="s">
        <v>1689</v>
      </c>
      <c r="N445" s="1536"/>
      <c r="O445" s="24" t="s">
        <v>1690</v>
      </c>
      <c r="P445" s="24" t="s">
        <v>1691</v>
      </c>
      <c r="R445" s="1790" t="s">
        <v>2199</v>
      </c>
      <c r="S445" s="1790"/>
      <c r="T445" s="730" t="s">
        <v>1689</v>
      </c>
      <c r="U445" s="730" t="s">
        <v>1597</v>
      </c>
      <c r="V445" s="730" t="s">
        <v>1692</v>
      </c>
      <c r="W445" s="730" t="s">
        <v>1693</v>
      </c>
      <c r="X445" s="730" t="s">
        <v>1694</v>
      </c>
      <c r="Y445" s="19"/>
      <c r="Z445" s="730" t="s">
        <v>1508</v>
      </c>
      <c r="AA445" s="730" t="s">
        <v>1305</v>
      </c>
      <c r="AB445" s="730" t="s">
        <v>1307</v>
      </c>
      <c r="AC445" s="730" t="s">
        <v>1306</v>
      </c>
      <c r="AD445" s="730" t="s">
        <v>1307</v>
      </c>
      <c r="AE445" s="452" t="s">
        <v>1509</v>
      </c>
      <c r="AF445" s="452" t="s">
        <v>1307</v>
      </c>
      <c r="AG445" s="733" t="s">
        <v>1305</v>
      </c>
      <c r="AH445" s="733" t="s">
        <v>1306</v>
      </c>
      <c r="AI445" s="733" t="s">
        <v>1307</v>
      </c>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row>
    <row r="446" spans="1:109" ht="15" customHeight="1" x14ac:dyDescent="0.2">
      <c r="A446" s="20"/>
      <c r="B446" s="1536"/>
      <c r="C446" s="1536"/>
      <c r="D446" s="1536"/>
      <c r="E446" s="453"/>
      <c r="F446" s="1536" t="s">
        <v>1510</v>
      </c>
      <c r="G446" s="1536"/>
      <c r="H446" s="1536"/>
      <c r="I446" s="1536"/>
      <c r="J446" s="1536"/>
      <c r="K446" s="1536"/>
      <c r="L446" s="95">
        <f>IF(S446=0,0,0.3)</f>
        <v>0</v>
      </c>
      <c r="M446" s="1658"/>
      <c r="N446" s="1658"/>
      <c r="O446" s="99"/>
      <c r="P446" s="355">
        <f>IF(OR(L446=0,M446=""),0,X446)</f>
        <v>0</v>
      </c>
      <c r="R446" s="745" t="b">
        <v>0</v>
      </c>
      <c r="S446" s="746">
        <f>IF(R446=TRUE,1,0)</f>
        <v>0</v>
      </c>
      <c r="T446" s="747">
        <f>SUMIF($T$443:$AH$443,M446,$T$444:$AH$444)</f>
        <v>0</v>
      </c>
      <c r="U446" s="747">
        <f>SUMIF($S$443:$AH$443,O446,$S$444:$AH$444)</f>
        <v>0</v>
      </c>
      <c r="V446" s="747">
        <f>L446*T446</f>
        <v>0</v>
      </c>
      <c r="W446" s="747">
        <f>L446*U446</f>
        <v>0</v>
      </c>
      <c r="X446" s="747">
        <f>(IF(V446-W446&lt;=0,0,V446-W446))</f>
        <v>0</v>
      </c>
      <c r="Y446" s="19"/>
      <c r="Z446" s="747">
        <f>P477</f>
        <v>0</v>
      </c>
      <c r="AA446" s="747">
        <f>LARGE($Z$446:$Z$448,1)</f>
        <v>0</v>
      </c>
      <c r="AB446" s="747">
        <f>ROUND(AA446,2)</f>
        <v>0</v>
      </c>
      <c r="AC446" s="684">
        <f>AB446+AB447*(1-AB446)</f>
        <v>0</v>
      </c>
      <c r="AD446" s="748">
        <f>ROUND(AC446,2)</f>
        <v>0</v>
      </c>
      <c r="AE446" s="747">
        <f>P446</f>
        <v>0</v>
      </c>
      <c r="AF446" s="749">
        <f>ROUND(AE446,2)</f>
        <v>0</v>
      </c>
      <c r="AG446" s="730">
        <f>LARGE($AF$446:$AF$454,1)</f>
        <v>0</v>
      </c>
      <c r="AH446" s="684">
        <f>AG446+AG447*(1-AG446)</f>
        <v>0</v>
      </c>
      <c r="AI446" s="747">
        <f>ROUND(AH446,2)</f>
        <v>0</v>
      </c>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row>
    <row r="447" spans="1:109" ht="15" customHeight="1" x14ac:dyDescent="0.2">
      <c r="B447" s="1536"/>
      <c r="C447" s="1536"/>
      <c r="D447" s="1536"/>
      <c r="E447" s="453"/>
      <c r="F447" s="1536" t="s">
        <v>1511</v>
      </c>
      <c r="G447" s="1536"/>
      <c r="H447" s="1536"/>
      <c r="I447" s="1536"/>
      <c r="J447" s="1536"/>
      <c r="K447" s="1536"/>
      <c r="L447" s="95">
        <f>IF(S447=0,0,0.35)</f>
        <v>0</v>
      </c>
      <c r="M447" s="1658"/>
      <c r="N447" s="1658"/>
      <c r="O447" s="99"/>
      <c r="P447" s="355">
        <f>IF(OR(L447=0,M447=""),0,X447)</f>
        <v>0</v>
      </c>
      <c r="R447" s="745" t="b">
        <v>0</v>
      </c>
      <c r="S447" s="746">
        <f>IF(R447=TRUE,1,0)</f>
        <v>0</v>
      </c>
      <c r="T447" s="747">
        <f>SUMIF($T$443:$AH$443,M447,$T$444:$AH$444)</f>
        <v>0</v>
      </c>
      <c r="U447" s="747">
        <f>SUMIF($S$443:$AH$443,O447,$S$444:$AH$444)</f>
        <v>0</v>
      </c>
      <c r="V447" s="747">
        <f>L447*T447</f>
        <v>0</v>
      </c>
      <c r="W447" s="747">
        <f>L447*U447</f>
        <v>0</v>
      </c>
      <c r="X447" s="747">
        <f>(IF(V447-W447&lt;=0,0,V447-W447))</f>
        <v>0</v>
      </c>
      <c r="Y447" s="19"/>
      <c r="Z447" s="747">
        <f>P492</f>
        <v>0</v>
      </c>
      <c r="AA447" s="747">
        <f>LARGE($Z$446:$Z$448,2)</f>
        <v>0</v>
      </c>
      <c r="AB447" s="747">
        <f>ROUND(AA447,2)</f>
        <v>0</v>
      </c>
      <c r="AC447" s="684">
        <f>AD446+AB448*(1-AD446)</f>
        <v>0</v>
      </c>
      <c r="AD447" s="748">
        <f>ROUND(AC447,2)</f>
        <v>0</v>
      </c>
      <c r="AE447" s="747">
        <f>P447</f>
        <v>0</v>
      </c>
      <c r="AF447" s="749">
        <f>ROUND(AE447,2)</f>
        <v>0</v>
      </c>
      <c r="AG447" s="730">
        <f>LARGE($AF$446:$AF$454,2)</f>
        <v>0</v>
      </c>
      <c r="AH447" s="684">
        <f>AI446+AG448*(1-AI446)</f>
        <v>0</v>
      </c>
      <c r="AI447" s="747">
        <f>ROUND(AH447,2)</f>
        <v>0</v>
      </c>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row>
    <row r="448" spans="1:109" ht="15" customHeight="1" x14ac:dyDescent="0.2">
      <c r="B448" s="1536"/>
      <c r="C448" s="1536"/>
      <c r="D448" s="1536"/>
      <c r="E448" s="453"/>
      <c r="F448" s="1536" t="s">
        <v>1512</v>
      </c>
      <c r="G448" s="1536"/>
      <c r="H448" s="1536"/>
      <c r="I448" s="1536"/>
      <c r="J448" s="1536"/>
      <c r="K448" s="1536"/>
      <c r="L448" s="95">
        <f>IF(S448=0,0,0.35)</f>
        <v>0</v>
      </c>
      <c r="M448" s="1658"/>
      <c r="N448" s="1658"/>
      <c r="O448" s="99"/>
      <c r="P448" s="355">
        <f>IF(OR(L448=0,M448=""),0,X448)</f>
        <v>0</v>
      </c>
      <c r="R448" s="745" t="b">
        <v>0</v>
      </c>
      <c r="S448" s="746">
        <f>IF(R448=TRUE,1,0)</f>
        <v>0</v>
      </c>
      <c r="T448" s="747">
        <f>SUMIF($T$443:$AH$443,M448,$T$444:$AH$444)</f>
        <v>0</v>
      </c>
      <c r="U448" s="747">
        <f>SUMIF($S$443:$AH$443,O448,$S$444:$AH$444)</f>
        <v>0</v>
      </c>
      <c r="V448" s="747">
        <f>L448*T448</f>
        <v>0</v>
      </c>
      <c r="W448" s="747">
        <f>L448*U448</f>
        <v>0</v>
      </c>
      <c r="X448" s="747">
        <f>(IF(V448-W448&lt;=0,0,V448-W448))</f>
        <v>0</v>
      </c>
      <c r="Y448" s="19"/>
      <c r="Z448" s="747">
        <f>P506</f>
        <v>0</v>
      </c>
      <c r="AA448" s="747">
        <f>LARGE($Z$446:$Z$448,3)</f>
        <v>0</v>
      </c>
      <c r="AB448" s="747">
        <f>ROUND(AA448,2)</f>
        <v>0</v>
      </c>
      <c r="AC448" s="114"/>
      <c r="AD448" s="111"/>
      <c r="AE448" s="747">
        <f>P448</f>
        <v>0</v>
      </c>
      <c r="AF448" s="749">
        <f>ROUND(AE448,2)</f>
        <v>0</v>
      </c>
      <c r="AG448" s="730">
        <f>LARGE($AF$446:$AF$454,3)</f>
        <v>0</v>
      </c>
      <c r="AH448" s="684">
        <f>AI447+AG449*(1-AI447)</f>
        <v>0</v>
      </c>
      <c r="AI448" s="747">
        <f>ROUND(AH448,2)</f>
        <v>0</v>
      </c>
      <c r="AJ448" s="18"/>
      <c r="AK448" s="18">
        <v>1E-4</v>
      </c>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row>
    <row r="449" spans="1:109" ht="15" customHeight="1" x14ac:dyDescent="0.2">
      <c r="B449" s="1536"/>
      <c r="C449" s="1536"/>
      <c r="D449" s="1536"/>
      <c r="E449" s="453"/>
      <c r="F449" s="1536" t="s">
        <v>1209</v>
      </c>
      <c r="G449" s="1536"/>
      <c r="H449" s="1536"/>
      <c r="I449" s="1536"/>
      <c r="J449" s="1536"/>
      <c r="K449" s="1536"/>
      <c r="L449" s="95">
        <f>IF(S449=0,0,0.45)</f>
        <v>0</v>
      </c>
      <c r="M449" s="1658"/>
      <c r="N449" s="1658"/>
      <c r="O449" s="99"/>
      <c r="P449" s="355">
        <f>IF(OR(L449=0,M449=""),0,X449)</f>
        <v>0</v>
      </c>
      <c r="R449" s="745" t="b">
        <v>0</v>
      </c>
      <c r="S449" s="746">
        <f>IF(R449=TRUE,1,0)</f>
        <v>0</v>
      </c>
      <c r="T449" s="747">
        <f>SUMIF($T$443:$AH$443,M449,$T$444:$AH$444)</f>
        <v>0</v>
      </c>
      <c r="U449" s="747">
        <f>SUMIF($S$443:$AH$443,O449,$S$444:$AH$444)</f>
        <v>0</v>
      </c>
      <c r="V449" s="747">
        <f>L449*T449</f>
        <v>0</v>
      </c>
      <c r="W449" s="747">
        <f>L449*U449</f>
        <v>0</v>
      </c>
      <c r="X449" s="747">
        <f>(IF(V449-W449&lt;=0,0,V449-W449))</f>
        <v>0</v>
      </c>
      <c r="Y449" s="19"/>
      <c r="Z449" s="111"/>
      <c r="AA449" s="111"/>
      <c r="AB449" s="111"/>
      <c r="AC449" s="19"/>
      <c r="AD449" s="19"/>
      <c r="AE449" s="747">
        <f>P449</f>
        <v>0</v>
      </c>
      <c r="AF449" s="749">
        <f>ROUND(AE449,2)</f>
        <v>0</v>
      </c>
      <c r="AG449" s="730">
        <f>LARGE($AF$446:$AF$454,4)</f>
        <v>0</v>
      </c>
      <c r="AH449" s="684">
        <f>AI448+AG450*(1-AI448)</f>
        <v>0</v>
      </c>
      <c r="AI449" s="747">
        <f>ROUND(AH449,2)</f>
        <v>0</v>
      </c>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row>
    <row r="450" spans="1:109" ht="15" customHeight="1" x14ac:dyDescent="0.2">
      <c r="B450" s="1536"/>
      <c r="C450" s="1536"/>
      <c r="D450" s="1536"/>
      <c r="E450" s="453"/>
      <c r="F450" s="1536" t="s">
        <v>1210</v>
      </c>
      <c r="G450" s="1536"/>
      <c r="H450" s="1536"/>
      <c r="I450" s="1536"/>
      <c r="J450" s="1536"/>
      <c r="K450" s="1536"/>
      <c r="L450" s="95">
        <f>IF(S450=0,0,0.2)</f>
        <v>0</v>
      </c>
      <c r="M450" s="1658"/>
      <c r="N450" s="1658"/>
      <c r="O450" s="99"/>
      <c r="P450" s="355">
        <f>IF(OR(L450=0,M450=""),0,X450)</f>
        <v>0</v>
      </c>
      <c r="R450" s="745" t="b">
        <v>0</v>
      </c>
      <c r="S450" s="746">
        <f>IF(R450=TRUE,1,0)</f>
        <v>0</v>
      </c>
      <c r="T450" s="747">
        <f>SUMIF($T$443:$AH$443,M450,$T$444:$AH$444)</f>
        <v>0</v>
      </c>
      <c r="U450" s="747">
        <f>SUMIF($S$443:$AH$443,O450,$S$444:$AH$444)</f>
        <v>0</v>
      </c>
      <c r="V450" s="747">
        <f>L450*T450</f>
        <v>0</v>
      </c>
      <c r="W450" s="747">
        <f>L450*U450</f>
        <v>0</v>
      </c>
      <c r="X450" s="747">
        <f>(IF(V450-W450&lt;=0,0,V450-W450))</f>
        <v>0</v>
      </c>
      <c r="Y450" s="19"/>
      <c r="Z450" s="18"/>
      <c r="AA450" s="19"/>
      <c r="AB450" s="19"/>
      <c r="AC450" s="19"/>
      <c r="AD450" s="19"/>
      <c r="AE450" s="747">
        <f>P450</f>
        <v>0</v>
      </c>
      <c r="AF450" s="749">
        <f>ROUND(AE450,2)</f>
        <v>0</v>
      </c>
      <c r="AG450" s="730">
        <f>LARGE($AF$446:$AF$454,5)</f>
        <v>0</v>
      </c>
      <c r="AH450" s="684">
        <f>AI449+AG453*(1-AI449)</f>
        <v>0</v>
      </c>
      <c r="AI450" s="747">
        <f>ROUND(AH450,2)</f>
        <v>0</v>
      </c>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row>
    <row r="451" spans="1:109" ht="6" customHeight="1" x14ac:dyDescent="0.2">
      <c r="B451" s="1638"/>
      <c r="C451" s="1638"/>
      <c r="D451" s="1638"/>
      <c r="E451" s="1638"/>
      <c r="F451" s="1638"/>
      <c r="G451" s="1638"/>
      <c r="H451" s="1638"/>
      <c r="I451" s="1638"/>
      <c r="J451" s="1638"/>
      <c r="K451" s="1638"/>
      <c r="L451" s="1638"/>
      <c r="M451" s="1638"/>
      <c r="N451" s="1638"/>
      <c r="O451" s="1638"/>
      <c r="P451" s="103"/>
      <c r="R451" s="170"/>
      <c r="S451" s="116"/>
      <c r="T451" s="111"/>
      <c r="U451" s="111"/>
      <c r="V451" s="111"/>
      <c r="W451" s="111"/>
      <c r="X451" s="111"/>
      <c r="Y451" s="19"/>
      <c r="Z451" s="18"/>
      <c r="AA451" s="19"/>
      <c r="AB451" s="19"/>
      <c r="AC451" s="19"/>
      <c r="AD451" s="19"/>
      <c r="AE451" s="111"/>
      <c r="AF451" s="112"/>
      <c r="AG451" s="19"/>
      <c r="AH451" s="114"/>
      <c r="AI451" s="111"/>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row>
    <row r="452" spans="1:109" ht="6" customHeight="1" x14ac:dyDescent="0.2">
      <c r="B452" s="1691"/>
      <c r="C452" s="1691"/>
      <c r="D452" s="1691"/>
      <c r="E452" s="1691"/>
      <c r="F452" s="1691"/>
      <c r="G452" s="1691"/>
      <c r="H452" s="1691"/>
      <c r="I452" s="1691"/>
      <c r="J452" s="1691"/>
      <c r="K452" s="1691"/>
      <c r="L452" s="1691"/>
      <c r="M452" s="1691"/>
      <c r="N452" s="1691"/>
      <c r="O452" s="1691"/>
      <c r="P452" s="104"/>
      <c r="R452" s="170"/>
      <c r="S452" s="116"/>
      <c r="T452" s="111"/>
      <c r="U452" s="111"/>
      <c r="V452" s="111"/>
      <c r="W452" s="111"/>
      <c r="X452" s="111"/>
      <c r="Y452" s="19"/>
      <c r="Z452" s="18"/>
      <c r="AA452" s="19"/>
      <c r="AB452" s="19"/>
      <c r="AC452" s="19"/>
      <c r="AD452" s="19"/>
      <c r="AE452" s="111"/>
      <c r="AF452" s="112"/>
      <c r="AG452" s="19"/>
      <c r="AH452" s="114"/>
      <c r="AI452" s="111"/>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row>
    <row r="453" spans="1:109" ht="15" customHeight="1" x14ac:dyDescent="0.2">
      <c r="B453" s="1710" t="s">
        <v>1702</v>
      </c>
      <c r="C453" s="1744"/>
      <c r="D453" s="1744"/>
      <c r="E453" s="1677"/>
      <c r="F453" s="1677"/>
      <c r="G453" s="1677"/>
      <c r="H453" s="1677"/>
      <c r="I453" s="1677"/>
      <c r="J453" s="1677"/>
      <c r="K453" s="1677"/>
      <c r="L453" s="1677"/>
      <c r="M453" s="1677"/>
      <c r="N453" s="1677"/>
      <c r="O453" s="1677"/>
      <c r="P453" s="1678"/>
      <c r="Q453" s="3"/>
      <c r="R453" s="157"/>
      <c r="S453" s="116"/>
      <c r="T453" s="734" t="s">
        <v>1689</v>
      </c>
      <c r="U453" s="734" t="s">
        <v>1597</v>
      </c>
      <c r="V453" s="734" t="s">
        <v>1692</v>
      </c>
      <c r="W453" s="734" t="s">
        <v>1693</v>
      </c>
      <c r="X453" s="734" t="s">
        <v>1694</v>
      </c>
      <c r="Y453" s="19"/>
      <c r="Z453" s="18"/>
      <c r="AA453" s="19"/>
      <c r="AB453" s="19"/>
      <c r="AC453" s="19"/>
      <c r="AD453" s="19"/>
      <c r="AE453" s="747">
        <f>P458</f>
        <v>0</v>
      </c>
      <c r="AF453" s="749">
        <f>ROUND(AE453,2)</f>
        <v>0</v>
      </c>
      <c r="AG453" s="730">
        <f>LARGE($AF$446:$AF$454,6)</f>
        <v>0</v>
      </c>
      <c r="AH453" s="684">
        <f>AI450+AG454*(1-AI450)</f>
        <v>0</v>
      </c>
      <c r="AI453" s="747">
        <f>ROUND(AH453,2)</f>
        <v>0</v>
      </c>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row>
    <row r="454" spans="1:109" ht="27" customHeight="1" x14ac:dyDescent="0.2">
      <c r="A454" s="3"/>
      <c r="B454" s="551" t="s">
        <v>1823</v>
      </c>
      <c r="C454" s="568"/>
      <c r="D454" s="552"/>
      <c r="E454" s="323"/>
      <c r="F454" s="1667" t="s">
        <v>1552</v>
      </c>
      <c r="G454" s="1668"/>
      <c r="H454" s="1668"/>
      <c r="I454" s="1668"/>
      <c r="J454" s="1668"/>
      <c r="K454" s="1669"/>
      <c r="L454" s="95">
        <f>IF(OR(F454="",S454=0),0,IF(AND(S454=1,F454&lt;&gt;""),0.25))</f>
        <v>0</v>
      </c>
      <c r="M454" s="1658"/>
      <c r="N454" s="1658"/>
      <c r="O454" s="99"/>
      <c r="P454" s="355" t="str">
        <f>IF(OR(L454=0,M454=""),"",X454)</f>
        <v/>
      </c>
      <c r="R454" s="686" t="b">
        <v>0</v>
      </c>
      <c r="S454" s="736">
        <f>IF(R454=TRUE,1,0)</f>
        <v>0</v>
      </c>
      <c r="T454" s="747">
        <f>SUMIF($T$443:$AH$443,M454,$T$444:$AH$444)</f>
        <v>0</v>
      </c>
      <c r="U454" s="747">
        <f>SUMIF($S$443:$AH$443,O454,$S$444:$AH$444)</f>
        <v>0</v>
      </c>
      <c r="V454" s="747">
        <f>L454*T454</f>
        <v>0</v>
      </c>
      <c r="W454" s="747">
        <f>L454*U454</f>
        <v>0</v>
      </c>
      <c r="X454" s="747">
        <f>(IF(V454-W454&lt;=0,0,V454-W454))</f>
        <v>0</v>
      </c>
      <c r="Y454" s="18"/>
      <c r="Z454" s="18"/>
      <c r="AA454" s="18"/>
      <c r="AB454" s="18"/>
      <c r="AC454" s="18"/>
      <c r="AD454" s="18"/>
      <c r="AE454" s="750">
        <f>P465</f>
        <v>0</v>
      </c>
      <c r="AF454" s="749">
        <f>ROUND(AE454,2)</f>
        <v>0</v>
      </c>
      <c r="AG454" s="730">
        <f>LARGE($AF$446:$AF$454,7)</f>
        <v>0</v>
      </c>
      <c r="AH454" s="114"/>
      <c r="AI454" s="111"/>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row>
    <row r="455" spans="1:109" ht="15" customHeight="1" x14ac:dyDescent="0.2">
      <c r="A455" s="3"/>
      <c r="B455" s="566"/>
      <c r="C455" s="167"/>
      <c r="D455" s="569"/>
      <c r="E455" s="567"/>
      <c r="F455" s="1362" t="str">
        <f>IF(S454=1,"","Biceps brachii")</f>
        <v>Biceps brachii</v>
      </c>
      <c r="G455" s="1363"/>
      <c r="H455" s="1363"/>
      <c r="I455" s="1363"/>
      <c r="J455" s="1363"/>
      <c r="K455" s="1364"/>
      <c r="L455" s="95">
        <f>IF(OR(F455="",S455=0),0,IF(AND(S455=1,F455&lt;&gt;""),0.25))</f>
        <v>0</v>
      </c>
      <c r="M455" s="1658"/>
      <c r="N455" s="1658"/>
      <c r="O455" s="99"/>
      <c r="P455" s="355" t="str">
        <f>IF(OR(L455=0,M455="",X455=0),"",X455)</f>
        <v/>
      </c>
      <c r="R455" s="686" t="b">
        <v>0</v>
      </c>
      <c r="S455" s="736">
        <f>IF(R455=TRUE,1,0)</f>
        <v>0</v>
      </c>
      <c r="T455" s="747">
        <f>SUMIF($T$443:$AH$443,M455,$T$444:$AH$444)</f>
        <v>0</v>
      </c>
      <c r="U455" s="747">
        <f>SUMIF($S$443:$AH$443,O455,$S$444:$AH$444)</f>
        <v>0</v>
      </c>
      <c r="V455" s="747">
        <f>L455*T455</f>
        <v>0</v>
      </c>
      <c r="W455" s="747">
        <f>L455*U455</f>
        <v>0</v>
      </c>
      <c r="X455" s="747">
        <f>(IF(V455-W455&lt;=0,0,V455-W455))</f>
        <v>0</v>
      </c>
      <c r="Y455" s="158"/>
      <c r="Z455" s="18"/>
      <c r="AA455" s="158"/>
      <c r="AB455" s="158"/>
      <c r="AC455" s="18"/>
      <c r="AD455" s="158"/>
      <c r="AE455" s="171"/>
      <c r="AF455" s="112"/>
      <c r="AG455" s="19"/>
      <c r="AH455" s="114"/>
      <c r="AI455" s="111"/>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row>
    <row r="456" spans="1:109" ht="15" customHeight="1" x14ac:dyDescent="0.2">
      <c r="A456" s="3"/>
      <c r="B456" s="566"/>
      <c r="C456" s="167"/>
      <c r="D456" s="569"/>
      <c r="E456" s="567"/>
      <c r="F456" s="1362" t="str">
        <f>IF(S454=1,"","Coracobrachialis")</f>
        <v>Coracobrachialis</v>
      </c>
      <c r="G456" s="1363"/>
      <c r="H456" s="1363"/>
      <c r="I456" s="1363"/>
      <c r="J456" s="1363"/>
      <c r="K456" s="1364"/>
      <c r="L456" s="95">
        <f>IF(OR(F456="",S456=0),0,IF(AND(S456=1,F456&lt;&gt;""),0.25))</f>
        <v>0</v>
      </c>
      <c r="M456" s="1658"/>
      <c r="N456" s="1658"/>
      <c r="O456" s="99"/>
      <c r="P456" s="355" t="str">
        <f>IF(OR(L456=0,M456="",X456=0),"",X456)</f>
        <v/>
      </c>
      <c r="R456" s="686" t="b">
        <v>0</v>
      </c>
      <c r="S456" s="736">
        <f>IF(R456=TRUE,1,0)</f>
        <v>0</v>
      </c>
      <c r="T456" s="747">
        <f>SUMIF($T$443:$AH$443,M456,$T$444:$AH$444)</f>
        <v>0</v>
      </c>
      <c r="U456" s="747">
        <f>SUMIF($S$443:$AH$443,O456,$S$444:$AH$444)</f>
        <v>0</v>
      </c>
      <c r="V456" s="747">
        <f>L456*T456</f>
        <v>0</v>
      </c>
      <c r="W456" s="747">
        <f>L456*U456</f>
        <v>0</v>
      </c>
      <c r="X456" s="747">
        <f>(IF(V456-W456&lt;=0,0,V456-W456))</f>
        <v>0</v>
      </c>
      <c r="Y456" s="116"/>
      <c r="Z456" s="18"/>
      <c r="AA456" s="116"/>
      <c r="AB456" s="116"/>
      <c r="AC456" s="116"/>
      <c r="AD456" s="116"/>
      <c r="AE456" s="114"/>
      <c r="AF456" s="112"/>
      <c r="AG456" s="19"/>
      <c r="AH456" s="114"/>
      <c r="AI456" s="111"/>
      <c r="AJ456" s="172"/>
      <c r="AK456" s="172"/>
      <c r="AL456" s="116"/>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row>
    <row r="457" spans="1:109" ht="15" customHeight="1" x14ac:dyDescent="0.2">
      <c r="A457" s="3"/>
      <c r="B457" s="553"/>
      <c r="C457" s="331"/>
      <c r="D457" s="554"/>
      <c r="E457" s="567"/>
      <c r="F457" s="1362" t="str">
        <f>IF(S454=1,"","Brachialis")</f>
        <v>Brachialis</v>
      </c>
      <c r="G457" s="1363"/>
      <c r="H457" s="1363"/>
      <c r="I457" s="1363"/>
      <c r="J457" s="1363"/>
      <c r="K457" s="1364"/>
      <c r="L457" s="95">
        <f>IF(OR(F457="",S457=0),0,IF(AND(S457=1,F457&lt;&gt;""),0.25))</f>
        <v>0</v>
      </c>
      <c r="M457" s="1658"/>
      <c r="N457" s="1658"/>
      <c r="O457" s="99"/>
      <c r="P457" s="355" t="str">
        <f>IF(OR(L457=0,M457="",X457=0),"",X457)</f>
        <v/>
      </c>
      <c r="R457" s="686" t="b">
        <v>0</v>
      </c>
      <c r="S457" s="736">
        <f>IF(R457=TRUE,1,0)</f>
        <v>0</v>
      </c>
      <c r="T457" s="747">
        <f>SUMIF($T$443:$AH$443,M457,$T$444:$AH$444)</f>
        <v>0</v>
      </c>
      <c r="U457" s="747">
        <f>SUMIF($S$443:$AH$443,O457,$S$444:$AH$444)</f>
        <v>0</v>
      </c>
      <c r="V457" s="747">
        <f>L457*T457</f>
        <v>0</v>
      </c>
      <c r="W457" s="747">
        <f>L457*U457</f>
        <v>0</v>
      </c>
      <c r="X457" s="747">
        <f>(IF(V457-W457&lt;=0,0,V457-W457))</f>
        <v>0</v>
      </c>
      <c r="Y457" s="19"/>
      <c r="Z457" s="18"/>
      <c r="AA457" s="19"/>
      <c r="AB457" s="19"/>
      <c r="AC457" s="19"/>
      <c r="AD457" s="19"/>
      <c r="AE457" s="111"/>
      <c r="AF457" s="112"/>
      <c r="AG457" s="19"/>
      <c r="AH457" s="114"/>
      <c r="AI457" s="111"/>
      <c r="AJ457" s="19"/>
      <c r="AK457" s="19"/>
      <c r="AL457" s="19"/>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row>
    <row r="458" spans="1:109" ht="18" customHeight="1" x14ac:dyDescent="0.2">
      <c r="A458" s="3"/>
      <c r="B458" s="1743" t="s">
        <v>954</v>
      </c>
      <c r="C458" s="1743"/>
      <c r="D458" s="1743"/>
      <c r="E458" s="1570"/>
      <c r="F458" s="1570"/>
      <c r="G458" s="1570"/>
      <c r="H458" s="1570"/>
      <c r="I458" s="1570"/>
      <c r="J458" s="1570"/>
      <c r="K458" s="1570"/>
      <c r="L458" s="1570"/>
      <c r="M458" s="1570"/>
      <c r="N458" s="1570"/>
      <c r="O458" s="1570"/>
      <c r="P458" s="240">
        <f>IF(SUM(P454:P457)=0,0,AVERAGE(P454:P457))</f>
        <v>0</v>
      </c>
      <c r="R458" s="18"/>
      <c r="S458" s="116"/>
      <c r="T458" s="111"/>
      <c r="U458" s="111"/>
      <c r="V458" s="114"/>
      <c r="W458" s="114"/>
      <c r="X458" s="111"/>
      <c r="Y458" s="19"/>
      <c r="Z458" s="19"/>
      <c r="AA458" s="19"/>
      <c r="AB458" s="19"/>
      <c r="AC458" s="19"/>
      <c r="AD458" s="19"/>
      <c r="AE458" s="111"/>
      <c r="AF458" s="112"/>
      <c r="AG458" s="19"/>
      <c r="AH458" s="114"/>
      <c r="AI458" s="111"/>
      <c r="AJ458" s="19"/>
      <c r="AK458" s="18"/>
      <c r="AL458" s="19"/>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row>
    <row r="459" spans="1:109" ht="12" customHeight="1" x14ac:dyDescent="0.2">
      <c r="A459" s="3"/>
      <c r="C459" s="35"/>
      <c r="D459" s="35"/>
      <c r="F459" s="35"/>
      <c r="H459" s="35"/>
      <c r="J459" s="35"/>
      <c r="L459" s="35"/>
      <c r="N459" s="35"/>
      <c r="R459" s="18"/>
      <c r="S459" s="116"/>
      <c r="T459" s="734" t="s">
        <v>1689</v>
      </c>
      <c r="U459" s="734" t="s">
        <v>1597</v>
      </c>
      <c r="V459" s="734" t="s">
        <v>1692</v>
      </c>
      <c r="W459" s="734" t="s">
        <v>1693</v>
      </c>
      <c r="X459" s="734" t="s">
        <v>1694</v>
      </c>
      <c r="Y459" s="19"/>
      <c r="Z459" s="19"/>
      <c r="AA459" s="19"/>
      <c r="AB459" s="19"/>
      <c r="AC459" s="19"/>
      <c r="AD459" s="19"/>
      <c r="AE459" s="111"/>
      <c r="AF459" s="112"/>
      <c r="AG459" s="19"/>
      <c r="AH459" s="114"/>
      <c r="AI459" s="111"/>
      <c r="AJ459" s="19"/>
      <c r="AK459" s="18"/>
      <c r="AL459" s="19"/>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row>
    <row r="460" spans="1:109" ht="18" customHeight="1" x14ac:dyDescent="0.2">
      <c r="A460" s="3"/>
      <c r="B460" s="571" t="s">
        <v>1820</v>
      </c>
      <c r="C460" s="572"/>
      <c r="D460" s="573"/>
      <c r="E460" s="567"/>
      <c r="F460" s="1667" t="str">
        <f>IF(Z460=1,"","Overall loss at level shown")</f>
        <v/>
      </c>
      <c r="G460" s="1668"/>
      <c r="H460" s="1668"/>
      <c r="I460" s="1668"/>
      <c r="J460" s="1668"/>
      <c r="K460" s="1669"/>
      <c r="L460" s="95">
        <f>IF(OR(F460="",S460=0),0,IF(Z460=2,0.55,IF(Z460=3,0.25)))</f>
        <v>0</v>
      </c>
      <c r="M460" s="1658"/>
      <c r="N460" s="1658"/>
      <c r="O460" s="99"/>
      <c r="P460" s="355" t="str">
        <f>IF(OR(L460=0,M460=""),"",X460)</f>
        <v/>
      </c>
      <c r="R460" s="686" t="b">
        <v>0</v>
      </c>
      <c r="S460" s="736">
        <f t="shared" ref="S460:S476" si="56">IF(R460=TRUE,1,0)</f>
        <v>0</v>
      </c>
      <c r="T460" s="747">
        <f>SUMIF($T$443:$AH$443,M460,$T$444:$AH$444)</f>
        <v>0</v>
      </c>
      <c r="U460" s="747">
        <f>SUMIF($S$443:$AH$443,O460,$S$444:$AH$444)</f>
        <v>0</v>
      </c>
      <c r="V460" s="747">
        <f t="shared" ref="V460:V476" si="57">L460*T460</f>
        <v>0</v>
      </c>
      <c r="W460" s="747">
        <f t="shared" ref="W460:W476" si="58">L460*U460</f>
        <v>0</v>
      </c>
      <c r="X460" s="747">
        <f t="shared" ref="X460:X476" si="59">(IF(V460-W460&lt;=0,0,V460-W460))</f>
        <v>0</v>
      </c>
      <c r="Y460" s="19"/>
      <c r="Z460" s="686">
        <v>1</v>
      </c>
      <c r="AA460" s="1789" t="s">
        <v>513</v>
      </c>
      <c r="AB460" s="1789"/>
      <c r="AC460" s="1789"/>
      <c r="AD460" s="111"/>
      <c r="AF460" s="112"/>
      <c r="AG460" s="19"/>
      <c r="AH460" s="18"/>
      <c r="AI460" s="18"/>
      <c r="AJ460" s="19"/>
      <c r="AK460" s="18"/>
      <c r="AL460" s="19"/>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row>
    <row r="461" spans="1:109" ht="18" customHeight="1" x14ac:dyDescent="0.2">
      <c r="A461" s="3"/>
      <c r="B461" s="574"/>
      <c r="C461" s="570"/>
      <c r="D461" s="575"/>
      <c r="E461" s="567"/>
      <c r="F461" s="1671" t="str">
        <f>IF(AND(S460=0,Z460=2),"Triceps","")</f>
        <v/>
      </c>
      <c r="G461" s="1672"/>
      <c r="H461" s="1672"/>
      <c r="I461" s="1672"/>
      <c r="J461" s="1672"/>
      <c r="K461" s="1673"/>
      <c r="L461" s="95">
        <f>IF(OR(F461="",S461=0,$Z$460=3),0,IF($Z$460=2,0.55,0))</f>
        <v>0</v>
      </c>
      <c r="M461" s="1658"/>
      <c r="N461" s="1658"/>
      <c r="O461" s="99"/>
      <c r="P461" s="355" t="str">
        <f>IF(OR(L461=0,M461="",X461=0),"",IF(AND(S465=1,M461&lt;&gt;""),"ERROR",X461))</f>
        <v/>
      </c>
      <c r="R461" s="686" t="b">
        <v>0</v>
      </c>
      <c r="S461" s="736">
        <f t="shared" si="56"/>
        <v>0</v>
      </c>
      <c r="T461" s="747">
        <f>SUMIF($T$443:$AH$443,M461,$T$444:$AH$444)</f>
        <v>0</v>
      </c>
      <c r="U461" s="747">
        <f>SUMIF($S$443:$AH$443,O461,$S$444:$AH$444)</f>
        <v>0</v>
      </c>
      <c r="V461" s="747">
        <f t="shared" si="57"/>
        <v>0</v>
      </c>
      <c r="W461" s="747">
        <f t="shared" si="58"/>
        <v>0</v>
      </c>
      <c r="X461" s="747">
        <f t="shared" si="59"/>
        <v>0</v>
      </c>
      <c r="Y461" s="18"/>
      <c r="Z461" s="775"/>
      <c r="AA461" s="775"/>
      <c r="AB461" s="775"/>
      <c r="AC461" s="775"/>
      <c r="AD461" s="725"/>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row>
    <row r="462" spans="1:109" ht="18" customHeight="1" x14ac:dyDescent="0.2">
      <c r="A462" s="3"/>
      <c r="B462" s="574"/>
      <c r="C462" s="570"/>
      <c r="D462" s="575"/>
      <c r="E462" s="567"/>
      <c r="F462" s="1362" t="str">
        <f>IF(AND(S460=0,Z460=2),"Anconeus","")</f>
        <v/>
      </c>
      <c r="G462" s="1363"/>
      <c r="H462" s="1363"/>
      <c r="I462" s="1363"/>
      <c r="J462" s="1363"/>
      <c r="K462" s="1364"/>
      <c r="L462" s="95">
        <f>IF(OR(F462="",S462=0,$Z$460=3),0,IF($Z$460=2,0.55,0))</f>
        <v>0</v>
      </c>
      <c r="M462" s="1658"/>
      <c r="N462" s="1658"/>
      <c r="O462" s="99"/>
      <c r="P462" s="355" t="str">
        <f>IF(OR(L462=0,M462="",X462=0),"",X462)</f>
        <v/>
      </c>
      <c r="R462" s="745" t="b">
        <v>0</v>
      </c>
      <c r="S462" s="736">
        <f t="shared" si="56"/>
        <v>0</v>
      </c>
      <c r="T462" s="747">
        <f>SUMIF($T$443:$AH$443,M462,$T$444:$AH$444)</f>
        <v>0</v>
      </c>
      <c r="U462" s="747">
        <f>SUMIF($S$443:$AH$443,O462,$S$444:$AH$444)</f>
        <v>0</v>
      </c>
      <c r="V462" s="747">
        <f t="shared" si="57"/>
        <v>0</v>
      </c>
      <c r="W462" s="747">
        <f t="shared" si="58"/>
        <v>0</v>
      </c>
      <c r="X462" s="747">
        <f t="shared" si="59"/>
        <v>0</v>
      </c>
      <c r="Y462" s="19"/>
      <c r="Z462" s="164"/>
      <c r="AA462" s="775"/>
      <c r="AB462" s="729"/>
      <c r="AC462" s="729"/>
      <c r="AD462" s="19"/>
      <c r="AE462" s="19"/>
      <c r="AF462" s="19"/>
      <c r="AG462" s="19"/>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row>
    <row r="463" spans="1:109" ht="18" customHeight="1" x14ac:dyDescent="0.2">
      <c r="A463" s="3"/>
      <c r="B463" s="574"/>
      <c r="C463" s="570"/>
      <c r="D463" s="575"/>
      <c r="E463" s="567"/>
      <c r="F463" s="1671" t="str">
        <f>IF(AND(S460=0,Z460=2),"Brachioradialis","")</f>
        <v/>
      </c>
      <c r="G463" s="1672"/>
      <c r="H463" s="1672"/>
      <c r="I463" s="1672"/>
      <c r="J463" s="1672"/>
      <c r="K463" s="1673"/>
      <c r="L463" s="95">
        <f>IF(OR(F463="",S463=0,$Z$460=3),0,IF($Z$460=2,0.55,0))</f>
        <v>0</v>
      </c>
      <c r="M463" s="1658"/>
      <c r="N463" s="1658"/>
      <c r="O463" s="99"/>
      <c r="P463" s="355" t="str">
        <f>IF(OR(L463=0,M463="",X463=0),"",X463)</f>
        <v/>
      </c>
      <c r="R463" s="745" t="b">
        <v>0</v>
      </c>
      <c r="S463" s="736">
        <f t="shared" si="56"/>
        <v>0</v>
      </c>
      <c r="T463" s="747">
        <f>SUMIF($T$443:$AH$443,M463,$T$444:$AH$444)</f>
        <v>0</v>
      </c>
      <c r="U463" s="747">
        <f>SUMIF($S$443:$AH$443,O463,$S$444:$AH$444)</f>
        <v>0</v>
      </c>
      <c r="V463" s="747">
        <f t="shared" si="57"/>
        <v>0</v>
      </c>
      <c r="W463" s="747">
        <f t="shared" si="58"/>
        <v>0</v>
      </c>
      <c r="X463" s="747">
        <f t="shared" si="59"/>
        <v>0</v>
      </c>
      <c r="Y463" s="18"/>
      <c r="Z463" s="784"/>
      <c r="AA463" s="784"/>
      <c r="AB463" s="784"/>
      <c r="AC463" s="784"/>
      <c r="AD463" s="18"/>
      <c r="AE463" s="18"/>
      <c r="AF463" s="18"/>
      <c r="AG463" s="18"/>
      <c r="AH463" s="18"/>
      <c r="AI463" s="18"/>
      <c r="AJ463" s="18"/>
      <c r="AK463" s="18"/>
      <c r="AL463" s="18"/>
      <c r="AM463" s="19"/>
      <c r="AN463" s="18"/>
      <c r="AO463" s="19"/>
      <c r="AP463" s="18"/>
      <c r="AQ463" s="19"/>
      <c r="AR463" s="19"/>
      <c r="AS463" s="19"/>
      <c r="AT463" s="19"/>
      <c r="AU463" s="18"/>
      <c r="AV463" s="19"/>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row>
    <row r="464" spans="1:109" ht="18" customHeight="1" x14ac:dyDescent="0.2">
      <c r="A464" s="3"/>
      <c r="B464" s="574"/>
      <c r="C464" s="570"/>
      <c r="D464" s="575"/>
      <c r="E464" s="567"/>
      <c r="F464" s="1362" t="str">
        <f>IF(AND(S460=0,Z460=2),"Extensor carpi radialis longus","")</f>
        <v/>
      </c>
      <c r="G464" s="1363"/>
      <c r="H464" s="1363"/>
      <c r="I464" s="1363"/>
      <c r="J464" s="1363"/>
      <c r="K464" s="1364"/>
      <c r="L464" s="95">
        <f>IF(OR(F464="",S464=0,$Z$460=3),0,IF($Z$460=2,0.55,0))</f>
        <v>0</v>
      </c>
      <c r="M464" s="1658"/>
      <c r="N464" s="1658"/>
      <c r="O464" s="99"/>
      <c r="P464" s="355" t="str">
        <f>IF(OR(L464=0,M464="",X464=0),"",X464)</f>
        <v/>
      </c>
      <c r="R464" s="745" t="b">
        <v>0</v>
      </c>
      <c r="S464" s="736">
        <f t="shared" si="56"/>
        <v>0</v>
      </c>
      <c r="T464" s="747">
        <f>SUMIF($T$443:$AH$443,M464,$T$444:$AH$444)</f>
        <v>0</v>
      </c>
      <c r="U464" s="747">
        <f>SUMIF($S$443:$AH$443,O464,$S$444:$AH$444)</f>
        <v>0</v>
      </c>
      <c r="V464" s="747">
        <f t="shared" si="57"/>
        <v>0</v>
      </c>
      <c r="W464" s="747">
        <f t="shared" si="58"/>
        <v>0</v>
      </c>
      <c r="X464" s="747">
        <f t="shared" si="59"/>
        <v>0</v>
      </c>
      <c r="Y464" s="74"/>
      <c r="Z464" s="173"/>
      <c r="AA464" s="74"/>
      <c r="AB464" s="74"/>
      <c r="AC464" s="74"/>
      <c r="AD464" s="74"/>
      <c r="AE464" s="74"/>
      <c r="AF464" s="74"/>
      <c r="AG464" s="74"/>
      <c r="AH464" s="74"/>
      <c r="AI464" s="74"/>
      <c r="AJ464" s="74"/>
      <c r="AK464" s="74"/>
      <c r="AL464" s="74"/>
      <c r="AM464" s="74"/>
      <c r="AN464" s="74"/>
      <c r="AO464" s="74"/>
      <c r="AP464" s="74"/>
      <c r="AQ464" s="74"/>
      <c r="AR464" s="74"/>
      <c r="AS464" s="74"/>
      <c r="AT464" s="74"/>
      <c r="AU464" s="74"/>
      <c r="AV464" s="74"/>
      <c r="AW464" s="74"/>
      <c r="AX464" s="74"/>
      <c r="AY464" s="74"/>
      <c r="AZ464" s="74"/>
      <c r="BA464" s="74"/>
      <c r="BB464" s="74"/>
      <c r="BC464" s="74"/>
      <c r="BD464" s="74"/>
      <c r="BE464" s="74"/>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row>
    <row r="465" spans="1:109" ht="15" customHeight="1" x14ac:dyDescent="0.2">
      <c r="A465" s="3"/>
      <c r="B465" s="1748" t="str">
        <f>IF(P461="ERROR","ERROR: If triceps only, select 'Triceps only.'","")</f>
        <v/>
      </c>
      <c r="C465" s="1749"/>
      <c r="D465" s="1749"/>
      <c r="E465" s="1749"/>
      <c r="F465" s="1749"/>
      <c r="G465" s="1749"/>
      <c r="H465" s="1749"/>
      <c r="I465" s="1749"/>
      <c r="J465" s="1749"/>
      <c r="K465" s="1749"/>
      <c r="L465" s="1750"/>
      <c r="M465" s="1740" t="s">
        <v>954</v>
      </c>
      <c r="N465" s="1741"/>
      <c r="O465" s="1742"/>
      <c r="P465" s="240">
        <f>IF(SUM(P460:P464)=0,0,AVERAGE(P460:P464))</f>
        <v>0</v>
      </c>
      <c r="R465" s="170"/>
      <c r="S465" s="736">
        <f>SUM(S460:S464)</f>
        <v>0</v>
      </c>
      <c r="T465" s="111"/>
      <c r="U465" s="111"/>
      <c r="V465" s="111"/>
      <c r="W465" s="111"/>
      <c r="X465" s="111"/>
      <c r="Y465" s="74"/>
      <c r="Z465" s="173"/>
      <c r="AA465" s="74"/>
      <c r="AB465" s="74"/>
      <c r="AC465" s="74"/>
      <c r="AD465" s="74"/>
      <c r="AE465" s="74"/>
      <c r="AF465" s="74"/>
      <c r="AG465" s="74"/>
      <c r="AH465" s="74"/>
      <c r="AI465" s="74"/>
      <c r="AJ465" s="74"/>
      <c r="AK465" s="74"/>
      <c r="AL465" s="74"/>
      <c r="AM465" s="74"/>
      <c r="AN465" s="74"/>
      <c r="AO465" s="74"/>
      <c r="AP465" s="74"/>
      <c r="AQ465" s="74"/>
      <c r="AR465" s="74"/>
      <c r="AS465" s="74"/>
      <c r="AT465" s="74"/>
      <c r="AU465" s="74"/>
      <c r="AV465" s="74"/>
      <c r="AW465" s="74"/>
      <c r="AX465" s="74"/>
      <c r="AY465" s="74"/>
      <c r="AZ465" s="74"/>
      <c r="BA465" s="74"/>
      <c r="BB465" s="74"/>
      <c r="BC465" s="74"/>
      <c r="BD465" s="74"/>
      <c r="BE465" s="74"/>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row>
    <row r="466" spans="1:109" ht="12" customHeight="1" x14ac:dyDescent="0.2">
      <c r="A466" s="3"/>
      <c r="C466" s="35"/>
      <c r="D466" s="35"/>
      <c r="F466" s="35"/>
      <c r="H466" s="35"/>
      <c r="J466" s="35"/>
      <c r="L466" s="35"/>
      <c r="N466" s="35"/>
      <c r="R466" s="170"/>
      <c r="S466" s="116"/>
      <c r="T466" s="734" t="s">
        <v>1689</v>
      </c>
      <c r="U466" s="734" t="s">
        <v>1597</v>
      </c>
      <c r="V466" s="734" t="s">
        <v>1692</v>
      </c>
      <c r="W466" s="734" t="s">
        <v>1693</v>
      </c>
      <c r="X466" s="734" t="s">
        <v>1694</v>
      </c>
      <c r="Y466" s="74"/>
      <c r="Z466" s="173"/>
      <c r="AA466" s="74"/>
      <c r="AB466" s="74"/>
      <c r="AC466" s="74"/>
      <c r="AD466" s="74"/>
      <c r="AE466" s="74"/>
      <c r="AF466" s="74"/>
      <c r="AG466" s="74"/>
      <c r="AH466" s="74"/>
      <c r="AI466" s="74"/>
      <c r="AJ466" s="74"/>
      <c r="AK466" s="74"/>
      <c r="AL466" s="74"/>
      <c r="AM466" s="74"/>
      <c r="AN466" s="74"/>
      <c r="AO466" s="74"/>
      <c r="AP466" s="74"/>
      <c r="AQ466" s="74"/>
      <c r="AR466" s="74"/>
      <c r="AS466" s="74"/>
      <c r="AT466" s="74"/>
      <c r="AU466" s="74"/>
      <c r="AV466" s="74"/>
      <c r="AW466" s="74"/>
      <c r="AX466" s="74"/>
      <c r="AY466" s="74"/>
      <c r="AZ466" s="74"/>
      <c r="BA466" s="74"/>
      <c r="BB466" s="74"/>
      <c r="BC466" s="74"/>
      <c r="BD466" s="74"/>
      <c r="BE466" s="74"/>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row>
    <row r="467" spans="1:109" ht="15" customHeight="1" x14ac:dyDescent="0.2">
      <c r="A467" s="3"/>
      <c r="B467" s="583" t="s">
        <v>1821</v>
      </c>
      <c r="C467" s="584"/>
      <c r="D467" s="585"/>
      <c r="E467" s="567"/>
      <c r="F467" s="1667" t="str">
        <f>IF(Z470=1,"","Overall loss at level shown")</f>
        <v>Overall loss at level shown</v>
      </c>
      <c r="G467" s="1668"/>
      <c r="H467" s="1668"/>
      <c r="I467" s="1668"/>
      <c r="J467" s="1668"/>
      <c r="K467" s="1669"/>
      <c r="L467" s="95">
        <f>IF(OR(F467="",S467=0),0,0.5)</f>
        <v>0</v>
      </c>
      <c r="M467" s="1658"/>
      <c r="N467" s="1658"/>
      <c r="O467" s="99"/>
      <c r="P467" s="355" t="str">
        <f>IF(OR(L467=0,M467=""),"",X467)</f>
        <v/>
      </c>
      <c r="R467" s="745" t="b">
        <v>0</v>
      </c>
      <c r="S467" s="736">
        <f t="shared" si="56"/>
        <v>0</v>
      </c>
      <c r="T467" s="747">
        <f t="shared" ref="T467:T476" si="60">SUMIF($T$443:$AH$443,M467,$T$444:$AH$444)</f>
        <v>0</v>
      </c>
      <c r="U467" s="747">
        <f t="shared" ref="U467:U476" si="61">SUMIF($S$443:$AH$443,O467,$S$444:$AH$444)</f>
        <v>0</v>
      </c>
      <c r="V467" s="747">
        <f>L467*T467</f>
        <v>0</v>
      </c>
      <c r="W467" s="747">
        <f>L467*U467</f>
        <v>0</v>
      </c>
      <c r="X467" s="747">
        <f>(IF(V467-W467&lt;=0,0,V467-W467))</f>
        <v>0</v>
      </c>
      <c r="Y467" s="74"/>
      <c r="Z467" s="173"/>
      <c r="AA467" s="74"/>
      <c r="AB467" s="74"/>
      <c r="AC467" s="74"/>
      <c r="AD467" s="74"/>
      <c r="AE467" s="74"/>
      <c r="AF467" s="74"/>
      <c r="AG467" s="74"/>
      <c r="AH467" s="74"/>
      <c r="AI467" s="74"/>
      <c r="AJ467" s="74"/>
      <c r="AK467" s="74"/>
      <c r="AL467" s="74"/>
      <c r="AM467" s="74"/>
      <c r="AN467" s="74"/>
      <c r="AO467" s="74"/>
      <c r="AP467" s="74"/>
      <c r="AQ467" s="74"/>
      <c r="AR467" s="74"/>
      <c r="AS467" s="74"/>
      <c r="AT467" s="74"/>
      <c r="AU467" s="74"/>
      <c r="AV467" s="74"/>
      <c r="AW467" s="74"/>
      <c r="AX467" s="74"/>
      <c r="AY467" s="74"/>
      <c r="AZ467" s="74"/>
      <c r="BA467" s="74"/>
      <c r="BB467" s="74"/>
      <c r="BC467" s="74"/>
      <c r="BD467" s="74"/>
      <c r="BE467" s="74"/>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row>
    <row r="468" spans="1:109" ht="15" customHeight="1" x14ac:dyDescent="0.2">
      <c r="A468" s="3"/>
      <c r="B468" s="586" t="s">
        <v>1822</v>
      </c>
      <c r="C468" s="582"/>
      <c r="D468" s="587"/>
      <c r="E468" s="567"/>
      <c r="F468" s="1671" t="str">
        <f>IF($S$467=1,"","Extensor carpi radialis brevis")</f>
        <v>Extensor carpi radialis brevis</v>
      </c>
      <c r="G468" s="1672"/>
      <c r="H468" s="1672"/>
      <c r="I468" s="1672"/>
      <c r="J468" s="1672"/>
      <c r="K468" s="1673"/>
      <c r="L468" s="95">
        <f>IF(OR(F468="",S468=0),0,0.5)</f>
        <v>0</v>
      </c>
      <c r="M468" s="1658"/>
      <c r="N468" s="1658"/>
      <c r="O468" s="99"/>
      <c r="P468" s="355" t="str">
        <f t="shared" ref="P468:P476" si="62">IF(OR(L468=0,M468="",X468=0),"",X468)</f>
        <v/>
      </c>
      <c r="R468" s="745" t="b">
        <v>0</v>
      </c>
      <c r="S468" s="736">
        <f t="shared" si="56"/>
        <v>0</v>
      </c>
      <c r="T468" s="747">
        <f t="shared" si="60"/>
        <v>0</v>
      </c>
      <c r="U468" s="747">
        <f t="shared" si="61"/>
        <v>0</v>
      </c>
      <c r="V468" s="747">
        <f t="shared" si="57"/>
        <v>0</v>
      </c>
      <c r="W468" s="747">
        <f t="shared" si="58"/>
        <v>0</v>
      </c>
      <c r="X468" s="747">
        <f t="shared" si="59"/>
        <v>0</v>
      </c>
      <c r="Y468" s="74"/>
      <c r="Z468" s="74"/>
      <c r="AA468" s="74"/>
      <c r="AB468" s="74"/>
      <c r="AC468" s="74"/>
      <c r="AD468" s="74"/>
      <c r="AE468" s="74"/>
      <c r="AF468" s="74"/>
      <c r="AG468" s="74"/>
      <c r="AH468" s="74"/>
      <c r="AI468" s="74"/>
      <c r="AJ468" s="74"/>
      <c r="AK468" s="74"/>
      <c r="AL468" s="74"/>
      <c r="AM468" s="74"/>
      <c r="AN468" s="74"/>
      <c r="AO468" s="74"/>
      <c r="AP468" s="74"/>
      <c r="AQ468" s="74"/>
      <c r="AR468" s="74"/>
      <c r="AS468" s="74"/>
      <c r="AT468" s="74"/>
      <c r="AU468" s="74"/>
      <c r="AV468" s="74"/>
      <c r="AW468" s="74"/>
      <c r="AX468" s="74"/>
      <c r="AY468" s="74"/>
      <c r="AZ468" s="74"/>
      <c r="BA468" s="74"/>
      <c r="BB468" s="74"/>
      <c r="BC468" s="74"/>
      <c r="BD468" s="74"/>
      <c r="BE468" s="74"/>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row>
    <row r="469" spans="1:109" ht="15" customHeight="1" x14ac:dyDescent="0.2">
      <c r="A469" s="3"/>
      <c r="B469" s="586" t="s">
        <v>1824</v>
      </c>
      <c r="C469" s="582"/>
      <c r="D469" s="587"/>
      <c r="E469" s="567"/>
      <c r="F469" s="1671" t="str">
        <f>IF($S$467=1,"","Supinator longus")</f>
        <v>Supinator longus</v>
      </c>
      <c r="G469" s="1672"/>
      <c r="H469" s="1672"/>
      <c r="I469" s="1672"/>
      <c r="J469" s="1672"/>
      <c r="K469" s="1673"/>
      <c r="L469" s="95">
        <f t="shared" ref="L469:L476" si="63">IF(OR(F469="",S469=0),0,0.5)</f>
        <v>0</v>
      </c>
      <c r="M469" s="1658"/>
      <c r="N469" s="1658"/>
      <c r="O469" s="99"/>
      <c r="P469" s="355" t="str">
        <f t="shared" si="62"/>
        <v/>
      </c>
      <c r="R469" s="745" t="b">
        <v>0</v>
      </c>
      <c r="S469" s="736">
        <f t="shared" si="56"/>
        <v>0</v>
      </c>
      <c r="T469" s="747">
        <f t="shared" si="60"/>
        <v>0</v>
      </c>
      <c r="U469" s="747">
        <f t="shared" si="61"/>
        <v>0</v>
      </c>
      <c r="V469" s="747">
        <f t="shared" si="57"/>
        <v>0</v>
      </c>
      <c r="W469" s="747">
        <f t="shared" si="58"/>
        <v>0</v>
      </c>
      <c r="X469" s="747">
        <f t="shared" si="59"/>
        <v>0</v>
      </c>
      <c r="Y469" s="74"/>
      <c r="Z469" s="74"/>
      <c r="AA469" s="74"/>
      <c r="AB469" s="74"/>
      <c r="AC469" s="74"/>
      <c r="AD469" s="74"/>
      <c r="AE469" s="74"/>
      <c r="AF469" s="74"/>
      <c r="AG469" s="74"/>
      <c r="AH469" s="74"/>
      <c r="AI469" s="74"/>
      <c r="AJ469" s="74"/>
      <c r="AK469" s="74"/>
      <c r="AL469" s="74"/>
      <c r="AM469" s="74"/>
      <c r="AN469" s="74"/>
      <c r="AO469" s="74"/>
      <c r="AP469" s="74"/>
      <c r="AQ469" s="74"/>
      <c r="AR469" s="74"/>
      <c r="AS469" s="74"/>
      <c r="AT469" s="74"/>
      <c r="AU469" s="74"/>
      <c r="AV469" s="74"/>
      <c r="AW469" s="74"/>
      <c r="AX469" s="74"/>
      <c r="AY469" s="74"/>
      <c r="AZ469" s="74"/>
      <c r="BA469" s="74"/>
      <c r="BB469" s="74"/>
      <c r="BC469" s="74"/>
      <c r="BD469" s="74"/>
      <c r="BE469" s="74"/>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row>
    <row r="470" spans="1:109" ht="15" customHeight="1" x14ac:dyDescent="0.2">
      <c r="A470" s="3"/>
      <c r="B470" s="586"/>
      <c r="C470" s="582"/>
      <c r="D470" s="587"/>
      <c r="E470" s="567"/>
      <c r="F470" s="1671" t="str">
        <f>IF($S$467=1,"","Extensor digitorum communis")</f>
        <v>Extensor digitorum communis</v>
      </c>
      <c r="G470" s="1672"/>
      <c r="H470" s="1672"/>
      <c r="I470" s="1672"/>
      <c r="J470" s="1672"/>
      <c r="K470" s="1673"/>
      <c r="L470" s="95">
        <f t="shared" si="63"/>
        <v>0</v>
      </c>
      <c r="M470" s="1658"/>
      <c r="N470" s="1658"/>
      <c r="O470" s="99"/>
      <c r="P470" s="355" t="str">
        <f t="shared" si="62"/>
        <v/>
      </c>
      <c r="R470" s="745" t="b">
        <v>0</v>
      </c>
      <c r="S470" s="736">
        <f t="shared" si="56"/>
        <v>0</v>
      </c>
      <c r="T470" s="747">
        <f t="shared" si="60"/>
        <v>0</v>
      </c>
      <c r="U470" s="747">
        <f t="shared" si="61"/>
        <v>0</v>
      </c>
      <c r="V470" s="747">
        <f t="shared" si="57"/>
        <v>0</v>
      </c>
      <c r="W470" s="747">
        <f t="shared" si="58"/>
        <v>0</v>
      </c>
      <c r="X470" s="747">
        <f t="shared" si="59"/>
        <v>0</v>
      </c>
      <c r="Y470" s="74"/>
      <c r="Z470" s="74"/>
      <c r="AA470" s="74"/>
      <c r="AB470" s="74"/>
      <c r="AC470" s="74"/>
      <c r="AD470" s="74"/>
      <c r="AE470" s="74"/>
      <c r="AF470" s="74"/>
      <c r="AG470" s="74"/>
      <c r="AH470" s="74"/>
      <c r="AI470" s="74"/>
      <c r="AJ470" s="74"/>
      <c r="AK470" s="74"/>
      <c r="AL470" s="74"/>
      <c r="AM470" s="74"/>
      <c r="AN470" s="74"/>
      <c r="AO470" s="74"/>
      <c r="AP470" s="74"/>
      <c r="AQ470" s="74"/>
      <c r="AR470" s="74"/>
      <c r="AS470" s="74"/>
      <c r="AT470" s="74"/>
      <c r="AU470" s="74"/>
      <c r="AV470" s="74"/>
      <c r="AW470" s="74"/>
      <c r="AX470" s="74"/>
      <c r="AY470" s="74"/>
      <c r="AZ470" s="74"/>
      <c r="BA470" s="74"/>
      <c r="BB470" s="74"/>
      <c r="BC470" s="74"/>
      <c r="BD470" s="74"/>
      <c r="BE470" s="74"/>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row>
    <row r="471" spans="1:109" ht="15" customHeight="1" x14ac:dyDescent="0.2">
      <c r="A471" s="3"/>
      <c r="B471" s="586"/>
      <c r="C471" s="582"/>
      <c r="D471" s="587"/>
      <c r="E471" s="567"/>
      <c r="F471" s="1671" t="str">
        <f>IF($S$467=1,"","Extensor digiti quinti")</f>
        <v>Extensor digiti quinti</v>
      </c>
      <c r="G471" s="1672"/>
      <c r="H471" s="1672"/>
      <c r="I471" s="1672"/>
      <c r="J471" s="1672"/>
      <c r="K471" s="1673"/>
      <c r="L471" s="95">
        <f t="shared" si="63"/>
        <v>0</v>
      </c>
      <c r="M471" s="1658"/>
      <c r="N471" s="1658"/>
      <c r="O471" s="99"/>
      <c r="P471" s="355" t="str">
        <f t="shared" si="62"/>
        <v/>
      </c>
      <c r="R471" s="745" t="b">
        <v>0</v>
      </c>
      <c r="S471" s="736">
        <f t="shared" si="56"/>
        <v>0</v>
      </c>
      <c r="T471" s="747">
        <f t="shared" si="60"/>
        <v>0</v>
      </c>
      <c r="U471" s="747">
        <f t="shared" si="61"/>
        <v>0</v>
      </c>
      <c r="V471" s="747">
        <f t="shared" si="57"/>
        <v>0</v>
      </c>
      <c r="W471" s="747">
        <f t="shared" si="58"/>
        <v>0</v>
      </c>
      <c r="X471" s="747">
        <f t="shared" si="59"/>
        <v>0</v>
      </c>
      <c r="Y471" s="74"/>
      <c r="Z471" s="74"/>
      <c r="AA471" s="74"/>
      <c r="AB471" s="74"/>
      <c r="AC471" s="74"/>
      <c r="AD471" s="74"/>
      <c r="AE471" s="74"/>
      <c r="AF471" s="74"/>
      <c r="AG471" s="74"/>
      <c r="AH471" s="74"/>
      <c r="AI471" s="74"/>
      <c r="AJ471" s="74"/>
      <c r="AK471" s="74"/>
      <c r="AL471" s="74"/>
      <c r="AM471" s="74"/>
      <c r="AN471" s="74"/>
      <c r="AO471" s="74"/>
      <c r="AP471" s="74"/>
      <c r="AQ471" s="74"/>
      <c r="AR471" s="74"/>
      <c r="AS471" s="74"/>
      <c r="AT471" s="74"/>
      <c r="AU471" s="74"/>
      <c r="AV471" s="74"/>
      <c r="AW471" s="74"/>
      <c r="AX471" s="74"/>
      <c r="AY471" s="74"/>
      <c r="AZ471" s="74"/>
      <c r="BA471" s="74"/>
      <c r="BB471" s="74"/>
      <c r="BC471" s="74"/>
      <c r="BD471" s="74"/>
      <c r="BE471" s="74"/>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row>
    <row r="472" spans="1:109" ht="15" customHeight="1" x14ac:dyDescent="0.2">
      <c r="A472" s="3"/>
      <c r="B472" s="586"/>
      <c r="C472" s="582"/>
      <c r="D472" s="587"/>
      <c r="E472" s="567"/>
      <c r="F472" s="1671" t="str">
        <f>IF($S$467=1,"","Extensor carpi ulnaris")</f>
        <v>Extensor carpi ulnaris</v>
      </c>
      <c r="G472" s="1672"/>
      <c r="H472" s="1672"/>
      <c r="I472" s="1672"/>
      <c r="J472" s="1672"/>
      <c r="K472" s="1673"/>
      <c r="L472" s="95">
        <f t="shared" si="63"/>
        <v>0</v>
      </c>
      <c r="M472" s="1658"/>
      <c r="N472" s="1658"/>
      <c r="O472" s="99"/>
      <c r="P472" s="355" t="str">
        <f t="shared" si="62"/>
        <v/>
      </c>
      <c r="R472" s="745" t="b">
        <v>0</v>
      </c>
      <c r="S472" s="736">
        <f t="shared" si="56"/>
        <v>0</v>
      </c>
      <c r="T472" s="747">
        <f t="shared" si="60"/>
        <v>0</v>
      </c>
      <c r="U472" s="747">
        <f t="shared" si="61"/>
        <v>0</v>
      </c>
      <c r="V472" s="747">
        <f t="shared" si="57"/>
        <v>0</v>
      </c>
      <c r="W472" s="747">
        <f t="shared" si="58"/>
        <v>0</v>
      </c>
      <c r="X472" s="747">
        <f t="shared" si="59"/>
        <v>0</v>
      </c>
      <c r="Y472" s="74"/>
      <c r="Z472" s="74"/>
      <c r="AA472" s="74"/>
      <c r="AB472" s="74"/>
      <c r="AC472" s="74"/>
      <c r="AD472" s="74"/>
      <c r="AE472" s="74"/>
      <c r="AF472" s="74"/>
      <c r="AG472" s="74"/>
      <c r="AH472" s="74"/>
      <c r="AI472" s="74"/>
      <c r="AJ472" s="74"/>
      <c r="AK472" s="74"/>
      <c r="AL472" s="74"/>
      <c r="AM472" s="74"/>
      <c r="AN472" s="74"/>
      <c r="AO472" s="74"/>
      <c r="AP472" s="74"/>
      <c r="AQ472" s="74"/>
      <c r="AR472" s="74"/>
      <c r="AS472" s="74"/>
      <c r="AT472" s="74"/>
      <c r="AU472" s="74"/>
      <c r="AV472" s="74"/>
      <c r="AW472" s="74"/>
      <c r="AX472" s="74"/>
      <c r="AY472" s="74"/>
      <c r="AZ472" s="74"/>
      <c r="BA472" s="74"/>
      <c r="BB472" s="74"/>
      <c r="BC472" s="74"/>
      <c r="BD472" s="74"/>
      <c r="BE472" s="74"/>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row>
    <row r="473" spans="1:109" ht="15" customHeight="1" x14ac:dyDescent="0.2">
      <c r="A473" s="3"/>
      <c r="B473" s="586"/>
      <c r="C473" s="582"/>
      <c r="D473" s="587"/>
      <c r="E473" s="567"/>
      <c r="F473" s="1671" t="str">
        <f>IF($S$467=1,"","Abductor pollicis longus")</f>
        <v>Abductor pollicis longus</v>
      </c>
      <c r="G473" s="1672"/>
      <c r="H473" s="1672"/>
      <c r="I473" s="1672"/>
      <c r="J473" s="1672"/>
      <c r="K473" s="1673"/>
      <c r="L473" s="95">
        <f t="shared" si="63"/>
        <v>0</v>
      </c>
      <c r="M473" s="1658"/>
      <c r="N473" s="1658"/>
      <c r="O473" s="99"/>
      <c r="P473" s="355" t="str">
        <f t="shared" si="62"/>
        <v/>
      </c>
      <c r="R473" s="745" t="b">
        <v>0</v>
      </c>
      <c r="S473" s="736">
        <f t="shared" si="56"/>
        <v>0</v>
      </c>
      <c r="T473" s="747">
        <f t="shared" si="60"/>
        <v>0</v>
      </c>
      <c r="U473" s="747">
        <f t="shared" si="61"/>
        <v>0</v>
      </c>
      <c r="V473" s="747">
        <f t="shared" si="57"/>
        <v>0</v>
      </c>
      <c r="W473" s="747">
        <f t="shared" si="58"/>
        <v>0</v>
      </c>
      <c r="X473" s="747">
        <f t="shared" si="59"/>
        <v>0</v>
      </c>
      <c r="Y473" s="74"/>
      <c r="Z473" s="74"/>
      <c r="AA473" s="74"/>
      <c r="AB473" s="74"/>
      <c r="AC473" s="74"/>
      <c r="AD473" s="74"/>
      <c r="AE473" s="74"/>
      <c r="AF473" s="74"/>
      <c r="AG473" s="74"/>
      <c r="AH473" s="74"/>
      <c r="AI473" s="74"/>
      <c r="AJ473" s="74"/>
      <c r="AK473" s="74"/>
      <c r="AL473" s="74"/>
      <c r="AM473" s="74"/>
      <c r="AN473" s="74"/>
      <c r="AO473" s="74"/>
      <c r="AP473" s="74"/>
      <c r="AQ473" s="74"/>
      <c r="AR473" s="74"/>
      <c r="AS473" s="74"/>
      <c r="AT473" s="74"/>
      <c r="AU473" s="74"/>
      <c r="AV473" s="74"/>
      <c r="AW473" s="74"/>
      <c r="AX473" s="74"/>
      <c r="AY473" s="74"/>
      <c r="AZ473" s="74"/>
      <c r="BA473" s="74"/>
      <c r="BB473" s="74"/>
      <c r="BC473" s="74"/>
      <c r="BD473" s="74"/>
      <c r="BE473" s="74"/>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row>
    <row r="474" spans="1:109" ht="15" customHeight="1" x14ac:dyDescent="0.2">
      <c r="A474" s="3"/>
      <c r="B474" s="586"/>
      <c r="C474" s="582"/>
      <c r="D474" s="587"/>
      <c r="E474" s="567"/>
      <c r="F474" s="1374" t="str">
        <f>IF($S$467=1,"","Extensor pollicis longus")</f>
        <v>Extensor pollicis longus</v>
      </c>
      <c r="G474" s="1375"/>
      <c r="H474" s="1375"/>
      <c r="I474" s="1375"/>
      <c r="J474" s="1375"/>
      <c r="K474" s="1376"/>
      <c r="L474" s="95">
        <f t="shared" si="63"/>
        <v>0</v>
      </c>
      <c r="M474" s="1658"/>
      <c r="N474" s="1658"/>
      <c r="O474" s="99"/>
      <c r="P474" s="355" t="str">
        <f t="shared" si="62"/>
        <v/>
      </c>
      <c r="R474" s="745" t="b">
        <v>0</v>
      </c>
      <c r="S474" s="736">
        <f t="shared" si="56"/>
        <v>0</v>
      </c>
      <c r="T474" s="747">
        <f t="shared" si="60"/>
        <v>0</v>
      </c>
      <c r="U474" s="747">
        <f t="shared" si="61"/>
        <v>0</v>
      </c>
      <c r="V474" s="747">
        <f t="shared" si="57"/>
        <v>0</v>
      </c>
      <c r="W474" s="747">
        <f t="shared" si="58"/>
        <v>0</v>
      </c>
      <c r="X474" s="747">
        <f t="shared" si="59"/>
        <v>0</v>
      </c>
      <c r="Y474" s="74"/>
      <c r="Z474" s="74"/>
      <c r="AA474" s="74"/>
      <c r="AB474" s="74"/>
      <c r="AC474" s="74"/>
      <c r="AD474" s="74"/>
      <c r="AE474" s="74"/>
      <c r="AF474" s="74"/>
      <c r="AG474" s="74"/>
      <c r="AH474" s="74"/>
      <c r="AI474" s="74"/>
      <c r="AJ474" s="74"/>
      <c r="AK474" s="74"/>
      <c r="AL474" s="74"/>
      <c r="AM474" s="74"/>
      <c r="AN474" s="74"/>
      <c r="AO474" s="74"/>
      <c r="AP474" s="74"/>
      <c r="AQ474" s="74"/>
      <c r="AR474" s="74"/>
      <c r="AS474" s="74"/>
      <c r="AT474" s="74"/>
      <c r="AU474" s="74"/>
      <c r="AV474" s="74"/>
      <c r="AW474" s="74"/>
      <c r="AX474" s="74"/>
      <c r="AY474" s="74"/>
      <c r="AZ474" s="74"/>
      <c r="BA474" s="74"/>
      <c r="BB474" s="74"/>
      <c r="BC474" s="74"/>
      <c r="BD474" s="74"/>
      <c r="BE474" s="74"/>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row>
    <row r="475" spans="1:109" ht="15" customHeight="1" x14ac:dyDescent="0.2">
      <c r="A475" s="3"/>
      <c r="B475" s="586"/>
      <c r="C475" s="582"/>
      <c r="D475" s="587"/>
      <c r="E475" s="567"/>
      <c r="F475" s="1362" t="str">
        <f>IF($S$467=1,"","Extensor pollicis brevis")</f>
        <v>Extensor pollicis brevis</v>
      </c>
      <c r="G475" s="1363"/>
      <c r="H475" s="1363"/>
      <c r="I475" s="1363"/>
      <c r="J475" s="1363"/>
      <c r="K475" s="1364"/>
      <c r="L475" s="95">
        <f t="shared" si="63"/>
        <v>0</v>
      </c>
      <c r="M475" s="1658"/>
      <c r="N475" s="1658"/>
      <c r="O475" s="99"/>
      <c r="P475" s="355" t="str">
        <f t="shared" si="62"/>
        <v/>
      </c>
      <c r="R475" s="745" t="b">
        <v>0</v>
      </c>
      <c r="S475" s="736">
        <f t="shared" si="56"/>
        <v>0</v>
      </c>
      <c r="T475" s="747">
        <f t="shared" si="60"/>
        <v>0</v>
      </c>
      <c r="U475" s="747">
        <f t="shared" si="61"/>
        <v>0</v>
      </c>
      <c r="V475" s="747">
        <f t="shared" si="57"/>
        <v>0</v>
      </c>
      <c r="W475" s="747">
        <f t="shared" si="58"/>
        <v>0</v>
      </c>
      <c r="X475" s="747">
        <f t="shared" si="59"/>
        <v>0</v>
      </c>
      <c r="Y475" s="19"/>
      <c r="Z475" s="19"/>
      <c r="AA475" s="19"/>
      <c r="AB475" s="19"/>
      <c r="AC475" s="19"/>
      <c r="AD475" s="19"/>
      <c r="AE475" s="19"/>
      <c r="AF475" s="19"/>
      <c r="AG475" s="19"/>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row>
    <row r="476" spans="1:109" ht="15" customHeight="1" x14ac:dyDescent="0.2">
      <c r="A476" s="3"/>
      <c r="B476" s="588"/>
      <c r="C476" s="589"/>
      <c r="D476" s="590"/>
      <c r="E476" s="567"/>
      <c r="F476" s="1671" t="str">
        <f>IF($S$467=1,"","Extensor indicis proprius")</f>
        <v>Extensor indicis proprius</v>
      </c>
      <c r="G476" s="1672"/>
      <c r="H476" s="1672"/>
      <c r="I476" s="1672"/>
      <c r="J476" s="1672"/>
      <c r="K476" s="1673"/>
      <c r="L476" s="95">
        <f t="shared" si="63"/>
        <v>0</v>
      </c>
      <c r="M476" s="1658"/>
      <c r="N476" s="1658"/>
      <c r="O476" s="99"/>
      <c r="P476" s="355" t="str">
        <f t="shared" si="62"/>
        <v/>
      </c>
      <c r="R476" s="745" t="b">
        <v>0</v>
      </c>
      <c r="S476" s="736">
        <f t="shared" si="56"/>
        <v>0</v>
      </c>
      <c r="T476" s="747">
        <f t="shared" si="60"/>
        <v>0</v>
      </c>
      <c r="U476" s="747">
        <f t="shared" si="61"/>
        <v>0</v>
      </c>
      <c r="V476" s="747">
        <f t="shared" si="57"/>
        <v>0</v>
      </c>
      <c r="W476" s="747">
        <f t="shared" si="58"/>
        <v>0</v>
      </c>
      <c r="X476" s="747">
        <f t="shared" si="59"/>
        <v>0</v>
      </c>
      <c r="Y476" s="19"/>
      <c r="Z476" s="19"/>
      <c r="AA476" s="19"/>
      <c r="AB476" s="19"/>
      <c r="AC476" s="19"/>
      <c r="AD476" s="19"/>
      <c r="AE476" s="19"/>
      <c r="AF476" s="19"/>
      <c r="AG476" s="19"/>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row>
    <row r="477" spans="1:109" ht="15" customHeight="1" x14ac:dyDescent="0.2">
      <c r="A477" s="3"/>
      <c r="B477" s="1694" t="s">
        <v>955</v>
      </c>
      <c r="C477" s="1694"/>
      <c r="D477" s="1694"/>
      <c r="E477" s="1568"/>
      <c r="F477" s="1568"/>
      <c r="G477" s="1568"/>
      <c r="H477" s="1568"/>
      <c r="I477" s="1568"/>
      <c r="J477" s="1568"/>
      <c r="K477" s="1568"/>
      <c r="L477" s="1568"/>
      <c r="M477" s="1568"/>
      <c r="N477" s="1568"/>
      <c r="O477" s="1568"/>
      <c r="P477" s="240">
        <f>IF(SUM(P467:P476)=0,0,AVERAGE(P467:P476))</f>
        <v>0</v>
      </c>
      <c r="R477" s="157"/>
      <c r="S477" s="116"/>
      <c r="T477" s="172"/>
      <c r="U477" s="111"/>
      <c r="V477" s="111"/>
      <c r="W477" s="111"/>
      <c r="X477" s="111"/>
      <c r="Y477" s="19"/>
      <c r="Z477" s="19"/>
      <c r="AA477" s="19"/>
      <c r="AB477" s="19"/>
      <c r="AC477" s="19"/>
      <c r="AD477" s="19"/>
      <c r="AE477" s="19"/>
      <c r="AF477" s="19"/>
      <c r="AG477" s="19"/>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row>
    <row r="478" spans="1:109" ht="12" customHeight="1" x14ac:dyDescent="0.2">
      <c r="A478" s="3"/>
      <c r="C478" s="35"/>
      <c r="D478" s="35"/>
      <c r="F478" s="35"/>
      <c r="H478" s="35"/>
      <c r="J478" s="35"/>
      <c r="L478" s="35"/>
      <c r="N478" s="35"/>
      <c r="R478" s="157"/>
      <c r="S478" s="116"/>
      <c r="T478" s="734" t="s">
        <v>1689</v>
      </c>
      <c r="U478" s="734" t="s">
        <v>1597</v>
      </c>
      <c r="V478" s="734" t="s">
        <v>1692</v>
      </c>
      <c r="W478" s="734" t="s">
        <v>1693</v>
      </c>
      <c r="X478" s="734" t="s">
        <v>1694</v>
      </c>
      <c r="Y478" s="19"/>
      <c r="Z478" s="19"/>
      <c r="AA478" s="19"/>
      <c r="AB478" s="19"/>
      <c r="AC478" s="19"/>
      <c r="AD478" s="19"/>
      <c r="AE478" s="19"/>
      <c r="AF478" s="19"/>
      <c r="AG478" s="19"/>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row>
    <row r="479" spans="1:109" ht="15" customHeight="1" x14ac:dyDescent="0.2">
      <c r="A479" s="3"/>
      <c r="B479" s="571" t="s">
        <v>514</v>
      </c>
      <c r="C479" s="572"/>
      <c r="D479" s="573"/>
      <c r="E479" s="567"/>
      <c r="F479" s="1667" t="str">
        <f>IF(Z482=1,"","Overall loss at level shown")</f>
        <v/>
      </c>
      <c r="G479" s="1668"/>
      <c r="H479" s="1668"/>
      <c r="I479" s="1668"/>
      <c r="J479" s="1668"/>
      <c r="K479" s="1669"/>
      <c r="L479" s="95">
        <f>IF(OR(F479="",$S$479=0),0,IF($Z$482=2,0.69,IF($Z$482=3,0.44,0)))</f>
        <v>0</v>
      </c>
      <c r="M479" s="1658"/>
      <c r="N479" s="1658"/>
      <c r="O479" s="99"/>
      <c r="P479" s="355" t="str">
        <f>IF(OR(L479=0,M479=""),"",X479)</f>
        <v/>
      </c>
      <c r="R479" s="686" t="b">
        <v>0</v>
      </c>
      <c r="S479" s="736">
        <f t="shared" ref="S479:S491" si="64">IF(R479=TRUE,1,0)</f>
        <v>0</v>
      </c>
      <c r="T479" s="747">
        <f t="shared" ref="T479:T491" si="65">SUMIF($T$443:$AH$443,M479,$T$444:$AH$444)</f>
        <v>0</v>
      </c>
      <c r="U479" s="747">
        <f t="shared" ref="U479:U491" si="66">SUMIF($S$443:$AH$443,O479,$S$444:$AH$444)</f>
        <v>0</v>
      </c>
      <c r="V479" s="747">
        <f t="shared" ref="V479:V491" si="67">L479*T479</f>
        <v>0</v>
      </c>
      <c r="W479" s="747">
        <f t="shared" ref="W479:W491" si="68">L479*U479</f>
        <v>0</v>
      </c>
      <c r="X479" s="747">
        <f t="shared" ref="X479:X491" si="69">(IF(V479-W479&lt;=0,0,V479-W479))</f>
        <v>0</v>
      </c>
      <c r="Y479" s="19"/>
      <c r="Z479" s="19"/>
      <c r="AA479" s="19"/>
      <c r="AB479" s="19"/>
      <c r="AC479" s="19"/>
      <c r="AD479" s="19"/>
      <c r="AE479" s="111"/>
      <c r="AF479" s="112"/>
      <c r="AG479" s="19"/>
      <c r="AH479" s="18"/>
      <c r="AI479" s="18"/>
      <c r="AJ479" s="19"/>
      <c r="AK479" s="18"/>
      <c r="AL479" s="19"/>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row>
    <row r="480" spans="1:109" ht="15" customHeight="1" x14ac:dyDescent="0.2">
      <c r="A480" s="3"/>
      <c r="B480" s="574"/>
      <c r="C480" s="570"/>
      <c r="D480" s="575"/>
      <c r="E480" s="567"/>
      <c r="F480" s="1671" t="str">
        <f>IF(OR($Z$482=1,$S$479=1),"","Pronator teres")</f>
        <v/>
      </c>
      <c r="G480" s="1672"/>
      <c r="H480" s="1672"/>
      <c r="I480" s="1672"/>
      <c r="J480" s="1672"/>
      <c r="K480" s="1673"/>
      <c r="L480" s="95">
        <f t="shared" ref="L480:L491" si="70">IF(OR(F480="",S480=0,$S$479=1),0,IF($Z$482=2,0.69,IF($Z$482=3,0.44,0)))</f>
        <v>0</v>
      </c>
      <c r="M480" s="1658"/>
      <c r="N480" s="1658"/>
      <c r="O480" s="99"/>
      <c r="P480" s="355" t="str">
        <f t="shared" ref="P480:P491" si="71">IF(OR(L480=0,M480="",X480=0),"",X480)</f>
        <v/>
      </c>
      <c r="R480" s="686" t="b">
        <v>0</v>
      </c>
      <c r="S480" s="736">
        <f t="shared" si="64"/>
        <v>0</v>
      </c>
      <c r="T480" s="747">
        <f t="shared" si="65"/>
        <v>0</v>
      </c>
      <c r="U480" s="747">
        <f t="shared" si="66"/>
        <v>0</v>
      </c>
      <c r="V480" s="747">
        <f t="shared" si="67"/>
        <v>0</v>
      </c>
      <c r="W480" s="747">
        <f t="shared" si="68"/>
        <v>0</v>
      </c>
      <c r="X480" s="747">
        <f t="shared" si="69"/>
        <v>0</v>
      </c>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row>
    <row r="481" spans="1:109" ht="15" customHeight="1" x14ac:dyDescent="0.2">
      <c r="A481" s="3"/>
      <c r="B481" s="574"/>
      <c r="C481" s="570"/>
      <c r="D481" s="575"/>
      <c r="E481" s="567"/>
      <c r="F481" s="1362" t="str">
        <f>IF(OR($Z$482=1,$S$479=1),"","Flexor carpi radialis")</f>
        <v/>
      </c>
      <c r="G481" s="1363"/>
      <c r="H481" s="1363"/>
      <c r="I481" s="1363"/>
      <c r="J481" s="1363"/>
      <c r="K481" s="1364"/>
      <c r="L481" s="95">
        <f t="shared" si="70"/>
        <v>0</v>
      </c>
      <c r="M481" s="1658"/>
      <c r="N481" s="1658"/>
      <c r="O481" s="99"/>
      <c r="P481" s="355" t="str">
        <f t="shared" si="71"/>
        <v/>
      </c>
      <c r="R481" s="745" t="b">
        <v>0</v>
      </c>
      <c r="S481" s="736">
        <f t="shared" si="64"/>
        <v>0</v>
      </c>
      <c r="T481" s="747">
        <f t="shared" si="65"/>
        <v>0</v>
      </c>
      <c r="U481" s="747">
        <f t="shared" si="66"/>
        <v>0</v>
      </c>
      <c r="V481" s="747">
        <f t="shared" si="67"/>
        <v>0</v>
      </c>
      <c r="W481" s="747">
        <f t="shared" si="68"/>
        <v>0</v>
      </c>
      <c r="X481" s="747">
        <f t="shared" si="69"/>
        <v>0</v>
      </c>
      <c r="Y481" s="19"/>
      <c r="Z481" s="164"/>
      <c r="AA481" s="18"/>
      <c r="AB481" s="19"/>
      <c r="AC481" s="19"/>
      <c r="AD481" s="19"/>
      <c r="AE481" s="19"/>
      <c r="AF481" s="19"/>
      <c r="AG481" s="19"/>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row>
    <row r="482" spans="1:109" ht="15" customHeight="1" x14ac:dyDescent="0.2">
      <c r="A482" s="3"/>
      <c r="B482" s="574"/>
      <c r="C482" s="570"/>
      <c r="D482" s="575"/>
      <c r="E482" s="567"/>
      <c r="F482" s="1671" t="str">
        <f>IF(OR($Z$482=1,$S$479=1),"","Palmaris longus")</f>
        <v/>
      </c>
      <c r="G482" s="1672"/>
      <c r="H482" s="1672"/>
      <c r="I482" s="1672"/>
      <c r="J482" s="1672"/>
      <c r="K482" s="1673"/>
      <c r="L482" s="95">
        <f t="shared" si="70"/>
        <v>0</v>
      </c>
      <c r="M482" s="1658"/>
      <c r="N482" s="1658"/>
      <c r="O482" s="99"/>
      <c r="P482" s="355" t="str">
        <f t="shared" si="71"/>
        <v/>
      </c>
      <c r="R482" s="745" t="b">
        <v>0</v>
      </c>
      <c r="S482" s="736">
        <f t="shared" si="64"/>
        <v>0</v>
      </c>
      <c r="T482" s="747">
        <f t="shared" si="65"/>
        <v>0</v>
      </c>
      <c r="U482" s="747">
        <f t="shared" si="66"/>
        <v>0</v>
      </c>
      <c r="V482" s="747">
        <f t="shared" si="67"/>
        <v>0</v>
      </c>
      <c r="W482" s="747">
        <f t="shared" si="68"/>
        <v>0</v>
      </c>
      <c r="X482" s="747">
        <f t="shared" si="69"/>
        <v>0</v>
      </c>
      <c r="Y482" s="18"/>
      <c r="Z482" s="751">
        <v>1</v>
      </c>
      <c r="AA482" s="752" t="s">
        <v>515</v>
      </c>
      <c r="AB482" s="719"/>
      <c r="AC482" s="720"/>
      <c r="AD482" s="18"/>
      <c r="AE482" s="18"/>
      <c r="AF482" s="18"/>
      <c r="AG482" s="18"/>
      <c r="AH482" s="18"/>
      <c r="AI482" s="18"/>
      <c r="AJ482" s="18"/>
      <c r="AK482" s="18"/>
      <c r="AL482" s="18"/>
      <c r="AM482" s="19"/>
      <c r="AN482" s="18"/>
      <c r="AO482" s="19"/>
      <c r="AP482" s="18"/>
      <c r="AQ482" s="19"/>
      <c r="AR482" s="19"/>
      <c r="AS482" s="19"/>
      <c r="AT482" s="19"/>
      <c r="AU482" s="18"/>
      <c r="AV482" s="19"/>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row>
    <row r="483" spans="1:109" ht="15" customHeight="1" x14ac:dyDescent="0.2">
      <c r="A483" s="3"/>
      <c r="B483" s="574"/>
      <c r="C483" s="570"/>
      <c r="D483" s="575"/>
      <c r="E483" s="567"/>
      <c r="F483" s="1362" t="str">
        <f>IF(OR($Z$482=1,$S$479=1),"","Flexor digitorum sublimis")</f>
        <v/>
      </c>
      <c r="G483" s="1363"/>
      <c r="H483" s="1363"/>
      <c r="I483" s="1363"/>
      <c r="J483" s="1363"/>
      <c r="K483" s="1364"/>
      <c r="L483" s="95">
        <f t="shared" si="70"/>
        <v>0</v>
      </c>
      <c r="M483" s="1658"/>
      <c r="N483" s="1658"/>
      <c r="O483" s="99"/>
      <c r="P483" s="355" t="str">
        <f t="shared" si="71"/>
        <v/>
      </c>
      <c r="R483" s="745" t="b">
        <v>0</v>
      </c>
      <c r="S483" s="736">
        <f t="shared" si="64"/>
        <v>0</v>
      </c>
      <c r="T483" s="747">
        <f t="shared" si="65"/>
        <v>0</v>
      </c>
      <c r="U483" s="747">
        <f t="shared" si="66"/>
        <v>0</v>
      </c>
      <c r="V483" s="747">
        <f t="shared" si="67"/>
        <v>0</v>
      </c>
      <c r="W483" s="747">
        <f t="shared" si="68"/>
        <v>0</v>
      </c>
      <c r="X483" s="747">
        <f t="shared" si="69"/>
        <v>0</v>
      </c>
      <c r="Y483" s="74"/>
      <c r="Z483" s="173"/>
      <c r="AA483" s="74"/>
      <c r="AB483" s="74"/>
      <c r="AC483" s="74"/>
      <c r="AD483" s="74"/>
      <c r="AE483" s="74"/>
      <c r="AF483" s="74"/>
      <c r="AG483" s="74"/>
      <c r="AH483" s="74"/>
      <c r="AI483" s="74"/>
      <c r="AJ483" s="74"/>
      <c r="AK483" s="74"/>
      <c r="AL483" s="74"/>
      <c r="AM483" s="74"/>
      <c r="AN483" s="74"/>
      <c r="AO483" s="74"/>
      <c r="AP483" s="74"/>
      <c r="AQ483" s="74"/>
      <c r="AR483" s="74"/>
      <c r="AS483" s="74"/>
      <c r="AT483" s="74"/>
      <c r="AU483" s="74"/>
      <c r="AV483" s="74"/>
      <c r="AW483" s="74"/>
      <c r="AX483" s="74"/>
      <c r="AY483" s="74"/>
      <c r="AZ483" s="74"/>
      <c r="BA483" s="74"/>
      <c r="BB483" s="74"/>
      <c r="BC483" s="74"/>
      <c r="BD483" s="74"/>
      <c r="BE483" s="74"/>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row>
    <row r="484" spans="1:109" ht="15" customHeight="1" x14ac:dyDescent="0.2">
      <c r="A484" s="3"/>
      <c r="B484" s="574"/>
      <c r="C484" s="570"/>
      <c r="D484" s="575"/>
      <c r="E484" s="567"/>
      <c r="F484" s="1671" t="str">
        <f>IF(OR($Z$482=1,$S$479=1),"","Flexor digitorum profundus")</f>
        <v/>
      </c>
      <c r="G484" s="1672"/>
      <c r="H484" s="1672"/>
      <c r="I484" s="1672"/>
      <c r="J484" s="1672"/>
      <c r="K484" s="1673"/>
      <c r="L484" s="95">
        <f t="shared" si="70"/>
        <v>0</v>
      </c>
      <c r="M484" s="1658"/>
      <c r="N484" s="1658"/>
      <c r="O484" s="99"/>
      <c r="P484" s="355" t="str">
        <f t="shared" si="71"/>
        <v/>
      </c>
      <c r="R484" s="745" t="b">
        <v>0</v>
      </c>
      <c r="S484" s="736">
        <f t="shared" si="64"/>
        <v>0</v>
      </c>
      <c r="T484" s="747">
        <f t="shared" si="65"/>
        <v>0</v>
      </c>
      <c r="U484" s="747">
        <f t="shared" si="66"/>
        <v>0</v>
      </c>
      <c r="V484" s="747">
        <f t="shared" si="67"/>
        <v>0</v>
      </c>
      <c r="W484" s="747">
        <f t="shared" si="68"/>
        <v>0</v>
      </c>
      <c r="X484" s="747">
        <f t="shared" si="69"/>
        <v>0</v>
      </c>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74"/>
      <c r="AV484" s="74"/>
      <c r="AW484" s="74"/>
      <c r="AX484" s="74"/>
      <c r="AY484" s="74"/>
      <c r="AZ484" s="74"/>
      <c r="BA484" s="74"/>
      <c r="BB484" s="74"/>
      <c r="BC484" s="74"/>
      <c r="BD484" s="74"/>
      <c r="BE484" s="74"/>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row>
    <row r="485" spans="1:109" ht="15" customHeight="1" x14ac:dyDescent="0.2">
      <c r="A485" s="3"/>
      <c r="B485" s="574"/>
      <c r="C485" s="570"/>
      <c r="D485" s="575"/>
      <c r="E485" s="567"/>
      <c r="F485" s="1671" t="str">
        <f>IF(OR($Z$482=1,$S$479=1),"","Flexor pollicis longus")</f>
        <v/>
      </c>
      <c r="G485" s="1672"/>
      <c r="H485" s="1672"/>
      <c r="I485" s="1672"/>
      <c r="J485" s="1672"/>
      <c r="K485" s="1673"/>
      <c r="L485" s="95">
        <f t="shared" si="70"/>
        <v>0</v>
      </c>
      <c r="M485" s="1658"/>
      <c r="N485" s="1658"/>
      <c r="O485" s="99"/>
      <c r="P485" s="355" t="str">
        <f t="shared" si="71"/>
        <v/>
      </c>
      <c r="R485" s="745" t="b">
        <v>0</v>
      </c>
      <c r="S485" s="736">
        <f t="shared" si="64"/>
        <v>0</v>
      </c>
      <c r="T485" s="747">
        <f t="shared" si="65"/>
        <v>0</v>
      </c>
      <c r="U485" s="747">
        <f t="shared" si="66"/>
        <v>0</v>
      </c>
      <c r="V485" s="747">
        <f t="shared" si="67"/>
        <v>0</v>
      </c>
      <c r="W485" s="747">
        <f t="shared" si="68"/>
        <v>0</v>
      </c>
      <c r="X485" s="747">
        <f t="shared" si="69"/>
        <v>0</v>
      </c>
      <c r="Y485" s="74"/>
      <c r="Z485" s="74"/>
      <c r="AA485" s="74"/>
      <c r="AB485" s="74"/>
      <c r="AC485" s="74"/>
      <c r="AD485" s="74"/>
      <c r="AE485" s="74"/>
      <c r="AF485" s="74"/>
      <c r="AG485" s="74"/>
      <c r="AH485" s="74"/>
      <c r="AI485" s="74"/>
      <c r="AJ485" s="74"/>
      <c r="AK485" s="74"/>
      <c r="AL485" s="74"/>
      <c r="AM485" s="74"/>
      <c r="AN485" s="74"/>
      <c r="AO485" s="74"/>
      <c r="AP485" s="74"/>
      <c r="AQ485" s="74"/>
      <c r="AR485" s="74"/>
      <c r="AS485" s="74"/>
      <c r="AT485" s="74"/>
      <c r="AU485" s="74"/>
      <c r="AV485" s="74"/>
      <c r="AW485" s="74"/>
      <c r="AX485" s="74"/>
      <c r="AY485" s="74"/>
      <c r="AZ485" s="74"/>
      <c r="BA485" s="74"/>
      <c r="BB485" s="74"/>
      <c r="BC485" s="74"/>
      <c r="BD485" s="74"/>
      <c r="BE485" s="74"/>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row>
    <row r="486" spans="1:109" ht="15" customHeight="1" x14ac:dyDescent="0.2">
      <c r="A486" s="3"/>
      <c r="B486" s="574"/>
      <c r="C486" s="570"/>
      <c r="D486" s="575"/>
      <c r="E486" s="567"/>
      <c r="F486" s="1671" t="str">
        <f>IF(OR($Z$482=1,$S$479=1),"","Pronator quadratus")</f>
        <v/>
      </c>
      <c r="G486" s="1672"/>
      <c r="H486" s="1672"/>
      <c r="I486" s="1672"/>
      <c r="J486" s="1672"/>
      <c r="K486" s="1673"/>
      <c r="L486" s="95">
        <f t="shared" si="70"/>
        <v>0</v>
      </c>
      <c r="M486" s="1658"/>
      <c r="N486" s="1658"/>
      <c r="O486" s="99"/>
      <c r="P486" s="355" t="str">
        <f t="shared" si="71"/>
        <v/>
      </c>
      <c r="R486" s="745" t="b">
        <v>0</v>
      </c>
      <c r="S486" s="736">
        <f t="shared" si="64"/>
        <v>0</v>
      </c>
      <c r="T486" s="747">
        <f t="shared" si="65"/>
        <v>0</v>
      </c>
      <c r="U486" s="747">
        <f t="shared" si="66"/>
        <v>0</v>
      </c>
      <c r="V486" s="747">
        <f t="shared" si="67"/>
        <v>0</v>
      </c>
      <c r="W486" s="747">
        <f t="shared" si="68"/>
        <v>0</v>
      </c>
      <c r="X486" s="747">
        <f t="shared" si="69"/>
        <v>0</v>
      </c>
      <c r="Y486" s="74"/>
      <c r="Z486" s="74"/>
      <c r="AA486" s="74"/>
      <c r="AB486" s="74"/>
      <c r="AC486" s="74"/>
      <c r="AD486" s="74"/>
      <c r="AE486" s="74"/>
      <c r="AF486" s="74"/>
      <c r="AG486" s="74"/>
      <c r="AH486" s="74"/>
      <c r="AI486" s="74"/>
      <c r="AJ486" s="74"/>
      <c r="AK486" s="74"/>
      <c r="AL486" s="74"/>
      <c r="AM486" s="74"/>
      <c r="AN486" s="74"/>
      <c r="AO486" s="74"/>
      <c r="AP486" s="74"/>
      <c r="AQ486" s="74"/>
      <c r="AR486" s="74"/>
      <c r="AS486" s="74"/>
      <c r="AT486" s="74"/>
      <c r="AU486" s="74"/>
      <c r="AV486" s="74"/>
      <c r="AW486" s="74"/>
      <c r="AX486" s="74"/>
      <c r="AY486" s="74"/>
      <c r="AZ486" s="74"/>
      <c r="BA486" s="74"/>
      <c r="BB486" s="74"/>
      <c r="BC486" s="74"/>
      <c r="BD486" s="74"/>
      <c r="BE486" s="74"/>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row>
    <row r="487" spans="1:109" ht="15" customHeight="1" x14ac:dyDescent="0.2">
      <c r="A487" s="3"/>
      <c r="B487" s="574"/>
      <c r="C487" s="570"/>
      <c r="D487" s="575"/>
      <c r="E487" s="567"/>
      <c r="F487" s="1671" t="str">
        <f>IF(OR($Z$482=1,$S$479=1),"","Abductor pollicis brevis")</f>
        <v/>
      </c>
      <c r="G487" s="1672"/>
      <c r="H487" s="1672"/>
      <c r="I487" s="1672"/>
      <c r="J487" s="1672"/>
      <c r="K487" s="1673"/>
      <c r="L487" s="95">
        <f t="shared" si="70"/>
        <v>0</v>
      </c>
      <c r="M487" s="1658"/>
      <c r="N487" s="1658"/>
      <c r="O487" s="99"/>
      <c r="P487" s="355" t="str">
        <f t="shared" si="71"/>
        <v/>
      </c>
      <c r="R487" s="745" t="b">
        <v>0</v>
      </c>
      <c r="S487" s="736">
        <f t="shared" si="64"/>
        <v>0</v>
      </c>
      <c r="T487" s="747">
        <f t="shared" si="65"/>
        <v>0</v>
      </c>
      <c r="U487" s="747">
        <f t="shared" si="66"/>
        <v>0</v>
      </c>
      <c r="V487" s="747">
        <f t="shared" si="67"/>
        <v>0</v>
      </c>
      <c r="W487" s="747">
        <f t="shared" si="68"/>
        <v>0</v>
      </c>
      <c r="X487" s="747">
        <f t="shared" si="69"/>
        <v>0</v>
      </c>
      <c r="Y487" s="74"/>
      <c r="Z487" s="74"/>
      <c r="AA487" s="74"/>
      <c r="AB487" s="74"/>
      <c r="AC487" s="74"/>
      <c r="AD487" s="74"/>
      <c r="AE487" s="74"/>
      <c r="AF487" s="74"/>
      <c r="AG487" s="74"/>
      <c r="AH487" s="74"/>
      <c r="AI487" s="74"/>
      <c r="AJ487" s="74"/>
      <c r="AK487" s="74"/>
      <c r="AL487" s="74"/>
      <c r="AM487" s="74"/>
      <c r="AN487" s="74"/>
      <c r="AO487" s="74"/>
      <c r="AP487" s="74"/>
      <c r="AQ487" s="74"/>
      <c r="AR487" s="74"/>
      <c r="AS487" s="74"/>
      <c r="AT487" s="74"/>
      <c r="AU487" s="74"/>
      <c r="AV487" s="74"/>
      <c r="AW487" s="74"/>
      <c r="AX487" s="74"/>
      <c r="AY487" s="74"/>
      <c r="AZ487" s="74"/>
      <c r="BA487" s="74"/>
      <c r="BB487" s="74"/>
      <c r="BC487" s="74"/>
      <c r="BD487" s="74"/>
      <c r="BE487" s="74"/>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row>
    <row r="488" spans="1:109" ht="15" customHeight="1" x14ac:dyDescent="0.2">
      <c r="A488" s="3"/>
      <c r="B488" s="574"/>
      <c r="C488" s="570"/>
      <c r="D488" s="575"/>
      <c r="E488" s="567"/>
      <c r="F488" s="1671" t="str">
        <f>IF(OR($Z$482=1,$S$479=1),"","Opponens pollicis")</f>
        <v/>
      </c>
      <c r="G488" s="1672"/>
      <c r="H488" s="1672"/>
      <c r="I488" s="1672"/>
      <c r="J488" s="1672"/>
      <c r="K488" s="1673"/>
      <c r="L488" s="95">
        <f t="shared" si="70"/>
        <v>0</v>
      </c>
      <c r="M488" s="1658"/>
      <c r="N488" s="1658"/>
      <c r="O488" s="99"/>
      <c r="P488" s="355" t="str">
        <f t="shared" si="71"/>
        <v/>
      </c>
      <c r="R488" s="745" t="b">
        <v>0</v>
      </c>
      <c r="S488" s="736">
        <f t="shared" si="64"/>
        <v>0</v>
      </c>
      <c r="T488" s="747">
        <f t="shared" si="65"/>
        <v>0</v>
      </c>
      <c r="U488" s="747">
        <f t="shared" si="66"/>
        <v>0</v>
      </c>
      <c r="V488" s="747">
        <f t="shared" si="67"/>
        <v>0</v>
      </c>
      <c r="W488" s="747">
        <f t="shared" si="68"/>
        <v>0</v>
      </c>
      <c r="X488" s="747">
        <f t="shared" si="69"/>
        <v>0</v>
      </c>
      <c r="Y488" s="74"/>
      <c r="Z488" s="74"/>
      <c r="AA488" s="74"/>
      <c r="AB488" s="74"/>
      <c r="AC488" s="74"/>
      <c r="AD488" s="74"/>
      <c r="AE488" s="74"/>
      <c r="AF488" s="74"/>
      <c r="AG488" s="74"/>
      <c r="AH488" s="74"/>
      <c r="AI488" s="74"/>
      <c r="AJ488" s="74"/>
      <c r="AK488" s="74"/>
      <c r="AL488" s="74"/>
      <c r="AM488" s="74"/>
      <c r="AN488" s="74"/>
      <c r="AO488" s="74"/>
      <c r="AP488" s="74"/>
      <c r="AQ488" s="74"/>
      <c r="AR488" s="74"/>
      <c r="AS488" s="74"/>
      <c r="AT488" s="74"/>
      <c r="AU488" s="74"/>
      <c r="AV488" s="74"/>
      <c r="AW488" s="74"/>
      <c r="AX488" s="74"/>
      <c r="AY488" s="74"/>
      <c r="AZ488" s="74"/>
      <c r="BA488" s="74"/>
      <c r="BB488" s="74"/>
      <c r="BC488" s="74"/>
      <c r="BD488" s="74"/>
      <c r="BE488" s="74"/>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row>
    <row r="489" spans="1:109" ht="15" customHeight="1" x14ac:dyDescent="0.2">
      <c r="A489" s="3"/>
      <c r="B489" s="574"/>
      <c r="C489" s="570"/>
      <c r="D489" s="575"/>
      <c r="E489" s="567"/>
      <c r="F489" s="1671" t="str">
        <f>IF(OR($Z$482=1,$S$479=1),"","Flexor pollicis brevis")</f>
        <v/>
      </c>
      <c r="G489" s="1672"/>
      <c r="H489" s="1672"/>
      <c r="I489" s="1672"/>
      <c r="J489" s="1672"/>
      <c r="K489" s="1673"/>
      <c r="L489" s="95">
        <f t="shared" si="70"/>
        <v>0</v>
      </c>
      <c r="M489" s="1658"/>
      <c r="N489" s="1658"/>
      <c r="O489" s="99"/>
      <c r="P489" s="355" t="str">
        <f t="shared" si="71"/>
        <v/>
      </c>
      <c r="R489" s="745" t="b">
        <v>0</v>
      </c>
      <c r="S489" s="736">
        <f t="shared" si="64"/>
        <v>0</v>
      </c>
      <c r="T489" s="747">
        <f t="shared" si="65"/>
        <v>0</v>
      </c>
      <c r="U489" s="747">
        <f t="shared" si="66"/>
        <v>0</v>
      </c>
      <c r="V489" s="747">
        <f t="shared" si="67"/>
        <v>0</v>
      </c>
      <c r="W489" s="747">
        <f t="shared" si="68"/>
        <v>0</v>
      </c>
      <c r="X489" s="747">
        <f t="shared" si="69"/>
        <v>0</v>
      </c>
      <c r="Y489" s="74"/>
      <c r="Z489" s="74"/>
      <c r="AA489" s="74"/>
      <c r="AB489" s="74"/>
      <c r="AC489" s="74"/>
      <c r="AD489" s="74"/>
      <c r="AE489" s="74"/>
      <c r="AF489" s="74"/>
      <c r="AG489" s="74"/>
      <c r="AH489" s="74"/>
      <c r="AI489" s="74"/>
      <c r="AJ489" s="74"/>
      <c r="AK489" s="74"/>
      <c r="AL489" s="74"/>
      <c r="AM489" s="74"/>
      <c r="AN489" s="74"/>
      <c r="AO489" s="74"/>
      <c r="AP489" s="74"/>
      <c r="AQ489" s="74"/>
      <c r="AR489" s="74"/>
      <c r="AS489" s="74"/>
      <c r="AT489" s="74"/>
      <c r="AU489" s="74"/>
      <c r="AV489" s="74"/>
      <c r="AW489" s="74"/>
      <c r="AX489" s="74"/>
      <c r="AY489" s="74"/>
      <c r="AZ489" s="74"/>
      <c r="BA489" s="74"/>
      <c r="BB489" s="74"/>
      <c r="BC489" s="74"/>
      <c r="BD489" s="74"/>
      <c r="BE489" s="74"/>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row>
    <row r="490" spans="1:109" ht="15" customHeight="1" x14ac:dyDescent="0.2">
      <c r="A490" s="3"/>
      <c r="B490" s="574"/>
      <c r="C490" s="570"/>
      <c r="D490" s="575"/>
      <c r="E490" s="567"/>
      <c r="F490" s="1374" t="str">
        <f>IF(OR($Z$482=1,$S$479=1),"","Lumbricales I")</f>
        <v/>
      </c>
      <c r="G490" s="1375"/>
      <c r="H490" s="1375"/>
      <c r="I490" s="1375"/>
      <c r="J490" s="1375"/>
      <c r="K490" s="1376"/>
      <c r="L490" s="95">
        <f t="shared" si="70"/>
        <v>0</v>
      </c>
      <c r="M490" s="1658"/>
      <c r="N490" s="1658"/>
      <c r="O490" s="99"/>
      <c r="P490" s="355" t="str">
        <f t="shared" si="71"/>
        <v/>
      </c>
      <c r="R490" s="745" t="b">
        <v>0</v>
      </c>
      <c r="S490" s="736">
        <f t="shared" si="64"/>
        <v>0</v>
      </c>
      <c r="T490" s="747">
        <f t="shared" si="65"/>
        <v>0</v>
      </c>
      <c r="U490" s="747">
        <f t="shared" si="66"/>
        <v>0</v>
      </c>
      <c r="V490" s="747">
        <f t="shared" si="67"/>
        <v>0</v>
      </c>
      <c r="W490" s="747">
        <f t="shared" si="68"/>
        <v>0</v>
      </c>
      <c r="X490" s="747">
        <f t="shared" si="69"/>
        <v>0</v>
      </c>
      <c r="Y490" s="74"/>
      <c r="Z490" s="74"/>
      <c r="AA490" s="74"/>
      <c r="AB490" s="74"/>
      <c r="AC490" s="74"/>
      <c r="AD490" s="74"/>
      <c r="AE490" s="74"/>
      <c r="AF490" s="74"/>
      <c r="AG490" s="74"/>
      <c r="AH490" s="74"/>
      <c r="AI490" s="74"/>
      <c r="AJ490" s="74"/>
      <c r="AK490" s="74"/>
      <c r="AL490" s="74"/>
      <c r="AM490" s="74"/>
      <c r="AN490" s="74"/>
      <c r="AO490" s="74"/>
      <c r="AP490" s="74"/>
      <c r="AQ490" s="74"/>
      <c r="AR490" s="74"/>
      <c r="AS490" s="74"/>
      <c r="AT490" s="74"/>
      <c r="AU490" s="74"/>
      <c r="AV490" s="74"/>
      <c r="AW490" s="74"/>
      <c r="AX490" s="74"/>
      <c r="AY490" s="74"/>
      <c r="AZ490" s="74"/>
      <c r="BA490" s="74"/>
      <c r="BB490" s="74"/>
      <c r="BC490" s="74"/>
      <c r="BD490" s="74"/>
      <c r="BE490" s="74"/>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row>
    <row r="491" spans="1:109" ht="15" customHeight="1" x14ac:dyDescent="0.2">
      <c r="A491" s="3"/>
      <c r="B491" s="576"/>
      <c r="C491" s="577"/>
      <c r="D491" s="578"/>
      <c r="E491" s="567"/>
      <c r="F491" s="1362" t="str">
        <f>IF(OR($Z$482=1,$S$479=1),"","Lumbricales II")</f>
        <v/>
      </c>
      <c r="G491" s="1363"/>
      <c r="H491" s="1363"/>
      <c r="I491" s="1363"/>
      <c r="J491" s="1363"/>
      <c r="K491" s="1364"/>
      <c r="L491" s="95">
        <f t="shared" si="70"/>
        <v>0</v>
      </c>
      <c r="M491" s="1658"/>
      <c r="N491" s="1658"/>
      <c r="O491" s="99"/>
      <c r="P491" s="355" t="str">
        <f t="shared" si="71"/>
        <v/>
      </c>
      <c r="R491" s="745" t="b">
        <v>0</v>
      </c>
      <c r="S491" s="736">
        <f t="shared" si="64"/>
        <v>0</v>
      </c>
      <c r="T491" s="747">
        <f t="shared" si="65"/>
        <v>0</v>
      </c>
      <c r="U491" s="747">
        <f t="shared" si="66"/>
        <v>0</v>
      </c>
      <c r="V491" s="747">
        <f t="shared" si="67"/>
        <v>0</v>
      </c>
      <c r="W491" s="747">
        <f t="shared" si="68"/>
        <v>0</v>
      </c>
      <c r="X491" s="747">
        <f t="shared" si="69"/>
        <v>0</v>
      </c>
      <c r="Y491" s="19"/>
      <c r="Z491" s="19"/>
      <c r="AA491" s="19"/>
      <c r="AB491" s="19"/>
      <c r="AC491" s="19"/>
      <c r="AD491" s="19"/>
      <c r="AE491" s="19"/>
      <c r="AF491" s="19"/>
      <c r="AG491" s="19"/>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row>
    <row r="492" spans="1:109" ht="15" customHeight="1" x14ac:dyDescent="0.2">
      <c r="A492" s="3"/>
      <c r="B492" s="1743" t="s">
        <v>955</v>
      </c>
      <c r="C492" s="1743"/>
      <c r="D492" s="1743"/>
      <c r="E492" s="1570"/>
      <c r="F492" s="1570"/>
      <c r="G492" s="1570"/>
      <c r="H492" s="1570"/>
      <c r="I492" s="1570"/>
      <c r="J492" s="1570"/>
      <c r="K492" s="1570"/>
      <c r="L492" s="1570"/>
      <c r="M492" s="1570"/>
      <c r="N492" s="1570"/>
      <c r="O492" s="1570"/>
      <c r="P492" s="240">
        <f>IF(SUM(P479:P491)=0,0,AVERAGE(P479:P491))</f>
        <v>0</v>
      </c>
      <c r="Q492" s="3"/>
      <c r="R492" s="18"/>
      <c r="S492" s="116"/>
      <c r="T492" s="116"/>
      <c r="U492" s="111"/>
      <c r="V492" s="114"/>
      <c r="W492" s="114"/>
      <c r="X492" s="114"/>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row>
    <row r="493" spans="1:109" ht="6" customHeight="1" x14ac:dyDescent="0.2">
      <c r="A493" s="3"/>
      <c r="B493" s="1469"/>
      <c r="C493" s="1469"/>
      <c r="D493" s="1469"/>
      <c r="E493" s="1469"/>
      <c r="F493" s="1469"/>
      <c r="G493" s="1469"/>
      <c r="H493" s="1469"/>
      <c r="I493" s="1469"/>
      <c r="J493" s="1469"/>
      <c r="K493" s="1469"/>
      <c r="L493" s="1469"/>
      <c r="M493" s="1469"/>
      <c r="N493" s="1469"/>
      <c r="O493" s="1469"/>
      <c r="P493" s="103"/>
      <c r="Q493" s="3"/>
      <c r="R493" s="18"/>
      <c r="S493" s="116"/>
      <c r="T493" s="116"/>
      <c r="U493" s="111"/>
      <c r="V493" s="114"/>
      <c r="W493" s="114"/>
      <c r="X493" s="114"/>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row>
    <row r="494" spans="1:109" ht="15" customHeight="1" x14ac:dyDescent="0.2">
      <c r="A494" s="3"/>
      <c r="B494" s="1469"/>
      <c r="C494" s="1469"/>
      <c r="D494" s="1469"/>
      <c r="E494" s="1747"/>
      <c r="F494" s="1747"/>
      <c r="G494" s="1747"/>
      <c r="H494" s="1747"/>
      <c r="I494" s="1747"/>
      <c r="J494" s="1747"/>
      <c r="K494" s="1747"/>
      <c r="L494" s="1747"/>
      <c r="M494" s="1747"/>
      <c r="N494" s="1747"/>
      <c r="O494" s="1747"/>
      <c r="P494" s="104"/>
      <c r="Q494" s="3"/>
      <c r="R494" s="18"/>
      <c r="S494" s="116"/>
      <c r="T494" s="734" t="s">
        <v>1689</v>
      </c>
      <c r="U494" s="734" t="s">
        <v>1597</v>
      </c>
      <c r="V494" s="734" t="s">
        <v>1692</v>
      </c>
      <c r="W494" s="734" t="s">
        <v>1693</v>
      </c>
      <c r="X494" s="734" t="s">
        <v>1694</v>
      </c>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row>
    <row r="495" spans="1:109" ht="15" customHeight="1" x14ac:dyDescent="0.2">
      <c r="A495" s="3"/>
      <c r="B495" s="556" t="s">
        <v>81</v>
      </c>
      <c r="C495" s="557"/>
      <c r="D495" s="558"/>
      <c r="E495" s="565"/>
      <c r="F495" s="1410" t="str">
        <f>IF(Z497=1,"","Overall loss at level shown")</f>
        <v/>
      </c>
      <c r="G495" s="1410"/>
      <c r="H495" s="1410"/>
      <c r="I495" s="1410"/>
      <c r="J495" s="1410"/>
      <c r="K495" s="1410"/>
      <c r="L495" s="95">
        <f>IF(OR(F495="",S495=0),0,IF($Z$497=2,0.44,IF($Z$497=3,0.31,0)))</f>
        <v>0</v>
      </c>
      <c r="M495" s="1658"/>
      <c r="N495" s="1658"/>
      <c r="O495" s="99"/>
      <c r="P495" s="355" t="str">
        <f>IF(OR(L495=0,M495=""),"",X495)</f>
        <v/>
      </c>
      <c r="R495" s="686" t="b">
        <v>0</v>
      </c>
      <c r="S495" s="736">
        <f t="shared" ref="S495:S505" si="72">IF(R495=TRUE,1,0)</f>
        <v>0</v>
      </c>
      <c r="T495" s="747">
        <f t="shared" ref="T495:T505" si="73">SUMIF($T$443:$AH$443,M495,$T$444:$AH$444)</f>
        <v>0</v>
      </c>
      <c r="U495" s="747">
        <f t="shared" ref="U495:U505" si="74">SUMIF($S$443:$AH$443,O495,$S$444:$AH$444)</f>
        <v>0</v>
      </c>
      <c r="V495" s="747">
        <f t="shared" ref="V495:V505" si="75">L495*T495</f>
        <v>0</v>
      </c>
      <c r="W495" s="747">
        <f t="shared" ref="W495:W505" si="76">L495*U495</f>
        <v>0</v>
      </c>
      <c r="X495" s="747">
        <f t="shared" ref="X495:X505" si="77">(IF(V495-W495&lt;=0,0,V495-W495))</f>
        <v>0</v>
      </c>
      <c r="Y495" s="18"/>
      <c r="Z495" s="18"/>
      <c r="AA495" s="18"/>
      <c r="AB495" s="18"/>
      <c r="AC495" s="18"/>
      <c r="AD495" s="18"/>
      <c r="AE495" s="18"/>
      <c r="AF495" s="18"/>
      <c r="AG495" s="18"/>
      <c r="AH495" s="172"/>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row>
    <row r="496" spans="1:109" ht="15" customHeight="1" x14ac:dyDescent="0.2">
      <c r="A496" s="3"/>
      <c r="B496" s="559"/>
      <c r="C496" s="560"/>
      <c r="D496" s="561"/>
      <c r="E496" s="565"/>
      <c r="F496" s="1410" t="str">
        <f>IF(OR($Z$497=1,$S$495=1),"","Flexor carpi ulnaris")</f>
        <v/>
      </c>
      <c r="G496" s="1410"/>
      <c r="H496" s="1410"/>
      <c r="I496" s="1410"/>
      <c r="J496" s="1410"/>
      <c r="K496" s="1410"/>
      <c r="L496" s="95">
        <f t="shared" ref="L496:L505" si="78">IF(OR(F496="",S496=0,$S$495=1),0,IF($Z$497=2,0.44,IF($Z$497=3,0.31,0)))</f>
        <v>0</v>
      </c>
      <c r="M496" s="1658"/>
      <c r="N496" s="1658"/>
      <c r="O496" s="99"/>
      <c r="P496" s="355" t="str">
        <f t="shared" ref="P496:P505" si="79">IF(OR(L496=0,M496="",X496=0),"",X496)</f>
        <v/>
      </c>
      <c r="R496" s="686" t="b">
        <v>0</v>
      </c>
      <c r="S496" s="736">
        <f t="shared" si="72"/>
        <v>0</v>
      </c>
      <c r="T496" s="747">
        <f t="shared" si="73"/>
        <v>0</v>
      </c>
      <c r="U496" s="747">
        <f t="shared" si="74"/>
        <v>0</v>
      </c>
      <c r="V496" s="747">
        <f t="shared" si="75"/>
        <v>0</v>
      </c>
      <c r="W496" s="747">
        <f t="shared" si="76"/>
        <v>0</v>
      </c>
      <c r="X496" s="747">
        <f t="shared" si="77"/>
        <v>0</v>
      </c>
      <c r="Y496" s="18"/>
      <c r="Z496" s="18"/>
      <c r="AA496" s="18"/>
      <c r="AB496" s="18"/>
      <c r="AC496" s="18"/>
      <c r="AD496" s="18"/>
      <c r="AE496" s="18"/>
      <c r="AF496" s="18"/>
      <c r="AG496" s="18"/>
      <c r="AH496" s="172"/>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row>
    <row r="497" spans="1:109" ht="27" customHeight="1" x14ac:dyDescent="0.2">
      <c r="A497" s="3"/>
      <c r="B497" s="559"/>
      <c r="C497" s="560"/>
      <c r="D497" s="561"/>
      <c r="E497" s="565"/>
      <c r="F497" s="1379" t="str">
        <f>IF(OR($Z$497=1,$S$495=1),"","Flexor digitorum profundus (medial half)")</f>
        <v/>
      </c>
      <c r="G497" s="1379"/>
      <c r="H497" s="1379"/>
      <c r="I497" s="1379"/>
      <c r="J497" s="1379"/>
      <c r="K497" s="1379"/>
      <c r="L497" s="95">
        <f t="shared" si="78"/>
        <v>0</v>
      </c>
      <c r="M497" s="1658"/>
      <c r="N497" s="1658"/>
      <c r="O497" s="99"/>
      <c r="P497" s="355" t="str">
        <f t="shared" si="79"/>
        <v/>
      </c>
      <c r="R497" s="686" t="b">
        <v>0</v>
      </c>
      <c r="S497" s="736">
        <f t="shared" si="72"/>
        <v>0</v>
      </c>
      <c r="T497" s="747">
        <f t="shared" si="73"/>
        <v>0</v>
      </c>
      <c r="U497" s="747">
        <f t="shared" si="74"/>
        <v>0</v>
      </c>
      <c r="V497" s="747">
        <f t="shared" si="75"/>
        <v>0</v>
      </c>
      <c r="W497" s="747">
        <f t="shared" si="76"/>
        <v>0</v>
      </c>
      <c r="X497" s="747">
        <f t="shared" si="77"/>
        <v>0</v>
      </c>
      <c r="Y497" s="18"/>
      <c r="Z497" s="751">
        <v>1</v>
      </c>
      <c r="AA497" s="752" t="s">
        <v>82</v>
      </c>
      <c r="AB497" s="719"/>
      <c r="AC497" s="720"/>
      <c r="AD497" s="18"/>
      <c r="AE497" s="18"/>
      <c r="AF497" s="18"/>
      <c r="AG497" s="18"/>
      <c r="AH497" s="172"/>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row>
    <row r="498" spans="1:109" ht="15" customHeight="1" x14ac:dyDescent="0.2">
      <c r="A498" s="3"/>
      <c r="B498" s="559"/>
      <c r="C498" s="560"/>
      <c r="D498" s="561"/>
      <c r="E498" s="565"/>
      <c r="F498" s="1410" t="str">
        <f>IF(OR($Z$497=1,$S$495=1),"","Flexor digiti quinti brevis")</f>
        <v/>
      </c>
      <c r="G498" s="1410"/>
      <c r="H498" s="1410"/>
      <c r="I498" s="1410"/>
      <c r="J498" s="1410"/>
      <c r="K498" s="1410"/>
      <c r="L498" s="95">
        <f t="shared" si="78"/>
        <v>0</v>
      </c>
      <c r="M498" s="1658"/>
      <c r="N498" s="1658"/>
      <c r="O498" s="99"/>
      <c r="P498" s="355" t="str">
        <f t="shared" si="79"/>
        <v/>
      </c>
      <c r="R498" s="686" t="b">
        <v>0</v>
      </c>
      <c r="S498" s="736">
        <f t="shared" si="72"/>
        <v>0</v>
      </c>
      <c r="T498" s="747">
        <f t="shared" si="73"/>
        <v>0</v>
      </c>
      <c r="U498" s="747">
        <f t="shared" si="74"/>
        <v>0</v>
      </c>
      <c r="V498" s="747">
        <f t="shared" si="75"/>
        <v>0</v>
      </c>
      <c r="W498" s="747">
        <f t="shared" si="76"/>
        <v>0</v>
      </c>
      <c r="X498" s="747">
        <f t="shared" si="77"/>
        <v>0</v>
      </c>
      <c r="Y498" s="18"/>
      <c r="Z498" s="18"/>
      <c r="AA498" s="18"/>
      <c r="AB498" s="18"/>
      <c r="AC498" s="18"/>
      <c r="AD498" s="18"/>
      <c r="AE498" s="18"/>
      <c r="AF498" s="18"/>
      <c r="AG498" s="18"/>
      <c r="AH498" s="172"/>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row>
    <row r="499" spans="1:109" ht="15" customHeight="1" x14ac:dyDescent="0.2">
      <c r="A499" s="3"/>
      <c r="B499" s="559"/>
      <c r="C499" s="560"/>
      <c r="D499" s="561"/>
      <c r="E499" s="565"/>
      <c r="F499" s="1410" t="str">
        <f>IF(OR($Z$497=1,$S$495=1),"","Abductor digiti quinti")</f>
        <v/>
      </c>
      <c r="G499" s="1410"/>
      <c r="H499" s="1410"/>
      <c r="I499" s="1410"/>
      <c r="J499" s="1410"/>
      <c r="K499" s="1410"/>
      <c r="L499" s="95">
        <f t="shared" si="78"/>
        <v>0</v>
      </c>
      <c r="M499" s="1658"/>
      <c r="N499" s="1658"/>
      <c r="O499" s="99"/>
      <c r="P499" s="355" t="str">
        <f t="shared" si="79"/>
        <v/>
      </c>
      <c r="R499" s="686" t="b">
        <v>0</v>
      </c>
      <c r="S499" s="736">
        <f t="shared" si="72"/>
        <v>0</v>
      </c>
      <c r="T499" s="747">
        <f t="shared" si="73"/>
        <v>0</v>
      </c>
      <c r="U499" s="747">
        <f t="shared" si="74"/>
        <v>0</v>
      </c>
      <c r="V499" s="747">
        <f t="shared" si="75"/>
        <v>0</v>
      </c>
      <c r="W499" s="747">
        <f t="shared" si="76"/>
        <v>0</v>
      </c>
      <c r="X499" s="747">
        <f t="shared" si="77"/>
        <v>0</v>
      </c>
      <c r="Y499" s="18"/>
      <c r="Z499" s="18"/>
      <c r="AA499" s="18"/>
      <c r="AB499" s="18"/>
      <c r="AC499" s="18"/>
      <c r="AD499" s="18"/>
      <c r="AE499" s="18"/>
      <c r="AF499" s="18"/>
      <c r="AG499" s="18"/>
      <c r="AH499" s="172"/>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row>
    <row r="500" spans="1:109" ht="15" customHeight="1" x14ac:dyDescent="0.2">
      <c r="A500" s="3"/>
      <c r="B500" s="559"/>
      <c r="C500" s="560"/>
      <c r="D500" s="561"/>
      <c r="E500" s="565"/>
      <c r="F500" s="1410" t="str">
        <f>IF(OR($Z$497=1,$S$495=1),"","Opponens digiti quinti")</f>
        <v/>
      </c>
      <c r="G500" s="1410"/>
      <c r="H500" s="1410"/>
      <c r="I500" s="1410"/>
      <c r="J500" s="1410"/>
      <c r="K500" s="1410"/>
      <c r="L500" s="95">
        <f t="shared" si="78"/>
        <v>0</v>
      </c>
      <c r="M500" s="1658"/>
      <c r="N500" s="1658"/>
      <c r="O500" s="99"/>
      <c r="P500" s="355" t="str">
        <f t="shared" si="79"/>
        <v/>
      </c>
      <c r="R500" s="686" t="b">
        <v>0</v>
      </c>
      <c r="S500" s="736">
        <f t="shared" si="72"/>
        <v>0</v>
      </c>
      <c r="T500" s="747">
        <f t="shared" si="73"/>
        <v>0</v>
      </c>
      <c r="U500" s="747">
        <f t="shared" si="74"/>
        <v>0</v>
      </c>
      <c r="V500" s="747">
        <f t="shared" si="75"/>
        <v>0</v>
      </c>
      <c r="W500" s="747">
        <f t="shared" si="76"/>
        <v>0</v>
      </c>
      <c r="X500" s="747">
        <f t="shared" si="77"/>
        <v>0</v>
      </c>
      <c r="Y500" s="18"/>
      <c r="Z500" s="18"/>
      <c r="AA500" s="18"/>
      <c r="AB500" s="18"/>
      <c r="AC500" s="18"/>
      <c r="AD500" s="18"/>
      <c r="AE500" s="18"/>
      <c r="AF500" s="18"/>
      <c r="AG500" s="18"/>
      <c r="AH500" s="172"/>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row>
    <row r="501" spans="1:109" ht="15" customHeight="1" x14ac:dyDescent="0.2">
      <c r="A501" s="3"/>
      <c r="B501" s="559"/>
      <c r="C501" s="560"/>
      <c r="D501" s="561"/>
      <c r="E501" s="565"/>
      <c r="F501" s="1410" t="str">
        <f>IF(OR($Z$497=1,$S$495=1),"","Interossei")</f>
        <v/>
      </c>
      <c r="G501" s="1410"/>
      <c r="H501" s="1410"/>
      <c r="I501" s="1410"/>
      <c r="J501" s="1410"/>
      <c r="K501" s="1410"/>
      <c r="L501" s="95">
        <f t="shared" si="78"/>
        <v>0</v>
      </c>
      <c r="M501" s="1658"/>
      <c r="N501" s="1658"/>
      <c r="O501" s="99"/>
      <c r="P501" s="355" t="str">
        <f t="shared" si="79"/>
        <v/>
      </c>
      <c r="R501" s="686" t="b">
        <v>0</v>
      </c>
      <c r="S501" s="736">
        <f t="shared" si="72"/>
        <v>0</v>
      </c>
      <c r="T501" s="747">
        <f t="shared" si="73"/>
        <v>0</v>
      </c>
      <c r="U501" s="747">
        <f t="shared" si="74"/>
        <v>0</v>
      </c>
      <c r="V501" s="747">
        <f t="shared" si="75"/>
        <v>0</v>
      </c>
      <c r="W501" s="747">
        <f t="shared" si="76"/>
        <v>0</v>
      </c>
      <c r="X501" s="747">
        <f t="shared" si="77"/>
        <v>0</v>
      </c>
      <c r="Y501" s="18"/>
      <c r="Z501" s="18"/>
      <c r="AA501" s="18"/>
      <c r="AB501" s="18"/>
      <c r="AC501" s="18"/>
      <c r="AD501" s="18"/>
      <c r="AE501" s="18"/>
      <c r="AF501" s="18"/>
      <c r="AG501" s="18"/>
      <c r="AH501" s="172"/>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row>
    <row r="502" spans="1:109" ht="15" customHeight="1" x14ac:dyDescent="0.2">
      <c r="A502" s="3"/>
      <c r="B502" s="559"/>
      <c r="C502" s="560"/>
      <c r="D502" s="561"/>
      <c r="E502" s="579"/>
      <c r="F502" s="1410" t="str">
        <f>IF(OR($Z$497=1,$S$495=1),"","Lumbricales III")</f>
        <v/>
      </c>
      <c r="G502" s="1410"/>
      <c r="H502" s="1410"/>
      <c r="I502" s="1410"/>
      <c r="J502" s="1410"/>
      <c r="K502" s="1410"/>
      <c r="L502" s="95">
        <f t="shared" si="78"/>
        <v>0</v>
      </c>
      <c r="M502" s="1658"/>
      <c r="N502" s="1658"/>
      <c r="O502" s="99"/>
      <c r="P502" s="355" t="str">
        <f t="shared" si="79"/>
        <v/>
      </c>
      <c r="R502" s="686" t="b">
        <v>0</v>
      </c>
      <c r="S502" s="736">
        <f t="shared" si="72"/>
        <v>0</v>
      </c>
      <c r="T502" s="747">
        <f t="shared" si="73"/>
        <v>0</v>
      </c>
      <c r="U502" s="747">
        <f t="shared" si="74"/>
        <v>0</v>
      </c>
      <c r="V502" s="747">
        <f t="shared" si="75"/>
        <v>0</v>
      </c>
      <c r="W502" s="747">
        <f t="shared" si="76"/>
        <v>0</v>
      </c>
      <c r="X502" s="747">
        <f t="shared" si="77"/>
        <v>0</v>
      </c>
      <c r="Y502" s="18"/>
      <c r="Z502" s="18"/>
      <c r="AA502" s="18"/>
      <c r="AB502" s="18"/>
      <c r="AC502" s="18"/>
      <c r="AD502" s="18"/>
      <c r="AE502" s="18"/>
      <c r="AF502" s="18"/>
      <c r="AG502" s="18"/>
      <c r="AH502" s="172"/>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row>
    <row r="503" spans="1:109" ht="15" customHeight="1" x14ac:dyDescent="0.2">
      <c r="A503" s="3"/>
      <c r="B503" s="559"/>
      <c r="C503" s="560"/>
      <c r="D503" s="561"/>
      <c r="E503" s="565"/>
      <c r="F503" s="1410" t="str">
        <f>IF(OR($Z$497=1,$S$495=1),"","Lumbricales IV")</f>
        <v/>
      </c>
      <c r="G503" s="1410"/>
      <c r="H503" s="1410"/>
      <c r="I503" s="1410"/>
      <c r="J503" s="1410"/>
      <c r="K503" s="1410"/>
      <c r="L503" s="95">
        <f t="shared" si="78"/>
        <v>0</v>
      </c>
      <c r="M503" s="1658"/>
      <c r="N503" s="1658"/>
      <c r="O503" s="99"/>
      <c r="P503" s="355" t="str">
        <f t="shared" si="79"/>
        <v/>
      </c>
      <c r="R503" s="686" t="b">
        <v>0</v>
      </c>
      <c r="S503" s="736">
        <f t="shared" si="72"/>
        <v>0</v>
      </c>
      <c r="T503" s="747">
        <f t="shared" si="73"/>
        <v>0</v>
      </c>
      <c r="U503" s="747">
        <f t="shared" si="74"/>
        <v>0</v>
      </c>
      <c r="V503" s="747">
        <f t="shared" si="75"/>
        <v>0</v>
      </c>
      <c r="W503" s="747">
        <f t="shared" si="76"/>
        <v>0</v>
      </c>
      <c r="X503" s="747">
        <f t="shared" si="77"/>
        <v>0</v>
      </c>
      <c r="Y503" s="18"/>
      <c r="Z503" s="18"/>
      <c r="AA503" s="18"/>
      <c r="AB503" s="18"/>
      <c r="AC503" s="18"/>
      <c r="AD503" s="18"/>
      <c r="AE503" s="18"/>
      <c r="AF503" s="18"/>
      <c r="AG503" s="18"/>
      <c r="AH503" s="172"/>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row>
    <row r="504" spans="1:109" ht="15" customHeight="1" x14ac:dyDescent="0.2">
      <c r="A504" s="3"/>
      <c r="B504" s="559"/>
      <c r="C504" s="560"/>
      <c r="D504" s="561"/>
      <c r="E504" s="565"/>
      <c r="F504" s="1410" t="str">
        <f>IF(OR($Z$497=1,$S$495=1),"","Adductor pollicis")</f>
        <v/>
      </c>
      <c r="G504" s="1410"/>
      <c r="H504" s="1410"/>
      <c r="I504" s="1410"/>
      <c r="J504" s="1410"/>
      <c r="K504" s="1410"/>
      <c r="L504" s="95">
        <f t="shared" si="78"/>
        <v>0</v>
      </c>
      <c r="M504" s="1658"/>
      <c r="N504" s="1658"/>
      <c r="O504" s="99"/>
      <c r="P504" s="355" t="str">
        <f t="shared" si="79"/>
        <v/>
      </c>
      <c r="R504" s="686" t="b">
        <v>0</v>
      </c>
      <c r="S504" s="736">
        <f t="shared" si="72"/>
        <v>0</v>
      </c>
      <c r="T504" s="747">
        <f t="shared" si="73"/>
        <v>0</v>
      </c>
      <c r="U504" s="747">
        <f t="shared" si="74"/>
        <v>0</v>
      </c>
      <c r="V504" s="747">
        <f t="shared" si="75"/>
        <v>0</v>
      </c>
      <c r="W504" s="747">
        <f t="shared" si="76"/>
        <v>0</v>
      </c>
      <c r="X504" s="747">
        <f t="shared" si="77"/>
        <v>0</v>
      </c>
      <c r="Y504" s="18"/>
      <c r="Z504" s="18"/>
      <c r="AA504" s="18"/>
      <c r="AB504" s="18"/>
      <c r="AC504" s="18"/>
      <c r="AD504" s="18"/>
      <c r="AE504" s="18"/>
      <c r="AF504" s="18"/>
      <c r="AG504" s="18"/>
      <c r="AH504" s="172"/>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row>
    <row r="505" spans="1:109" ht="27" customHeight="1" x14ac:dyDescent="0.2">
      <c r="A505" s="3"/>
      <c r="B505" s="562"/>
      <c r="C505" s="563"/>
      <c r="D505" s="564"/>
      <c r="E505" s="565"/>
      <c r="F505" s="1379" t="str">
        <f>IF(OR($Z$497=1,$S$495=1),"","Flexor pollicis brevis 
(deep part)")</f>
        <v/>
      </c>
      <c r="G505" s="1379"/>
      <c r="H505" s="1379"/>
      <c r="I505" s="1379"/>
      <c r="J505" s="1379"/>
      <c r="K505" s="1379"/>
      <c r="L505" s="95">
        <f t="shared" si="78"/>
        <v>0</v>
      </c>
      <c r="M505" s="1658"/>
      <c r="N505" s="1658"/>
      <c r="O505" s="99"/>
      <c r="P505" s="355" t="str">
        <f t="shared" si="79"/>
        <v/>
      </c>
      <c r="R505" s="686" t="b">
        <v>0</v>
      </c>
      <c r="S505" s="736">
        <f t="shared" si="72"/>
        <v>0</v>
      </c>
      <c r="T505" s="747">
        <f t="shared" si="73"/>
        <v>0</v>
      </c>
      <c r="U505" s="747">
        <f t="shared" si="74"/>
        <v>0</v>
      </c>
      <c r="V505" s="747">
        <f t="shared" si="75"/>
        <v>0</v>
      </c>
      <c r="W505" s="747">
        <f t="shared" si="76"/>
        <v>0</v>
      </c>
      <c r="X505" s="747">
        <f t="shared" si="77"/>
        <v>0</v>
      </c>
      <c r="Y505" s="18"/>
      <c r="Z505" s="18"/>
      <c r="AA505" s="18"/>
      <c r="AB505" s="18"/>
      <c r="AC505" s="18"/>
      <c r="AD505" s="18"/>
      <c r="AE505" s="18"/>
      <c r="AF505" s="18"/>
      <c r="AG505" s="18"/>
      <c r="AH505" s="172"/>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row>
    <row r="506" spans="1:109" ht="15" customHeight="1" x14ac:dyDescent="0.2">
      <c r="A506" s="3"/>
      <c r="B506" s="1570" t="s">
        <v>955</v>
      </c>
      <c r="C506" s="1570"/>
      <c r="D506" s="1570"/>
      <c r="E506" s="1570"/>
      <c r="F506" s="1570"/>
      <c r="G506" s="1570"/>
      <c r="H506" s="1570"/>
      <c r="I506" s="1570"/>
      <c r="J506" s="1570"/>
      <c r="K506" s="1570"/>
      <c r="L506" s="1570"/>
      <c r="M506" s="1570"/>
      <c r="N506" s="1570"/>
      <c r="O506" s="1570"/>
      <c r="P506" s="240">
        <f>IF(SUM(P495:P505)=0,0,AVERAGE(P495:P505))</f>
        <v>0</v>
      </c>
      <c r="R506" s="18"/>
      <c r="S506" s="116"/>
      <c r="T506" s="116"/>
      <c r="U506" s="111"/>
      <c r="V506" s="111"/>
      <c r="W506" s="111"/>
      <c r="X506" s="111"/>
      <c r="Y506" s="18"/>
      <c r="Z506" s="18"/>
      <c r="AA506" s="18"/>
      <c r="AB506" s="18"/>
      <c r="AC506" s="18"/>
      <c r="AD506" s="18"/>
      <c r="AE506" s="18"/>
      <c r="AF506" s="18"/>
      <c r="AG506" s="18"/>
      <c r="AH506" s="172"/>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row>
    <row r="507" spans="1:109" ht="12" customHeight="1" x14ac:dyDescent="0.2">
      <c r="A507" s="3"/>
      <c r="C507" s="35"/>
      <c r="D507" s="35"/>
      <c r="F507" s="35"/>
      <c r="H507" s="35"/>
      <c r="J507" s="35"/>
      <c r="L507" s="35"/>
      <c r="N507" s="35"/>
      <c r="R507" s="18"/>
      <c r="S507" s="116"/>
      <c r="T507" s="116"/>
      <c r="U507" s="111"/>
      <c r="V507" s="111"/>
      <c r="W507" s="111"/>
      <c r="X507" s="111"/>
      <c r="Y507" s="18"/>
      <c r="Z507" s="18"/>
      <c r="AA507" s="18"/>
      <c r="AB507" s="18"/>
      <c r="AC507" s="18"/>
      <c r="AD507" s="18"/>
      <c r="AE507" s="18"/>
      <c r="AF507" s="18"/>
      <c r="AG507" s="18"/>
      <c r="AH507" s="172"/>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row>
    <row r="508" spans="1:109" ht="18" customHeight="1" x14ac:dyDescent="0.2">
      <c r="B508" s="1570" t="s">
        <v>956</v>
      </c>
      <c r="C508" s="1570"/>
      <c r="D508" s="1570"/>
      <c r="E508" s="1570"/>
      <c r="F508" s="1570"/>
      <c r="G508" s="1570"/>
      <c r="H508" s="1570"/>
      <c r="I508" s="1570"/>
      <c r="J508" s="1570"/>
      <c r="K508" s="1570"/>
      <c r="L508" s="1570"/>
      <c r="M508" s="1570"/>
      <c r="N508" s="1570"/>
      <c r="O508" s="1570"/>
      <c r="P508" s="344">
        <f>AD447</f>
        <v>0</v>
      </c>
      <c r="Q508" s="93"/>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row>
    <row r="509" spans="1:109" ht="12" customHeight="1" x14ac:dyDescent="0.2">
      <c r="C509" s="35"/>
      <c r="D509" s="35"/>
      <c r="F509" s="35"/>
      <c r="H509" s="35"/>
      <c r="J509" s="35"/>
      <c r="L509" s="35"/>
      <c r="N509" s="35"/>
      <c r="Q509" s="93"/>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row>
    <row r="510" spans="1:109" ht="18" customHeight="1" x14ac:dyDescent="0.2">
      <c r="B510" s="1570" t="s">
        <v>1280</v>
      </c>
      <c r="C510" s="1570"/>
      <c r="D510" s="1570"/>
      <c r="E510" s="1570"/>
      <c r="F510" s="1570"/>
      <c r="G510" s="1570"/>
      <c r="H510" s="1570"/>
      <c r="I510" s="1570"/>
      <c r="J510" s="1570"/>
      <c r="K510" s="1570"/>
      <c r="L510" s="1570"/>
      <c r="M510" s="1570"/>
      <c r="N510" s="1570"/>
      <c r="O510" s="1570"/>
      <c r="P510" s="344">
        <f>AI453</f>
        <v>0</v>
      </c>
      <c r="Q510" s="93"/>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row>
    <row r="511" spans="1:109" ht="12" customHeight="1" x14ac:dyDescent="0.2">
      <c r="B511" s="1395"/>
      <c r="C511" s="1395"/>
      <c r="D511" s="1395"/>
      <c r="E511" s="1395"/>
      <c r="F511" s="1395"/>
      <c r="G511" s="1395"/>
      <c r="H511" s="1395"/>
      <c r="I511" s="1395"/>
      <c r="J511" s="1395"/>
      <c r="K511" s="1395"/>
      <c r="L511" s="1395"/>
      <c r="M511" s="1395"/>
      <c r="N511" s="1395"/>
      <c r="O511" s="1395"/>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row>
    <row r="512" spans="1:109" ht="18" customHeight="1" x14ac:dyDescent="0.2">
      <c r="B512" s="1687" t="s">
        <v>1281</v>
      </c>
      <c r="C512" s="1534"/>
      <c r="D512" s="1534"/>
      <c r="E512" s="1534"/>
      <c r="F512" s="1534"/>
      <c r="G512" s="1534"/>
      <c r="H512" s="1534"/>
      <c r="I512" s="1534"/>
      <c r="J512" s="1534"/>
      <c r="K512" s="1534"/>
      <c r="L512" s="1534"/>
      <c r="M512" s="1534"/>
      <c r="N512" s="1534"/>
      <c r="O512" s="1534"/>
      <c r="P512" s="1450"/>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row>
    <row r="513" spans="1:109" ht="40.5" customHeight="1" x14ac:dyDescent="0.2">
      <c r="B513" s="1379" t="s">
        <v>773</v>
      </c>
      <c r="C513" s="1379"/>
      <c r="D513" s="1379"/>
      <c r="E513" s="1379"/>
      <c r="F513" s="1379"/>
      <c r="G513" s="1379"/>
      <c r="H513" s="1379"/>
      <c r="I513" s="1379"/>
      <c r="J513" s="1379"/>
      <c r="K513" s="1379"/>
      <c r="L513" s="1379"/>
      <c r="M513" s="1379"/>
      <c r="N513" s="1379"/>
      <c r="O513" s="1379"/>
      <c r="P513" s="1452"/>
      <c r="R513" s="722" t="s">
        <v>2198</v>
      </c>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row>
    <row r="514" spans="1:109" ht="19.5" customHeight="1" x14ac:dyDescent="0.2">
      <c r="A514" s="189"/>
      <c r="B514" s="1410" t="s">
        <v>948</v>
      </c>
      <c r="C514" s="1410"/>
      <c r="D514" s="1410"/>
      <c r="E514" s="1410"/>
      <c r="F514" s="1410"/>
      <c r="G514" s="1410"/>
      <c r="H514" s="1410"/>
      <c r="I514" s="1410"/>
      <c r="J514" s="1410"/>
      <c r="K514" s="1410"/>
      <c r="L514" s="1639"/>
      <c r="M514" s="1639"/>
      <c r="N514" s="1639"/>
      <c r="O514" s="1639"/>
      <c r="P514" s="26">
        <f>IF(R514=1,0.05,0)</f>
        <v>0</v>
      </c>
      <c r="R514" s="686">
        <v>2</v>
      </c>
      <c r="S514" s="18"/>
      <c r="T514" s="18"/>
      <c r="U514" s="18"/>
      <c r="V514" s="18"/>
      <c r="W514" s="18">
        <v>1E-4</v>
      </c>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row>
    <row r="515" spans="1:109" ht="12" customHeight="1" x14ac:dyDescent="0.2">
      <c r="B515" s="1395"/>
      <c r="C515" s="1395"/>
      <c r="D515" s="1395"/>
      <c r="E515" s="1395"/>
      <c r="F515" s="1395"/>
      <c r="G515" s="1395"/>
      <c r="H515" s="1395"/>
      <c r="I515" s="1395"/>
      <c r="J515" s="1395"/>
      <c r="K515" s="1395"/>
      <c r="L515" s="1395"/>
      <c r="M515" s="1395"/>
      <c r="N515" s="1395"/>
      <c r="O515" s="1395"/>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row>
    <row r="516" spans="1:109" ht="18" customHeight="1" x14ac:dyDescent="0.2">
      <c r="B516" s="1555" t="s">
        <v>888</v>
      </c>
      <c r="C516" s="1555"/>
      <c r="D516" s="1555"/>
      <c r="E516" s="1555"/>
      <c r="F516" s="1555"/>
      <c r="G516" s="1555"/>
      <c r="H516" s="1555"/>
      <c r="I516" s="1555"/>
      <c r="J516" s="1555"/>
      <c r="K516" s="1555"/>
      <c r="L516" s="1555"/>
      <c r="M516" s="1555"/>
      <c r="N516" s="1555"/>
      <c r="O516" s="1555"/>
      <c r="P516" s="1555"/>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row>
    <row r="517" spans="1:109" ht="51" customHeight="1" x14ac:dyDescent="0.2">
      <c r="B517" s="1379" t="s">
        <v>766</v>
      </c>
      <c r="C517" s="1379"/>
      <c r="D517" s="1379"/>
      <c r="E517" s="1379"/>
      <c r="F517" s="1379"/>
      <c r="G517" s="1379"/>
      <c r="H517" s="1379"/>
      <c r="I517" s="1379"/>
      <c r="J517" s="1379"/>
      <c r="K517" s="1379"/>
      <c r="L517" s="1379"/>
      <c r="M517" s="1379"/>
      <c r="N517" s="1379"/>
      <c r="O517" s="1379"/>
      <c r="P517" s="1555"/>
      <c r="R517" s="753" t="s">
        <v>87</v>
      </c>
      <c r="S517" s="753" t="s">
        <v>498</v>
      </c>
      <c r="T517" s="756" t="s">
        <v>2200</v>
      </c>
      <c r="U517" s="756" t="s">
        <v>2201</v>
      </c>
      <c r="V517" s="761" t="s">
        <v>2202</v>
      </c>
      <c r="W517" s="761" t="s">
        <v>2203</v>
      </c>
      <c r="X517" s="757"/>
      <c r="Y517" s="757" t="s">
        <v>736</v>
      </c>
      <c r="Z517" s="757" t="s">
        <v>1305</v>
      </c>
      <c r="AA517" s="757" t="s">
        <v>1306</v>
      </c>
      <c r="AB517" s="757" t="s">
        <v>1307</v>
      </c>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row>
    <row r="518" spans="1:109" ht="15" customHeight="1" x14ac:dyDescent="0.2">
      <c r="B518" s="256" t="s">
        <v>1574</v>
      </c>
      <c r="C518" s="1373">
        <f>P60</f>
        <v>0</v>
      </c>
      <c r="D518" s="1346"/>
      <c r="E518" s="1346"/>
      <c r="F518" s="1555" t="s">
        <v>1164</v>
      </c>
      <c r="G518" s="1555"/>
      <c r="H518" s="1555"/>
      <c r="I518" s="1555"/>
      <c r="J518" s="1555"/>
      <c r="K518" s="1555"/>
      <c r="L518" s="1545">
        <f>UETable!AV90</f>
        <v>0</v>
      </c>
      <c r="M518" s="1545"/>
      <c r="N518" s="1555" t="s">
        <v>1656</v>
      </c>
      <c r="O518" s="1555"/>
      <c r="P518" s="1373">
        <f>IF(OR(B524=Y518,B524=Y519,B524=Y520),0,SUM(L518:M522))</f>
        <v>0</v>
      </c>
      <c r="R518" s="757">
        <f>X61</f>
        <v>0</v>
      </c>
      <c r="S518" s="767">
        <f>IF(SUM(E528:E552)&gt;0,1,IF(SUM(E595:E607)&gt;0,1,0))</f>
        <v>0</v>
      </c>
      <c r="T518" s="757">
        <f>C518*48</f>
        <v>0</v>
      </c>
      <c r="U518" s="757">
        <f>L518*150</f>
        <v>0</v>
      </c>
      <c r="V518" s="452">
        <f>IF(AND(C518&gt;0,C518*0.15&lt;0.01),0.01,C518*0.15)</f>
        <v>0</v>
      </c>
      <c r="W518" s="758">
        <f>ROUND(SUM($L$518:$M$522)*0.47,2)</f>
        <v>0</v>
      </c>
      <c r="X518" s="757"/>
      <c r="Y518" s="757" t="s">
        <v>737</v>
      </c>
      <c r="Z518" s="760">
        <f>LARGE($V$518:$V$522,1)</f>
        <v>0</v>
      </c>
      <c r="AA518" s="684">
        <f>Z518+Z519*(1-Z518)</f>
        <v>0</v>
      </c>
      <c r="AB518" s="688">
        <f t="shared" ref="AB518:AB521" si="80">ROUND(AA518,2)</f>
        <v>0</v>
      </c>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row>
    <row r="519" spans="1:109" ht="15" customHeight="1" x14ac:dyDescent="0.2">
      <c r="B519" s="256" t="s">
        <v>146</v>
      </c>
      <c r="C519" s="1373">
        <f>P137</f>
        <v>0</v>
      </c>
      <c r="D519" s="1346"/>
      <c r="E519" s="1346"/>
      <c r="F519" s="1555" t="s">
        <v>1164</v>
      </c>
      <c r="G519" s="1555"/>
      <c r="H519" s="1555"/>
      <c r="I519" s="1555"/>
      <c r="J519" s="1555"/>
      <c r="K519" s="1555"/>
      <c r="L519" s="1545">
        <f>UETable!AV91</f>
        <v>0</v>
      </c>
      <c r="M519" s="1545"/>
      <c r="N519" s="1555" t="s">
        <v>1656</v>
      </c>
      <c r="O519" s="1555"/>
      <c r="P519" s="1346"/>
      <c r="R519" s="757">
        <f>X138</f>
        <v>0</v>
      </c>
      <c r="S519" s="757"/>
      <c r="T519" s="757">
        <f>C519*24</f>
        <v>0</v>
      </c>
      <c r="U519" s="757">
        <f>L519*150</f>
        <v>0</v>
      </c>
      <c r="V519" s="452">
        <f>IF(AND(C519&gt;0,C519*0.08&lt;0.01),0.01,C519*0.08)</f>
        <v>0</v>
      </c>
      <c r="W519" s="758"/>
      <c r="X519" s="757"/>
      <c r="Y519" s="757" t="s">
        <v>1772</v>
      </c>
      <c r="Z519" s="760">
        <f>LARGE($V$518:$V$522,2)</f>
        <v>0</v>
      </c>
      <c r="AA519" s="684">
        <f>AB518+Z520*(1-AB518)</f>
        <v>0</v>
      </c>
      <c r="AB519" s="688">
        <f t="shared" si="80"/>
        <v>0</v>
      </c>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row>
    <row r="520" spans="1:109" ht="15" customHeight="1" x14ac:dyDescent="0.2">
      <c r="B520" s="256" t="s">
        <v>1567</v>
      </c>
      <c r="C520" s="1373">
        <f>P214</f>
        <v>0</v>
      </c>
      <c r="D520" s="1346"/>
      <c r="E520" s="1346"/>
      <c r="F520" s="1555" t="s">
        <v>1164</v>
      </c>
      <c r="G520" s="1555"/>
      <c r="H520" s="1555"/>
      <c r="I520" s="1555"/>
      <c r="J520" s="1555"/>
      <c r="K520" s="1555"/>
      <c r="L520" s="1545">
        <f>UETable!AV92</f>
        <v>0</v>
      </c>
      <c r="M520" s="1545"/>
      <c r="N520" s="1555" t="s">
        <v>1656</v>
      </c>
      <c r="O520" s="1555"/>
      <c r="P520" s="1346"/>
      <c r="R520" s="757">
        <f>X215</f>
        <v>0</v>
      </c>
      <c r="S520" s="757"/>
      <c r="T520" s="757">
        <f>C520*22</f>
        <v>0</v>
      </c>
      <c r="U520" s="757">
        <f>L520*150</f>
        <v>0</v>
      </c>
      <c r="V520" s="452">
        <f>IF(AND(C520&gt;0,C520*0.07&lt;0.01),0.01,C520*0.07)</f>
        <v>0</v>
      </c>
      <c r="W520" s="758"/>
      <c r="X520" s="757"/>
      <c r="Y520" s="757" t="s">
        <v>2207</v>
      </c>
      <c r="Z520" s="760">
        <f>LARGE($V$518:$V$522,3)</f>
        <v>0</v>
      </c>
      <c r="AA520" s="684">
        <f t="shared" ref="AA520:AA521" si="81">AB519+Z521*(1-AB519)</f>
        <v>0</v>
      </c>
      <c r="AB520" s="688">
        <f t="shared" si="80"/>
        <v>0</v>
      </c>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row>
    <row r="521" spans="1:109" ht="15" customHeight="1" x14ac:dyDescent="0.2">
      <c r="B521" s="256" t="s">
        <v>1569</v>
      </c>
      <c r="C521" s="1373">
        <f>P289</f>
        <v>0</v>
      </c>
      <c r="D521" s="1346"/>
      <c r="E521" s="1346"/>
      <c r="F521" s="1555" t="s">
        <v>1164</v>
      </c>
      <c r="G521" s="1555"/>
      <c r="H521" s="1555"/>
      <c r="I521" s="1555"/>
      <c r="J521" s="1555"/>
      <c r="K521" s="1555"/>
      <c r="L521" s="1545">
        <f>UETable!AV93</f>
        <v>0</v>
      </c>
      <c r="M521" s="1545"/>
      <c r="N521" s="1555" t="s">
        <v>1656</v>
      </c>
      <c r="O521" s="1555"/>
      <c r="P521" s="1346"/>
      <c r="R521" s="757">
        <f>X290</f>
        <v>0</v>
      </c>
      <c r="S521" s="757"/>
      <c r="T521" s="757">
        <f>C521*10</f>
        <v>0</v>
      </c>
      <c r="U521" s="757">
        <f>L521*150</f>
        <v>0</v>
      </c>
      <c r="V521" s="452">
        <f>IF(AND(C521&gt;0,C521*0.03&lt;0.01),0.01,C521*0.03)</f>
        <v>0</v>
      </c>
      <c r="W521" s="758"/>
      <c r="X521" s="757"/>
      <c r="Y521" s="757" t="s">
        <v>1744</v>
      </c>
      <c r="Z521" s="760">
        <f>LARGE($V$518:$V$522,4)</f>
        <v>0</v>
      </c>
      <c r="AA521" s="684">
        <f t="shared" si="81"/>
        <v>0</v>
      </c>
      <c r="AB521" s="688">
        <f t="shared" si="80"/>
        <v>0</v>
      </c>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row>
    <row r="522" spans="1:109" ht="15" customHeight="1" x14ac:dyDescent="0.2">
      <c r="B522" s="256" t="s">
        <v>1571</v>
      </c>
      <c r="C522" s="1373">
        <f>P364</f>
        <v>0</v>
      </c>
      <c r="D522" s="1346"/>
      <c r="E522" s="1346"/>
      <c r="F522" s="1555" t="s">
        <v>1164</v>
      </c>
      <c r="G522" s="1555"/>
      <c r="H522" s="1555"/>
      <c r="I522" s="1555"/>
      <c r="J522" s="1555"/>
      <c r="K522" s="1555"/>
      <c r="L522" s="1545">
        <f>UETable!AV94</f>
        <v>0</v>
      </c>
      <c r="M522" s="1545"/>
      <c r="N522" s="1555" t="s">
        <v>1656</v>
      </c>
      <c r="O522" s="1555"/>
      <c r="P522" s="1346"/>
      <c r="R522" s="757">
        <f>X365</f>
        <v>0</v>
      </c>
      <c r="S522" s="757"/>
      <c r="T522" s="757">
        <f>C522*6</f>
        <v>0</v>
      </c>
      <c r="U522" s="757">
        <f>L522*150</f>
        <v>0</v>
      </c>
      <c r="V522" s="452">
        <f>IF(AND(C522&gt;0,C522*0.02&lt;0.01),0.01,C522*0.02)</f>
        <v>0</v>
      </c>
      <c r="W522" s="758"/>
      <c r="X522" s="757"/>
      <c r="Y522" s="757" t="s">
        <v>2206</v>
      </c>
      <c r="Z522" s="760">
        <f>LARGE($V$518:$V$522,5)</f>
        <v>0</v>
      </c>
      <c r="AA522" s="757"/>
      <c r="AB522" s="757"/>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row>
    <row r="523" spans="1:109" ht="18" customHeight="1" x14ac:dyDescent="0.2">
      <c r="B523" s="1681" t="s">
        <v>1736</v>
      </c>
      <c r="C523" s="1681"/>
      <c r="D523" s="1681"/>
      <c r="E523" s="1681"/>
      <c r="F523" s="1681"/>
      <c r="G523" s="1681"/>
      <c r="H523" s="1681"/>
      <c r="I523" s="1681"/>
      <c r="J523" s="1681"/>
      <c r="K523" s="1681"/>
      <c r="L523" s="1681"/>
      <c r="M523" s="1681"/>
      <c r="N523" s="1681"/>
      <c r="O523" s="1681"/>
      <c r="P523" s="1346"/>
      <c r="R523" s="757">
        <f>COUNTIF(R518:R522,2)</f>
        <v>0</v>
      </c>
      <c r="S523" s="788" t="s">
        <v>1745</v>
      </c>
      <c r="T523" s="757">
        <f>SUM(T518:T522)</f>
        <v>0</v>
      </c>
      <c r="U523" s="757">
        <f>SUM(U518:U522)</f>
        <v>0</v>
      </c>
      <c r="V523" s="452">
        <f>AB521</f>
        <v>0</v>
      </c>
      <c r="W523" s="452" t="s">
        <v>2204</v>
      </c>
      <c r="X523" s="757"/>
      <c r="Y523" s="757"/>
      <c r="Z523" s="757"/>
      <c r="AA523" s="757"/>
      <c r="AB523" s="757"/>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row>
    <row r="524" spans="1:109" ht="30" customHeight="1" x14ac:dyDescent="0.2">
      <c r="B524" s="1698" t="str">
        <f>IF(T524=0,"",IF(S518=1,Y522,IF(AND(R523=1,R524=0),Y518,IF(AND(R523=1,R524&gt;0),Y519,IF(OR(U524=2,U524=4),Y520,IF(OR(U524=1,U524=3),Y521,""))))))</f>
        <v/>
      </c>
      <c r="C524" s="1698"/>
      <c r="D524" s="1698"/>
      <c r="E524" s="1698"/>
      <c r="F524" s="1698"/>
      <c r="G524" s="1698"/>
      <c r="H524" s="1698"/>
      <c r="I524" s="1698"/>
      <c r="J524" s="1698"/>
      <c r="K524" s="1698"/>
      <c r="L524" s="1698"/>
      <c r="M524" s="1698"/>
      <c r="N524" s="1698"/>
      <c r="O524" s="1698"/>
      <c r="P524" s="1698"/>
      <c r="R524" s="757">
        <f>COUNTIF(R518:R522,1)</f>
        <v>0</v>
      </c>
      <c r="S524" s="789" t="s">
        <v>1746</v>
      </c>
      <c r="T524" s="757">
        <f>IF(SUM(C518:E522)=0,0,1)</f>
        <v>0</v>
      </c>
      <c r="U524" s="755">
        <f>IF(T524=0,0,IF(AND(R2&lt;R1,U523&gt;T523),1,IF(AND(R2&lt;R1,U523&lt;=T523),2,IF(AND(R2&gt;=R1,W518&gt;V523),3,IF(AND(R2&gt;=R1,W518&lt;=V523),4,0)))))</f>
        <v>0</v>
      </c>
      <c r="V524" s="1379" t="s">
        <v>2205</v>
      </c>
      <c r="W524" s="1379"/>
      <c r="X524" s="1379"/>
      <c r="Y524" s="1379"/>
      <c r="Z524" s="1379"/>
      <c r="AA524" s="1379"/>
      <c r="AB524" s="1379"/>
      <c r="AC524" s="1379"/>
      <c r="AD524" s="1379"/>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row>
    <row r="525" spans="1:109" ht="6" customHeight="1" x14ac:dyDescent="0.2">
      <c r="B525" s="1638"/>
      <c r="C525" s="1638"/>
      <c r="D525" s="1638"/>
      <c r="E525" s="1638"/>
      <c r="F525" s="1638"/>
      <c r="G525" s="1638"/>
      <c r="H525" s="1638"/>
      <c r="I525" s="1638"/>
      <c r="J525" s="1638"/>
      <c r="K525" s="1638"/>
      <c r="L525" s="1638"/>
      <c r="M525" s="1638"/>
      <c r="N525" s="1638"/>
      <c r="O525" s="163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row>
    <row r="526" spans="1:109" ht="6" customHeight="1" x14ac:dyDescent="0.2">
      <c r="B526" s="1638"/>
      <c r="C526" s="1638"/>
      <c r="D526" s="1638"/>
      <c r="E526" s="1638"/>
      <c r="F526" s="1638"/>
      <c r="G526" s="1638"/>
      <c r="H526" s="1638"/>
      <c r="I526" s="1638"/>
      <c r="J526" s="1638"/>
      <c r="K526" s="1638"/>
      <c r="L526" s="1638"/>
      <c r="M526" s="1638"/>
      <c r="N526" s="1638"/>
      <c r="O526" s="163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row>
    <row r="527" spans="1:109" ht="27" customHeight="1" x14ac:dyDescent="0.2">
      <c r="B527" s="1676" t="s">
        <v>1747</v>
      </c>
      <c r="C527" s="1677"/>
      <c r="D527" s="1677"/>
      <c r="E527" s="1677"/>
      <c r="F527" s="1678"/>
      <c r="G527" s="1626" t="s">
        <v>1525</v>
      </c>
      <c r="H527" s="1627"/>
      <c r="I527" s="1627"/>
      <c r="J527" s="1628"/>
      <c r="K527" s="1616"/>
      <c r="L527" s="1617"/>
      <c r="M527" s="1617"/>
      <c r="N527" s="1617"/>
      <c r="O527" s="1618"/>
      <c r="P527" s="1481">
        <f>BV533</f>
        <v>0</v>
      </c>
      <c r="R527" s="762"/>
      <c r="S527" s="762"/>
      <c r="T527" s="762"/>
      <c r="U527" s="762"/>
      <c r="V527" s="762"/>
      <c r="W527" s="762"/>
      <c r="X527" s="762"/>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row>
    <row r="528" spans="1:109" ht="26.25" customHeight="1" x14ac:dyDescent="0.2">
      <c r="B528" s="1379" t="s">
        <v>1748</v>
      </c>
      <c r="C528" s="1410"/>
      <c r="D528" s="1410"/>
      <c r="E528" s="1373">
        <f t="shared" ref="E528:E533" si="82">P385</f>
        <v>0</v>
      </c>
      <c r="F528" s="1373"/>
      <c r="G528" s="1534" t="s">
        <v>1942</v>
      </c>
      <c r="H528" s="1534"/>
      <c r="I528" s="1555"/>
      <c r="J528" s="1555"/>
      <c r="K528" s="1619"/>
      <c r="L528" s="1620"/>
      <c r="M528" s="1620"/>
      <c r="N528" s="1620"/>
      <c r="O528" s="1621"/>
      <c r="P528" s="1631"/>
      <c r="R528" s="762"/>
      <c r="S528" s="762"/>
      <c r="T528" s="762"/>
      <c r="U528" s="762"/>
      <c r="V528" s="762"/>
      <c r="W528" s="762"/>
      <c r="X528" s="762"/>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row>
    <row r="529" spans="2:109" ht="15.75" customHeight="1" x14ac:dyDescent="0.2">
      <c r="B529" s="1410" t="s">
        <v>1749</v>
      </c>
      <c r="C529" s="1410"/>
      <c r="D529" s="1410"/>
      <c r="E529" s="1373">
        <f t="shared" si="82"/>
        <v>0</v>
      </c>
      <c r="F529" s="1373"/>
      <c r="G529" s="1534" t="s">
        <v>1942</v>
      </c>
      <c r="H529" s="1534"/>
      <c r="I529" s="1555"/>
      <c r="J529" s="1555"/>
      <c r="K529" s="1619"/>
      <c r="L529" s="1620"/>
      <c r="M529" s="1620"/>
      <c r="N529" s="1620"/>
      <c r="O529" s="1621"/>
      <c r="P529" s="1631"/>
      <c r="R529" s="762"/>
      <c r="S529" s="762"/>
      <c r="T529" s="762"/>
      <c r="U529" s="762"/>
      <c r="V529" s="762"/>
      <c r="W529" s="762"/>
      <c r="X529" s="762"/>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row>
    <row r="530" spans="2:109" ht="15.75" customHeight="1" x14ac:dyDescent="0.2">
      <c r="B530" s="1410" t="s">
        <v>1167</v>
      </c>
      <c r="C530" s="1410"/>
      <c r="D530" s="1410"/>
      <c r="E530" s="1373">
        <f t="shared" si="82"/>
        <v>0</v>
      </c>
      <c r="F530" s="1373"/>
      <c r="G530" s="1534" t="s">
        <v>1942</v>
      </c>
      <c r="H530" s="1534"/>
      <c r="I530" s="1555"/>
      <c r="J530" s="1555"/>
      <c r="K530" s="1619"/>
      <c r="L530" s="1620"/>
      <c r="M530" s="1620"/>
      <c r="N530" s="1620"/>
      <c r="O530" s="1621"/>
      <c r="P530" s="1631"/>
      <c r="R530" s="762"/>
      <c r="S530" s="762"/>
      <c r="T530" s="762"/>
      <c r="U530" s="762"/>
      <c r="V530" s="762"/>
      <c r="W530" s="762"/>
      <c r="X530" s="762"/>
      <c r="Z530" s="18"/>
      <c r="AA530" s="18"/>
      <c r="AB530" s="18"/>
      <c r="AC530" s="18"/>
      <c r="AD530" s="18"/>
      <c r="AE530" s="18"/>
      <c r="AF530" s="18"/>
      <c r="AG530" s="18"/>
      <c r="AH530" s="18"/>
      <c r="AI530" s="18"/>
      <c r="AJ530" s="18"/>
      <c r="AK530" s="794" t="s">
        <v>1729</v>
      </c>
      <c r="AL530" s="740">
        <f>E528</f>
        <v>0</v>
      </c>
      <c r="AM530" s="740">
        <f>E529</f>
        <v>0</v>
      </c>
      <c r="AN530" s="740">
        <f>E530</f>
        <v>0</v>
      </c>
      <c r="AO530" s="740">
        <f>E531</f>
        <v>0</v>
      </c>
      <c r="AP530" s="740">
        <f>E532</f>
        <v>0</v>
      </c>
      <c r="AQ530" s="740">
        <f>E533</f>
        <v>0</v>
      </c>
      <c r="AR530" s="740">
        <f>IF(I534&gt;0,I534,E534)</f>
        <v>0</v>
      </c>
      <c r="AS530" s="740">
        <f>IF(I535&gt;0,I535,E535)</f>
        <v>0</v>
      </c>
      <c r="AT530" s="740">
        <f>IF(I536&gt;0,I536,E536)</f>
        <v>0</v>
      </c>
      <c r="AU530" s="740">
        <f>IF(I537&gt;0,I537,E537)</f>
        <v>0</v>
      </c>
      <c r="AV530" s="740">
        <f>IF(I538&gt;0,I538,E538)</f>
        <v>0</v>
      </c>
      <c r="AW530" s="740">
        <f>IF(I539&gt;0,I539,E539)</f>
        <v>0</v>
      </c>
      <c r="AX530" s="795">
        <f>E540</f>
        <v>0</v>
      </c>
      <c r="AY530" s="795">
        <f>E541</f>
        <v>0</v>
      </c>
      <c r="AZ530" s="795">
        <f>E542</f>
        <v>0</v>
      </c>
      <c r="BA530" s="795">
        <f>C543</f>
        <v>0</v>
      </c>
      <c r="BB530" s="795">
        <f>D543</f>
        <v>0</v>
      </c>
      <c r="BC530" s="795">
        <f>E543</f>
        <v>0</v>
      </c>
      <c r="BD530" s="795">
        <f>F543</f>
        <v>0</v>
      </c>
      <c r="BE530" s="795">
        <f>C544</f>
        <v>0</v>
      </c>
      <c r="BF530" s="795">
        <f>D544</f>
        <v>0</v>
      </c>
      <c r="BG530" s="795">
        <f>E544</f>
        <v>0</v>
      </c>
      <c r="BH530" s="795">
        <f>F544</f>
        <v>0</v>
      </c>
      <c r="BI530" s="795">
        <f>C545</f>
        <v>0</v>
      </c>
      <c r="BJ530" s="795">
        <f>D545</f>
        <v>0</v>
      </c>
      <c r="BK530" s="795">
        <f>E545</f>
        <v>0</v>
      </c>
      <c r="BL530" s="795">
        <f>F545</f>
        <v>0</v>
      </c>
      <c r="BM530" s="795">
        <f>C546</f>
        <v>0</v>
      </c>
      <c r="BN530" s="795">
        <f>D546</f>
        <v>0</v>
      </c>
      <c r="BO530" s="795">
        <f>E546</f>
        <v>0</v>
      </c>
      <c r="BP530" s="795">
        <f>F546</f>
        <v>0</v>
      </c>
      <c r="BQ530" s="795">
        <f>E547</f>
        <v>0</v>
      </c>
      <c r="BR530" s="795">
        <f>E548</f>
        <v>0</v>
      </c>
      <c r="BS530" s="795">
        <f>IF(I549&gt;0,I549,E549)</f>
        <v>0</v>
      </c>
      <c r="BT530" s="795">
        <f>IF(I550&gt;0,I550,E550)</f>
        <v>0</v>
      </c>
      <c r="BU530" s="795">
        <f>IF(I551&gt;0,I551,E551)</f>
        <v>0</v>
      </c>
      <c r="BV530" s="795">
        <f>IF(I552&gt;0,I552,E552)</f>
        <v>0</v>
      </c>
      <c r="BW530" s="795">
        <f>IF(I553&gt;0,I553,E553)</f>
        <v>0</v>
      </c>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row>
    <row r="531" spans="2:109" ht="15.75" customHeight="1" x14ac:dyDescent="0.2">
      <c r="B531" s="1410" t="s">
        <v>1168</v>
      </c>
      <c r="C531" s="1410"/>
      <c r="D531" s="1410"/>
      <c r="E531" s="1373">
        <f t="shared" si="82"/>
        <v>0</v>
      </c>
      <c r="F531" s="1373"/>
      <c r="G531" s="1534" t="s">
        <v>1942</v>
      </c>
      <c r="H531" s="1534"/>
      <c r="I531" s="1555"/>
      <c r="J531" s="1555"/>
      <c r="K531" s="1588" t="str">
        <f>IF(AND(G534&gt;0,AA534=1),"Ankylosis cannot be apportioned.",IF(AND(G535&gt;0,AA535=1),"Ankylosis cannot be apportioned.",""))</f>
        <v/>
      </c>
      <c r="L531" s="1589"/>
      <c r="M531" s="1589"/>
      <c r="N531" s="1589"/>
      <c r="O531" s="1590"/>
      <c r="P531" s="1631"/>
      <c r="S531" s="19"/>
      <c r="T531" s="114"/>
      <c r="U531" s="157"/>
      <c r="Y531" s="1073"/>
      <c r="Z531" s="1068"/>
      <c r="AA531" s="1068"/>
      <c r="AB531" s="1068"/>
      <c r="AC531" s="1068"/>
      <c r="AD531" s="1068"/>
      <c r="AE531" s="1068"/>
      <c r="AF531" s="1068"/>
      <c r="AG531" s="1068"/>
      <c r="AH531" s="1068"/>
      <c r="AI531" s="18"/>
      <c r="AJ531" s="18"/>
      <c r="AK531" s="794" t="s">
        <v>1730</v>
      </c>
      <c r="AL531" s="797">
        <f>LARGE($AL$530:$BW$530,1)</f>
        <v>0</v>
      </c>
      <c r="AM531" s="797">
        <f>LARGE($AL$530:$BW$530,2)</f>
        <v>0</v>
      </c>
      <c r="AN531" s="797">
        <f>LARGE($AL$530:$BW$530,3)</f>
        <v>0</v>
      </c>
      <c r="AO531" s="797">
        <f>LARGE($AL$530:$BW$530,4)</f>
        <v>0</v>
      </c>
      <c r="AP531" s="797">
        <f>LARGE($AL$530:$BW$530,5)</f>
        <v>0</v>
      </c>
      <c r="AQ531" s="797">
        <f>LARGE($AL$530:$BW$530,6)</f>
        <v>0</v>
      </c>
      <c r="AR531" s="797">
        <f>LARGE($AL$530:$BW$530,7)</f>
        <v>0</v>
      </c>
      <c r="AS531" s="797">
        <f>LARGE($AL$530:$BW$530,8)</f>
        <v>0</v>
      </c>
      <c r="AT531" s="797">
        <f>LARGE($AL$530:$BW$530,9)</f>
        <v>0</v>
      </c>
      <c r="AU531" s="797">
        <f>LARGE($AL$530:$BW$530,10)</f>
        <v>0</v>
      </c>
      <c r="AV531" s="797">
        <f>LARGE($AL$530:$BW$530,11)</f>
        <v>0</v>
      </c>
      <c r="AW531" s="797">
        <f>LARGE($AL$530:$BW$530,12)</f>
        <v>0</v>
      </c>
      <c r="AX531" s="797">
        <f>LARGE($AL$530:$BW$530,13)</f>
        <v>0</v>
      </c>
      <c r="AY531" s="797">
        <f>LARGE($AL$530:$BW$530,14)</f>
        <v>0</v>
      </c>
      <c r="AZ531" s="797">
        <f>LARGE($AL$530:$BW$530,15)</f>
        <v>0</v>
      </c>
      <c r="BA531" s="797">
        <f>LARGE($AL$530:$BW$530,16)</f>
        <v>0</v>
      </c>
      <c r="BB531" s="797">
        <f>LARGE($AL$530:$BW$530,17)</f>
        <v>0</v>
      </c>
      <c r="BC531" s="797">
        <f>LARGE($AL$530:$BW$530,18)</f>
        <v>0</v>
      </c>
      <c r="BD531" s="797">
        <f>LARGE($AL$530:$BW$530,19)</f>
        <v>0</v>
      </c>
      <c r="BE531" s="797">
        <f>LARGE($AL$530:$BW$530,20)</f>
        <v>0</v>
      </c>
      <c r="BF531" s="797">
        <f>LARGE($AL$530:$BW$530,21)</f>
        <v>0</v>
      </c>
      <c r="BG531" s="797">
        <f>LARGE($AL$530:$BW$530,22)</f>
        <v>0</v>
      </c>
      <c r="BH531" s="797">
        <f>LARGE($AL$530:$BW$530,23)</f>
        <v>0</v>
      </c>
      <c r="BI531" s="797">
        <f>LARGE($AL$530:$BW$530,24)</f>
        <v>0</v>
      </c>
      <c r="BJ531" s="797">
        <f>LARGE($AL$530:$BW$530,25)</f>
        <v>0</v>
      </c>
      <c r="BK531" s="797">
        <f>LARGE($AL$530:$BW$530,26)</f>
        <v>0</v>
      </c>
      <c r="BL531" s="797">
        <f>LARGE($AL$530:$BW$530,27)</f>
        <v>0</v>
      </c>
      <c r="BM531" s="797">
        <f>LARGE($AL$530:$BW$530,28)</f>
        <v>0</v>
      </c>
      <c r="BN531" s="797">
        <f>LARGE($AL$530:$BW$530,29)</f>
        <v>0</v>
      </c>
      <c r="BO531" s="797">
        <f>LARGE($AL$530:$BW$530,30)</f>
        <v>0</v>
      </c>
      <c r="BP531" s="797">
        <f>LARGE($AL$530:$BW$530,31)</f>
        <v>0</v>
      </c>
      <c r="BQ531" s="797">
        <f>LARGE($AL$530:$BW$530,32)</f>
        <v>0</v>
      </c>
      <c r="BR531" s="797">
        <f>LARGE($AL$530:$BW$530,33)</f>
        <v>0</v>
      </c>
      <c r="BS531" s="797">
        <f>LARGE($AL$530:$BW$530,34)</f>
        <v>0</v>
      </c>
      <c r="BT531" s="797">
        <f>LARGE($AL$530:$BW$530,35)</f>
        <v>0</v>
      </c>
      <c r="BU531" s="797">
        <f>LARGE($AL$530:$BW$530,36)</f>
        <v>0</v>
      </c>
      <c r="BV531" s="797">
        <f>LARGE($AL$530:$BW$530,37)</f>
        <v>0</v>
      </c>
      <c r="BW531" s="797">
        <f>LARGE($AL$530:$BW$530,38)</f>
        <v>0</v>
      </c>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row>
    <row r="532" spans="2:109" ht="15.75" customHeight="1" x14ac:dyDescent="0.2">
      <c r="B532" s="1410" t="s">
        <v>1169</v>
      </c>
      <c r="C532" s="1410"/>
      <c r="D532" s="1410"/>
      <c r="E532" s="1373">
        <f t="shared" si="82"/>
        <v>0</v>
      </c>
      <c r="F532" s="1373"/>
      <c r="G532" s="1534" t="s">
        <v>1942</v>
      </c>
      <c r="H532" s="1534"/>
      <c r="I532" s="1555"/>
      <c r="J532" s="1555"/>
      <c r="K532" s="1588"/>
      <c r="L532" s="1589"/>
      <c r="M532" s="1589"/>
      <c r="N532" s="1589"/>
      <c r="O532" s="1590"/>
      <c r="P532" s="1631"/>
      <c r="S532" s="19"/>
      <c r="T532" s="114"/>
      <c r="U532" s="157"/>
      <c r="Z532" s="18"/>
      <c r="AA532" s="18"/>
      <c r="AB532" s="18"/>
      <c r="AC532" s="18"/>
      <c r="AD532" s="18"/>
      <c r="AE532" s="18"/>
      <c r="AF532" s="18"/>
      <c r="AG532" s="18"/>
      <c r="AH532" s="18"/>
      <c r="AI532" s="18"/>
      <c r="AJ532" s="18"/>
      <c r="AK532" s="794" t="s">
        <v>1731</v>
      </c>
      <c r="AL532" s="16">
        <f>AL531+AM531*(1-AL531)</f>
        <v>0</v>
      </c>
      <c r="AM532" s="16">
        <f t="shared" ref="AM532:BV532" si="83">AL533+AN531*(1-AL533)</f>
        <v>0</v>
      </c>
      <c r="AN532" s="16">
        <f t="shared" si="83"/>
        <v>0</v>
      </c>
      <c r="AO532" s="16">
        <f t="shared" si="83"/>
        <v>0</v>
      </c>
      <c r="AP532" s="16">
        <f t="shared" si="83"/>
        <v>0</v>
      </c>
      <c r="AQ532" s="16">
        <f t="shared" si="83"/>
        <v>0</v>
      </c>
      <c r="AR532" s="16">
        <f t="shared" si="83"/>
        <v>0</v>
      </c>
      <c r="AS532" s="16">
        <f t="shared" si="83"/>
        <v>0</v>
      </c>
      <c r="AT532" s="16">
        <f t="shared" si="83"/>
        <v>0</v>
      </c>
      <c r="AU532" s="16">
        <f t="shared" si="83"/>
        <v>0</v>
      </c>
      <c r="AV532" s="16">
        <f t="shared" si="83"/>
        <v>0</v>
      </c>
      <c r="AW532" s="16">
        <f t="shared" si="83"/>
        <v>0</v>
      </c>
      <c r="AX532" s="16">
        <f t="shared" si="83"/>
        <v>0</v>
      </c>
      <c r="AY532" s="16">
        <f t="shared" si="83"/>
        <v>0</v>
      </c>
      <c r="AZ532" s="16">
        <f t="shared" si="83"/>
        <v>0</v>
      </c>
      <c r="BA532" s="16">
        <f t="shared" si="83"/>
        <v>0</v>
      </c>
      <c r="BB532" s="16">
        <f t="shared" si="83"/>
        <v>0</v>
      </c>
      <c r="BC532" s="16">
        <f t="shared" si="83"/>
        <v>0</v>
      </c>
      <c r="BD532" s="16">
        <f t="shared" si="83"/>
        <v>0</v>
      </c>
      <c r="BE532" s="16">
        <f t="shared" si="83"/>
        <v>0</v>
      </c>
      <c r="BF532" s="16">
        <f t="shared" si="83"/>
        <v>0</v>
      </c>
      <c r="BG532" s="16">
        <f t="shared" si="83"/>
        <v>0</v>
      </c>
      <c r="BH532" s="16">
        <f t="shared" si="83"/>
        <v>0</v>
      </c>
      <c r="BI532" s="16">
        <f t="shared" si="83"/>
        <v>0</v>
      </c>
      <c r="BJ532" s="16">
        <f t="shared" si="83"/>
        <v>0</v>
      </c>
      <c r="BK532" s="16">
        <f t="shared" si="83"/>
        <v>0</v>
      </c>
      <c r="BL532" s="16">
        <f t="shared" si="83"/>
        <v>0</v>
      </c>
      <c r="BM532" s="16">
        <f t="shared" si="83"/>
        <v>0</v>
      </c>
      <c r="BN532" s="16">
        <f t="shared" si="83"/>
        <v>0</v>
      </c>
      <c r="BO532" s="16">
        <f t="shared" si="83"/>
        <v>0</v>
      </c>
      <c r="BP532" s="16">
        <f t="shared" si="83"/>
        <v>0</v>
      </c>
      <c r="BQ532" s="16">
        <f t="shared" si="83"/>
        <v>0</v>
      </c>
      <c r="BR532" s="16">
        <f t="shared" si="83"/>
        <v>0</v>
      </c>
      <c r="BS532" s="16">
        <f t="shared" si="83"/>
        <v>0</v>
      </c>
      <c r="BT532" s="16">
        <f t="shared" si="83"/>
        <v>0</v>
      </c>
      <c r="BU532" s="16">
        <f t="shared" si="83"/>
        <v>0</v>
      </c>
      <c r="BV532" s="16">
        <f t="shared" si="83"/>
        <v>0</v>
      </c>
      <c r="BW532" s="79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row>
    <row r="533" spans="2:109" ht="15.75" customHeight="1" x14ac:dyDescent="0.2">
      <c r="B533" s="1410" t="s">
        <v>1170</v>
      </c>
      <c r="C533" s="1410"/>
      <c r="D533" s="1410"/>
      <c r="E533" s="1373">
        <f t="shared" si="82"/>
        <v>0</v>
      </c>
      <c r="F533" s="1373"/>
      <c r="G533" s="1534" t="s">
        <v>1942</v>
      </c>
      <c r="H533" s="1534"/>
      <c r="I533" s="1555"/>
      <c r="J533" s="1555"/>
      <c r="K533" s="1588"/>
      <c r="L533" s="1589"/>
      <c r="M533" s="1589"/>
      <c r="N533" s="1589"/>
      <c r="O533" s="1590"/>
      <c r="P533" s="1631"/>
      <c r="S533" s="19"/>
      <c r="T533" s="114"/>
      <c r="U533" s="157"/>
      <c r="V533" s="60"/>
      <c r="W533" s="60"/>
      <c r="X533" s="18"/>
      <c r="Y533" s="18" t="s">
        <v>511</v>
      </c>
      <c r="AA533" s="1120"/>
      <c r="AB533" s="1120"/>
      <c r="AC533" s="1120"/>
      <c r="AD533" s="1120"/>
      <c r="AE533" s="18"/>
      <c r="AF533" s="18"/>
      <c r="AG533" s="18"/>
      <c r="AH533" s="18"/>
      <c r="AI533" s="18"/>
      <c r="AJ533" s="18"/>
      <c r="AK533" s="794" t="s">
        <v>1873</v>
      </c>
      <c r="AL533" s="796">
        <f t="shared" ref="AL533:BV533" si="84">ROUND(AL532,2)</f>
        <v>0</v>
      </c>
      <c r="AM533" s="796">
        <f t="shared" si="84"/>
        <v>0</v>
      </c>
      <c r="AN533" s="796">
        <f t="shared" si="84"/>
        <v>0</v>
      </c>
      <c r="AO533" s="796">
        <f t="shared" si="84"/>
        <v>0</v>
      </c>
      <c r="AP533" s="796">
        <f t="shared" si="84"/>
        <v>0</v>
      </c>
      <c r="AQ533" s="796">
        <f t="shared" si="84"/>
        <v>0</v>
      </c>
      <c r="AR533" s="796">
        <f t="shared" si="84"/>
        <v>0</v>
      </c>
      <c r="AS533" s="796">
        <f t="shared" si="84"/>
        <v>0</v>
      </c>
      <c r="AT533" s="796">
        <f t="shared" si="84"/>
        <v>0</v>
      </c>
      <c r="AU533" s="796">
        <f t="shared" si="84"/>
        <v>0</v>
      </c>
      <c r="AV533" s="796">
        <f t="shared" si="84"/>
        <v>0</v>
      </c>
      <c r="AW533" s="796">
        <f t="shared" si="84"/>
        <v>0</v>
      </c>
      <c r="AX533" s="796">
        <f t="shared" si="84"/>
        <v>0</v>
      </c>
      <c r="AY533" s="796">
        <f t="shared" si="84"/>
        <v>0</v>
      </c>
      <c r="AZ533" s="796">
        <f t="shared" si="84"/>
        <v>0</v>
      </c>
      <c r="BA533" s="796">
        <f t="shared" si="84"/>
        <v>0</v>
      </c>
      <c r="BB533" s="796">
        <f t="shared" si="84"/>
        <v>0</v>
      </c>
      <c r="BC533" s="796">
        <f t="shared" si="84"/>
        <v>0</v>
      </c>
      <c r="BD533" s="796">
        <f t="shared" si="84"/>
        <v>0</v>
      </c>
      <c r="BE533" s="796">
        <f t="shared" si="84"/>
        <v>0</v>
      </c>
      <c r="BF533" s="796">
        <f t="shared" si="84"/>
        <v>0</v>
      </c>
      <c r="BG533" s="796">
        <f t="shared" si="84"/>
        <v>0</v>
      </c>
      <c r="BH533" s="796">
        <f t="shared" si="84"/>
        <v>0</v>
      </c>
      <c r="BI533" s="796">
        <f t="shared" si="84"/>
        <v>0</v>
      </c>
      <c r="BJ533" s="796">
        <f t="shared" si="84"/>
        <v>0</v>
      </c>
      <c r="BK533" s="796">
        <f t="shared" si="84"/>
        <v>0</v>
      </c>
      <c r="BL533" s="796">
        <f t="shared" si="84"/>
        <v>0</v>
      </c>
      <c r="BM533" s="796">
        <f t="shared" si="84"/>
        <v>0</v>
      </c>
      <c r="BN533" s="796">
        <f t="shared" si="84"/>
        <v>0</v>
      </c>
      <c r="BO533" s="796">
        <f t="shared" si="84"/>
        <v>0</v>
      </c>
      <c r="BP533" s="796">
        <f t="shared" si="84"/>
        <v>0</v>
      </c>
      <c r="BQ533" s="796">
        <f t="shared" si="84"/>
        <v>0</v>
      </c>
      <c r="BR533" s="796">
        <f t="shared" si="84"/>
        <v>0</v>
      </c>
      <c r="BS533" s="796">
        <f t="shared" si="84"/>
        <v>0</v>
      </c>
      <c r="BT533" s="796">
        <f t="shared" si="84"/>
        <v>0</v>
      </c>
      <c r="BU533" s="796">
        <f t="shared" si="84"/>
        <v>0</v>
      </c>
      <c r="BV533" s="796">
        <f t="shared" si="84"/>
        <v>0</v>
      </c>
      <c r="BW533" s="79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row>
    <row r="534" spans="2:109" ht="15" customHeight="1" x14ac:dyDescent="0.2">
      <c r="B534" s="1379" t="s">
        <v>1171</v>
      </c>
      <c r="C534" s="1410"/>
      <c r="D534" s="1410"/>
      <c r="E534" s="1373">
        <f>IF(E607&gt;0,0,P398)</f>
        <v>0</v>
      </c>
      <c r="F534" s="1373"/>
      <c r="G534" s="1544"/>
      <c r="H534" s="1544"/>
      <c r="I534" s="1353">
        <f t="shared" ref="I534:I539" si="85">IF(AND(Y534&lt;0.01,Y534&gt;0),0.01,ROUND(Y534,2))</f>
        <v>0</v>
      </c>
      <c r="J534" s="1355"/>
      <c r="K534" s="1588"/>
      <c r="L534" s="1589"/>
      <c r="M534" s="1589"/>
      <c r="N534" s="1589"/>
      <c r="O534" s="1590"/>
      <c r="P534" s="1631"/>
      <c r="S534" s="19"/>
      <c r="T534" s="114"/>
      <c r="U534" s="157"/>
      <c r="W534" s="60"/>
      <c r="X534" s="18"/>
      <c r="Y534" s="355">
        <f>IF(AA534=1,0,E534*G534)</f>
        <v>0</v>
      </c>
      <c r="Z534" s="18"/>
      <c r="AA534" s="1085">
        <f>IF(P592&gt;0,0,IF(AC395&gt;0,1,0))</f>
        <v>0</v>
      </c>
      <c r="AB534" s="1410" t="s">
        <v>407</v>
      </c>
      <c r="AC534" s="1410"/>
      <c r="AD534" s="1410"/>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row>
    <row r="535" spans="2:109" ht="15" customHeight="1" x14ac:dyDescent="0.2">
      <c r="B535" s="1410" t="s">
        <v>1172</v>
      </c>
      <c r="C535" s="1410"/>
      <c r="D535" s="1410"/>
      <c r="E535" s="1373">
        <f>IF(E607&gt;0,0,P408)</f>
        <v>0</v>
      </c>
      <c r="F535" s="1373"/>
      <c r="G535" s="1544"/>
      <c r="H535" s="1544"/>
      <c r="I535" s="1545">
        <f t="shared" si="85"/>
        <v>0</v>
      </c>
      <c r="J535" s="1545"/>
      <c r="K535" s="1588"/>
      <c r="L535" s="1589"/>
      <c r="M535" s="1589"/>
      <c r="N535" s="1589"/>
      <c r="O535" s="1590"/>
      <c r="P535" s="1631"/>
      <c r="S535" s="19"/>
      <c r="T535" s="114"/>
      <c r="U535" s="157"/>
      <c r="W535" s="167"/>
      <c r="X535" s="18"/>
      <c r="Y535" s="355">
        <f>IF(AA535=1,0,E535*G535)</f>
        <v>0</v>
      </c>
      <c r="AA535" s="1085">
        <f>IF(P592&gt;0,0,IF(AC403&gt;0,1,0))</f>
        <v>0</v>
      </c>
      <c r="AB535" s="1410" t="s">
        <v>408</v>
      </c>
      <c r="AC535" s="1410"/>
      <c r="AD535" s="1410"/>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row>
    <row r="536" spans="2:109" ht="15" customHeight="1" x14ac:dyDescent="0.2">
      <c r="B536" s="1410" t="s">
        <v>1988</v>
      </c>
      <c r="C536" s="1410"/>
      <c r="D536" s="1410"/>
      <c r="E536" s="1373">
        <f>P413</f>
        <v>0</v>
      </c>
      <c r="F536" s="1373"/>
      <c r="G536" s="1544"/>
      <c r="H536" s="1544"/>
      <c r="I536" s="1545">
        <f t="shared" si="85"/>
        <v>0</v>
      </c>
      <c r="J536" s="1545"/>
      <c r="K536" s="1588"/>
      <c r="L536" s="1589"/>
      <c r="M536" s="1589"/>
      <c r="N536" s="1589"/>
      <c r="O536" s="1590"/>
      <c r="P536" s="1631"/>
      <c r="S536" s="19"/>
      <c r="T536" s="114"/>
      <c r="U536" s="157"/>
      <c r="W536" s="167"/>
      <c r="X536" s="18"/>
      <c r="Y536" s="355">
        <f>E536*G536</f>
        <v>0</v>
      </c>
      <c r="Z536" s="860"/>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row>
    <row r="537" spans="2:109" ht="15" customHeight="1" x14ac:dyDescent="0.2">
      <c r="B537" s="1410" t="s">
        <v>1173</v>
      </c>
      <c r="C537" s="1410"/>
      <c r="D537" s="1410"/>
      <c r="E537" s="1373">
        <f>P416</f>
        <v>0</v>
      </c>
      <c r="F537" s="1373"/>
      <c r="G537" s="1544"/>
      <c r="H537" s="1544"/>
      <c r="I537" s="1545">
        <f t="shared" si="85"/>
        <v>0</v>
      </c>
      <c r="J537" s="1545"/>
      <c r="K537" s="1588"/>
      <c r="L537" s="1589"/>
      <c r="M537" s="1589"/>
      <c r="N537" s="1589"/>
      <c r="O537" s="1590"/>
      <c r="P537" s="1631"/>
      <c r="S537" s="19"/>
      <c r="T537" s="114"/>
      <c r="U537" s="157"/>
      <c r="W537" s="60"/>
      <c r="X537" s="18"/>
      <c r="Y537" s="1059">
        <f t="shared" ref="Y537:Y539" si="86">E537*G537</f>
        <v>0</v>
      </c>
      <c r="Z537" s="860"/>
      <c r="AA537" s="1101"/>
      <c r="AB537" s="1569"/>
      <c r="AC537" s="1569"/>
      <c r="AD537" s="1569"/>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row>
    <row r="538" spans="2:109" ht="15" customHeight="1" x14ac:dyDescent="0.2">
      <c r="B538" s="1410" t="s">
        <v>1174</v>
      </c>
      <c r="C538" s="1410"/>
      <c r="D538" s="1410"/>
      <c r="E538" s="1373">
        <f>P419</f>
        <v>0</v>
      </c>
      <c r="F538" s="1373"/>
      <c r="G538" s="1544"/>
      <c r="H538" s="1544"/>
      <c r="I538" s="1545">
        <f t="shared" si="85"/>
        <v>0</v>
      </c>
      <c r="J538" s="1545"/>
      <c r="K538" s="1619"/>
      <c r="L538" s="1620"/>
      <c r="M538" s="1620"/>
      <c r="N538" s="1620"/>
      <c r="O538" s="1621"/>
      <c r="P538" s="1631"/>
      <c r="S538" s="19"/>
      <c r="T538" s="114"/>
      <c r="U538" s="157"/>
      <c r="W538" s="60"/>
      <c r="X538" s="18"/>
      <c r="Y538" s="1059">
        <f t="shared" si="86"/>
        <v>0</v>
      </c>
      <c r="Z538" s="860"/>
      <c r="AA538" s="408"/>
      <c r="AB538" s="18"/>
      <c r="AC538" s="18"/>
      <c r="AD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row>
    <row r="539" spans="2:109" ht="15" customHeight="1" x14ac:dyDescent="0.2">
      <c r="B539" s="1410" t="s">
        <v>1990</v>
      </c>
      <c r="C539" s="1410"/>
      <c r="D539" s="1410"/>
      <c r="E539" s="1373">
        <f>P420</f>
        <v>0</v>
      </c>
      <c r="F539" s="1373"/>
      <c r="G539" s="1544"/>
      <c r="H539" s="1544"/>
      <c r="I539" s="1545">
        <f t="shared" si="85"/>
        <v>0</v>
      </c>
      <c r="J539" s="1545"/>
      <c r="K539" s="1619"/>
      <c r="L539" s="1620"/>
      <c r="M539" s="1620"/>
      <c r="N539" s="1620"/>
      <c r="O539" s="1621"/>
      <c r="P539" s="1631"/>
      <c r="S539" s="19"/>
      <c r="T539" s="114"/>
      <c r="U539" s="157"/>
      <c r="W539" s="60"/>
      <c r="X539" s="18"/>
      <c r="Y539" s="1059">
        <f t="shared" si="86"/>
        <v>0</v>
      </c>
      <c r="Z539" s="860"/>
      <c r="AA539" s="8"/>
      <c r="AB539" s="8"/>
      <c r="AC539" s="8"/>
      <c r="AD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row>
    <row r="540" spans="2:109" ht="15" customHeight="1" x14ac:dyDescent="0.2">
      <c r="B540" s="1379" t="s">
        <v>794</v>
      </c>
      <c r="C540" s="1410"/>
      <c r="D540" s="1410"/>
      <c r="E540" s="1373">
        <f>P422</f>
        <v>0</v>
      </c>
      <c r="F540" s="1373"/>
      <c r="G540" s="1534" t="s">
        <v>1942</v>
      </c>
      <c r="H540" s="1534"/>
      <c r="I540" s="1555"/>
      <c r="J540" s="1555"/>
      <c r="K540" s="1619"/>
      <c r="L540" s="1620"/>
      <c r="M540" s="1620"/>
      <c r="N540" s="1620"/>
      <c r="O540" s="1621"/>
      <c r="P540" s="1631"/>
      <c r="S540" s="19"/>
      <c r="T540" s="114"/>
      <c r="U540" s="157"/>
      <c r="W540" s="60"/>
      <c r="X540" s="18"/>
      <c r="Y540" s="370"/>
      <c r="Z540" s="860"/>
      <c r="AA540" s="1065"/>
      <c r="AB540" s="1068"/>
      <c r="AC540" s="1068"/>
      <c r="AD540" s="18"/>
      <c r="AE540" s="3"/>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row>
    <row r="541" spans="2:109" ht="15" customHeight="1" x14ac:dyDescent="0.2">
      <c r="B541" s="1379" t="s">
        <v>795</v>
      </c>
      <c r="C541" s="1410"/>
      <c r="D541" s="1410"/>
      <c r="E541" s="1373">
        <f>P423</f>
        <v>0</v>
      </c>
      <c r="F541" s="1373"/>
      <c r="G541" s="1534" t="s">
        <v>1942</v>
      </c>
      <c r="H541" s="1534"/>
      <c r="I541" s="1555"/>
      <c r="J541" s="1555"/>
      <c r="K541" s="1619"/>
      <c r="L541" s="1620"/>
      <c r="M541" s="1620"/>
      <c r="N541" s="1620"/>
      <c r="O541" s="1621"/>
      <c r="P541" s="1631"/>
      <c r="S541" s="19"/>
      <c r="T541" s="114"/>
      <c r="U541" s="157"/>
      <c r="W541" s="60"/>
      <c r="X541" s="18"/>
      <c r="Y541" s="370"/>
      <c r="Z541" s="860"/>
      <c r="AA541" s="1065"/>
      <c r="AB541" s="1062"/>
      <c r="AC541" s="1068"/>
      <c r="AD541" s="18"/>
      <c r="AE541" s="3"/>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row>
    <row r="542" spans="2:109" ht="15.75" customHeight="1" x14ac:dyDescent="0.2">
      <c r="B542" s="1410" t="s">
        <v>632</v>
      </c>
      <c r="C542" s="1410"/>
      <c r="D542" s="1410"/>
      <c r="E542" s="1373">
        <f>P426</f>
        <v>0</v>
      </c>
      <c r="F542" s="1373"/>
      <c r="G542" s="1534" t="s">
        <v>1942</v>
      </c>
      <c r="H542" s="1534"/>
      <c r="I542" s="1555"/>
      <c r="J542" s="1555"/>
      <c r="K542" s="1619"/>
      <c r="L542" s="1620"/>
      <c r="M542" s="1620"/>
      <c r="N542" s="1620"/>
      <c r="O542" s="1621"/>
      <c r="P542" s="1631"/>
      <c r="S542" s="19"/>
      <c r="T542" s="114"/>
      <c r="U542" s="157"/>
      <c r="V542" s="60"/>
      <c r="W542" s="60"/>
      <c r="X542" s="18"/>
      <c r="Y542" s="370"/>
      <c r="Z542" s="860"/>
      <c r="AA542" s="1065"/>
      <c r="AB542" s="1068"/>
      <c r="AC542" s="1073"/>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row>
    <row r="543" spans="2:109" ht="15.75" customHeight="1" x14ac:dyDescent="0.2">
      <c r="B543" s="1560" t="s">
        <v>1476</v>
      </c>
      <c r="C543" s="637">
        <f>H427</f>
        <v>0</v>
      </c>
      <c r="D543" s="637">
        <f>K427</f>
        <v>0</v>
      </c>
      <c r="E543" s="303">
        <f>M427</f>
        <v>0</v>
      </c>
      <c r="F543" s="303">
        <f>O427</f>
        <v>0</v>
      </c>
      <c r="G543" s="1534" t="s">
        <v>1942</v>
      </c>
      <c r="H543" s="1534"/>
      <c r="I543" s="1555"/>
      <c r="J543" s="1555"/>
      <c r="K543" s="1619"/>
      <c r="L543" s="1620"/>
      <c r="M543" s="1620"/>
      <c r="N543" s="1620"/>
      <c r="O543" s="1621"/>
      <c r="P543" s="1631"/>
      <c r="S543" s="19"/>
      <c r="T543" s="114"/>
      <c r="U543" s="157"/>
      <c r="V543" s="60"/>
      <c r="W543" s="60"/>
      <c r="X543" s="18"/>
      <c r="Y543" s="370"/>
      <c r="Z543" s="860"/>
      <c r="AA543" s="1065"/>
      <c r="AB543" s="1062"/>
      <c r="AC543" s="1073"/>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row>
    <row r="544" spans="2:109" ht="15.75" customHeight="1" x14ac:dyDescent="0.2">
      <c r="B544" s="1778"/>
      <c r="C544" s="303">
        <f>H428</f>
        <v>0</v>
      </c>
      <c r="D544" s="303">
        <f>K428</f>
        <v>0</v>
      </c>
      <c r="E544" s="303">
        <f>M428</f>
        <v>0</v>
      </c>
      <c r="F544" s="303">
        <f>O428</f>
        <v>0</v>
      </c>
      <c r="G544" s="1534" t="s">
        <v>1942</v>
      </c>
      <c r="H544" s="1534"/>
      <c r="I544" s="1555"/>
      <c r="J544" s="1555"/>
      <c r="K544" s="633"/>
      <c r="L544" s="634"/>
      <c r="M544" s="634"/>
      <c r="N544" s="634"/>
      <c r="O544" s="635"/>
      <c r="P544" s="1631"/>
      <c r="S544" s="19"/>
      <c r="T544" s="114"/>
      <c r="U544" s="157"/>
      <c r="V544" s="60"/>
      <c r="W544" s="60"/>
      <c r="X544" s="18"/>
      <c r="Y544" s="370"/>
      <c r="Z544" s="860"/>
      <c r="AA544" s="1065"/>
      <c r="AB544" s="1068"/>
      <c r="AC544" s="106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row>
    <row r="545" spans="1:109" ht="15.75" customHeight="1" x14ac:dyDescent="0.2">
      <c r="B545" s="1367" t="s">
        <v>1477</v>
      </c>
      <c r="C545" s="637">
        <f>H429</f>
        <v>0</v>
      </c>
      <c r="D545" s="637">
        <f>K429</f>
        <v>0</v>
      </c>
      <c r="E545" s="303">
        <f>M429</f>
        <v>0</v>
      </c>
      <c r="F545" s="303">
        <f>O429</f>
        <v>0</v>
      </c>
      <c r="G545" s="1534" t="s">
        <v>1942</v>
      </c>
      <c r="H545" s="1534"/>
      <c r="I545" s="1555"/>
      <c r="J545" s="1555"/>
      <c r="K545" s="1030"/>
      <c r="L545" s="1031"/>
      <c r="M545" s="1031"/>
      <c r="N545" s="1031"/>
      <c r="O545" s="1032"/>
      <c r="P545" s="1631"/>
      <c r="R545" s="176"/>
      <c r="S545" s="19"/>
      <c r="T545" s="114"/>
      <c r="U545" s="157"/>
      <c r="V545" s="60"/>
      <c r="W545" s="60"/>
      <c r="X545" s="18"/>
      <c r="Y545" s="370"/>
      <c r="Z545" s="18"/>
      <c r="AA545" s="1062"/>
      <c r="AB545" s="1073"/>
      <c r="AC545" s="1073"/>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row>
    <row r="546" spans="1:109" ht="15.75" customHeight="1" x14ac:dyDescent="0.2">
      <c r="B546" s="1370"/>
      <c r="C546" s="303">
        <f>H430</f>
        <v>0</v>
      </c>
      <c r="D546" s="303">
        <f>K430</f>
        <v>0</v>
      </c>
      <c r="E546" s="303">
        <f>M430</f>
        <v>0</v>
      </c>
      <c r="F546" s="303">
        <f>O430</f>
        <v>0</v>
      </c>
      <c r="G546" s="1534" t="s">
        <v>1942</v>
      </c>
      <c r="H546" s="1534"/>
      <c r="I546" s="1555"/>
      <c r="J546" s="1555"/>
      <c r="K546" s="1030"/>
      <c r="L546" s="1031"/>
      <c r="M546" s="1031"/>
      <c r="N546" s="1031"/>
      <c r="O546" s="1032"/>
      <c r="P546" s="1631"/>
      <c r="R546" s="176"/>
      <c r="S546" s="19"/>
      <c r="T546" s="114"/>
      <c r="U546" s="157"/>
      <c r="V546" s="60"/>
      <c r="W546" s="60"/>
      <c r="X546" s="18"/>
      <c r="Y546" s="370"/>
      <c r="Z546" s="18"/>
      <c r="AA546" s="1065"/>
      <c r="AB546" s="1062"/>
      <c r="AC546" s="1073"/>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row>
    <row r="547" spans="1:109" ht="15.75" customHeight="1" x14ac:dyDescent="0.2">
      <c r="B547" s="1410" t="s">
        <v>1478</v>
      </c>
      <c r="C547" s="1410"/>
      <c r="D547" s="1410"/>
      <c r="E547" s="1373">
        <f>P431</f>
        <v>0</v>
      </c>
      <c r="F547" s="1373"/>
      <c r="G547" s="1534" t="s">
        <v>1942</v>
      </c>
      <c r="H547" s="1534"/>
      <c r="I547" s="1555"/>
      <c r="J547" s="1555"/>
      <c r="K547" s="1030"/>
      <c r="L547" s="1031"/>
      <c r="M547" s="1031"/>
      <c r="N547" s="1031"/>
      <c r="O547" s="1032"/>
      <c r="P547" s="1631"/>
      <c r="S547" s="19"/>
      <c r="T547" s="114"/>
      <c r="U547" s="157"/>
      <c r="V547" s="60"/>
      <c r="W547" s="60"/>
      <c r="X547" s="18"/>
      <c r="Y547" s="370"/>
      <c r="Z547" s="18"/>
      <c r="AA547" s="1062"/>
      <c r="AB547" s="1068"/>
      <c r="AC547" s="106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row>
    <row r="548" spans="1:109" ht="15.75" customHeight="1" x14ac:dyDescent="0.2">
      <c r="B548" s="1362" t="s">
        <v>982</v>
      </c>
      <c r="C548" s="1363"/>
      <c r="D548" s="1364"/>
      <c r="E548" s="1342">
        <f>P432</f>
        <v>0</v>
      </c>
      <c r="F548" s="1344"/>
      <c r="G548" s="1534" t="s">
        <v>1942</v>
      </c>
      <c r="H548" s="1534"/>
      <c r="I548" s="1555"/>
      <c r="J548" s="1555"/>
      <c r="K548" s="1781" t="str">
        <f>IF(AND(OR(P398&gt;0,P408&gt;0,P506&gt;0,P514&gt;0),E607&gt;0),"A value has been granted for motor loss. Additional impairment values are not allowed for weakness, chronic condition, or reduced ROM in the same extremity.","")</f>
        <v/>
      </c>
      <c r="L548" s="1782"/>
      <c r="M548" s="1782"/>
      <c r="N548" s="1782"/>
      <c r="O548" s="1783"/>
      <c r="P548" s="1631"/>
      <c r="S548" s="19"/>
      <c r="T548" s="114"/>
      <c r="U548" s="157"/>
      <c r="V548" s="60"/>
      <c r="W548" s="60"/>
      <c r="X548" s="18"/>
      <c r="Y548" s="370"/>
      <c r="Z548" s="18"/>
      <c r="AA548" s="810"/>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row>
    <row r="549" spans="1:109" ht="15.75" customHeight="1" x14ac:dyDescent="0.2">
      <c r="B549" s="1410" t="s">
        <v>1447</v>
      </c>
      <c r="C549" s="1410"/>
      <c r="D549" s="1410"/>
      <c r="E549" s="1373">
        <f>P436</f>
        <v>0</v>
      </c>
      <c r="F549" s="1373"/>
      <c r="G549" s="1544"/>
      <c r="H549" s="1544"/>
      <c r="I549" s="1545">
        <f t="shared" ref="I549:I552" si="87">IF(AND(Y549&lt;0.01,Y549&gt;0),0.01,ROUND(Y549,2))</f>
        <v>0</v>
      </c>
      <c r="J549" s="1545"/>
      <c r="K549" s="1781"/>
      <c r="L549" s="1782"/>
      <c r="M549" s="1782"/>
      <c r="N549" s="1782"/>
      <c r="O549" s="1783"/>
      <c r="P549" s="1631"/>
      <c r="S549" s="19"/>
      <c r="T549" s="114"/>
      <c r="U549" s="157"/>
      <c r="V549" s="60"/>
      <c r="W549" s="60"/>
      <c r="X549" s="18"/>
      <c r="Y549" s="1059">
        <f t="shared" ref="Y549:Y552" si="88">E549*G549</f>
        <v>0</v>
      </c>
      <c r="Z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row>
    <row r="550" spans="1:109" ht="15.75" customHeight="1" x14ac:dyDescent="0.2">
      <c r="B550" s="1410" t="s">
        <v>1254</v>
      </c>
      <c r="C550" s="1410"/>
      <c r="D550" s="1410"/>
      <c r="E550" s="1373">
        <f>P440</f>
        <v>0</v>
      </c>
      <c r="F550" s="1373"/>
      <c r="G550" s="1544"/>
      <c r="H550" s="1544"/>
      <c r="I550" s="1545">
        <f t="shared" si="87"/>
        <v>0</v>
      </c>
      <c r="J550" s="1545"/>
      <c r="K550" s="1781"/>
      <c r="L550" s="1782"/>
      <c r="M550" s="1782"/>
      <c r="N550" s="1782"/>
      <c r="O550" s="1783"/>
      <c r="P550" s="1631"/>
      <c r="S550" s="19"/>
      <c r="T550" s="114"/>
      <c r="U550" s="157"/>
      <c r="V550" s="60"/>
      <c r="W550" s="60"/>
      <c r="X550" s="18"/>
      <c r="Y550" s="1059">
        <f t="shared" si="88"/>
        <v>0</v>
      </c>
      <c r="Z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row>
    <row r="551" spans="1:109" ht="15.75" customHeight="1" x14ac:dyDescent="0.2">
      <c r="B551" s="1410" t="s">
        <v>1639</v>
      </c>
      <c r="C551" s="1410"/>
      <c r="D551" s="1410"/>
      <c r="E551" s="1373">
        <f>IF(E607&gt;0,0,P508)</f>
        <v>0</v>
      </c>
      <c r="F551" s="1373"/>
      <c r="G551" s="1544"/>
      <c r="H551" s="1544"/>
      <c r="I551" s="1545">
        <f t="shared" si="87"/>
        <v>0</v>
      </c>
      <c r="J551" s="1545"/>
      <c r="K551" s="1781"/>
      <c r="L551" s="1782"/>
      <c r="M551" s="1782"/>
      <c r="N551" s="1782"/>
      <c r="O551" s="1783"/>
      <c r="P551" s="1631"/>
      <c r="S551" s="19"/>
      <c r="T551" s="114"/>
      <c r="U551" s="157"/>
      <c r="V551" s="60"/>
      <c r="W551" s="60"/>
      <c r="X551" s="18"/>
      <c r="Y551" s="1059">
        <f t="shared" si="88"/>
        <v>0</v>
      </c>
      <c r="Z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row>
    <row r="552" spans="1:109" ht="15.75" customHeight="1" x14ac:dyDescent="0.2">
      <c r="B552" s="1410" t="s">
        <v>1479</v>
      </c>
      <c r="C552" s="1410"/>
      <c r="D552" s="1410"/>
      <c r="E552" s="1373">
        <f>IF(E607&gt;0,0,P514)</f>
        <v>0</v>
      </c>
      <c r="F552" s="1373"/>
      <c r="G552" s="1544"/>
      <c r="H552" s="1544"/>
      <c r="I552" s="1545">
        <f t="shared" si="87"/>
        <v>0</v>
      </c>
      <c r="J552" s="1545"/>
      <c r="K552" s="1781"/>
      <c r="L552" s="1782"/>
      <c r="M552" s="1782"/>
      <c r="N552" s="1782"/>
      <c r="O552" s="1783"/>
      <c r="P552" s="1631"/>
      <c r="S552" s="19"/>
      <c r="T552" s="114"/>
      <c r="U552" s="157"/>
      <c r="V552" s="60"/>
      <c r="W552" s="60"/>
      <c r="X552" s="18"/>
      <c r="Y552" s="1059">
        <f t="shared" si="88"/>
        <v>0</v>
      </c>
      <c r="Z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row>
    <row r="553" spans="1:109" ht="15.75" customHeight="1" x14ac:dyDescent="0.2">
      <c r="B553" s="1408" t="s">
        <v>1480</v>
      </c>
      <c r="C553" s="1408"/>
      <c r="D553" s="1408"/>
      <c r="E553" s="1630">
        <f>P518</f>
        <v>0</v>
      </c>
      <c r="F553" s="1482"/>
      <c r="G553" s="1645" t="s">
        <v>1942</v>
      </c>
      <c r="H553" s="1645"/>
      <c r="I553" s="1450"/>
      <c r="J553" s="1450"/>
      <c r="K553" s="1781"/>
      <c r="L553" s="1782"/>
      <c r="M553" s="1782"/>
      <c r="N553" s="1782"/>
      <c r="O553" s="1783"/>
      <c r="P553" s="1631"/>
      <c r="S553" s="19"/>
      <c r="T553" s="114"/>
      <c r="U553" s="157"/>
      <c r="V553" s="18"/>
      <c r="W553" s="18"/>
      <c r="X553" s="18"/>
      <c r="Y553" s="105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row>
    <row r="554" spans="1:109" ht="15.75" customHeight="1" x14ac:dyDescent="0.2">
      <c r="B554" s="1570" t="s">
        <v>2261</v>
      </c>
      <c r="C554" s="1570"/>
      <c r="D554" s="1570"/>
      <c r="E554" s="1570"/>
      <c r="F554" s="1570"/>
      <c r="G554" s="1570"/>
      <c r="H554" s="1570"/>
      <c r="I554" s="1570"/>
      <c r="J554" s="1570"/>
      <c r="K554" s="1570"/>
      <c r="L554" s="1570"/>
      <c r="M554" s="1570"/>
      <c r="N554" s="1570"/>
      <c r="O554" s="1570"/>
      <c r="P554" s="1623"/>
      <c r="R554" s="19"/>
      <c r="S554" s="114"/>
      <c r="T554" s="157"/>
      <c r="U554" s="18"/>
      <c r="V554" s="18"/>
      <c r="W554" s="18"/>
      <c r="X554" s="18"/>
      <c r="Y554" s="105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row>
    <row r="555" spans="1:109" ht="12" customHeight="1" x14ac:dyDescent="0.2">
      <c r="B555" s="1469"/>
      <c r="C555" s="1469"/>
      <c r="D555" s="1469"/>
      <c r="E555" s="1469"/>
      <c r="F555" s="1469"/>
      <c r="G555" s="1469"/>
      <c r="H555" s="1469"/>
      <c r="I555" s="1469"/>
      <c r="J555" s="1469"/>
      <c r="K555" s="1469"/>
      <c r="L555" s="1469"/>
      <c r="M555" s="1469"/>
      <c r="N555" s="1469"/>
      <c r="O555" s="1469"/>
      <c r="P555" s="1469"/>
      <c r="R555" s="18"/>
      <c r="S555" s="18"/>
      <c r="T555" s="18"/>
      <c r="U555" s="18"/>
      <c r="V555" s="18"/>
      <c r="W555" s="18"/>
      <c r="X555" s="18"/>
      <c r="Y555" s="1068"/>
      <c r="Z555" s="106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row>
    <row r="556" spans="1:109" ht="25.5" customHeight="1" x14ac:dyDescent="0.25">
      <c r="B556" s="1679" t="s">
        <v>32</v>
      </c>
      <c r="C556" s="1680"/>
      <c r="D556" s="1680"/>
      <c r="E556" s="1680"/>
      <c r="F556" s="1680"/>
      <c r="G556" s="1680"/>
      <c r="H556" s="1680"/>
      <c r="I556" s="1680"/>
      <c r="J556" s="1680"/>
      <c r="K556" s="1680"/>
      <c r="L556" s="1680"/>
      <c r="M556" s="1680"/>
      <c r="N556" s="1680"/>
      <c r="O556" s="1680"/>
      <c r="P556" s="457" t="s">
        <v>1065</v>
      </c>
      <c r="R556" s="255"/>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row>
    <row r="557" spans="1:109" ht="15" customHeight="1" x14ac:dyDescent="0.2">
      <c r="B557" s="1666" t="s">
        <v>1933</v>
      </c>
      <c r="C557" s="1569"/>
      <c r="D557" s="1569"/>
      <c r="E557" s="1569"/>
      <c r="F557" s="1569"/>
      <c r="G557" s="1569"/>
      <c r="H557" s="1569"/>
      <c r="I557" s="1569"/>
      <c r="J557" s="1569"/>
      <c r="K557" s="1569"/>
      <c r="L557" s="1569"/>
      <c r="M557" s="1569"/>
      <c r="N557" s="1569"/>
      <c r="O557" s="1569"/>
      <c r="P557" s="45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row>
    <row r="558" spans="1:109" ht="19.5" customHeight="1" x14ac:dyDescent="0.2">
      <c r="A558" s="189"/>
      <c r="B558" s="1650"/>
      <c r="C558" s="1651"/>
      <c r="D558" s="1651"/>
      <c r="E558" s="1651"/>
      <c r="F558" s="1651"/>
      <c r="G558" s="1651"/>
      <c r="H558" s="1651"/>
      <c r="I558" s="1651"/>
      <c r="J558" s="1651"/>
      <c r="K558" s="1651"/>
      <c r="L558" s="1651"/>
      <c r="M558" s="1651"/>
      <c r="N558" s="1651"/>
      <c r="O558" s="1651"/>
      <c r="P558" s="356">
        <f>IF(R558=2,1,0)</f>
        <v>0</v>
      </c>
      <c r="R558" s="686">
        <v>1</v>
      </c>
      <c r="S558" s="18"/>
      <c r="T558" s="18"/>
      <c r="U558" s="18"/>
      <c r="V558" s="18"/>
      <c r="W558" s="18">
        <v>1E-4</v>
      </c>
      <c r="X558" s="18"/>
      <c r="Y558" s="19"/>
      <c r="Z558" s="19"/>
      <c r="AA558" s="19"/>
      <c r="AB558" s="19"/>
      <c r="AC558" s="19"/>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row>
    <row r="559" spans="1:109" ht="7.5" customHeight="1" x14ac:dyDescent="0.2">
      <c r="B559" s="1395"/>
      <c r="C559" s="1395"/>
      <c r="D559" s="1395"/>
      <c r="E559" s="1395"/>
      <c r="F559" s="1395"/>
      <c r="G559" s="1395"/>
      <c r="H559" s="1395"/>
      <c r="I559" s="1395"/>
      <c r="J559" s="1395"/>
      <c r="K559" s="1395"/>
      <c r="L559" s="1395"/>
      <c r="M559" s="1395"/>
      <c r="N559" s="1395"/>
      <c r="O559" s="1395"/>
      <c r="P559" s="40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row>
    <row r="560" spans="1:109" ht="15" customHeight="1" x14ac:dyDescent="0.2">
      <c r="B560" s="1555" t="s">
        <v>1595</v>
      </c>
      <c r="C560" s="1555"/>
      <c r="D560" s="1555"/>
      <c r="E560" s="1555"/>
      <c r="F560" s="1555"/>
      <c r="G560" s="1555"/>
      <c r="H560" s="1555"/>
      <c r="I560" s="1555"/>
      <c r="J560" s="1555"/>
      <c r="K560" s="1555"/>
      <c r="L560" s="1555"/>
      <c r="M560" s="1555"/>
      <c r="N560" s="1555"/>
      <c r="O560" s="1555"/>
      <c r="P560" s="1534"/>
      <c r="R560" s="18"/>
      <c r="S560" s="802"/>
      <c r="T560" s="1531" t="s">
        <v>2189</v>
      </c>
      <c r="U560" s="1532"/>
      <c r="V560" s="802"/>
      <c r="W560" s="802"/>
      <c r="X560" s="802"/>
      <c r="Y560" s="802"/>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row>
    <row r="561" spans="2:109" ht="24.75" customHeight="1" x14ac:dyDescent="0.2">
      <c r="B561" s="23" t="s">
        <v>889</v>
      </c>
      <c r="C561" s="1555" t="s">
        <v>1596</v>
      </c>
      <c r="D561" s="1555"/>
      <c r="E561" s="1555"/>
      <c r="F561" s="1555"/>
      <c r="G561" s="1536" t="s">
        <v>1081</v>
      </c>
      <c r="H561" s="1536"/>
      <c r="I561" s="1536"/>
      <c r="J561" s="1536"/>
      <c r="K561" s="1536"/>
      <c r="L561" s="1536"/>
      <c r="M561" s="1536"/>
      <c r="N561" s="1536"/>
      <c r="O561" s="1536"/>
      <c r="P561" s="1534"/>
      <c r="R561" s="18"/>
      <c r="S561" s="799" t="s">
        <v>1655</v>
      </c>
      <c r="T561" s="803" t="s">
        <v>1596</v>
      </c>
      <c r="U561" s="803" t="s">
        <v>1597</v>
      </c>
      <c r="V561" s="1549" t="s">
        <v>1083</v>
      </c>
      <c r="W561" s="1550"/>
      <c r="X561" s="1550"/>
      <c r="Y561" s="1551"/>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row>
    <row r="562" spans="2:109" ht="15" customHeight="1" x14ac:dyDescent="0.2">
      <c r="B562" s="186" t="s">
        <v>1513</v>
      </c>
      <c r="C562" s="1652"/>
      <c r="D562" s="1652"/>
      <c r="E562" s="1558">
        <f>UETable!AV80</f>
        <v>0</v>
      </c>
      <c r="F562" s="1558"/>
      <c r="G562" s="1652"/>
      <c r="H562" s="1652"/>
      <c r="I562" s="1538">
        <f>IF(C562="",0,IF(OR(C562&lt;=0,G562&lt;=0),E562,IF(G562&lt;C562,0,UETable!BA80)))</f>
        <v>0</v>
      </c>
      <c r="J562" s="1538"/>
      <c r="K562" s="1556" t="str">
        <f>IF(OR(C562="NA",G562="NA"),"",IF(AND(C562&lt;&gt;"",G562=""),"Enter contralateral or NA.",IF(AND(C562="",G562&lt;&gt;""),"Need data","")))</f>
        <v/>
      </c>
      <c r="L562" s="1556"/>
      <c r="M562" s="1556"/>
      <c r="N562" s="1556"/>
      <c r="O562" s="1556"/>
      <c r="P562" s="1534"/>
      <c r="R562" s="18"/>
      <c r="S562" s="799">
        <v>150</v>
      </c>
      <c r="T562" s="799" t="str">
        <f t="shared" ref="T562:T569" si="89">IF(OR(C562="",C562="NA"),"",IF(C562&gt;S562,S562,IF(C562&lt;0,0,C562)))</f>
        <v/>
      </c>
      <c r="U562" s="799" t="str">
        <f>IF(OR(G562="",G562="NA"),"",IF(G562&gt;S562,S562,IF(G562&lt;0,0,G562)))</f>
        <v/>
      </c>
      <c r="V562" s="696" t="str">
        <f>IF(Y562="","",ROUND(Y562,0))</f>
        <v/>
      </c>
      <c r="W562" s="1410" t="s">
        <v>1203</v>
      </c>
      <c r="X562" s="1410"/>
      <c r="Y562" s="697" t="str">
        <f>IF(T562="","",IF(OR(U562="",U562=0,U562&lt;T562),T562,(T562*150)/U562))</f>
        <v/>
      </c>
      <c r="Z562" s="18"/>
      <c r="AA562" s="18"/>
      <c r="AB562" s="18"/>
      <c r="AC562" s="18"/>
      <c r="AD562" s="18"/>
      <c r="AE562" s="18"/>
      <c r="AF562" s="18"/>
      <c r="AG562" s="18"/>
      <c r="AH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row>
    <row r="563" spans="2:109" ht="15" customHeight="1" x14ac:dyDescent="0.2">
      <c r="B563" s="186" t="s">
        <v>1204</v>
      </c>
      <c r="C563" s="1652"/>
      <c r="D563" s="1652"/>
      <c r="E563" s="1558">
        <f>IF(AND(AJ569=1,AK569=1),"ERROR",UETable!AV81)</f>
        <v>0</v>
      </c>
      <c r="F563" s="1558"/>
      <c r="G563" s="1556" t="str">
        <f>IF(AND($AK$569=1,$AJ$569=1),"Cannot rate ROM and ankylosis.","")</f>
        <v/>
      </c>
      <c r="H563" s="1556"/>
      <c r="I563" s="1556"/>
      <c r="J563" s="1556"/>
      <c r="K563" s="1556"/>
      <c r="L563" s="1556"/>
      <c r="M563" s="1556"/>
      <c r="N563" s="1556"/>
      <c r="O563" s="1556"/>
      <c r="P563" s="1534"/>
      <c r="R563" s="18"/>
      <c r="S563" s="799">
        <v>150</v>
      </c>
      <c r="T563" s="801" t="str">
        <f t="shared" si="89"/>
        <v/>
      </c>
      <c r="U563" s="18"/>
      <c r="V563" s="73"/>
      <c r="W563" s="18"/>
      <c r="X563" s="18"/>
      <c r="Y563" s="159"/>
      <c r="Z563" s="18"/>
      <c r="AA563" s="18"/>
      <c r="AB563" s="73"/>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row>
    <row r="564" spans="2:109" ht="15" customHeight="1" x14ac:dyDescent="0.2">
      <c r="B564" s="186" t="s">
        <v>1177</v>
      </c>
      <c r="C564" s="1652"/>
      <c r="D564" s="1652"/>
      <c r="E564" s="1558">
        <f>UETable!AV82</f>
        <v>0</v>
      </c>
      <c r="F564" s="1558"/>
      <c r="G564" s="1652"/>
      <c r="H564" s="1652"/>
      <c r="I564" s="1538">
        <f>IF(C564="",0,IF(OR(C564&gt;=150,G564&gt;=150),E564,IF(G564&gt;C564,0,UETable!BA82)))</f>
        <v>0</v>
      </c>
      <c r="J564" s="1538"/>
      <c r="K564" s="1556" t="str">
        <f>IF(OR(C564="NA",G564="NA"),"",IF(AND(C564&lt;&gt;"",G564=""),"Enter contralateral or NA.",IF(AND(C564="",G564&lt;&gt;""),"Need data","")))</f>
        <v/>
      </c>
      <c r="L564" s="1556"/>
      <c r="M564" s="1556"/>
      <c r="N564" s="1556"/>
      <c r="O564" s="1556"/>
      <c r="P564" s="1534"/>
      <c r="R564" s="18"/>
      <c r="S564" s="799">
        <v>150</v>
      </c>
      <c r="T564" s="799" t="str">
        <f t="shared" si="89"/>
        <v/>
      </c>
      <c r="U564" s="799" t="str">
        <f>IF(OR(G564="",G564="NA"),"",IF(G564&gt;S564,S564,IF(G564&lt;0,0,G564)))</f>
        <v/>
      </c>
      <c r="V564" s="696" t="str">
        <f>IF(Y564="","",ROUND(Y564,0))</f>
        <v/>
      </c>
      <c r="W564" s="799">
        <f>IF(T564="",0,150-T564)</f>
        <v>0</v>
      </c>
      <c r="X564" s="799">
        <f>IF(U564="",0,150-U564)</f>
        <v>0</v>
      </c>
      <c r="Y564" s="697" t="str">
        <f>IF(T564="","",IF(OR(U564="",U564=0,U564&gt;T564),T564,150-(W564*150)/X564))</f>
        <v/>
      </c>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row>
    <row r="565" spans="2:109" ht="15" customHeight="1" x14ac:dyDescent="0.2">
      <c r="B565" s="186" t="s">
        <v>1206</v>
      </c>
      <c r="C565" s="1652"/>
      <c r="D565" s="1652"/>
      <c r="E565" s="1558">
        <f>IF(AND(AJ569=1,AK569=1),"ERROR",UETable!AV83)</f>
        <v>0</v>
      </c>
      <c r="F565" s="1558"/>
      <c r="G565" s="1556" t="str">
        <f>IF(AND($AK$569=1,$AJ$569=1),"Cannot rate ROM and ankylosis.","")</f>
        <v/>
      </c>
      <c r="H565" s="1556"/>
      <c r="I565" s="1556"/>
      <c r="J565" s="1556"/>
      <c r="K565" s="1556"/>
      <c r="L565" s="1556"/>
      <c r="M565" s="1556"/>
      <c r="N565" s="1556"/>
      <c r="O565" s="1556"/>
      <c r="P565" s="1534"/>
      <c r="R565" s="18"/>
      <c r="S565" s="799">
        <v>150</v>
      </c>
      <c r="T565" s="800" t="str">
        <f t="shared" si="89"/>
        <v/>
      </c>
      <c r="U565" s="18"/>
      <c r="V565" s="18"/>
      <c r="W565" s="18"/>
      <c r="X565" s="18"/>
      <c r="Y565" s="18"/>
      <c r="Z565" s="18"/>
      <c r="AA565" s="18"/>
      <c r="AB565" s="18"/>
      <c r="AC565" s="242">
        <f>MAX(E563,E565,E567,E569)</f>
        <v>0</v>
      </c>
      <c r="AD565" s="1410" t="s">
        <v>1943</v>
      </c>
      <c r="AE565" s="1410"/>
      <c r="AF565" s="1410"/>
      <c r="AG565" s="1410"/>
      <c r="AH565" s="18"/>
      <c r="AI565" s="1379" t="s">
        <v>930</v>
      </c>
      <c r="AJ565" s="1379" t="s">
        <v>692</v>
      </c>
      <c r="AK565" s="1379" t="s">
        <v>693</v>
      </c>
      <c r="AL565" s="1379" t="s">
        <v>895</v>
      </c>
      <c r="AM565" s="143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row>
    <row r="566" spans="2:109" ht="15" customHeight="1" x14ac:dyDescent="0.2">
      <c r="B566" s="185" t="s">
        <v>913</v>
      </c>
      <c r="C566" s="1308"/>
      <c r="D566" s="1308"/>
      <c r="E566" s="1558">
        <f>UETable!AV84</f>
        <v>0</v>
      </c>
      <c r="F566" s="1558"/>
      <c r="G566" s="1308"/>
      <c r="H566" s="1308"/>
      <c r="I566" s="1538">
        <f>IF(C566="",0,IF(OR(C566&lt;=0,G566&lt;=0),E566,IF(G566&lt;C566,0,UETable!BA84)))</f>
        <v>0</v>
      </c>
      <c r="J566" s="1538"/>
      <c r="K566" s="1556" t="str">
        <f>IF(OR(C566="NA",G566="NA"),"",IF(AND(C566&lt;&gt;"",G566=""),"Enter contralateral or NA.",IF(AND(C566="",G566&lt;&gt;""),"Need data","")))</f>
        <v/>
      </c>
      <c r="L566" s="1556"/>
      <c r="M566" s="1556"/>
      <c r="N566" s="1556"/>
      <c r="O566" s="1556"/>
      <c r="P566" s="1534"/>
      <c r="R566" s="18"/>
      <c r="S566" s="799">
        <v>80</v>
      </c>
      <c r="T566" s="799" t="str">
        <f t="shared" si="89"/>
        <v/>
      </c>
      <c r="U566" s="799" t="str">
        <f>IF(OR(G566="",G566="NA"),"",IF(G566&gt;S566,S566,IF(G566&lt;0,0,G566)))</f>
        <v/>
      </c>
      <c r="V566" s="696" t="str">
        <f>IF(Y566="","",ROUND(Y566,0))</f>
        <v/>
      </c>
      <c r="W566" s="18"/>
      <c r="X566" s="18"/>
      <c r="Y566" s="697" t="str">
        <f>IF(T566="","",IF(OR(U566="",U566=0,U566&lt;T566),T566,(T566*80)/U566))</f>
        <v/>
      </c>
      <c r="Z566" s="18"/>
      <c r="AA566" s="18"/>
      <c r="AB566" s="18"/>
      <c r="AC566" s="747">
        <f>IF(AND(AJ569=1,AK569=1),"ERROR",SUM(I562,I564,I566,I568,AC565))</f>
        <v>0</v>
      </c>
      <c r="AD566" s="1410" t="s">
        <v>1176</v>
      </c>
      <c r="AE566" s="1410"/>
      <c r="AF566" s="1410"/>
      <c r="AG566" s="1410"/>
      <c r="AH566" s="47"/>
      <c r="AI566" s="1379"/>
      <c r="AJ566" s="1379"/>
      <c r="AK566" s="1379"/>
      <c r="AL566" s="1379"/>
      <c r="AM566" s="143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row>
    <row r="567" spans="2:109" ht="15" customHeight="1" x14ac:dyDescent="0.2">
      <c r="B567" s="185" t="s">
        <v>931</v>
      </c>
      <c r="C567" s="1308"/>
      <c r="D567" s="1308"/>
      <c r="E567" s="1558">
        <f>IF(AND(AJ569,AK569=1),"ERROR",UETable!AV85)</f>
        <v>0</v>
      </c>
      <c r="F567" s="1558"/>
      <c r="G567" s="1556" t="str">
        <f>IF(AND($AK$569=1,$AJ$569=1),"Cannot rate ROM and ankylosis.","")</f>
        <v/>
      </c>
      <c r="H567" s="1556"/>
      <c r="I567" s="1556"/>
      <c r="J567" s="1556"/>
      <c r="K567" s="1556"/>
      <c r="L567" s="1556"/>
      <c r="M567" s="1556"/>
      <c r="N567" s="1556"/>
      <c r="O567" s="1556"/>
      <c r="P567" s="1534"/>
      <c r="R567" s="18"/>
      <c r="S567" s="799">
        <v>80</v>
      </c>
      <c r="T567" s="800" t="str">
        <f t="shared" si="89"/>
        <v/>
      </c>
      <c r="U567" s="18"/>
      <c r="V567" s="18"/>
      <c r="W567" s="18"/>
      <c r="X567" s="18"/>
      <c r="Y567" s="18"/>
      <c r="Z567" s="18"/>
      <c r="AA567" s="18"/>
      <c r="AB567" s="18"/>
      <c r="AC567" s="18"/>
      <c r="AD567" s="18"/>
      <c r="AE567" s="18"/>
      <c r="AF567" s="18"/>
      <c r="AG567" s="18"/>
      <c r="AH567" s="47"/>
      <c r="AI567" s="1379"/>
      <c r="AJ567" s="1379"/>
      <c r="AK567" s="1379"/>
      <c r="AL567" s="1379"/>
      <c r="AM567" s="143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row>
    <row r="568" spans="2:109" ht="15" customHeight="1" x14ac:dyDescent="0.2">
      <c r="B568" s="185" t="s">
        <v>914</v>
      </c>
      <c r="C568" s="1308"/>
      <c r="D568" s="1308"/>
      <c r="E568" s="1558">
        <f>UETable!AV86</f>
        <v>0</v>
      </c>
      <c r="F568" s="1558"/>
      <c r="G568" s="1308"/>
      <c r="H568" s="1308"/>
      <c r="I568" s="1538">
        <f>IF(C568="",0,IF(OR(C568&lt;=0,G568&lt;=0),E568,IF(G568&lt;C568,0,UETable!BA86)))</f>
        <v>0</v>
      </c>
      <c r="J568" s="1538"/>
      <c r="K568" s="1556" t="str">
        <f>IF(OR(C568="NA",G568="NA"),"",IF(AND(C568&lt;&gt;"",G568=""),"Enter contralateral or NA.",IF(AND(C568="",G568&lt;&gt;""),"Need data","")))</f>
        <v/>
      </c>
      <c r="L568" s="1556"/>
      <c r="M568" s="1556"/>
      <c r="N568" s="1556"/>
      <c r="O568" s="1556"/>
      <c r="P568" s="1534"/>
      <c r="R568" s="18"/>
      <c r="S568" s="799">
        <v>80</v>
      </c>
      <c r="T568" s="799" t="str">
        <f t="shared" si="89"/>
        <v/>
      </c>
      <c r="U568" s="799" t="str">
        <f>IF(OR(G568="",G568="NA"),"",IF(G568&gt;S568,S568,IF(G568&lt;0,0,G568)))</f>
        <v/>
      </c>
      <c r="V568" s="737" t="str">
        <f>IF(Y568="","",ROUND(Y568,0))</f>
        <v/>
      </c>
      <c r="W568" s="18"/>
      <c r="X568" s="18"/>
      <c r="Y568" s="738" t="str">
        <f>IF(T568="","",IF(OR(U568="",U568=0,U568&lt;T568),T568,(T568*80)/U568))</f>
        <v/>
      </c>
      <c r="Z568" s="18"/>
      <c r="AA568" s="18"/>
      <c r="AB568" s="18"/>
      <c r="AC568" s="18"/>
      <c r="AD568" s="18"/>
      <c r="AE568" s="18"/>
      <c r="AF568" s="18"/>
      <c r="AG568" s="18"/>
      <c r="AH568" s="47"/>
      <c r="AI568" s="1379"/>
      <c r="AJ568" s="1379"/>
      <c r="AK568" s="1379"/>
      <c r="AL568" s="1379"/>
      <c r="AM568" s="143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row>
    <row r="569" spans="2:109" ht="15" customHeight="1" x14ac:dyDescent="0.2">
      <c r="B569" s="185" t="s">
        <v>932</v>
      </c>
      <c r="C569" s="1308"/>
      <c r="D569" s="1308"/>
      <c r="E569" s="1558">
        <f>IF(AND(AJ569,AK569=1),"ERROR",UETable!AV87)</f>
        <v>0</v>
      </c>
      <c r="F569" s="1558"/>
      <c r="G569" s="1556" t="str">
        <f>IF(AND($AK$569=1,$AJ$569=1),"Cannot rate ROM and ankylosis.","")</f>
        <v/>
      </c>
      <c r="H569" s="1556"/>
      <c r="I569" s="1556"/>
      <c r="J569" s="1556"/>
      <c r="K569" s="1556"/>
      <c r="L569" s="1556"/>
      <c r="M569" s="1556"/>
      <c r="N569" s="1556"/>
      <c r="O569" s="1556"/>
      <c r="P569" s="1534"/>
      <c r="R569" s="18"/>
      <c r="S569" s="799">
        <v>80</v>
      </c>
      <c r="T569" s="800" t="str">
        <f t="shared" si="89"/>
        <v/>
      </c>
      <c r="U569" s="805"/>
      <c r="V569" s="1555" t="s">
        <v>2190</v>
      </c>
      <c r="W569" s="1555"/>
      <c r="X569" s="1555"/>
      <c r="Y569" s="1555"/>
      <c r="Z569" s="1555"/>
      <c r="AA569" s="1555"/>
      <c r="AB569" s="1555"/>
      <c r="AC569" s="1555"/>
      <c r="AH569" s="18"/>
      <c r="AI569" s="805">
        <f>SUM(W570=1,Y570=1,AA570=1,AC570=1)</f>
        <v>0</v>
      </c>
      <c r="AJ569" s="805">
        <f>IF(OR(V570=1,X570=1,Z570=1,AB570=1),1,0)</f>
        <v>0</v>
      </c>
      <c r="AK569" s="805">
        <f>IF(OR(W570=1,Y570=1,AA570=1,AC570=1),1,0)</f>
        <v>0</v>
      </c>
      <c r="AL569" s="807">
        <f>SUM(V570,X570,Z570,AB570)</f>
        <v>0</v>
      </c>
      <c r="AM569" s="812"/>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row>
    <row r="570" spans="2:109" ht="15" customHeight="1" x14ac:dyDescent="0.2">
      <c r="B570" s="1662" t="str">
        <f>IF(AI569&gt;1,"Multiple ankylosis values; use highest value only.","")</f>
        <v/>
      </c>
      <c r="C570" s="1663"/>
      <c r="D570" s="1663"/>
      <c r="E570" s="1663"/>
      <c r="F570" s="1663"/>
      <c r="G570" s="1663"/>
      <c r="H570" s="1663"/>
      <c r="I570" s="1663"/>
      <c r="J570" s="1664"/>
      <c r="K570" s="1646" t="s">
        <v>717</v>
      </c>
      <c r="L570" s="1647"/>
      <c r="M570" s="1647"/>
      <c r="N570" s="1647"/>
      <c r="O570" s="1648"/>
      <c r="P570" s="360">
        <f>IF(AND(AJ569=1,AK569=1),"ERROR",IF(AND(AC566&gt;0,AC566&lt;0.01),0.01,ROUND(AC566,2)))</f>
        <v>0</v>
      </c>
      <c r="R570" s="166"/>
      <c r="S570" s="157"/>
      <c r="T570" s="18"/>
      <c r="U570" s="18"/>
      <c r="V570" s="805">
        <f>IF(AND(C562&lt;&gt;"",C562&lt;&gt;"NA"),1,0)</f>
        <v>0</v>
      </c>
      <c r="W570" s="805">
        <f>IF(AND(C563&lt;&gt;"",C563&lt;&gt;"NA"),1,0)</f>
        <v>0</v>
      </c>
      <c r="X570" s="805">
        <f>IF(AND(C564&lt;&gt;"",C564&lt;&gt;"NA"),1,0)</f>
        <v>0</v>
      </c>
      <c r="Y570" s="805">
        <f>IF(AND(C565&lt;&gt;"",C565&lt;&gt;"NA"),1,0)</f>
        <v>0</v>
      </c>
      <c r="Z570" s="805">
        <f>IF(AND(C566&lt;&gt;"",C566&lt;&gt;"NA"),1,0)</f>
        <v>0</v>
      </c>
      <c r="AA570" s="805">
        <f>IF(AND(C567&lt;&gt;"",C567&lt;&gt;"NA"),1,0)</f>
        <v>0</v>
      </c>
      <c r="AB570" s="805">
        <f>IF(AND(C568&lt;&gt;"",C568&lt;&gt;"NA"),1,0)</f>
        <v>0</v>
      </c>
      <c r="AC570" s="805">
        <f>IF(AND(C569&lt;&gt;"",C569&lt;&gt;"NA"),1,0)</f>
        <v>0</v>
      </c>
      <c r="AF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row>
    <row r="571" spans="2:109" ht="6.75" customHeight="1" x14ac:dyDescent="0.2">
      <c r="B571" s="1395"/>
      <c r="C571" s="1395"/>
      <c r="D571" s="1395"/>
      <c r="E571" s="1395"/>
      <c r="F571" s="1395"/>
      <c r="G571" s="1395"/>
      <c r="H571" s="1395"/>
      <c r="I571" s="1395"/>
      <c r="J571" s="1395"/>
      <c r="K571" s="1395"/>
      <c r="L571" s="1395"/>
      <c r="M571" s="1395"/>
      <c r="N571" s="1395"/>
      <c r="O571" s="1395"/>
      <c r="P571" s="3"/>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row>
    <row r="572" spans="2:109" ht="6" customHeight="1" x14ac:dyDescent="0.2">
      <c r="B572" s="1395"/>
      <c r="C572" s="1395"/>
      <c r="D572" s="1395"/>
      <c r="E572" s="1395"/>
      <c r="F572" s="1395"/>
      <c r="G572" s="1395"/>
      <c r="H572" s="1395"/>
      <c r="I572" s="1395"/>
      <c r="J572" s="1395"/>
      <c r="K572" s="1395"/>
      <c r="L572" s="1395"/>
      <c r="M572" s="1395"/>
      <c r="N572" s="1395"/>
      <c r="O572" s="1395"/>
      <c r="P572" s="3"/>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row>
    <row r="573" spans="2:109" ht="18" customHeight="1" x14ac:dyDescent="0.2">
      <c r="B573" s="1374" t="s">
        <v>718</v>
      </c>
      <c r="C573" s="1375"/>
      <c r="D573" s="1376"/>
      <c r="E573" s="1637"/>
      <c r="F573" s="1637"/>
      <c r="G573" s="1637"/>
      <c r="H573" s="1637"/>
      <c r="I573" s="1637"/>
      <c r="J573" s="1637"/>
      <c r="K573" s="1637"/>
      <c r="L573" s="1637"/>
      <c r="M573" s="1637"/>
      <c r="N573" s="1637"/>
      <c r="O573" s="1637"/>
      <c r="P573" s="303">
        <f>IF(E573=S573,0,IF(E573=T573,0.05,IF(E573=U573,0.1,IF(E573=V573,0.15,IF(E573=W573,0.2,0)))))</f>
        <v>0</v>
      </c>
      <c r="R573" s="729"/>
      <c r="S573" s="807" t="s">
        <v>719</v>
      </c>
      <c r="T573" s="805" t="s">
        <v>720</v>
      </c>
      <c r="U573" s="806" t="s">
        <v>721</v>
      </c>
      <c r="V573" s="805" t="s">
        <v>722</v>
      </c>
      <c r="W573" s="806" t="s">
        <v>723</v>
      </c>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row>
    <row r="574" spans="2:109" ht="12" customHeight="1" x14ac:dyDescent="0.2">
      <c r="B574" s="1395"/>
      <c r="C574" s="1395"/>
      <c r="D574" s="1395"/>
      <c r="E574" s="1395"/>
      <c r="F574" s="1395"/>
      <c r="G574" s="1395"/>
      <c r="H574" s="1395"/>
      <c r="I574" s="1395"/>
      <c r="J574" s="1395"/>
      <c r="K574" s="1395"/>
      <c r="L574" s="1395"/>
      <c r="M574" s="1395"/>
      <c r="N574" s="1395"/>
      <c r="O574" s="1395"/>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row>
    <row r="575" spans="2:109" ht="18" customHeight="1" x14ac:dyDescent="0.2">
      <c r="B575" s="1410" t="s">
        <v>724</v>
      </c>
      <c r="C575" s="1410"/>
      <c r="D575" s="1410"/>
      <c r="E575" s="1410"/>
      <c r="F575" s="1410"/>
      <c r="G575" s="1410"/>
      <c r="H575" s="1410"/>
      <c r="I575" s="1410"/>
      <c r="J575" s="1410"/>
      <c r="K575" s="1345"/>
      <c r="L575" s="1501"/>
      <c r="M575" s="1501"/>
      <c r="N575" s="1501"/>
      <c r="O575" s="1440"/>
      <c r="P575" s="303">
        <f>IF(K575=S575,0.07,IF(K575=T575,0.14,IF(K575=U575,0.21,0)))</f>
        <v>0</v>
      </c>
      <c r="R575" s="37"/>
      <c r="S575" s="807" t="s">
        <v>725</v>
      </c>
      <c r="T575" s="807" t="s">
        <v>726</v>
      </c>
      <c r="U575" s="813" t="s">
        <v>727</v>
      </c>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row>
    <row r="576" spans="2:109" ht="12" customHeight="1" x14ac:dyDescent="0.2">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row>
    <row r="577" spans="1:109" ht="18" customHeight="1" x14ac:dyDescent="0.2">
      <c r="A577" s="189"/>
      <c r="B577" s="1374" t="s">
        <v>791</v>
      </c>
      <c r="C577" s="1375"/>
      <c r="D577" s="1375"/>
      <c r="E577" s="1375"/>
      <c r="F577" s="1376"/>
      <c r="G577" s="1639"/>
      <c r="H577" s="1639"/>
      <c r="I577" s="1656" t="s">
        <v>205</v>
      </c>
      <c r="J577" s="1656"/>
      <c r="K577" s="1656"/>
      <c r="L577" s="1656"/>
      <c r="M577" s="1656"/>
      <c r="N577" s="1656"/>
      <c r="O577" s="1656"/>
      <c r="P577" s="303">
        <f>IF(T577=1,0.25,0)</f>
        <v>0</v>
      </c>
      <c r="R577" s="804" t="s">
        <v>2218</v>
      </c>
      <c r="S577" s="793" t="b">
        <v>0</v>
      </c>
      <c r="T577" s="805">
        <f>IF(S577=TRUE,1,0)</f>
        <v>0</v>
      </c>
      <c r="U577" s="18"/>
      <c r="V577" s="18"/>
      <c r="W577" s="18"/>
      <c r="X577" s="18"/>
      <c r="Y577" s="18"/>
      <c r="Z577" s="18">
        <v>1E-4</v>
      </c>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row>
    <row r="578" spans="1:109" ht="12" customHeight="1" x14ac:dyDescent="0.2">
      <c r="B578" s="1395"/>
      <c r="C578" s="1395"/>
      <c r="D578" s="1395"/>
      <c r="E578" s="1395"/>
      <c r="F578" s="1395"/>
      <c r="G578" s="1395"/>
      <c r="H578" s="1395"/>
      <c r="I578" s="1395"/>
      <c r="J578" s="1395"/>
      <c r="K578" s="1395"/>
      <c r="L578" s="1395"/>
      <c r="M578" s="1395"/>
      <c r="N578" s="1395"/>
      <c r="O578" s="1395"/>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row>
    <row r="579" spans="1:109" ht="39" customHeight="1" x14ac:dyDescent="0.2">
      <c r="A579" s="189"/>
      <c r="B579" s="550" t="s">
        <v>972</v>
      </c>
      <c r="C579" s="1649"/>
      <c r="D579" s="1639"/>
      <c r="E579" s="1639"/>
      <c r="F579" s="1639"/>
      <c r="G579" s="1639"/>
      <c r="H579" s="1639"/>
      <c r="I579" s="1639"/>
      <c r="J579" s="1639"/>
      <c r="K579" s="1639"/>
      <c r="L579" s="1639"/>
      <c r="M579" s="1639"/>
      <c r="N579" s="1639"/>
      <c r="O579" s="1639"/>
      <c r="P579" s="26">
        <f>IF(R579=2,0.1,IF(R579=3,0.15,0))</f>
        <v>0</v>
      </c>
      <c r="R579" s="686">
        <v>1</v>
      </c>
      <c r="S579" s="812"/>
      <c r="T579" s="18"/>
      <c r="U579" s="18"/>
      <c r="V579" s="18"/>
      <c r="W579" s="18">
        <v>1E-4</v>
      </c>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row>
    <row r="580" spans="1:109" ht="19.5" customHeight="1" x14ac:dyDescent="0.2">
      <c r="B580" s="580"/>
      <c r="C580" s="1649"/>
      <c r="D580" s="1639"/>
      <c r="E580" s="1639"/>
      <c r="F580" s="1639"/>
      <c r="G580" s="1639"/>
      <c r="H580" s="1639"/>
      <c r="I580" s="1639"/>
      <c r="J580" s="1639"/>
      <c r="K580" s="1639"/>
      <c r="L580" s="1639"/>
      <c r="M580" s="1639"/>
      <c r="N580" s="1639"/>
      <c r="O580" s="1639"/>
      <c r="P580" s="26">
        <f>IF(R580=2,0.35,0)</f>
        <v>0</v>
      </c>
      <c r="R580" s="686">
        <v>1</v>
      </c>
      <c r="S580" s="812"/>
      <c r="T580" s="18"/>
      <c r="U580" s="18"/>
      <c r="V580" s="19"/>
      <c r="W580" s="19"/>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row>
    <row r="581" spans="1:109" ht="19.5" customHeight="1" x14ac:dyDescent="0.2">
      <c r="B581" s="471"/>
      <c r="C581" s="1649"/>
      <c r="D581" s="1639"/>
      <c r="E581" s="1639"/>
      <c r="F581" s="1639"/>
      <c r="G581" s="1639"/>
      <c r="H581" s="1639"/>
      <c r="I581" s="1639"/>
      <c r="J581" s="1639"/>
      <c r="K581" s="1639"/>
      <c r="L581" s="1639"/>
      <c r="M581" s="1639"/>
      <c r="N581" s="1639"/>
      <c r="O581" s="1639"/>
      <c r="P581" s="26">
        <f>IF(R581=2,0.15,0)</f>
        <v>0</v>
      </c>
      <c r="R581" s="686">
        <v>1</v>
      </c>
      <c r="S581" s="812"/>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row>
    <row r="582" spans="1:109" ht="12" customHeight="1" x14ac:dyDescent="0.2">
      <c r="B582" s="1395"/>
      <c r="C582" s="1395"/>
      <c r="D582" s="1395"/>
      <c r="E582" s="1395"/>
      <c r="F582" s="1395"/>
      <c r="G582" s="1395"/>
      <c r="H582" s="1395"/>
      <c r="I582" s="1395"/>
      <c r="J582" s="1395"/>
      <c r="K582" s="1395"/>
      <c r="L582" s="1395"/>
      <c r="M582" s="1395"/>
      <c r="N582" s="1395"/>
      <c r="O582" s="1395"/>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row>
    <row r="583" spans="1:109" ht="15" customHeight="1" x14ac:dyDescent="0.2">
      <c r="B583" s="1541" t="s">
        <v>472</v>
      </c>
      <c r="C583" s="1541"/>
      <c r="D583" s="1541"/>
      <c r="E583" s="1541"/>
      <c r="F583" s="1541"/>
      <c r="G583" s="1541"/>
      <c r="H583" s="1541"/>
      <c r="I583" s="1541"/>
      <c r="J583" s="1541"/>
      <c r="K583" s="1541"/>
      <c r="L583" s="1541"/>
      <c r="M583" s="1541"/>
      <c r="N583" s="1541"/>
      <c r="O583" s="388"/>
      <c r="P583" s="26">
        <f>SUMIF(S583:W583,O583,S584:W584)</f>
        <v>0</v>
      </c>
      <c r="R583" s="1797" t="s">
        <v>2219</v>
      </c>
      <c r="S583" s="807" t="s">
        <v>1969</v>
      </c>
      <c r="T583" s="807" t="s">
        <v>1970</v>
      </c>
      <c r="U583" s="813" t="s">
        <v>1972</v>
      </c>
      <c r="V583" s="807" t="s">
        <v>945</v>
      </c>
      <c r="W583" s="813" t="s">
        <v>558</v>
      </c>
      <c r="X583" s="1791" t="s">
        <v>2220</v>
      </c>
      <c r="Y583" s="1791"/>
      <c r="Z583" s="807" t="s">
        <v>1969</v>
      </c>
      <c r="AA583" s="807" t="s">
        <v>1970</v>
      </c>
      <c r="AB583" s="813" t="s">
        <v>1972</v>
      </c>
      <c r="AC583" s="807" t="s">
        <v>945</v>
      </c>
      <c r="AD583" s="813" t="s">
        <v>558</v>
      </c>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row>
    <row r="584" spans="1:109" ht="15" customHeight="1" x14ac:dyDescent="0.2">
      <c r="B584" s="1541" t="s">
        <v>1499</v>
      </c>
      <c r="C584" s="1541"/>
      <c r="D584" s="1541"/>
      <c r="E584" s="1541"/>
      <c r="F584" s="1541"/>
      <c r="G584" s="1541"/>
      <c r="H584" s="1541"/>
      <c r="I584" s="1541"/>
      <c r="J584" s="1541"/>
      <c r="K584" s="1541"/>
      <c r="L584" s="1541"/>
      <c r="M584" s="1541"/>
      <c r="N584" s="1541"/>
      <c r="O584" s="388"/>
      <c r="P584" s="26">
        <f>SUMIF(Z583:AD583,O584,Z584:AD584)</f>
        <v>0</v>
      </c>
      <c r="R584" s="1797"/>
      <c r="S584" s="813">
        <v>0.03</v>
      </c>
      <c r="T584" s="813">
        <v>0.15</v>
      </c>
      <c r="U584" s="813">
        <v>0.38</v>
      </c>
      <c r="V584" s="813">
        <v>0.68</v>
      </c>
      <c r="W584" s="813">
        <v>0.9</v>
      </c>
      <c r="X584" s="1791"/>
      <c r="Y584" s="1791"/>
      <c r="Z584" s="813">
        <v>0.03</v>
      </c>
      <c r="AA584" s="813">
        <v>0.15</v>
      </c>
      <c r="AB584" s="813">
        <v>0.35</v>
      </c>
      <c r="AC584" s="813">
        <v>0.63</v>
      </c>
      <c r="AD584" s="813">
        <v>0.88</v>
      </c>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row>
    <row r="585" spans="1:109" ht="12" customHeight="1" x14ac:dyDescent="0.2">
      <c r="B585" s="1395"/>
      <c r="C585" s="1395"/>
      <c r="D585" s="1395"/>
      <c r="E585" s="1395"/>
      <c r="F585" s="1395"/>
      <c r="G585" s="1395"/>
      <c r="H585" s="1395"/>
      <c r="I585" s="1395"/>
      <c r="J585" s="1395"/>
      <c r="K585" s="1395"/>
      <c r="L585" s="1395"/>
      <c r="M585" s="1395"/>
      <c r="N585" s="1395"/>
      <c r="O585" s="1395"/>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row>
    <row r="586" spans="1:109" ht="18" customHeight="1" x14ac:dyDescent="0.2">
      <c r="B586" s="1687" t="s">
        <v>890</v>
      </c>
      <c r="C586" s="1534"/>
      <c r="D586" s="1534"/>
      <c r="E586" s="1534"/>
      <c r="F586" s="1534"/>
      <c r="G586" s="1534"/>
      <c r="H586" s="1534"/>
      <c r="I586" s="1534"/>
      <c r="J586" s="1534"/>
      <c r="K586" s="1534"/>
      <c r="L586" s="1534"/>
      <c r="M586" s="1534"/>
      <c r="N586" s="1534"/>
      <c r="O586" s="1534"/>
      <c r="P586" s="1555"/>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row>
    <row r="587" spans="1:109" ht="41.25" customHeight="1" x14ac:dyDescent="0.2">
      <c r="B587" s="1379" t="s">
        <v>1680</v>
      </c>
      <c r="C587" s="1379"/>
      <c r="D587" s="1379"/>
      <c r="E587" s="1379"/>
      <c r="F587" s="1379"/>
      <c r="G587" s="1379"/>
      <c r="H587" s="1379"/>
      <c r="I587" s="1379"/>
      <c r="J587" s="1379"/>
      <c r="K587" s="1379"/>
      <c r="L587" s="1379"/>
      <c r="M587" s="1379"/>
      <c r="N587" s="1379"/>
      <c r="O587" s="1379"/>
      <c r="P587" s="1555"/>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row>
    <row r="588" spans="1:109" ht="19.5" customHeight="1" x14ac:dyDescent="0.2">
      <c r="A588" s="189"/>
      <c r="B588" s="1410" t="s">
        <v>948</v>
      </c>
      <c r="C588" s="1410"/>
      <c r="D588" s="1410"/>
      <c r="E588" s="1410"/>
      <c r="F588" s="1410"/>
      <c r="G588" s="1410"/>
      <c r="H588" s="1410"/>
      <c r="I588" s="1410"/>
      <c r="J588" s="1410"/>
      <c r="K588" s="1410"/>
      <c r="L588" s="1639"/>
      <c r="M588" s="1639"/>
      <c r="N588" s="1639"/>
      <c r="O588" s="1639"/>
      <c r="P588" s="26">
        <f>IF(R588=1,0.05,0)</f>
        <v>0</v>
      </c>
      <c r="R588" s="686">
        <v>2</v>
      </c>
      <c r="S588" s="18"/>
      <c r="T588" s="18"/>
      <c r="U588" s="18"/>
      <c r="V588" s="18"/>
      <c r="W588" s="18">
        <v>1E-4</v>
      </c>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row>
    <row r="589" spans="1:109" ht="12" customHeight="1" x14ac:dyDescent="0.2">
      <c r="B589" s="1395"/>
      <c r="C589" s="1395"/>
      <c r="D589" s="1395"/>
      <c r="E589" s="1395"/>
      <c r="F589" s="1395"/>
      <c r="G589" s="1395"/>
      <c r="H589" s="1395"/>
      <c r="I589" s="1395"/>
      <c r="J589" s="1395"/>
      <c r="K589" s="1395"/>
      <c r="L589" s="1395"/>
      <c r="M589" s="1395"/>
      <c r="N589" s="1395"/>
      <c r="O589" s="1395"/>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row>
    <row r="590" spans="1:109" ht="18" customHeight="1" x14ac:dyDescent="0.2">
      <c r="B590" s="1687" t="s">
        <v>1274</v>
      </c>
      <c r="C590" s="1534"/>
      <c r="D590" s="1534"/>
      <c r="E590" s="1534"/>
      <c r="F590" s="1534"/>
      <c r="G590" s="1534"/>
      <c r="H590" s="1534"/>
      <c r="I590" s="1534"/>
      <c r="J590" s="1534"/>
      <c r="K590" s="1534"/>
      <c r="L590" s="1534"/>
      <c r="M590" s="1534"/>
      <c r="N590" s="1534"/>
      <c r="O590" s="1534"/>
      <c r="P590" s="1450"/>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row>
    <row r="591" spans="1:109" ht="33" customHeight="1" x14ac:dyDescent="0.2">
      <c r="B591" s="1379" t="s">
        <v>1646</v>
      </c>
      <c r="C591" s="1379"/>
      <c r="D591" s="1379"/>
      <c r="E591" s="1379"/>
      <c r="F591" s="1379"/>
      <c r="G591" s="1379"/>
      <c r="H591" s="1379"/>
      <c r="I591" s="1379"/>
      <c r="J591" s="1379"/>
      <c r="K591" s="1379"/>
      <c r="L591" s="1379"/>
      <c r="M591" s="1379"/>
      <c r="N591" s="1379"/>
      <c r="O591" s="1379"/>
      <c r="P591" s="1452"/>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row>
    <row r="592" spans="1:109" ht="28.5" customHeight="1" x14ac:dyDescent="0.2">
      <c r="B592" s="1629"/>
      <c r="C592" s="1629"/>
      <c r="D592" s="1629"/>
      <c r="E592" s="1629"/>
      <c r="F592" s="1629"/>
      <c r="G592" s="1629"/>
      <c r="H592" s="1629"/>
      <c r="I592" s="1629"/>
      <c r="J592" s="1629"/>
      <c r="K592" s="1629"/>
      <c r="L592" s="1629"/>
      <c r="M592" s="1629"/>
      <c r="N592" s="1629"/>
      <c r="O592" s="1629"/>
      <c r="P592" s="26">
        <f>IF(B592=R592,0.14,IF(B592=S592,0.34,IF(B592=T592,0.55,IF(B592=U592,1,0))))</f>
        <v>0</v>
      </c>
      <c r="R592" s="807" t="s">
        <v>1992</v>
      </c>
      <c r="S592" s="807" t="s">
        <v>1993</v>
      </c>
      <c r="T592" s="807" t="s">
        <v>1994</v>
      </c>
      <c r="U592" s="807" t="s">
        <v>1995</v>
      </c>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row>
    <row r="593" spans="2:109" ht="12" customHeight="1" x14ac:dyDescent="0.2">
      <c r="B593" s="1395"/>
      <c r="C593" s="1395"/>
      <c r="D593" s="1395"/>
      <c r="E593" s="1395"/>
      <c r="F593" s="1395"/>
      <c r="G593" s="1395"/>
      <c r="H593" s="1395"/>
      <c r="I593" s="1395"/>
      <c r="J593" s="1395"/>
      <c r="K593" s="1395"/>
      <c r="L593" s="1395"/>
      <c r="M593" s="1395"/>
      <c r="N593" s="1395"/>
      <c r="O593" s="1395"/>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row>
    <row r="594" spans="2:109" ht="27" customHeight="1" x14ac:dyDescent="0.2">
      <c r="B594" s="1659" t="s">
        <v>1275</v>
      </c>
      <c r="C594" s="1660"/>
      <c r="D594" s="1660"/>
      <c r="E594" s="1660"/>
      <c r="F594" s="1661"/>
      <c r="G594" s="1764" t="s">
        <v>1525</v>
      </c>
      <c r="H594" s="1627"/>
      <c r="I594" s="1627"/>
      <c r="J594" s="1627"/>
      <c r="K594" s="1757" t="str">
        <f>IF(AND(G596&gt;0,AA597=1),"Ankylosis cannot be apportioned.","")</f>
        <v/>
      </c>
      <c r="L594" s="1758"/>
      <c r="M594" s="1758"/>
      <c r="N594" s="1758"/>
      <c r="O594" s="1759"/>
      <c r="P594" s="1481">
        <f>U607</f>
        <v>0</v>
      </c>
      <c r="R594" s="815" t="s">
        <v>1865</v>
      </c>
      <c r="S594" s="807" t="s">
        <v>1305</v>
      </c>
      <c r="T594" s="807" t="s">
        <v>1306</v>
      </c>
      <c r="U594" s="807" t="s">
        <v>1307</v>
      </c>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row>
    <row r="595" spans="2:109" ht="15.75" customHeight="1" x14ac:dyDescent="0.2">
      <c r="B595" s="1410" t="s">
        <v>628</v>
      </c>
      <c r="C595" s="1410"/>
      <c r="D595" s="1410"/>
      <c r="E595" s="1373">
        <f>P558</f>
        <v>0</v>
      </c>
      <c r="F595" s="1373"/>
      <c r="G595" s="1534" t="s">
        <v>1942</v>
      </c>
      <c r="H595" s="1534"/>
      <c r="I595" s="1641"/>
      <c r="J595" s="1642"/>
      <c r="K595" s="1760"/>
      <c r="L595" s="1761"/>
      <c r="M595" s="1761"/>
      <c r="N595" s="1761"/>
      <c r="O595" s="1762"/>
      <c r="P595" s="1631"/>
      <c r="R595" s="811">
        <f t="shared" ref="R595:R602" si="90">E595</f>
        <v>0</v>
      </c>
      <c r="S595" s="813">
        <f>LARGE($R$595:$R$608,1)</f>
        <v>0</v>
      </c>
      <c r="T595" s="684">
        <f>S595+S596*(1-S595)</f>
        <v>0</v>
      </c>
      <c r="U595" s="811">
        <f t="shared" ref="U595:U607" si="91">ROUND(T595,2)</f>
        <v>0</v>
      </c>
      <c r="Y595" s="18" t="s">
        <v>511</v>
      </c>
      <c r="AA595" s="1395"/>
      <c r="AB595" s="1395"/>
      <c r="AC595" s="1395"/>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row>
    <row r="596" spans="2:109" ht="15" customHeight="1" x14ac:dyDescent="0.2">
      <c r="B596" s="1410" t="s">
        <v>1959</v>
      </c>
      <c r="C596" s="1410"/>
      <c r="D596" s="1410"/>
      <c r="E596" s="1373">
        <f>IF(E607&gt;0,0,P570)</f>
        <v>0</v>
      </c>
      <c r="F596" s="1373"/>
      <c r="G596" s="1658"/>
      <c r="H596" s="1658"/>
      <c r="I596" s="1545">
        <f>IF(AND(Y596&lt;0.01,Y596&gt;0),0.01,ROUND(Y596,2))</f>
        <v>0</v>
      </c>
      <c r="J596" s="1353"/>
      <c r="K596" s="1760"/>
      <c r="L596" s="1761"/>
      <c r="M596" s="1761"/>
      <c r="N596" s="1761"/>
      <c r="O596" s="1762"/>
      <c r="P596" s="1631"/>
      <c r="R596" s="811">
        <f>IF(I596&gt;0,I596,E596)</f>
        <v>0</v>
      </c>
      <c r="S596" s="813">
        <f>LARGE($R$595:$R$608,2)</f>
        <v>0</v>
      </c>
      <c r="T596" s="684">
        <f>U595+S597*(1-U595)</f>
        <v>0</v>
      </c>
      <c r="U596" s="811">
        <f t="shared" si="91"/>
        <v>0</v>
      </c>
      <c r="Y596" s="240">
        <f>IF(AA597&gt;0,0,E596*G596)</f>
        <v>0</v>
      </c>
      <c r="Z596" s="860"/>
      <c r="AA596" s="1395"/>
      <c r="AB596" s="1395"/>
      <c r="AC596" s="1395"/>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row>
    <row r="597" spans="2:109" ht="15" customHeight="1" x14ac:dyDescent="0.2">
      <c r="B597" s="1410" t="s">
        <v>718</v>
      </c>
      <c r="C597" s="1410"/>
      <c r="D597" s="1410"/>
      <c r="E597" s="1373">
        <f>P573</f>
        <v>0</v>
      </c>
      <c r="F597" s="1373"/>
      <c r="G597" s="1534" t="s">
        <v>1942</v>
      </c>
      <c r="H597" s="1534"/>
      <c r="I597" s="1641"/>
      <c r="J597" s="1641"/>
      <c r="K597" s="1766"/>
      <c r="L597" s="1767"/>
      <c r="M597" s="1767"/>
      <c r="N597" s="1767"/>
      <c r="O597" s="1768"/>
      <c r="P597" s="1631"/>
      <c r="R597" s="811">
        <f t="shared" si="90"/>
        <v>0</v>
      </c>
      <c r="S597" s="813">
        <f>LARGE($R$595:$R$608,3)</f>
        <v>0</v>
      </c>
      <c r="T597" s="684">
        <f>U596+S598*(1-U596)</f>
        <v>0</v>
      </c>
      <c r="U597" s="811">
        <f t="shared" si="91"/>
        <v>0</v>
      </c>
      <c r="Y597" s="241"/>
      <c r="Z597" s="860"/>
      <c r="AA597" s="1091">
        <f>IF(P592&gt;0,0,IF(AC565&gt;0,1,0))</f>
        <v>0</v>
      </c>
      <c r="AB597" s="1410" t="s">
        <v>814</v>
      </c>
      <c r="AC597" s="1410"/>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row>
    <row r="598" spans="2:109" ht="15" customHeight="1" x14ac:dyDescent="0.2">
      <c r="B598" s="1410" t="s">
        <v>390</v>
      </c>
      <c r="C598" s="1410"/>
      <c r="D598" s="1410"/>
      <c r="E598" s="1373">
        <f>P575</f>
        <v>0</v>
      </c>
      <c r="F598" s="1373"/>
      <c r="G598" s="1534" t="s">
        <v>1942</v>
      </c>
      <c r="H598" s="1534"/>
      <c r="I598" s="1763"/>
      <c r="J598" s="1763"/>
      <c r="K598" s="1766"/>
      <c r="L598" s="1767"/>
      <c r="M598" s="1767"/>
      <c r="N598" s="1767"/>
      <c r="O598" s="1768"/>
      <c r="P598" s="1631"/>
      <c r="R598" s="811">
        <f t="shared" si="90"/>
        <v>0</v>
      </c>
      <c r="S598" s="813">
        <f>LARGE($R$595:$R$608,4)</f>
        <v>0</v>
      </c>
      <c r="T598" s="684">
        <f>U597+S600*(1-U597)</f>
        <v>0</v>
      </c>
      <c r="U598" s="811">
        <f t="shared" si="91"/>
        <v>0</v>
      </c>
      <c r="V598" s="18"/>
      <c r="W598" s="18"/>
      <c r="X598" s="18"/>
      <c r="Y598" s="241"/>
      <c r="Z598" s="860"/>
      <c r="AA598" s="60"/>
      <c r="AB598" s="1569"/>
      <c r="AC598" s="1569"/>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row>
    <row r="599" spans="2:109" ht="15" customHeight="1" x14ac:dyDescent="0.2">
      <c r="B599" s="1379" t="s">
        <v>796</v>
      </c>
      <c r="C599" s="1410"/>
      <c r="D599" s="1410"/>
      <c r="E599" s="1342">
        <f>P577</f>
        <v>0</v>
      </c>
      <c r="F599" s="1344"/>
      <c r="G599" s="1534" t="s">
        <v>1942</v>
      </c>
      <c r="H599" s="1534"/>
      <c r="I599" s="1641"/>
      <c r="J599" s="1641"/>
      <c r="K599" s="1766"/>
      <c r="L599" s="1767"/>
      <c r="M599" s="1767"/>
      <c r="N599" s="1767"/>
      <c r="O599" s="1768"/>
      <c r="P599" s="1631"/>
      <c r="R599" s="811">
        <f t="shared" si="90"/>
        <v>0</v>
      </c>
      <c r="S599" s="813">
        <f>LARGE($R$595:$R$608,5)</f>
        <v>0</v>
      </c>
      <c r="T599" s="684">
        <f t="shared" ref="T599:T607" si="92">U598+S601*(1-U598)</f>
        <v>0</v>
      </c>
      <c r="U599" s="811">
        <f t="shared" si="91"/>
        <v>0</v>
      </c>
      <c r="V599" s="18"/>
      <c r="W599" s="18"/>
      <c r="X599" s="18"/>
      <c r="Y599" s="241"/>
      <c r="Z599" s="860"/>
      <c r="AA599" s="60"/>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row>
    <row r="600" spans="2:109" ht="15" customHeight="1" x14ac:dyDescent="0.2">
      <c r="B600" s="1410" t="s">
        <v>391</v>
      </c>
      <c r="C600" s="1410"/>
      <c r="D600" s="1410"/>
      <c r="E600" s="1373">
        <f>P579</f>
        <v>0</v>
      </c>
      <c r="F600" s="1373"/>
      <c r="G600" s="1534" t="s">
        <v>1942</v>
      </c>
      <c r="H600" s="1534"/>
      <c r="I600" s="1641"/>
      <c r="J600" s="1641"/>
      <c r="K600" s="1766"/>
      <c r="L600" s="1767"/>
      <c r="M600" s="1767"/>
      <c r="N600" s="1767"/>
      <c r="O600" s="1768"/>
      <c r="P600" s="1631"/>
      <c r="R600" s="811">
        <f t="shared" si="90"/>
        <v>0</v>
      </c>
      <c r="S600" s="813">
        <f>LARGE($R$595:$R$608,6)</f>
        <v>0</v>
      </c>
      <c r="T600" s="684">
        <f t="shared" si="92"/>
        <v>0</v>
      </c>
      <c r="U600" s="811">
        <f t="shared" si="91"/>
        <v>0</v>
      </c>
      <c r="W600" s="18"/>
      <c r="X600" s="18"/>
      <c r="Y600" s="241"/>
      <c r="Z600" s="860"/>
      <c r="AA600" s="8"/>
      <c r="AB600" s="8"/>
      <c r="AC600" s="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row>
    <row r="601" spans="2:109" ht="15" customHeight="1" x14ac:dyDescent="0.2">
      <c r="B601" s="1410" t="s">
        <v>392</v>
      </c>
      <c r="C601" s="1410"/>
      <c r="D601" s="1410"/>
      <c r="E601" s="1373">
        <f>P580</f>
        <v>0</v>
      </c>
      <c r="F601" s="1373"/>
      <c r="G601" s="1534" t="s">
        <v>1942</v>
      </c>
      <c r="H601" s="1534"/>
      <c r="I601" s="1641"/>
      <c r="J601" s="1641"/>
      <c r="K601" s="1766"/>
      <c r="L601" s="1767"/>
      <c r="M601" s="1767"/>
      <c r="N601" s="1767"/>
      <c r="O601" s="1768"/>
      <c r="P601" s="1631"/>
      <c r="R601" s="811">
        <f t="shared" si="90"/>
        <v>0</v>
      </c>
      <c r="S601" s="813">
        <f>LARGE($R$595:$R$608,7)</f>
        <v>0</v>
      </c>
      <c r="T601" s="684">
        <f t="shared" si="92"/>
        <v>0</v>
      </c>
      <c r="U601" s="811">
        <f t="shared" si="91"/>
        <v>0</v>
      </c>
      <c r="W601" s="18"/>
      <c r="X601" s="18"/>
      <c r="Y601" s="241"/>
      <c r="Z601" s="18"/>
      <c r="AA601" s="60"/>
      <c r="AB601" s="1073"/>
      <c r="AC601" s="1073"/>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row>
    <row r="602" spans="2:109" ht="15" customHeight="1" x14ac:dyDescent="0.2">
      <c r="B602" s="1410" t="s">
        <v>393</v>
      </c>
      <c r="C602" s="1410"/>
      <c r="D602" s="1410"/>
      <c r="E602" s="1373">
        <f>P581</f>
        <v>0</v>
      </c>
      <c r="F602" s="1373"/>
      <c r="G602" s="1534" t="s">
        <v>1942</v>
      </c>
      <c r="H602" s="1534"/>
      <c r="I602" s="1641"/>
      <c r="J602" s="1641"/>
      <c r="K602" s="1030"/>
      <c r="L602" s="1031"/>
      <c r="M602" s="1031"/>
      <c r="N602" s="1031"/>
      <c r="O602" s="1032"/>
      <c r="P602" s="1631"/>
      <c r="R602" s="811">
        <f t="shared" si="90"/>
        <v>0</v>
      </c>
      <c r="S602" s="813">
        <f>LARGE($R$595:$R$608,8)</f>
        <v>0</v>
      </c>
      <c r="T602" s="684">
        <f t="shared" si="92"/>
        <v>0</v>
      </c>
      <c r="U602" s="811">
        <f t="shared" si="91"/>
        <v>0</v>
      </c>
      <c r="W602" s="18"/>
      <c r="X602" s="18"/>
      <c r="Y602" s="241"/>
      <c r="Z602" s="18"/>
      <c r="AA602" s="60"/>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row>
    <row r="603" spans="2:109" ht="15.75" customHeight="1" x14ac:dyDescent="0.2">
      <c r="B603" s="1410" t="s">
        <v>1029</v>
      </c>
      <c r="C603" s="1410"/>
      <c r="D603" s="1410"/>
      <c r="E603" s="1373">
        <f>P583</f>
        <v>0</v>
      </c>
      <c r="F603" s="1373"/>
      <c r="G603" s="1658"/>
      <c r="H603" s="1658"/>
      <c r="I603" s="1545">
        <f t="shared" ref="I603:I607" si="93">IF(AND(Y603&lt;0.01,Y603&gt;0),0.01,ROUND(Y603,2))</f>
        <v>0</v>
      </c>
      <c r="J603" s="1545"/>
      <c r="K603" s="1619" t="str">
        <f>IF(AND(OR(P570&gt;0,P510&gt;0,P588&gt;0),E607&gt;0),"A value has been granted for motor loss. Additional impairment values are not allowed for weakness, chronic condition, or reduced range of motion in the same extremity.","")</f>
        <v/>
      </c>
      <c r="L603" s="1620"/>
      <c r="M603" s="1620"/>
      <c r="N603" s="1620"/>
      <c r="O603" s="1621"/>
      <c r="P603" s="1631"/>
      <c r="R603" s="811">
        <f t="shared" ref="R603:R607" si="94">IF(I603&gt;0,I603,E603)</f>
        <v>0</v>
      </c>
      <c r="S603" s="813">
        <f>LARGE($R$595:$R$608,9)</f>
        <v>0</v>
      </c>
      <c r="T603" s="684">
        <f t="shared" si="92"/>
        <v>0</v>
      </c>
      <c r="U603" s="811">
        <f t="shared" si="91"/>
        <v>0</v>
      </c>
      <c r="V603" s="18"/>
      <c r="W603" s="18"/>
      <c r="X603" s="18"/>
      <c r="Y603" s="240">
        <f>E603*G603</f>
        <v>0</v>
      </c>
      <c r="Z603" s="18"/>
      <c r="AA603" s="105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row>
    <row r="604" spans="2:109" ht="15.75" customHeight="1" x14ac:dyDescent="0.2">
      <c r="B604" s="1410" t="s">
        <v>1254</v>
      </c>
      <c r="C604" s="1410"/>
      <c r="D604" s="1410"/>
      <c r="E604" s="1373">
        <f>P584</f>
        <v>0</v>
      </c>
      <c r="F604" s="1373"/>
      <c r="G604" s="1658"/>
      <c r="H604" s="1658"/>
      <c r="I604" s="1545">
        <f t="shared" si="93"/>
        <v>0</v>
      </c>
      <c r="J604" s="1545"/>
      <c r="K604" s="1619"/>
      <c r="L604" s="1620"/>
      <c r="M604" s="1620"/>
      <c r="N604" s="1620"/>
      <c r="O604" s="1621"/>
      <c r="P604" s="1631"/>
      <c r="R604" s="811">
        <f t="shared" si="94"/>
        <v>0</v>
      </c>
      <c r="S604" s="813">
        <f>LARGE($R$595:$R$608,10)</f>
        <v>0</v>
      </c>
      <c r="T604" s="684">
        <f t="shared" si="92"/>
        <v>0</v>
      </c>
      <c r="U604" s="811">
        <f t="shared" si="91"/>
        <v>0</v>
      </c>
      <c r="V604" s="18"/>
      <c r="W604" s="18"/>
      <c r="X604" s="18"/>
      <c r="Y604" s="1057">
        <f t="shared" ref="Y604:Y607" si="95">E604*G604</f>
        <v>0</v>
      </c>
      <c r="Z604" s="18"/>
      <c r="AA604" s="105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row>
    <row r="605" spans="2:109" ht="15.75" customHeight="1" x14ac:dyDescent="0.2">
      <c r="B605" s="1410" t="s">
        <v>1639</v>
      </c>
      <c r="C605" s="1410"/>
      <c r="D605" s="1410"/>
      <c r="E605" s="1373">
        <f>IF(E607&gt;0,0,P510)</f>
        <v>0</v>
      </c>
      <c r="F605" s="1373"/>
      <c r="G605" s="1658"/>
      <c r="H605" s="1658"/>
      <c r="I605" s="1545">
        <f t="shared" si="93"/>
        <v>0</v>
      </c>
      <c r="J605" s="1545"/>
      <c r="K605" s="1619"/>
      <c r="L605" s="1620"/>
      <c r="M605" s="1620"/>
      <c r="N605" s="1620"/>
      <c r="O605" s="1621"/>
      <c r="P605" s="1631"/>
      <c r="R605" s="811">
        <f t="shared" si="94"/>
        <v>0</v>
      </c>
      <c r="S605" s="813">
        <f>LARGE($R$595:$R$608,11)</f>
        <v>0</v>
      </c>
      <c r="T605" s="684">
        <f t="shared" si="92"/>
        <v>0</v>
      </c>
      <c r="U605" s="811">
        <f t="shared" si="91"/>
        <v>0</v>
      </c>
      <c r="V605" s="18"/>
      <c r="W605" s="18"/>
      <c r="X605" s="18"/>
      <c r="Y605" s="1057">
        <f t="shared" si="95"/>
        <v>0</v>
      </c>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row>
    <row r="606" spans="2:109" ht="15" customHeight="1" x14ac:dyDescent="0.2">
      <c r="B606" s="1410" t="s">
        <v>596</v>
      </c>
      <c r="C606" s="1410"/>
      <c r="D606" s="1410"/>
      <c r="E606" s="1373">
        <f>IF(E607&gt;0,0,P588)</f>
        <v>0</v>
      </c>
      <c r="F606" s="1373"/>
      <c r="G606" s="1658"/>
      <c r="H606" s="1658"/>
      <c r="I606" s="1545">
        <f t="shared" si="93"/>
        <v>0</v>
      </c>
      <c r="J606" s="1545"/>
      <c r="K606" s="1619"/>
      <c r="L606" s="1620"/>
      <c r="M606" s="1620"/>
      <c r="N606" s="1620"/>
      <c r="O606" s="1621"/>
      <c r="P606" s="1631"/>
      <c r="R606" s="811">
        <f t="shared" si="94"/>
        <v>0</v>
      </c>
      <c r="S606" s="813">
        <f>LARGE($R$595:$R$608,12)</f>
        <v>0</v>
      </c>
      <c r="T606" s="684">
        <f t="shared" si="92"/>
        <v>0</v>
      </c>
      <c r="U606" s="811">
        <f t="shared" si="91"/>
        <v>0</v>
      </c>
      <c r="V606" s="18"/>
      <c r="W606" s="18"/>
      <c r="X606" s="18"/>
      <c r="Y606" s="1057">
        <f t="shared" si="95"/>
        <v>0</v>
      </c>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row>
    <row r="607" spans="2:109" ht="15" customHeight="1" x14ac:dyDescent="0.2">
      <c r="B607" s="1410" t="s">
        <v>926</v>
      </c>
      <c r="C607" s="1410"/>
      <c r="D607" s="1410"/>
      <c r="E607" s="1373">
        <f>P592</f>
        <v>0</v>
      </c>
      <c r="F607" s="1346"/>
      <c r="G607" s="1658"/>
      <c r="H607" s="1658"/>
      <c r="I607" s="1545">
        <f t="shared" si="93"/>
        <v>0</v>
      </c>
      <c r="J607" s="1545"/>
      <c r="K607" s="1619"/>
      <c r="L607" s="1620"/>
      <c r="M607" s="1620"/>
      <c r="N607" s="1620"/>
      <c r="O607" s="1621"/>
      <c r="P607" s="1631"/>
      <c r="R607" s="811">
        <f t="shared" si="94"/>
        <v>0</v>
      </c>
      <c r="S607" s="813">
        <f>LARGE($R$595:$R$608,13)</f>
        <v>0</v>
      </c>
      <c r="T607" s="684">
        <f t="shared" si="92"/>
        <v>0</v>
      </c>
      <c r="U607" s="811">
        <f t="shared" si="91"/>
        <v>0</v>
      </c>
      <c r="V607" s="18"/>
      <c r="W607" s="18"/>
      <c r="X607" s="18"/>
      <c r="Y607" s="1057">
        <f t="shared" si="95"/>
        <v>0</v>
      </c>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row>
    <row r="608" spans="2:109" ht="15" customHeight="1" x14ac:dyDescent="0.2">
      <c r="B608" s="1643" t="s">
        <v>797</v>
      </c>
      <c r="C608" s="1643"/>
      <c r="D608" s="1643"/>
      <c r="E608" s="1630">
        <f>IF(SUM(E595:E607)&gt;0,UETable!AV97,0)</f>
        <v>0</v>
      </c>
      <c r="F608" s="1482"/>
      <c r="G608" s="1534" t="s">
        <v>1942</v>
      </c>
      <c r="H608" s="1534"/>
      <c r="I608" s="1641"/>
      <c r="J608" s="1641"/>
      <c r="K608" s="1793"/>
      <c r="L608" s="1794"/>
      <c r="M608" s="1794"/>
      <c r="N608" s="1794"/>
      <c r="O608" s="1795"/>
      <c r="P608" s="1631"/>
      <c r="R608" s="811">
        <f>E608</f>
        <v>0</v>
      </c>
      <c r="S608" s="813">
        <f>LARGE($R$595:$R$608,14)</f>
        <v>0</v>
      </c>
      <c r="T608" s="18"/>
      <c r="U608" s="18"/>
      <c r="V608" s="18"/>
      <c r="W608" s="18"/>
      <c r="X608" s="18"/>
      <c r="Y608" s="105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row>
    <row r="609" spans="2:109" ht="15" customHeight="1" x14ac:dyDescent="0.2">
      <c r="B609" s="1568" t="s">
        <v>1276</v>
      </c>
      <c r="C609" s="1568"/>
      <c r="D609" s="1568"/>
      <c r="E609" s="1568"/>
      <c r="F609" s="1568"/>
      <c r="G609" s="1568"/>
      <c r="H609" s="1568"/>
      <c r="I609" s="1568"/>
      <c r="J609" s="1568"/>
      <c r="K609" s="1568"/>
      <c r="L609" s="1568"/>
      <c r="M609" s="1568"/>
      <c r="N609" s="1568"/>
      <c r="O609" s="1568"/>
      <c r="P609" s="1623"/>
      <c r="R609" s="19"/>
      <c r="S609" s="18"/>
      <c r="T609" s="18"/>
      <c r="U609" s="18"/>
      <c r="V609" s="18"/>
      <c r="W609" s="18"/>
      <c r="X609" s="18"/>
      <c r="Y609" s="106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row>
    <row r="610" spans="2:109" ht="12" customHeight="1" x14ac:dyDescent="0.2">
      <c r="B610" s="1395"/>
      <c r="C610" s="1395"/>
      <c r="D610" s="1395"/>
      <c r="E610" s="1395"/>
      <c r="F610" s="1395"/>
      <c r="G610" s="1395"/>
      <c r="H610" s="1395"/>
      <c r="I610" s="1395"/>
      <c r="J610" s="1395"/>
      <c r="K610" s="1395"/>
      <c r="L610" s="1395"/>
      <c r="M610" s="1395"/>
      <c r="N610" s="1395"/>
      <c r="O610" s="1395"/>
      <c r="P610" s="1395"/>
      <c r="R610" s="18"/>
      <c r="S610" s="18"/>
      <c r="T610" s="18"/>
      <c r="U610" s="18"/>
      <c r="V610" s="18"/>
      <c r="W610" s="18"/>
      <c r="X610" s="18"/>
      <c r="Y610" s="812"/>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row>
    <row r="611" spans="2:109" ht="12" customHeight="1" x14ac:dyDescent="0.2">
      <c r="B611" s="1"/>
      <c r="C611" s="1"/>
      <c r="D611" s="1"/>
      <c r="E611" s="1"/>
      <c r="F611" s="1"/>
      <c r="G611" s="1"/>
      <c r="H611" s="1"/>
      <c r="I611" s="1"/>
      <c r="J611" s="1"/>
      <c r="K611" s="1"/>
      <c r="L611" s="1"/>
      <c r="M611" s="1"/>
      <c r="N611" s="1"/>
      <c r="O611" s="1"/>
      <c r="P611" s="1"/>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row>
    <row r="612" spans="2:109" ht="36" customHeight="1" x14ac:dyDescent="0.2">
      <c r="B612" s="1626" t="s">
        <v>187</v>
      </c>
      <c r="C612" s="1627"/>
      <c r="D612" s="1627"/>
      <c r="E612" s="1627"/>
      <c r="F612" s="1627"/>
      <c r="G612" s="1627"/>
      <c r="H612" s="1627"/>
      <c r="I612" s="1627"/>
      <c r="J612" s="1627"/>
      <c r="K612" s="1627"/>
      <c r="L612" s="1627"/>
      <c r="M612" s="1627"/>
      <c r="N612" s="1627"/>
      <c r="O612" s="1627"/>
      <c r="P612" s="162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row>
    <row r="613" spans="2:109" ht="12" customHeight="1" x14ac:dyDescent="0.2">
      <c r="B613" s="1638"/>
      <c r="C613" s="1638"/>
      <c r="D613" s="1638"/>
      <c r="E613" s="1638"/>
      <c r="F613" s="1638"/>
      <c r="G613" s="1638"/>
      <c r="H613" s="1638"/>
      <c r="I613" s="1638"/>
      <c r="J613" s="1638"/>
      <c r="K613" s="1638"/>
      <c r="L613" s="1638"/>
      <c r="M613" s="1638"/>
      <c r="N613" s="1638"/>
      <c r="O613" s="1638"/>
      <c r="P613" s="163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row>
    <row r="614" spans="2:109" ht="30.75" customHeight="1" x14ac:dyDescent="0.2">
      <c r="B614" s="1591" t="s">
        <v>409</v>
      </c>
      <c r="C614" s="1591"/>
      <c r="D614" s="1591"/>
      <c r="E614" s="1591"/>
      <c r="F614" s="1591"/>
      <c r="G614" s="1591"/>
      <c r="H614" s="1591"/>
      <c r="I614" s="1591"/>
      <c r="J614" s="1591"/>
      <c r="K614" s="1591"/>
      <c r="L614" s="1591"/>
      <c r="M614" s="1665"/>
      <c r="N614" s="1665"/>
      <c r="O614" s="1665"/>
      <c r="P614" s="1665"/>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row>
    <row r="615" spans="2:109" ht="37.5" customHeight="1" x14ac:dyDescent="0.2">
      <c r="B615" s="185"/>
      <c r="C615" s="1536" t="s">
        <v>1796</v>
      </c>
      <c r="D615" s="1555"/>
      <c r="E615" s="185"/>
      <c r="F615" s="1531" t="s">
        <v>1277</v>
      </c>
      <c r="G615" s="1532"/>
      <c r="H615" s="37"/>
      <c r="I615" s="1555" t="s">
        <v>1796</v>
      </c>
      <c r="J615" s="1555"/>
      <c r="K615" s="1555"/>
      <c r="L615" s="1555"/>
      <c r="M615" s="1536" t="s">
        <v>1738</v>
      </c>
      <c r="N615" s="1536"/>
      <c r="O615" s="1536"/>
      <c r="P615" s="1536"/>
      <c r="R615" s="18"/>
      <c r="S615" s="807" t="s">
        <v>1737</v>
      </c>
      <c r="T615" s="807" t="s">
        <v>1307</v>
      </c>
      <c r="U615" s="808" t="s">
        <v>1877</v>
      </c>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row>
    <row r="616" spans="2:109" ht="18" customHeight="1" x14ac:dyDescent="0.2">
      <c r="B616" s="185" t="s">
        <v>1937</v>
      </c>
      <c r="C616" s="1373">
        <f>P60</f>
        <v>0</v>
      </c>
      <c r="D616" s="1346"/>
      <c r="E616" s="42" t="s">
        <v>1791</v>
      </c>
      <c r="F616" s="1657">
        <v>0.15</v>
      </c>
      <c r="G616" s="1657"/>
      <c r="H616" s="42" t="s">
        <v>1793</v>
      </c>
      <c r="I616" s="1545">
        <f>IF(C626&lt;R1,"DOI&lt;2005",IF($P$518&gt;0,0,T616))</f>
        <v>0</v>
      </c>
      <c r="J616" s="1545"/>
      <c r="K616" s="1545"/>
      <c r="L616" s="1545"/>
      <c r="M616" s="1644" t="str">
        <f>IF(C616=0,"",IF($P$518&gt;0,"Converted",""))</f>
        <v/>
      </c>
      <c r="N616" s="1644"/>
      <c r="O616" s="1644"/>
      <c r="P616" s="1644"/>
      <c r="R616" s="18"/>
      <c r="S616" s="750">
        <f>IF(AND(C616*F616&gt;0,C616*F616&lt;0.01),0.01,C616*F616)</f>
        <v>0</v>
      </c>
      <c r="T616" s="749">
        <f t="shared" ref="T616:T622" si="96">ROUND(S616,2)</f>
        <v>0</v>
      </c>
      <c r="U616" s="820">
        <f>SUM(E528:E553)</f>
        <v>0</v>
      </c>
      <c r="V616" s="807" t="s">
        <v>2221</v>
      </c>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row>
    <row r="617" spans="2:109" ht="18" customHeight="1" x14ac:dyDescent="0.2">
      <c r="B617" s="185" t="s">
        <v>115</v>
      </c>
      <c r="C617" s="1373">
        <f>P137</f>
        <v>0</v>
      </c>
      <c r="D617" s="1346"/>
      <c r="E617" s="42" t="s">
        <v>1791</v>
      </c>
      <c r="F617" s="1657">
        <v>0.08</v>
      </c>
      <c r="G617" s="1657"/>
      <c r="H617" s="42" t="s">
        <v>1793</v>
      </c>
      <c r="I617" s="1545">
        <f>IF(C626&lt;R1,"DOI&lt;2005",IF($P$518&gt;0,0,T617))</f>
        <v>0</v>
      </c>
      <c r="J617" s="1545"/>
      <c r="K617" s="1545"/>
      <c r="L617" s="1545"/>
      <c r="M617" s="1644" t="str">
        <f>IF(C617=0,"",IF($P$518&gt;0,"Converted",""))</f>
        <v/>
      </c>
      <c r="N617" s="1644"/>
      <c r="O617" s="1644"/>
      <c r="P617" s="1644"/>
      <c r="R617" s="18"/>
      <c r="S617" s="750">
        <f t="shared" ref="S617:S622" si="97">IF(AND(C617*F617&gt;0,C617*F617&lt;0.01),0.01,C617*F617)</f>
        <v>0</v>
      </c>
      <c r="T617" s="749">
        <f t="shared" si="96"/>
        <v>0</v>
      </c>
      <c r="U617" s="820">
        <f>SUM(E595:E607)</f>
        <v>0</v>
      </c>
      <c r="V617" s="807" t="s">
        <v>2222</v>
      </c>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row>
    <row r="618" spans="2:109" ht="18" customHeight="1" x14ac:dyDescent="0.2">
      <c r="B618" s="185" t="s">
        <v>117</v>
      </c>
      <c r="C618" s="1373">
        <f>P214</f>
        <v>0</v>
      </c>
      <c r="D618" s="1346"/>
      <c r="E618" s="42" t="s">
        <v>1791</v>
      </c>
      <c r="F618" s="1657">
        <v>7.0000000000000007E-2</v>
      </c>
      <c r="G618" s="1657"/>
      <c r="H618" s="42" t="s">
        <v>1793</v>
      </c>
      <c r="I618" s="1545">
        <f>IF(C626&lt;R1,"DOI&lt;2005",IF($P$518&gt;0,0,T618))</f>
        <v>0</v>
      </c>
      <c r="J618" s="1545"/>
      <c r="K618" s="1545"/>
      <c r="L618" s="1545"/>
      <c r="M618" s="1644" t="str">
        <f>IF(C618=0,"",IF($P$518&gt;0,"Converted",""))</f>
        <v/>
      </c>
      <c r="N618" s="1644"/>
      <c r="O618" s="1644"/>
      <c r="P618" s="1644"/>
      <c r="R618" s="18"/>
      <c r="S618" s="750">
        <f t="shared" si="97"/>
        <v>0</v>
      </c>
      <c r="T618" s="749">
        <f t="shared" si="96"/>
        <v>0</v>
      </c>
      <c r="U618" s="821">
        <f>IF(AND(U616&gt;0,U617&gt;0),1,0)</f>
        <v>0</v>
      </c>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row>
    <row r="619" spans="2:109" ht="18" customHeight="1" x14ac:dyDescent="0.2">
      <c r="B619" s="185" t="s">
        <v>119</v>
      </c>
      <c r="C619" s="1373">
        <f>P289</f>
        <v>0</v>
      </c>
      <c r="D619" s="1346"/>
      <c r="E619" s="42" t="s">
        <v>1791</v>
      </c>
      <c r="F619" s="1657">
        <v>0.03</v>
      </c>
      <c r="G619" s="1657"/>
      <c r="H619" s="42" t="s">
        <v>1793</v>
      </c>
      <c r="I619" s="1545">
        <f>IF(C626&lt;R1,"DOI&lt;2005",IF($P$518&gt;0,0,T619))</f>
        <v>0</v>
      </c>
      <c r="J619" s="1545"/>
      <c r="K619" s="1545"/>
      <c r="L619" s="1545"/>
      <c r="M619" s="1644" t="str">
        <f>IF(C619=0,"",IF($P$518&gt;0,"Converted",""))</f>
        <v/>
      </c>
      <c r="N619" s="1644"/>
      <c r="O619" s="1644"/>
      <c r="P619" s="1644"/>
      <c r="R619" s="18"/>
      <c r="S619" s="750">
        <f t="shared" si="97"/>
        <v>0</v>
      </c>
      <c r="T619" s="749">
        <f t="shared" si="96"/>
        <v>0</v>
      </c>
      <c r="U619" s="112"/>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row>
    <row r="620" spans="2:109" ht="18" customHeight="1" x14ac:dyDescent="0.2">
      <c r="B620" s="185" t="s">
        <v>1390</v>
      </c>
      <c r="C620" s="1373">
        <f>P364</f>
        <v>0</v>
      </c>
      <c r="D620" s="1346"/>
      <c r="E620" s="42" t="s">
        <v>1791</v>
      </c>
      <c r="F620" s="1657">
        <v>0.02</v>
      </c>
      <c r="G620" s="1657"/>
      <c r="H620" s="42" t="s">
        <v>1793</v>
      </c>
      <c r="I620" s="1688">
        <f>IF(C626&lt;R1,"DOI&lt;2005",IF($P$518&gt;0,0,T620))</f>
        <v>0</v>
      </c>
      <c r="J620" s="1688"/>
      <c r="K620" s="1688"/>
      <c r="L620" s="1688"/>
      <c r="M620" s="1644" t="str">
        <f>IF(C620=0,"",IF($P$518&gt;0,"Converted",""))</f>
        <v/>
      </c>
      <c r="N620" s="1644"/>
      <c r="O620" s="1644"/>
      <c r="P620" s="1644"/>
      <c r="R620" s="18"/>
      <c r="S620" s="750">
        <f t="shared" si="97"/>
        <v>0</v>
      </c>
      <c r="T620" s="749">
        <f t="shared" si="96"/>
        <v>0</v>
      </c>
      <c r="U620" s="112"/>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row>
    <row r="621" spans="2:109" ht="18" customHeight="1" x14ac:dyDescent="0.2">
      <c r="B621" s="185" t="s">
        <v>615</v>
      </c>
      <c r="C621" s="1373">
        <f>P527</f>
        <v>0</v>
      </c>
      <c r="D621" s="1346"/>
      <c r="E621" s="42" t="s">
        <v>1791</v>
      </c>
      <c r="F621" s="1657">
        <v>0.47</v>
      </c>
      <c r="G621" s="1657"/>
      <c r="H621" s="42" t="s">
        <v>1793</v>
      </c>
      <c r="I621" s="1545">
        <f>IF(C626&lt;R1,"DOI&lt;2005",IF(AND(C621&gt;0,C622&gt;0),0,T621))</f>
        <v>0</v>
      </c>
      <c r="J621" s="1545"/>
      <c r="K621" s="1545"/>
      <c r="L621" s="1545"/>
      <c r="M621" s="1644" t="str">
        <f>IF(C621=0,"",IF(U618=1,"Converted",""))</f>
        <v/>
      </c>
      <c r="N621" s="1644"/>
      <c r="O621" s="1644"/>
      <c r="P621" s="1644"/>
      <c r="R621" s="18"/>
      <c r="S621" s="750">
        <f t="shared" si="97"/>
        <v>0</v>
      </c>
      <c r="T621" s="749">
        <f t="shared" si="96"/>
        <v>0</v>
      </c>
      <c r="U621" s="112"/>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row>
    <row r="622" spans="2:109" ht="18" customHeight="1" x14ac:dyDescent="0.2">
      <c r="B622" s="185" t="s">
        <v>889</v>
      </c>
      <c r="C622" s="1373">
        <f>P594</f>
        <v>0</v>
      </c>
      <c r="D622" s="1346"/>
      <c r="E622" s="42" t="s">
        <v>1791</v>
      </c>
      <c r="F622" s="1657">
        <v>0.6</v>
      </c>
      <c r="G622" s="1657"/>
      <c r="H622" s="42" t="s">
        <v>1793</v>
      </c>
      <c r="I622" s="1545">
        <f>IF(C626&lt;R1,"DOI&lt;2005",T622)</f>
        <v>0</v>
      </c>
      <c r="J622" s="1545"/>
      <c r="K622" s="1545"/>
      <c r="L622" s="1545"/>
      <c r="M622" s="1644"/>
      <c r="N622" s="1644"/>
      <c r="O622" s="1644"/>
      <c r="P622" s="1644"/>
      <c r="R622" s="18"/>
      <c r="S622" s="750">
        <f t="shared" si="97"/>
        <v>0</v>
      </c>
      <c r="T622" s="749">
        <f t="shared" si="96"/>
        <v>0</v>
      </c>
      <c r="U622" s="112"/>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row>
    <row r="624" spans="2:109" ht="36" customHeight="1" x14ac:dyDescent="0.2">
      <c r="B624" s="1626" t="s">
        <v>1373</v>
      </c>
      <c r="C624" s="1627"/>
      <c r="D624" s="1627"/>
      <c r="E624" s="1627"/>
      <c r="F624" s="1627"/>
      <c r="G624" s="1627"/>
      <c r="H624" s="1627"/>
      <c r="I624" s="1627"/>
      <c r="J624" s="1627"/>
      <c r="K624" s="1627"/>
      <c r="L624" s="1627"/>
      <c r="M624" s="1627"/>
      <c r="N624" s="1627"/>
      <c r="O624" s="1627"/>
      <c r="P624" s="1628"/>
    </row>
    <row r="625" spans="2:109" ht="12" customHeight="1" x14ac:dyDescent="0.2">
      <c r="B625" s="1638"/>
      <c r="C625" s="1638"/>
      <c r="D625" s="1638"/>
      <c r="E625" s="1638"/>
      <c r="F625" s="1638"/>
      <c r="G625" s="1638"/>
      <c r="H625" s="1638"/>
      <c r="I625" s="1638"/>
      <c r="J625" s="1638"/>
      <c r="K625" s="1638"/>
      <c r="L625" s="1638"/>
      <c r="M625" s="1638"/>
      <c r="N625" s="1638"/>
      <c r="O625" s="1638"/>
      <c r="P625" s="1638"/>
    </row>
    <row r="626" spans="2:109" ht="19.5" customHeight="1" x14ac:dyDescent="0.2">
      <c r="B626" s="167" t="s">
        <v>1189</v>
      </c>
      <c r="C626" s="1378" t="str">
        <f>IF('Start here'!A8="","",'Start here'!A8)</f>
        <v/>
      </c>
      <c r="D626" s="1683"/>
      <c r="E626" s="1684"/>
      <c r="F626" s="1685" t="str">
        <f>IF(C626="","Enter date of injury on worksheet named: Start here.","")</f>
        <v>Enter date of injury on worksheet named: Start here.</v>
      </c>
      <c r="G626" s="1686"/>
      <c r="H626" s="1686"/>
      <c r="I626" s="1686"/>
      <c r="J626" s="1686"/>
      <c r="K626" s="1686"/>
      <c r="L626" s="1686"/>
      <c r="M626" s="1686"/>
      <c r="N626" s="1686"/>
      <c r="O626" s="1686"/>
      <c r="P626" s="1686"/>
    </row>
    <row r="627" spans="2:109" ht="12" customHeight="1" x14ac:dyDescent="0.2">
      <c r="B627" s="1638"/>
      <c r="C627" s="1638"/>
      <c r="D627" s="1638"/>
      <c r="E627" s="1638"/>
      <c r="F627" s="1638"/>
      <c r="G627" s="1638"/>
      <c r="H627" s="1638"/>
      <c r="I627" s="1638"/>
      <c r="J627" s="1638"/>
      <c r="K627" s="1638"/>
      <c r="L627" s="1638"/>
      <c r="M627" s="1638"/>
      <c r="N627" s="1638"/>
      <c r="O627" s="1638"/>
      <c r="P627" s="1638"/>
    </row>
    <row r="628" spans="2:109" ht="30.75" customHeight="1" x14ac:dyDescent="0.2">
      <c r="B628" s="1591" t="s">
        <v>409</v>
      </c>
      <c r="C628" s="1591"/>
      <c r="D628" s="1591"/>
      <c r="E628" s="1591"/>
      <c r="F628" s="1591"/>
      <c r="G628" s="1591"/>
      <c r="H628" s="1591"/>
      <c r="I628" s="1591"/>
      <c r="J628" s="1591"/>
      <c r="K628" s="1591"/>
      <c r="L628" s="1591"/>
      <c r="M628" s="1591"/>
      <c r="N628" s="1591"/>
      <c r="O628" s="1591"/>
      <c r="P628" s="1591"/>
      <c r="R628" s="1557" t="s">
        <v>2197</v>
      </c>
    </row>
    <row r="629" spans="2:109" ht="33.75" customHeight="1" x14ac:dyDescent="0.2">
      <c r="B629" s="185"/>
      <c r="C629" s="1536" t="s">
        <v>1796</v>
      </c>
      <c r="D629" s="1555"/>
      <c r="E629" s="185"/>
      <c r="F629" s="1536" t="s">
        <v>1190</v>
      </c>
      <c r="G629" s="1536"/>
      <c r="H629" s="1555" t="s">
        <v>365</v>
      </c>
      <c r="I629" s="1555"/>
      <c r="J629" s="1555"/>
      <c r="K629" s="23"/>
      <c r="L629" s="1536" t="s">
        <v>1191</v>
      </c>
      <c r="M629" s="1536"/>
      <c r="N629" s="23"/>
      <c r="O629" s="1549" t="s">
        <v>1192</v>
      </c>
      <c r="P629" s="1551"/>
      <c r="R629" s="1557"/>
    </row>
    <row r="630" spans="2:109" ht="18" customHeight="1" x14ac:dyDescent="0.2">
      <c r="B630" s="185" t="s">
        <v>1937</v>
      </c>
      <c r="C630" s="1373">
        <f>P60</f>
        <v>0</v>
      </c>
      <c r="D630" s="1346"/>
      <c r="E630" s="42" t="s">
        <v>1791</v>
      </c>
      <c r="F630" s="42">
        <v>48</v>
      </c>
      <c r="G630" s="42" t="s">
        <v>1793</v>
      </c>
      <c r="H630" s="1675">
        <f t="shared" ref="H630:H636" si="98">C630*F630</f>
        <v>0</v>
      </c>
      <c r="I630" s="1675"/>
      <c r="J630" s="1675"/>
      <c r="K630" s="42" t="s">
        <v>1791</v>
      </c>
      <c r="L630" s="1674">
        <f>IF($C$626="",0,'Dol Per Deg'!$H$11)</f>
        <v>0</v>
      </c>
      <c r="M630" s="1674"/>
      <c r="N630" s="23" t="s">
        <v>1793</v>
      </c>
      <c r="O630" s="1674" t="str">
        <f>IF(C626&gt;=R1,"DOI&gt;2004",IF($P$518&gt;0,"Converted",H630*L630))</f>
        <v>DOI&gt;2004</v>
      </c>
      <c r="P630" s="1674"/>
      <c r="R630" s="452">
        <f>IF(O630="Converted",0,C630)</f>
        <v>0</v>
      </c>
    </row>
    <row r="631" spans="2:109" ht="18" customHeight="1" x14ac:dyDescent="0.2">
      <c r="B631" s="185" t="s">
        <v>115</v>
      </c>
      <c r="C631" s="1373">
        <f>P137</f>
        <v>0</v>
      </c>
      <c r="D631" s="1346"/>
      <c r="E631" s="42" t="s">
        <v>1791</v>
      </c>
      <c r="F631" s="42">
        <v>24</v>
      </c>
      <c r="G631" s="42" t="s">
        <v>1793</v>
      </c>
      <c r="H631" s="1675">
        <f t="shared" si="98"/>
        <v>0</v>
      </c>
      <c r="I631" s="1675"/>
      <c r="J631" s="1675"/>
      <c r="K631" s="42" t="s">
        <v>1791</v>
      </c>
      <c r="L631" s="1674">
        <f>IF($C$626="",0,'Dol Per Deg'!$H$11)</f>
        <v>0</v>
      </c>
      <c r="M631" s="1674"/>
      <c r="N631" s="23" t="s">
        <v>1793</v>
      </c>
      <c r="O631" s="1674" t="str">
        <f>IF(C626&gt;=R1,"DOI&gt;2004",IF($P$518&gt;0,"Converted",H631*L631))</f>
        <v>DOI&gt;2004</v>
      </c>
      <c r="P631" s="1674"/>
      <c r="R631" s="452">
        <f t="shared" ref="R631:R636" si="99">IF(O631="Converted",0,C631)</f>
        <v>0</v>
      </c>
    </row>
    <row r="632" spans="2:109" ht="18" customHeight="1" x14ac:dyDescent="0.2">
      <c r="B632" s="185" t="s">
        <v>117</v>
      </c>
      <c r="C632" s="1373">
        <f>P214</f>
        <v>0</v>
      </c>
      <c r="D632" s="1346"/>
      <c r="E632" s="42" t="s">
        <v>1791</v>
      </c>
      <c r="F632" s="42">
        <v>22</v>
      </c>
      <c r="G632" s="42" t="s">
        <v>1793</v>
      </c>
      <c r="H632" s="1675">
        <f t="shared" si="98"/>
        <v>0</v>
      </c>
      <c r="I632" s="1675"/>
      <c r="J632" s="1675"/>
      <c r="K632" s="42" t="s">
        <v>1791</v>
      </c>
      <c r="L632" s="1674">
        <f>IF($C$626="",0,'Dol Per Deg'!$H$11)</f>
        <v>0</v>
      </c>
      <c r="M632" s="1674"/>
      <c r="N632" s="23" t="s">
        <v>1793</v>
      </c>
      <c r="O632" s="1674" t="str">
        <f>IF(C626&gt;=R1,"DOI&gt;2004",IF($P$518&gt;0,"Converted",H632*L632))</f>
        <v>DOI&gt;2004</v>
      </c>
      <c r="P632" s="1674"/>
      <c r="R632" s="452">
        <f t="shared" si="99"/>
        <v>0</v>
      </c>
    </row>
    <row r="633" spans="2:109" ht="18" customHeight="1" x14ac:dyDescent="0.2">
      <c r="B633" s="185" t="s">
        <v>119</v>
      </c>
      <c r="C633" s="1373">
        <f>P289</f>
        <v>0</v>
      </c>
      <c r="D633" s="1346"/>
      <c r="E633" s="42" t="s">
        <v>1791</v>
      </c>
      <c r="F633" s="42">
        <v>10</v>
      </c>
      <c r="G633" s="42" t="s">
        <v>1793</v>
      </c>
      <c r="H633" s="1675">
        <f t="shared" si="98"/>
        <v>0</v>
      </c>
      <c r="I633" s="1675"/>
      <c r="J633" s="1675"/>
      <c r="K633" s="42" t="s">
        <v>1791</v>
      </c>
      <c r="L633" s="1674">
        <f>IF($C$626="",0,'Dol Per Deg'!$H$11)</f>
        <v>0</v>
      </c>
      <c r="M633" s="1674"/>
      <c r="N633" s="23" t="s">
        <v>1793</v>
      </c>
      <c r="O633" s="1674" t="str">
        <f>IF(C626&gt;=R1,"DOI&gt;2004",IF($P$518&gt;0,"Converted",H633*L633))</f>
        <v>DOI&gt;2004</v>
      </c>
      <c r="P633" s="1674"/>
      <c r="R633" s="452">
        <f t="shared" si="99"/>
        <v>0</v>
      </c>
    </row>
    <row r="634" spans="2:109" ht="18" customHeight="1" x14ac:dyDescent="0.2">
      <c r="B634" s="185" t="s">
        <v>1390</v>
      </c>
      <c r="C634" s="1373">
        <f>P364</f>
        <v>0</v>
      </c>
      <c r="D634" s="1346"/>
      <c r="E634" s="42" t="s">
        <v>1791</v>
      </c>
      <c r="F634" s="42">
        <v>6</v>
      </c>
      <c r="G634" s="42" t="s">
        <v>1793</v>
      </c>
      <c r="H634" s="1468">
        <f t="shared" si="98"/>
        <v>0</v>
      </c>
      <c r="I634" s="1468"/>
      <c r="J634" s="1468"/>
      <c r="K634" s="42" t="s">
        <v>1791</v>
      </c>
      <c r="L634" s="1674">
        <f>IF($C$626="",0,'Dol Per Deg'!$H$11)</f>
        <v>0</v>
      </c>
      <c r="M634" s="1674"/>
      <c r="N634" s="23" t="s">
        <v>1793</v>
      </c>
      <c r="O634" s="1674" t="str">
        <f>IF(C626&gt;=R1,"DOI&gt;2004",IF($P$518&gt;0,"Converted",H634*L634))</f>
        <v>DOI&gt;2004</v>
      </c>
      <c r="P634" s="1674"/>
      <c r="R634" s="452">
        <f t="shared" si="99"/>
        <v>0</v>
      </c>
    </row>
    <row r="635" spans="2:109" ht="18" customHeight="1" x14ac:dyDescent="0.2">
      <c r="B635" s="185" t="s">
        <v>615</v>
      </c>
      <c r="C635" s="1373">
        <f>P527</f>
        <v>0</v>
      </c>
      <c r="D635" s="1346"/>
      <c r="E635" s="42" t="s">
        <v>1791</v>
      </c>
      <c r="F635" s="42">
        <v>150</v>
      </c>
      <c r="G635" s="42" t="s">
        <v>1793</v>
      </c>
      <c r="H635" s="1468">
        <f t="shared" si="98"/>
        <v>0</v>
      </c>
      <c r="I635" s="1468"/>
      <c r="J635" s="1468"/>
      <c r="K635" s="42" t="s">
        <v>1791</v>
      </c>
      <c r="L635" s="1674">
        <f>IF($C$626="",0,'Dol Per Deg'!$H$11)</f>
        <v>0</v>
      </c>
      <c r="M635" s="1674"/>
      <c r="N635" s="23" t="s">
        <v>1793</v>
      </c>
      <c r="O635" s="1674" t="str">
        <f>IF(C626&gt;=R1,"DOI&gt;2004",IF(AND(C635&gt;0,C636&gt;0),"Converted",H635*L635))</f>
        <v>DOI&gt;2004</v>
      </c>
      <c r="P635" s="1674"/>
      <c r="R635" s="452">
        <f t="shared" si="99"/>
        <v>0</v>
      </c>
    </row>
    <row r="636" spans="2:109" ht="18" customHeight="1" x14ac:dyDescent="0.2">
      <c r="B636" s="185" t="s">
        <v>889</v>
      </c>
      <c r="C636" s="1545">
        <f>P594</f>
        <v>0</v>
      </c>
      <c r="D636" s="1545"/>
      <c r="E636" s="42" t="s">
        <v>1791</v>
      </c>
      <c r="F636" s="42">
        <v>192</v>
      </c>
      <c r="G636" s="42" t="s">
        <v>1793</v>
      </c>
      <c r="H636" s="1468">
        <f t="shared" si="98"/>
        <v>0</v>
      </c>
      <c r="I636" s="1468"/>
      <c r="J636" s="1468"/>
      <c r="K636" s="42" t="s">
        <v>1791</v>
      </c>
      <c r="L636" s="1674">
        <f>IF($C$626="",0,'Dol Per Deg'!$H$11)</f>
        <v>0</v>
      </c>
      <c r="M636" s="1674"/>
      <c r="N636" s="23" t="s">
        <v>1793</v>
      </c>
      <c r="O636" s="1674" t="str">
        <f>IF(C626&gt;=R1,"DOI&gt;2004",H636*L636)</f>
        <v>DOI&gt;2004</v>
      </c>
      <c r="P636" s="1674"/>
      <c r="R636" s="452">
        <f t="shared" si="99"/>
        <v>0</v>
      </c>
    </row>
    <row r="637" spans="2:109" ht="36.75" customHeight="1" x14ac:dyDescent="0.25">
      <c r="B637" s="1682" t="s">
        <v>947</v>
      </c>
      <c r="C637" s="1682"/>
      <c r="D637" s="1682"/>
      <c r="E637" s="1682"/>
      <c r="F637" s="1682"/>
      <c r="G637" s="1682"/>
      <c r="H637" s="1682"/>
      <c r="I637" s="1682"/>
      <c r="J637" s="1682"/>
      <c r="K637" s="1682"/>
      <c r="L637" s="1682"/>
      <c r="M637" s="1682"/>
      <c r="N637" s="1682"/>
      <c r="O637" s="1682"/>
      <c r="P637" s="1682"/>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row>
    <row r="638" spans="2:109" x14ac:dyDescent="0.2">
      <c r="B638" s="301" t="s">
        <v>790</v>
      </c>
      <c r="C638" s="1776" t="str">
        <f>IF(S1&lt;&gt;"",S1,"")</f>
        <v>Go to PPD Worksheet</v>
      </c>
      <c r="D638" s="1776"/>
      <c r="E638" s="1776"/>
      <c r="F638" s="1776"/>
      <c r="G638" s="1776"/>
      <c r="H638" s="1776"/>
      <c r="I638" s="1776"/>
      <c r="J638" s="1777" t="str">
        <f>IF(S2&lt;&gt;"",S2,"")</f>
        <v/>
      </c>
      <c r="K638" s="1777"/>
      <c r="L638" s="1777"/>
      <c r="M638" s="1777"/>
      <c r="N638" s="1777"/>
      <c r="P638" s="189"/>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row>
    <row r="639" spans="2:109" x14ac:dyDescent="0.2">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row>
    <row r="640" spans="2:109" x14ac:dyDescent="0.2">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row>
    <row r="641" spans="2:241" hidden="1" x14ac:dyDescent="0.2">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row>
    <row r="642" spans="2:241" s="219" customFormat="1" hidden="1" x14ac:dyDescent="0.2">
      <c r="C642" s="13"/>
      <c r="D642" s="461"/>
      <c r="F642" s="13"/>
      <c r="G642" s="461"/>
      <c r="I642" s="13"/>
      <c r="J642" s="461"/>
      <c r="L642" s="13"/>
      <c r="M642" s="461"/>
      <c r="O642" s="13"/>
      <c r="P642" s="461"/>
      <c r="R642" s="73"/>
      <c r="S642" s="74"/>
      <c r="T642" s="73"/>
      <c r="U642" s="73"/>
      <c r="V642" s="74"/>
      <c r="W642" s="73"/>
      <c r="X642" s="73"/>
      <c r="Y642" s="74"/>
      <c r="Z642" s="73"/>
      <c r="AA642" s="73"/>
      <c r="AB642" s="74"/>
      <c r="AC642" s="73"/>
      <c r="AD642" s="73"/>
      <c r="AE642" s="74"/>
      <c r="AF642" s="73"/>
      <c r="AG642" s="73"/>
      <c r="AH642" s="74"/>
      <c r="AI642" s="73"/>
      <c r="AJ642" s="73"/>
      <c r="AK642" s="74"/>
      <c r="AL642" s="73"/>
      <c r="AM642" s="73"/>
      <c r="AN642" s="74"/>
      <c r="AO642" s="73"/>
      <c r="AP642" s="73"/>
      <c r="AQ642" s="74"/>
      <c r="AR642" s="73"/>
      <c r="AS642" s="73"/>
      <c r="AT642" s="74"/>
      <c r="AV642" s="13"/>
      <c r="AW642" s="461"/>
      <c r="AY642" s="13"/>
      <c r="AZ642" s="461"/>
      <c r="BB642" s="13"/>
      <c r="BC642" s="461"/>
      <c r="BE642" s="13"/>
      <c r="BF642" s="461"/>
      <c r="BH642" s="13"/>
      <c r="BI642" s="461"/>
      <c r="BK642" s="13"/>
      <c r="BL642" s="461"/>
      <c r="BN642" s="13"/>
      <c r="BO642" s="461"/>
      <c r="BQ642" s="13"/>
      <c r="BR642" s="461"/>
      <c r="BT642" s="13"/>
      <c r="BU642" s="461"/>
      <c r="BW642" s="13"/>
      <c r="BX642" s="461"/>
      <c r="BZ642" s="13"/>
      <c r="CA642" s="461"/>
      <c r="CC642" s="13"/>
      <c r="CD642" s="461"/>
      <c r="CF642" s="13"/>
      <c r="CG642" s="461"/>
      <c r="CI642" s="13"/>
      <c r="CJ642" s="461"/>
      <c r="CL642" s="13"/>
      <c r="CM642" s="461"/>
      <c r="CO642" s="13"/>
      <c r="CP642" s="461"/>
      <c r="CR642" s="13"/>
      <c r="CS642" s="461"/>
      <c r="CU642" s="13"/>
      <c r="CV642" s="461"/>
      <c r="CX642" s="13"/>
      <c r="CY642" s="461"/>
      <c r="DA642" s="13"/>
      <c r="DB642" s="461"/>
      <c r="DD642" s="13"/>
      <c r="DE642" s="461"/>
      <c r="DG642" s="13"/>
      <c r="DH642" s="461"/>
      <c r="DJ642" s="13"/>
      <c r="DK642" s="461"/>
      <c r="DM642" s="13"/>
      <c r="DN642" s="461"/>
      <c r="DP642" s="13"/>
      <c r="DQ642" s="461"/>
      <c r="DS642" s="13"/>
      <c r="DT642" s="461"/>
      <c r="DV642" s="13"/>
      <c r="DW642" s="461"/>
      <c r="DY642" s="13"/>
      <c r="DZ642" s="461"/>
      <c r="EB642" s="13"/>
      <c r="EC642" s="461"/>
      <c r="EE642" s="13"/>
      <c r="EF642" s="461"/>
      <c r="EH642" s="13"/>
      <c r="EI642" s="461"/>
      <c r="EK642" s="13"/>
      <c r="EL642" s="461"/>
      <c r="EN642" s="13"/>
      <c r="EO642" s="461"/>
      <c r="EQ642" s="13"/>
      <c r="ER642" s="461"/>
      <c r="ET642" s="13"/>
      <c r="EU642" s="461"/>
      <c r="EW642" s="13"/>
      <c r="EX642" s="461"/>
      <c r="EZ642" s="13"/>
      <c r="FA642" s="461"/>
      <c r="FC642" s="13"/>
      <c r="FD642" s="461"/>
      <c r="FF642" s="13"/>
      <c r="FG642" s="461"/>
      <c r="FI642" s="13"/>
      <c r="FJ642" s="461"/>
      <c r="FL642" s="13"/>
      <c r="FM642" s="461"/>
      <c r="FO642" s="13"/>
      <c r="FP642" s="461"/>
      <c r="FR642" s="13"/>
      <c r="FS642" s="461"/>
      <c r="FU642" s="13"/>
      <c r="FV642" s="461"/>
      <c r="FX642" s="13"/>
      <c r="FY642" s="461"/>
      <c r="GA642" s="13"/>
      <c r="GB642" s="461"/>
      <c r="GD642" s="13"/>
      <c r="GE642" s="461"/>
      <c r="GG642" s="13"/>
      <c r="GH642" s="461"/>
      <c r="GJ642" s="13"/>
      <c r="GK642" s="461"/>
      <c r="GM642" s="13"/>
      <c r="GN642" s="461"/>
      <c r="GP642" s="13"/>
      <c r="GQ642" s="461"/>
      <c r="GS642" s="13"/>
      <c r="GT642" s="461"/>
      <c r="GV642" s="13"/>
      <c r="GW642" s="461"/>
      <c r="GY642" s="13"/>
      <c r="GZ642" s="461"/>
      <c r="HB642" s="13"/>
      <c r="HC642" s="461"/>
      <c r="HE642" s="13"/>
      <c r="HF642" s="461"/>
      <c r="HH642" s="13"/>
      <c r="HI642" s="461"/>
      <c r="HK642" s="13"/>
      <c r="HL642" s="461"/>
      <c r="HN642" s="13"/>
      <c r="HO642" s="461"/>
      <c r="HQ642" s="13"/>
      <c r="HR642" s="461"/>
      <c r="HT642" s="13"/>
      <c r="HU642" s="461"/>
      <c r="HW642" s="13"/>
      <c r="HX642" s="461"/>
      <c r="HZ642" s="13"/>
      <c r="IA642" s="461"/>
      <c r="IC642" s="13"/>
      <c r="ID642" s="461"/>
      <c r="IF642" s="13"/>
      <c r="IG642" s="461"/>
    </row>
    <row r="643" spans="2:241" hidden="1" x14ac:dyDescent="0.2">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row>
    <row r="644" spans="2:241" ht="12" hidden="1" customHeight="1" x14ac:dyDescent="0.2">
      <c r="B644" s="452">
        <v>0.01</v>
      </c>
      <c r="C644" s="1410" t="s">
        <v>2223</v>
      </c>
      <c r="D644" s="1410"/>
      <c r="E644" s="1410"/>
      <c r="F644" s="1410"/>
      <c r="G644" s="1410"/>
      <c r="H644" s="1410"/>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row>
    <row r="645" spans="2:241" hidden="1" x14ac:dyDescent="0.2">
      <c r="B645" s="452">
        <v>0.99</v>
      </c>
      <c r="C645" s="1410" t="s">
        <v>2223</v>
      </c>
      <c r="D645" s="1410"/>
      <c r="E645" s="1410"/>
      <c r="F645" s="1410"/>
      <c r="G645" s="1410"/>
      <c r="H645" s="1410"/>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row>
    <row r="646" spans="2:241" hidden="1" x14ac:dyDescent="0.2">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row>
    <row r="647" spans="2:241" hidden="1" x14ac:dyDescent="0.2">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row>
    <row r="648" spans="2:241" hidden="1" x14ac:dyDescent="0.2">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row>
    <row r="649" spans="2:241" hidden="1" x14ac:dyDescent="0.2">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row>
    <row r="650" spans="2:241" hidden="1" x14ac:dyDescent="0.2">
      <c r="B650" s="1379" t="s">
        <v>2224</v>
      </c>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row>
    <row r="651" spans="2:241" hidden="1" x14ac:dyDescent="0.2">
      <c r="B651" s="1379"/>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row>
    <row r="652" spans="2:241" hidden="1" x14ac:dyDescent="0.2">
      <c r="B652" s="1379"/>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8"/>
      <c r="DB652" s="18"/>
      <c r="DC652" s="18"/>
      <c r="DD652" s="18"/>
      <c r="DE652" s="18"/>
    </row>
    <row r="653" spans="2:241" hidden="1" x14ac:dyDescent="0.2">
      <c r="B653" s="1379"/>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row>
    <row r="654" spans="2:241" hidden="1" x14ac:dyDescent="0.2">
      <c r="B654" s="817" t="s">
        <v>1942</v>
      </c>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row>
    <row r="655" spans="2:241" hidden="1" x14ac:dyDescent="0.2">
      <c r="B655" s="818">
        <v>0</v>
      </c>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row>
    <row r="656" spans="2:241" hidden="1" x14ac:dyDescent="0.2">
      <c r="B656" s="818">
        <v>1</v>
      </c>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8"/>
      <c r="DB656" s="18"/>
      <c r="DC656" s="18"/>
      <c r="DD656" s="18"/>
      <c r="DE656" s="18"/>
    </row>
    <row r="657" spans="2:109" hidden="1" x14ac:dyDescent="0.2">
      <c r="B657" s="818">
        <v>2</v>
      </c>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row>
    <row r="658" spans="2:109" hidden="1" x14ac:dyDescent="0.2">
      <c r="B658" s="818">
        <v>3</v>
      </c>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row>
    <row r="659" spans="2:109" hidden="1" x14ac:dyDescent="0.2">
      <c r="B659" s="818">
        <v>4</v>
      </c>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row>
    <row r="660" spans="2:109" hidden="1" x14ac:dyDescent="0.2">
      <c r="B660" s="818">
        <v>5</v>
      </c>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c r="CJ660" s="18"/>
      <c r="CK660" s="18"/>
      <c r="CL660" s="18"/>
      <c r="CM660" s="18"/>
      <c r="CN660" s="18"/>
      <c r="CO660" s="18"/>
      <c r="CP660" s="18"/>
      <c r="CQ660" s="18"/>
      <c r="CR660" s="18"/>
      <c r="CS660" s="18"/>
      <c r="CT660" s="18"/>
      <c r="CU660" s="18"/>
      <c r="CV660" s="18"/>
      <c r="CW660" s="18"/>
      <c r="CX660" s="18"/>
      <c r="CY660" s="18"/>
      <c r="CZ660" s="18"/>
      <c r="DA660" s="18"/>
      <c r="DB660" s="18"/>
      <c r="DC660" s="18"/>
      <c r="DD660" s="18"/>
      <c r="DE660" s="18"/>
    </row>
    <row r="661" spans="2:109" hidden="1" x14ac:dyDescent="0.2">
      <c r="B661" s="818">
        <v>6</v>
      </c>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row>
    <row r="662" spans="2:109" hidden="1" x14ac:dyDescent="0.2">
      <c r="B662" s="818">
        <v>7</v>
      </c>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row>
    <row r="663" spans="2:109" hidden="1" x14ac:dyDescent="0.2">
      <c r="B663" s="818">
        <v>8</v>
      </c>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row>
    <row r="664" spans="2:109" hidden="1" x14ac:dyDescent="0.2">
      <c r="B664" s="818">
        <v>9</v>
      </c>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c r="CJ664" s="18"/>
      <c r="CK664" s="18"/>
      <c r="CL664" s="18"/>
      <c r="CM664" s="18"/>
      <c r="CN664" s="18"/>
      <c r="CO664" s="18"/>
      <c r="CP664" s="18"/>
      <c r="CQ664" s="18"/>
      <c r="CR664" s="18"/>
      <c r="CS664" s="18"/>
      <c r="CT664" s="18"/>
      <c r="CU664" s="18"/>
      <c r="CV664" s="18"/>
      <c r="CW664" s="18"/>
      <c r="CX664" s="18"/>
      <c r="CY664" s="18"/>
      <c r="CZ664" s="18"/>
      <c r="DA664" s="18"/>
      <c r="DB664" s="18"/>
      <c r="DC664" s="18"/>
      <c r="DD664" s="18"/>
      <c r="DE664" s="18"/>
    </row>
    <row r="665" spans="2:109" hidden="1" x14ac:dyDescent="0.2">
      <c r="B665" s="818">
        <v>10</v>
      </c>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row>
    <row r="666" spans="2:109" hidden="1" x14ac:dyDescent="0.2">
      <c r="B666" s="818">
        <v>11</v>
      </c>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8"/>
      <c r="DB666" s="18"/>
      <c r="DC666" s="18"/>
      <c r="DD666" s="18"/>
      <c r="DE666" s="18"/>
    </row>
    <row r="667" spans="2:109" hidden="1" x14ac:dyDescent="0.2">
      <c r="B667" s="818">
        <v>12</v>
      </c>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8"/>
      <c r="DB667" s="18"/>
      <c r="DC667" s="18"/>
      <c r="DD667" s="18"/>
      <c r="DE667" s="18"/>
    </row>
    <row r="668" spans="2:109" hidden="1" x14ac:dyDescent="0.2">
      <c r="B668" s="818">
        <v>13</v>
      </c>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c r="CH668" s="18"/>
      <c r="CI668" s="18"/>
      <c r="CJ668" s="18"/>
      <c r="CK668" s="18"/>
      <c r="CL668" s="18"/>
      <c r="CM668" s="18"/>
      <c r="CN668" s="18"/>
      <c r="CO668" s="18"/>
      <c r="CP668" s="18"/>
      <c r="CQ668" s="18"/>
      <c r="CR668" s="18"/>
      <c r="CS668" s="18"/>
      <c r="CT668" s="18"/>
      <c r="CU668" s="18"/>
      <c r="CV668" s="18"/>
      <c r="CW668" s="18"/>
      <c r="CX668" s="18"/>
      <c r="CY668" s="18"/>
      <c r="CZ668" s="18"/>
      <c r="DA668" s="18"/>
      <c r="DB668" s="18"/>
      <c r="DC668" s="18"/>
      <c r="DD668" s="18"/>
      <c r="DE668" s="18"/>
    </row>
    <row r="669" spans="2:109" hidden="1" x14ac:dyDescent="0.2">
      <c r="B669" s="818">
        <v>14</v>
      </c>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8"/>
      <c r="DB669" s="18"/>
      <c r="DC669" s="18"/>
      <c r="DD669" s="18"/>
      <c r="DE669" s="18"/>
    </row>
    <row r="670" spans="2:109" hidden="1" x14ac:dyDescent="0.2">
      <c r="B670" s="818">
        <v>15</v>
      </c>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row>
    <row r="671" spans="2:109" hidden="1" x14ac:dyDescent="0.2">
      <c r="B671" s="818">
        <v>16</v>
      </c>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row>
    <row r="672" spans="2:109" hidden="1" x14ac:dyDescent="0.2">
      <c r="B672" s="818">
        <v>17</v>
      </c>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c r="CH672" s="18"/>
      <c r="CI672" s="18"/>
      <c r="CJ672" s="18"/>
      <c r="CK672" s="18"/>
      <c r="CL672" s="18"/>
      <c r="CM672" s="18"/>
      <c r="CN672" s="18"/>
      <c r="CO672" s="18"/>
      <c r="CP672" s="18"/>
      <c r="CQ672" s="18"/>
      <c r="CR672" s="18"/>
      <c r="CS672" s="18"/>
      <c r="CT672" s="18"/>
      <c r="CU672" s="18"/>
      <c r="CV672" s="18"/>
      <c r="CW672" s="18"/>
      <c r="CX672" s="18"/>
      <c r="CY672" s="18"/>
      <c r="CZ672" s="18"/>
      <c r="DA672" s="18"/>
      <c r="DB672" s="18"/>
      <c r="DC672" s="18"/>
      <c r="DD672" s="18"/>
      <c r="DE672" s="18"/>
    </row>
    <row r="673" spans="2:109" hidden="1" x14ac:dyDescent="0.2">
      <c r="B673" s="818">
        <v>18</v>
      </c>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row>
    <row r="674" spans="2:109" hidden="1" x14ac:dyDescent="0.2">
      <c r="B674" s="818">
        <v>19</v>
      </c>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row>
    <row r="675" spans="2:109" hidden="1" x14ac:dyDescent="0.2">
      <c r="B675" s="818">
        <v>20</v>
      </c>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8"/>
      <c r="DB675" s="18"/>
      <c r="DC675" s="18"/>
      <c r="DD675" s="18"/>
      <c r="DE675" s="18"/>
    </row>
    <row r="676" spans="2:109" hidden="1" x14ac:dyDescent="0.2">
      <c r="B676" s="818">
        <v>21</v>
      </c>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c r="CH676" s="18"/>
      <c r="CI676" s="18"/>
      <c r="CJ676" s="18"/>
      <c r="CK676" s="18"/>
      <c r="CL676" s="18"/>
      <c r="CM676" s="18"/>
      <c r="CN676" s="18"/>
      <c r="CO676" s="18"/>
      <c r="CP676" s="18"/>
      <c r="CQ676" s="18"/>
      <c r="CR676" s="18"/>
      <c r="CS676" s="18"/>
      <c r="CT676" s="18"/>
      <c r="CU676" s="18"/>
      <c r="CV676" s="18"/>
      <c r="CW676" s="18"/>
      <c r="CX676" s="18"/>
      <c r="CY676" s="18"/>
      <c r="CZ676" s="18"/>
      <c r="DA676" s="18"/>
      <c r="DB676" s="18"/>
      <c r="DC676" s="18"/>
      <c r="DD676" s="18"/>
      <c r="DE676" s="18"/>
    </row>
    <row r="677" spans="2:109" hidden="1" x14ac:dyDescent="0.2">
      <c r="B677" s="818">
        <v>22</v>
      </c>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8"/>
      <c r="DB677" s="18"/>
      <c r="DC677" s="18"/>
      <c r="DD677" s="18"/>
      <c r="DE677" s="18"/>
    </row>
    <row r="678" spans="2:109" hidden="1" x14ac:dyDescent="0.2">
      <c r="B678" s="818">
        <v>23</v>
      </c>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row>
    <row r="679" spans="2:109" hidden="1" x14ac:dyDescent="0.2">
      <c r="B679" s="818">
        <v>24</v>
      </c>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8"/>
      <c r="DB679" s="18"/>
      <c r="DC679" s="18"/>
      <c r="DD679" s="18"/>
      <c r="DE679" s="18"/>
    </row>
    <row r="680" spans="2:109" hidden="1" x14ac:dyDescent="0.2">
      <c r="B680" s="818">
        <v>25</v>
      </c>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c r="CH680" s="18"/>
      <c r="CI680" s="18"/>
      <c r="CJ680" s="18"/>
      <c r="CK680" s="18"/>
      <c r="CL680" s="18"/>
      <c r="CM680" s="18"/>
      <c r="CN680" s="18"/>
      <c r="CO680" s="18"/>
      <c r="CP680" s="18"/>
      <c r="CQ680" s="18"/>
      <c r="CR680" s="18"/>
      <c r="CS680" s="18"/>
      <c r="CT680" s="18"/>
      <c r="CU680" s="18"/>
      <c r="CV680" s="18"/>
      <c r="CW680" s="18"/>
      <c r="CX680" s="18"/>
      <c r="CY680" s="18"/>
      <c r="CZ680" s="18"/>
      <c r="DA680" s="18"/>
      <c r="DB680" s="18"/>
      <c r="DC680" s="18"/>
      <c r="DD680" s="18"/>
      <c r="DE680" s="18"/>
    </row>
    <row r="681" spans="2:109" hidden="1" x14ac:dyDescent="0.2">
      <c r="B681" s="818">
        <v>26</v>
      </c>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8"/>
      <c r="DB681" s="18"/>
      <c r="DC681" s="18"/>
      <c r="DD681" s="18"/>
      <c r="DE681" s="18"/>
    </row>
    <row r="682" spans="2:109" hidden="1" x14ac:dyDescent="0.2">
      <c r="B682" s="818">
        <v>27</v>
      </c>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c r="CH682" s="18"/>
      <c r="CI682" s="18"/>
      <c r="CJ682" s="18"/>
      <c r="CK682" s="18"/>
      <c r="CL682" s="18"/>
      <c r="CM682" s="18"/>
      <c r="CN682" s="18"/>
      <c r="CO682" s="18"/>
      <c r="CP682" s="18"/>
      <c r="CQ682" s="18"/>
      <c r="CR682" s="18"/>
      <c r="CS682" s="18"/>
      <c r="CT682" s="18"/>
      <c r="CU682" s="18"/>
      <c r="CV682" s="18"/>
      <c r="CW682" s="18"/>
      <c r="CX682" s="18"/>
      <c r="CY682" s="18"/>
      <c r="CZ682" s="18"/>
      <c r="DA682" s="18"/>
      <c r="DB682" s="18"/>
      <c r="DC682" s="18"/>
      <c r="DD682" s="18"/>
      <c r="DE682" s="18"/>
    </row>
    <row r="683" spans="2:109" hidden="1" x14ac:dyDescent="0.2">
      <c r="B683" s="818">
        <v>28</v>
      </c>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c r="CH683" s="18"/>
      <c r="CI683" s="18"/>
      <c r="CJ683" s="18"/>
      <c r="CK683" s="18"/>
      <c r="CL683" s="18"/>
      <c r="CM683" s="18"/>
      <c r="CN683" s="18"/>
      <c r="CO683" s="18"/>
      <c r="CP683" s="18"/>
      <c r="CQ683" s="18"/>
      <c r="CR683" s="18"/>
      <c r="CS683" s="18"/>
      <c r="CT683" s="18"/>
      <c r="CU683" s="18"/>
      <c r="CV683" s="18"/>
      <c r="CW683" s="18"/>
      <c r="CX683" s="18"/>
      <c r="CY683" s="18"/>
      <c r="CZ683" s="18"/>
      <c r="DA683" s="18"/>
      <c r="DB683" s="18"/>
      <c r="DC683" s="18"/>
      <c r="DD683" s="18"/>
      <c r="DE683" s="18"/>
    </row>
    <row r="684" spans="2:109" hidden="1" x14ac:dyDescent="0.2">
      <c r="B684" s="818">
        <v>29</v>
      </c>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c r="CH684" s="18"/>
      <c r="CI684" s="18"/>
      <c r="CJ684" s="18"/>
      <c r="CK684" s="18"/>
      <c r="CL684" s="18"/>
      <c r="CM684" s="18"/>
      <c r="CN684" s="18"/>
      <c r="CO684" s="18"/>
      <c r="CP684" s="18"/>
      <c r="CQ684" s="18"/>
      <c r="CR684" s="18"/>
      <c r="CS684" s="18"/>
      <c r="CT684" s="18"/>
      <c r="CU684" s="18"/>
      <c r="CV684" s="18"/>
      <c r="CW684" s="18"/>
      <c r="CX684" s="18"/>
      <c r="CY684" s="18"/>
      <c r="CZ684" s="18"/>
      <c r="DA684" s="18"/>
      <c r="DB684" s="18"/>
      <c r="DC684" s="18"/>
      <c r="DD684" s="18"/>
      <c r="DE684" s="18"/>
    </row>
    <row r="685" spans="2:109" hidden="1" x14ac:dyDescent="0.2">
      <c r="B685" s="818">
        <v>30</v>
      </c>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c r="CH685" s="18"/>
      <c r="CI685" s="18"/>
      <c r="CJ685" s="18"/>
      <c r="CK685" s="18"/>
      <c r="CL685" s="18"/>
      <c r="CM685" s="18"/>
      <c r="CN685" s="18"/>
      <c r="CO685" s="18"/>
      <c r="CP685" s="18"/>
      <c r="CQ685" s="18"/>
      <c r="CR685" s="18"/>
      <c r="CS685" s="18"/>
      <c r="CT685" s="18"/>
      <c r="CU685" s="18"/>
      <c r="CV685" s="18"/>
      <c r="CW685" s="18"/>
      <c r="CX685" s="18"/>
      <c r="CY685" s="18"/>
      <c r="CZ685" s="18"/>
      <c r="DA685" s="18"/>
      <c r="DB685" s="18"/>
      <c r="DC685" s="18"/>
      <c r="DD685" s="18"/>
      <c r="DE685" s="18"/>
    </row>
    <row r="686" spans="2:109" hidden="1" x14ac:dyDescent="0.2">
      <c r="B686" s="818">
        <v>31</v>
      </c>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row>
    <row r="687" spans="2:109" hidden="1" x14ac:dyDescent="0.2">
      <c r="B687" s="818">
        <v>32</v>
      </c>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c r="CP687" s="18"/>
      <c r="CQ687" s="18"/>
      <c r="CR687" s="18"/>
      <c r="CS687" s="18"/>
      <c r="CT687" s="18"/>
      <c r="CU687" s="18"/>
      <c r="CV687" s="18"/>
      <c r="CW687" s="18"/>
      <c r="CX687" s="18"/>
      <c r="CY687" s="18"/>
      <c r="CZ687" s="18"/>
      <c r="DA687" s="18"/>
      <c r="DB687" s="18"/>
      <c r="DC687" s="18"/>
      <c r="DD687" s="18"/>
      <c r="DE687" s="18"/>
    </row>
    <row r="688" spans="2:109" hidden="1" x14ac:dyDescent="0.2">
      <c r="B688" s="818">
        <v>33</v>
      </c>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c r="CX688" s="18"/>
      <c r="CY688" s="18"/>
      <c r="CZ688" s="18"/>
      <c r="DA688" s="18"/>
      <c r="DB688" s="18"/>
      <c r="DC688" s="18"/>
      <c r="DD688" s="18"/>
      <c r="DE688" s="18"/>
    </row>
    <row r="689" spans="2:109" hidden="1" x14ac:dyDescent="0.2">
      <c r="B689" s="818">
        <v>34</v>
      </c>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row>
    <row r="690" spans="2:109" hidden="1" x14ac:dyDescent="0.2">
      <c r="B690" s="818">
        <v>35</v>
      </c>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c r="CX690" s="18"/>
      <c r="CY690" s="18"/>
      <c r="CZ690" s="18"/>
      <c r="DA690" s="18"/>
      <c r="DB690" s="18"/>
      <c r="DC690" s="18"/>
      <c r="DD690" s="18"/>
      <c r="DE690" s="18"/>
    </row>
    <row r="691" spans="2:109" hidden="1" x14ac:dyDescent="0.2">
      <c r="B691" s="818">
        <v>36</v>
      </c>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CX691" s="18"/>
      <c r="CY691" s="18"/>
      <c r="CZ691" s="18"/>
      <c r="DA691" s="18"/>
      <c r="DB691" s="18"/>
      <c r="DC691" s="18"/>
      <c r="DD691" s="18"/>
      <c r="DE691" s="18"/>
    </row>
    <row r="692" spans="2:109" hidden="1" x14ac:dyDescent="0.2">
      <c r="B692" s="818">
        <v>37</v>
      </c>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CX692" s="18"/>
      <c r="CY692" s="18"/>
      <c r="CZ692" s="18"/>
      <c r="DA692" s="18"/>
      <c r="DB692" s="18"/>
      <c r="DC692" s="18"/>
      <c r="DD692" s="18"/>
      <c r="DE692" s="18"/>
    </row>
    <row r="693" spans="2:109" hidden="1" x14ac:dyDescent="0.2">
      <c r="B693" s="818">
        <v>38</v>
      </c>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CX693" s="18"/>
      <c r="CY693" s="18"/>
      <c r="CZ693" s="18"/>
      <c r="DA693" s="18"/>
      <c r="DB693" s="18"/>
      <c r="DC693" s="18"/>
      <c r="DD693" s="18"/>
      <c r="DE693" s="18"/>
    </row>
    <row r="694" spans="2:109" hidden="1" x14ac:dyDescent="0.2">
      <c r="B694" s="818">
        <v>39</v>
      </c>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row>
    <row r="695" spans="2:109" hidden="1" x14ac:dyDescent="0.2">
      <c r="B695" s="818">
        <v>40</v>
      </c>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c r="CX695" s="18"/>
      <c r="CY695" s="18"/>
      <c r="CZ695" s="18"/>
      <c r="DA695" s="18"/>
      <c r="DB695" s="18"/>
      <c r="DC695" s="18"/>
      <c r="DD695" s="18"/>
      <c r="DE695" s="18"/>
    </row>
    <row r="696" spans="2:109" hidden="1" x14ac:dyDescent="0.2">
      <c r="B696" s="818">
        <v>41</v>
      </c>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c r="CX696" s="18"/>
      <c r="CY696" s="18"/>
      <c r="CZ696" s="18"/>
      <c r="DA696" s="18"/>
      <c r="DB696" s="18"/>
      <c r="DC696" s="18"/>
      <c r="DD696" s="18"/>
      <c r="DE696" s="18"/>
    </row>
    <row r="697" spans="2:109" hidden="1" x14ac:dyDescent="0.2">
      <c r="B697" s="818">
        <v>42</v>
      </c>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c r="BS697" s="18"/>
      <c r="BT697" s="18"/>
      <c r="BU697" s="18"/>
      <c r="BV697" s="18"/>
      <c r="BW697" s="18"/>
      <c r="BX697" s="18"/>
      <c r="BY697" s="18"/>
      <c r="BZ697" s="18"/>
      <c r="CA697" s="18"/>
      <c r="CB697" s="18"/>
      <c r="CC697" s="18"/>
      <c r="CD697" s="18"/>
      <c r="CE697" s="18"/>
      <c r="CF697" s="18"/>
      <c r="CG697" s="18"/>
      <c r="CH697" s="18"/>
      <c r="CI697" s="18"/>
      <c r="CJ697" s="18"/>
      <c r="CK697" s="18"/>
      <c r="CL697" s="18"/>
      <c r="CM697" s="18"/>
      <c r="CN697" s="18"/>
      <c r="CO697" s="18"/>
      <c r="CP697" s="18"/>
      <c r="CQ697" s="18"/>
      <c r="CR697" s="18"/>
      <c r="CS697" s="18"/>
      <c r="CT697" s="18"/>
      <c r="CU697" s="18"/>
      <c r="CV697" s="18"/>
      <c r="CW697" s="18"/>
      <c r="CX697" s="18"/>
      <c r="CY697" s="18"/>
      <c r="CZ697" s="18"/>
      <c r="DA697" s="18"/>
      <c r="DB697" s="18"/>
      <c r="DC697" s="18"/>
      <c r="DD697" s="18"/>
      <c r="DE697" s="18"/>
    </row>
    <row r="698" spans="2:109" hidden="1" x14ac:dyDescent="0.2">
      <c r="B698" s="818">
        <v>43</v>
      </c>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c r="BS698" s="18"/>
      <c r="BT698" s="18"/>
      <c r="BU698" s="18"/>
      <c r="BV698" s="18"/>
      <c r="BW698" s="18"/>
      <c r="BX698" s="18"/>
      <c r="BY698" s="18"/>
      <c r="BZ698" s="18"/>
      <c r="CA698" s="18"/>
      <c r="CB698" s="18"/>
      <c r="CC698" s="18"/>
      <c r="CD698" s="18"/>
      <c r="CE698" s="18"/>
      <c r="CF698" s="18"/>
      <c r="CG698" s="18"/>
      <c r="CH698" s="18"/>
      <c r="CI698" s="18"/>
      <c r="CJ698" s="18"/>
      <c r="CK698" s="18"/>
      <c r="CL698" s="18"/>
      <c r="CM698" s="18"/>
      <c r="CN698" s="18"/>
      <c r="CO698" s="18"/>
      <c r="CP698" s="18"/>
      <c r="CQ698" s="18"/>
      <c r="CR698" s="18"/>
      <c r="CS698" s="18"/>
      <c r="CT698" s="18"/>
      <c r="CU698" s="18"/>
      <c r="CV698" s="18"/>
      <c r="CW698" s="18"/>
      <c r="CX698" s="18"/>
      <c r="CY698" s="18"/>
      <c r="CZ698" s="18"/>
      <c r="DA698" s="18"/>
      <c r="DB698" s="18"/>
      <c r="DC698" s="18"/>
      <c r="DD698" s="18"/>
      <c r="DE698" s="18"/>
    </row>
    <row r="699" spans="2:109" hidden="1" x14ac:dyDescent="0.2">
      <c r="B699" s="818">
        <v>44</v>
      </c>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c r="BS699" s="18"/>
      <c r="BT699" s="18"/>
      <c r="BU699" s="18"/>
      <c r="BV699" s="18"/>
      <c r="BW699" s="18"/>
      <c r="BX699" s="18"/>
      <c r="BY699" s="18"/>
      <c r="BZ699" s="18"/>
      <c r="CA699" s="18"/>
      <c r="CB699" s="18"/>
      <c r="CC699" s="18"/>
      <c r="CD699" s="18"/>
      <c r="CE699" s="18"/>
      <c r="CF699" s="18"/>
      <c r="CG699" s="18"/>
      <c r="CH699" s="18"/>
      <c r="CI699" s="18"/>
      <c r="CJ699" s="18"/>
      <c r="CK699" s="18"/>
      <c r="CL699" s="18"/>
      <c r="CM699" s="18"/>
      <c r="CN699" s="18"/>
      <c r="CO699" s="18"/>
      <c r="CP699" s="18"/>
      <c r="CQ699" s="18"/>
      <c r="CR699" s="18"/>
      <c r="CS699" s="18"/>
      <c r="CT699" s="18"/>
      <c r="CU699" s="18"/>
      <c r="CV699" s="18"/>
      <c r="CW699" s="18"/>
      <c r="CX699" s="18"/>
      <c r="CY699" s="18"/>
      <c r="CZ699" s="18"/>
      <c r="DA699" s="18"/>
      <c r="DB699" s="18"/>
      <c r="DC699" s="18"/>
      <c r="DD699" s="18"/>
      <c r="DE699" s="18"/>
    </row>
    <row r="700" spans="2:109" hidden="1" x14ac:dyDescent="0.2">
      <c r="B700" s="818">
        <v>45</v>
      </c>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c r="BS700" s="18"/>
      <c r="BT700" s="18"/>
      <c r="BU700" s="18"/>
      <c r="BV700" s="18"/>
      <c r="BW700" s="18"/>
      <c r="BX700" s="18"/>
      <c r="BY700" s="18"/>
      <c r="BZ700" s="18"/>
      <c r="CA700" s="18"/>
      <c r="CB700" s="18"/>
      <c r="CC700" s="18"/>
      <c r="CD700" s="18"/>
      <c r="CE700" s="18"/>
      <c r="CF700" s="18"/>
      <c r="CG700" s="18"/>
      <c r="CH700" s="18"/>
      <c r="CI700" s="18"/>
      <c r="CJ700" s="18"/>
      <c r="CK700" s="18"/>
      <c r="CL700" s="18"/>
      <c r="CM700" s="18"/>
      <c r="CN700" s="18"/>
      <c r="CO700" s="18"/>
      <c r="CP700" s="18"/>
      <c r="CQ700" s="18"/>
      <c r="CR700" s="18"/>
      <c r="CS700" s="18"/>
      <c r="CT700" s="18"/>
      <c r="CU700" s="18"/>
      <c r="CV700" s="18"/>
      <c r="CW700" s="18"/>
      <c r="CX700" s="18"/>
      <c r="CY700" s="18"/>
      <c r="CZ700" s="18"/>
      <c r="DA700" s="18"/>
      <c r="DB700" s="18"/>
      <c r="DC700" s="18"/>
      <c r="DD700" s="18"/>
      <c r="DE700" s="18"/>
    </row>
    <row r="701" spans="2:109" hidden="1" x14ac:dyDescent="0.2">
      <c r="B701" s="818">
        <v>46</v>
      </c>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c r="BS701" s="18"/>
      <c r="BT701" s="18"/>
      <c r="BU701" s="18"/>
      <c r="BV701" s="18"/>
      <c r="BW701" s="18"/>
      <c r="BX701" s="18"/>
      <c r="BY701" s="18"/>
      <c r="BZ701" s="18"/>
      <c r="CA701" s="18"/>
      <c r="CB701" s="18"/>
      <c r="CC701" s="18"/>
      <c r="CD701" s="18"/>
      <c r="CE701" s="18"/>
      <c r="CF701" s="18"/>
      <c r="CG701" s="18"/>
      <c r="CH701" s="18"/>
      <c r="CI701" s="18"/>
      <c r="CJ701" s="18"/>
      <c r="CK701" s="18"/>
      <c r="CL701" s="18"/>
      <c r="CM701" s="18"/>
      <c r="CN701" s="18"/>
      <c r="CO701" s="18"/>
      <c r="CP701" s="18"/>
      <c r="CQ701" s="18"/>
      <c r="CR701" s="18"/>
      <c r="CS701" s="18"/>
      <c r="CT701" s="18"/>
      <c r="CU701" s="18"/>
      <c r="CV701" s="18"/>
      <c r="CW701" s="18"/>
      <c r="CX701" s="18"/>
      <c r="CY701" s="18"/>
      <c r="CZ701" s="18"/>
      <c r="DA701" s="18"/>
      <c r="DB701" s="18"/>
      <c r="DC701" s="18"/>
      <c r="DD701" s="18"/>
      <c r="DE701" s="18"/>
    </row>
    <row r="702" spans="2:109" hidden="1" x14ac:dyDescent="0.2">
      <c r="B702" s="818">
        <v>47</v>
      </c>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row>
    <row r="703" spans="2:109" hidden="1" x14ac:dyDescent="0.2">
      <c r="B703" s="818">
        <v>48</v>
      </c>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c r="BS703" s="18"/>
      <c r="BT703" s="18"/>
      <c r="BU703" s="18"/>
      <c r="BV703" s="18"/>
      <c r="BW703" s="18"/>
      <c r="BX703" s="18"/>
      <c r="BY703" s="18"/>
      <c r="BZ703" s="18"/>
      <c r="CA703" s="18"/>
      <c r="CB703" s="18"/>
      <c r="CC703" s="18"/>
      <c r="CD703" s="18"/>
      <c r="CE703" s="18"/>
      <c r="CF703" s="18"/>
      <c r="CG703" s="18"/>
      <c r="CH703" s="18"/>
      <c r="CI703" s="18"/>
      <c r="CJ703" s="18"/>
      <c r="CK703" s="18"/>
      <c r="CL703" s="18"/>
      <c r="CM703" s="18"/>
      <c r="CN703" s="18"/>
      <c r="CO703" s="18"/>
      <c r="CP703" s="18"/>
      <c r="CQ703" s="18"/>
      <c r="CR703" s="18"/>
      <c r="CS703" s="18"/>
      <c r="CT703" s="18"/>
      <c r="CU703" s="18"/>
      <c r="CV703" s="18"/>
      <c r="CW703" s="18"/>
      <c r="CX703" s="18"/>
      <c r="CY703" s="18"/>
      <c r="CZ703" s="18"/>
      <c r="DA703" s="18"/>
      <c r="DB703" s="18"/>
      <c r="DC703" s="18"/>
      <c r="DD703" s="18"/>
      <c r="DE703" s="18"/>
    </row>
    <row r="704" spans="2:109" hidden="1" x14ac:dyDescent="0.2">
      <c r="B704" s="818">
        <v>49</v>
      </c>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c r="BA704" s="18"/>
      <c r="BB704" s="18"/>
      <c r="BC704" s="18"/>
      <c r="BD704" s="18"/>
      <c r="BE704" s="18"/>
      <c r="BF704" s="18"/>
      <c r="BG704" s="18"/>
      <c r="BH704" s="18"/>
      <c r="BI704" s="18"/>
      <c r="BJ704" s="18"/>
      <c r="BK704" s="18"/>
      <c r="BL704" s="18"/>
      <c r="BM704" s="18"/>
      <c r="BN704" s="18"/>
      <c r="BO704" s="18"/>
      <c r="BP704" s="18"/>
      <c r="BQ704" s="18"/>
      <c r="BR704" s="18"/>
      <c r="BS704" s="18"/>
      <c r="BT704" s="18"/>
      <c r="BU704" s="18"/>
      <c r="BV704" s="18"/>
      <c r="BW704" s="18"/>
      <c r="BX704" s="18"/>
      <c r="BY704" s="18"/>
      <c r="BZ704" s="18"/>
      <c r="CA704" s="18"/>
      <c r="CB704" s="18"/>
      <c r="CC704" s="18"/>
      <c r="CD704" s="18"/>
      <c r="CE704" s="18"/>
      <c r="CF704" s="18"/>
      <c r="CG704" s="18"/>
      <c r="CH704" s="18"/>
      <c r="CI704" s="18"/>
      <c r="CJ704" s="18"/>
      <c r="CK704" s="18"/>
      <c r="CL704" s="18"/>
      <c r="CM704" s="18"/>
      <c r="CN704" s="18"/>
      <c r="CO704" s="18"/>
      <c r="CP704" s="18"/>
      <c r="CQ704" s="18"/>
      <c r="CR704" s="18"/>
      <c r="CS704" s="18"/>
      <c r="CT704" s="18"/>
      <c r="CU704" s="18"/>
      <c r="CV704" s="18"/>
      <c r="CW704" s="18"/>
      <c r="CX704" s="18"/>
      <c r="CY704" s="18"/>
      <c r="CZ704" s="18"/>
      <c r="DA704" s="18"/>
      <c r="DB704" s="18"/>
      <c r="DC704" s="18"/>
      <c r="DD704" s="18"/>
      <c r="DE704" s="18"/>
    </row>
    <row r="705" spans="2:109" hidden="1" x14ac:dyDescent="0.2">
      <c r="B705" s="818">
        <v>50</v>
      </c>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c r="BA705" s="18"/>
      <c r="BB705" s="18"/>
      <c r="BC705" s="18"/>
      <c r="BD705" s="18"/>
      <c r="BE705" s="18"/>
      <c r="BF705" s="18"/>
      <c r="BG705" s="18"/>
      <c r="BH705" s="18"/>
      <c r="BI705" s="18"/>
      <c r="BJ705" s="18"/>
      <c r="BK705" s="18"/>
      <c r="BL705" s="18"/>
      <c r="BM705" s="18"/>
      <c r="BN705" s="18"/>
      <c r="BO705" s="18"/>
      <c r="BP705" s="18"/>
      <c r="BQ705" s="18"/>
      <c r="BR705" s="18"/>
      <c r="BS705" s="18"/>
      <c r="BT705" s="18"/>
      <c r="BU705" s="18"/>
      <c r="BV705" s="18"/>
      <c r="BW705" s="18"/>
      <c r="BX705" s="18"/>
      <c r="BY705" s="18"/>
      <c r="BZ705" s="18"/>
      <c r="CA705" s="18"/>
      <c r="CB705" s="18"/>
      <c r="CC705" s="18"/>
      <c r="CD705" s="18"/>
      <c r="CE705" s="18"/>
      <c r="CF705" s="18"/>
      <c r="CG705" s="18"/>
      <c r="CH705" s="18"/>
      <c r="CI705" s="18"/>
      <c r="CJ705" s="18"/>
      <c r="CK705" s="18"/>
      <c r="CL705" s="18"/>
      <c r="CM705" s="18"/>
      <c r="CN705" s="18"/>
      <c r="CO705" s="18"/>
      <c r="CP705" s="18"/>
      <c r="CQ705" s="18"/>
      <c r="CR705" s="18"/>
      <c r="CS705" s="18"/>
      <c r="CT705" s="18"/>
      <c r="CU705" s="18"/>
      <c r="CV705" s="18"/>
      <c r="CW705" s="18"/>
      <c r="CX705" s="18"/>
      <c r="CY705" s="18"/>
      <c r="CZ705" s="18"/>
      <c r="DA705" s="18"/>
      <c r="DB705" s="18"/>
      <c r="DC705" s="18"/>
      <c r="DD705" s="18"/>
      <c r="DE705" s="18"/>
    </row>
    <row r="706" spans="2:109" hidden="1" x14ac:dyDescent="0.2">
      <c r="B706" s="818">
        <v>51</v>
      </c>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c r="BA706" s="18"/>
      <c r="BB706" s="18"/>
      <c r="BC706" s="18"/>
      <c r="BD706" s="18"/>
      <c r="BE706" s="18"/>
      <c r="BF706" s="18"/>
      <c r="BG706" s="18"/>
      <c r="BH706" s="18"/>
      <c r="BI706" s="18"/>
      <c r="BJ706" s="18"/>
      <c r="BK706" s="18"/>
      <c r="BL706" s="18"/>
      <c r="BM706" s="18"/>
      <c r="BN706" s="18"/>
      <c r="BO706" s="18"/>
      <c r="BP706" s="18"/>
      <c r="BQ706" s="18"/>
      <c r="BR706" s="18"/>
      <c r="BS706" s="18"/>
      <c r="BT706" s="18"/>
      <c r="BU706" s="18"/>
      <c r="BV706" s="18"/>
      <c r="BW706" s="18"/>
      <c r="BX706" s="18"/>
      <c r="BY706" s="18"/>
      <c r="BZ706" s="18"/>
      <c r="CA706" s="18"/>
      <c r="CB706" s="18"/>
      <c r="CC706" s="18"/>
      <c r="CD706" s="18"/>
      <c r="CE706" s="18"/>
      <c r="CF706" s="18"/>
      <c r="CG706" s="18"/>
      <c r="CH706" s="18"/>
      <c r="CI706" s="18"/>
      <c r="CJ706" s="18"/>
      <c r="CK706" s="18"/>
      <c r="CL706" s="18"/>
      <c r="CM706" s="18"/>
      <c r="CN706" s="18"/>
      <c r="CO706" s="18"/>
      <c r="CP706" s="18"/>
      <c r="CQ706" s="18"/>
      <c r="CR706" s="18"/>
      <c r="CS706" s="18"/>
      <c r="CT706" s="18"/>
      <c r="CU706" s="18"/>
      <c r="CV706" s="18"/>
      <c r="CW706" s="18"/>
      <c r="CX706" s="18"/>
      <c r="CY706" s="18"/>
      <c r="CZ706" s="18"/>
      <c r="DA706" s="18"/>
      <c r="DB706" s="18"/>
      <c r="DC706" s="18"/>
      <c r="DD706" s="18"/>
      <c r="DE706" s="18"/>
    </row>
    <row r="707" spans="2:109" hidden="1" x14ac:dyDescent="0.2">
      <c r="B707" s="818">
        <v>52</v>
      </c>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c r="BA707" s="18"/>
      <c r="BB707" s="18"/>
      <c r="BC707" s="18"/>
      <c r="BD707" s="18"/>
      <c r="BE707" s="18"/>
      <c r="BF707" s="18"/>
      <c r="BG707" s="18"/>
      <c r="BH707" s="18"/>
      <c r="BI707" s="18"/>
      <c r="BJ707" s="18"/>
      <c r="BK707" s="18"/>
      <c r="BL707" s="18"/>
      <c r="BM707" s="18"/>
      <c r="BN707" s="18"/>
      <c r="BO707" s="18"/>
      <c r="BP707" s="18"/>
      <c r="BQ707" s="18"/>
      <c r="BR707" s="18"/>
      <c r="BS707" s="18"/>
      <c r="BT707" s="18"/>
      <c r="BU707" s="18"/>
      <c r="BV707" s="18"/>
      <c r="BW707" s="18"/>
      <c r="BX707" s="18"/>
      <c r="BY707" s="18"/>
      <c r="BZ707" s="18"/>
      <c r="CA707" s="18"/>
      <c r="CB707" s="18"/>
      <c r="CC707" s="18"/>
      <c r="CD707" s="18"/>
      <c r="CE707" s="18"/>
      <c r="CF707" s="18"/>
      <c r="CG707" s="18"/>
      <c r="CH707" s="18"/>
      <c r="CI707" s="18"/>
      <c r="CJ707" s="18"/>
      <c r="CK707" s="18"/>
      <c r="CL707" s="18"/>
      <c r="CM707" s="18"/>
      <c r="CN707" s="18"/>
      <c r="CO707" s="18"/>
      <c r="CP707" s="18"/>
      <c r="CQ707" s="18"/>
      <c r="CR707" s="18"/>
      <c r="CS707" s="18"/>
      <c r="CT707" s="18"/>
      <c r="CU707" s="18"/>
      <c r="CV707" s="18"/>
      <c r="CW707" s="18"/>
      <c r="CX707" s="18"/>
      <c r="CY707" s="18"/>
      <c r="CZ707" s="18"/>
      <c r="DA707" s="18"/>
      <c r="DB707" s="18"/>
      <c r="DC707" s="18"/>
      <c r="DD707" s="18"/>
      <c r="DE707" s="18"/>
    </row>
    <row r="708" spans="2:109" hidden="1" x14ac:dyDescent="0.2">
      <c r="B708" s="818">
        <v>53</v>
      </c>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8"/>
      <c r="DB708" s="18"/>
      <c r="DC708" s="18"/>
      <c r="DD708" s="18"/>
      <c r="DE708" s="18"/>
    </row>
    <row r="709" spans="2:109" hidden="1" x14ac:dyDescent="0.2">
      <c r="B709" s="818">
        <v>54</v>
      </c>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8"/>
      <c r="DB709" s="18"/>
      <c r="DC709" s="18"/>
      <c r="DD709" s="18"/>
      <c r="DE709" s="18"/>
    </row>
    <row r="710" spans="2:109" hidden="1" x14ac:dyDescent="0.2">
      <c r="B710" s="818">
        <v>55</v>
      </c>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row>
    <row r="711" spans="2:109" hidden="1" x14ac:dyDescent="0.2">
      <c r="B711" s="818">
        <v>56</v>
      </c>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row>
    <row r="712" spans="2:109" hidden="1" x14ac:dyDescent="0.2">
      <c r="B712" s="818">
        <v>57</v>
      </c>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c r="BA712" s="18"/>
      <c r="BB712" s="18"/>
      <c r="BC712" s="18"/>
      <c r="BD712" s="18"/>
      <c r="BE712" s="18"/>
      <c r="BF712" s="18"/>
      <c r="BG712" s="18"/>
      <c r="BH712" s="18"/>
      <c r="BI712" s="18"/>
      <c r="BJ712" s="18"/>
      <c r="BK712" s="18"/>
      <c r="BL712" s="18"/>
      <c r="BM712" s="18"/>
      <c r="BN712" s="18"/>
      <c r="BO712" s="18"/>
      <c r="BP712" s="18"/>
      <c r="BQ712" s="18"/>
      <c r="BR712" s="18"/>
      <c r="BS712" s="18"/>
      <c r="BT712" s="18"/>
      <c r="BU712" s="18"/>
      <c r="BV712" s="18"/>
      <c r="BW712" s="18"/>
      <c r="BX712" s="18"/>
      <c r="BY712" s="18"/>
      <c r="BZ712" s="18"/>
      <c r="CA712" s="18"/>
      <c r="CB712" s="18"/>
      <c r="CC712" s="18"/>
      <c r="CD712" s="18"/>
      <c r="CE712" s="18"/>
      <c r="CF712" s="18"/>
      <c r="CG712" s="18"/>
      <c r="CH712" s="18"/>
      <c r="CI712" s="18"/>
      <c r="CJ712" s="18"/>
      <c r="CK712" s="18"/>
      <c r="CL712" s="18"/>
      <c r="CM712" s="18"/>
      <c r="CN712" s="18"/>
      <c r="CO712" s="18"/>
      <c r="CP712" s="18"/>
      <c r="CQ712" s="18"/>
      <c r="CR712" s="18"/>
      <c r="CS712" s="18"/>
      <c r="CT712" s="18"/>
      <c r="CU712" s="18"/>
      <c r="CV712" s="18"/>
      <c r="CW712" s="18"/>
      <c r="CX712" s="18"/>
      <c r="CY712" s="18"/>
      <c r="CZ712" s="18"/>
      <c r="DA712" s="18"/>
      <c r="DB712" s="18"/>
      <c r="DC712" s="18"/>
      <c r="DD712" s="18"/>
      <c r="DE712" s="18"/>
    </row>
    <row r="713" spans="2:109" hidden="1" x14ac:dyDescent="0.2">
      <c r="B713" s="818">
        <v>58</v>
      </c>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8"/>
      <c r="DB713" s="18"/>
      <c r="DC713" s="18"/>
      <c r="DD713" s="18"/>
      <c r="DE713" s="18"/>
    </row>
    <row r="714" spans="2:109" hidden="1" x14ac:dyDescent="0.2">
      <c r="B714" s="818">
        <v>59</v>
      </c>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c r="BA714" s="18"/>
      <c r="BB714" s="18"/>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8"/>
      <c r="DB714" s="18"/>
      <c r="DC714" s="18"/>
      <c r="DD714" s="18"/>
      <c r="DE714" s="18"/>
    </row>
    <row r="715" spans="2:109" hidden="1" x14ac:dyDescent="0.2">
      <c r="B715" s="818">
        <v>60</v>
      </c>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8"/>
      <c r="DB715" s="18"/>
      <c r="DC715" s="18"/>
      <c r="DD715" s="18"/>
      <c r="DE715" s="18"/>
    </row>
    <row r="716" spans="2:109" hidden="1" x14ac:dyDescent="0.2">
      <c r="B716" s="818">
        <v>61</v>
      </c>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c r="BA716" s="18"/>
      <c r="BB716" s="18"/>
      <c r="BC716" s="18"/>
      <c r="BD716" s="18"/>
      <c r="BE716" s="18"/>
      <c r="BF716" s="18"/>
      <c r="BG716" s="18"/>
      <c r="BH716" s="18"/>
      <c r="BI716" s="18"/>
      <c r="BJ716" s="18"/>
      <c r="BK716" s="18"/>
      <c r="BL716" s="18"/>
      <c r="BM716" s="18"/>
      <c r="BN716" s="18"/>
      <c r="BO716" s="18"/>
      <c r="BP716" s="18"/>
      <c r="BQ716" s="18"/>
      <c r="BR716" s="18"/>
      <c r="BS716" s="18"/>
      <c r="BT716" s="18"/>
      <c r="BU716" s="18"/>
      <c r="BV716" s="18"/>
      <c r="BW716" s="18"/>
      <c r="BX716" s="18"/>
      <c r="BY716" s="18"/>
      <c r="BZ716" s="18"/>
      <c r="CA716" s="18"/>
      <c r="CB716" s="18"/>
      <c r="CC716" s="18"/>
      <c r="CD716" s="18"/>
      <c r="CE716" s="18"/>
      <c r="CF716" s="18"/>
      <c r="CG716" s="18"/>
      <c r="CH716" s="18"/>
      <c r="CI716" s="18"/>
      <c r="CJ716" s="18"/>
      <c r="CK716" s="18"/>
      <c r="CL716" s="18"/>
      <c r="CM716" s="18"/>
      <c r="CN716" s="18"/>
      <c r="CO716" s="18"/>
      <c r="CP716" s="18"/>
      <c r="CQ716" s="18"/>
      <c r="CR716" s="18"/>
      <c r="CS716" s="18"/>
      <c r="CT716" s="18"/>
      <c r="CU716" s="18"/>
      <c r="CV716" s="18"/>
      <c r="CW716" s="18"/>
      <c r="CX716" s="18"/>
      <c r="CY716" s="18"/>
      <c r="CZ716" s="18"/>
      <c r="DA716" s="18"/>
      <c r="DB716" s="18"/>
      <c r="DC716" s="18"/>
      <c r="DD716" s="18"/>
      <c r="DE716" s="18"/>
    </row>
    <row r="717" spans="2:109" hidden="1" x14ac:dyDescent="0.2">
      <c r="B717" s="818">
        <v>62</v>
      </c>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row>
    <row r="718" spans="2:109" hidden="1" x14ac:dyDescent="0.2">
      <c r="B718" s="818">
        <v>63</v>
      </c>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row>
    <row r="719" spans="2:109" hidden="1" x14ac:dyDescent="0.2">
      <c r="B719" s="818">
        <v>64</v>
      </c>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row>
    <row r="720" spans="2:109" hidden="1" x14ac:dyDescent="0.2">
      <c r="B720" s="818">
        <v>65</v>
      </c>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CX720" s="18"/>
      <c r="CY720" s="18"/>
      <c r="CZ720" s="18"/>
      <c r="DA720" s="18"/>
      <c r="DB720" s="18"/>
      <c r="DC720" s="18"/>
      <c r="DD720" s="18"/>
      <c r="DE720" s="18"/>
    </row>
    <row r="721" spans="2:109" hidden="1" x14ac:dyDescent="0.2">
      <c r="B721" s="818">
        <v>66</v>
      </c>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8"/>
      <c r="DB721" s="18"/>
      <c r="DC721" s="18"/>
      <c r="DD721" s="18"/>
      <c r="DE721" s="18"/>
    </row>
    <row r="722" spans="2:109" hidden="1" x14ac:dyDescent="0.2">
      <c r="B722" s="818">
        <v>67</v>
      </c>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c r="BA722" s="18"/>
      <c r="BB722" s="18"/>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8"/>
      <c r="DB722" s="18"/>
      <c r="DC722" s="18"/>
      <c r="DD722" s="18"/>
      <c r="DE722" s="18"/>
    </row>
    <row r="723" spans="2:109" hidden="1" x14ac:dyDescent="0.2">
      <c r="B723" s="818">
        <v>68</v>
      </c>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8"/>
      <c r="DB723" s="18"/>
      <c r="DC723" s="18"/>
      <c r="DD723" s="18"/>
      <c r="DE723" s="18"/>
    </row>
    <row r="724" spans="2:109" hidden="1" x14ac:dyDescent="0.2">
      <c r="B724" s="818">
        <v>69</v>
      </c>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row>
    <row r="725" spans="2:109" hidden="1" x14ac:dyDescent="0.2">
      <c r="B725" s="818">
        <v>70</v>
      </c>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8"/>
      <c r="DB725" s="18"/>
      <c r="DC725" s="18"/>
      <c r="DD725" s="18"/>
      <c r="DE725" s="18"/>
    </row>
    <row r="726" spans="2:109" hidden="1" x14ac:dyDescent="0.2">
      <c r="B726" s="818">
        <v>71</v>
      </c>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row>
    <row r="727" spans="2:109" hidden="1" x14ac:dyDescent="0.2">
      <c r="B727" s="818">
        <v>72</v>
      </c>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8"/>
      <c r="DB727" s="18"/>
      <c r="DC727" s="18"/>
      <c r="DD727" s="18"/>
      <c r="DE727" s="18"/>
    </row>
    <row r="728" spans="2:109" hidden="1" x14ac:dyDescent="0.2">
      <c r="B728" s="818">
        <v>73</v>
      </c>
    </row>
    <row r="729" spans="2:109" hidden="1" x14ac:dyDescent="0.2">
      <c r="B729" s="818">
        <v>74</v>
      </c>
    </row>
    <row r="730" spans="2:109" hidden="1" x14ac:dyDescent="0.2">
      <c r="B730" s="818">
        <v>75</v>
      </c>
    </row>
    <row r="731" spans="2:109" hidden="1" x14ac:dyDescent="0.2">
      <c r="B731" s="818">
        <v>76</v>
      </c>
    </row>
    <row r="732" spans="2:109" hidden="1" x14ac:dyDescent="0.2">
      <c r="B732" s="818">
        <v>77</v>
      </c>
    </row>
    <row r="733" spans="2:109" hidden="1" x14ac:dyDescent="0.2">
      <c r="B733" s="818">
        <v>78</v>
      </c>
    </row>
    <row r="734" spans="2:109" hidden="1" x14ac:dyDescent="0.2">
      <c r="B734" s="818">
        <v>79</v>
      </c>
    </row>
    <row r="735" spans="2:109" hidden="1" x14ac:dyDescent="0.2">
      <c r="B735" s="818">
        <v>80</v>
      </c>
    </row>
    <row r="736" spans="2:109" hidden="1" x14ac:dyDescent="0.2">
      <c r="B736" s="818">
        <v>81</v>
      </c>
    </row>
    <row r="737" spans="2:2" hidden="1" x14ac:dyDescent="0.2">
      <c r="B737" s="818">
        <v>82</v>
      </c>
    </row>
    <row r="738" spans="2:2" hidden="1" x14ac:dyDescent="0.2">
      <c r="B738" s="818">
        <v>83</v>
      </c>
    </row>
    <row r="739" spans="2:2" hidden="1" x14ac:dyDescent="0.2">
      <c r="B739" s="818">
        <v>84</v>
      </c>
    </row>
    <row r="740" spans="2:2" hidden="1" x14ac:dyDescent="0.2">
      <c r="B740" s="818">
        <v>85</v>
      </c>
    </row>
    <row r="741" spans="2:2" hidden="1" x14ac:dyDescent="0.2">
      <c r="B741" s="818">
        <v>86</v>
      </c>
    </row>
    <row r="742" spans="2:2" hidden="1" x14ac:dyDescent="0.2">
      <c r="B742" s="818">
        <v>87</v>
      </c>
    </row>
    <row r="743" spans="2:2" hidden="1" x14ac:dyDescent="0.2">
      <c r="B743" s="818">
        <v>88</v>
      </c>
    </row>
    <row r="744" spans="2:2" hidden="1" x14ac:dyDescent="0.2">
      <c r="B744" s="818">
        <v>89</v>
      </c>
    </row>
    <row r="745" spans="2:2" hidden="1" x14ac:dyDescent="0.2">
      <c r="B745" s="818">
        <v>90</v>
      </c>
    </row>
    <row r="746" spans="2:2" hidden="1" x14ac:dyDescent="0.2">
      <c r="B746" s="818">
        <v>91</v>
      </c>
    </row>
    <row r="747" spans="2:2" hidden="1" x14ac:dyDescent="0.2">
      <c r="B747" s="818">
        <v>92</v>
      </c>
    </row>
    <row r="748" spans="2:2" hidden="1" x14ac:dyDescent="0.2">
      <c r="B748" s="818">
        <v>93</v>
      </c>
    </row>
    <row r="749" spans="2:2" hidden="1" x14ac:dyDescent="0.2">
      <c r="B749" s="818">
        <v>94</v>
      </c>
    </row>
    <row r="750" spans="2:2" hidden="1" x14ac:dyDescent="0.2">
      <c r="B750" s="818">
        <v>95</v>
      </c>
    </row>
    <row r="751" spans="2:2" hidden="1" x14ac:dyDescent="0.2">
      <c r="B751" s="818">
        <v>96</v>
      </c>
    </row>
    <row r="752" spans="2:2" hidden="1" x14ac:dyDescent="0.2">
      <c r="B752" s="818">
        <v>97</v>
      </c>
    </row>
    <row r="753" spans="2:2" hidden="1" x14ac:dyDescent="0.2">
      <c r="B753" s="818">
        <v>98</v>
      </c>
    </row>
    <row r="754" spans="2:2" hidden="1" x14ac:dyDescent="0.2">
      <c r="B754" s="818">
        <v>99</v>
      </c>
    </row>
    <row r="755" spans="2:2" hidden="1" x14ac:dyDescent="0.2">
      <c r="B755" s="818">
        <v>100</v>
      </c>
    </row>
    <row r="756" spans="2:2" hidden="1" x14ac:dyDescent="0.2">
      <c r="B756" s="818">
        <v>101</v>
      </c>
    </row>
    <row r="757" spans="2:2" hidden="1" x14ac:dyDescent="0.2">
      <c r="B757" s="818">
        <v>102</v>
      </c>
    </row>
    <row r="758" spans="2:2" hidden="1" x14ac:dyDescent="0.2">
      <c r="B758" s="818">
        <v>103</v>
      </c>
    </row>
    <row r="759" spans="2:2" hidden="1" x14ac:dyDescent="0.2">
      <c r="B759" s="818">
        <v>104</v>
      </c>
    </row>
    <row r="760" spans="2:2" hidden="1" x14ac:dyDescent="0.2">
      <c r="B760" s="818">
        <v>105</v>
      </c>
    </row>
    <row r="761" spans="2:2" hidden="1" x14ac:dyDescent="0.2">
      <c r="B761" s="818">
        <v>106</v>
      </c>
    </row>
    <row r="762" spans="2:2" hidden="1" x14ac:dyDescent="0.2">
      <c r="B762" s="818">
        <v>107</v>
      </c>
    </row>
    <row r="763" spans="2:2" hidden="1" x14ac:dyDescent="0.2">
      <c r="B763" s="818">
        <v>108</v>
      </c>
    </row>
    <row r="764" spans="2:2" hidden="1" x14ac:dyDescent="0.2">
      <c r="B764" s="818">
        <v>109</v>
      </c>
    </row>
    <row r="765" spans="2:2" hidden="1" x14ac:dyDescent="0.2">
      <c r="B765" s="818">
        <v>110</v>
      </c>
    </row>
    <row r="766" spans="2:2" hidden="1" x14ac:dyDescent="0.2">
      <c r="B766" s="818">
        <v>111</v>
      </c>
    </row>
    <row r="767" spans="2:2" hidden="1" x14ac:dyDescent="0.2">
      <c r="B767" s="818">
        <v>112</v>
      </c>
    </row>
    <row r="768" spans="2:2" hidden="1" x14ac:dyDescent="0.2">
      <c r="B768" s="818">
        <v>113</v>
      </c>
    </row>
    <row r="769" spans="2:2" hidden="1" x14ac:dyDescent="0.2">
      <c r="B769" s="818">
        <v>114</v>
      </c>
    </row>
    <row r="770" spans="2:2" hidden="1" x14ac:dyDescent="0.2">
      <c r="B770" s="818">
        <v>115</v>
      </c>
    </row>
    <row r="771" spans="2:2" hidden="1" x14ac:dyDescent="0.2">
      <c r="B771" s="818">
        <v>116</v>
      </c>
    </row>
    <row r="772" spans="2:2" hidden="1" x14ac:dyDescent="0.2">
      <c r="B772" s="818">
        <v>117</v>
      </c>
    </row>
    <row r="773" spans="2:2" hidden="1" x14ac:dyDescent="0.2">
      <c r="B773" s="818">
        <v>118</v>
      </c>
    </row>
    <row r="774" spans="2:2" hidden="1" x14ac:dyDescent="0.2">
      <c r="B774" s="818">
        <v>119</v>
      </c>
    </row>
    <row r="775" spans="2:2" hidden="1" x14ac:dyDescent="0.2">
      <c r="B775" s="818">
        <v>120</v>
      </c>
    </row>
    <row r="776" spans="2:2" hidden="1" x14ac:dyDescent="0.2">
      <c r="B776" s="818">
        <v>121</v>
      </c>
    </row>
    <row r="777" spans="2:2" hidden="1" x14ac:dyDescent="0.2">
      <c r="B777" s="818">
        <v>122</v>
      </c>
    </row>
    <row r="778" spans="2:2" hidden="1" x14ac:dyDescent="0.2">
      <c r="B778" s="818">
        <v>123</v>
      </c>
    </row>
    <row r="779" spans="2:2" hidden="1" x14ac:dyDescent="0.2">
      <c r="B779" s="818">
        <v>124</v>
      </c>
    </row>
    <row r="780" spans="2:2" hidden="1" x14ac:dyDescent="0.2">
      <c r="B780" s="818">
        <v>125</v>
      </c>
    </row>
    <row r="781" spans="2:2" hidden="1" x14ac:dyDescent="0.2">
      <c r="B781" s="818">
        <v>126</v>
      </c>
    </row>
    <row r="782" spans="2:2" hidden="1" x14ac:dyDescent="0.2">
      <c r="B782" s="818">
        <v>127</v>
      </c>
    </row>
    <row r="783" spans="2:2" hidden="1" x14ac:dyDescent="0.2">
      <c r="B783" s="818">
        <v>128</v>
      </c>
    </row>
    <row r="784" spans="2:2" hidden="1" x14ac:dyDescent="0.2">
      <c r="B784" s="818">
        <v>129</v>
      </c>
    </row>
    <row r="785" spans="2:2" hidden="1" x14ac:dyDescent="0.2">
      <c r="B785" s="818">
        <v>130</v>
      </c>
    </row>
    <row r="786" spans="2:2" hidden="1" x14ac:dyDescent="0.2">
      <c r="B786" s="818">
        <v>131</v>
      </c>
    </row>
    <row r="787" spans="2:2" hidden="1" x14ac:dyDescent="0.2">
      <c r="B787" s="818">
        <v>132</v>
      </c>
    </row>
    <row r="788" spans="2:2" hidden="1" x14ac:dyDescent="0.2">
      <c r="B788" s="818">
        <v>133</v>
      </c>
    </row>
    <row r="789" spans="2:2" hidden="1" x14ac:dyDescent="0.2">
      <c r="B789" s="818">
        <v>134</v>
      </c>
    </row>
    <row r="790" spans="2:2" hidden="1" x14ac:dyDescent="0.2">
      <c r="B790" s="818">
        <v>135</v>
      </c>
    </row>
    <row r="791" spans="2:2" hidden="1" x14ac:dyDescent="0.2">
      <c r="B791" s="818">
        <v>136</v>
      </c>
    </row>
    <row r="792" spans="2:2" hidden="1" x14ac:dyDescent="0.2">
      <c r="B792" s="818">
        <v>137</v>
      </c>
    </row>
    <row r="793" spans="2:2" hidden="1" x14ac:dyDescent="0.2">
      <c r="B793" s="818">
        <v>138</v>
      </c>
    </row>
    <row r="794" spans="2:2" hidden="1" x14ac:dyDescent="0.2">
      <c r="B794" s="818">
        <v>139</v>
      </c>
    </row>
    <row r="795" spans="2:2" hidden="1" x14ac:dyDescent="0.2">
      <c r="B795" s="818">
        <v>140</v>
      </c>
    </row>
    <row r="796" spans="2:2" hidden="1" x14ac:dyDescent="0.2">
      <c r="B796" s="818">
        <v>141</v>
      </c>
    </row>
    <row r="797" spans="2:2" hidden="1" x14ac:dyDescent="0.2">
      <c r="B797" s="818">
        <v>142</v>
      </c>
    </row>
    <row r="798" spans="2:2" hidden="1" x14ac:dyDescent="0.2">
      <c r="B798" s="818">
        <v>143</v>
      </c>
    </row>
    <row r="799" spans="2:2" hidden="1" x14ac:dyDescent="0.2">
      <c r="B799" s="818">
        <v>144</v>
      </c>
    </row>
    <row r="800" spans="2:2" hidden="1" x14ac:dyDescent="0.2">
      <c r="B800" s="818">
        <v>145</v>
      </c>
    </row>
    <row r="801" spans="2:2" hidden="1" x14ac:dyDescent="0.2">
      <c r="B801" s="818">
        <v>146</v>
      </c>
    </row>
    <row r="802" spans="2:2" hidden="1" x14ac:dyDescent="0.2">
      <c r="B802" s="818">
        <v>147</v>
      </c>
    </row>
    <row r="803" spans="2:2" hidden="1" x14ac:dyDescent="0.2">
      <c r="B803" s="818">
        <v>148</v>
      </c>
    </row>
    <row r="804" spans="2:2" hidden="1" x14ac:dyDescent="0.2">
      <c r="B804" s="818">
        <v>149</v>
      </c>
    </row>
    <row r="805" spans="2:2" hidden="1" x14ac:dyDescent="0.2">
      <c r="B805" s="818">
        <v>150</v>
      </c>
    </row>
    <row r="806" spans="2:2" hidden="1" x14ac:dyDescent="0.2">
      <c r="B806" s="819"/>
    </row>
    <row r="807" spans="2:2" hidden="1" x14ac:dyDescent="0.2">
      <c r="B807" s="819"/>
    </row>
    <row r="808" spans="2:2" hidden="1" x14ac:dyDescent="0.2">
      <c r="B808" s="819"/>
    </row>
    <row r="809" spans="2:2" hidden="1" x14ac:dyDescent="0.2">
      <c r="B809" s="819"/>
    </row>
    <row r="810" spans="2:2" x14ac:dyDescent="0.2">
      <c r="B810" s="819"/>
    </row>
    <row r="811" spans="2:2" x14ac:dyDescent="0.2">
      <c r="B811" s="819"/>
    </row>
    <row r="812" spans="2:2" x14ac:dyDescent="0.2">
      <c r="B812" s="819"/>
    </row>
    <row r="813" spans="2:2" x14ac:dyDescent="0.2">
      <c r="B813" s="819"/>
    </row>
    <row r="814" spans="2:2" x14ac:dyDescent="0.2">
      <c r="B814" s="819"/>
    </row>
    <row r="815" spans="2:2" x14ac:dyDescent="0.2">
      <c r="B815" s="819"/>
    </row>
    <row r="816" spans="2:2" x14ac:dyDescent="0.2">
      <c r="B816" s="819"/>
    </row>
    <row r="817" spans="2:2" x14ac:dyDescent="0.2">
      <c r="B817" s="819"/>
    </row>
    <row r="818" spans="2:2" x14ac:dyDescent="0.2">
      <c r="B818" s="819"/>
    </row>
    <row r="819" spans="2:2" x14ac:dyDescent="0.2">
      <c r="B819" s="819"/>
    </row>
    <row r="820" spans="2:2" x14ac:dyDescent="0.2">
      <c r="B820" s="819"/>
    </row>
    <row r="821" spans="2:2" x14ac:dyDescent="0.2">
      <c r="B821" s="819"/>
    </row>
    <row r="822" spans="2:2" x14ac:dyDescent="0.2">
      <c r="B822" s="819"/>
    </row>
    <row r="823" spans="2:2" x14ac:dyDescent="0.2">
      <c r="B823" s="819"/>
    </row>
    <row r="824" spans="2:2" x14ac:dyDescent="0.2">
      <c r="B824" s="819"/>
    </row>
    <row r="825" spans="2:2" x14ac:dyDescent="0.2">
      <c r="B825" s="819"/>
    </row>
    <row r="826" spans="2:2" x14ac:dyDescent="0.2">
      <c r="B826" s="819"/>
    </row>
    <row r="827" spans="2:2" x14ac:dyDescent="0.2">
      <c r="B827" s="819"/>
    </row>
    <row r="828" spans="2:2" x14ac:dyDescent="0.2">
      <c r="B828" s="819"/>
    </row>
    <row r="829" spans="2:2" x14ac:dyDescent="0.2">
      <c r="B829" s="819"/>
    </row>
    <row r="830" spans="2:2" x14ac:dyDescent="0.2">
      <c r="B830" s="819"/>
    </row>
    <row r="831" spans="2:2" x14ac:dyDescent="0.2">
      <c r="B831" s="819"/>
    </row>
    <row r="832" spans="2:2" x14ac:dyDescent="0.2">
      <c r="B832" s="819"/>
    </row>
    <row r="833" spans="2:2" x14ac:dyDescent="0.2">
      <c r="B833" s="819"/>
    </row>
    <row r="834" spans="2:2" x14ac:dyDescent="0.2">
      <c r="B834" s="819"/>
    </row>
    <row r="835" spans="2:2" x14ac:dyDescent="0.2">
      <c r="B835" s="819"/>
    </row>
    <row r="836" spans="2:2" x14ac:dyDescent="0.2">
      <c r="B836" s="816"/>
    </row>
    <row r="837" spans="2:2" x14ac:dyDescent="0.2">
      <c r="B837" s="816"/>
    </row>
    <row r="838" spans="2:2" x14ac:dyDescent="0.2">
      <c r="B838" s="816"/>
    </row>
    <row r="839" spans="2:2" x14ac:dyDescent="0.2">
      <c r="B839" s="816"/>
    </row>
    <row r="840" spans="2:2" x14ac:dyDescent="0.2">
      <c r="B840" s="816"/>
    </row>
    <row r="841" spans="2:2" x14ac:dyDescent="0.2">
      <c r="B841" s="816"/>
    </row>
    <row r="842" spans="2:2" x14ac:dyDescent="0.2">
      <c r="B842" s="816"/>
    </row>
    <row r="843" spans="2:2" x14ac:dyDescent="0.2">
      <c r="B843" s="816"/>
    </row>
    <row r="844" spans="2:2" x14ac:dyDescent="0.2">
      <c r="B844" s="816"/>
    </row>
    <row r="845" spans="2:2" x14ac:dyDescent="0.2">
      <c r="B845" s="816"/>
    </row>
    <row r="846" spans="2:2" x14ac:dyDescent="0.2">
      <c r="B846" s="816"/>
    </row>
    <row r="847" spans="2:2" x14ac:dyDescent="0.2">
      <c r="B847" s="816"/>
    </row>
    <row r="848" spans="2:2" x14ac:dyDescent="0.2">
      <c r="B848" s="816"/>
    </row>
    <row r="849" spans="2:2" x14ac:dyDescent="0.2">
      <c r="B849" s="816"/>
    </row>
    <row r="850" spans="2:2" x14ac:dyDescent="0.2">
      <c r="B850" s="816"/>
    </row>
    <row r="851" spans="2:2" x14ac:dyDescent="0.2">
      <c r="B851" s="816"/>
    </row>
    <row r="852" spans="2:2" x14ac:dyDescent="0.2">
      <c r="B852" s="816"/>
    </row>
    <row r="853" spans="2:2" x14ac:dyDescent="0.2">
      <c r="B853" s="816"/>
    </row>
    <row r="854" spans="2:2" x14ac:dyDescent="0.2">
      <c r="B854" s="816"/>
    </row>
    <row r="855" spans="2:2" x14ac:dyDescent="0.2">
      <c r="B855" s="816"/>
    </row>
    <row r="856" spans="2:2" x14ac:dyDescent="0.2">
      <c r="B856" s="816"/>
    </row>
    <row r="857" spans="2:2" x14ac:dyDescent="0.2">
      <c r="B857" s="816"/>
    </row>
    <row r="858" spans="2:2" x14ac:dyDescent="0.2">
      <c r="B858" s="816"/>
    </row>
    <row r="859" spans="2:2" x14ac:dyDescent="0.2">
      <c r="B859" s="816"/>
    </row>
    <row r="860" spans="2:2" x14ac:dyDescent="0.2">
      <c r="B860" s="816"/>
    </row>
    <row r="861" spans="2:2" x14ac:dyDescent="0.2">
      <c r="B861" s="816"/>
    </row>
    <row r="862" spans="2:2" x14ac:dyDescent="0.2">
      <c r="B862" s="816"/>
    </row>
    <row r="863" spans="2:2" x14ac:dyDescent="0.2">
      <c r="B863" s="816"/>
    </row>
    <row r="864" spans="2:2" x14ac:dyDescent="0.2">
      <c r="B864" s="816"/>
    </row>
    <row r="865" spans="2:2" x14ac:dyDescent="0.2">
      <c r="B865" s="816"/>
    </row>
    <row r="866" spans="2:2" x14ac:dyDescent="0.2">
      <c r="B866" s="816"/>
    </row>
    <row r="867" spans="2:2" x14ac:dyDescent="0.2">
      <c r="B867" s="816"/>
    </row>
    <row r="868" spans="2:2" x14ac:dyDescent="0.2">
      <c r="B868" s="816"/>
    </row>
    <row r="869" spans="2:2" x14ac:dyDescent="0.2">
      <c r="B869" s="816"/>
    </row>
    <row r="870" spans="2:2" x14ac:dyDescent="0.2">
      <c r="B870" s="816"/>
    </row>
    <row r="871" spans="2:2" x14ac:dyDescent="0.2">
      <c r="B871" s="816"/>
    </row>
    <row r="872" spans="2:2" x14ac:dyDescent="0.2">
      <c r="B872" s="816"/>
    </row>
    <row r="873" spans="2:2" x14ac:dyDescent="0.2">
      <c r="B873" s="816"/>
    </row>
    <row r="874" spans="2:2" x14ac:dyDescent="0.2">
      <c r="B874" s="816"/>
    </row>
    <row r="875" spans="2:2" x14ac:dyDescent="0.2">
      <c r="B875" s="816"/>
    </row>
    <row r="876" spans="2:2" x14ac:dyDescent="0.2">
      <c r="B876" s="816"/>
    </row>
    <row r="877" spans="2:2" x14ac:dyDescent="0.2">
      <c r="B877" s="816"/>
    </row>
    <row r="878" spans="2:2" x14ac:dyDescent="0.2">
      <c r="B878" s="816"/>
    </row>
    <row r="879" spans="2:2" x14ac:dyDescent="0.2">
      <c r="B879" s="816"/>
    </row>
    <row r="880" spans="2:2" x14ac:dyDescent="0.2">
      <c r="B880" s="816"/>
    </row>
    <row r="881" spans="2:2" x14ac:dyDescent="0.2">
      <c r="B881" s="816"/>
    </row>
    <row r="882" spans="2:2" x14ac:dyDescent="0.2">
      <c r="B882" s="816"/>
    </row>
    <row r="883" spans="2:2" x14ac:dyDescent="0.2">
      <c r="B883" s="816"/>
    </row>
    <row r="884" spans="2:2" x14ac:dyDescent="0.2">
      <c r="B884" s="816"/>
    </row>
    <row r="885" spans="2:2" x14ac:dyDescent="0.2">
      <c r="B885" s="816"/>
    </row>
    <row r="886" spans="2:2" x14ac:dyDescent="0.2">
      <c r="B886" s="816"/>
    </row>
    <row r="887" spans="2:2" x14ac:dyDescent="0.2">
      <c r="B887" s="816"/>
    </row>
    <row r="888" spans="2:2" x14ac:dyDescent="0.2">
      <c r="B888" s="816"/>
    </row>
    <row r="889" spans="2:2" x14ac:dyDescent="0.2">
      <c r="B889" s="816"/>
    </row>
    <row r="890" spans="2:2" x14ac:dyDescent="0.2">
      <c r="B890" s="816"/>
    </row>
    <row r="891" spans="2:2" x14ac:dyDescent="0.2">
      <c r="B891" s="816"/>
    </row>
    <row r="892" spans="2:2" x14ac:dyDescent="0.2">
      <c r="B892" s="816"/>
    </row>
    <row r="893" spans="2:2" x14ac:dyDescent="0.2">
      <c r="B893" s="816"/>
    </row>
    <row r="894" spans="2:2" x14ac:dyDescent="0.2">
      <c r="B894" s="816"/>
    </row>
    <row r="895" spans="2:2" x14ac:dyDescent="0.2">
      <c r="B895" s="816"/>
    </row>
    <row r="896" spans="2:2" x14ac:dyDescent="0.2">
      <c r="B896" s="816"/>
    </row>
    <row r="897" spans="2:2" x14ac:dyDescent="0.2">
      <c r="B897" s="816"/>
    </row>
    <row r="898" spans="2:2" x14ac:dyDescent="0.2">
      <c r="B898" s="816"/>
    </row>
    <row r="899" spans="2:2" x14ac:dyDescent="0.2">
      <c r="B899" s="816"/>
    </row>
    <row r="900" spans="2:2" x14ac:dyDescent="0.2">
      <c r="B900" s="816"/>
    </row>
    <row r="901" spans="2:2" x14ac:dyDescent="0.2">
      <c r="B901" s="816"/>
    </row>
    <row r="902" spans="2:2" x14ac:dyDescent="0.2">
      <c r="B902" s="816"/>
    </row>
    <row r="903" spans="2:2" x14ac:dyDescent="0.2">
      <c r="B903" s="816"/>
    </row>
    <row r="904" spans="2:2" x14ac:dyDescent="0.2">
      <c r="B904" s="816"/>
    </row>
    <row r="905" spans="2:2" x14ac:dyDescent="0.2">
      <c r="B905" s="816"/>
    </row>
    <row r="906" spans="2:2" x14ac:dyDescent="0.2">
      <c r="B906" s="816"/>
    </row>
    <row r="907" spans="2:2" x14ac:dyDescent="0.2">
      <c r="B907" s="816"/>
    </row>
    <row r="908" spans="2:2" x14ac:dyDescent="0.2">
      <c r="B908" s="816"/>
    </row>
    <row r="909" spans="2:2" x14ac:dyDescent="0.2">
      <c r="B909" s="816"/>
    </row>
    <row r="910" spans="2:2" x14ac:dyDescent="0.2">
      <c r="B910" s="816"/>
    </row>
    <row r="911" spans="2:2" x14ac:dyDescent="0.2">
      <c r="B911" s="816"/>
    </row>
    <row r="912" spans="2:2" x14ac:dyDescent="0.2">
      <c r="B912" s="816"/>
    </row>
    <row r="913" spans="2:2" x14ac:dyDescent="0.2">
      <c r="B913" s="816"/>
    </row>
    <row r="914" spans="2:2" x14ac:dyDescent="0.2">
      <c r="B914" s="816"/>
    </row>
    <row r="915" spans="2:2" x14ac:dyDescent="0.2">
      <c r="B915" s="816"/>
    </row>
    <row r="916" spans="2:2" x14ac:dyDescent="0.2">
      <c r="B916" s="816"/>
    </row>
    <row r="917" spans="2:2" x14ac:dyDescent="0.2">
      <c r="B917" s="816"/>
    </row>
    <row r="918" spans="2:2" x14ac:dyDescent="0.2">
      <c r="B918" s="816"/>
    </row>
    <row r="919" spans="2:2" x14ac:dyDescent="0.2">
      <c r="B919" s="816"/>
    </row>
    <row r="920" spans="2:2" x14ac:dyDescent="0.2">
      <c r="B920" s="816"/>
    </row>
    <row r="921" spans="2:2" x14ac:dyDescent="0.2">
      <c r="B921" s="816"/>
    </row>
    <row r="922" spans="2:2" x14ac:dyDescent="0.2">
      <c r="B922" s="816"/>
    </row>
    <row r="923" spans="2:2" x14ac:dyDescent="0.2">
      <c r="B923" s="816"/>
    </row>
    <row r="924" spans="2:2" x14ac:dyDescent="0.2">
      <c r="B924" s="816"/>
    </row>
    <row r="925" spans="2:2" x14ac:dyDescent="0.2">
      <c r="B925" s="816"/>
    </row>
    <row r="926" spans="2:2" x14ac:dyDescent="0.2">
      <c r="B926" s="816"/>
    </row>
    <row r="927" spans="2:2" x14ac:dyDescent="0.2">
      <c r="B927" s="816"/>
    </row>
    <row r="928" spans="2:2" x14ac:dyDescent="0.2">
      <c r="B928" s="816"/>
    </row>
    <row r="929" spans="2:2" x14ac:dyDescent="0.2">
      <c r="B929" s="816"/>
    </row>
    <row r="930" spans="2:2" x14ac:dyDescent="0.2">
      <c r="B930" s="816"/>
    </row>
    <row r="931" spans="2:2" x14ac:dyDescent="0.2">
      <c r="B931" s="816"/>
    </row>
    <row r="932" spans="2:2" x14ac:dyDescent="0.2">
      <c r="B932" s="816"/>
    </row>
    <row r="933" spans="2:2" x14ac:dyDescent="0.2">
      <c r="B933" s="816"/>
    </row>
    <row r="934" spans="2:2" x14ac:dyDescent="0.2">
      <c r="B934" s="816"/>
    </row>
    <row r="935" spans="2:2" x14ac:dyDescent="0.2">
      <c r="B935" s="816"/>
    </row>
    <row r="936" spans="2:2" x14ac:dyDescent="0.2">
      <c r="B936" s="816"/>
    </row>
    <row r="937" spans="2:2" x14ac:dyDescent="0.2">
      <c r="B937" s="816"/>
    </row>
    <row r="938" spans="2:2" x14ac:dyDescent="0.2">
      <c r="B938" s="816"/>
    </row>
    <row r="939" spans="2:2" x14ac:dyDescent="0.2">
      <c r="B939" s="816"/>
    </row>
    <row r="940" spans="2:2" x14ac:dyDescent="0.2">
      <c r="B940" s="816"/>
    </row>
    <row r="941" spans="2:2" x14ac:dyDescent="0.2">
      <c r="B941" s="816"/>
    </row>
    <row r="942" spans="2:2" x14ac:dyDescent="0.2">
      <c r="B942" s="816"/>
    </row>
    <row r="943" spans="2:2" x14ac:dyDescent="0.2">
      <c r="B943" s="816"/>
    </row>
    <row r="944" spans="2:2" x14ac:dyDescent="0.2">
      <c r="B944" s="816"/>
    </row>
    <row r="945" spans="2:2" x14ac:dyDescent="0.2">
      <c r="B945" s="816"/>
    </row>
    <row r="946" spans="2:2" x14ac:dyDescent="0.2">
      <c r="B946" s="816"/>
    </row>
    <row r="947" spans="2:2" x14ac:dyDescent="0.2">
      <c r="B947" s="816"/>
    </row>
    <row r="948" spans="2:2" x14ac:dyDescent="0.2">
      <c r="B948" s="816"/>
    </row>
    <row r="949" spans="2:2" x14ac:dyDescent="0.2">
      <c r="B949" s="816"/>
    </row>
    <row r="950" spans="2:2" x14ac:dyDescent="0.2">
      <c r="B950" s="816"/>
    </row>
    <row r="951" spans="2:2" x14ac:dyDescent="0.2">
      <c r="B951" s="816"/>
    </row>
    <row r="952" spans="2:2" x14ac:dyDescent="0.2">
      <c r="B952" s="816"/>
    </row>
    <row r="953" spans="2:2" x14ac:dyDescent="0.2">
      <c r="B953" s="816"/>
    </row>
    <row r="954" spans="2:2" x14ac:dyDescent="0.2">
      <c r="B954" s="816"/>
    </row>
    <row r="955" spans="2:2" x14ac:dyDescent="0.2">
      <c r="B955" s="816"/>
    </row>
    <row r="956" spans="2:2" x14ac:dyDescent="0.2">
      <c r="B956" s="816"/>
    </row>
    <row r="957" spans="2:2" x14ac:dyDescent="0.2">
      <c r="B957" s="816"/>
    </row>
    <row r="958" spans="2:2" x14ac:dyDescent="0.2">
      <c r="B958" s="816"/>
    </row>
    <row r="959" spans="2:2" x14ac:dyDescent="0.2">
      <c r="B959" s="816"/>
    </row>
    <row r="960" spans="2:2" x14ac:dyDescent="0.2">
      <c r="B960" s="816"/>
    </row>
    <row r="961" spans="2:2" x14ac:dyDescent="0.2">
      <c r="B961" s="816"/>
    </row>
    <row r="962" spans="2:2" x14ac:dyDescent="0.2">
      <c r="B962" s="816"/>
    </row>
    <row r="963" spans="2:2" x14ac:dyDescent="0.2">
      <c r="B963" s="816"/>
    </row>
    <row r="964" spans="2:2" x14ac:dyDescent="0.2">
      <c r="B964" s="816"/>
    </row>
    <row r="965" spans="2:2" x14ac:dyDescent="0.2">
      <c r="B965" s="816"/>
    </row>
    <row r="966" spans="2:2" x14ac:dyDescent="0.2">
      <c r="B966" s="816"/>
    </row>
    <row r="967" spans="2:2" x14ac:dyDescent="0.2">
      <c r="B967" s="816"/>
    </row>
    <row r="968" spans="2:2" x14ac:dyDescent="0.2">
      <c r="B968" s="816"/>
    </row>
    <row r="969" spans="2:2" x14ac:dyDescent="0.2">
      <c r="B969" s="816"/>
    </row>
    <row r="970" spans="2:2" x14ac:dyDescent="0.2">
      <c r="B970" s="816"/>
    </row>
    <row r="971" spans="2:2" x14ac:dyDescent="0.2">
      <c r="B971" s="816"/>
    </row>
    <row r="972" spans="2:2" x14ac:dyDescent="0.2">
      <c r="B972" s="816"/>
    </row>
    <row r="973" spans="2:2" x14ac:dyDescent="0.2">
      <c r="B973" s="816"/>
    </row>
    <row r="974" spans="2:2" x14ac:dyDescent="0.2">
      <c r="B974" s="816"/>
    </row>
    <row r="975" spans="2:2" x14ac:dyDescent="0.2">
      <c r="B975" s="816"/>
    </row>
    <row r="976" spans="2:2" x14ac:dyDescent="0.2">
      <c r="B976" s="816"/>
    </row>
    <row r="977" spans="2:2" x14ac:dyDescent="0.2">
      <c r="B977" s="816"/>
    </row>
    <row r="978" spans="2:2" x14ac:dyDescent="0.2">
      <c r="B978" s="816"/>
    </row>
    <row r="979" spans="2:2" x14ac:dyDescent="0.2">
      <c r="B979" s="816"/>
    </row>
    <row r="980" spans="2:2" x14ac:dyDescent="0.2">
      <c r="B980" s="816"/>
    </row>
    <row r="981" spans="2:2" x14ac:dyDescent="0.2">
      <c r="B981" s="816"/>
    </row>
    <row r="982" spans="2:2" x14ac:dyDescent="0.2">
      <c r="B982" s="816"/>
    </row>
    <row r="983" spans="2:2" x14ac:dyDescent="0.2">
      <c r="B983" s="816"/>
    </row>
    <row r="984" spans="2:2" x14ac:dyDescent="0.2">
      <c r="B984" s="816"/>
    </row>
    <row r="985" spans="2:2" x14ac:dyDescent="0.2">
      <c r="B985" s="816"/>
    </row>
    <row r="986" spans="2:2" x14ac:dyDescent="0.2">
      <c r="B986" s="816"/>
    </row>
    <row r="987" spans="2:2" x14ac:dyDescent="0.2">
      <c r="B987" s="816"/>
    </row>
    <row r="988" spans="2:2" x14ac:dyDescent="0.2">
      <c r="B988" s="816"/>
    </row>
    <row r="989" spans="2:2" x14ac:dyDescent="0.2">
      <c r="B989" s="816"/>
    </row>
    <row r="990" spans="2:2" x14ac:dyDescent="0.2">
      <c r="B990" s="816"/>
    </row>
    <row r="991" spans="2:2" x14ac:dyDescent="0.2">
      <c r="B991" s="816"/>
    </row>
    <row r="992" spans="2:2" x14ac:dyDescent="0.2">
      <c r="B992" s="816"/>
    </row>
    <row r="993" spans="2:2" x14ac:dyDescent="0.2">
      <c r="B993" s="816"/>
    </row>
    <row r="994" spans="2:2" x14ac:dyDescent="0.2">
      <c r="B994" s="816"/>
    </row>
    <row r="995" spans="2:2" x14ac:dyDescent="0.2">
      <c r="B995" s="816"/>
    </row>
    <row r="996" spans="2:2" x14ac:dyDescent="0.2">
      <c r="B996" s="816"/>
    </row>
    <row r="997" spans="2:2" x14ac:dyDescent="0.2">
      <c r="B997" s="816"/>
    </row>
    <row r="998" spans="2:2" x14ac:dyDescent="0.2">
      <c r="B998" s="816"/>
    </row>
    <row r="999" spans="2:2" x14ac:dyDescent="0.2">
      <c r="B999" s="816"/>
    </row>
    <row r="1000" spans="2:2" x14ac:dyDescent="0.2">
      <c r="B1000" s="816"/>
    </row>
    <row r="1001" spans="2:2" x14ac:dyDescent="0.2">
      <c r="B1001" s="816"/>
    </row>
    <row r="1002" spans="2:2" x14ac:dyDescent="0.2">
      <c r="B1002" s="816"/>
    </row>
    <row r="1003" spans="2:2" x14ac:dyDescent="0.2">
      <c r="B1003" s="816"/>
    </row>
    <row r="1004" spans="2:2" x14ac:dyDescent="0.2">
      <c r="B1004" s="816"/>
    </row>
    <row r="1005" spans="2:2" x14ac:dyDescent="0.2">
      <c r="B1005" s="816"/>
    </row>
    <row r="1006" spans="2:2" x14ac:dyDescent="0.2">
      <c r="B1006" s="816"/>
    </row>
    <row r="1007" spans="2:2" x14ac:dyDescent="0.2">
      <c r="B1007" s="816"/>
    </row>
    <row r="1008" spans="2:2" x14ac:dyDescent="0.2">
      <c r="B1008" s="816"/>
    </row>
    <row r="1009" spans="2:2" x14ac:dyDescent="0.2">
      <c r="B1009" s="816"/>
    </row>
    <row r="1010" spans="2:2" x14ac:dyDescent="0.2">
      <c r="B1010" s="816"/>
    </row>
    <row r="1011" spans="2:2" x14ac:dyDescent="0.2">
      <c r="B1011" s="816"/>
    </row>
    <row r="1012" spans="2:2" x14ac:dyDescent="0.2">
      <c r="B1012" s="816"/>
    </row>
    <row r="1013" spans="2:2" x14ac:dyDescent="0.2">
      <c r="B1013" s="816"/>
    </row>
    <row r="1014" spans="2:2" x14ac:dyDescent="0.2">
      <c r="B1014" s="816"/>
    </row>
    <row r="1015" spans="2:2" x14ac:dyDescent="0.2">
      <c r="B1015" s="816"/>
    </row>
  </sheetData>
  <sheetProtection sheet="1" objects="1" scenarios="1"/>
  <mergeCells count="1950">
    <mergeCell ref="AA366:AC369"/>
    <mergeCell ref="AA595:AC596"/>
    <mergeCell ref="B332:O332"/>
    <mergeCell ref="G606:H606"/>
    <mergeCell ref="I606:J606"/>
    <mergeCell ref="B609:O609"/>
    <mergeCell ref="K603:O608"/>
    <mergeCell ref="AA166:AD168"/>
    <mergeCell ref="E179:I180"/>
    <mergeCell ref="C180:D180"/>
    <mergeCell ref="E255:I256"/>
    <mergeCell ref="C256:D256"/>
    <mergeCell ref="AA242:AD244"/>
    <mergeCell ref="E330:I331"/>
    <mergeCell ref="C331:D331"/>
    <mergeCell ref="AA317:AD319"/>
    <mergeCell ref="Z386:AB386"/>
    <mergeCell ref="AD396:AG396"/>
    <mergeCell ref="R583:R584"/>
    <mergeCell ref="AB598:AC598"/>
    <mergeCell ref="AD404:AG404"/>
    <mergeCell ref="T392:U392"/>
    <mergeCell ref="V393:Y393"/>
    <mergeCell ref="V396:Y396"/>
    <mergeCell ref="Z434:AB434"/>
    <mergeCell ref="W400:X400"/>
    <mergeCell ref="AD395:AG395"/>
    <mergeCell ref="W394:X394"/>
    <mergeCell ref="AD403:AG403"/>
    <mergeCell ref="AC316:AD316"/>
    <mergeCell ref="AB534:AD534"/>
    <mergeCell ref="AB535:AD535"/>
    <mergeCell ref="AB537:AD537"/>
    <mergeCell ref="T560:U560"/>
    <mergeCell ref="V561:Y561"/>
    <mergeCell ref="AA460:AC460"/>
    <mergeCell ref="R445:S445"/>
    <mergeCell ref="Z439:AB439"/>
    <mergeCell ref="Z440:AB440"/>
    <mergeCell ref="Z436:AB436"/>
    <mergeCell ref="Z438:AB438"/>
    <mergeCell ref="V407:AC407"/>
    <mergeCell ref="S411:T411"/>
    <mergeCell ref="X583:Y584"/>
    <mergeCell ref="AB597:AC597"/>
    <mergeCell ref="Z435:AB435"/>
    <mergeCell ref="S414:T414"/>
    <mergeCell ref="U418:X418"/>
    <mergeCell ref="S418:T418"/>
    <mergeCell ref="R422:R423"/>
    <mergeCell ref="S32:V32"/>
    <mergeCell ref="W168:X168"/>
    <mergeCell ref="M191:N191"/>
    <mergeCell ref="G191:H191"/>
    <mergeCell ref="E193:F193"/>
    <mergeCell ref="K190:L190"/>
    <mergeCell ref="M190:N190"/>
    <mergeCell ref="E176:F176"/>
    <mergeCell ref="G176:H176"/>
    <mergeCell ref="I148:J148"/>
    <mergeCell ref="I173:J173"/>
    <mergeCell ref="K173:O173"/>
    <mergeCell ref="G150:H150"/>
    <mergeCell ref="F184:O184"/>
    <mergeCell ref="E188:F188"/>
    <mergeCell ref="G140:H140"/>
    <mergeCell ref="M341:N341"/>
    <mergeCell ref="S105:T105"/>
    <mergeCell ref="S181:T181"/>
    <mergeCell ref="W50:Z50"/>
    <mergeCell ref="W125:Z125"/>
    <mergeCell ref="W202:Z202"/>
    <mergeCell ref="S114:X114"/>
    <mergeCell ref="W248:X248"/>
    <mergeCell ref="W244:X244"/>
    <mergeCell ref="U241:U242"/>
    <mergeCell ref="R309:R310"/>
    <mergeCell ref="X32:AA32"/>
    <mergeCell ref="AA216:AC219"/>
    <mergeCell ref="AA291:AC294"/>
    <mergeCell ref="P157:P158"/>
    <mergeCell ref="I190:J190"/>
    <mergeCell ref="AL32:AO32"/>
    <mergeCell ref="T16:U16"/>
    <mergeCell ref="W23:X23"/>
    <mergeCell ref="W18:X18"/>
    <mergeCell ref="V17:Y17"/>
    <mergeCell ref="AH32:AJ32"/>
    <mergeCell ref="AA17:AD19"/>
    <mergeCell ref="R81:R82"/>
    <mergeCell ref="R85:R86"/>
    <mergeCell ref="W99:X99"/>
    <mergeCell ref="B81:O81"/>
    <mergeCell ref="B74:D74"/>
    <mergeCell ref="I76:J76"/>
    <mergeCell ref="B85:O85"/>
    <mergeCell ref="G77:H77"/>
    <mergeCell ref="P88:P103"/>
    <mergeCell ref="AC32:AF32"/>
    <mergeCell ref="S43:T43"/>
    <mergeCell ref="I90:J90"/>
    <mergeCell ref="K90:O90"/>
    <mergeCell ref="B75:D75"/>
    <mergeCell ref="E66:F66"/>
    <mergeCell ref="B79:P79"/>
    <mergeCell ref="C100:D100"/>
    <mergeCell ref="K98:N98"/>
    <mergeCell ref="G24:H24"/>
    <mergeCell ref="I23:J23"/>
    <mergeCell ref="K19:O19"/>
    <mergeCell ref="K27:O27"/>
    <mergeCell ref="G25:O25"/>
    <mergeCell ref="K30:L30"/>
    <mergeCell ref="K31:L31"/>
    <mergeCell ref="W176:X176"/>
    <mergeCell ref="V243:Y243"/>
    <mergeCell ref="V318:Y318"/>
    <mergeCell ref="K177:O177"/>
    <mergeCell ref="W323:X323"/>
    <mergeCell ref="W327:X327"/>
    <mergeCell ref="R313:R314"/>
    <mergeCell ref="P316:P331"/>
    <mergeCell ref="K320:O320"/>
    <mergeCell ref="B161:O161"/>
    <mergeCell ref="C130:D130"/>
    <mergeCell ref="B142:D142"/>
    <mergeCell ref="M189:N189"/>
    <mergeCell ref="E121:F121"/>
    <mergeCell ref="E122:F122"/>
    <mergeCell ref="C248:D248"/>
    <mergeCell ref="G242:J242"/>
    <mergeCell ref="C283:D283"/>
    <mergeCell ref="C268:D268"/>
    <mergeCell ref="R282:R284"/>
    <mergeCell ref="S190:X190"/>
    <mergeCell ref="D258:E258"/>
    <mergeCell ref="E187:F187"/>
    <mergeCell ref="I273:J273"/>
    <mergeCell ref="L280:N280"/>
    <mergeCell ref="L203:N203"/>
    <mergeCell ref="B214:F214"/>
    <mergeCell ref="I248:J248"/>
    <mergeCell ref="S257:T257"/>
    <mergeCell ref="S266:X266"/>
    <mergeCell ref="G222:H222"/>
    <mergeCell ref="D259:E259"/>
    <mergeCell ref="W95:X95"/>
    <mergeCell ref="T165:T166"/>
    <mergeCell ref="U165:U166"/>
    <mergeCell ref="V167:Y167"/>
    <mergeCell ref="U316:U317"/>
    <mergeCell ref="P312:P314"/>
    <mergeCell ref="P277:P280"/>
    <mergeCell ref="AC241:AD241"/>
    <mergeCell ref="F182:O182"/>
    <mergeCell ref="C176:D176"/>
    <mergeCell ref="B181:O181"/>
    <mergeCell ref="K175:N175"/>
    <mergeCell ref="C126:G126"/>
    <mergeCell ref="L127:N127"/>
    <mergeCell ref="C128:G128"/>
    <mergeCell ref="L128:N128"/>
    <mergeCell ref="H128:J128"/>
    <mergeCell ref="C131:D131"/>
    <mergeCell ref="L126:N126"/>
    <mergeCell ref="B129:O129"/>
    <mergeCell ref="B182:C185"/>
    <mergeCell ref="L277:O277"/>
    <mergeCell ref="M272:N272"/>
    <mergeCell ref="K269:L269"/>
    <mergeCell ref="M269:N269"/>
    <mergeCell ref="E144:F144"/>
    <mergeCell ref="E150:F150"/>
    <mergeCell ref="G146:H146"/>
    <mergeCell ref="D185:E185"/>
    <mergeCell ref="G141:H141"/>
    <mergeCell ref="AA114:AF114"/>
    <mergeCell ref="I221:J221"/>
    <mergeCell ref="I152:J152"/>
    <mergeCell ref="I141:J141"/>
    <mergeCell ref="F183:O183"/>
    <mergeCell ref="G147:H147"/>
    <mergeCell ref="E283:O283"/>
    <mergeCell ref="C284:D284"/>
    <mergeCell ref="I216:J216"/>
    <mergeCell ref="C192:D192"/>
    <mergeCell ref="B228:D228"/>
    <mergeCell ref="G192:H192"/>
    <mergeCell ref="M192:N192"/>
    <mergeCell ref="B206:B208"/>
    <mergeCell ref="C267:D267"/>
    <mergeCell ref="K243:O243"/>
    <mergeCell ref="E268:F268"/>
    <mergeCell ref="G268:H268"/>
    <mergeCell ref="E252:F252"/>
    <mergeCell ref="B262:O262"/>
    <mergeCell ref="K252:O252"/>
    <mergeCell ref="G272:H272"/>
    <mergeCell ref="E269:F269"/>
    <mergeCell ref="I268:J268"/>
    <mergeCell ref="C245:D245"/>
    <mergeCell ref="D261:E261"/>
    <mergeCell ref="G267:H267"/>
    <mergeCell ref="E149:F149"/>
    <mergeCell ref="G215:H215"/>
    <mergeCell ref="H202:J202"/>
    <mergeCell ref="L202:N202"/>
    <mergeCell ref="C167:D167"/>
    <mergeCell ref="C252:D252"/>
    <mergeCell ref="R628:R629"/>
    <mergeCell ref="B585:O585"/>
    <mergeCell ref="B595:D595"/>
    <mergeCell ref="G595:H595"/>
    <mergeCell ref="G344:H344"/>
    <mergeCell ref="I371:J371"/>
    <mergeCell ref="B373:D373"/>
    <mergeCell ref="E371:F371"/>
    <mergeCell ref="E376:F376"/>
    <mergeCell ref="G367:H367"/>
    <mergeCell ref="I367:J367"/>
    <mergeCell ref="G368:H368"/>
    <mergeCell ref="G366:H366"/>
    <mergeCell ref="M342:N342"/>
    <mergeCell ref="I366:J366"/>
    <mergeCell ref="I368:J368"/>
    <mergeCell ref="G369:H369"/>
    <mergeCell ref="I374:J374"/>
    <mergeCell ref="B385:O385"/>
    <mergeCell ref="F386:G386"/>
    <mergeCell ref="B391:O391"/>
    <mergeCell ref="G396:O396"/>
    <mergeCell ref="G397:O397"/>
    <mergeCell ref="G398:O398"/>
    <mergeCell ref="E396:F396"/>
    <mergeCell ref="E397:F397"/>
    <mergeCell ref="B381:P381"/>
    <mergeCell ref="G365:H365"/>
    <mergeCell ref="E375:F375"/>
    <mergeCell ref="K348:L348"/>
    <mergeCell ref="B368:D368"/>
    <mergeCell ref="C393:F393"/>
    <mergeCell ref="E273:F273"/>
    <mergeCell ref="G273:H273"/>
    <mergeCell ref="B306:P306"/>
    <mergeCell ref="G300:H300"/>
    <mergeCell ref="I300:J300"/>
    <mergeCell ref="I297:J297"/>
    <mergeCell ref="G294:H294"/>
    <mergeCell ref="B304:D304"/>
    <mergeCell ref="E304:F304"/>
    <mergeCell ref="G328:H328"/>
    <mergeCell ref="K322:N322"/>
    <mergeCell ref="B312:O312"/>
    <mergeCell ref="B302:D302"/>
    <mergeCell ref="G304:H304"/>
    <mergeCell ref="E302:F302"/>
    <mergeCell ref="B282:B284"/>
    <mergeCell ref="B288:O288"/>
    <mergeCell ref="E327:F327"/>
    <mergeCell ref="P289:P305"/>
    <mergeCell ref="E290:F290"/>
    <mergeCell ref="B285:O285"/>
    <mergeCell ref="G289:J289"/>
    <mergeCell ref="G301:H301"/>
    <mergeCell ref="H277:J277"/>
    <mergeCell ref="C278:G278"/>
    <mergeCell ref="E293:F293"/>
    <mergeCell ref="H280:J280"/>
    <mergeCell ref="B326:J326"/>
    <mergeCell ref="E325:F325"/>
    <mergeCell ref="C321:D321"/>
    <mergeCell ref="C324:D324"/>
    <mergeCell ref="B599:D599"/>
    <mergeCell ref="E599:F599"/>
    <mergeCell ref="G597:H597"/>
    <mergeCell ref="I604:J604"/>
    <mergeCell ref="K548:O553"/>
    <mergeCell ref="B590:O590"/>
    <mergeCell ref="B588:K588"/>
    <mergeCell ref="C580:O580"/>
    <mergeCell ref="B587:O587"/>
    <mergeCell ref="B589:O589"/>
    <mergeCell ref="G599:H599"/>
    <mergeCell ref="W319:X319"/>
    <mergeCell ref="E328:F328"/>
    <mergeCell ref="E324:F324"/>
    <mergeCell ref="C274:D274"/>
    <mergeCell ref="I291:J291"/>
    <mergeCell ref="C323:D323"/>
    <mergeCell ref="E323:F323"/>
    <mergeCell ref="G323:H323"/>
    <mergeCell ref="T316:T317"/>
    <mergeCell ref="E297:F297"/>
    <mergeCell ref="W278:Z278"/>
    <mergeCell ref="S332:T332"/>
    <mergeCell ref="S341:X341"/>
    <mergeCell ref="I327:J327"/>
    <mergeCell ref="G325:O325"/>
    <mergeCell ref="F334:O334"/>
    <mergeCell ref="L352:O352"/>
    <mergeCell ref="G329:O329"/>
    <mergeCell ref="B333:C336"/>
    <mergeCell ref="K289:O292"/>
    <mergeCell ref="B310:O310"/>
    <mergeCell ref="C638:I638"/>
    <mergeCell ref="J638:N638"/>
    <mergeCell ref="B408:F408"/>
    <mergeCell ref="B582:O582"/>
    <mergeCell ref="L588:O588"/>
    <mergeCell ref="B547:D547"/>
    <mergeCell ref="B541:D541"/>
    <mergeCell ref="B543:B544"/>
    <mergeCell ref="F498:K498"/>
    <mergeCell ref="B598:D598"/>
    <mergeCell ref="E603:F603"/>
    <mergeCell ref="E598:F598"/>
    <mergeCell ref="C581:O581"/>
    <mergeCell ref="B601:D601"/>
    <mergeCell ref="F620:G620"/>
    <mergeCell ref="F617:G617"/>
    <mergeCell ref="G608:H608"/>
    <mergeCell ref="I605:J605"/>
    <mergeCell ref="B584:N584"/>
    <mergeCell ref="K375:O379"/>
    <mergeCell ref="F388:G388"/>
    <mergeCell ref="C394:D394"/>
    <mergeCell ref="G375:H375"/>
    <mergeCell ref="I375:J375"/>
    <mergeCell ref="E377:F377"/>
    <mergeCell ref="I377:J377"/>
    <mergeCell ref="B383:P383"/>
    <mergeCell ref="E378:F378"/>
    <mergeCell ref="G598:H598"/>
    <mergeCell ref="B606:D606"/>
    <mergeCell ref="B554:O554"/>
    <mergeCell ref="G138:H138"/>
    <mergeCell ref="G144:H144"/>
    <mergeCell ref="B151:D151"/>
    <mergeCell ref="B293:D293"/>
    <mergeCell ref="I294:J294"/>
    <mergeCell ref="B138:D138"/>
    <mergeCell ref="B145:D145"/>
    <mergeCell ref="I144:J144"/>
    <mergeCell ref="I145:J145"/>
    <mergeCell ref="K166:O166"/>
    <mergeCell ref="P309:P310"/>
    <mergeCell ref="G371:H371"/>
    <mergeCell ref="G374:H374"/>
    <mergeCell ref="B371:D371"/>
    <mergeCell ref="F333:O333"/>
    <mergeCell ref="C328:D328"/>
    <mergeCell ref="M343:N343"/>
    <mergeCell ref="M344:N344"/>
    <mergeCell ref="P352:P355"/>
    <mergeCell ref="C353:G353"/>
    <mergeCell ref="H353:J353"/>
    <mergeCell ref="C357:D357"/>
    <mergeCell ref="C317:F317"/>
    <mergeCell ref="E342:F342"/>
    <mergeCell ref="B372:D372"/>
    <mergeCell ref="D333:E333"/>
    <mergeCell ref="G342:H342"/>
    <mergeCell ref="E338:F338"/>
    <mergeCell ref="C354:G354"/>
    <mergeCell ref="H354:J354"/>
    <mergeCell ref="L354:N354"/>
    <mergeCell ref="I266:J266"/>
    <mergeCell ref="E394:F394"/>
    <mergeCell ref="K394:O394"/>
    <mergeCell ref="G372:H372"/>
    <mergeCell ref="E373:F373"/>
    <mergeCell ref="B374:D374"/>
    <mergeCell ref="I373:J373"/>
    <mergeCell ref="E329:F329"/>
    <mergeCell ref="C318:D318"/>
    <mergeCell ref="G291:H291"/>
    <mergeCell ref="E295:F295"/>
    <mergeCell ref="B308:P308"/>
    <mergeCell ref="B309:O309"/>
    <mergeCell ref="I303:J303"/>
    <mergeCell ref="E303:F303"/>
    <mergeCell ref="I304:J304"/>
    <mergeCell ref="K188:L188"/>
    <mergeCell ref="I187:J187"/>
    <mergeCell ref="M187:N187"/>
    <mergeCell ref="I394:J394"/>
    <mergeCell ref="G393:J393"/>
    <mergeCell ref="K393:O393"/>
    <mergeCell ref="G394:H394"/>
    <mergeCell ref="G327:H327"/>
    <mergeCell ref="I323:J323"/>
    <mergeCell ref="C193:D193"/>
    <mergeCell ref="E246:F246"/>
    <mergeCell ref="E282:O282"/>
    <mergeCell ref="G321:O321"/>
    <mergeCell ref="G214:J214"/>
    <mergeCell ref="G266:H266"/>
    <mergeCell ref="I328:J328"/>
    <mergeCell ref="E321:F321"/>
    <mergeCell ref="K24:O24"/>
    <mergeCell ref="E24:F24"/>
    <mergeCell ref="G220:H220"/>
    <mergeCell ref="C319:D319"/>
    <mergeCell ref="C341:D341"/>
    <mergeCell ref="D183:E183"/>
    <mergeCell ref="C113:D113"/>
    <mergeCell ref="G70:H70"/>
    <mergeCell ref="G72:H72"/>
    <mergeCell ref="E300:F300"/>
    <mergeCell ref="I343:J343"/>
    <mergeCell ref="B337:O337"/>
    <mergeCell ref="D334:E334"/>
    <mergeCell ref="I338:J338"/>
    <mergeCell ref="K343:L343"/>
    <mergeCell ref="I365:J365"/>
    <mergeCell ref="E366:F366"/>
    <mergeCell ref="J255:N255"/>
    <mergeCell ref="I215:J215"/>
    <mergeCell ref="J256:O256"/>
    <mergeCell ref="C190:D190"/>
    <mergeCell ref="G303:H303"/>
    <mergeCell ref="E76:F76"/>
    <mergeCell ref="B290:D290"/>
    <mergeCell ref="K326:N326"/>
    <mergeCell ref="G297:H297"/>
    <mergeCell ref="G302:H302"/>
    <mergeCell ref="B300:D300"/>
    <mergeCell ref="E301:F301"/>
    <mergeCell ref="G298:H298"/>
    <mergeCell ref="I228:J228"/>
    <mergeCell ref="E226:F226"/>
    <mergeCell ref="B1:C1"/>
    <mergeCell ref="D1:K1"/>
    <mergeCell ref="B5:P5"/>
    <mergeCell ref="G73:H73"/>
    <mergeCell ref="P50:P52"/>
    <mergeCell ref="C50:G50"/>
    <mergeCell ref="H50:J50"/>
    <mergeCell ref="B64:D64"/>
    <mergeCell ref="B61:D61"/>
    <mergeCell ref="G65:H65"/>
    <mergeCell ref="G66:H66"/>
    <mergeCell ref="E62:F62"/>
    <mergeCell ref="E74:F74"/>
    <mergeCell ref="B73:D73"/>
    <mergeCell ref="B70:D70"/>
    <mergeCell ref="B86:O86"/>
    <mergeCell ref="B58:N58"/>
    <mergeCell ref="B56:O56"/>
    <mergeCell ref="P6:P7"/>
    <mergeCell ref="M1:P1"/>
    <mergeCell ref="I67:J67"/>
    <mergeCell ref="L51:N51"/>
    <mergeCell ref="E67:F67"/>
    <mergeCell ref="B2:P2"/>
    <mergeCell ref="M4:N4"/>
    <mergeCell ref="E4:F4"/>
    <mergeCell ref="G4:H4"/>
    <mergeCell ref="I4:J4"/>
    <mergeCell ref="B3:P3"/>
    <mergeCell ref="B6:O6"/>
    <mergeCell ref="B7:O7"/>
    <mergeCell ref="C4:D4"/>
    <mergeCell ref="B604:D604"/>
    <mergeCell ref="G594:J594"/>
    <mergeCell ref="K300:O304"/>
    <mergeCell ref="B297:D297"/>
    <mergeCell ref="G296:H296"/>
    <mergeCell ref="B292:D292"/>
    <mergeCell ref="I292:J292"/>
    <mergeCell ref="I295:J295"/>
    <mergeCell ref="B303:D303"/>
    <mergeCell ref="H386:O386"/>
    <mergeCell ref="P392:P397"/>
    <mergeCell ref="B387:E390"/>
    <mergeCell ref="F390:G390"/>
    <mergeCell ref="K395:O395"/>
    <mergeCell ref="E601:F601"/>
    <mergeCell ref="I600:J600"/>
    <mergeCell ref="G600:H600"/>
    <mergeCell ref="K597:O601"/>
    <mergeCell ref="E600:F600"/>
    <mergeCell ref="B560:O560"/>
    <mergeCell ref="E563:F563"/>
    <mergeCell ref="B600:D600"/>
    <mergeCell ref="G577:H577"/>
    <mergeCell ref="C445:K445"/>
    <mergeCell ref="B444:K444"/>
    <mergeCell ref="L418:O418"/>
    <mergeCell ref="M446:N446"/>
    <mergeCell ref="M504:N504"/>
    <mergeCell ref="I596:J596"/>
    <mergeCell ref="H389:O389"/>
    <mergeCell ref="G431:N431"/>
    <mergeCell ref="E530:F530"/>
    <mergeCell ref="I616:L616"/>
    <mergeCell ref="M616:P616"/>
    <mergeCell ref="B610:P610"/>
    <mergeCell ref="I603:J603"/>
    <mergeCell ref="B592:O592"/>
    <mergeCell ref="K594:O596"/>
    <mergeCell ref="B596:D596"/>
    <mergeCell ref="B593:O593"/>
    <mergeCell ref="G607:H607"/>
    <mergeCell ref="I607:J607"/>
    <mergeCell ref="I608:J608"/>
    <mergeCell ref="I599:J599"/>
    <mergeCell ref="E604:F604"/>
    <mergeCell ref="E606:F606"/>
    <mergeCell ref="E605:F605"/>
    <mergeCell ref="G605:H605"/>
    <mergeCell ref="B603:D603"/>
    <mergeCell ref="E602:F602"/>
    <mergeCell ref="G603:H603"/>
    <mergeCell ref="G602:H602"/>
    <mergeCell ref="I598:J598"/>
    <mergeCell ref="I602:J602"/>
    <mergeCell ref="B602:D602"/>
    <mergeCell ref="M615:P615"/>
    <mergeCell ref="G596:H596"/>
    <mergeCell ref="B607:D607"/>
    <mergeCell ref="E607:F607"/>
    <mergeCell ref="B605:D605"/>
    <mergeCell ref="I601:J601"/>
    <mergeCell ref="G601:H601"/>
    <mergeCell ref="P594:P609"/>
    <mergeCell ref="B613:P613"/>
    <mergeCell ref="F518:K518"/>
    <mergeCell ref="F504:K504"/>
    <mergeCell ref="F505:K505"/>
    <mergeCell ref="B512:O512"/>
    <mergeCell ref="M498:N498"/>
    <mergeCell ref="M485:N485"/>
    <mergeCell ref="M480:N480"/>
    <mergeCell ref="E404:F404"/>
    <mergeCell ref="C401:D401"/>
    <mergeCell ref="C413:O413"/>
    <mergeCell ref="C400:D400"/>
    <mergeCell ref="B429:F429"/>
    <mergeCell ref="C415:O415"/>
    <mergeCell ref="K428:L428"/>
    <mergeCell ref="F501:K501"/>
    <mergeCell ref="F496:K496"/>
    <mergeCell ref="M503:N503"/>
    <mergeCell ref="K429:L429"/>
    <mergeCell ref="M429:N429"/>
    <mergeCell ref="H428:J428"/>
    <mergeCell ref="H429:J429"/>
    <mergeCell ref="K404:O404"/>
    <mergeCell ref="F456:K456"/>
    <mergeCell ref="B433:O433"/>
    <mergeCell ref="B431:F431"/>
    <mergeCell ref="B438:F439"/>
    <mergeCell ref="G435:K435"/>
    <mergeCell ref="L434:N434"/>
    <mergeCell ref="C395:D395"/>
    <mergeCell ref="B465:L465"/>
    <mergeCell ref="M455:N455"/>
    <mergeCell ref="F467:K467"/>
    <mergeCell ref="M447:N447"/>
    <mergeCell ref="F499:K499"/>
    <mergeCell ref="M482:N482"/>
    <mergeCell ref="G401:O401"/>
    <mergeCell ref="G405:O405"/>
    <mergeCell ref="C405:D405"/>
    <mergeCell ref="G423:H423"/>
    <mergeCell ref="H427:J427"/>
    <mergeCell ref="M470:N470"/>
    <mergeCell ref="G403:O403"/>
    <mergeCell ref="L435:N435"/>
    <mergeCell ref="F454:K454"/>
    <mergeCell ref="B411:O411"/>
    <mergeCell ref="L419:N419"/>
    <mergeCell ref="B424:O424"/>
    <mergeCell ref="K402:O402"/>
    <mergeCell ref="E405:F405"/>
    <mergeCell ref="F470:K470"/>
    <mergeCell ref="M445:N445"/>
    <mergeCell ref="L444:L445"/>
    <mergeCell ref="F447:K447"/>
    <mergeCell ref="M461:N461"/>
    <mergeCell ref="L420:N420"/>
    <mergeCell ref="M427:N427"/>
    <mergeCell ref="I404:J404"/>
    <mergeCell ref="M430:N430"/>
    <mergeCell ref="B410:O410"/>
    <mergeCell ref="G408:O408"/>
    <mergeCell ref="B542:D542"/>
    <mergeCell ref="B539:D539"/>
    <mergeCell ref="G533:H533"/>
    <mergeCell ref="I533:J533"/>
    <mergeCell ref="F484:K484"/>
    <mergeCell ref="M468:N468"/>
    <mergeCell ref="F468:K468"/>
    <mergeCell ref="C419:G419"/>
    <mergeCell ref="F464:K464"/>
    <mergeCell ref="E536:F536"/>
    <mergeCell ref="E538:F538"/>
    <mergeCell ref="E406:F406"/>
    <mergeCell ref="C397:D397"/>
    <mergeCell ref="B425:O425"/>
    <mergeCell ref="B398:F398"/>
    <mergeCell ref="F474:K474"/>
    <mergeCell ref="B432:F432"/>
    <mergeCell ref="B440:O440"/>
    <mergeCell ref="G439:K439"/>
    <mergeCell ref="G434:K434"/>
    <mergeCell ref="G422:H422"/>
    <mergeCell ref="E407:F407"/>
    <mergeCell ref="G438:K438"/>
    <mergeCell ref="M489:N489"/>
    <mergeCell ref="M481:N481"/>
    <mergeCell ref="M475:N475"/>
    <mergeCell ref="F488:K488"/>
    <mergeCell ref="M479:N479"/>
    <mergeCell ref="F471:K471"/>
    <mergeCell ref="M472:N472"/>
    <mergeCell ref="B516:O516"/>
    <mergeCell ref="F463:K463"/>
    <mergeCell ref="G549:H549"/>
    <mergeCell ref="I549:J549"/>
    <mergeCell ref="F480:K480"/>
    <mergeCell ref="B510:O510"/>
    <mergeCell ref="M476:N476"/>
    <mergeCell ref="G542:H542"/>
    <mergeCell ref="E539:F539"/>
    <mergeCell ref="B537:D537"/>
    <mergeCell ref="I539:J539"/>
    <mergeCell ref="I543:J543"/>
    <mergeCell ref="L520:M520"/>
    <mergeCell ref="F476:K476"/>
    <mergeCell ref="I540:J540"/>
    <mergeCell ref="B517:O517"/>
    <mergeCell ref="L518:M518"/>
    <mergeCell ref="F497:K497"/>
    <mergeCell ref="I534:J534"/>
    <mergeCell ref="B508:O508"/>
    <mergeCell ref="E532:F532"/>
    <mergeCell ref="N518:O518"/>
    <mergeCell ref="M502:N502"/>
    <mergeCell ref="M499:N499"/>
    <mergeCell ref="M488:N488"/>
    <mergeCell ref="B492:O492"/>
    <mergeCell ref="B493:O493"/>
    <mergeCell ref="F482:K482"/>
    <mergeCell ref="F483:K483"/>
    <mergeCell ref="M483:N483"/>
    <mergeCell ref="M495:N495"/>
    <mergeCell ref="M500:N500"/>
    <mergeCell ref="F491:K491"/>
    <mergeCell ref="M505:N505"/>
    <mergeCell ref="G395:H395"/>
    <mergeCell ref="I395:J395"/>
    <mergeCell ref="E395:F395"/>
    <mergeCell ref="C396:D396"/>
    <mergeCell ref="F457:K457"/>
    <mergeCell ref="B441:O441"/>
    <mergeCell ref="F472:K472"/>
    <mergeCell ref="C402:D402"/>
    <mergeCell ref="I402:J402"/>
    <mergeCell ref="C403:D403"/>
    <mergeCell ref="C404:D404"/>
    <mergeCell ref="C399:F399"/>
    <mergeCell ref="C407:D407"/>
    <mergeCell ref="M471:N471"/>
    <mergeCell ref="F500:K500"/>
    <mergeCell ref="F485:K485"/>
    <mergeCell ref="M462:N462"/>
    <mergeCell ref="M491:N491"/>
    <mergeCell ref="F479:K479"/>
    <mergeCell ref="M474:N474"/>
    <mergeCell ref="E400:F400"/>
    <mergeCell ref="I400:J400"/>
    <mergeCell ref="K400:O400"/>
    <mergeCell ref="M467:N467"/>
    <mergeCell ref="F486:K486"/>
    <mergeCell ref="F489:K489"/>
    <mergeCell ref="M450:N450"/>
    <mergeCell ref="F462:K462"/>
    <mergeCell ref="B494:O494"/>
    <mergeCell ref="C420:G420"/>
    <mergeCell ref="M460:N460"/>
    <mergeCell ref="M457:N457"/>
    <mergeCell ref="H420:J420"/>
    <mergeCell ref="M454:N454"/>
    <mergeCell ref="B458:O458"/>
    <mergeCell ref="B437:O437"/>
    <mergeCell ref="B430:G430"/>
    <mergeCell ref="M448:N448"/>
    <mergeCell ref="F446:K446"/>
    <mergeCell ref="F448:K448"/>
    <mergeCell ref="B446:D450"/>
    <mergeCell ref="B453:P453"/>
    <mergeCell ref="B442:P442"/>
    <mergeCell ref="F450:K450"/>
    <mergeCell ref="F455:K455"/>
    <mergeCell ref="F449:K449"/>
    <mergeCell ref="P414:P415"/>
    <mergeCell ref="P399:P407"/>
    <mergeCell ref="G399:J399"/>
    <mergeCell ref="E402:F402"/>
    <mergeCell ref="K399:O399"/>
    <mergeCell ref="I406:J406"/>
    <mergeCell ref="C406:D406"/>
    <mergeCell ref="K406:O406"/>
    <mergeCell ref="M487:N487"/>
    <mergeCell ref="F473:K473"/>
    <mergeCell ref="M465:O465"/>
    <mergeCell ref="F490:K490"/>
    <mergeCell ref="F495:K495"/>
    <mergeCell ref="H430:J430"/>
    <mergeCell ref="K430:L430"/>
    <mergeCell ref="C269:D269"/>
    <mergeCell ref="H279:J279"/>
    <mergeCell ref="L279:N279"/>
    <mergeCell ref="C273:D273"/>
    <mergeCell ref="F336:O336"/>
    <mergeCell ref="C263:D263"/>
    <mergeCell ref="F258:O258"/>
    <mergeCell ref="H388:O388"/>
    <mergeCell ref="K368:O372"/>
    <mergeCell ref="B384:O384"/>
    <mergeCell ref="E369:F369"/>
    <mergeCell ref="G378:H378"/>
    <mergeCell ref="B379:D379"/>
    <mergeCell ref="B375:D375"/>
    <mergeCell ref="E379:F379"/>
    <mergeCell ref="B378:D378"/>
    <mergeCell ref="B377:D377"/>
    <mergeCell ref="G377:H377"/>
    <mergeCell ref="G379:H379"/>
    <mergeCell ref="I379:J379"/>
    <mergeCell ref="I378:J378"/>
    <mergeCell ref="B376:D376"/>
    <mergeCell ref="I372:J372"/>
    <mergeCell ref="G373:H373"/>
    <mergeCell ref="E372:F372"/>
    <mergeCell ref="B286:N286"/>
    <mergeCell ref="M263:N263"/>
    <mergeCell ref="K248:O248"/>
    <mergeCell ref="C253:D253"/>
    <mergeCell ref="E253:F253"/>
    <mergeCell ref="E249:F249"/>
    <mergeCell ref="F259:O259"/>
    <mergeCell ref="D260:E260"/>
    <mergeCell ref="B258:C261"/>
    <mergeCell ref="K264:L264"/>
    <mergeCell ref="I193:J193"/>
    <mergeCell ref="E265:F265"/>
    <mergeCell ref="B220:D220"/>
    <mergeCell ref="I220:J220"/>
    <mergeCell ref="G217:H217"/>
    <mergeCell ref="G245:H245"/>
    <mergeCell ref="E248:F248"/>
    <mergeCell ref="B257:O257"/>
    <mergeCell ref="M264:N264"/>
    <mergeCell ref="I217:J217"/>
    <mergeCell ref="E206:O206"/>
    <mergeCell ref="K245:O245"/>
    <mergeCell ref="E220:F220"/>
    <mergeCell ref="G250:O250"/>
    <mergeCell ref="K249:O249"/>
    <mergeCell ref="I226:J226"/>
    <mergeCell ref="I223:J223"/>
    <mergeCell ref="K242:O242"/>
    <mergeCell ref="B239:O239"/>
    <mergeCell ref="K244:O244"/>
    <mergeCell ref="C264:D264"/>
    <mergeCell ref="K251:N251"/>
    <mergeCell ref="I140:J140"/>
    <mergeCell ref="E140:F140"/>
    <mergeCell ref="E138:F138"/>
    <mergeCell ref="G172:H172"/>
    <mergeCell ref="K169:O169"/>
    <mergeCell ref="G169:H169"/>
    <mergeCell ref="I169:J169"/>
    <mergeCell ref="I167:J167"/>
    <mergeCell ref="I168:J168"/>
    <mergeCell ref="B160:O160"/>
    <mergeCell ref="E198:F198"/>
    <mergeCell ref="K193:L193"/>
    <mergeCell ref="K191:L191"/>
    <mergeCell ref="B175:J175"/>
    <mergeCell ref="E174:F174"/>
    <mergeCell ref="C173:D173"/>
    <mergeCell ref="B194:O194"/>
    <mergeCell ref="M193:N193"/>
    <mergeCell ref="G190:H190"/>
    <mergeCell ref="C166:F166"/>
    <mergeCell ref="G166:J166"/>
    <mergeCell ref="F185:O185"/>
    <mergeCell ref="M188:N188"/>
    <mergeCell ref="K189:L189"/>
    <mergeCell ref="C189:D189"/>
    <mergeCell ref="E189:F189"/>
    <mergeCell ref="I189:J189"/>
    <mergeCell ref="C188:D188"/>
    <mergeCell ref="C196:D196"/>
    <mergeCell ref="C178:D178"/>
    <mergeCell ref="E178:F178"/>
    <mergeCell ref="G178:O178"/>
    <mergeCell ref="B136:O136"/>
    <mergeCell ref="C125:G125"/>
    <mergeCell ref="D182:E182"/>
    <mergeCell ref="B154:P154"/>
    <mergeCell ref="K168:O168"/>
    <mergeCell ref="B157:O157"/>
    <mergeCell ref="B163:O163"/>
    <mergeCell ref="E131:O131"/>
    <mergeCell ref="I149:J149"/>
    <mergeCell ref="G145:H145"/>
    <mergeCell ref="I243:J243"/>
    <mergeCell ref="K268:L268"/>
    <mergeCell ref="I249:J249"/>
    <mergeCell ref="M274:N274"/>
    <mergeCell ref="B233:P233"/>
    <mergeCell ref="B226:D226"/>
    <mergeCell ref="E225:F225"/>
    <mergeCell ref="E227:F227"/>
    <mergeCell ref="G193:H193"/>
    <mergeCell ref="E190:F190"/>
    <mergeCell ref="C191:D191"/>
    <mergeCell ref="E191:F191"/>
    <mergeCell ref="K192:L192"/>
    <mergeCell ref="I192:J192"/>
    <mergeCell ref="C243:D243"/>
    <mergeCell ref="B222:D222"/>
    <mergeCell ref="I263:J263"/>
    <mergeCell ref="G269:H269"/>
    <mergeCell ref="G188:H188"/>
    <mergeCell ref="C187:D187"/>
    <mergeCell ref="E173:F173"/>
    <mergeCell ref="G173:H173"/>
    <mergeCell ref="G229:H229"/>
    <mergeCell ref="P234:P235"/>
    <mergeCell ref="I222:J222"/>
    <mergeCell ref="G244:H244"/>
    <mergeCell ref="G228:H228"/>
    <mergeCell ref="B229:D229"/>
    <mergeCell ref="E222:F222"/>
    <mergeCell ref="B234:O234"/>
    <mergeCell ref="E221:F221"/>
    <mergeCell ref="P241:P256"/>
    <mergeCell ref="C242:F242"/>
    <mergeCell ref="C246:D246"/>
    <mergeCell ref="G246:O246"/>
    <mergeCell ref="I252:J252"/>
    <mergeCell ref="C250:D250"/>
    <mergeCell ref="G248:H248"/>
    <mergeCell ref="P214:P230"/>
    <mergeCell ref="B227:D227"/>
    <mergeCell ref="C206:D206"/>
    <mergeCell ref="K247:N247"/>
    <mergeCell ref="B225:D225"/>
    <mergeCell ref="L201:O201"/>
    <mergeCell ref="B224:D224"/>
    <mergeCell ref="I245:J245"/>
    <mergeCell ref="B218:D218"/>
    <mergeCell ref="K218:O222"/>
    <mergeCell ref="B241:O241"/>
    <mergeCell ref="E215:F215"/>
    <mergeCell ref="G219:H219"/>
    <mergeCell ref="I227:J227"/>
    <mergeCell ref="G224:H224"/>
    <mergeCell ref="C254:D254"/>
    <mergeCell ref="B236:P236"/>
    <mergeCell ref="B237:O237"/>
    <mergeCell ref="E244:F244"/>
    <mergeCell ref="B235:O235"/>
    <mergeCell ref="B238:O238"/>
    <mergeCell ref="K214:O217"/>
    <mergeCell ref="B223:D223"/>
    <mergeCell ref="B219:D219"/>
    <mergeCell ref="G226:H226"/>
    <mergeCell ref="H203:J203"/>
    <mergeCell ref="E224:F224"/>
    <mergeCell ref="K225:O229"/>
    <mergeCell ref="E250:F250"/>
    <mergeCell ref="B231:P231"/>
    <mergeCell ref="C249:D249"/>
    <mergeCell ref="B240:O240"/>
    <mergeCell ref="C202:G202"/>
    <mergeCell ref="P237:P239"/>
    <mergeCell ref="G254:O254"/>
    <mergeCell ref="I225:J225"/>
    <mergeCell ref="I299:J299"/>
    <mergeCell ref="E299:F299"/>
    <mergeCell ref="B311:P311"/>
    <mergeCell ref="H278:J278"/>
    <mergeCell ref="G221:H221"/>
    <mergeCell ref="K266:L266"/>
    <mergeCell ref="C266:D266"/>
    <mergeCell ref="M266:N266"/>
    <mergeCell ref="B287:N287"/>
    <mergeCell ref="M268:N268"/>
    <mergeCell ref="E267:F267"/>
    <mergeCell ref="E272:F272"/>
    <mergeCell ref="K274:L274"/>
    <mergeCell ref="K273:L273"/>
    <mergeCell ref="C282:D282"/>
    <mergeCell ref="I296:J296"/>
    <mergeCell ref="C277:G277"/>
    <mergeCell ref="I290:J290"/>
    <mergeCell ref="E284:O284"/>
    <mergeCell ref="B270:O270"/>
    <mergeCell ref="G292:H292"/>
    <mergeCell ref="K293:O297"/>
    <mergeCell ref="I267:J267"/>
    <mergeCell ref="K267:L267"/>
    <mergeCell ref="B294:D294"/>
    <mergeCell ref="E294:F294"/>
    <mergeCell ref="I264:J264"/>
    <mergeCell ref="E292:F292"/>
    <mergeCell ref="B281:O281"/>
    <mergeCell ref="E228:F228"/>
    <mergeCell ref="E26:J27"/>
    <mergeCell ref="G31:H31"/>
    <mergeCell ref="I324:J324"/>
    <mergeCell ref="E318:F318"/>
    <mergeCell ref="C244:D244"/>
    <mergeCell ref="I95:J95"/>
    <mergeCell ref="B76:D76"/>
    <mergeCell ref="C97:D97"/>
    <mergeCell ref="D108:E108"/>
    <mergeCell ref="D106:E106"/>
    <mergeCell ref="B84:O84"/>
    <mergeCell ref="K91:O91"/>
    <mergeCell ref="B80:P80"/>
    <mergeCell ref="P60:P78"/>
    <mergeCell ref="G69:H69"/>
    <mergeCell ref="G64:H64"/>
    <mergeCell ref="E90:F90"/>
    <mergeCell ref="B60:F60"/>
    <mergeCell ref="K96:O96"/>
    <mergeCell ref="B82:O82"/>
    <mergeCell ref="E77:F77"/>
    <mergeCell ref="E75:F75"/>
    <mergeCell ref="G68:H68"/>
    <mergeCell ref="I66:J66"/>
    <mergeCell ref="I65:J65"/>
    <mergeCell ref="E64:F64"/>
    <mergeCell ref="I272:J272"/>
    <mergeCell ref="B148:D148"/>
    <mergeCell ref="G249:H249"/>
    <mergeCell ref="I229:J229"/>
    <mergeCell ref="E229:F229"/>
    <mergeCell ref="E73:F73"/>
    <mergeCell ref="N11:O11"/>
    <mergeCell ref="K17:O17"/>
    <mergeCell ref="K18:O18"/>
    <mergeCell ref="G18:H18"/>
    <mergeCell ref="I32:J32"/>
    <mergeCell ref="K35:L35"/>
    <mergeCell ref="C35:D35"/>
    <mergeCell ref="M30:N30"/>
    <mergeCell ref="M31:N31"/>
    <mergeCell ref="E29:F29"/>
    <mergeCell ref="E30:F30"/>
    <mergeCell ref="C25:D25"/>
    <mergeCell ref="C32:D32"/>
    <mergeCell ref="K23:O23"/>
    <mergeCell ref="N13:O13"/>
    <mergeCell ref="E19:F19"/>
    <mergeCell ref="E20:F20"/>
    <mergeCell ref="K22:N22"/>
    <mergeCell ref="E25:F25"/>
    <mergeCell ref="M34:N34"/>
    <mergeCell ref="B22:J22"/>
    <mergeCell ref="I20:J20"/>
    <mergeCell ref="M33:N33"/>
    <mergeCell ref="I24:J24"/>
    <mergeCell ref="C24:D24"/>
    <mergeCell ref="I19:J19"/>
    <mergeCell ref="K20:O20"/>
    <mergeCell ref="B11:M14"/>
    <mergeCell ref="N14:O14"/>
    <mergeCell ref="C27:D27"/>
    <mergeCell ref="M29:N29"/>
    <mergeCell ref="E32:F32"/>
    <mergeCell ref="K38:L38"/>
    <mergeCell ref="G33:H33"/>
    <mergeCell ref="N12:O12"/>
    <mergeCell ref="I30:J30"/>
    <mergeCell ref="I31:J31"/>
    <mergeCell ref="G35:H35"/>
    <mergeCell ref="G30:H30"/>
    <mergeCell ref="P16:P27"/>
    <mergeCell ref="B9:O9"/>
    <mergeCell ref="K4:L4"/>
    <mergeCell ref="E18:F18"/>
    <mergeCell ref="T6:T7"/>
    <mergeCell ref="B8:P8"/>
    <mergeCell ref="P9:P10"/>
    <mergeCell ref="G17:J17"/>
    <mergeCell ref="T10:Y10"/>
    <mergeCell ref="C18:D18"/>
    <mergeCell ref="C23:D23"/>
    <mergeCell ref="C20:D20"/>
    <mergeCell ref="C21:D21"/>
    <mergeCell ref="B15:P15"/>
    <mergeCell ref="E21:F21"/>
    <mergeCell ref="B16:O16"/>
    <mergeCell ref="C19:D19"/>
    <mergeCell ref="I18:J18"/>
    <mergeCell ref="C17:F17"/>
    <mergeCell ref="B10:O10"/>
    <mergeCell ref="G19:H19"/>
    <mergeCell ref="G20:H20"/>
    <mergeCell ref="G23:H23"/>
    <mergeCell ref="G21:O21"/>
    <mergeCell ref="E23:F23"/>
    <mergeCell ref="C29:D29"/>
    <mergeCell ref="C33:D33"/>
    <mergeCell ref="B57:N57"/>
    <mergeCell ref="C51:G51"/>
    <mergeCell ref="B36:O36"/>
    <mergeCell ref="F55:O55"/>
    <mergeCell ref="E31:F31"/>
    <mergeCell ref="B54:C55"/>
    <mergeCell ref="D54:E54"/>
    <mergeCell ref="E70:F70"/>
    <mergeCell ref="B72:D72"/>
    <mergeCell ref="K65:O69"/>
    <mergeCell ref="G60:J60"/>
    <mergeCell ref="G93:O93"/>
    <mergeCell ref="K94:N94"/>
    <mergeCell ref="B94:J94"/>
    <mergeCell ref="D55:E55"/>
    <mergeCell ref="B53:O53"/>
    <mergeCell ref="I35:J35"/>
    <mergeCell ref="G62:H62"/>
    <mergeCell ref="K34:L34"/>
    <mergeCell ref="B77:D77"/>
    <mergeCell ref="F54:O54"/>
    <mergeCell ref="C38:D38"/>
    <mergeCell ref="B71:D71"/>
    <mergeCell ref="I74:J74"/>
    <mergeCell ref="G76:H76"/>
    <mergeCell ref="B88:O88"/>
    <mergeCell ref="G74:H74"/>
    <mergeCell ref="E72:F72"/>
    <mergeCell ref="I72:J72"/>
    <mergeCell ref="C91:D91"/>
    <mergeCell ref="C203:G203"/>
    <mergeCell ref="L204:N204"/>
    <mergeCell ref="K26:N26"/>
    <mergeCell ref="B28:O28"/>
    <mergeCell ref="C52:G52"/>
    <mergeCell ref="E35:F35"/>
    <mergeCell ref="D45:E45"/>
    <mergeCell ref="B44:C47"/>
    <mergeCell ref="B41:O41"/>
    <mergeCell ref="B42:O42"/>
    <mergeCell ref="M35:N35"/>
    <mergeCell ref="F45:O45"/>
    <mergeCell ref="F46:O46"/>
    <mergeCell ref="G32:H32"/>
    <mergeCell ref="E33:F33"/>
    <mergeCell ref="E34:F34"/>
    <mergeCell ref="I29:J29"/>
    <mergeCell ref="G34:H34"/>
    <mergeCell ref="L52:N52"/>
    <mergeCell ref="B48:O48"/>
    <mergeCell ref="F47:O47"/>
    <mergeCell ref="D47:E47"/>
    <mergeCell ref="H52:J52"/>
    <mergeCell ref="I38:J38"/>
    <mergeCell ref="K32:L32"/>
    <mergeCell ref="I40:J40"/>
    <mergeCell ref="C31:D31"/>
    <mergeCell ref="C30:D30"/>
    <mergeCell ref="M32:N32"/>
    <mergeCell ref="L50:O50"/>
    <mergeCell ref="D44:E44"/>
    <mergeCell ref="K33:L33"/>
    <mergeCell ref="G370:H370"/>
    <mergeCell ref="B365:D365"/>
    <mergeCell ref="E365:F365"/>
    <mergeCell ref="H355:J355"/>
    <mergeCell ref="L355:N355"/>
    <mergeCell ref="C349:D349"/>
    <mergeCell ref="C352:G352"/>
    <mergeCell ref="H352:J352"/>
    <mergeCell ref="B199:O199"/>
    <mergeCell ref="M197:N197"/>
    <mergeCell ref="I191:J191"/>
    <mergeCell ref="C197:D197"/>
    <mergeCell ref="F109:O109"/>
    <mergeCell ref="D109:E109"/>
    <mergeCell ref="K197:L197"/>
    <mergeCell ref="I188:J188"/>
    <mergeCell ref="E151:F151"/>
    <mergeCell ref="B162:O162"/>
    <mergeCell ref="K137:O140"/>
    <mergeCell ref="G265:H265"/>
    <mergeCell ref="E208:O208"/>
    <mergeCell ref="B247:J247"/>
    <mergeCell ref="G198:H198"/>
    <mergeCell ref="B213:O213"/>
    <mergeCell ref="E264:F264"/>
    <mergeCell ref="K253:O253"/>
    <mergeCell ref="E254:F254"/>
    <mergeCell ref="G253:H253"/>
    <mergeCell ref="C265:D265"/>
    <mergeCell ref="B251:J251"/>
    <mergeCell ref="G252:H252"/>
    <mergeCell ref="M265:N265"/>
    <mergeCell ref="F389:G389"/>
    <mergeCell ref="G404:H404"/>
    <mergeCell ref="E403:F403"/>
    <mergeCell ref="B392:O392"/>
    <mergeCell ref="B386:E386"/>
    <mergeCell ref="B428:G428"/>
    <mergeCell ref="F387:G387"/>
    <mergeCell ref="H387:O387"/>
    <mergeCell ref="C279:G279"/>
    <mergeCell ref="K272:L272"/>
    <mergeCell ref="E296:F296"/>
    <mergeCell ref="M273:N273"/>
    <mergeCell ref="E274:F274"/>
    <mergeCell ref="G274:H274"/>
    <mergeCell ref="I274:J274"/>
    <mergeCell ref="B296:D296"/>
    <mergeCell ref="E266:F266"/>
    <mergeCell ref="B289:F289"/>
    <mergeCell ref="B350:O350"/>
    <mergeCell ref="J330:N330"/>
    <mergeCell ref="J331:O331"/>
    <mergeCell ref="K344:L344"/>
    <mergeCell ref="C343:D343"/>
    <mergeCell ref="I370:J370"/>
    <mergeCell ref="I348:J348"/>
    <mergeCell ref="K349:L349"/>
    <mergeCell ref="G339:H339"/>
    <mergeCell ref="K364:O367"/>
    <mergeCell ref="E367:F367"/>
    <mergeCell ref="E358:O358"/>
    <mergeCell ref="E349:F349"/>
    <mergeCell ref="I349:J349"/>
    <mergeCell ref="C327:D327"/>
    <mergeCell ref="D335:E335"/>
    <mergeCell ref="G402:H402"/>
    <mergeCell ref="E343:F343"/>
    <mergeCell ref="C342:D342"/>
    <mergeCell ref="I342:J342"/>
    <mergeCell ref="M340:N340"/>
    <mergeCell ref="C358:D358"/>
    <mergeCell ref="M339:N339"/>
    <mergeCell ref="B362:N362"/>
    <mergeCell ref="B364:F364"/>
    <mergeCell ref="C338:D338"/>
    <mergeCell ref="G349:H349"/>
    <mergeCell ref="C355:G355"/>
    <mergeCell ref="B361:N361"/>
    <mergeCell ref="I376:J376"/>
    <mergeCell ref="G376:H376"/>
    <mergeCell ref="E374:F374"/>
    <mergeCell ref="B366:D366"/>
    <mergeCell ref="I344:J344"/>
    <mergeCell ref="E348:F348"/>
    <mergeCell ref="K341:L341"/>
    <mergeCell ref="E370:F370"/>
    <mergeCell ref="B370:D370"/>
    <mergeCell ref="B367:D367"/>
    <mergeCell ref="B369:D369"/>
    <mergeCell ref="K347:L347"/>
    <mergeCell ref="C359:D359"/>
    <mergeCell ref="E359:O359"/>
    <mergeCell ref="E368:F368"/>
    <mergeCell ref="B345:O345"/>
    <mergeCell ref="H390:O390"/>
    <mergeCell ref="K328:O328"/>
    <mergeCell ref="E320:F320"/>
    <mergeCell ref="K319:O319"/>
    <mergeCell ref="K324:O324"/>
    <mergeCell ref="G324:H324"/>
    <mergeCell ref="B322:J322"/>
    <mergeCell ref="K323:O323"/>
    <mergeCell ref="C344:D344"/>
    <mergeCell ref="C347:D347"/>
    <mergeCell ref="C348:D348"/>
    <mergeCell ref="I341:J341"/>
    <mergeCell ref="K342:L342"/>
    <mergeCell ref="G340:H340"/>
    <mergeCell ref="I340:J340"/>
    <mergeCell ref="E340:F340"/>
    <mergeCell ref="C339:D339"/>
    <mergeCell ref="E344:F344"/>
    <mergeCell ref="G343:H343"/>
    <mergeCell ref="C325:D325"/>
    <mergeCell ref="C340:D340"/>
    <mergeCell ref="F335:O335"/>
    <mergeCell ref="I320:J320"/>
    <mergeCell ref="E319:F319"/>
    <mergeCell ref="C320:D320"/>
    <mergeCell ref="G341:H341"/>
    <mergeCell ref="K327:O327"/>
    <mergeCell ref="M338:N338"/>
    <mergeCell ref="K340:L340"/>
    <mergeCell ref="G320:H320"/>
    <mergeCell ref="D336:E336"/>
    <mergeCell ref="M347:N347"/>
    <mergeCell ref="C329:D329"/>
    <mergeCell ref="P364:P380"/>
    <mergeCell ref="B360:O360"/>
    <mergeCell ref="B363:O363"/>
    <mergeCell ref="P438:P439"/>
    <mergeCell ref="H418:J418"/>
    <mergeCell ref="H419:J419"/>
    <mergeCell ref="M501:N501"/>
    <mergeCell ref="E541:F541"/>
    <mergeCell ref="I531:J531"/>
    <mergeCell ref="B477:O477"/>
    <mergeCell ref="I535:J535"/>
    <mergeCell ref="G536:H536"/>
    <mergeCell ref="I536:J536"/>
    <mergeCell ref="F521:K521"/>
    <mergeCell ref="F522:K522"/>
    <mergeCell ref="E533:F533"/>
    <mergeCell ref="F503:K503"/>
    <mergeCell ref="F502:K502"/>
    <mergeCell ref="E531:F531"/>
    <mergeCell ref="F487:K487"/>
    <mergeCell ref="M484:N484"/>
    <mergeCell ref="M486:N486"/>
    <mergeCell ref="M496:N496"/>
    <mergeCell ref="P427:P430"/>
    <mergeCell ref="P434:P435"/>
    <mergeCell ref="N522:O522"/>
    <mergeCell ref="B514:K514"/>
    <mergeCell ref="L514:O514"/>
    <mergeCell ref="M473:N473"/>
    <mergeCell ref="L438:N438"/>
    <mergeCell ref="B524:P524"/>
    <mergeCell ref="P512:P513"/>
    <mergeCell ref="AM565:AM568"/>
    <mergeCell ref="W562:X562"/>
    <mergeCell ref="C567:D567"/>
    <mergeCell ref="C568:D568"/>
    <mergeCell ref="E562:F562"/>
    <mergeCell ref="AI565:AI568"/>
    <mergeCell ref="AD566:AG566"/>
    <mergeCell ref="AK565:AK568"/>
    <mergeCell ref="E567:F567"/>
    <mergeCell ref="E564:F564"/>
    <mergeCell ref="AL565:AL568"/>
    <mergeCell ref="AD565:AG565"/>
    <mergeCell ref="P560:P569"/>
    <mergeCell ref="G566:H566"/>
    <mergeCell ref="G565:O565"/>
    <mergeCell ref="G568:H568"/>
    <mergeCell ref="K568:O568"/>
    <mergeCell ref="K566:O566"/>
    <mergeCell ref="AJ565:AJ568"/>
    <mergeCell ref="G567:O567"/>
    <mergeCell ref="K561:O561"/>
    <mergeCell ref="I562:J562"/>
    <mergeCell ref="I564:J564"/>
    <mergeCell ref="C564:D564"/>
    <mergeCell ref="C565:D565"/>
    <mergeCell ref="C562:D562"/>
    <mergeCell ref="G562:H562"/>
    <mergeCell ref="C563:D563"/>
    <mergeCell ref="E568:F568"/>
    <mergeCell ref="E565:F565"/>
    <mergeCell ref="E566:F566"/>
    <mergeCell ref="L630:M630"/>
    <mergeCell ref="I619:L619"/>
    <mergeCell ref="I620:L620"/>
    <mergeCell ref="I621:L621"/>
    <mergeCell ref="H633:J633"/>
    <mergeCell ref="H632:J632"/>
    <mergeCell ref="AK403:AK406"/>
    <mergeCell ref="AL403:AL406"/>
    <mergeCell ref="P411:P412"/>
    <mergeCell ref="V569:AC569"/>
    <mergeCell ref="K427:L427"/>
    <mergeCell ref="E553:F553"/>
    <mergeCell ref="G569:O569"/>
    <mergeCell ref="I568:J568"/>
    <mergeCell ref="G530:H530"/>
    <mergeCell ref="G527:J527"/>
    <mergeCell ref="AJ403:AJ406"/>
    <mergeCell ref="M456:N456"/>
    <mergeCell ref="B451:O451"/>
    <mergeCell ref="B452:O452"/>
    <mergeCell ref="F481:K481"/>
    <mergeCell ref="L439:N439"/>
    <mergeCell ref="M464:N464"/>
    <mergeCell ref="F475:K475"/>
    <mergeCell ref="B436:O436"/>
    <mergeCell ref="M490:N490"/>
    <mergeCell ref="P518:P523"/>
    <mergeCell ref="B506:O506"/>
    <mergeCell ref="P516:P517"/>
    <mergeCell ref="N520:O520"/>
    <mergeCell ref="M497:N497"/>
    <mergeCell ref="E529:F529"/>
    <mergeCell ref="L632:M632"/>
    <mergeCell ref="O632:P632"/>
    <mergeCell ref="G541:H541"/>
    <mergeCell ref="B637:P637"/>
    <mergeCell ref="C622:D622"/>
    <mergeCell ref="C621:D621"/>
    <mergeCell ref="C617:D617"/>
    <mergeCell ref="C618:D618"/>
    <mergeCell ref="C619:D619"/>
    <mergeCell ref="B625:P625"/>
    <mergeCell ref="C626:E626"/>
    <mergeCell ref="F626:P626"/>
    <mergeCell ref="C636:D636"/>
    <mergeCell ref="H636:J636"/>
    <mergeCell ref="L636:M636"/>
    <mergeCell ref="O636:P636"/>
    <mergeCell ref="C635:D635"/>
    <mergeCell ref="C634:D634"/>
    <mergeCell ref="F629:G629"/>
    <mergeCell ref="H629:J629"/>
    <mergeCell ref="B624:P624"/>
    <mergeCell ref="F622:G622"/>
    <mergeCell ref="M622:P622"/>
    <mergeCell ref="B627:P627"/>
    <mergeCell ref="O634:P634"/>
    <mergeCell ref="H635:J635"/>
    <mergeCell ref="B628:P628"/>
    <mergeCell ref="F621:G621"/>
    <mergeCell ref="B586:O586"/>
    <mergeCell ref="C629:D629"/>
    <mergeCell ref="O630:P630"/>
    <mergeCell ref="H630:J630"/>
    <mergeCell ref="B527:F527"/>
    <mergeCell ref="G534:H534"/>
    <mergeCell ref="K531:O537"/>
    <mergeCell ref="G531:H531"/>
    <mergeCell ref="I547:J547"/>
    <mergeCell ref="B556:O556"/>
    <mergeCell ref="I553:J553"/>
    <mergeCell ref="B552:D552"/>
    <mergeCell ref="B531:D531"/>
    <mergeCell ref="K527:O530"/>
    <mergeCell ref="E549:F549"/>
    <mergeCell ref="C518:E518"/>
    <mergeCell ref="F519:K519"/>
    <mergeCell ref="B529:D529"/>
    <mergeCell ref="E548:F548"/>
    <mergeCell ref="G550:H550"/>
    <mergeCell ref="I550:J550"/>
    <mergeCell ref="B525:O525"/>
    <mergeCell ref="C522:E522"/>
    <mergeCell ref="E547:F547"/>
    <mergeCell ref="G537:H537"/>
    <mergeCell ref="G538:H538"/>
    <mergeCell ref="B538:D538"/>
    <mergeCell ref="G547:H547"/>
    <mergeCell ref="E542:F542"/>
    <mergeCell ref="G546:H546"/>
    <mergeCell ref="E534:F534"/>
    <mergeCell ref="B523:O523"/>
    <mergeCell ref="I528:J528"/>
    <mergeCell ref="L521:M521"/>
    <mergeCell ref="G535:H535"/>
    <mergeCell ref="G532:H532"/>
    <mergeCell ref="L635:M635"/>
    <mergeCell ref="O635:P635"/>
    <mergeCell ref="O631:P631"/>
    <mergeCell ref="C633:D633"/>
    <mergeCell ref="H634:J634"/>
    <mergeCell ref="L634:M634"/>
    <mergeCell ref="L633:M633"/>
    <mergeCell ref="F619:G619"/>
    <mergeCell ref="C630:D630"/>
    <mergeCell ref="G545:H545"/>
    <mergeCell ref="B532:D532"/>
    <mergeCell ref="B534:D534"/>
    <mergeCell ref="E540:F540"/>
    <mergeCell ref="I541:J541"/>
    <mergeCell ref="G540:H540"/>
    <mergeCell ref="I537:J537"/>
    <mergeCell ref="G539:H539"/>
    <mergeCell ref="O633:P633"/>
    <mergeCell ref="I566:J566"/>
    <mergeCell ref="C632:D632"/>
    <mergeCell ref="M618:P618"/>
    <mergeCell ref="I618:L618"/>
    <mergeCell ref="M619:P619"/>
    <mergeCell ref="B612:P612"/>
    <mergeCell ref="H631:J631"/>
    <mergeCell ref="I622:L622"/>
    <mergeCell ref="M621:P621"/>
    <mergeCell ref="M620:P620"/>
    <mergeCell ref="L631:M631"/>
    <mergeCell ref="C620:D620"/>
    <mergeCell ref="L629:M629"/>
    <mergeCell ref="O629:P629"/>
    <mergeCell ref="M469:N469"/>
    <mergeCell ref="B422:F422"/>
    <mergeCell ref="M449:N449"/>
    <mergeCell ref="F460:K460"/>
    <mergeCell ref="B409:O409"/>
    <mergeCell ref="B414:O414"/>
    <mergeCell ref="B421:O421"/>
    <mergeCell ref="I422:O422"/>
    <mergeCell ref="I423:O423"/>
    <mergeCell ref="B427:F427"/>
    <mergeCell ref="B426:F426"/>
    <mergeCell ref="B295:D295"/>
    <mergeCell ref="I302:J302"/>
    <mergeCell ref="I301:J301"/>
    <mergeCell ref="K317:O317"/>
    <mergeCell ref="C416:O416"/>
    <mergeCell ref="H426:O426"/>
    <mergeCell ref="B423:F423"/>
    <mergeCell ref="G432:N432"/>
    <mergeCell ref="C418:G418"/>
    <mergeCell ref="G400:H400"/>
    <mergeCell ref="M463:N463"/>
    <mergeCell ref="F469:K469"/>
    <mergeCell ref="F461:K461"/>
    <mergeCell ref="I347:J347"/>
    <mergeCell ref="I339:J339"/>
    <mergeCell ref="K339:L339"/>
    <mergeCell ref="G347:H347"/>
    <mergeCell ref="G318:H318"/>
    <mergeCell ref="I318:J318"/>
    <mergeCell ref="E339:F339"/>
    <mergeCell ref="G319:H319"/>
    <mergeCell ref="B575:J575"/>
    <mergeCell ref="C631:D631"/>
    <mergeCell ref="E596:F596"/>
    <mergeCell ref="E595:F595"/>
    <mergeCell ref="B577:F577"/>
    <mergeCell ref="F616:G616"/>
    <mergeCell ref="C615:D615"/>
    <mergeCell ref="F615:G615"/>
    <mergeCell ref="I615:L615"/>
    <mergeCell ref="C616:D616"/>
    <mergeCell ref="G604:H604"/>
    <mergeCell ref="E550:F550"/>
    <mergeCell ref="I597:J597"/>
    <mergeCell ref="B594:F594"/>
    <mergeCell ref="E608:F608"/>
    <mergeCell ref="I617:L617"/>
    <mergeCell ref="F618:G618"/>
    <mergeCell ref="B553:D553"/>
    <mergeCell ref="K562:O562"/>
    <mergeCell ref="B570:J570"/>
    <mergeCell ref="K564:O564"/>
    <mergeCell ref="B572:O572"/>
    <mergeCell ref="B571:O571"/>
    <mergeCell ref="E569:F569"/>
    <mergeCell ref="B614:P614"/>
    <mergeCell ref="B557:O557"/>
    <mergeCell ref="I552:J552"/>
    <mergeCell ref="P527:P554"/>
    <mergeCell ref="I544:J544"/>
    <mergeCell ref="P590:P591"/>
    <mergeCell ref="I532:J532"/>
    <mergeCell ref="B528:D528"/>
    <mergeCell ref="I319:J319"/>
    <mergeCell ref="M444:P444"/>
    <mergeCell ref="I298:J298"/>
    <mergeCell ref="B578:O578"/>
    <mergeCell ref="K575:O575"/>
    <mergeCell ref="I595:J595"/>
    <mergeCell ref="E597:F597"/>
    <mergeCell ref="B583:N583"/>
    <mergeCell ref="B608:D608"/>
    <mergeCell ref="M617:P617"/>
    <mergeCell ref="P586:P587"/>
    <mergeCell ref="B597:D597"/>
    <mergeCell ref="G563:O563"/>
    <mergeCell ref="G553:H553"/>
    <mergeCell ref="G551:H551"/>
    <mergeCell ref="I548:J548"/>
    <mergeCell ref="I551:J551"/>
    <mergeCell ref="B573:D573"/>
    <mergeCell ref="K570:O570"/>
    <mergeCell ref="B591:O591"/>
    <mergeCell ref="B574:O574"/>
    <mergeCell ref="C579:O579"/>
    <mergeCell ref="B555:P555"/>
    <mergeCell ref="B558:O558"/>
    <mergeCell ref="G548:H548"/>
    <mergeCell ref="C566:D566"/>
    <mergeCell ref="B550:D550"/>
    <mergeCell ref="G564:H564"/>
    <mergeCell ref="I546:J546"/>
    <mergeCell ref="I545:J545"/>
    <mergeCell ref="B314:O314"/>
    <mergeCell ref="I577:O577"/>
    <mergeCell ref="G317:J317"/>
    <mergeCell ref="B315:O315"/>
    <mergeCell ref="B316:O316"/>
    <mergeCell ref="L353:N353"/>
    <mergeCell ref="E357:O357"/>
    <mergeCell ref="E535:F535"/>
    <mergeCell ref="B299:D299"/>
    <mergeCell ref="B530:D530"/>
    <mergeCell ref="G552:H552"/>
    <mergeCell ref="C412:O412"/>
    <mergeCell ref="B417:O417"/>
    <mergeCell ref="B513:O513"/>
    <mergeCell ref="C520:E520"/>
    <mergeCell ref="F520:K520"/>
    <mergeCell ref="G528:H528"/>
    <mergeCell ref="B511:O511"/>
    <mergeCell ref="I530:J530"/>
    <mergeCell ref="C519:E519"/>
    <mergeCell ref="G348:H348"/>
    <mergeCell ref="I529:J529"/>
    <mergeCell ref="E528:F528"/>
    <mergeCell ref="N519:O519"/>
    <mergeCell ref="B535:D535"/>
    <mergeCell ref="C521:E521"/>
    <mergeCell ref="G529:H529"/>
    <mergeCell ref="K318:O318"/>
    <mergeCell ref="G406:H406"/>
    <mergeCell ref="G407:O407"/>
    <mergeCell ref="M428:N428"/>
    <mergeCell ref="B443:P443"/>
    <mergeCell ref="B549:D549"/>
    <mergeCell ref="E551:F551"/>
    <mergeCell ref="E573:O573"/>
    <mergeCell ref="G544:H544"/>
    <mergeCell ref="G543:H543"/>
    <mergeCell ref="B533:D533"/>
    <mergeCell ref="E537:F537"/>
    <mergeCell ref="B536:D536"/>
    <mergeCell ref="C561:F561"/>
    <mergeCell ref="G561:J561"/>
    <mergeCell ref="C569:D569"/>
    <mergeCell ref="B559:O559"/>
    <mergeCell ref="E552:F552"/>
    <mergeCell ref="E401:F401"/>
    <mergeCell ref="E347:F347"/>
    <mergeCell ref="E341:F341"/>
    <mergeCell ref="G364:J364"/>
    <mergeCell ref="B356:O356"/>
    <mergeCell ref="B357:B359"/>
    <mergeCell ref="M348:N348"/>
    <mergeCell ref="I369:J369"/>
    <mergeCell ref="M349:N349"/>
    <mergeCell ref="N521:O521"/>
    <mergeCell ref="B551:D551"/>
    <mergeCell ref="B548:D548"/>
    <mergeCell ref="B515:O515"/>
    <mergeCell ref="L519:M519"/>
    <mergeCell ref="L522:M522"/>
    <mergeCell ref="B526:O526"/>
    <mergeCell ref="I542:J542"/>
    <mergeCell ref="K538:O543"/>
    <mergeCell ref="B540:D540"/>
    <mergeCell ref="B545:B546"/>
    <mergeCell ref="I538:J538"/>
    <mergeCell ref="B313:O313"/>
    <mergeCell ref="B211:N211"/>
    <mergeCell ref="I224:J224"/>
    <mergeCell ref="G225:H225"/>
    <mergeCell ref="L278:N278"/>
    <mergeCell ref="C280:G280"/>
    <mergeCell ref="B301:D301"/>
    <mergeCell ref="G299:H299"/>
    <mergeCell ref="E245:F245"/>
    <mergeCell ref="F260:O260"/>
    <mergeCell ref="C272:D272"/>
    <mergeCell ref="E243:F243"/>
    <mergeCell ref="G243:H243"/>
    <mergeCell ref="I253:J253"/>
    <mergeCell ref="E263:F263"/>
    <mergeCell ref="B291:D291"/>
    <mergeCell ref="I269:J269"/>
    <mergeCell ref="M267:N267"/>
    <mergeCell ref="B275:O275"/>
    <mergeCell ref="G290:H290"/>
    <mergeCell ref="E298:F298"/>
    <mergeCell ref="G293:H293"/>
    <mergeCell ref="I293:J293"/>
    <mergeCell ref="E291:F291"/>
    <mergeCell ref="B298:D298"/>
    <mergeCell ref="I244:J244"/>
    <mergeCell ref="G227:H227"/>
    <mergeCell ref="I265:J265"/>
    <mergeCell ref="F261:O261"/>
    <mergeCell ref="K265:L265"/>
    <mergeCell ref="B212:O212"/>
    <mergeCell ref="G264:H264"/>
    <mergeCell ref="G137:J137"/>
    <mergeCell ref="I151:J151"/>
    <mergeCell ref="I143:J143"/>
    <mergeCell ref="I147:J147"/>
    <mergeCell ref="E167:F167"/>
    <mergeCell ref="B152:D152"/>
    <mergeCell ref="B158:O158"/>
    <mergeCell ref="G114:H114"/>
    <mergeCell ref="E115:F115"/>
    <mergeCell ref="E112:F112"/>
    <mergeCell ref="C117:D117"/>
    <mergeCell ref="M117:N117"/>
    <mergeCell ref="B150:D150"/>
    <mergeCell ref="L125:O125"/>
    <mergeCell ref="E177:F177"/>
    <mergeCell ref="G177:H177"/>
    <mergeCell ref="I177:J177"/>
    <mergeCell ref="B156:P156"/>
    <mergeCell ref="B147:D147"/>
    <mergeCell ref="B139:D139"/>
    <mergeCell ref="E132:O132"/>
    <mergeCell ref="P160:P162"/>
    <mergeCell ref="B149:D149"/>
    <mergeCell ref="E152:F152"/>
    <mergeCell ref="P137:P153"/>
    <mergeCell ref="I172:J172"/>
    <mergeCell ref="I114:J114"/>
    <mergeCell ref="B137:F137"/>
    <mergeCell ref="B171:J171"/>
    <mergeCell ref="K171:N171"/>
    <mergeCell ref="B159:P159"/>
    <mergeCell ref="I113:J113"/>
    <mergeCell ref="M114:N114"/>
    <mergeCell ref="K114:L114"/>
    <mergeCell ref="E114:F114"/>
    <mergeCell ref="K120:L120"/>
    <mergeCell ref="C121:D121"/>
    <mergeCell ref="C112:D112"/>
    <mergeCell ref="M120:N120"/>
    <mergeCell ref="E120:F120"/>
    <mergeCell ref="G122:H122"/>
    <mergeCell ref="K122:L122"/>
    <mergeCell ref="C132:D132"/>
    <mergeCell ref="E63:F63"/>
    <mergeCell ref="E65:F65"/>
    <mergeCell ref="I111:J111"/>
    <mergeCell ref="M111:N111"/>
    <mergeCell ref="K115:L115"/>
    <mergeCell ref="I115:J115"/>
    <mergeCell ref="M115:N115"/>
    <mergeCell ref="G95:H95"/>
    <mergeCell ref="G96:H96"/>
    <mergeCell ref="B69:D69"/>
    <mergeCell ref="E69:F69"/>
    <mergeCell ref="AQ32:AT32"/>
    <mergeCell ref="B164:O164"/>
    <mergeCell ref="G152:H152"/>
    <mergeCell ref="E143:F143"/>
    <mergeCell ref="E139:F139"/>
    <mergeCell ref="B141:D141"/>
    <mergeCell ref="E141:F141"/>
    <mergeCell ref="K141:O145"/>
    <mergeCell ref="I70:J70"/>
    <mergeCell ref="I71:J71"/>
    <mergeCell ref="G67:H67"/>
    <mergeCell ref="K112:L112"/>
    <mergeCell ref="M113:N113"/>
    <mergeCell ref="B104:P104"/>
    <mergeCell ref="C101:D101"/>
    <mergeCell ref="E101:F101"/>
    <mergeCell ref="H127:J127"/>
    <mergeCell ref="B135:N135"/>
    <mergeCell ref="C127:G127"/>
    <mergeCell ref="B134:N134"/>
    <mergeCell ref="E95:F95"/>
    <mergeCell ref="E91:F91"/>
    <mergeCell ref="I92:J92"/>
    <mergeCell ref="C93:D93"/>
    <mergeCell ref="B62:D62"/>
    <mergeCell ref="B146:D146"/>
    <mergeCell ref="B67:D67"/>
    <mergeCell ref="G61:H61"/>
    <mergeCell ref="B110:O110"/>
    <mergeCell ref="I146:J146"/>
    <mergeCell ref="P125:P128"/>
    <mergeCell ref="I62:J62"/>
    <mergeCell ref="AX33:BC33"/>
    <mergeCell ref="W91:X91"/>
    <mergeCell ref="C39:D39"/>
    <mergeCell ref="E39:F39"/>
    <mergeCell ref="G39:H39"/>
    <mergeCell ref="I39:J39"/>
    <mergeCell ref="M38:N38"/>
    <mergeCell ref="K39:L39"/>
    <mergeCell ref="M39:N39"/>
    <mergeCell ref="K40:L40"/>
    <mergeCell ref="M40:N40"/>
    <mergeCell ref="C40:D40"/>
    <mergeCell ref="E40:F40"/>
    <mergeCell ref="G40:H40"/>
    <mergeCell ref="I33:J33"/>
    <mergeCell ref="I34:J34"/>
    <mergeCell ref="I69:J69"/>
    <mergeCell ref="I64:J64"/>
    <mergeCell ref="D46:E46"/>
    <mergeCell ref="F44:O44"/>
    <mergeCell ref="P84:P86"/>
    <mergeCell ref="I91:J91"/>
    <mergeCell ref="G75:H75"/>
    <mergeCell ref="K60:O64"/>
    <mergeCell ref="R54:R55"/>
    <mergeCell ref="R57:S58"/>
    <mergeCell ref="V60:X60"/>
    <mergeCell ref="C34:D34"/>
    <mergeCell ref="P81:P82"/>
    <mergeCell ref="E38:F38"/>
    <mergeCell ref="G38:H38"/>
    <mergeCell ref="H51:J51"/>
    <mergeCell ref="B59:O59"/>
    <mergeCell ref="C111:D111"/>
    <mergeCell ref="C114:D114"/>
    <mergeCell ref="E93:F93"/>
    <mergeCell ref="M112:N112"/>
    <mergeCell ref="K92:O92"/>
    <mergeCell ref="G100:H100"/>
    <mergeCell ref="I68:J68"/>
    <mergeCell ref="B63:D63"/>
    <mergeCell ref="G63:H63"/>
    <mergeCell ref="G92:H92"/>
    <mergeCell ref="G91:H91"/>
    <mergeCell ref="B66:D66"/>
    <mergeCell ref="G120:H120"/>
    <mergeCell ref="I121:J121"/>
    <mergeCell ref="E71:F71"/>
    <mergeCell ref="I77:J77"/>
    <mergeCell ref="I75:J75"/>
    <mergeCell ref="I63:J63"/>
    <mergeCell ref="G71:H71"/>
    <mergeCell ref="K73:O77"/>
    <mergeCell ref="I73:J73"/>
    <mergeCell ref="I61:J61"/>
    <mergeCell ref="B65:D65"/>
    <mergeCell ref="E68:F68"/>
    <mergeCell ref="F106:O106"/>
    <mergeCell ref="B98:J98"/>
    <mergeCell ref="E97:F97"/>
    <mergeCell ref="G101:O101"/>
    <mergeCell ref="B68:D68"/>
    <mergeCell ref="E61:F61"/>
    <mergeCell ref="G117:H117"/>
    <mergeCell ref="BR115:CA115"/>
    <mergeCell ref="AZ114:BG114"/>
    <mergeCell ref="BI114:BN114"/>
    <mergeCell ref="U88:U89"/>
    <mergeCell ref="G121:H121"/>
    <mergeCell ref="I122:J122"/>
    <mergeCell ref="C89:F89"/>
    <mergeCell ref="B83:P83"/>
    <mergeCell ref="J102:N102"/>
    <mergeCell ref="G89:J89"/>
    <mergeCell ref="K89:O89"/>
    <mergeCell ref="C90:D90"/>
    <mergeCell ref="J103:O103"/>
    <mergeCell ref="B105:O105"/>
    <mergeCell ref="C99:D99"/>
    <mergeCell ref="I99:J99"/>
    <mergeCell ref="B118:O118"/>
    <mergeCell ref="AH114:AM114"/>
    <mergeCell ref="D107:E107"/>
    <mergeCell ref="AO114:AS114"/>
    <mergeCell ref="F108:O108"/>
    <mergeCell ref="E111:F111"/>
    <mergeCell ref="K117:L117"/>
    <mergeCell ref="C120:D120"/>
    <mergeCell ref="C115:D115"/>
    <mergeCell ref="G99:H99"/>
    <mergeCell ref="AU114:AX114"/>
    <mergeCell ref="AA89:AD91"/>
    <mergeCell ref="T88:T89"/>
    <mergeCell ref="V90:Y90"/>
    <mergeCell ref="B87:O87"/>
    <mergeCell ref="G90:H90"/>
    <mergeCell ref="V137:X137"/>
    <mergeCell ref="B78:O78"/>
    <mergeCell ref="K113:L113"/>
    <mergeCell ref="I100:J100"/>
    <mergeCell ref="E99:F99"/>
    <mergeCell ref="F107:O107"/>
    <mergeCell ref="R161:R162"/>
    <mergeCell ref="K121:L121"/>
    <mergeCell ref="C170:D170"/>
    <mergeCell ref="B165:O165"/>
    <mergeCell ref="I116:J116"/>
    <mergeCell ref="K116:L116"/>
    <mergeCell ref="E113:F113"/>
    <mergeCell ref="K148:O152"/>
    <mergeCell ref="B140:D140"/>
    <mergeCell ref="B143:D143"/>
    <mergeCell ref="G97:O97"/>
    <mergeCell ref="K100:O100"/>
    <mergeCell ref="K99:O99"/>
    <mergeCell ref="E100:F100"/>
    <mergeCell ref="C92:D92"/>
    <mergeCell ref="B130:B132"/>
    <mergeCell ref="E130:O130"/>
    <mergeCell ref="M116:N116"/>
    <mergeCell ref="C122:D122"/>
    <mergeCell ref="B123:O123"/>
    <mergeCell ref="E96:F96"/>
    <mergeCell ref="I96:J96"/>
    <mergeCell ref="C95:D95"/>
    <mergeCell ref="C96:D96"/>
    <mergeCell ref="K95:O95"/>
    <mergeCell ref="E116:F116"/>
    <mergeCell ref="K176:O176"/>
    <mergeCell ref="E102:I103"/>
    <mergeCell ref="K196:L196"/>
    <mergeCell ref="M196:N196"/>
    <mergeCell ref="K198:L198"/>
    <mergeCell ref="C103:D103"/>
    <mergeCell ref="I196:J196"/>
    <mergeCell ref="E192:F192"/>
    <mergeCell ref="E218:F218"/>
    <mergeCell ref="E196:F196"/>
    <mergeCell ref="G196:H196"/>
    <mergeCell ref="B216:D216"/>
    <mergeCell ref="G216:H216"/>
    <mergeCell ref="H204:J204"/>
    <mergeCell ref="B205:O205"/>
    <mergeCell ref="B153:O153"/>
    <mergeCell ref="M121:N121"/>
    <mergeCell ref="I112:J112"/>
    <mergeCell ref="G113:H113"/>
    <mergeCell ref="I117:J117"/>
    <mergeCell ref="M122:N122"/>
    <mergeCell ref="B106:C109"/>
    <mergeCell ref="E197:F197"/>
    <mergeCell ref="G197:H197"/>
    <mergeCell ref="C198:D198"/>
    <mergeCell ref="B144:D144"/>
    <mergeCell ref="H125:J125"/>
    <mergeCell ref="H126:J126"/>
    <mergeCell ref="G115:H115"/>
    <mergeCell ref="G116:H116"/>
    <mergeCell ref="E117:F117"/>
    <mergeCell ref="G112:H112"/>
    <mergeCell ref="C644:H644"/>
    <mergeCell ref="C645:H645"/>
    <mergeCell ref="B650:B653"/>
    <mergeCell ref="R286:S287"/>
    <mergeCell ref="AM403:AM406"/>
    <mergeCell ref="AA341:AF341"/>
    <mergeCell ref="V524:AD524"/>
    <mergeCell ref="R431:R432"/>
    <mergeCell ref="R434:S439"/>
    <mergeCell ref="R130:R132"/>
    <mergeCell ref="V364:X364"/>
    <mergeCell ref="W353:Z353"/>
    <mergeCell ref="B380:O380"/>
    <mergeCell ref="R238:R239"/>
    <mergeCell ref="R234:R235"/>
    <mergeCell ref="AJ400:AM400"/>
    <mergeCell ref="G295:H295"/>
    <mergeCell ref="J179:N179"/>
    <mergeCell ref="J180:O180"/>
    <mergeCell ref="C177:D177"/>
    <mergeCell ref="R134:S135"/>
    <mergeCell ref="R210:S211"/>
    <mergeCell ref="R357:R359"/>
    <mergeCell ref="R361:S362"/>
    <mergeCell ref="B305:O305"/>
    <mergeCell ref="B230:O230"/>
    <mergeCell ref="W172:X172"/>
    <mergeCell ref="AA190:AF190"/>
    <mergeCell ref="AA266:AF266"/>
    <mergeCell ref="T241:T242"/>
    <mergeCell ref="E170:F170"/>
    <mergeCell ref="G170:O170"/>
    <mergeCell ref="BR342:CA342"/>
    <mergeCell ref="AH341:AM341"/>
    <mergeCell ref="AO341:AS341"/>
    <mergeCell ref="AU341:AX341"/>
    <mergeCell ref="AZ341:BG341"/>
    <mergeCell ref="BI341:BN341"/>
    <mergeCell ref="BR191:CA191"/>
    <mergeCell ref="BR267:CA267"/>
    <mergeCell ref="AU190:AX190"/>
    <mergeCell ref="AZ190:BG190"/>
    <mergeCell ref="BI190:BN190"/>
    <mergeCell ref="AH266:AM266"/>
    <mergeCell ref="AO266:AS266"/>
    <mergeCell ref="AU266:AX266"/>
    <mergeCell ref="AZ266:BG266"/>
    <mergeCell ref="BI266:BN266"/>
    <mergeCell ref="AM392:AM395"/>
    <mergeCell ref="AL392:AL395"/>
    <mergeCell ref="AK392:AK395"/>
    <mergeCell ref="AJ392:AJ395"/>
    <mergeCell ref="AH190:AM190"/>
    <mergeCell ref="AO190:AS190"/>
    <mergeCell ref="R206:R208"/>
    <mergeCell ref="E92:F92"/>
    <mergeCell ref="C172:D172"/>
    <mergeCell ref="E172:F172"/>
    <mergeCell ref="I120:J120"/>
    <mergeCell ref="C116:D116"/>
    <mergeCell ref="C174:D174"/>
    <mergeCell ref="C168:D168"/>
    <mergeCell ref="E168:F168"/>
    <mergeCell ref="G174:O174"/>
    <mergeCell ref="G168:H168"/>
    <mergeCell ref="I138:J138"/>
    <mergeCell ref="G151:H151"/>
    <mergeCell ref="E146:F146"/>
    <mergeCell ref="E148:F148"/>
    <mergeCell ref="E147:F147"/>
    <mergeCell ref="G139:H139"/>
    <mergeCell ref="G149:H149"/>
    <mergeCell ref="G143:H143"/>
    <mergeCell ref="I150:J150"/>
    <mergeCell ref="E142:F142"/>
    <mergeCell ref="K167:O167"/>
    <mergeCell ref="C169:D169"/>
    <mergeCell ref="E169:F169"/>
    <mergeCell ref="R157:R158"/>
    <mergeCell ref="G167:H167"/>
    <mergeCell ref="E145:F145"/>
    <mergeCell ref="G148:H148"/>
    <mergeCell ref="B133:O133"/>
    <mergeCell ref="I142:J142"/>
    <mergeCell ref="G142:H142"/>
    <mergeCell ref="I139:J139"/>
    <mergeCell ref="W252:X252"/>
    <mergeCell ref="I176:J176"/>
    <mergeCell ref="C207:D207"/>
    <mergeCell ref="B210:N210"/>
    <mergeCell ref="C204:G204"/>
    <mergeCell ref="C208:D208"/>
    <mergeCell ref="E217:F217"/>
    <mergeCell ref="H201:J201"/>
    <mergeCell ref="D184:E184"/>
    <mergeCell ref="B221:D221"/>
    <mergeCell ref="E219:F219"/>
    <mergeCell ref="G218:H218"/>
    <mergeCell ref="I218:J218"/>
    <mergeCell ref="B217:D217"/>
    <mergeCell ref="B215:D215"/>
    <mergeCell ref="V289:X289"/>
    <mergeCell ref="E207:O207"/>
    <mergeCell ref="E216:F216"/>
    <mergeCell ref="G223:H223"/>
    <mergeCell ref="E223:F223"/>
    <mergeCell ref="I219:J219"/>
    <mergeCell ref="B186:O186"/>
    <mergeCell ref="V214:X214"/>
    <mergeCell ref="G189:H189"/>
    <mergeCell ref="M198:N198"/>
    <mergeCell ref="I198:J198"/>
    <mergeCell ref="I197:J197"/>
    <mergeCell ref="P201:P204"/>
    <mergeCell ref="C201:G201"/>
    <mergeCell ref="B209:O209"/>
    <mergeCell ref="P165:P180"/>
    <mergeCell ref="K172:O172"/>
  </mergeCells>
  <phoneticPr fontId="0" type="noConversion"/>
  <conditionalFormatting sqref="I596:J596">
    <cfRule type="cellIs" dxfId="26" priority="40" stopIfTrue="1" operator="lessThan">
      <formula>$AA$597</formula>
    </cfRule>
  </conditionalFormatting>
  <conditionalFormatting sqref="G596:H596">
    <cfRule type="cellIs" dxfId="25" priority="5" stopIfTrue="1" operator="lessThan">
      <formula>$AA$597</formula>
    </cfRule>
  </conditionalFormatting>
  <conditionalFormatting sqref="G534:J534">
    <cfRule type="cellIs" dxfId="24" priority="146" stopIfTrue="1" operator="lessThan">
      <formula>$AA$534</formula>
    </cfRule>
  </conditionalFormatting>
  <conditionalFormatting sqref="G535:J535">
    <cfRule type="cellIs" dxfId="23" priority="147" stopIfTrue="1" operator="lessThan">
      <formula>$AA$535</formula>
    </cfRule>
  </conditionalFormatting>
  <dataValidations xWindow="761" yWindow="310" count="108">
    <dataValidation type="list" showInputMessage="1" showErrorMessage="1" promptTitle="Thumb" prompt="Enter retained degrees of motion, interphalangeal joint, flexion. If joint was not affected by the injury, select &quot;NA&quot; or leave blank." sqref="C19:D19" xr:uid="{266964E7-E44E-4B63-AA12-E813F2E03735}">
      <formula1>$B$654:$B$735</formula1>
    </dataValidation>
    <dataValidation type="list" allowBlank="1" showInputMessage="1" showErrorMessage="1" promptTitle="Severity of joint instability" prompt="Mild, moderate, or severe" sqref="C51:G52" xr:uid="{F5A83858-C2AB-4838-9287-DC3424E3D288}">
      <formula1>$W$52:$Z$52</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51:N52" xr:uid="{AB68E5BF-42AA-420A-BAAA-B2595BC89D7A}">
      <formula1>$V$51:$Z$51</formula1>
    </dataValidation>
    <dataValidation type="list" allowBlank="1" showInputMessage="1" showErrorMessage="1" promptTitle="Thumb amputation" prompt="Select extent of loss." sqref="B7:O7" xr:uid="{63E153E0-C25C-4124-8C01-D926F1089E1C}">
      <formula1>$U$6:$Z$6</formula1>
    </dataValidation>
    <dataValidation type="list" allowBlank="1" showInputMessage="1" showErrorMessage="1" promptTitle="Dermatological conditions" prompt="Select from classes 1-5. See OAR 436-035-0110." sqref="O57 O134 O210 O286 O361 O583" xr:uid="{447BA499-4258-4D6D-AF29-75B2386D9250}">
      <formula1>$T$57:$X$57</formula1>
    </dataValidation>
    <dataValidation type="list" showInputMessage="1" showErrorMessage="1" promptTitle="Thumb" prompt="Enter retained degrees of motion, metacarpophalangeal joint, flexion. If joint was not affected by the injury, select &quot;NA&quot; or leave blank." sqref="C23:D23" xr:uid="{66F29B36-B656-4BFE-93B1-4B6DD2AAF8A6}">
      <formula1>$B$654:$B$715</formula1>
    </dataValidation>
    <dataValidation type="list" allowBlank="1" showInputMessage="1" showErrorMessage="1" promptTitle="Loss of opposition" prompt="Ratings apply to the fingers." sqref="B10" xr:uid="{C84EF711-5AC3-4F62-9FDE-281876613082}">
      <formula1>$W$11:$AD$11</formula1>
    </dataValidation>
    <dataValidation type="list" allowBlank="1" showInputMessage="1" showErrorMessage="1" promptTitle="Vascular dysfunction" prompt="Select from classes 1-5. See OAR 436-035-0110." sqref="O58 O135 O211 O287 O362 O584" xr:uid="{8C466423-B9D5-4441-96CA-07040D182294}">
      <formula1>$Z$57:$AD$57</formula1>
    </dataValidation>
    <dataValidation type="list" allowBlank="1" showInputMessage="1" showErrorMessage="1" promptTitle="Index finger amputation" prompt="Select extent of loss." sqref="B82:O82 B158:O158" xr:uid="{B7399262-84ED-4403-B787-34AE25903B1C}">
      <formula1>$S$81:$Y$81</formula1>
    </dataValidation>
    <dataValidation type="list" allowBlank="1" showInputMessage="1" showErrorMessage="1" promptTitle="Loss of opposition" prompt="Select extent of amputation or shortening of digit." sqref="B85:O85 B161:O161" xr:uid="{0A667A6F-A1C4-4410-9734-5868BE809FF9}">
      <formula1>$S$84:$AD$84</formula1>
    </dataValidation>
    <dataValidation type="list" allowBlank="1" showInputMessage="1" showErrorMessage="1" promptTitle="Severity of joint instability" prompt="Mild, moderate, or severe" sqref="C126:G128 C202:G204 C278:G280 C353:G355" xr:uid="{C0878222-24B0-4689-8BD7-8093C917456B}">
      <formula1>$X$127:$Z$127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126:N128 L202:N204 L278:N280 L353:N355" xr:uid="{81D6AEF1-F41A-48C2-BDAA-47EEA85D76F3}">
      <formula1>$X$128:$AA$128</formula1>
    </dataValidation>
    <dataValidation type="list" allowBlank="1" showInputMessage="1" showErrorMessage="1" promptTitle="Loss of opposition" prompt="Select extent of amputation or shortening of digit." sqref="B238:O238" xr:uid="{8EAB48A6-F140-403B-8BD5-1FA4FDE9CA1E}">
      <formula1>$S$237:$AD$237</formula1>
    </dataValidation>
    <dataValidation type="list" allowBlank="1" showInputMessage="1" showErrorMessage="1" promptTitle="Index finger amputation" prompt="Select extent of loss." sqref="B235:O235" xr:uid="{D94BEFFA-3B17-4808-9FC6-26EC48F1716A}">
      <formula1>$S$234:$Y$234</formula1>
    </dataValidation>
    <dataValidation type="list" allowBlank="1" showInputMessage="1" showErrorMessage="1" promptTitle="Index finger amputation" prompt="Select extent of loss." sqref="B310:O310" xr:uid="{88EEF81B-DEA4-498C-A318-BB6B5C16839F}">
      <formula1>$S$309:$Y$309</formula1>
    </dataValidation>
    <dataValidation type="list" allowBlank="1" showInputMessage="1" showErrorMessage="1" promptTitle="Loss of opposition" prompt="Select extent of amputation or shortening of digit." sqref="B313:O313" xr:uid="{6279225A-6E16-40FB-A9CB-F56FC4CA05FE}">
      <formula1>$S$312:$AD$312</formula1>
    </dataValidation>
    <dataValidation type="list" allowBlank="1" showInputMessage="1" showErrorMessage="1" promptTitle="Dermatological condition" prompt="Affecting wrist/forearm -- select from classes 1-5. See OAR 436-035-0110." sqref="L435:N435" xr:uid="{1DBAC254-3662-492B-93E9-CEC1DC45126A}">
      <formula1>$T$438:$X$438</formula1>
    </dataValidation>
    <dataValidation type="list" allowBlank="1" showInputMessage="1" showErrorMessage="1" promptTitle="Vascular dysfunction" prompt="Affecting wrist/forearm -- select from classes 1-5. See OAR 436-035-0110." sqref="L439:N439" xr:uid="{9D43983F-8909-4711-9910-B86D2D584E31}">
      <formula1>$T$438:$X$438</formula1>
    </dataValidation>
    <dataValidation type="list" allowBlank="1" showInputMessage="1" showErrorMessage="1" promptTitle="Dermatological condition" prompt="Affecting hand -- select from classes 1-5. See OAR 436-035-0110." sqref="L434:N434" xr:uid="{3311052D-0E3D-450D-BF0A-B2FF7C715C49}">
      <formula1>$T$434:$X$434</formula1>
    </dataValidation>
    <dataValidation type="list" allowBlank="1" showInputMessage="1" showErrorMessage="1" promptTitle="Vascular dysfunction" prompt="Affecting hand -- select from classes 1-5. See OAR 436-035-0110." sqref="L438:N438" xr:uid="{EE48F8BD-2C71-4DFE-BD2A-35FC85F787E8}">
      <formula1>$T$438:$X$438</formula1>
    </dataValidation>
    <dataValidation type="decimal" operator="equal" allowBlank="1" showInputMessage="1" showErrorMessage="1" promptTitle="Amputation - metatarsals" prompt="Check (click) the box next to amputated metatarsals, if any." sqref="A386" xr:uid="{9B1F824F-70F5-4135-8586-F50764813CA8}">
      <formula1>W386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446" xr:uid="{75A6EB73-FFB9-4FD4-BA01-5724A1114F7D}">
      <formula1>AK448</formula1>
    </dataValidation>
    <dataValidation type="decimal" operator="equal" allowBlank="1" showInputMessage="1" showErrorMessage="1" promptTitle="Deformity of movement" prompt="Mark the type of deformity, if any." sqref="A44 A106 A182 A258 A333" xr:uid="{22F90AD1-E995-448B-8B46-83C1B3475881}">
      <formula1>AG44</formula1>
    </dataValidation>
    <dataValidation type="decimal" operator="equal" allowBlank="1" showInputMessage="1" showErrorMessage="1" promptTitle="Joint replacement" prompt="Mark the type of prosthetic joint replacement, if any." sqref="A54 A130 A206 A282 A357" xr:uid="{33EEBD77-3497-4E37-AE1E-56BE8815B59E}">
      <formula1>AG54</formula1>
    </dataValidation>
    <dataValidation type="decimal" operator="equal" allowBlank="1" showInputMessage="1" showErrorMessage="1" promptTitle="Amputation" prompt="Show the level of loss, if any." sqref="A385" xr:uid="{5A556469-6D18-4A07-B3DA-9C7E1F8584EA}">
      <formula1>W385</formula1>
    </dataValidation>
    <dataValidation type="decimal" operator="equal" allowBlank="1" showInputMessage="1" showErrorMessage="1" promptTitle="Sensation impairment" prompt="Show type and extent of sensation impairment, if any." sqref="A412" xr:uid="{DE019C5F-4D32-4CF0-B02B-FE45124A1EDF}">
      <formula1>Z412</formula1>
    </dataValidation>
    <dataValidation type="decimal" operator="equal" allowBlank="1" showInputMessage="1" showErrorMessage="1" promptTitle="Hypersensitivity" prompt="Show type and extent of hypersensitivity, if any." sqref="A415" xr:uid="{2E36B0B0-92ED-4CBA-AD73-B80EC71A1CBF}">
      <formula1>Z415</formula1>
    </dataValidation>
    <dataValidation type="decimal" operator="equal" allowBlank="1" showInputMessage="1" showErrorMessage="1" promptTitle="Angulation or malalignment" prompt="Radius or ulna" sqref="A422:A423" xr:uid="{52B7E475-AD62-4574-91B3-E225ED6C8B4A}">
      <formula1>Z422</formula1>
    </dataValidation>
    <dataValidation type="decimal" operator="equal" allowBlank="1" showInputMessage="1" showErrorMessage="1" promptTitle="Chronic condition" prompt="Check Yes or No." sqref="A514 A588" xr:uid="{389F74C9-9A6E-4F95-A1A2-48D721A43274}">
      <formula1>W514</formula1>
    </dataValidation>
    <dataValidation type="decimal" operator="equal" allowBlank="1" showInputMessage="1" showErrorMessage="1" promptTitle="Amputation" prompt="Show the level of loss or select &quot;NA.&quot;" sqref="A558" xr:uid="{397F35EC-CEC8-42F1-A2C3-679431F94FC5}">
      <formula1>W558</formula1>
    </dataValidation>
    <dataValidation type="decimal" operator="equal" allowBlank="1" showInputMessage="1" showErrorMessage="1" promptTitle="Arm surgery" prompt="Show the type of surgery performed, if any." sqref="A579" xr:uid="{14680D87-234A-4396-A1BA-21976829F677}">
      <formula1>W579</formula1>
    </dataValidation>
    <dataValidation allowBlank="1" showInputMessage="1" showErrorMessage="1" promptTitle="Date of injury" prompt="The dollar value of each degree of disability depends on the date of injury, and the program cannot calculate the disability award without the date." sqref="C626" xr:uid="{0ACBEC99-EC07-461A-8049-D268086D6181}"/>
    <dataValidation type="list" showInputMessage="1" showErrorMessage="1" promptTitle="Hand" prompt="Enter retained degrees of motion, carpometacarpal joint of the thumb, flexion. If joint was not affected by the injury, select &quot;NA&quot; or leave blank." sqref="C394:D394" xr:uid="{3267CFB5-A6C7-43D1-81D5-C3855A3DC152}">
      <formula1>$B$654:$B$670</formula1>
    </dataValidation>
    <dataValidation type="list" showInputMessage="1" showErrorMessage="1" promptTitle="Wrist" prompt="Enter retained degrees of motion, extension. If joint was not affected by the injury, select &quot;NA&quot; or leave blank." sqref="C400:D400" xr:uid="{9991C7AB-021D-4CCC-BC8F-82A118C99F16}">
      <formula1>$B$654:$B$715</formula1>
    </dataValidation>
    <dataValidation type="list" showInputMessage="1" showErrorMessage="1" promptTitle="Wrist" prompt="Enter degrees of flexion ankylosis.  If joint was not affected by the injury, select &quot;NA&quot; or leave blank." sqref="C403:D403" xr:uid="{AFA4D0C0-F032-49B9-AF11-248E64545D37}">
      <formula1>$B$654:$B$725</formula1>
    </dataValidation>
    <dataValidation type="list" showInputMessage="1" showErrorMessage="1" promptTitle="Wrist" prompt="Radial deviation; enter retained degrees of motion.  If joint was not affected by the injury, select &quot;NA&quot; or leave blank." sqref="C404:D404" xr:uid="{123341E6-625B-4DEE-9ED5-247077A833F3}">
      <formula1>$B$654:$B$675</formula1>
    </dataValidation>
    <dataValidation type="list" showInputMessage="1" showErrorMessage="1" promptTitle="Wrist" prompt="Ulnar deviation; enter retained degrees of motion.  If joint was not affected by the injury, select &quot;NA&quot; or leave blank." sqref="C406:D406" xr:uid="{021ABDC2-2843-41E5-9E66-E310E1756168}">
      <formula1>$B$654:$B$685</formula1>
    </dataValidation>
    <dataValidation type="list" showInputMessage="1" showErrorMessage="1" promptTitle="Elbow" prompt="Enter retained degrees of motion, flexion. If joint was not affected by the injury, select &quot;NA&quot; or leave blank." sqref="C562:D562" xr:uid="{CA140996-875D-46F0-9D83-2271C8AC4C80}">
      <formula1>$B$654:$B$805</formula1>
    </dataValidation>
    <dataValidation type="list" showInputMessage="1" showErrorMessage="1" promptTitle="Arm" prompt="Supination; enter retained degrees of motion. If joint was not affected by the injury, select &quot;NA&quot; or leave blank." sqref="C566:D566" xr:uid="{B588115B-1C1D-4B90-A6DE-CA9C669BAEA9}">
      <formula1>$B$654:$B$735</formula1>
    </dataValidation>
    <dataValidation allowBlank="1" showInputMessage="1" showErrorMessage="1" promptTitle="End of worksheet" prompt="Press TAB to return to top of sheet." sqref="P638" xr:uid="{37950831-C894-4EB4-850D-52E552D3559C}"/>
    <dataValidation type="decimal" allowBlank="1" showInputMessage="1" showErrorMessage="1" promptTitle="Apportionment, if any" prompt="Enter percentage of impairment caused by the injury or illness. See OAR 436-035-0013." sqref="G596:H596 G534:H539 G549:H552 G76:H77 C180 G151:H152 C256 G228:H229 C331 G303:H304 G368:H374 G378:H379 C27 G67:H73 C103 G141:H147 G218:H224 G293:H299 G603:H607" xr:uid="{792F9FDA-2BEE-4E12-85CA-0DF55F58D78C}">
      <formula1>$B$644</formula1>
      <formula2>$B$645</formula2>
    </dataValidation>
    <dataValidation type="list" allowBlank="1" showInputMessage="1" showErrorMessage="1" promptTitle="Carpometacarpal arthroplasty" prompt="Impairment equals 1/2 the lowest ankylosis value for the carpometacarpal joint of the thumb." sqref="G432" xr:uid="{A0B90427-6422-4319-B085-58B7D4F58600}">
      <formula1>$R$432:$T$432</formula1>
    </dataValidation>
    <dataValidation type="list" allowBlank="1" showInputMessage="1" showErrorMessage="1" promptTitle="Severity of loss" prompt="Grade 1 = Normal_x000a_Grade 2 = Less than normal_x000a_Grade 3 = Protective sensation_x000a_Grade 4 = Total loss" sqref="C33:F35 I33:J35 M33:N35 I38:J40 C38:F40 M38:N40" xr:uid="{007B379C-7F55-4E82-B533-498803968C20}">
      <formula1>$AH$31:$AK$31</formula1>
    </dataValidation>
    <dataValidation type="list" allowBlank="1" showInputMessage="1" showErrorMessage="1" promptTitle="Severity of loss" prompt="Grade 1 = Normal_x000a_Grade 2 = Less than normal_x000a_Grade 3 = Protective sensation_x000a_Grade 4 = Total loss" sqref="C115:N117 C120:N122" xr:uid="{EE8F4985-62A5-49F6-9C50-6FB8DA5EA86B}">
      <formula1>$AH$113:$AK$113</formula1>
    </dataValidation>
    <dataValidation type="list" allowBlank="1" showInputMessage="1" showErrorMessage="1" promptTitle="Severity of loss" prompt="Grade 1 = Normal_x000a_Grade 2 = Less than normal_x000a_Grade 3 = Protective sensation_x000a_Grade 4 = Total loss" sqref="C196:N198 C191:N193" xr:uid="{A46E0CE3-68BA-48DF-8881-DAD89404BDFD}">
      <formula1>$AH$189:$AK$189</formula1>
    </dataValidation>
    <dataValidation type="list" allowBlank="1" showInputMessage="1" showErrorMessage="1" promptTitle="Severity of loss" prompt="Grade 1 = Normal_x000a_Grade 2 = Less than normal_x000a_Grade 3 = Protective sensation_x000a_Grade 4 = Total loss" sqref="C272:N274 C267:N269" xr:uid="{A2F9C4C3-618D-44DF-A72B-D673DEC34ECC}">
      <formula1>$AH$265:$AK$265</formula1>
    </dataValidation>
    <dataValidation type="list" allowBlank="1" showInputMessage="1" showErrorMessage="1" promptTitle="Severity of loss" prompt="Grade 1 = Normal_x000a_Grade 2 = Less than normal_x000a_Grade 3 = Protective sensation_x000a_Grade 4 = Total loss" sqref="K342:K344 I342:I344 G342:G344 E342:E344 C342:C344 M347:M349 K347:K349 I347:I349 G347:G349 E347:E349 M342:M344 C347:C349" xr:uid="{A3058170-ADD9-4986-9766-501747F0CA3C}">
      <formula1>$AH$340:$AK$340</formula1>
    </dataValidation>
    <dataValidation type="decimal" operator="equal" allowBlank="1" showInputMessage="1" showErrorMessage="1" promptTitle="Angulation or malalignment" prompt="Humerus" sqref="A577" xr:uid="{ACA72AFA-3625-446E-907E-A07C9BB7B855}">
      <formula1>Z577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419:N420" xr:uid="{C0A7234D-8F41-4AC0-A3AB-91D3CC8BDB89}">
      <formula1>$U$420:$X$420</formula1>
    </dataValidation>
    <dataValidation type="list" allowBlank="1" showInputMessage="1" showErrorMessage="1" promptTitle="Severity of joint instability" prompt="Mild, moderate, or severe" sqref="C419:G420" xr:uid="{A1D3052F-A572-4EDF-B600-BA6A0B358033}">
      <formula1>$U$419:$W$419</formula1>
    </dataValidation>
    <dataValidation type="list" allowBlank="1" showInputMessage="1" showErrorMessage="1" promptTitle="Carpal bone fusion" prompt="5% each (Add values up to 30% maximum.)" sqref="G426" xr:uid="{145B29F5-7305-45F6-9274-777ADC9DEDF4}">
      <formula1>$T426:$AA426</formula1>
    </dataValidation>
    <dataValidation type="list" allowBlank="1" showInputMessage="1" showErrorMessage="1" promptTitle="Carpal bone removal" prompt="Removal of any portion of a carpal bone, without replacement, 5% maximum for each carpal bone" sqref="G429" xr:uid="{CBCDF127-8FCC-4CEA-8BC2-DFD597AB0322}">
      <formula1>$T$428:$AA$428</formula1>
    </dataValidation>
    <dataValidation type="list" allowBlank="1" showInputMessage="1" showErrorMessage="1" promptTitle="Prosthetic carpal bone" prompt="5% per replacement" sqref="G427" xr:uid="{1AAAD0F3-8417-43BA-BE20-5FB6D15B4626}">
      <formula1>$T$427:$AA$427</formula1>
    </dataValidation>
    <dataValidation type="list" allowBlank="1" showInputMessage="1" showErrorMessage="1" promptTitle="Distal ulnar" prompt="Resection with prosthetic replacement = 5%; resection without replacement = 10% impairment." sqref="G431:N431" xr:uid="{4BB712FF-4035-4943-ACCB-5A7003BD5CFF}">
      <formula1>$S$431:$T$431</formula1>
    </dataValidation>
    <dataValidation type="list" allowBlank="1" showInputMessage="1" showErrorMessage="1" promptTitle="Strength grade" prompt="Record strength using the 0 to 5  grading system as described in OAR 436-035-0011." sqref="M446:N450 M454:N457 M479:N491 M467:N476 M460:N464 M495:N505" xr:uid="{A6A4C2FF-2E71-4D68-890B-2109BDE5E51C}">
      <formula1>$T$443:$AH$443</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446:O450 O454:O457 O495:O505 O479:O491 O460:O464 O467:O476" xr:uid="{AA4580F8-B555-4CD2-B734-36ACEF5454FA}">
      <formula1>$S$443:$AH$443</formula1>
    </dataValidation>
    <dataValidation type="list" allowBlank="1" showInputMessage="1" showErrorMessage="1" promptTitle="Lateral deviation" prompt="At or above elbow, mild, moderate, or severe" sqref="K575:O575" xr:uid="{5D75649E-FD84-49AE-B2BD-8D7B657B94D6}">
      <formula1>$S$575:$U$575</formula1>
    </dataValidation>
    <dataValidation type="list" allowBlank="1" showInputMessage="1" showErrorMessage="1" promptTitle="Arm length discrepancy" prompt="Discrepancy in inches involving the injured arm and resulting from the injury/surgery" sqref="K573:O573" xr:uid="{0B9874F1-FD06-4D9B-AE96-90083F41447D}">
      <formula1>Z573:AE573</formula1>
    </dataValidation>
    <dataValidation type="list" allowBlank="1" showInputMessage="1" showErrorMessage="1" promptTitle="Arm length discrepancy" prompt="Discrepancy in inches involving the injured arm and resulting from the injury/surgery" sqref="E573" xr:uid="{E9B08A2A-326A-4A86-80E0-4ADB89A08348}">
      <formula1>S573:W573</formula1>
    </dataValidation>
    <dataValidation type="list" allowBlank="1" showInputMessage="1" showErrorMessage="1" promptTitle="Arm length discrepancy" prompt="Discrepancy in inches involving the injured arm and resulting from the injury/surgery" sqref="F573:J573" xr:uid="{EBBB9E4D-6D48-45C8-AE9F-C576FF7EFD19}">
      <formula1>S573:Z573</formula1>
    </dataValidation>
    <dataValidation type="list" allowBlank="1" showInputMessage="1" showErrorMessage="1" promptTitle="Motor loss, arm" prompt="Select the statement that best describes the severity of motor loss." sqref="B592:O592" xr:uid="{342EE870-6627-491B-85FA-A09AD58EC189}">
      <formula1>$R$592:$U$592</formula1>
    </dataValidation>
    <dataValidation type="list" showInputMessage="1" showErrorMessage="1" promptTitle="Finger" prompt="Enter retained degrees of motion, distal interphalangeal joint, flexion.  If joint was not affected by the injury, select &quot;NA&quot; or leave blank." sqref="C168:D168 C244:D244 C91:D91 C319:D319" xr:uid="{1960668F-C51F-4D09-BBD3-23370432B2AC}">
      <formula1>$B$654:$B$725</formula1>
    </dataValidation>
    <dataValidation type="list" showInputMessage="1" showErrorMessage="1" promptTitle="Finger" prompt="Enter retained degrees of motion, proximal interphalangeal joint, flexion.  If joint was not affected by the injury, select &quot;NA&quot; or leave blank." sqref="C95:D95 C248:D248 C172:D172 C323:D323" xr:uid="{91F4C280-3C09-4AC2-9FBE-23C1B4BCA96F}">
      <formula1>$B$654:$B$755</formula1>
    </dataValidation>
    <dataValidation type="list" showInputMessage="1" showErrorMessage="1" promptTitle="Finger" prompt="Enter retained degrees of motion, metacarpophalangeal joint, flexion.  If joint was not affected by the injury, select &quot;NA&quot; or leave blank." sqref="C99:D99 C252:D252 C176:D176 C327:D327" xr:uid="{BA825E6F-0EFD-4383-9062-FC3A6CCEA406}">
      <formula1>$B$654:$B$745</formula1>
    </dataValidation>
    <dataValidation type="list" showInputMessage="1" showErrorMessage="1" promptTitle="Hand" prompt="Enter degrees of carpometacarpal joint ankylosis. If joint was not affected by the injury, select &quot;NA&quot; or leave blank." sqref="C397:D397" xr:uid="{5C6A3872-5F3E-4B6E-B60F-9BE3119DF1E5}">
      <formula1>$B$654:$B$685</formula1>
    </dataValidation>
    <dataValidation type="list" showInputMessage="1" showErrorMessage="1" promptTitle="Thumb" prompt="Enter retained degrees of motion or &quot;NA&quot; if contralateral joint has a history of injury or disease." sqref="G19:H20" xr:uid="{F0C748D3-1FEF-4B6A-9C44-6B65F1072ADC}">
      <formula1>$B$654:$B$735</formula1>
    </dataValidation>
    <dataValidation type="list" showInputMessage="1" showErrorMessage="1" promptTitle="Thumb" prompt="Enter retained degrees of motion or &quot;NA&quot; if contralateral joint has a history of injury or disease." sqref="G23:H24" xr:uid="{D00F8527-3B01-415A-B0F6-22F999F09296}">
      <formula1>$B$654:$B$715</formula1>
    </dataValidation>
    <dataValidation type="list" showInputMessage="1" showErrorMessage="1" promptTitle="Finger" prompt="Enter retained degrees of motion or &quot;NA&quot; if contralateral joint has a history of injury or disease." sqref="G91:H92 G168:H169 G244:H245 G319:H320" xr:uid="{C1CB02A6-17F4-4D93-8537-DB08156456DA}">
      <formula1>$B$654:$B$725</formula1>
    </dataValidation>
    <dataValidation type="list" showInputMessage="1" showErrorMessage="1" promptTitle="Finger" prompt="Enter retained degrees of motion or &quot;NA&quot; if contralateral joint has a history of injury or disease." sqref="G95:H96 G172:H173 G248:H249 G323:H324" xr:uid="{C0434338-DA0B-459C-811D-A394275BC2B5}">
      <formula1>$B$654:$B$755</formula1>
    </dataValidation>
    <dataValidation type="list" showInputMessage="1" showErrorMessage="1" promptTitle="Finger" prompt="Enter retained degrees of motion or &quot;NA&quot; if contralateral joint has a history of injury or disease." sqref="G99:H100 G176:H177 G252:H253 G327:H328" xr:uid="{AF77D1E9-AA7E-4700-95AF-50B242D07F93}">
      <formula1>$B$654:$B$745</formula1>
    </dataValidation>
    <dataValidation type="list" showInputMessage="1" showErrorMessage="1" promptTitle="Finger" prompt="Enter retained degrees of motion, distal interphalangeal joint, extension  If joint was not affected by the injury, select &quot;NA&quot; or leave blank." sqref="C92:D92" xr:uid="{37EBD77B-297A-4BF7-9364-C2060B1FA4FA}">
      <formula1>$B$654:$B$725</formula1>
    </dataValidation>
    <dataValidation type="list" showInputMessage="1" showErrorMessage="1" promptTitle="Finger" prompt="Enter degrees distal interphalangeal joint, ankylosis  If joint was not affected by the injury, select &quot;NA&quot; or leave blank." sqref="C93:D93" xr:uid="{C5E75F88-6918-463B-96A5-0DCEC11DDF10}">
      <formula1>$B$654:$B$725</formula1>
    </dataValidation>
    <dataValidation type="list" showInputMessage="1" showErrorMessage="1" promptTitle="Thumb" prompt="Enter retained degrees of motion, interphalangeal joint, extension. If joint was not affected by the injury, select &quot;NA&quot; or leave blank." sqref="C20:D20" xr:uid="{38BBA3C1-A7DC-43CC-8C5F-3A32A92C7CBB}">
      <formula1>$B$654:$B$735</formula1>
    </dataValidation>
    <dataValidation type="list" showInputMessage="1" showErrorMessage="1" promptTitle="Thumb" prompt="Enter degrees of interphalangeal joint, ankylosis. If joint was not affected by the injury, select &quot;NA&quot; or leave blank." sqref="C21:D21" xr:uid="{96463E8F-07BA-40CA-921C-F5FF21B62C11}">
      <formula1>$B$654:$B$735</formula1>
    </dataValidation>
    <dataValidation type="list" showInputMessage="1" showErrorMessage="1" promptTitle="Thumb" prompt="Enter retained degrees of motion, metacarpophalangeal joint, extension. If joint was not affected by the injury, select &quot;NA&quot; or leave blank." sqref="C24:D24" xr:uid="{B32BE9DF-DFF8-4EA3-8FA6-D0B11709F3F9}">
      <formula1>$B$654:$B$715</formula1>
    </dataValidation>
    <dataValidation type="list" showInputMessage="1" showErrorMessage="1" promptTitle="Thumb" prompt="Enter degrees metacarpophalangeal joint, ankylosis. If joint was not affected by the injury, select &quot;NA&quot; or leave blank." sqref="C25:D25" xr:uid="{D62FC0AF-B80C-4271-B350-A57777584843}">
      <formula1>$B$654:$B$715</formula1>
    </dataValidation>
    <dataValidation type="list" showInputMessage="1" showErrorMessage="1" promptTitle="Finger" prompt="Enter retained degrees of motion, proximal interphalangeal joint, extension.  If joint was not affected by the injury, select &quot;NA&quot; or leave blank." sqref="C96:D96 C173:D173 C249:D249 C324:D324" xr:uid="{4BC6244D-F49F-407C-9DE0-7C1816A5C5D0}">
      <formula1>$B$654:$B$755</formula1>
    </dataValidation>
    <dataValidation type="list" showInputMessage="1" showErrorMessage="1" promptTitle="Finger" prompt="Enter degrees of motion, proximal interphalangeal joint, ankylosis.  If joint was not affected by the injury, select &quot;NA&quot; or leave blank." sqref="C97:D97" xr:uid="{F3529974-1594-4AF6-9433-F34B906042E8}">
      <formula1>$B$654:$B$755</formula1>
    </dataValidation>
    <dataValidation type="list" showInputMessage="1" showErrorMessage="1" promptTitle="Finger" prompt="Enter retained degrees of motion, metacarpophalangeal joint, extension.  If joint was not affected by the injury, select &quot;NA&quot; or leave blank." sqref="C100:D100 C177:D177 C253:D253 C328:D328" xr:uid="{4AD146EB-9BFF-4868-87B8-2B7D08279301}">
      <formula1>$B$654:$B$745</formula1>
    </dataValidation>
    <dataValidation type="list" showInputMessage="1" showErrorMessage="1" promptTitle="Finger" prompt="Enter degrees of metacarpophalangeal joint, ankylosis.  If joint was not affected by the injury, select &quot;NA&quot; or leave blank." sqref="C101:D101 C329:D329" xr:uid="{C169797D-7523-410E-8F6B-E94777B08BD7}">
      <formula1>$B$654:$B$745</formula1>
    </dataValidation>
    <dataValidation type="list" showInputMessage="1" showErrorMessage="1" promptTitle="Finger" prompt="Enter retained degrees of motion, distal interphalangeal joint, extension.  If joint was not affected by the injury, select &quot;NA&quot; or leave blank." sqref="C169:D169 C245:D245 C320:D320" xr:uid="{7E9F9282-C569-488B-A6BA-198C0AB69265}">
      <formula1>$B$654:$B$725</formula1>
    </dataValidation>
    <dataValidation type="list" showInputMessage="1" showErrorMessage="1" promptTitle="Finger" prompt="Enter degrees of distal interphalangeal joint, ankylosis.  If joint was not affected by the injury, select &quot;NA&quot; or leave blank." sqref="C170:D170" xr:uid="{74B0E608-0FF8-494B-B9E6-9393C5BF1A8B}">
      <formula1>$B$654:$B$725</formula1>
    </dataValidation>
    <dataValidation type="list" showInputMessage="1" showErrorMessage="1" promptTitle="Finger" prompt="Enter retained degrees of proximal interphalangeal joint, ankylosis.  If joint was not affected by the injury, select &quot;NA&quot; or leave blank." sqref="C174:D174" xr:uid="{0059EAEC-9D7C-44AC-8369-B506F7E7416C}">
      <formula1>$B$654:$B$755</formula1>
    </dataValidation>
    <dataValidation type="list" showInputMessage="1" showErrorMessage="1" promptTitle="Finger" prompt="Enter degrees metacarpophalangeal joint, ankylosis.  If joint was not affected by the injury, select &quot;NA&quot; or leave blank." sqref="C178:D178" xr:uid="{1A42B0E0-0E65-42A6-B4D6-6316A191E64B}">
      <formula1>$B$654:$B$745</formula1>
    </dataValidation>
    <dataValidation type="list" showInputMessage="1" showErrorMessage="1" promptTitle="Finger" prompt="Enterdegrees of proximal interphalangeal joint ankylosis  If joint was not affected by the injury, select &quot;NA&quot; or leave blank." sqref="C250:D250" xr:uid="{51C2198A-3232-481C-8D0D-19A2A2151EEE}">
      <formula1>$B$654:$B$755</formula1>
    </dataValidation>
    <dataValidation type="list" showInputMessage="1" showErrorMessage="1" promptTitle="Finger" prompt="Enter degrees metacarpophalangeal joint ankylosis.  If joint was not affected by the injury, select &quot;NA&quot; or leave blank." sqref="C254:D254" xr:uid="{D94C15B7-2D3E-4B06-A87E-81F1BF5443B9}">
      <formula1>$B$654:$B$745</formula1>
    </dataValidation>
    <dataValidation type="list" showInputMessage="1" showErrorMessage="1" promptTitle="Finger" prompt="Enter degrees of distal interphalangeal joint ankylosis.  If joint was not affected by the injury, select &quot;NA&quot; or leave blank." sqref="C246:D246 C321:D321" xr:uid="{6670CD97-EE6B-437C-9DDC-1A8DBD90418F}">
      <formula1>$B$654:$B$725</formula1>
    </dataValidation>
    <dataValidation type="list" showInputMessage="1" showErrorMessage="1" promptTitle="Finger" prompt="Enter degrees of proximal interphalangeal joint ankylosis  If joint was not affected by the injury, select &quot;NA&quot; or leave blank." sqref="C325:D325" xr:uid="{12A8A42B-037C-4FF0-9A27-6E7F77839350}">
      <formula1>$B$654:$B$755</formula1>
    </dataValidation>
    <dataValidation type="list" showInputMessage="1" showErrorMessage="1" promptTitle="Hand" prompt="Enter retained degrees of motion or &quot;NA&quot; if contralateral joint has a history of injury or disease." sqref="G394:H394" xr:uid="{2F8EC61B-6FD2-4C69-AC9C-D995B5DF0559}">
      <formula1>$B$654:$B$670</formula1>
    </dataValidation>
    <dataValidation type="list" showInputMessage="1" showErrorMessage="1" promptTitle="Hand" prompt="Enter retained degrees of motion or &quot;NA&quot; if contralateral joint has a history of injury or disease." sqref="G395:H395" xr:uid="{AE0B1B07-CD9C-4A37-9D62-4BF56797E0C7}">
      <formula1>$B$654:$B$685</formula1>
    </dataValidation>
    <dataValidation type="list" showInputMessage="1" showErrorMessage="1" promptTitle="Wrist" prompt="Enter retained degrees of motion or &quot;NA&quot; if contralateral joint has a history of injury or disease." sqref="G400:H400" xr:uid="{73C7F395-1963-4696-B774-CF237416C76D}">
      <formula1>$B$654:$B$715</formula1>
    </dataValidation>
    <dataValidation type="list" showInputMessage="1" showErrorMessage="1" promptTitle="Wrist" prompt="Enter retained degrees of motion or &quot;NA&quot; if contralateral joint has a history of injury or disease." sqref="G402:H402" xr:uid="{CF201FA5-5673-4352-8465-72D190A874DA}">
      <formula1>$B$654:$B$725</formula1>
    </dataValidation>
    <dataValidation type="list" showInputMessage="1" showErrorMessage="1" promptTitle="Wrist" prompt="Enter retained degrees of motion or &quot;NA&quot; if contralateral joint has a history of injury or disease." sqref="G404:H404" xr:uid="{7B755340-A87D-4491-8596-C8DFA90BDC53}">
      <formula1>$B$654:$B$675</formula1>
    </dataValidation>
    <dataValidation type="list" showInputMessage="1" showErrorMessage="1" promptTitle="Wrist" prompt="Enter retained degrees of motion or &quot;NA&quot; if contralateral joint has a history of injury or disease." sqref="G406:H406" xr:uid="{5C2E2D21-5C59-4D56-962D-8972A9A00BE4}">
      <formula1>$B$654:$B$685</formula1>
    </dataValidation>
    <dataValidation type="list" showInputMessage="1" showErrorMessage="1" promptTitle="Elbow" prompt="Enter retained degrees of motion or &quot;NA&quot; if contralateral joint has a history of injury or disease." sqref="G562:H562 G564:H564" xr:uid="{BE268365-62BB-475F-9CEC-E2A2C5635A05}">
      <formula1>$B$654:$B$805</formula1>
    </dataValidation>
    <dataValidation type="list" showInputMessage="1" showErrorMessage="1" promptTitle="Arm" prompt="Enter retained degrees of motion or &quot;NA&quot; if contralateral joint has a history of injury or disease." sqref="G566:H566 G568:H568" xr:uid="{3992157D-9027-4F2B-9A7A-4DDB068ABAEA}">
      <formula1>$B$654:$B$735</formula1>
    </dataValidation>
    <dataValidation type="list" showInputMessage="1" showErrorMessage="1" promptTitle="Hand" prompt="Enter retained degrees of motion, carpometacarpal joint of the thumb, extension. If joint was not affected by the injury, select &quot;NA&quot; or leave blank." sqref="C395:D395" xr:uid="{CA614588-42A6-447B-AD22-1A2FC2D7371B}">
      <formula1>$B$654:$B$685</formula1>
    </dataValidation>
    <dataValidation type="list" showInputMessage="1" showErrorMessage="1" promptTitle="Hand" prompt="Enter degrees of carpometacarpal joint ankylosis. If joint was not affected by the injury, select &quot;NA&quot; or leave blank." sqref="C396:D396" xr:uid="{92349E0E-8A74-4317-95F4-443172E59CE0}">
      <formula1>$B$654:$B$670</formula1>
    </dataValidation>
    <dataValidation type="list" showInputMessage="1" showErrorMessage="1" promptTitle="Wrist" prompt="Enter degrees of extension ankylosis. If joint was not affected by the injury, select &quot;NA&quot; or leave blank." sqref="C401:D401" xr:uid="{067FA9E3-03B8-4122-A5C8-BBCA23CE0C20}">
      <formula1>$B$654:$B$715</formula1>
    </dataValidation>
    <dataValidation type="list" showInputMessage="1" showErrorMessage="1" promptTitle="Wrist" prompt="Enter retained degrees of motion, flexion (palmar) flexion.  If joint was not affected by the injury, select &quot;NA&quot; or leave blank." sqref="C402:D402" xr:uid="{0BF5BE9C-CE81-4595-A281-1FB06C77D35A}">
      <formula1>$B$654:$B$725</formula1>
    </dataValidation>
    <dataValidation type="list" showInputMessage="1" showErrorMessage="1" promptTitle="Wrist" prompt="Radial deviation; enter degrees of radial deviation ankylosis.  If joint was not affected by the injury, select &quot;NA&quot; or leave blank." sqref="C405:D405" xr:uid="{5A8BC8A7-AD9C-4A13-98E9-9B6CEED4C0C6}">
      <formula1>$B$654:$B$675</formula1>
    </dataValidation>
    <dataValidation type="list" showInputMessage="1" showErrorMessage="1" promptTitle="Wrist" prompt="Ulnar deviation; enter degrees of ankylosis.  If joint was not affected by the injury, select &quot;NA&quot; or leave blank." sqref="C407:D407" xr:uid="{5946298A-A9BA-4932-A9FA-2775636F921B}">
      <formula1>$B$654:$B$685</formula1>
    </dataValidation>
    <dataValidation type="list" showInputMessage="1" showErrorMessage="1" promptTitle="Elbow" prompt="Enter degrees of flexion ankylosis. If joint was not affected by the injury, select &quot;NA&quot; or leave blank." sqref="C563:D563" xr:uid="{65676D41-FE67-4177-9694-A60D5D7DA3A9}">
      <formula1>$B$654:$B$805</formula1>
    </dataValidation>
    <dataValidation type="list" showInputMessage="1" showErrorMessage="1" promptTitle="Elbow" prompt="Enter retained degrees of motion, extension. If joint was not affected by the injury, select &quot;NA&quot; or leave blank." sqref="C564:D564" xr:uid="{D02FF24D-CD0C-46F3-9D53-2F4CEDF792A4}">
      <formula1>$B$654:$B$805</formula1>
    </dataValidation>
    <dataValidation type="list" showInputMessage="1" showErrorMessage="1" promptTitle="Elbow" prompt="Enter degrees of extension ankylosis. If joint was not affected by the injury, select &quot;NA&quot; or leave blank." sqref="C565:D565" xr:uid="{7B08B99E-E292-41D4-A53A-524855BE7D22}">
      <formula1>$B$654:$B$805</formula1>
    </dataValidation>
    <dataValidation type="list" showInputMessage="1" showErrorMessage="1" promptTitle="Arm" prompt="Supination; enter degrees of supination ankylosis. If joint was not affected by the injury, select &quot;NA&quot; or leave blank." sqref="C567:D567" xr:uid="{F97085A5-C50D-4B37-A2F1-1A233F5BE4A8}">
      <formula1>$B$654:$B$735</formula1>
    </dataValidation>
    <dataValidation type="list" showInputMessage="1" showErrorMessage="1" promptTitle="Arm" prompt="Pronation; enter retained degrees of motion. If joint was not affected by the injury, select &quot;NA&quot; or leave blank." sqref="C568:D568" xr:uid="{7359A360-56E9-4846-A0DE-0E3A230E12B8}">
      <formula1>$B$654:$B$735</formula1>
    </dataValidation>
    <dataValidation type="list" showInputMessage="1" showErrorMessage="1" promptTitle="Arm" prompt="Pronation; enter degrees of pronation ankylosis. If joint was not affected by the injury, select &quot;NA&quot; or leave blank." sqref="C569:D569" xr:uid="{EB6274D7-E6CA-4AD4-9995-EBD8B82C268A}">
      <formula1>$B$654:$B$735</formula1>
    </dataValidation>
  </dataValidations>
  <hyperlinks>
    <hyperlink ref="B57:N57" location="Rules!A57" display="Dermatological conditions of the thumb, including burns" xr:uid="{00000000-0004-0000-0400-000000000000}"/>
    <hyperlink ref="B134:N134" location="Rules!A57" display="Dermatological conditions of the thumb, including burns" xr:uid="{00000000-0004-0000-0400-000001000000}"/>
    <hyperlink ref="B135:N135" location="Rules!A80" display="Vascular dysfunction - thumb; or neurological dysfunction resulting in cold intolerance " xr:uid="{00000000-0004-0000-0400-000002000000}"/>
    <hyperlink ref="B210:N210" location="Rules!A57" display="Dermatological conditions of the thumb, including burns" xr:uid="{00000000-0004-0000-0400-000003000000}"/>
    <hyperlink ref="B211:N211" location="Rules!A80" display="Vascular dysfunction - thumb; or neurological dysfunction resulting in cold intolerance " xr:uid="{00000000-0004-0000-0400-000004000000}"/>
    <hyperlink ref="B286:N286" location="Rules!A57" display="Dermatological conditions of the thumb, including burns" xr:uid="{00000000-0004-0000-0400-000005000000}"/>
    <hyperlink ref="B287:N287" location="Rules!A80" display="Vascular dysfunction - thumb; or neurological dysfunction resulting in cold intolerance " xr:uid="{00000000-0004-0000-0400-000006000000}"/>
    <hyperlink ref="B361:N361" location="Rules!A57" display="Dermatological conditions of the thumb, including burns" xr:uid="{00000000-0004-0000-0400-000007000000}"/>
    <hyperlink ref="B362:N362" location="Rules!A80" display="Vascular dysfunction - thumb; or neurological dysfunction resulting in cold intolerance " xr:uid="{00000000-0004-0000-0400-000008000000}"/>
    <hyperlink ref="B438:F439" location="Rules!A80" display="Vascular dysfunction; or neurological dysfunction resulting in cold intolerance:" xr:uid="{00000000-0004-0000-0400-000009000000}"/>
    <hyperlink ref="B583:N583" location="Rules!A57" display="Dermatological conditions of the thumb, including burns" xr:uid="{00000000-0004-0000-0400-00000A000000}"/>
    <hyperlink ref="B584:N584" location="Rules!A80" display="Vascular dysfunction - thumb; or neurological dysfunction resulting in cold intolerance " xr:uid="{00000000-0004-0000-0400-00000B000000}"/>
    <hyperlink ref="M444:P444" location="Rules!A3" display="Strength grade &amp; loss " xr:uid="{00000000-0004-0000-0400-00000C000000}"/>
    <hyperlink ref="C4:D4" location="'Upper Extremity-Right'!B5" display="Thumb" xr:uid="{00000000-0004-0000-0400-00000D000000}"/>
    <hyperlink ref="E4:F4" location="'Upper Extremity-Right'!B80" display="Index" xr:uid="{00000000-0004-0000-0400-00000E000000}"/>
    <hyperlink ref="G4:H4" location="'Upper Extremity-Right'!B156" display="Middle" xr:uid="{00000000-0004-0000-0400-00000F000000}"/>
    <hyperlink ref="I4:J4" location="'Upper Extremity-Right'!B233" display="Ring" xr:uid="{00000000-0004-0000-0400-000010000000}"/>
    <hyperlink ref="K4:L4" location="'Upper Extremity-Right'!B308" display="Little" xr:uid="{00000000-0004-0000-0400-000011000000}"/>
    <hyperlink ref="M4:N4" location="'Upper Extremity-Right'!B383" display="hand/  forearm" xr:uid="{00000000-0004-0000-0400-000012000000}"/>
    <hyperlink ref="O4" location="'Upper Extremity-Right'!B556" display="Arm" xr:uid="{00000000-0004-0000-0400-000013000000}"/>
    <hyperlink ref="P4" location="'Upper Extremity-Right'!B442" display="Strength" xr:uid="{00000000-0004-0000-0400-000014000000}"/>
    <hyperlink ref="P556" location="'Upper Extremity-Right'!A429" display="Arm strength" xr:uid="{00000000-0004-0000-0400-000015000000}"/>
    <hyperlink ref="B638" location="'Upper Extremity-Right'!A1" display="Return to top of sheet" xr:uid="{00000000-0004-0000-0400-000016000000}"/>
    <hyperlink ref="J638:N638" location="'PPD DOI on or after 2005'!A1" display="'PPD DOI on or after 2005'!A1" xr:uid="{00000000-0004-0000-0400-000017000000}"/>
    <hyperlink ref="C638:I638" location="'PPD DOI before 2005'!A1" display="'PPD DOI before 2005'!A1" xr:uid="{00000000-0004-0000-0400-000018000000}"/>
    <hyperlink ref="B58:N58" location="Rules!A80" display="Vascular dysfunction - thumb; or neurological dysfunction resulting in cold intolerance " xr:uid="{00000000-0004-0000-0400-000019000000}"/>
    <hyperlink ref="B434" location="Rules!A57" display="Dermatological conditions, " xr:uid="{00000000-0004-0000-0400-00001A000000}"/>
    <hyperlink ref="B32" location="Rules!A116" display="Loss of sensation" xr:uid="{00000000-0004-0000-0400-00001B000000}"/>
    <hyperlink ref="B114" location="Rules!A116" display="Loss of sensation" xr:uid="{00000000-0004-0000-0400-00001C000000}"/>
    <hyperlink ref="B190" location="Rules!A116" display="Loss of sensation" xr:uid="{00000000-0004-0000-0400-00001D000000}"/>
    <hyperlink ref="B266" location="Rules!A116" display="Loss of sensation" xr:uid="{00000000-0004-0000-0400-00001E000000}"/>
    <hyperlink ref="B341" location="Rules!A116" display="Loss of sensation" xr:uid="{00000000-0004-0000-0400-00001F000000}"/>
  </hyperlinks>
  <pageMargins left="0.66" right="0.55000000000000004" top="0.55000000000000004" bottom="0.86" header="0.44" footer="0.5"/>
  <pageSetup orientation="portrait" horizontalDpi="300" verticalDpi="300" r:id="rId1"/>
  <headerFooter alignWithMargins="0">
    <oddFooter>&amp;LUpper extremity, Right&amp;CPage &amp;P</oddFooter>
  </headerFooter>
  <rowBreaks count="17" manualBreakCount="17">
    <brk id="42" max="16383" man="1"/>
    <brk id="78" max="16383" man="1"/>
    <brk id="123" max="16383" man="1"/>
    <brk id="154" max="16383" man="1"/>
    <brk id="199" max="16383" man="1"/>
    <brk id="231" max="16383" man="1"/>
    <brk id="275" max="16383" man="1"/>
    <brk id="306" max="16383" man="1"/>
    <brk id="350" max="16383" man="1"/>
    <brk id="381" max="16383" man="1"/>
    <brk id="423" max="16383" man="1"/>
    <brk id="451" max="16383" man="1"/>
    <brk id="493" max="16383" man="1"/>
    <brk id="525" max="16383" man="1"/>
    <brk id="554" max="16383" man="1"/>
    <brk id="592" max="16383" man="1"/>
    <brk id="610" max="16383" man="1"/>
  </rowBreaks>
  <ignoredErrors>
    <ignoredError sqref="V139 V366 AC446:AC447 AE446:AE447 H428 K428 M428 O428" formula="1"/>
    <ignoredError sqref="R596" evalError="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4</xdr:col>
                    <xdr:colOff>0</xdr:colOff>
                    <xdr:row>42</xdr:row>
                    <xdr:rowOff>104775</xdr:rowOff>
                  </from>
                  <to>
                    <xdr:col>5</xdr:col>
                    <xdr:colOff>95250</xdr:colOff>
                    <xdr:row>44</xdr:row>
                    <xdr:rowOff>19050</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4</xdr:col>
                    <xdr:colOff>0</xdr:colOff>
                    <xdr:row>43</xdr:row>
                    <xdr:rowOff>161925</xdr:rowOff>
                  </from>
                  <to>
                    <xdr:col>5</xdr:col>
                    <xdr:colOff>95250</xdr:colOff>
                    <xdr:row>45</xdr:row>
                    <xdr:rowOff>28575</xdr:rowOff>
                  </to>
                </anchor>
              </controlPr>
            </control>
          </mc:Choice>
        </mc:AlternateContent>
        <mc:AlternateContent xmlns:mc="http://schemas.openxmlformats.org/markup-compatibility/2006">
          <mc:Choice Requires="x14">
            <control shapeId="48131" r:id="rId6" name="Check Box 3">
              <controlPr defaultSize="0" autoFill="0" autoLine="0" autoPict="0">
                <anchor moveWithCells="1">
                  <from>
                    <xdr:col>4</xdr:col>
                    <xdr:colOff>0</xdr:colOff>
                    <xdr:row>45</xdr:row>
                    <xdr:rowOff>133350</xdr:rowOff>
                  </from>
                  <to>
                    <xdr:col>5</xdr:col>
                    <xdr:colOff>95250</xdr:colOff>
                    <xdr:row>47</xdr:row>
                    <xdr:rowOff>28575</xdr:rowOff>
                  </to>
                </anchor>
              </controlPr>
            </control>
          </mc:Choice>
        </mc:AlternateContent>
        <mc:AlternateContent xmlns:mc="http://schemas.openxmlformats.org/markup-compatibility/2006">
          <mc:Choice Requires="x14">
            <control shapeId="48132" r:id="rId7" name="Check Box 4">
              <controlPr defaultSize="0" autoFill="0" autoLine="0" autoPict="0">
                <anchor moveWithCells="1">
                  <from>
                    <xdr:col>4</xdr:col>
                    <xdr:colOff>0</xdr:colOff>
                    <xdr:row>44</xdr:row>
                    <xdr:rowOff>142875</xdr:rowOff>
                  </from>
                  <to>
                    <xdr:col>5</xdr:col>
                    <xdr:colOff>95250</xdr:colOff>
                    <xdr:row>46</xdr:row>
                    <xdr:rowOff>28575</xdr:rowOff>
                  </to>
                </anchor>
              </controlPr>
            </control>
          </mc:Choice>
        </mc:AlternateContent>
        <mc:AlternateContent xmlns:mc="http://schemas.openxmlformats.org/markup-compatibility/2006">
          <mc:Choice Requires="x14">
            <control shapeId="48133" r:id="rId8" name="Check Box 5">
              <controlPr defaultSize="0" autoFill="0" autoLine="0" autoPict="0">
                <anchor moveWithCells="1">
                  <from>
                    <xdr:col>3</xdr:col>
                    <xdr:colOff>238125</xdr:colOff>
                    <xdr:row>52</xdr:row>
                    <xdr:rowOff>123825</xdr:rowOff>
                  </from>
                  <to>
                    <xdr:col>5</xdr:col>
                    <xdr:colOff>66675</xdr:colOff>
                    <xdr:row>54</xdr:row>
                    <xdr:rowOff>19050</xdr:rowOff>
                  </to>
                </anchor>
              </controlPr>
            </control>
          </mc:Choice>
        </mc:AlternateContent>
        <mc:AlternateContent xmlns:mc="http://schemas.openxmlformats.org/markup-compatibility/2006">
          <mc:Choice Requires="x14">
            <control shapeId="48134" r:id="rId9" name="Check Box 6">
              <controlPr defaultSize="0" autoFill="0" autoLine="0" autoPict="0">
                <anchor moveWithCells="1">
                  <from>
                    <xdr:col>3</xdr:col>
                    <xdr:colOff>238125</xdr:colOff>
                    <xdr:row>53</xdr:row>
                    <xdr:rowOff>180975</xdr:rowOff>
                  </from>
                  <to>
                    <xdr:col>5</xdr:col>
                    <xdr:colOff>66675</xdr:colOff>
                    <xdr:row>55</xdr:row>
                    <xdr:rowOff>19050</xdr:rowOff>
                  </to>
                </anchor>
              </controlPr>
            </control>
          </mc:Choice>
        </mc:AlternateContent>
        <mc:AlternateContent xmlns:mc="http://schemas.openxmlformats.org/markup-compatibility/2006">
          <mc:Choice Requires="x14">
            <control shapeId="48135" r:id="rId10" name="Check Box 7">
              <controlPr defaultSize="0" autoFill="0" autoLine="0" autoPict="0">
                <anchor moveWithCells="1">
                  <from>
                    <xdr:col>4</xdr:col>
                    <xdr:colOff>0</xdr:colOff>
                    <xdr:row>104</xdr:row>
                    <xdr:rowOff>142875</xdr:rowOff>
                  </from>
                  <to>
                    <xdr:col>5</xdr:col>
                    <xdr:colOff>95250</xdr:colOff>
                    <xdr:row>106</xdr:row>
                    <xdr:rowOff>38100</xdr:rowOff>
                  </to>
                </anchor>
              </controlPr>
            </control>
          </mc:Choice>
        </mc:AlternateContent>
        <mc:AlternateContent xmlns:mc="http://schemas.openxmlformats.org/markup-compatibility/2006">
          <mc:Choice Requires="x14">
            <control shapeId="48139" r:id="rId11" name="Check Box 11">
              <controlPr defaultSize="0" autoFill="0" autoLine="0" autoPict="0">
                <anchor moveWithCells="1">
                  <from>
                    <xdr:col>3</xdr:col>
                    <xdr:colOff>19050</xdr:colOff>
                    <xdr:row>128</xdr:row>
                    <xdr:rowOff>123825</xdr:rowOff>
                  </from>
                  <to>
                    <xdr:col>4</xdr:col>
                    <xdr:colOff>57150</xdr:colOff>
                    <xdr:row>130</xdr:row>
                    <xdr:rowOff>0</xdr:rowOff>
                  </to>
                </anchor>
              </controlPr>
            </control>
          </mc:Choice>
        </mc:AlternateContent>
        <mc:AlternateContent xmlns:mc="http://schemas.openxmlformats.org/markup-compatibility/2006">
          <mc:Choice Requires="x14">
            <control shapeId="48140" r:id="rId12" name="Check Box 12">
              <controlPr defaultSize="0" autoFill="0" autoLine="0" autoPict="0">
                <anchor moveWithCells="1">
                  <from>
                    <xdr:col>3</xdr:col>
                    <xdr:colOff>19050</xdr:colOff>
                    <xdr:row>129</xdr:row>
                    <xdr:rowOff>152400</xdr:rowOff>
                  </from>
                  <to>
                    <xdr:col>4</xdr:col>
                    <xdr:colOff>57150</xdr:colOff>
                    <xdr:row>130</xdr:row>
                    <xdr:rowOff>180975</xdr:rowOff>
                  </to>
                </anchor>
              </controlPr>
            </control>
          </mc:Choice>
        </mc:AlternateContent>
        <mc:AlternateContent xmlns:mc="http://schemas.openxmlformats.org/markup-compatibility/2006">
          <mc:Choice Requires="x14">
            <control shapeId="48141" r:id="rId13" name="Check Box 13">
              <controlPr defaultSize="0" autoFill="0" autoLine="0" autoPict="0">
                <anchor moveWithCells="1">
                  <from>
                    <xdr:col>3</xdr:col>
                    <xdr:colOff>19050</xdr:colOff>
                    <xdr:row>130</xdr:row>
                    <xdr:rowOff>161925</xdr:rowOff>
                  </from>
                  <to>
                    <xdr:col>4</xdr:col>
                    <xdr:colOff>57150</xdr:colOff>
                    <xdr:row>132</xdr:row>
                    <xdr:rowOff>0</xdr:rowOff>
                  </to>
                </anchor>
              </controlPr>
            </control>
          </mc:Choice>
        </mc:AlternateContent>
        <mc:AlternateContent xmlns:mc="http://schemas.openxmlformats.org/markup-compatibility/2006">
          <mc:Choice Requires="x14">
            <control shapeId="48146" r:id="rId14" name="Check Box 18">
              <controlPr defaultSize="0" autoFill="0" autoLine="0" autoPict="0">
                <anchor moveWithCells="1">
                  <from>
                    <xdr:col>3</xdr:col>
                    <xdr:colOff>19050</xdr:colOff>
                    <xdr:row>204</xdr:row>
                    <xdr:rowOff>123825</xdr:rowOff>
                  </from>
                  <to>
                    <xdr:col>4</xdr:col>
                    <xdr:colOff>57150</xdr:colOff>
                    <xdr:row>206</xdr:row>
                    <xdr:rowOff>0</xdr:rowOff>
                  </to>
                </anchor>
              </controlPr>
            </control>
          </mc:Choice>
        </mc:AlternateContent>
        <mc:AlternateContent xmlns:mc="http://schemas.openxmlformats.org/markup-compatibility/2006">
          <mc:Choice Requires="x14">
            <control shapeId="48147" r:id="rId15" name="Check Box 19">
              <controlPr defaultSize="0" autoFill="0" autoLine="0" autoPict="0">
                <anchor moveWithCells="1">
                  <from>
                    <xdr:col>3</xdr:col>
                    <xdr:colOff>19050</xdr:colOff>
                    <xdr:row>205</xdr:row>
                    <xdr:rowOff>152400</xdr:rowOff>
                  </from>
                  <to>
                    <xdr:col>4</xdr:col>
                    <xdr:colOff>57150</xdr:colOff>
                    <xdr:row>206</xdr:row>
                    <xdr:rowOff>180975</xdr:rowOff>
                  </to>
                </anchor>
              </controlPr>
            </control>
          </mc:Choice>
        </mc:AlternateContent>
        <mc:AlternateContent xmlns:mc="http://schemas.openxmlformats.org/markup-compatibility/2006">
          <mc:Choice Requires="x14">
            <control shapeId="48148" r:id="rId16" name="Check Box 20">
              <controlPr defaultSize="0" autoFill="0" autoLine="0" autoPict="0">
                <anchor moveWithCells="1">
                  <from>
                    <xdr:col>3</xdr:col>
                    <xdr:colOff>19050</xdr:colOff>
                    <xdr:row>206</xdr:row>
                    <xdr:rowOff>161925</xdr:rowOff>
                  </from>
                  <to>
                    <xdr:col>4</xdr:col>
                    <xdr:colOff>57150</xdr:colOff>
                    <xdr:row>208</xdr:row>
                    <xdr:rowOff>0</xdr:rowOff>
                  </to>
                </anchor>
              </controlPr>
            </control>
          </mc:Choice>
        </mc:AlternateContent>
        <mc:AlternateContent xmlns:mc="http://schemas.openxmlformats.org/markup-compatibility/2006">
          <mc:Choice Requires="x14">
            <control shapeId="48153" r:id="rId17" name="Check Box 25">
              <controlPr defaultSize="0" autoFill="0" autoLine="0" autoPict="0">
                <anchor moveWithCells="1">
                  <from>
                    <xdr:col>3</xdr:col>
                    <xdr:colOff>28575</xdr:colOff>
                    <xdr:row>280</xdr:row>
                    <xdr:rowOff>123825</xdr:rowOff>
                  </from>
                  <to>
                    <xdr:col>4</xdr:col>
                    <xdr:colOff>66675</xdr:colOff>
                    <xdr:row>282</xdr:row>
                    <xdr:rowOff>0</xdr:rowOff>
                  </to>
                </anchor>
              </controlPr>
            </control>
          </mc:Choice>
        </mc:AlternateContent>
        <mc:AlternateContent xmlns:mc="http://schemas.openxmlformats.org/markup-compatibility/2006">
          <mc:Choice Requires="x14">
            <control shapeId="48154" r:id="rId18" name="Check Box 26">
              <controlPr defaultSize="0" autoFill="0" autoLine="0" autoPict="0">
                <anchor moveWithCells="1">
                  <from>
                    <xdr:col>3</xdr:col>
                    <xdr:colOff>28575</xdr:colOff>
                    <xdr:row>281</xdr:row>
                    <xdr:rowOff>152400</xdr:rowOff>
                  </from>
                  <to>
                    <xdr:col>4</xdr:col>
                    <xdr:colOff>66675</xdr:colOff>
                    <xdr:row>282</xdr:row>
                    <xdr:rowOff>180975</xdr:rowOff>
                  </to>
                </anchor>
              </controlPr>
            </control>
          </mc:Choice>
        </mc:AlternateContent>
        <mc:AlternateContent xmlns:mc="http://schemas.openxmlformats.org/markup-compatibility/2006">
          <mc:Choice Requires="x14">
            <control shapeId="48155" r:id="rId19" name="Check Box 27">
              <controlPr defaultSize="0" autoFill="0" autoLine="0" autoPict="0">
                <anchor moveWithCells="1">
                  <from>
                    <xdr:col>3</xdr:col>
                    <xdr:colOff>28575</xdr:colOff>
                    <xdr:row>282</xdr:row>
                    <xdr:rowOff>161925</xdr:rowOff>
                  </from>
                  <to>
                    <xdr:col>4</xdr:col>
                    <xdr:colOff>66675</xdr:colOff>
                    <xdr:row>284</xdr:row>
                    <xdr:rowOff>0</xdr:rowOff>
                  </to>
                </anchor>
              </controlPr>
            </control>
          </mc:Choice>
        </mc:AlternateContent>
        <mc:AlternateContent xmlns:mc="http://schemas.openxmlformats.org/markup-compatibility/2006">
          <mc:Choice Requires="x14">
            <control shapeId="48160" r:id="rId20" name="Check Box 32">
              <controlPr defaultSize="0" autoFill="0" autoLine="0" autoPict="0">
                <anchor moveWithCells="1">
                  <from>
                    <xdr:col>3</xdr:col>
                    <xdr:colOff>38100</xdr:colOff>
                    <xdr:row>356</xdr:row>
                    <xdr:rowOff>9525</xdr:rowOff>
                  </from>
                  <to>
                    <xdr:col>4</xdr:col>
                    <xdr:colOff>76200</xdr:colOff>
                    <xdr:row>357</xdr:row>
                    <xdr:rowOff>38100</xdr:rowOff>
                  </to>
                </anchor>
              </controlPr>
            </control>
          </mc:Choice>
        </mc:AlternateContent>
        <mc:AlternateContent xmlns:mc="http://schemas.openxmlformats.org/markup-compatibility/2006">
          <mc:Choice Requires="x14">
            <control shapeId="48161" r:id="rId21" name="Check Box 33">
              <controlPr defaultSize="0" autoFill="0" autoLine="0" autoPict="0">
                <anchor moveWithCells="1">
                  <from>
                    <xdr:col>3</xdr:col>
                    <xdr:colOff>38100</xdr:colOff>
                    <xdr:row>357</xdr:row>
                    <xdr:rowOff>0</xdr:rowOff>
                  </from>
                  <to>
                    <xdr:col>4</xdr:col>
                    <xdr:colOff>76200</xdr:colOff>
                    <xdr:row>358</xdr:row>
                    <xdr:rowOff>28575</xdr:rowOff>
                  </to>
                </anchor>
              </controlPr>
            </control>
          </mc:Choice>
        </mc:AlternateContent>
        <mc:AlternateContent xmlns:mc="http://schemas.openxmlformats.org/markup-compatibility/2006">
          <mc:Choice Requires="x14">
            <control shapeId="48162" r:id="rId22" name="Check Box 34">
              <controlPr defaultSize="0" autoFill="0" autoLine="0" autoPict="0">
                <anchor moveWithCells="1">
                  <from>
                    <xdr:col>3</xdr:col>
                    <xdr:colOff>38100</xdr:colOff>
                    <xdr:row>358</xdr:row>
                    <xdr:rowOff>9525</xdr:rowOff>
                  </from>
                  <to>
                    <xdr:col>4</xdr:col>
                    <xdr:colOff>76200</xdr:colOff>
                    <xdr:row>359</xdr:row>
                    <xdr:rowOff>38100</xdr:rowOff>
                  </to>
                </anchor>
              </controlPr>
            </control>
          </mc:Choice>
        </mc:AlternateContent>
        <mc:AlternateContent xmlns:mc="http://schemas.openxmlformats.org/markup-compatibility/2006">
          <mc:Choice Requires="x14">
            <control shapeId="48163" r:id="rId23" name="Check Box 35">
              <controlPr defaultSize="0" autoFill="0" autoLine="0" autoPict="0">
                <anchor moveWithCells="1">
                  <from>
                    <xdr:col>5</xdr:col>
                    <xdr:colOff>247650</xdr:colOff>
                    <xdr:row>385</xdr:row>
                    <xdr:rowOff>38100</xdr:rowOff>
                  </from>
                  <to>
                    <xdr:col>7</xdr:col>
                    <xdr:colOff>238125</xdr:colOff>
                    <xdr:row>386</xdr:row>
                    <xdr:rowOff>28575</xdr:rowOff>
                  </to>
                </anchor>
              </controlPr>
            </control>
          </mc:Choice>
        </mc:AlternateContent>
        <mc:AlternateContent xmlns:mc="http://schemas.openxmlformats.org/markup-compatibility/2006">
          <mc:Choice Requires="x14">
            <control shapeId="48164" r:id="rId24" name="Check Box 36">
              <controlPr defaultSize="0" autoFill="0" autoLine="0" autoPict="0">
                <anchor moveWithCells="1">
                  <from>
                    <xdr:col>5</xdr:col>
                    <xdr:colOff>247650</xdr:colOff>
                    <xdr:row>386</xdr:row>
                    <xdr:rowOff>38100</xdr:rowOff>
                  </from>
                  <to>
                    <xdr:col>7</xdr:col>
                    <xdr:colOff>238125</xdr:colOff>
                    <xdr:row>387</xdr:row>
                    <xdr:rowOff>28575</xdr:rowOff>
                  </to>
                </anchor>
              </controlPr>
            </control>
          </mc:Choice>
        </mc:AlternateContent>
        <mc:AlternateContent xmlns:mc="http://schemas.openxmlformats.org/markup-compatibility/2006">
          <mc:Choice Requires="x14">
            <control shapeId="48165" r:id="rId25" name="Check Box 37">
              <controlPr defaultSize="0" autoFill="0" autoLine="0" autoPict="0">
                <anchor moveWithCells="1">
                  <from>
                    <xdr:col>5</xdr:col>
                    <xdr:colOff>247650</xdr:colOff>
                    <xdr:row>387</xdr:row>
                    <xdr:rowOff>38100</xdr:rowOff>
                  </from>
                  <to>
                    <xdr:col>7</xdr:col>
                    <xdr:colOff>238125</xdr:colOff>
                    <xdr:row>388</xdr:row>
                    <xdr:rowOff>28575</xdr:rowOff>
                  </to>
                </anchor>
              </controlPr>
            </control>
          </mc:Choice>
        </mc:AlternateContent>
        <mc:AlternateContent xmlns:mc="http://schemas.openxmlformats.org/markup-compatibility/2006">
          <mc:Choice Requires="x14">
            <control shapeId="48166" r:id="rId26" name="Check Box 38">
              <controlPr defaultSize="0" autoFill="0" autoLine="0" autoPict="0">
                <anchor moveWithCells="1">
                  <from>
                    <xdr:col>5</xdr:col>
                    <xdr:colOff>247650</xdr:colOff>
                    <xdr:row>388</xdr:row>
                    <xdr:rowOff>38100</xdr:rowOff>
                  </from>
                  <to>
                    <xdr:col>7</xdr:col>
                    <xdr:colOff>238125</xdr:colOff>
                    <xdr:row>389</xdr:row>
                    <xdr:rowOff>28575</xdr:rowOff>
                  </to>
                </anchor>
              </controlPr>
            </control>
          </mc:Choice>
        </mc:AlternateContent>
        <mc:AlternateContent xmlns:mc="http://schemas.openxmlformats.org/markup-compatibility/2006">
          <mc:Choice Requires="x14">
            <control shapeId="48167" r:id="rId27" name="Check Box 39">
              <controlPr defaultSize="0" autoFill="0" autoLine="0" autoPict="0">
                <anchor moveWithCells="1">
                  <from>
                    <xdr:col>5</xdr:col>
                    <xdr:colOff>247650</xdr:colOff>
                    <xdr:row>389</xdr:row>
                    <xdr:rowOff>38100</xdr:rowOff>
                  </from>
                  <to>
                    <xdr:col>7</xdr:col>
                    <xdr:colOff>238125</xdr:colOff>
                    <xdr:row>390</xdr:row>
                    <xdr:rowOff>38100</xdr:rowOff>
                  </to>
                </anchor>
              </controlPr>
            </control>
          </mc:Choice>
        </mc:AlternateContent>
        <mc:AlternateContent xmlns:mc="http://schemas.openxmlformats.org/markup-compatibility/2006">
          <mc:Choice Requires="x14">
            <control shapeId="48193" r:id="rId28" name="Check Box 65">
              <controlPr defaultSize="0" autoFill="0" autoLine="0" autoPict="0">
                <anchor moveWithCells="1">
                  <from>
                    <xdr:col>6</xdr:col>
                    <xdr:colOff>133350</xdr:colOff>
                    <xdr:row>421</xdr:row>
                    <xdr:rowOff>19050</xdr:rowOff>
                  </from>
                  <to>
                    <xdr:col>7</xdr:col>
                    <xdr:colOff>219075</xdr:colOff>
                    <xdr:row>422</xdr:row>
                    <xdr:rowOff>9525</xdr:rowOff>
                  </to>
                </anchor>
              </controlPr>
            </control>
          </mc:Choice>
        </mc:AlternateContent>
        <mc:AlternateContent xmlns:mc="http://schemas.openxmlformats.org/markup-compatibility/2006">
          <mc:Choice Requires="x14">
            <control shapeId="48195" r:id="rId29" name="Check Box 67">
              <controlPr locked="0" defaultSize="0" autoFill="0" autoLine="0" autoPict="0">
                <anchor moveWithCells="1">
                  <from>
                    <xdr:col>4</xdr:col>
                    <xdr:colOff>9525</xdr:colOff>
                    <xdr:row>444</xdr:row>
                    <xdr:rowOff>180975</xdr:rowOff>
                  </from>
                  <to>
                    <xdr:col>5</xdr:col>
                    <xdr:colOff>104775</xdr:colOff>
                    <xdr:row>446</xdr:row>
                    <xdr:rowOff>19050</xdr:rowOff>
                  </to>
                </anchor>
              </controlPr>
            </control>
          </mc:Choice>
        </mc:AlternateContent>
        <mc:AlternateContent xmlns:mc="http://schemas.openxmlformats.org/markup-compatibility/2006">
          <mc:Choice Requires="x14">
            <control shapeId="48196" r:id="rId30" name="Check Box 68">
              <controlPr locked="0" defaultSize="0" autoFill="0" autoLine="0" autoPict="0">
                <anchor moveWithCells="1">
                  <from>
                    <xdr:col>4</xdr:col>
                    <xdr:colOff>9525</xdr:colOff>
                    <xdr:row>445</xdr:row>
                    <xdr:rowOff>171450</xdr:rowOff>
                  </from>
                  <to>
                    <xdr:col>5</xdr:col>
                    <xdr:colOff>104775</xdr:colOff>
                    <xdr:row>447</xdr:row>
                    <xdr:rowOff>9525</xdr:rowOff>
                  </to>
                </anchor>
              </controlPr>
            </control>
          </mc:Choice>
        </mc:AlternateContent>
        <mc:AlternateContent xmlns:mc="http://schemas.openxmlformats.org/markup-compatibility/2006">
          <mc:Choice Requires="x14">
            <control shapeId="48197" r:id="rId31" name="Check Box 69">
              <controlPr locked="0" defaultSize="0" autoFill="0" autoLine="0" autoPict="0">
                <anchor moveWithCells="1">
                  <from>
                    <xdr:col>4</xdr:col>
                    <xdr:colOff>9525</xdr:colOff>
                    <xdr:row>446</xdr:row>
                    <xdr:rowOff>161925</xdr:rowOff>
                  </from>
                  <to>
                    <xdr:col>5</xdr:col>
                    <xdr:colOff>104775</xdr:colOff>
                    <xdr:row>448</xdr:row>
                    <xdr:rowOff>0</xdr:rowOff>
                  </to>
                </anchor>
              </controlPr>
            </control>
          </mc:Choice>
        </mc:AlternateContent>
        <mc:AlternateContent xmlns:mc="http://schemas.openxmlformats.org/markup-compatibility/2006">
          <mc:Choice Requires="x14">
            <control shapeId="48198" r:id="rId32" name="Check Box 70">
              <controlPr locked="0" defaultSize="0" autoFill="0" autoLine="0" autoPict="0">
                <anchor moveWithCells="1">
                  <from>
                    <xdr:col>4</xdr:col>
                    <xdr:colOff>9525</xdr:colOff>
                    <xdr:row>447</xdr:row>
                    <xdr:rowOff>152400</xdr:rowOff>
                  </from>
                  <to>
                    <xdr:col>5</xdr:col>
                    <xdr:colOff>104775</xdr:colOff>
                    <xdr:row>448</xdr:row>
                    <xdr:rowOff>180975</xdr:rowOff>
                  </to>
                </anchor>
              </controlPr>
            </control>
          </mc:Choice>
        </mc:AlternateContent>
        <mc:AlternateContent xmlns:mc="http://schemas.openxmlformats.org/markup-compatibility/2006">
          <mc:Choice Requires="x14">
            <control shapeId="48199" r:id="rId33" name="Check Box 71">
              <controlPr locked="0" defaultSize="0" autoFill="0" autoLine="0" autoPict="0">
                <anchor moveWithCells="1">
                  <from>
                    <xdr:col>4</xdr:col>
                    <xdr:colOff>9525</xdr:colOff>
                    <xdr:row>448</xdr:row>
                    <xdr:rowOff>161925</xdr:rowOff>
                  </from>
                  <to>
                    <xdr:col>5</xdr:col>
                    <xdr:colOff>104775</xdr:colOff>
                    <xdr:row>450</xdr:row>
                    <xdr:rowOff>0</xdr:rowOff>
                  </to>
                </anchor>
              </controlPr>
            </control>
          </mc:Choice>
        </mc:AlternateContent>
        <mc:AlternateContent xmlns:mc="http://schemas.openxmlformats.org/markup-compatibility/2006">
          <mc:Choice Requires="x14">
            <control shapeId="48200" r:id="rId34" name="Check Box 72">
              <controlPr locked="0" defaultSize="0" autoFill="0" autoLine="0" autoPict="0">
                <anchor moveWithCells="1">
                  <from>
                    <xdr:col>4</xdr:col>
                    <xdr:colOff>9525</xdr:colOff>
                    <xdr:row>452</xdr:row>
                    <xdr:rowOff>190500</xdr:rowOff>
                  </from>
                  <to>
                    <xdr:col>5</xdr:col>
                    <xdr:colOff>104775</xdr:colOff>
                    <xdr:row>454</xdr:row>
                    <xdr:rowOff>0</xdr:rowOff>
                  </to>
                </anchor>
              </controlPr>
            </control>
          </mc:Choice>
        </mc:AlternateContent>
        <mc:AlternateContent xmlns:mc="http://schemas.openxmlformats.org/markup-compatibility/2006">
          <mc:Choice Requires="x14">
            <control shapeId="48201" r:id="rId35" name="Check Box 73">
              <controlPr locked="0" defaultSize="0" autoFill="0" autoLine="0" autoPict="0">
                <anchor moveWithCells="1">
                  <from>
                    <xdr:col>4</xdr:col>
                    <xdr:colOff>9525</xdr:colOff>
                    <xdr:row>453</xdr:row>
                    <xdr:rowOff>333375</xdr:rowOff>
                  </from>
                  <to>
                    <xdr:col>5</xdr:col>
                    <xdr:colOff>104775</xdr:colOff>
                    <xdr:row>455</xdr:row>
                    <xdr:rowOff>19050</xdr:rowOff>
                  </to>
                </anchor>
              </controlPr>
            </control>
          </mc:Choice>
        </mc:AlternateContent>
        <mc:AlternateContent xmlns:mc="http://schemas.openxmlformats.org/markup-compatibility/2006">
          <mc:Choice Requires="x14">
            <control shapeId="48202" r:id="rId36" name="Check Box 74">
              <controlPr locked="0" defaultSize="0" autoFill="0" autoLine="0" autoPict="0">
                <anchor moveWithCells="1">
                  <from>
                    <xdr:col>4</xdr:col>
                    <xdr:colOff>9525</xdr:colOff>
                    <xdr:row>454</xdr:row>
                    <xdr:rowOff>171450</xdr:rowOff>
                  </from>
                  <to>
                    <xdr:col>5</xdr:col>
                    <xdr:colOff>104775</xdr:colOff>
                    <xdr:row>456</xdr:row>
                    <xdr:rowOff>9525</xdr:rowOff>
                  </to>
                </anchor>
              </controlPr>
            </control>
          </mc:Choice>
        </mc:AlternateContent>
        <mc:AlternateContent xmlns:mc="http://schemas.openxmlformats.org/markup-compatibility/2006">
          <mc:Choice Requires="x14">
            <control shapeId="48203" r:id="rId37" name="Check Box 75">
              <controlPr locked="0" defaultSize="0" autoFill="0" autoLine="0" autoPict="0">
                <anchor moveWithCells="1">
                  <from>
                    <xdr:col>4</xdr:col>
                    <xdr:colOff>9525</xdr:colOff>
                    <xdr:row>455</xdr:row>
                    <xdr:rowOff>161925</xdr:rowOff>
                  </from>
                  <to>
                    <xdr:col>5</xdr:col>
                    <xdr:colOff>104775</xdr:colOff>
                    <xdr:row>457</xdr:row>
                    <xdr:rowOff>0</xdr:rowOff>
                  </to>
                </anchor>
              </controlPr>
            </control>
          </mc:Choice>
        </mc:AlternateContent>
        <mc:AlternateContent xmlns:mc="http://schemas.openxmlformats.org/markup-compatibility/2006">
          <mc:Choice Requires="x14">
            <control shapeId="48204" r:id="rId38" name="Check Box 76">
              <controlPr locked="0" defaultSize="0" autoFill="0" autoLine="0" autoPict="0">
                <anchor moveWithCells="1">
                  <from>
                    <xdr:col>4</xdr:col>
                    <xdr:colOff>9525</xdr:colOff>
                    <xdr:row>459</xdr:row>
                    <xdr:rowOff>28575</xdr:rowOff>
                  </from>
                  <to>
                    <xdr:col>5</xdr:col>
                    <xdr:colOff>104775</xdr:colOff>
                    <xdr:row>460</xdr:row>
                    <xdr:rowOff>19050</xdr:rowOff>
                  </to>
                </anchor>
              </controlPr>
            </control>
          </mc:Choice>
        </mc:AlternateContent>
        <mc:AlternateContent xmlns:mc="http://schemas.openxmlformats.org/markup-compatibility/2006">
          <mc:Choice Requires="x14">
            <control shapeId="48205" r:id="rId39" name="Check Box 77">
              <controlPr locked="0" defaultSize="0" autoFill="0" autoLine="0" autoPict="0">
                <anchor moveWithCells="1">
                  <from>
                    <xdr:col>4</xdr:col>
                    <xdr:colOff>9525</xdr:colOff>
                    <xdr:row>460</xdr:row>
                    <xdr:rowOff>19050</xdr:rowOff>
                  </from>
                  <to>
                    <xdr:col>5</xdr:col>
                    <xdr:colOff>104775</xdr:colOff>
                    <xdr:row>461</xdr:row>
                    <xdr:rowOff>9525</xdr:rowOff>
                  </to>
                </anchor>
              </controlPr>
            </control>
          </mc:Choice>
        </mc:AlternateContent>
        <mc:AlternateContent xmlns:mc="http://schemas.openxmlformats.org/markup-compatibility/2006">
          <mc:Choice Requires="x14">
            <control shapeId="48206" r:id="rId40" name="Check Box 78">
              <controlPr locked="0" defaultSize="0" autoFill="0" autoLine="0" autoPict="0">
                <anchor moveWithCells="1">
                  <from>
                    <xdr:col>4</xdr:col>
                    <xdr:colOff>9525</xdr:colOff>
                    <xdr:row>461</xdr:row>
                    <xdr:rowOff>19050</xdr:rowOff>
                  </from>
                  <to>
                    <xdr:col>5</xdr:col>
                    <xdr:colOff>104775</xdr:colOff>
                    <xdr:row>462</xdr:row>
                    <xdr:rowOff>9525</xdr:rowOff>
                  </to>
                </anchor>
              </controlPr>
            </control>
          </mc:Choice>
        </mc:AlternateContent>
        <mc:AlternateContent xmlns:mc="http://schemas.openxmlformats.org/markup-compatibility/2006">
          <mc:Choice Requires="x14">
            <control shapeId="48207" r:id="rId41" name="Check Box 79">
              <controlPr locked="0" defaultSize="0" autoFill="0" autoLine="0" autoPict="0">
                <anchor moveWithCells="1">
                  <from>
                    <xdr:col>4</xdr:col>
                    <xdr:colOff>9525</xdr:colOff>
                    <xdr:row>462</xdr:row>
                    <xdr:rowOff>19050</xdr:rowOff>
                  </from>
                  <to>
                    <xdr:col>5</xdr:col>
                    <xdr:colOff>104775</xdr:colOff>
                    <xdr:row>463</xdr:row>
                    <xdr:rowOff>9525</xdr:rowOff>
                  </to>
                </anchor>
              </controlPr>
            </control>
          </mc:Choice>
        </mc:AlternateContent>
        <mc:AlternateContent xmlns:mc="http://schemas.openxmlformats.org/markup-compatibility/2006">
          <mc:Choice Requires="x14">
            <control shapeId="48208" r:id="rId42" name="Check Box 80">
              <controlPr locked="0" defaultSize="0" autoFill="0" autoLine="0" autoPict="0">
                <anchor moveWithCells="1">
                  <from>
                    <xdr:col>4</xdr:col>
                    <xdr:colOff>9525</xdr:colOff>
                    <xdr:row>463</xdr:row>
                    <xdr:rowOff>19050</xdr:rowOff>
                  </from>
                  <to>
                    <xdr:col>5</xdr:col>
                    <xdr:colOff>104775</xdr:colOff>
                    <xdr:row>464</xdr:row>
                    <xdr:rowOff>9525</xdr:rowOff>
                  </to>
                </anchor>
              </controlPr>
            </control>
          </mc:Choice>
        </mc:AlternateContent>
        <mc:AlternateContent xmlns:mc="http://schemas.openxmlformats.org/markup-compatibility/2006">
          <mc:Choice Requires="x14">
            <control shapeId="48209" r:id="rId43" name="Check Box 81">
              <controlPr locked="0" defaultSize="0" autoFill="0" autoLine="0" autoPict="0">
                <anchor moveWithCells="1">
                  <from>
                    <xdr:col>4</xdr:col>
                    <xdr:colOff>9525</xdr:colOff>
                    <xdr:row>473</xdr:row>
                    <xdr:rowOff>190500</xdr:rowOff>
                  </from>
                  <to>
                    <xdr:col>5</xdr:col>
                    <xdr:colOff>104775</xdr:colOff>
                    <xdr:row>475</xdr:row>
                    <xdr:rowOff>28575</xdr:rowOff>
                  </to>
                </anchor>
              </controlPr>
            </control>
          </mc:Choice>
        </mc:AlternateContent>
        <mc:AlternateContent xmlns:mc="http://schemas.openxmlformats.org/markup-compatibility/2006">
          <mc:Choice Requires="x14">
            <control shapeId="48210" r:id="rId44" name="Check Box 82">
              <controlPr locked="0" defaultSize="0" autoFill="0" autoLine="0" autoPict="0">
                <anchor moveWithCells="1">
                  <from>
                    <xdr:col>4</xdr:col>
                    <xdr:colOff>9525</xdr:colOff>
                    <xdr:row>474</xdr:row>
                    <xdr:rowOff>180975</xdr:rowOff>
                  </from>
                  <to>
                    <xdr:col>5</xdr:col>
                    <xdr:colOff>104775</xdr:colOff>
                    <xdr:row>476</xdr:row>
                    <xdr:rowOff>19050</xdr:rowOff>
                  </to>
                </anchor>
              </controlPr>
            </control>
          </mc:Choice>
        </mc:AlternateContent>
        <mc:AlternateContent xmlns:mc="http://schemas.openxmlformats.org/markup-compatibility/2006">
          <mc:Choice Requires="x14">
            <control shapeId="48211" r:id="rId45" name="Check Box 83">
              <controlPr locked="0" defaultSize="0" autoFill="0" autoLine="0" autoPict="0">
                <anchor moveWithCells="1">
                  <from>
                    <xdr:col>4</xdr:col>
                    <xdr:colOff>9525</xdr:colOff>
                    <xdr:row>489</xdr:row>
                    <xdr:rowOff>190500</xdr:rowOff>
                  </from>
                  <to>
                    <xdr:col>5</xdr:col>
                    <xdr:colOff>104775</xdr:colOff>
                    <xdr:row>491</xdr:row>
                    <xdr:rowOff>28575</xdr:rowOff>
                  </to>
                </anchor>
              </controlPr>
            </control>
          </mc:Choice>
        </mc:AlternateContent>
        <mc:AlternateContent xmlns:mc="http://schemas.openxmlformats.org/markup-compatibility/2006">
          <mc:Choice Requires="x14">
            <control shapeId="48212" r:id="rId46" name="Check Box 84">
              <controlPr locked="0" defaultSize="0" autoFill="0" autoLine="0" autoPict="0">
                <anchor moveWithCells="1">
                  <from>
                    <xdr:col>4</xdr:col>
                    <xdr:colOff>9525</xdr:colOff>
                    <xdr:row>465</xdr:row>
                    <xdr:rowOff>152400</xdr:rowOff>
                  </from>
                  <to>
                    <xdr:col>5</xdr:col>
                    <xdr:colOff>104775</xdr:colOff>
                    <xdr:row>467</xdr:row>
                    <xdr:rowOff>28575</xdr:rowOff>
                  </to>
                </anchor>
              </controlPr>
            </control>
          </mc:Choice>
        </mc:AlternateContent>
        <mc:AlternateContent xmlns:mc="http://schemas.openxmlformats.org/markup-compatibility/2006">
          <mc:Choice Requires="x14">
            <control shapeId="48213" r:id="rId47" name="Check Box 85">
              <controlPr locked="0" defaultSize="0" autoFill="0" autoLine="0" autoPict="0">
                <anchor moveWithCells="1">
                  <from>
                    <xdr:col>4</xdr:col>
                    <xdr:colOff>9525</xdr:colOff>
                    <xdr:row>488</xdr:row>
                    <xdr:rowOff>171450</xdr:rowOff>
                  </from>
                  <to>
                    <xdr:col>5</xdr:col>
                    <xdr:colOff>104775</xdr:colOff>
                    <xdr:row>490</xdr:row>
                    <xdr:rowOff>9525</xdr:rowOff>
                  </to>
                </anchor>
              </controlPr>
            </control>
          </mc:Choice>
        </mc:AlternateContent>
        <mc:AlternateContent xmlns:mc="http://schemas.openxmlformats.org/markup-compatibility/2006">
          <mc:Choice Requires="x14">
            <control shapeId="48214" r:id="rId48" name="Check Box 86">
              <controlPr locked="0" defaultSize="0" autoFill="0" autoLine="0" autoPict="0">
                <anchor moveWithCells="1">
                  <from>
                    <xdr:col>4</xdr:col>
                    <xdr:colOff>9525</xdr:colOff>
                    <xdr:row>473</xdr:row>
                    <xdr:rowOff>28575</xdr:rowOff>
                  </from>
                  <to>
                    <xdr:col>5</xdr:col>
                    <xdr:colOff>104775</xdr:colOff>
                    <xdr:row>474</xdr:row>
                    <xdr:rowOff>57150</xdr:rowOff>
                  </to>
                </anchor>
              </controlPr>
            </control>
          </mc:Choice>
        </mc:AlternateContent>
        <mc:AlternateContent xmlns:mc="http://schemas.openxmlformats.org/markup-compatibility/2006">
          <mc:Choice Requires="x14">
            <control shapeId="48216" r:id="rId49" name="Group Box 88">
              <controlPr defaultSize="0" autoFill="0" autoPict="0">
                <anchor moveWithCells="1" sizeWithCells="1">
                  <from>
                    <xdr:col>1</xdr:col>
                    <xdr:colOff>9525</xdr:colOff>
                    <xdr:row>459</xdr:row>
                    <xdr:rowOff>38100</xdr:rowOff>
                  </from>
                  <to>
                    <xdr:col>3</xdr:col>
                    <xdr:colOff>257175</xdr:colOff>
                    <xdr:row>464</xdr:row>
                    <xdr:rowOff>38100</xdr:rowOff>
                  </to>
                </anchor>
              </controlPr>
            </control>
          </mc:Choice>
        </mc:AlternateContent>
        <mc:AlternateContent xmlns:mc="http://schemas.openxmlformats.org/markup-compatibility/2006">
          <mc:Choice Requires="x14">
            <control shapeId="48217" r:id="rId50" name="Option Button 89">
              <controlPr defaultSize="0" autoFill="0" autoLine="0" autoPict="0">
                <anchor moveWithCells="1" sizeWithCells="1">
                  <from>
                    <xdr:col>1</xdr:col>
                    <xdr:colOff>19050</xdr:colOff>
                    <xdr:row>460</xdr:row>
                    <xdr:rowOff>47625</xdr:rowOff>
                  </from>
                  <to>
                    <xdr:col>3</xdr:col>
                    <xdr:colOff>238125</xdr:colOff>
                    <xdr:row>461</xdr:row>
                    <xdr:rowOff>38100</xdr:rowOff>
                  </to>
                </anchor>
              </controlPr>
            </control>
          </mc:Choice>
        </mc:AlternateContent>
        <mc:AlternateContent xmlns:mc="http://schemas.openxmlformats.org/markup-compatibility/2006">
          <mc:Choice Requires="x14">
            <control shapeId="48218" r:id="rId51" name="Option Button 90">
              <controlPr defaultSize="0" autoFill="0" autoLine="0" autoPict="0">
                <anchor moveWithCells="1" sizeWithCells="1">
                  <from>
                    <xdr:col>1</xdr:col>
                    <xdr:colOff>19050</xdr:colOff>
                    <xdr:row>461</xdr:row>
                    <xdr:rowOff>38100</xdr:rowOff>
                  </from>
                  <to>
                    <xdr:col>3</xdr:col>
                    <xdr:colOff>238125</xdr:colOff>
                    <xdr:row>462</xdr:row>
                    <xdr:rowOff>28575</xdr:rowOff>
                  </to>
                </anchor>
              </controlPr>
            </control>
          </mc:Choice>
        </mc:AlternateContent>
        <mc:AlternateContent xmlns:mc="http://schemas.openxmlformats.org/markup-compatibility/2006">
          <mc:Choice Requires="x14">
            <control shapeId="48219" r:id="rId52" name="Option Button 91">
              <controlPr defaultSize="0" autoFill="0" autoLine="0" autoPict="0">
                <anchor moveWithCells="1" sizeWithCells="1">
                  <from>
                    <xdr:col>1</xdr:col>
                    <xdr:colOff>19050</xdr:colOff>
                    <xdr:row>462</xdr:row>
                    <xdr:rowOff>161925</xdr:rowOff>
                  </from>
                  <to>
                    <xdr:col>3</xdr:col>
                    <xdr:colOff>238125</xdr:colOff>
                    <xdr:row>463</xdr:row>
                    <xdr:rowOff>152400</xdr:rowOff>
                  </to>
                </anchor>
              </controlPr>
            </control>
          </mc:Choice>
        </mc:AlternateContent>
        <mc:AlternateContent xmlns:mc="http://schemas.openxmlformats.org/markup-compatibility/2006">
          <mc:Choice Requires="x14">
            <control shapeId="48221" r:id="rId53" name="Check Box 93">
              <controlPr locked="0" defaultSize="0" autoFill="0" autoLine="0" autoPict="0">
                <anchor moveWithCells="1">
                  <from>
                    <xdr:col>4</xdr:col>
                    <xdr:colOff>9525</xdr:colOff>
                    <xdr:row>467</xdr:row>
                    <xdr:rowOff>171450</xdr:rowOff>
                  </from>
                  <to>
                    <xdr:col>5</xdr:col>
                    <xdr:colOff>104775</xdr:colOff>
                    <xdr:row>469</xdr:row>
                    <xdr:rowOff>9525</xdr:rowOff>
                  </to>
                </anchor>
              </controlPr>
            </control>
          </mc:Choice>
        </mc:AlternateContent>
        <mc:AlternateContent xmlns:mc="http://schemas.openxmlformats.org/markup-compatibility/2006">
          <mc:Choice Requires="x14">
            <control shapeId="48222" r:id="rId54" name="Check Box 94">
              <controlPr locked="0" defaultSize="0" autoFill="0" autoLine="0" autoPict="0">
                <anchor moveWithCells="1">
                  <from>
                    <xdr:col>4</xdr:col>
                    <xdr:colOff>9525</xdr:colOff>
                    <xdr:row>468</xdr:row>
                    <xdr:rowOff>171450</xdr:rowOff>
                  </from>
                  <to>
                    <xdr:col>5</xdr:col>
                    <xdr:colOff>104775</xdr:colOff>
                    <xdr:row>470</xdr:row>
                    <xdr:rowOff>9525</xdr:rowOff>
                  </to>
                </anchor>
              </controlPr>
            </control>
          </mc:Choice>
        </mc:AlternateContent>
        <mc:AlternateContent xmlns:mc="http://schemas.openxmlformats.org/markup-compatibility/2006">
          <mc:Choice Requires="x14">
            <control shapeId="48223" r:id="rId55" name="Check Box 95">
              <controlPr locked="0" defaultSize="0" autoFill="0" autoLine="0" autoPict="0">
                <anchor moveWithCells="1">
                  <from>
                    <xdr:col>4</xdr:col>
                    <xdr:colOff>9525</xdr:colOff>
                    <xdr:row>469</xdr:row>
                    <xdr:rowOff>171450</xdr:rowOff>
                  </from>
                  <to>
                    <xdr:col>5</xdr:col>
                    <xdr:colOff>104775</xdr:colOff>
                    <xdr:row>471</xdr:row>
                    <xdr:rowOff>9525</xdr:rowOff>
                  </to>
                </anchor>
              </controlPr>
            </control>
          </mc:Choice>
        </mc:AlternateContent>
        <mc:AlternateContent xmlns:mc="http://schemas.openxmlformats.org/markup-compatibility/2006">
          <mc:Choice Requires="x14">
            <control shapeId="48224" r:id="rId56" name="Check Box 96">
              <controlPr locked="0" defaultSize="0" autoFill="0" autoLine="0" autoPict="0">
                <anchor moveWithCells="1">
                  <from>
                    <xdr:col>4</xdr:col>
                    <xdr:colOff>9525</xdr:colOff>
                    <xdr:row>470</xdr:row>
                    <xdr:rowOff>161925</xdr:rowOff>
                  </from>
                  <to>
                    <xdr:col>5</xdr:col>
                    <xdr:colOff>104775</xdr:colOff>
                    <xdr:row>472</xdr:row>
                    <xdr:rowOff>0</xdr:rowOff>
                  </to>
                </anchor>
              </controlPr>
            </control>
          </mc:Choice>
        </mc:AlternateContent>
        <mc:AlternateContent xmlns:mc="http://schemas.openxmlformats.org/markup-compatibility/2006">
          <mc:Choice Requires="x14">
            <control shapeId="48225" r:id="rId57" name="Check Box 97">
              <controlPr locked="0" defaultSize="0" autoFill="0" autoLine="0" autoPict="0">
                <anchor moveWithCells="1">
                  <from>
                    <xdr:col>4</xdr:col>
                    <xdr:colOff>9525</xdr:colOff>
                    <xdr:row>471</xdr:row>
                    <xdr:rowOff>171450</xdr:rowOff>
                  </from>
                  <to>
                    <xdr:col>5</xdr:col>
                    <xdr:colOff>104775</xdr:colOff>
                    <xdr:row>473</xdr:row>
                    <xdr:rowOff>9525</xdr:rowOff>
                  </to>
                </anchor>
              </controlPr>
            </control>
          </mc:Choice>
        </mc:AlternateContent>
        <mc:AlternateContent xmlns:mc="http://schemas.openxmlformats.org/markup-compatibility/2006">
          <mc:Choice Requires="x14">
            <control shapeId="48226" r:id="rId58" name="Check Box 98">
              <controlPr locked="0" defaultSize="0" autoFill="0" autoLine="0" autoPict="0">
                <anchor moveWithCells="1">
                  <from>
                    <xdr:col>4</xdr:col>
                    <xdr:colOff>9525</xdr:colOff>
                    <xdr:row>472</xdr:row>
                    <xdr:rowOff>171450</xdr:rowOff>
                  </from>
                  <to>
                    <xdr:col>5</xdr:col>
                    <xdr:colOff>104775</xdr:colOff>
                    <xdr:row>474</xdr:row>
                    <xdr:rowOff>9525</xdr:rowOff>
                  </to>
                </anchor>
              </controlPr>
            </control>
          </mc:Choice>
        </mc:AlternateContent>
        <mc:AlternateContent xmlns:mc="http://schemas.openxmlformats.org/markup-compatibility/2006">
          <mc:Choice Requires="x14">
            <control shapeId="48227" r:id="rId59" name="Check Box 99">
              <controlPr locked="0" defaultSize="0" autoFill="0" autoLine="0" autoPict="0">
                <anchor moveWithCells="1">
                  <from>
                    <xdr:col>4</xdr:col>
                    <xdr:colOff>9525</xdr:colOff>
                    <xdr:row>477</xdr:row>
                    <xdr:rowOff>152400</xdr:rowOff>
                  </from>
                  <to>
                    <xdr:col>5</xdr:col>
                    <xdr:colOff>104775</xdr:colOff>
                    <xdr:row>479</xdr:row>
                    <xdr:rowOff>28575</xdr:rowOff>
                  </to>
                </anchor>
              </controlPr>
            </control>
          </mc:Choice>
        </mc:AlternateContent>
        <mc:AlternateContent xmlns:mc="http://schemas.openxmlformats.org/markup-compatibility/2006">
          <mc:Choice Requires="x14">
            <control shapeId="48228" r:id="rId60" name="Check Box 100">
              <controlPr locked="0" defaultSize="0" autoFill="0" autoLine="0" autoPict="0">
                <anchor moveWithCells="1">
                  <from>
                    <xdr:col>4</xdr:col>
                    <xdr:colOff>9525</xdr:colOff>
                    <xdr:row>478</xdr:row>
                    <xdr:rowOff>190500</xdr:rowOff>
                  </from>
                  <to>
                    <xdr:col>5</xdr:col>
                    <xdr:colOff>104775</xdr:colOff>
                    <xdr:row>480</xdr:row>
                    <xdr:rowOff>28575</xdr:rowOff>
                  </to>
                </anchor>
              </controlPr>
            </control>
          </mc:Choice>
        </mc:AlternateContent>
        <mc:AlternateContent xmlns:mc="http://schemas.openxmlformats.org/markup-compatibility/2006">
          <mc:Choice Requires="x14">
            <control shapeId="48229" r:id="rId61" name="Check Box 101">
              <controlPr locked="0" defaultSize="0" autoFill="0" autoLine="0" autoPict="0">
                <anchor moveWithCells="1">
                  <from>
                    <xdr:col>4</xdr:col>
                    <xdr:colOff>9525</xdr:colOff>
                    <xdr:row>479</xdr:row>
                    <xdr:rowOff>171450</xdr:rowOff>
                  </from>
                  <to>
                    <xdr:col>5</xdr:col>
                    <xdr:colOff>104775</xdr:colOff>
                    <xdr:row>481</xdr:row>
                    <xdr:rowOff>9525</xdr:rowOff>
                  </to>
                </anchor>
              </controlPr>
            </control>
          </mc:Choice>
        </mc:AlternateContent>
        <mc:AlternateContent xmlns:mc="http://schemas.openxmlformats.org/markup-compatibility/2006">
          <mc:Choice Requires="x14">
            <control shapeId="48230" r:id="rId62" name="Check Box 102">
              <controlPr locked="0" defaultSize="0" autoFill="0" autoLine="0" autoPict="0">
                <anchor moveWithCells="1">
                  <from>
                    <xdr:col>4</xdr:col>
                    <xdr:colOff>9525</xdr:colOff>
                    <xdr:row>480</xdr:row>
                    <xdr:rowOff>161925</xdr:rowOff>
                  </from>
                  <to>
                    <xdr:col>5</xdr:col>
                    <xdr:colOff>104775</xdr:colOff>
                    <xdr:row>482</xdr:row>
                    <xdr:rowOff>0</xdr:rowOff>
                  </to>
                </anchor>
              </controlPr>
            </control>
          </mc:Choice>
        </mc:AlternateContent>
        <mc:AlternateContent xmlns:mc="http://schemas.openxmlformats.org/markup-compatibility/2006">
          <mc:Choice Requires="x14">
            <control shapeId="48231" r:id="rId63" name="Check Box 103">
              <controlPr locked="0" defaultSize="0" autoFill="0" autoLine="0" autoPict="0">
                <anchor moveWithCells="1">
                  <from>
                    <xdr:col>4</xdr:col>
                    <xdr:colOff>9525</xdr:colOff>
                    <xdr:row>481</xdr:row>
                    <xdr:rowOff>171450</xdr:rowOff>
                  </from>
                  <to>
                    <xdr:col>5</xdr:col>
                    <xdr:colOff>104775</xdr:colOff>
                    <xdr:row>483</xdr:row>
                    <xdr:rowOff>9525</xdr:rowOff>
                  </to>
                </anchor>
              </controlPr>
            </control>
          </mc:Choice>
        </mc:AlternateContent>
        <mc:AlternateContent xmlns:mc="http://schemas.openxmlformats.org/markup-compatibility/2006">
          <mc:Choice Requires="x14">
            <control shapeId="48232" r:id="rId64" name="Check Box 104">
              <controlPr locked="0" defaultSize="0" autoFill="0" autoLine="0" autoPict="0">
                <anchor moveWithCells="1">
                  <from>
                    <xdr:col>4</xdr:col>
                    <xdr:colOff>9525</xdr:colOff>
                    <xdr:row>482</xdr:row>
                    <xdr:rowOff>171450</xdr:rowOff>
                  </from>
                  <to>
                    <xdr:col>5</xdr:col>
                    <xdr:colOff>104775</xdr:colOff>
                    <xdr:row>484</xdr:row>
                    <xdr:rowOff>9525</xdr:rowOff>
                  </to>
                </anchor>
              </controlPr>
            </control>
          </mc:Choice>
        </mc:AlternateContent>
        <mc:AlternateContent xmlns:mc="http://schemas.openxmlformats.org/markup-compatibility/2006">
          <mc:Choice Requires="x14">
            <control shapeId="48233" r:id="rId65" name="Check Box 105">
              <controlPr locked="0" defaultSize="0" autoFill="0" autoLine="0" autoPict="0">
                <anchor moveWithCells="1">
                  <from>
                    <xdr:col>4</xdr:col>
                    <xdr:colOff>9525</xdr:colOff>
                    <xdr:row>483</xdr:row>
                    <xdr:rowOff>171450</xdr:rowOff>
                  </from>
                  <to>
                    <xdr:col>5</xdr:col>
                    <xdr:colOff>104775</xdr:colOff>
                    <xdr:row>485</xdr:row>
                    <xdr:rowOff>9525</xdr:rowOff>
                  </to>
                </anchor>
              </controlPr>
            </control>
          </mc:Choice>
        </mc:AlternateContent>
        <mc:AlternateContent xmlns:mc="http://schemas.openxmlformats.org/markup-compatibility/2006">
          <mc:Choice Requires="x14">
            <control shapeId="48234" r:id="rId66" name="Check Box 106">
              <controlPr locked="0" defaultSize="0" autoFill="0" autoLine="0" autoPict="0">
                <anchor moveWithCells="1">
                  <from>
                    <xdr:col>4</xdr:col>
                    <xdr:colOff>9525</xdr:colOff>
                    <xdr:row>484</xdr:row>
                    <xdr:rowOff>190500</xdr:rowOff>
                  </from>
                  <to>
                    <xdr:col>5</xdr:col>
                    <xdr:colOff>104775</xdr:colOff>
                    <xdr:row>486</xdr:row>
                    <xdr:rowOff>28575</xdr:rowOff>
                  </to>
                </anchor>
              </controlPr>
            </control>
          </mc:Choice>
        </mc:AlternateContent>
        <mc:AlternateContent xmlns:mc="http://schemas.openxmlformats.org/markup-compatibility/2006">
          <mc:Choice Requires="x14">
            <control shapeId="48235" r:id="rId67" name="Check Box 107">
              <controlPr locked="0" defaultSize="0" autoFill="0" autoLine="0" autoPict="0">
                <anchor moveWithCells="1">
                  <from>
                    <xdr:col>4</xdr:col>
                    <xdr:colOff>9525</xdr:colOff>
                    <xdr:row>485</xdr:row>
                    <xdr:rowOff>171450</xdr:rowOff>
                  </from>
                  <to>
                    <xdr:col>5</xdr:col>
                    <xdr:colOff>104775</xdr:colOff>
                    <xdr:row>487</xdr:row>
                    <xdr:rowOff>9525</xdr:rowOff>
                  </to>
                </anchor>
              </controlPr>
            </control>
          </mc:Choice>
        </mc:AlternateContent>
        <mc:AlternateContent xmlns:mc="http://schemas.openxmlformats.org/markup-compatibility/2006">
          <mc:Choice Requires="x14">
            <control shapeId="48236" r:id="rId68" name="Check Box 108">
              <controlPr locked="0" defaultSize="0" autoFill="0" autoLine="0" autoPict="0">
                <anchor moveWithCells="1">
                  <from>
                    <xdr:col>4</xdr:col>
                    <xdr:colOff>9525</xdr:colOff>
                    <xdr:row>486</xdr:row>
                    <xdr:rowOff>180975</xdr:rowOff>
                  </from>
                  <to>
                    <xdr:col>5</xdr:col>
                    <xdr:colOff>104775</xdr:colOff>
                    <xdr:row>488</xdr:row>
                    <xdr:rowOff>19050</xdr:rowOff>
                  </to>
                </anchor>
              </controlPr>
            </control>
          </mc:Choice>
        </mc:AlternateContent>
        <mc:AlternateContent xmlns:mc="http://schemas.openxmlformats.org/markup-compatibility/2006">
          <mc:Choice Requires="x14">
            <control shapeId="48237" r:id="rId69" name="Check Box 109">
              <controlPr locked="0" defaultSize="0" autoFill="0" autoLine="0" autoPict="0">
                <anchor moveWithCells="1">
                  <from>
                    <xdr:col>4</xdr:col>
                    <xdr:colOff>9525</xdr:colOff>
                    <xdr:row>487</xdr:row>
                    <xdr:rowOff>171450</xdr:rowOff>
                  </from>
                  <to>
                    <xdr:col>5</xdr:col>
                    <xdr:colOff>104775</xdr:colOff>
                    <xdr:row>489</xdr:row>
                    <xdr:rowOff>9525</xdr:rowOff>
                  </to>
                </anchor>
              </controlPr>
            </control>
          </mc:Choice>
        </mc:AlternateContent>
        <mc:AlternateContent xmlns:mc="http://schemas.openxmlformats.org/markup-compatibility/2006">
          <mc:Choice Requires="x14">
            <control shapeId="48248" r:id="rId70" name="Check Box 120">
              <controlPr defaultSize="0" autoFill="0" autoLine="0" autoPict="0">
                <anchor moveWithCells="1">
                  <from>
                    <xdr:col>4</xdr:col>
                    <xdr:colOff>9525</xdr:colOff>
                    <xdr:row>494</xdr:row>
                    <xdr:rowOff>9525</xdr:rowOff>
                  </from>
                  <to>
                    <xdr:col>5</xdr:col>
                    <xdr:colOff>104775</xdr:colOff>
                    <xdr:row>495</xdr:row>
                    <xdr:rowOff>38100</xdr:rowOff>
                  </to>
                </anchor>
              </controlPr>
            </control>
          </mc:Choice>
        </mc:AlternateContent>
        <mc:AlternateContent xmlns:mc="http://schemas.openxmlformats.org/markup-compatibility/2006">
          <mc:Choice Requires="x14">
            <control shapeId="48249" r:id="rId71" name="Check Box 121">
              <controlPr defaultSize="0" autoFill="0" autoLine="0" autoPict="0">
                <anchor moveWithCells="1">
                  <from>
                    <xdr:col>4</xdr:col>
                    <xdr:colOff>9525</xdr:colOff>
                    <xdr:row>495</xdr:row>
                    <xdr:rowOff>9525</xdr:rowOff>
                  </from>
                  <to>
                    <xdr:col>5</xdr:col>
                    <xdr:colOff>104775</xdr:colOff>
                    <xdr:row>496</xdr:row>
                    <xdr:rowOff>38100</xdr:rowOff>
                  </to>
                </anchor>
              </controlPr>
            </control>
          </mc:Choice>
        </mc:AlternateContent>
        <mc:AlternateContent xmlns:mc="http://schemas.openxmlformats.org/markup-compatibility/2006">
          <mc:Choice Requires="x14">
            <control shapeId="48250" r:id="rId72" name="Check Box 122">
              <controlPr defaultSize="0" autoFill="0" autoLine="0" autoPict="0">
                <anchor moveWithCells="1">
                  <from>
                    <xdr:col>4</xdr:col>
                    <xdr:colOff>9525</xdr:colOff>
                    <xdr:row>495</xdr:row>
                    <xdr:rowOff>142875</xdr:rowOff>
                  </from>
                  <to>
                    <xdr:col>5</xdr:col>
                    <xdr:colOff>104775</xdr:colOff>
                    <xdr:row>497</xdr:row>
                    <xdr:rowOff>9525</xdr:rowOff>
                  </to>
                </anchor>
              </controlPr>
            </control>
          </mc:Choice>
        </mc:AlternateContent>
        <mc:AlternateContent xmlns:mc="http://schemas.openxmlformats.org/markup-compatibility/2006">
          <mc:Choice Requires="x14">
            <control shapeId="48251" r:id="rId73" name="Check Box 123">
              <controlPr defaultSize="0" autoFill="0" autoLine="0" autoPict="0">
                <anchor moveWithCells="1">
                  <from>
                    <xdr:col>4</xdr:col>
                    <xdr:colOff>9525</xdr:colOff>
                    <xdr:row>497</xdr:row>
                    <xdr:rowOff>9525</xdr:rowOff>
                  </from>
                  <to>
                    <xdr:col>5</xdr:col>
                    <xdr:colOff>104775</xdr:colOff>
                    <xdr:row>498</xdr:row>
                    <xdr:rowOff>38100</xdr:rowOff>
                  </to>
                </anchor>
              </controlPr>
            </control>
          </mc:Choice>
        </mc:AlternateContent>
        <mc:AlternateContent xmlns:mc="http://schemas.openxmlformats.org/markup-compatibility/2006">
          <mc:Choice Requires="x14">
            <control shapeId="48252" r:id="rId74" name="Check Box 124">
              <controlPr defaultSize="0" autoFill="0" autoLine="0" autoPict="0">
                <anchor moveWithCells="1">
                  <from>
                    <xdr:col>4</xdr:col>
                    <xdr:colOff>9525</xdr:colOff>
                    <xdr:row>498</xdr:row>
                    <xdr:rowOff>9525</xdr:rowOff>
                  </from>
                  <to>
                    <xdr:col>5</xdr:col>
                    <xdr:colOff>104775</xdr:colOff>
                    <xdr:row>499</xdr:row>
                    <xdr:rowOff>38100</xdr:rowOff>
                  </to>
                </anchor>
              </controlPr>
            </control>
          </mc:Choice>
        </mc:AlternateContent>
        <mc:AlternateContent xmlns:mc="http://schemas.openxmlformats.org/markup-compatibility/2006">
          <mc:Choice Requires="x14">
            <control shapeId="48253" r:id="rId75" name="Check Box 125">
              <controlPr defaultSize="0" autoFill="0" autoLine="0" autoPict="0">
                <anchor moveWithCells="1">
                  <from>
                    <xdr:col>4</xdr:col>
                    <xdr:colOff>9525</xdr:colOff>
                    <xdr:row>499</xdr:row>
                    <xdr:rowOff>9525</xdr:rowOff>
                  </from>
                  <to>
                    <xdr:col>5</xdr:col>
                    <xdr:colOff>104775</xdr:colOff>
                    <xdr:row>500</xdr:row>
                    <xdr:rowOff>38100</xdr:rowOff>
                  </to>
                </anchor>
              </controlPr>
            </control>
          </mc:Choice>
        </mc:AlternateContent>
        <mc:AlternateContent xmlns:mc="http://schemas.openxmlformats.org/markup-compatibility/2006">
          <mc:Choice Requires="x14">
            <control shapeId="48254" r:id="rId76" name="Check Box 126">
              <controlPr defaultSize="0" autoFill="0" autoLine="0" autoPict="0">
                <anchor moveWithCells="1">
                  <from>
                    <xdr:col>4</xdr:col>
                    <xdr:colOff>9525</xdr:colOff>
                    <xdr:row>500</xdr:row>
                    <xdr:rowOff>9525</xdr:rowOff>
                  </from>
                  <to>
                    <xdr:col>5</xdr:col>
                    <xdr:colOff>104775</xdr:colOff>
                    <xdr:row>501</xdr:row>
                    <xdr:rowOff>38100</xdr:rowOff>
                  </to>
                </anchor>
              </controlPr>
            </control>
          </mc:Choice>
        </mc:AlternateContent>
        <mc:AlternateContent xmlns:mc="http://schemas.openxmlformats.org/markup-compatibility/2006">
          <mc:Choice Requires="x14">
            <control shapeId="48255" r:id="rId77" name="Check Box 127">
              <controlPr defaultSize="0" autoFill="0" autoLine="0" autoPict="0">
                <anchor moveWithCells="1">
                  <from>
                    <xdr:col>4</xdr:col>
                    <xdr:colOff>9525</xdr:colOff>
                    <xdr:row>501</xdr:row>
                    <xdr:rowOff>9525</xdr:rowOff>
                  </from>
                  <to>
                    <xdr:col>5</xdr:col>
                    <xdr:colOff>104775</xdr:colOff>
                    <xdr:row>502</xdr:row>
                    <xdr:rowOff>38100</xdr:rowOff>
                  </to>
                </anchor>
              </controlPr>
            </control>
          </mc:Choice>
        </mc:AlternateContent>
        <mc:AlternateContent xmlns:mc="http://schemas.openxmlformats.org/markup-compatibility/2006">
          <mc:Choice Requires="x14">
            <control shapeId="48256" r:id="rId78" name="Check Box 128">
              <controlPr defaultSize="0" autoFill="0" autoLine="0" autoPict="0">
                <anchor moveWithCells="1">
                  <from>
                    <xdr:col>4</xdr:col>
                    <xdr:colOff>9525</xdr:colOff>
                    <xdr:row>502</xdr:row>
                    <xdr:rowOff>9525</xdr:rowOff>
                  </from>
                  <to>
                    <xdr:col>5</xdr:col>
                    <xdr:colOff>104775</xdr:colOff>
                    <xdr:row>503</xdr:row>
                    <xdr:rowOff>38100</xdr:rowOff>
                  </to>
                </anchor>
              </controlPr>
            </control>
          </mc:Choice>
        </mc:AlternateContent>
        <mc:AlternateContent xmlns:mc="http://schemas.openxmlformats.org/markup-compatibility/2006">
          <mc:Choice Requires="x14">
            <control shapeId="48257" r:id="rId79" name="Check Box 129">
              <controlPr defaultSize="0" autoFill="0" autoLine="0" autoPict="0">
                <anchor moveWithCells="1">
                  <from>
                    <xdr:col>4</xdr:col>
                    <xdr:colOff>9525</xdr:colOff>
                    <xdr:row>503</xdr:row>
                    <xdr:rowOff>9525</xdr:rowOff>
                  </from>
                  <to>
                    <xdr:col>5</xdr:col>
                    <xdr:colOff>104775</xdr:colOff>
                    <xdr:row>504</xdr:row>
                    <xdr:rowOff>38100</xdr:rowOff>
                  </to>
                </anchor>
              </controlPr>
            </control>
          </mc:Choice>
        </mc:AlternateContent>
        <mc:AlternateContent xmlns:mc="http://schemas.openxmlformats.org/markup-compatibility/2006">
          <mc:Choice Requires="x14">
            <control shapeId="48258" r:id="rId80" name="Check Box 130">
              <controlPr defaultSize="0" autoFill="0" autoLine="0" autoPict="0">
                <anchor moveWithCells="1">
                  <from>
                    <xdr:col>4</xdr:col>
                    <xdr:colOff>9525</xdr:colOff>
                    <xdr:row>503</xdr:row>
                    <xdr:rowOff>142875</xdr:rowOff>
                  </from>
                  <to>
                    <xdr:col>5</xdr:col>
                    <xdr:colOff>104775</xdr:colOff>
                    <xdr:row>505</xdr:row>
                    <xdr:rowOff>0</xdr:rowOff>
                  </to>
                </anchor>
              </controlPr>
            </control>
          </mc:Choice>
        </mc:AlternateContent>
        <mc:AlternateContent xmlns:mc="http://schemas.openxmlformats.org/markup-compatibility/2006">
          <mc:Choice Requires="x14">
            <control shapeId="48259" r:id="rId81" name="Group Box 131">
              <controlPr defaultSize="0" autoFill="0" autoPict="0">
                <anchor moveWithCells="1">
                  <from>
                    <xdr:col>11</xdr:col>
                    <xdr:colOff>0</xdr:colOff>
                    <xdr:row>513</xdr:row>
                    <xdr:rowOff>9525</xdr:rowOff>
                  </from>
                  <to>
                    <xdr:col>15</xdr:col>
                    <xdr:colOff>9525</xdr:colOff>
                    <xdr:row>514</xdr:row>
                    <xdr:rowOff>0</xdr:rowOff>
                  </to>
                </anchor>
              </controlPr>
            </control>
          </mc:Choice>
        </mc:AlternateContent>
        <mc:AlternateContent xmlns:mc="http://schemas.openxmlformats.org/markup-compatibility/2006">
          <mc:Choice Requires="x14">
            <control shapeId="48260" r:id="rId82" name="Option Button 132">
              <controlPr defaultSize="0" autoFill="0" autoLine="0" autoPict="0">
                <anchor moveWithCells="1">
                  <from>
                    <xdr:col>11</xdr:col>
                    <xdr:colOff>190500</xdr:colOff>
                    <xdr:row>513</xdr:row>
                    <xdr:rowOff>66675</xdr:rowOff>
                  </from>
                  <to>
                    <xdr:col>13</xdr:col>
                    <xdr:colOff>66675</xdr:colOff>
                    <xdr:row>514</xdr:row>
                    <xdr:rowOff>38100</xdr:rowOff>
                  </to>
                </anchor>
              </controlPr>
            </control>
          </mc:Choice>
        </mc:AlternateContent>
        <mc:AlternateContent xmlns:mc="http://schemas.openxmlformats.org/markup-compatibility/2006">
          <mc:Choice Requires="x14">
            <control shapeId="48261" r:id="rId83" name="Option Button 133">
              <controlPr defaultSize="0" autoFill="0" autoLine="0" autoPict="0">
                <anchor moveWithCells="1">
                  <from>
                    <xdr:col>13</xdr:col>
                    <xdr:colOff>104775</xdr:colOff>
                    <xdr:row>513</xdr:row>
                    <xdr:rowOff>66675</xdr:rowOff>
                  </from>
                  <to>
                    <xdr:col>14</xdr:col>
                    <xdr:colOff>342900</xdr:colOff>
                    <xdr:row>514</xdr:row>
                    <xdr:rowOff>38100</xdr:rowOff>
                  </to>
                </anchor>
              </controlPr>
            </control>
          </mc:Choice>
        </mc:AlternateContent>
        <mc:AlternateContent xmlns:mc="http://schemas.openxmlformats.org/markup-compatibility/2006">
          <mc:Choice Requires="x14">
            <control shapeId="48262" r:id="rId84" name="Group Box 134">
              <controlPr defaultSize="0" autoFill="0" autoPict="0">
                <anchor moveWithCells="1">
                  <from>
                    <xdr:col>1</xdr:col>
                    <xdr:colOff>0</xdr:colOff>
                    <xdr:row>557</xdr:row>
                    <xdr:rowOff>19050</xdr:rowOff>
                  </from>
                  <to>
                    <xdr:col>15</xdr:col>
                    <xdr:colOff>19050</xdr:colOff>
                    <xdr:row>558</xdr:row>
                    <xdr:rowOff>19050</xdr:rowOff>
                  </to>
                </anchor>
              </controlPr>
            </control>
          </mc:Choice>
        </mc:AlternateContent>
        <mc:AlternateContent xmlns:mc="http://schemas.openxmlformats.org/markup-compatibility/2006">
          <mc:Choice Requires="x14">
            <control shapeId="48263" r:id="rId85" name="Option Button 135">
              <controlPr defaultSize="0" autoFill="0" autoLine="0" autoPict="0">
                <anchor moveWithCells="1">
                  <from>
                    <xdr:col>1</xdr:col>
                    <xdr:colOff>57150</xdr:colOff>
                    <xdr:row>557</xdr:row>
                    <xdr:rowOff>28575</xdr:rowOff>
                  </from>
                  <to>
                    <xdr:col>1</xdr:col>
                    <xdr:colOff>628650</xdr:colOff>
                    <xdr:row>558</xdr:row>
                    <xdr:rowOff>19050</xdr:rowOff>
                  </to>
                </anchor>
              </controlPr>
            </control>
          </mc:Choice>
        </mc:AlternateContent>
        <mc:AlternateContent xmlns:mc="http://schemas.openxmlformats.org/markup-compatibility/2006">
          <mc:Choice Requires="x14">
            <control shapeId="48264" r:id="rId86" name="Option Button 136">
              <controlPr defaultSize="0" autoFill="0" autoLine="0" autoPict="0">
                <anchor moveWithCells="1">
                  <from>
                    <xdr:col>1</xdr:col>
                    <xdr:colOff>742950</xdr:colOff>
                    <xdr:row>557</xdr:row>
                    <xdr:rowOff>28575</xdr:rowOff>
                  </from>
                  <to>
                    <xdr:col>15</xdr:col>
                    <xdr:colOff>0</xdr:colOff>
                    <xdr:row>558</xdr:row>
                    <xdr:rowOff>19050</xdr:rowOff>
                  </to>
                </anchor>
              </controlPr>
            </control>
          </mc:Choice>
        </mc:AlternateContent>
        <mc:AlternateContent xmlns:mc="http://schemas.openxmlformats.org/markup-compatibility/2006">
          <mc:Choice Requires="x14">
            <control shapeId="48299" r:id="rId87" name="Check Box 171">
              <controlPr defaultSize="0" autoFill="0" autoLine="0" autoPict="0">
                <anchor moveWithCells="1">
                  <from>
                    <xdr:col>4</xdr:col>
                    <xdr:colOff>0</xdr:colOff>
                    <xdr:row>105</xdr:row>
                    <xdr:rowOff>152400</xdr:rowOff>
                  </from>
                  <to>
                    <xdr:col>5</xdr:col>
                    <xdr:colOff>95250</xdr:colOff>
                    <xdr:row>107</xdr:row>
                    <xdr:rowOff>28575</xdr:rowOff>
                  </to>
                </anchor>
              </controlPr>
            </control>
          </mc:Choice>
        </mc:AlternateContent>
        <mc:AlternateContent xmlns:mc="http://schemas.openxmlformats.org/markup-compatibility/2006">
          <mc:Choice Requires="x14">
            <control shapeId="48300" r:id="rId88" name="Check Box 172">
              <controlPr defaultSize="0" autoFill="0" autoLine="0" autoPict="0">
                <anchor moveWithCells="1">
                  <from>
                    <xdr:col>4</xdr:col>
                    <xdr:colOff>0</xdr:colOff>
                    <xdr:row>107</xdr:row>
                    <xdr:rowOff>133350</xdr:rowOff>
                  </from>
                  <to>
                    <xdr:col>5</xdr:col>
                    <xdr:colOff>95250</xdr:colOff>
                    <xdr:row>109</xdr:row>
                    <xdr:rowOff>19050</xdr:rowOff>
                  </to>
                </anchor>
              </controlPr>
            </control>
          </mc:Choice>
        </mc:AlternateContent>
        <mc:AlternateContent xmlns:mc="http://schemas.openxmlformats.org/markup-compatibility/2006">
          <mc:Choice Requires="x14">
            <control shapeId="48301" r:id="rId89" name="Check Box 173">
              <controlPr defaultSize="0" autoFill="0" autoLine="0" autoPict="0">
                <anchor moveWithCells="1">
                  <from>
                    <xdr:col>4</xdr:col>
                    <xdr:colOff>0</xdr:colOff>
                    <xdr:row>106</xdr:row>
                    <xdr:rowOff>133350</xdr:rowOff>
                  </from>
                  <to>
                    <xdr:col>5</xdr:col>
                    <xdr:colOff>95250</xdr:colOff>
                    <xdr:row>108</xdr:row>
                    <xdr:rowOff>19050</xdr:rowOff>
                  </to>
                </anchor>
              </controlPr>
            </control>
          </mc:Choice>
        </mc:AlternateContent>
        <mc:AlternateContent xmlns:mc="http://schemas.openxmlformats.org/markup-compatibility/2006">
          <mc:Choice Requires="x14">
            <control shapeId="48304" r:id="rId90" name="Check Box 176">
              <controlPr defaultSize="0" autoFill="0" autoLine="0" autoPict="0">
                <anchor moveWithCells="1">
                  <from>
                    <xdr:col>4</xdr:col>
                    <xdr:colOff>9525</xdr:colOff>
                    <xdr:row>180</xdr:row>
                    <xdr:rowOff>133350</xdr:rowOff>
                  </from>
                  <to>
                    <xdr:col>5</xdr:col>
                    <xdr:colOff>104775</xdr:colOff>
                    <xdr:row>182</xdr:row>
                    <xdr:rowOff>19050</xdr:rowOff>
                  </to>
                </anchor>
              </controlPr>
            </control>
          </mc:Choice>
        </mc:AlternateContent>
        <mc:AlternateContent xmlns:mc="http://schemas.openxmlformats.org/markup-compatibility/2006">
          <mc:Choice Requires="x14">
            <control shapeId="48305" r:id="rId91" name="Check Box 177">
              <controlPr defaultSize="0" autoFill="0" autoLine="0" autoPict="0">
                <anchor moveWithCells="1">
                  <from>
                    <xdr:col>4</xdr:col>
                    <xdr:colOff>0</xdr:colOff>
                    <xdr:row>181</xdr:row>
                    <xdr:rowOff>152400</xdr:rowOff>
                  </from>
                  <to>
                    <xdr:col>5</xdr:col>
                    <xdr:colOff>95250</xdr:colOff>
                    <xdr:row>183</xdr:row>
                    <xdr:rowOff>28575</xdr:rowOff>
                  </to>
                </anchor>
              </controlPr>
            </control>
          </mc:Choice>
        </mc:AlternateContent>
        <mc:AlternateContent xmlns:mc="http://schemas.openxmlformats.org/markup-compatibility/2006">
          <mc:Choice Requires="x14">
            <control shapeId="48306" r:id="rId92" name="Check Box 178">
              <controlPr defaultSize="0" autoFill="0" autoLine="0" autoPict="0">
                <anchor moveWithCells="1">
                  <from>
                    <xdr:col>4</xdr:col>
                    <xdr:colOff>0</xdr:colOff>
                    <xdr:row>183</xdr:row>
                    <xdr:rowOff>133350</xdr:rowOff>
                  </from>
                  <to>
                    <xdr:col>5</xdr:col>
                    <xdr:colOff>95250</xdr:colOff>
                    <xdr:row>185</xdr:row>
                    <xdr:rowOff>19050</xdr:rowOff>
                  </to>
                </anchor>
              </controlPr>
            </control>
          </mc:Choice>
        </mc:AlternateContent>
        <mc:AlternateContent xmlns:mc="http://schemas.openxmlformats.org/markup-compatibility/2006">
          <mc:Choice Requires="x14">
            <control shapeId="48307" r:id="rId93" name="Check Box 179">
              <controlPr defaultSize="0" autoFill="0" autoLine="0" autoPict="0">
                <anchor moveWithCells="1">
                  <from>
                    <xdr:col>4</xdr:col>
                    <xdr:colOff>0</xdr:colOff>
                    <xdr:row>182</xdr:row>
                    <xdr:rowOff>133350</xdr:rowOff>
                  </from>
                  <to>
                    <xdr:col>5</xdr:col>
                    <xdr:colOff>95250</xdr:colOff>
                    <xdr:row>184</xdr:row>
                    <xdr:rowOff>28575</xdr:rowOff>
                  </to>
                </anchor>
              </controlPr>
            </control>
          </mc:Choice>
        </mc:AlternateContent>
        <mc:AlternateContent xmlns:mc="http://schemas.openxmlformats.org/markup-compatibility/2006">
          <mc:Choice Requires="x14">
            <control shapeId="48308" r:id="rId94" name="Check Box 180">
              <controlPr defaultSize="0" autoFill="0" autoLine="0" autoPict="0">
                <anchor moveWithCells="1">
                  <from>
                    <xdr:col>4</xdr:col>
                    <xdr:colOff>9525</xdr:colOff>
                    <xdr:row>256</xdr:row>
                    <xdr:rowOff>114300</xdr:rowOff>
                  </from>
                  <to>
                    <xdr:col>5</xdr:col>
                    <xdr:colOff>104775</xdr:colOff>
                    <xdr:row>258</xdr:row>
                    <xdr:rowOff>28575</xdr:rowOff>
                  </to>
                </anchor>
              </controlPr>
            </control>
          </mc:Choice>
        </mc:AlternateContent>
        <mc:AlternateContent xmlns:mc="http://schemas.openxmlformats.org/markup-compatibility/2006">
          <mc:Choice Requires="x14">
            <control shapeId="48309" r:id="rId95" name="Check Box 181">
              <controlPr defaultSize="0" autoFill="0" autoLine="0" autoPict="0">
                <anchor moveWithCells="1">
                  <from>
                    <xdr:col>4</xdr:col>
                    <xdr:colOff>0</xdr:colOff>
                    <xdr:row>257</xdr:row>
                    <xdr:rowOff>152400</xdr:rowOff>
                  </from>
                  <to>
                    <xdr:col>5</xdr:col>
                    <xdr:colOff>95250</xdr:colOff>
                    <xdr:row>259</xdr:row>
                    <xdr:rowOff>28575</xdr:rowOff>
                  </to>
                </anchor>
              </controlPr>
            </control>
          </mc:Choice>
        </mc:AlternateContent>
        <mc:AlternateContent xmlns:mc="http://schemas.openxmlformats.org/markup-compatibility/2006">
          <mc:Choice Requires="x14">
            <control shapeId="48310" r:id="rId96" name="Check Box 182">
              <controlPr defaultSize="0" autoFill="0" autoLine="0" autoPict="0">
                <anchor moveWithCells="1">
                  <from>
                    <xdr:col>4</xdr:col>
                    <xdr:colOff>0</xdr:colOff>
                    <xdr:row>259</xdr:row>
                    <xdr:rowOff>133350</xdr:rowOff>
                  </from>
                  <to>
                    <xdr:col>5</xdr:col>
                    <xdr:colOff>95250</xdr:colOff>
                    <xdr:row>261</xdr:row>
                    <xdr:rowOff>19050</xdr:rowOff>
                  </to>
                </anchor>
              </controlPr>
            </control>
          </mc:Choice>
        </mc:AlternateContent>
        <mc:AlternateContent xmlns:mc="http://schemas.openxmlformats.org/markup-compatibility/2006">
          <mc:Choice Requires="x14">
            <control shapeId="48311" r:id="rId97" name="Check Box 183">
              <controlPr defaultSize="0" autoFill="0" autoLine="0" autoPict="0">
                <anchor moveWithCells="1">
                  <from>
                    <xdr:col>4</xdr:col>
                    <xdr:colOff>0</xdr:colOff>
                    <xdr:row>258</xdr:row>
                    <xdr:rowOff>123825</xdr:rowOff>
                  </from>
                  <to>
                    <xdr:col>5</xdr:col>
                    <xdr:colOff>95250</xdr:colOff>
                    <xdr:row>260</xdr:row>
                    <xdr:rowOff>19050</xdr:rowOff>
                  </to>
                </anchor>
              </controlPr>
            </control>
          </mc:Choice>
        </mc:AlternateContent>
        <mc:AlternateContent xmlns:mc="http://schemas.openxmlformats.org/markup-compatibility/2006">
          <mc:Choice Requires="x14">
            <control shapeId="48312" r:id="rId98" name="Check Box 184">
              <controlPr defaultSize="0" autoFill="0" autoLine="0" autoPict="0">
                <anchor moveWithCells="1">
                  <from>
                    <xdr:col>4</xdr:col>
                    <xdr:colOff>9525</xdr:colOff>
                    <xdr:row>331</xdr:row>
                    <xdr:rowOff>133350</xdr:rowOff>
                  </from>
                  <to>
                    <xdr:col>5</xdr:col>
                    <xdr:colOff>104775</xdr:colOff>
                    <xdr:row>333</xdr:row>
                    <xdr:rowOff>19050</xdr:rowOff>
                  </to>
                </anchor>
              </controlPr>
            </control>
          </mc:Choice>
        </mc:AlternateContent>
        <mc:AlternateContent xmlns:mc="http://schemas.openxmlformats.org/markup-compatibility/2006">
          <mc:Choice Requires="x14">
            <control shapeId="48313" r:id="rId99" name="Check Box 185">
              <controlPr defaultSize="0" autoFill="0" autoLine="0" autoPict="0">
                <anchor moveWithCells="1">
                  <from>
                    <xdr:col>4</xdr:col>
                    <xdr:colOff>0</xdr:colOff>
                    <xdr:row>332</xdr:row>
                    <xdr:rowOff>142875</xdr:rowOff>
                  </from>
                  <to>
                    <xdr:col>5</xdr:col>
                    <xdr:colOff>95250</xdr:colOff>
                    <xdr:row>334</xdr:row>
                    <xdr:rowOff>19050</xdr:rowOff>
                  </to>
                </anchor>
              </controlPr>
            </control>
          </mc:Choice>
        </mc:AlternateContent>
        <mc:AlternateContent xmlns:mc="http://schemas.openxmlformats.org/markup-compatibility/2006">
          <mc:Choice Requires="x14">
            <control shapeId="48314" r:id="rId100" name="Check Box 186">
              <controlPr defaultSize="0" autoFill="0" autoLine="0" autoPict="0">
                <anchor moveWithCells="1">
                  <from>
                    <xdr:col>4</xdr:col>
                    <xdr:colOff>0</xdr:colOff>
                    <xdr:row>334</xdr:row>
                    <xdr:rowOff>123825</xdr:rowOff>
                  </from>
                  <to>
                    <xdr:col>5</xdr:col>
                    <xdr:colOff>95250</xdr:colOff>
                    <xdr:row>336</xdr:row>
                    <xdr:rowOff>9525</xdr:rowOff>
                  </to>
                </anchor>
              </controlPr>
            </control>
          </mc:Choice>
        </mc:AlternateContent>
        <mc:AlternateContent xmlns:mc="http://schemas.openxmlformats.org/markup-compatibility/2006">
          <mc:Choice Requires="x14">
            <control shapeId="48315" r:id="rId101" name="Check Box 187">
              <controlPr defaultSize="0" autoFill="0" autoLine="0" autoPict="0">
                <anchor moveWithCells="1">
                  <from>
                    <xdr:col>4</xdr:col>
                    <xdr:colOff>0</xdr:colOff>
                    <xdr:row>333</xdr:row>
                    <xdr:rowOff>114300</xdr:rowOff>
                  </from>
                  <to>
                    <xdr:col>5</xdr:col>
                    <xdr:colOff>95250</xdr:colOff>
                    <xdr:row>335</xdr:row>
                    <xdr:rowOff>9525</xdr:rowOff>
                  </to>
                </anchor>
              </controlPr>
            </control>
          </mc:Choice>
        </mc:AlternateContent>
        <mc:AlternateContent xmlns:mc="http://schemas.openxmlformats.org/markup-compatibility/2006">
          <mc:Choice Requires="x14">
            <control shapeId="48606" r:id="rId102" name="Check Box 478">
              <controlPr defaultSize="0" autoFill="0" autoLine="0" autoPict="0">
                <anchor moveWithCells="1">
                  <from>
                    <xdr:col>7</xdr:col>
                    <xdr:colOff>47625</xdr:colOff>
                    <xdr:row>576</xdr:row>
                    <xdr:rowOff>19050</xdr:rowOff>
                  </from>
                  <to>
                    <xdr:col>8</xdr:col>
                    <xdr:colOff>66675</xdr:colOff>
                    <xdr:row>577</xdr:row>
                    <xdr:rowOff>9525</xdr:rowOff>
                  </to>
                </anchor>
              </controlPr>
            </control>
          </mc:Choice>
        </mc:AlternateContent>
        <mc:AlternateContent xmlns:mc="http://schemas.openxmlformats.org/markup-compatibility/2006">
          <mc:Choice Requires="x14">
            <control shapeId="48617" r:id="rId103" name="Check Box 489">
              <controlPr defaultSize="0" autoFill="0" autoLine="0" autoPict="0">
                <anchor moveWithCells="1">
                  <from>
                    <xdr:col>6</xdr:col>
                    <xdr:colOff>133350</xdr:colOff>
                    <xdr:row>422</xdr:row>
                    <xdr:rowOff>28575</xdr:rowOff>
                  </from>
                  <to>
                    <xdr:col>7</xdr:col>
                    <xdr:colOff>219075</xdr:colOff>
                    <xdr:row>423</xdr:row>
                    <xdr:rowOff>19050</xdr:rowOff>
                  </to>
                </anchor>
              </controlPr>
            </control>
          </mc:Choice>
        </mc:AlternateContent>
        <mc:AlternateContent xmlns:mc="http://schemas.openxmlformats.org/markup-compatibility/2006">
          <mc:Choice Requires="x14">
            <control shapeId="48647" r:id="rId104" name="Label 519">
              <controlPr defaultSize="0" autoFill="0" autoLine="0" autoPict="0">
                <anchor moveWithCells="1" sizeWithCells="1">
                  <from>
                    <xdr:col>1</xdr:col>
                    <xdr:colOff>200025</xdr:colOff>
                    <xdr:row>462</xdr:row>
                    <xdr:rowOff>9525</xdr:rowOff>
                  </from>
                  <to>
                    <xdr:col>1</xdr:col>
                    <xdr:colOff>819150</xdr:colOff>
                    <xdr:row>462</xdr:row>
                    <xdr:rowOff>152400</xdr:rowOff>
                  </to>
                </anchor>
              </controlPr>
            </control>
          </mc:Choice>
        </mc:AlternateContent>
        <mc:AlternateContent xmlns:mc="http://schemas.openxmlformats.org/markup-compatibility/2006">
          <mc:Choice Requires="x14">
            <control shapeId="48649" r:id="rId105" name="Check Box 521">
              <controlPr locked="0" defaultSize="0" autoFill="0" autoLine="0" autoPict="0">
                <anchor moveWithCells="1">
                  <from>
                    <xdr:col>4</xdr:col>
                    <xdr:colOff>9525</xdr:colOff>
                    <xdr:row>466</xdr:row>
                    <xdr:rowOff>180975</xdr:rowOff>
                  </from>
                  <to>
                    <xdr:col>5</xdr:col>
                    <xdr:colOff>104775</xdr:colOff>
                    <xdr:row>468</xdr:row>
                    <xdr:rowOff>19050</xdr:rowOff>
                  </to>
                </anchor>
              </controlPr>
            </control>
          </mc:Choice>
        </mc:AlternateContent>
        <mc:AlternateContent xmlns:mc="http://schemas.openxmlformats.org/markup-compatibility/2006">
          <mc:Choice Requires="x14">
            <control shapeId="48174" r:id="rId106" name="Group Box 46">
              <controlPr defaultSize="0" autoFill="0" autoPict="0">
                <anchor moveWithCells="1" sizeWithCells="1">
                  <from>
                    <xdr:col>2</xdr:col>
                    <xdr:colOff>0</xdr:colOff>
                    <xdr:row>411</xdr:row>
                    <xdr:rowOff>0</xdr:rowOff>
                  </from>
                  <to>
                    <xdr:col>15</xdr:col>
                    <xdr:colOff>0</xdr:colOff>
                    <xdr:row>412</xdr:row>
                    <xdr:rowOff>0</xdr:rowOff>
                  </to>
                </anchor>
              </controlPr>
            </control>
          </mc:Choice>
        </mc:AlternateContent>
        <mc:AlternateContent xmlns:mc="http://schemas.openxmlformats.org/markup-compatibility/2006">
          <mc:Choice Requires="x14">
            <control shapeId="48175" r:id="rId107" name="Option Button 47">
              <controlPr defaultSize="0" autoFill="0" autoLine="0" autoPict="0">
                <anchor moveWithCells="1" sizeWithCells="1">
                  <from>
                    <xdr:col>2</xdr:col>
                    <xdr:colOff>0</xdr:colOff>
                    <xdr:row>411</xdr:row>
                    <xdr:rowOff>19050</xdr:rowOff>
                  </from>
                  <to>
                    <xdr:col>5</xdr:col>
                    <xdr:colOff>9525</xdr:colOff>
                    <xdr:row>411</xdr:row>
                    <xdr:rowOff>238125</xdr:rowOff>
                  </to>
                </anchor>
              </controlPr>
            </control>
          </mc:Choice>
        </mc:AlternateContent>
        <mc:AlternateContent xmlns:mc="http://schemas.openxmlformats.org/markup-compatibility/2006">
          <mc:Choice Requires="x14">
            <control shapeId="48176" r:id="rId108" name="Option Button 48">
              <controlPr defaultSize="0" autoFill="0" autoLine="0" autoPict="0">
                <anchor moveWithCells="1" sizeWithCells="1">
                  <from>
                    <xdr:col>5</xdr:col>
                    <xdr:colOff>76200</xdr:colOff>
                    <xdr:row>411</xdr:row>
                    <xdr:rowOff>19050</xdr:rowOff>
                  </from>
                  <to>
                    <xdr:col>10</xdr:col>
                    <xdr:colOff>57150</xdr:colOff>
                    <xdr:row>411</xdr:row>
                    <xdr:rowOff>238125</xdr:rowOff>
                  </to>
                </anchor>
              </controlPr>
            </control>
          </mc:Choice>
        </mc:AlternateContent>
        <mc:AlternateContent xmlns:mc="http://schemas.openxmlformats.org/markup-compatibility/2006">
          <mc:Choice Requires="x14">
            <control shapeId="48177" r:id="rId109" name="Option Button 49">
              <controlPr defaultSize="0" autoFill="0" autoLine="0" autoPict="0">
                <anchor moveWithCells="1" sizeWithCells="1">
                  <from>
                    <xdr:col>11</xdr:col>
                    <xdr:colOff>104775</xdr:colOff>
                    <xdr:row>411</xdr:row>
                    <xdr:rowOff>19050</xdr:rowOff>
                  </from>
                  <to>
                    <xdr:col>14</xdr:col>
                    <xdr:colOff>495300</xdr:colOff>
                    <xdr:row>411</xdr:row>
                    <xdr:rowOff>238125</xdr:rowOff>
                  </to>
                </anchor>
              </controlPr>
            </control>
          </mc:Choice>
        </mc:AlternateContent>
        <mc:AlternateContent xmlns:mc="http://schemas.openxmlformats.org/markup-compatibility/2006">
          <mc:Choice Requires="x14">
            <control shapeId="48179" r:id="rId110" name="Group Box 51">
              <controlPr defaultSize="0" autoFill="0" autoPict="0">
                <anchor moveWithCells="1" sizeWithCells="1">
                  <from>
                    <xdr:col>2</xdr:col>
                    <xdr:colOff>0</xdr:colOff>
                    <xdr:row>412</xdr:row>
                    <xdr:rowOff>0</xdr:rowOff>
                  </from>
                  <to>
                    <xdr:col>15</xdr:col>
                    <xdr:colOff>0</xdr:colOff>
                    <xdr:row>413</xdr:row>
                    <xdr:rowOff>0</xdr:rowOff>
                  </to>
                </anchor>
              </controlPr>
            </control>
          </mc:Choice>
        </mc:AlternateContent>
        <mc:AlternateContent xmlns:mc="http://schemas.openxmlformats.org/markup-compatibility/2006">
          <mc:Choice Requires="x14">
            <control shapeId="48180" r:id="rId111" name="Option Button 52">
              <controlPr defaultSize="0" autoFill="0" autoLine="0" autoPict="0">
                <anchor moveWithCells="1" sizeWithCells="1">
                  <from>
                    <xdr:col>2</xdr:col>
                    <xdr:colOff>0</xdr:colOff>
                    <xdr:row>412</xdr:row>
                    <xdr:rowOff>19050</xdr:rowOff>
                  </from>
                  <to>
                    <xdr:col>5</xdr:col>
                    <xdr:colOff>9525</xdr:colOff>
                    <xdr:row>412</xdr:row>
                    <xdr:rowOff>238125</xdr:rowOff>
                  </to>
                </anchor>
              </controlPr>
            </control>
          </mc:Choice>
        </mc:AlternateContent>
        <mc:AlternateContent xmlns:mc="http://schemas.openxmlformats.org/markup-compatibility/2006">
          <mc:Choice Requires="x14">
            <control shapeId="48181" r:id="rId112" name="Option Button 53">
              <controlPr defaultSize="0" autoFill="0" autoLine="0" autoPict="0">
                <anchor moveWithCells="1" sizeWithCells="1">
                  <from>
                    <xdr:col>5</xdr:col>
                    <xdr:colOff>76200</xdr:colOff>
                    <xdr:row>412</xdr:row>
                    <xdr:rowOff>19050</xdr:rowOff>
                  </from>
                  <to>
                    <xdr:col>10</xdr:col>
                    <xdr:colOff>19050</xdr:colOff>
                    <xdr:row>412</xdr:row>
                    <xdr:rowOff>238125</xdr:rowOff>
                  </to>
                </anchor>
              </controlPr>
            </control>
          </mc:Choice>
        </mc:AlternateContent>
        <mc:AlternateContent xmlns:mc="http://schemas.openxmlformats.org/markup-compatibility/2006">
          <mc:Choice Requires="x14">
            <control shapeId="48182" r:id="rId113" name="Option Button 54">
              <controlPr defaultSize="0" autoFill="0" autoLine="0" autoPict="0">
                <anchor moveWithCells="1" sizeWithCells="1">
                  <from>
                    <xdr:col>11</xdr:col>
                    <xdr:colOff>104775</xdr:colOff>
                    <xdr:row>412</xdr:row>
                    <xdr:rowOff>19050</xdr:rowOff>
                  </from>
                  <to>
                    <xdr:col>14</xdr:col>
                    <xdr:colOff>495300</xdr:colOff>
                    <xdr:row>412</xdr:row>
                    <xdr:rowOff>238125</xdr:rowOff>
                  </to>
                </anchor>
              </controlPr>
            </control>
          </mc:Choice>
        </mc:AlternateContent>
        <mc:AlternateContent xmlns:mc="http://schemas.openxmlformats.org/markup-compatibility/2006">
          <mc:Choice Requires="x14">
            <control shapeId="48184" r:id="rId114" name="Group Box 56">
              <controlPr defaultSize="0" autoFill="0" autoPict="0">
                <anchor moveWithCells="1" sizeWithCells="1">
                  <from>
                    <xdr:col>2</xdr:col>
                    <xdr:colOff>0</xdr:colOff>
                    <xdr:row>414</xdr:row>
                    <xdr:rowOff>0</xdr:rowOff>
                  </from>
                  <to>
                    <xdr:col>15</xdr:col>
                    <xdr:colOff>0</xdr:colOff>
                    <xdr:row>415</xdr:row>
                    <xdr:rowOff>0</xdr:rowOff>
                  </to>
                </anchor>
              </controlPr>
            </control>
          </mc:Choice>
        </mc:AlternateContent>
        <mc:AlternateContent xmlns:mc="http://schemas.openxmlformats.org/markup-compatibility/2006">
          <mc:Choice Requires="x14">
            <control shapeId="48185" r:id="rId115" name="Option Button 57">
              <controlPr defaultSize="0" autoFill="0" autoLine="0" autoPict="0">
                <anchor moveWithCells="1" sizeWithCells="1">
                  <from>
                    <xdr:col>2</xdr:col>
                    <xdr:colOff>0</xdr:colOff>
                    <xdr:row>414</xdr:row>
                    <xdr:rowOff>19050</xdr:rowOff>
                  </from>
                  <to>
                    <xdr:col>4</xdr:col>
                    <xdr:colOff>190500</xdr:colOff>
                    <xdr:row>414</xdr:row>
                    <xdr:rowOff>238125</xdr:rowOff>
                  </to>
                </anchor>
              </controlPr>
            </control>
          </mc:Choice>
        </mc:AlternateContent>
        <mc:AlternateContent xmlns:mc="http://schemas.openxmlformats.org/markup-compatibility/2006">
          <mc:Choice Requires="x14">
            <control shapeId="48186" r:id="rId116" name="Option Button 58">
              <controlPr defaultSize="0" autoFill="0" autoLine="0" autoPict="0">
                <anchor moveWithCells="1" sizeWithCells="1">
                  <from>
                    <xdr:col>5</xdr:col>
                    <xdr:colOff>76200</xdr:colOff>
                    <xdr:row>414</xdr:row>
                    <xdr:rowOff>19050</xdr:rowOff>
                  </from>
                  <to>
                    <xdr:col>10</xdr:col>
                    <xdr:colOff>190500</xdr:colOff>
                    <xdr:row>414</xdr:row>
                    <xdr:rowOff>238125</xdr:rowOff>
                  </to>
                </anchor>
              </controlPr>
            </control>
          </mc:Choice>
        </mc:AlternateContent>
        <mc:AlternateContent xmlns:mc="http://schemas.openxmlformats.org/markup-compatibility/2006">
          <mc:Choice Requires="x14">
            <control shapeId="48187" r:id="rId117" name="Option Button 59">
              <controlPr defaultSize="0" autoFill="0" autoLine="0" autoPict="0">
                <anchor moveWithCells="1" sizeWithCells="1">
                  <from>
                    <xdr:col>11</xdr:col>
                    <xdr:colOff>95250</xdr:colOff>
                    <xdr:row>414</xdr:row>
                    <xdr:rowOff>19050</xdr:rowOff>
                  </from>
                  <to>
                    <xdr:col>14</xdr:col>
                    <xdr:colOff>571500</xdr:colOff>
                    <xdr:row>414</xdr:row>
                    <xdr:rowOff>238125</xdr:rowOff>
                  </to>
                </anchor>
              </controlPr>
            </control>
          </mc:Choice>
        </mc:AlternateContent>
        <mc:AlternateContent xmlns:mc="http://schemas.openxmlformats.org/markup-compatibility/2006">
          <mc:Choice Requires="x14">
            <control shapeId="48189" r:id="rId118" name="Group Box 61">
              <controlPr defaultSize="0" autoFill="0" autoPict="0">
                <anchor moveWithCells="1" sizeWithCells="1">
                  <from>
                    <xdr:col>2</xdr:col>
                    <xdr:colOff>0</xdr:colOff>
                    <xdr:row>415</xdr:row>
                    <xdr:rowOff>0</xdr:rowOff>
                  </from>
                  <to>
                    <xdr:col>15</xdr:col>
                    <xdr:colOff>0</xdr:colOff>
                    <xdr:row>416</xdr:row>
                    <xdr:rowOff>0</xdr:rowOff>
                  </to>
                </anchor>
              </controlPr>
            </control>
          </mc:Choice>
        </mc:AlternateContent>
        <mc:AlternateContent xmlns:mc="http://schemas.openxmlformats.org/markup-compatibility/2006">
          <mc:Choice Requires="x14">
            <control shapeId="48190" r:id="rId119" name="Option Button 62">
              <controlPr defaultSize="0" autoFill="0" autoLine="0" autoPict="0">
                <anchor moveWithCells="1" sizeWithCells="1">
                  <from>
                    <xdr:col>2</xdr:col>
                    <xdr:colOff>0</xdr:colOff>
                    <xdr:row>415</xdr:row>
                    <xdr:rowOff>19050</xdr:rowOff>
                  </from>
                  <to>
                    <xdr:col>4</xdr:col>
                    <xdr:colOff>190500</xdr:colOff>
                    <xdr:row>415</xdr:row>
                    <xdr:rowOff>238125</xdr:rowOff>
                  </to>
                </anchor>
              </controlPr>
            </control>
          </mc:Choice>
        </mc:AlternateContent>
        <mc:AlternateContent xmlns:mc="http://schemas.openxmlformats.org/markup-compatibility/2006">
          <mc:Choice Requires="x14">
            <control shapeId="48191" r:id="rId120" name="Option Button 63">
              <controlPr defaultSize="0" autoFill="0" autoLine="0" autoPict="0">
                <anchor moveWithCells="1" sizeWithCells="1">
                  <from>
                    <xdr:col>5</xdr:col>
                    <xdr:colOff>76200</xdr:colOff>
                    <xdr:row>415</xdr:row>
                    <xdr:rowOff>19050</xdr:rowOff>
                  </from>
                  <to>
                    <xdr:col>10</xdr:col>
                    <xdr:colOff>219075</xdr:colOff>
                    <xdr:row>415</xdr:row>
                    <xdr:rowOff>238125</xdr:rowOff>
                  </to>
                </anchor>
              </controlPr>
            </control>
          </mc:Choice>
        </mc:AlternateContent>
        <mc:AlternateContent xmlns:mc="http://schemas.openxmlformats.org/markup-compatibility/2006">
          <mc:Choice Requires="x14">
            <control shapeId="48192" r:id="rId121" name="Option Button 64">
              <controlPr defaultSize="0" autoFill="0" autoLine="0" autoPict="0">
                <anchor moveWithCells="1" sizeWithCells="1">
                  <from>
                    <xdr:col>11</xdr:col>
                    <xdr:colOff>95250</xdr:colOff>
                    <xdr:row>415</xdr:row>
                    <xdr:rowOff>19050</xdr:rowOff>
                  </from>
                  <to>
                    <xdr:col>14</xdr:col>
                    <xdr:colOff>571500</xdr:colOff>
                    <xdr:row>415</xdr:row>
                    <xdr:rowOff>238125</xdr:rowOff>
                  </to>
                </anchor>
              </controlPr>
            </control>
          </mc:Choice>
        </mc:AlternateContent>
        <mc:AlternateContent xmlns:mc="http://schemas.openxmlformats.org/markup-compatibility/2006">
          <mc:Choice Requires="x14">
            <control shapeId="48239" r:id="rId122" name="Group Box 111">
              <controlPr defaultSize="0" autoFill="0" autoPict="0">
                <anchor moveWithCells="1" sizeWithCells="1">
                  <from>
                    <xdr:col>1</xdr:col>
                    <xdr:colOff>0</xdr:colOff>
                    <xdr:row>478</xdr:row>
                    <xdr:rowOff>0</xdr:rowOff>
                  </from>
                  <to>
                    <xdr:col>4</xdr:col>
                    <xdr:colOff>0</xdr:colOff>
                    <xdr:row>491</xdr:row>
                    <xdr:rowOff>0</xdr:rowOff>
                  </to>
                </anchor>
              </controlPr>
            </control>
          </mc:Choice>
        </mc:AlternateContent>
        <mc:AlternateContent xmlns:mc="http://schemas.openxmlformats.org/markup-compatibility/2006">
          <mc:Choice Requires="x14">
            <control shapeId="48240" r:id="rId123" name="Option Button 112">
              <controlPr defaultSize="0" autoFill="0" autoLine="0" autoPict="0">
                <anchor moveWithCells="1" sizeWithCells="1">
                  <from>
                    <xdr:col>1</xdr:col>
                    <xdr:colOff>28575</xdr:colOff>
                    <xdr:row>479</xdr:row>
                    <xdr:rowOff>38100</xdr:rowOff>
                  </from>
                  <to>
                    <xdr:col>3</xdr:col>
                    <xdr:colOff>180975</xdr:colOff>
                    <xdr:row>480</xdr:row>
                    <xdr:rowOff>104775</xdr:rowOff>
                  </to>
                </anchor>
              </controlPr>
            </control>
          </mc:Choice>
        </mc:AlternateContent>
        <mc:AlternateContent xmlns:mc="http://schemas.openxmlformats.org/markup-compatibility/2006">
          <mc:Choice Requires="x14">
            <control shapeId="48241" r:id="rId124" name="Option Button 113">
              <controlPr defaultSize="0" autoFill="0" autoLine="0" autoPict="0">
                <anchor moveWithCells="1" sizeWithCells="1">
                  <from>
                    <xdr:col>1</xdr:col>
                    <xdr:colOff>28575</xdr:colOff>
                    <xdr:row>480</xdr:row>
                    <xdr:rowOff>133350</xdr:rowOff>
                  </from>
                  <to>
                    <xdr:col>3</xdr:col>
                    <xdr:colOff>171450</xdr:colOff>
                    <xdr:row>482</xdr:row>
                    <xdr:rowOff>19050</xdr:rowOff>
                  </to>
                </anchor>
              </controlPr>
            </control>
          </mc:Choice>
        </mc:AlternateContent>
        <mc:AlternateContent xmlns:mc="http://schemas.openxmlformats.org/markup-compatibility/2006">
          <mc:Choice Requires="x14">
            <control shapeId="48242" r:id="rId125" name="Option Button 114">
              <controlPr defaultSize="0" autoFill="0" autoLine="0" autoPict="0">
                <anchor moveWithCells="1" sizeWithCells="1">
                  <from>
                    <xdr:col>1</xdr:col>
                    <xdr:colOff>28575</xdr:colOff>
                    <xdr:row>482</xdr:row>
                    <xdr:rowOff>38100</xdr:rowOff>
                  </from>
                  <to>
                    <xdr:col>3</xdr:col>
                    <xdr:colOff>133350</xdr:colOff>
                    <xdr:row>483</xdr:row>
                    <xdr:rowOff>104775</xdr:rowOff>
                  </to>
                </anchor>
              </controlPr>
            </control>
          </mc:Choice>
        </mc:AlternateContent>
        <mc:AlternateContent xmlns:mc="http://schemas.openxmlformats.org/markup-compatibility/2006">
          <mc:Choice Requires="x14">
            <control shapeId="48244" r:id="rId126" name="Group Box 116">
              <controlPr defaultSize="0" autoFill="0" autoPict="0">
                <anchor moveWithCells="1" sizeWithCells="1">
                  <from>
                    <xdr:col>0</xdr:col>
                    <xdr:colOff>95250</xdr:colOff>
                    <xdr:row>494</xdr:row>
                    <xdr:rowOff>0</xdr:rowOff>
                  </from>
                  <to>
                    <xdr:col>4</xdr:col>
                    <xdr:colOff>0</xdr:colOff>
                    <xdr:row>505</xdr:row>
                    <xdr:rowOff>0</xdr:rowOff>
                  </to>
                </anchor>
              </controlPr>
            </control>
          </mc:Choice>
        </mc:AlternateContent>
        <mc:AlternateContent xmlns:mc="http://schemas.openxmlformats.org/markup-compatibility/2006">
          <mc:Choice Requires="x14">
            <control shapeId="48245" r:id="rId127" name="Option Button 117">
              <controlPr defaultSize="0" autoFill="0" autoLine="0" autoPict="0">
                <anchor moveWithCells="1" sizeWithCells="1">
                  <from>
                    <xdr:col>1</xdr:col>
                    <xdr:colOff>19050</xdr:colOff>
                    <xdr:row>495</xdr:row>
                    <xdr:rowOff>9525</xdr:rowOff>
                  </from>
                  <to>
                    <xdr:col>3</xdr:col>
                    <xdr:colOff>209550</xdr:colOff>
                    <xdr:row>496</xdr:row>
                    <xdr:rowOff>66675</xdr:rowOff>
                  </to>
                </anchor>
              </controlPr>
            </control>
          </mc:Choice>
        </mc:AlternateContent>
        <mc:AlternateContent xmlns:mc="http://schemas.openxmlformats.org/markup-compatibility/2006">
          <mc:Choice Requires="x14">
            <control shapeId="48246" r:id="rId128" name="Option Button 118">
              <controlPr defaultSize="0" autoFill="0" autoLine="0" autoPict="0">
                <anchor moveWithCells="1" sizeWithCells="1">
                  <from>
                    <xdr:col>1</xdr:col>
                    <xdr:colOff>19050</xdr:colOff>
                    <xdr:row>496</xdr:row>
                    <xdr:rowOff>104775</xdr:rowOff>
                  </from>
                  <to>
                    <xdr:col>3</xdr:col>
                    <xdr:colOff>209550</xdr:colOff>
                    <xdr:row>497</xdr:row>
                    <xdr:rowOff>9525</xdr:rowOff>
                  </to>
                </anchor>
              </controlPr>
            </control>
          </mc:Choice>
        </mc:AlternateContent>
        <mc:AlternateContent xmlns:mc="http://schemas.openxmlformats.org/markup-compatibility/2006">
          <mc:Choice Requires="x14">
            <control shapeId="48247" r:id="rId129" name="Option Button 119">
              <controlPr defaultSize="0" autoFill="0" autoLine="0" autoPict="0">
                <anchor moveWithCells="1" sizeWithCells="1">
                  <from>
                    <xdr:col>1</xdr:col>
                    <xdr:colOff>28575</xdr:colOff>
                    <xdr:row>497</xdr:row>
                    <xdr:rowOff>66675</xdr:rowOff>
                  </from>
                  <to>
                    <xdr:col>3</xdr:col>
                    <xdr:colOff>219075</xdr:colOff>
                    <xdr:row>498</xdr:row>
                    <xdr:rowOff>123825</xdr:rowOff>
                  </to>
                </anchor>
              </controlPr>
            </control>
          </mc:Choice>
        </mc:AlternateContent>
        <mc:AlternateContent xmlns:mc="http://schemas.openxmlformats.org/markup-compatibility/2006">
          <mc:Choice Requires="x14">
            <control shapeId="48266" r:id="rId130" name="Group Box 138">
              <controlPr defaultSize="0" autoFill="0" autoPict="0">
                <anchor moveWithCells="1" sizeWithCells="1">
                  <from>
                    <xdr:col>2</xdr:col>
                    <xdr:colOff>0</xdr:colOff>
                    <xdr:row>578</xdr:row>
                    <xdr:rowOff>0</xdr:rowOff>
                  </from>
                  <to>
                    <xdr:col>15</xdr:col>
                    <xdr:colOff>0</xdr:colOff>
                    <xdr:row>579</xdr:row>
                    <xdr:rowOff>0</xdr:rowOff>
                  </to>
                </anchor>
              </controlPr>
            </control>
          </mc:Choice>
        </mc:AlternateContent>
        <mc:AlternateContent xmlns:mc="http://schemas.openxmlformats.org/markup-compatibility/2006">
          <mc:Choice Requires="x14">
            <control shapeId="48267" r:id="rId131" name="Option Button 139">
              <controlPr defaultSize="0" autoFill="0" autoLine="0" autoPict="0">
                <anchor moveWithCells="1" sizeWithCells="1">
                  <from>
                    <xdr:col>2</xdr:col>
                    <xdr:colOff>19050</xdr:colOff>
                    <xdr:row>578</xdr:row>
                    <xdr:rowOff>123825</xdr:rowOff>
                  </from>
                  <to>
                    <xdr:col>3</xdr:col>
                    <xdr:colOff>190500</xdr:colOff>
                    <xdr:row>578</xdr:row>
                    <xdr:rowOff>342900</xdr:rowOff>
                  </to>
                </anchor>
              </controlPr>
            </control>
          </mc:Choice>
        </mc:AlternateContent>
        <mc:AlternateContent xmlns:mc="http://schemas.openxmlformats.org/markup-compatibility/2006">
          <mc:Choice Requires="x14">
            <control shapeId="48268" r:id="rId132" name="Option Button 140">
              <controlPr defaultSize="0" autoFill="0" autoLine="0" autoPict="0">
                <anchor moveWithCells="1" sizeWithCells="1">
                  <from>
                    <xdr:col>4</xdr:col>
                    <xdr:colOff>180975</xdr:colOff>
                    <xdr:row>578</xdr:row>
                    <xdr:rowOff>0</xdr:rowOff>
                  </from>
                  <to>
                    <xdr:col>14</xdr:col>
                    <xdr:colOff>47625</xdr:colOff>
                    <xdr:row>578</xdr:row>
                    <xdr:rowOff>219075</xdr:rowOff>
                  </to>
                </anchor>
              </controlPr>
            </control>
          </mc:Choice>
        </mc:AlternateContent>
        <mc:AlternateContent xmlns:mc="http://schemas.openxmlformats.org/markup-compatibility/2006">
          <mc:Choice Requires="x14">
            <control shapeId="48269" r:id="rId133" name="Option Button 141">
              <controlPr defaultSize="0" autoFill="0" autoLine="0" autoPict="0">
                <anchor moveWithCells="1" sizeWithCells="1">
                  <from>
                    <xdr:col>4</xdr:col>
                    <xdr:colOff>180975</xdr:colOff>
                    <xdr:row>578</xdr:row>
                    <xdr:rowOff>228600</xdr:rowOff>
                  </from>
                  <to>
                    <xdr:col>14</xdr:col>
                    <xdr:colOff>409575</xdr:colOff>
                    <xdr:row>578</xdr:row>
                    <xdr:rowOff>447675</xdr:rowOff>
                  </to>
                </anchor>
              </controlPr>
            </control>
          </mc:Choice>
        </mc:AlternateContent>
        <mc:AlternateContent xmlns:mc="http://schemas.openxmlformats.org/markup-compatibility/2006">
          <mc:Choice Requires="x14">
            <control shapeId="48271" r:id="rId134" name="Group Box 143">
              <controlPr defaultSize="0" autoFill="0" autoPict="0">
                <anchor moveWithCells="1" sizeWithCells="1">
                  <from>
                    <xdr:col>2</xdr:col>
                    <xdr:colOff>0</xdr:colOff>
                    <xdr:row>579</xdr:row>
                    <xdr:rowOff>0</xdr:rowOff>
                  </from>
                  <to>
                    <xdr:col>15</xdr:col>
                    <xdr:colOff>0</xdr:colOff>
                    <xdr:row>580</xdr:row>
                    <xdr:rowOff>0</xdr:rowOff>
                  </to>
                </anchor>
              </controlPr>
            </control>
          </mc:Choice>
        </mc:AlternateContent>
        <mc:AlternateContent xmlns:mc="http://schemas.openxmlformats.org/markup-compatibility/2006">
          <mc:Choice Requires="x14">
            <control shapeId="48272" r:id="rId135" name="Option Button 144">
              <controlPr defaultSize="0" autoFill="0" autoLine="0" autoPict="0">
                <anchor moveWithCells="1" sizeWithCells="1">
                  <from>
                    <xdr:col>2</xdr:col>
                    <xdr:colOff>19050</xdr:colOff>
                    <xdr:row>579</xdr:row>
                    <xdr:rowOff>9525</xdr:rowOff>
                  </from>
                  <to>
                    <xdr:col>3</xdr:col>
                    <xdr:colOff>238125</xdr:colOff>
                    <xdr:row>579</xdr:row>
                    <xdr:rowOff>228600</xdr:rowOff>
                  </to>
                </anchor>
              </controlPr>
            </control>
          </mc:Choice>
        </mc:AlternateContent>
        <mc:AlternateContent xmlns:mc="http://schemas.openxmlformats.org/markup-compatibility/2006">
          <mc:Choice Requires="x14">
            <control shapeId="48273" r:id="rId136" name="Option Button 145">
              <controlPr defaultSize="0" autoFill="0" autoLine="0" autoPict="0">
                <anchor moveWithCells="1" sizeWithCells="1">
                  <from>
                    <xdr:col>4</xdr:col>
                    <xdr:colOff>180975</xdr:colOff>
                    <xdr:row>579</xdr:row>
                    <xdr:rowOff>19050</xdr:rowOff>
                  </from>
                  <to>
                    <xdr:col>14</xdr:col>
                    <xdr:colOff>266700</xdr:colOff>
                    <xdr:row>579</xdr:row>
                    <xdr:rowOff>238125</xdr:rowOff>
                  </to>
                </anchor>
              </controlPr>
            </control>
          </mc:Choice>
        </mc:AlternateContent>
        <mc:AlternateContent xmlns:mc="http://schemas.openxmlformats.org/markup-compatibility/2006">
          <mc:Choice Requires="x14">
            <control shapeId="48275" r:id="rId137" name="Group Box 147">
              <controlPr defaultSize="0" autoFill="0" autoPict="0">
                <anchor moveWithCells="1" sizeWithCells="1">
                  <from>
                    <xdr:col>2</xdr:col>
                    <xdr:colOff>0</xdr:colOff>
                    <xdr:row>580</xdr:row>
                    <xdr:rowOff>0</xdr:rowOff>
                  </from>
                  <to>
                    <xdr:col>15</xdr:col>
                    <xdr:colOff>0</xdr:colOff>
                    <xdr:row>581</xdr:row>
                    <xdr:rowOff>0</xdr:rowOff>
                  </to>
                </anchor>
              </controlPr>
            </control>
          </mc:Choice>
        </mc:AlternateContent>
        <mc:AlternateContent xmlns:mc="http://schemas.openxmlformats.org/markup-compatibility/2006">
          <mc:Choice Requires="x14">
            <control shapeId="48276" r:id="rId138" name="Option Button 148">
              <controlPr defaultSize="0" autoFill="0" autoLine="0" autoPict="0">
                <anchor moveWithCells="1" sizeWithCells="1">
                  <from>
                    <xdr:col>2</xdr:col>
                    <xdr:colOff>19050</xdr:colOff>
                    <xdr:row>580</xdr:row>
                    <xdr:rowOff>9525</xdr:rowOff>
                  </from>
                  <to>
                    <xdr:col>4</xdr:col>
                    <xdr:colOff>95250</xdr:colOff>
                    <xdr:row>580</xdr:row>
                    <xdr:rowOff>228600</xdr:rowOff>
                  </to>
                </anchor>
              </controlPr>
            </control>
          </mc:Choice>
        </mc:AlternateContent>
        <mc:AlternateContent xmlns:mc="http://schemas.openxmlformats.org/markup-compatibility/2006">
          <mc:Choice Requires="x14">
            <control shapeId="48277" r:id="rId139" name="Option Button 149">
              <controlPr defaultSize="0" autoFill="0" autoLine="0" autoPict="0">
                <anchor moveWithCells="1" sizeWithCells="1">
                  <from>
                    <xdr:col>4</xdr:col>
                    <xdr:colOff>180975</xdr:colOff>
                    <xdr:row>580</xdr:row>
                    <xdr:rowOff>19050</xdr:rowOff>
                  </from>
                  <to>
                    <xdr:col>13</xdr:col>
                    <xdr:colOff>228600</xdr:colOff>
                    <xdr:row>580</xdr:row>
                    <xdr:rowOff>238125</xdr:rowOff>
                  </to>
                </anchor>
              </controlPr>
            </control>
          </mc:Choice>
        </mc:AlternateContent>
        <mc:AlternateContent xmlns:mc="http://schemas.openxmlformats.org/markup-compatibility/2006">
          <mc:Choice Requires="x14">
            <control shapeId="48279" r:id="rId140" name="Group Box 151">
              <controlPr defaultSize="0" autoFill="0" autoPict="0">
                <anchor moveWithCells="1" sizeWithCells="1">
                  <from>
                    <xdr:col>11</xdr:col>
                    <xdr:colOff>0</xdr:colOff>
                    <xdr:row>587</xdr:row>
                    <xdr:rowOff>0</xdr:rowOff>
                  </from>
                  <to>
                    <xdr:col>15</xdr:col>
                    <xdr:colOff>0</xdr:colOff>
                    <xdr:row>588</xdr:row>
                    <xdr:rowOff>0</xdr:rowOff>
                  </to>
                </anchor>
              </controlPr>
            </control>
          </mc:Choice>
        </mc:AlternateContent>
        <mc:AlternateContent xmlns:mc="http://schemas.openxmlformats.org/markup-compatibility/2006">
          <mc:Choice Requires="x14">
            <control shapeId="48280" r:id="rId141" name="Option Button 152">
              <controlPr defaultSize="0" autoFill="0" autoLine="0" autoPict="0">
                <anchor moveWithCells="1" sizeWithCells="1">
                  <from>
                    <xdr:col>11</xdr:col>
                    <xdr:colOff>180975</xdr:colOff>
                    <xdr:row>587</xdr:row>
                    <xdr:rowOff>19050</xdr:rowOff>
                  </from>
                  <to>
                    <xdr:col>13</xdr:col>
                    <xdr:colOff>47625</xdr:colOff>
                    <xdr:row>587</xdr:row>
                    <xdr:rowOff>238125</xdr:rowOff>
                  </to>
                </anchor>
              </controlPr>
            </control>
          </mc:Choice>
        </mc:AlternateContent>
        <mc:AlternateContent xmlns:mc="http://schemas.openxmlformats.org/markup-compatibility/2006">
          <mc:Choice Requires="x14">
            <control shapeId="48281" r:id="rId142" name="Option Button 153">
              <controlPr defaultSize="0" autoFill="0" autoLine="0" autoPict="0">
                <anchor moveWithCells="1" sizeWithCells="1">
                  <from>
                    <xdr:col>13</xdr:col>
                    <xdr:colOff>85725</xdr:colOff>
                    <xdr:row>587</xdr:row>
                    <xdr:rowOff>19050</xdr:rowOff>
                  </from>
                  <to>
                    <xdr:col>14</xdr:col>
                    <xdr:colOff>323850</xdr:colOff>
                    <xdr:row>587</xdr:row>
                    <xdr:rowOff>238125</xdr:rowOff>
                  </to>
                </anchor>
              </controlPr>
            </control>
          </mc:Choice>
        </mc:AlternateContent>
        <mc:AlternateContent xmlns:mc="http://schemas.openxmlformats.org/markup-compatibility/2006">
          <mc:Choice Requires="x14">
            <control shapeId="48169" r:id="rId143" name="Group Box 41">
              <controlPr defaultSize="0" autoFill="0" autoPict="0">
                <anchor moveWithCells="1" sizeWithCells="1">
                  <from>
                    <xdr:col>1</xdr:col>
                    <xdr:colOff>0</xdr:colOff>
                    <xdr:row>384</xdr:row>
                    <xdr:rowOff>0</xdr:rowOff>
                  </from>
                  <to>
                    <xdr:col>15</xdr:col>
                    <xdr:colOff>0</xdr:colOff>
                    <xdr:row>385</xdr:row>
                    <xdr:rowOff>0</xdr:rowOff>
                  </to>
                </anchor>
              </controlPr>
            </control>
          </mc:Choice>
        </mc:AlternateContent>
        <mc:AlternateContent xmlns:mc="http://schemas.openxmlformats.org/markup-compatibility/2006">
          <mc:Choice Requires="x14">
            <control shapeId="48170" r:id="rId144" name="Option Button 42">
              <controlPr defaultSize="0" autoFill="0" autoLine="0" autoPict="0">
                <anchor moveWithCells="1" sizeWithCells="1">
                  <from>
                    <xdr:col>1</xdr:col>
                    <xdr:colOff>9525</xdr:colOff>
                    <xdr:row>384</xdr:row>
                    <xdr:rowOff>9525</xdr:rowOff>
                  </from>
                  <to>
                    <xdr:col>1</xdr:col>
                    <xdr:colOff>390525</xdr:colOff>
                    <xdr:row>384</xdr:row>
                    <xdr:rowOff>247650</xdr:rowOff>
                  </to>
                </anchor>
              </controlPr>
            </control>
          </mc:Choice>
        </mc:AlternateContent>
        <mc:AlternateContent xmlns:mc="http://schemas.openxmlformats.org/markup-compatibility/2006">
          <mc:Choice Requires="x14">
            <control shapeId="48171" r:id="rId145" name="Option Button 43">
              <controlPr defaultSize="0" autoFill="0" autoLine="0" autoPict="0">
                <anchor moveWithCells="1" sizeWithCells="1">
                  <from>
                    <xdr:col>1</xdr:col>
                    <xdr:colOff>581025</xdr:colOff>
                    <xdr:row>384</xdr:row>
                    <xdr:rowOff>9525</xdr:rowOff>
                  </from>
                  <to>
                    <xdr:col>5</xdr:col>
                    <xdr:colOff>285750</xdr:colOff>
                    <xdr:row>384</xdr:row>
                    <xdr:rowOff>247650</xdr:rowOff>
                  </to>
                </anchor>
              </controlPr>
            </control>
          </mc:Choice>
        </mc:AlternateContent>
        <mc:AlternateContent xmlns:mc="http://schemas.openxmlformats.org/markup-compatibility/2006">
          <mc:Choice Requires="x14">
            <control shapeId="48172" r:id="rId146" name="Option Button 44">
              <controlPr defaultSize="0" autoFill="0" autoLine="0" autoPict="0">
                <anchor moveWithCells="1" sizeWithCells="1">
                  <from>
                    <xdr:col>6</xdr:col>
                    <xdr:colOff>85725</xdr:colOff>
                    <xdr:row>384</xdr:row>
                    <xdr:rowOff>0</xdr:rowOff>
                  </from>
                  <to>
                    <xdr:col>14</xdr:col>
                    <xdr:colOff>561975</xdr:colOff>
                    <xdr:row>384</xdr:row>
                    <xdr:rowOff>238125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G809"/>
  <sheetViews>
    <sheetView showGridLines="0" zoomScale="120" zoomScaleNormal="120" zoomScaleSheetLayoutView="40" workbookViewId="0"/>
  </sheetViews>
  <sheetFormatPr defaultColWidth="2.5703125" defaultRowHeight="12.75" x14ac:dyDescent="0.2"/>
  <cols>
    <col min="1" max="1" width="1.5703125" style="35" customWidth="1"/>
    <col min="2" max="2" width="22.42578125" style="35" bestFit="1" customWidth="1"/>
    <col min="3" max="3" width="3.28515625" style="2" customWidth="1"/>
    <col min="4" max="4" width="4" style="191" customWidth="1"/>
    <col min="5" max="5" width="3.28515625" style="35" customWidth="1"/>
    <col min="6" max="6" width="4.28515625" style="191" bestFit="1" customWidth="1"/>
    <col min="7" max="7" width="3.28515625" style="35" customWidth="1"/>
    <col min="8" max="8" width="4.28515625" style="191" bestFit="1" customWidth="1"/>
    <col min="9" max="9" width="3.28515625" style="35" customWidth="1"/>
    <col min="10" max="10" width="4.28515625" style="191" bestFit="1" customWidth="1"/>
    <col min="11" max="11" width="3.42578125" style="35" customWidth="1"/>
    <col min="12" max="12" width="5.5703125" style="191" customWidth="1"/>
    <col min="13" max="13" width="4.28515625" style="35" customWidth="1"/>
    <col min="14" max="14" width="4.28515625" style="191" bestFit="1" customWidth="1"/>
    <col min="15" max="15" width="9.28515625" style="35" customWidth="1"/>
    <col min="16" max="16" width="9.5703125" style="35" customWidth="1"/>
    <col min="17" max="17" width="1.42578125" style="35" customWidth="1"/>
    <col min="18" max="18" width="14.140625" style="35" hidden="1" customWidth="1"/>
    <col min="19" max="19" width="11" style="35" hidden="1" customWidth="1"/>
    <col min="20" max="20" width="16.28515625" style="35" hidden="1" customWidth="1"/>
    <col min="21" max="21" width="15.28515625" style="35" hidden="1" customWidth="1"/>
    <col min="22" max="22" width="14.140625" style="35" hidden="1" customWidth="1"/>
    <col min="23" max="23" width="10.42578125" style="35" hidden="1" customWidth="1"/>
    <col min="24" max="24" width="8" style="35" hidden="1" customWidth="1"/>
    <col min="25" max="25" width="8.28515625" style="35" hidden="1" customWidth="1"/>
    <col min="26" max="26" width="15.42578125" style="35" hidden="1" customWidth="1"/>
    <col min="27" max="27" width="7.5703125" style="35" hidden="1" customWidth="1"/>
    <col min="28" max="28" width="8.140625" style="35" hidden="1" customWidth="1"/>
    <col min="29" max="29" width="7.42578125" style="35" hidden="1" customWidth="1"/>
    <col min="30" max="30" width="8.7109375" style="35" hidden="1" customWidth="1"/>
    <col min="31" max="31" width="11.42578125" style="35" hidden="1" customWidth="1"/>
    <col min="32" max="32" width="9.7109375" style="35" hidden="1" customWidth="1"/>
    <col min="33" max="33" width="7.140625" style="35" hidden="1" customWidth="1"/>
    <col min="34" max="34" width="8.28515625" style="35" hidden="1" customWidth="1"/>
    <col min="35" max="35" width="9.85546875" style="35" hidden="1" customWidth="1"/>
    <col min="36" max="36" width="9.28515625" style="35" hidden="1" customWidth="1"/>
    <col min="37" max="37" width="12.7109375" style="35" hidden="1" customWidth="1"/>
    <col min="38" max="38" width="9.42578125" style="35" hidden="1" customWidth="1"/>
    <col min="39" max="39" width="9.140625" style="35" hidden="1" customWidth="1"/>
    <col min="40" max="103" width="8.28515625" style="35" hidden="1" customWidth="1"/>
    <col min="104" max="130" width="5.7109375" style="35" hidden="1" customWidth="1"/>
    <col min="131" max="255" width="5.7109375" style="35" customWidth="1"/>
    <col min="256" max="16384" width="2.5703125" style="35"/>
  </cols>
  <sheetData>
    <row r="1" spans="2:170" ht="15" customHeight="1" x14ac:dyDescent="0.2">
      <c r="B1" s="1339" t="s">
        <v>1733</v>
      </c>
      <c r="C1" s="1389"/>
      <c r="D1" s="1347" t="str">
        <f>IF('Start here'!A6="","",'Start here'!A6)</f>
        <v/>
      </c>
      <c r="E1" s="1351"/>
      <c r="F1" s="1351"/>
      <c r="G1" s="1351"/>
      <c r="H1" s="1351"/>
      <c r="I1" s="1351"/>
      <c r="J1" s="1351"/>
      <c r="K1" s="1352"/>
      <c r="L1" s="35"/>
      <c r="M1" s="1347" t="str">
        <f>IF('Start here'!A7="","",'Start here'!A7)</f>
        <v/>
      </c>
      <c r="N1" s="1351"/>
      <c r="O1" s="1351"/>
      <c r="P1" s="1352"/>
      <c r="R1" s="694">
        <v>38353</v>
      </c>
      <c r="S1" s="783" t="str">
        <f>IF(R2&lt;R1,"Go to PPD Worksheet","")</f>
        <v>Go to PPD Worksheet</v>
      </c>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170" ht="13.5" customHeight="1" x14ac:dyDescent="0.2">
      <c r="B2" s="1772"/>
      <c r="C2" s="1772"/>
      <c r="D2" s="1772"/>
      <c r="E2" s="1772"/>
      <c r="F2" s="1772"/>
      <c r="G2" s="1772"/>
      <c r="H2" s="1772"/>
      <c r="I2" s="1772"/>
      <c r="J2" s="1772"/>
      <c r="K2" s="1772"/>
      <c r="L2" s="1772"/>
      <c r="M2" s="1772"/>
      <c r="N2" s="1772"/>
      <c r="O2" s="1772"/>
      <c r="P2" s="1772"/>
      <c r="R2" s="446">
        <f>'Start here'!A8</f>
        <v>0</v>
      </c>
      <c r="S2" s="769" t="str">
        <f>IF(R2&gt;=R1,"Go to PPD Worksheet","")</f>
        <v/>
      </c>
    </row>
    <row r="3" spans="2:170" ht="24" customHeight="1" x14ac:dyDescent="0.3">
      <c r="B3" s="1773" t="s">
        <v>2019</v>
      </c>
      <c r="C3" s="1774"/>
      <c r="D3" s="1774"/>
      <c r="E3" s="1774"/>
      <c r="F3" s="1774"/>
      <c r="G3" s="1774"/>
      <c r="H3" s="1774"/>
      <c r="I3" s="1774"/>
      <c r="J3" s="1774"/>
      <c r="K3" s="1774"/>
      <c r="L3" s="1774"/>
      <c r="M3" s="1774"/>
      <c r="N3" s="1774"/>
      <c r="O3" s="1774"/>
      <c r="P3" s="1775"/>
      <c r="R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row>
    <row r="4" spans="2:170" ht="30.75" customHeight="1" x14ac:dyDescent="0.2">
      <c r="B4" s="229" t="s">
        <v>406</v>
      </c>
      <c r="C4" s="1717" t="s">
        <v>1574</v>
      </c>
      <c r="D4" s="1717"/>
      <c r="E4" s="1717" t="s">
        <v>147</v>
      </c>
      <c r="F4" s="1717"/>
      <c r="G4" s="1717" t="s">
        <v>1568</v>
      </c>
      <c r="H4" s="1717"/>
      <c r="I4" s="1717" t="s">
        <v>1570</v>
      </c>
      <c r="J4" s="1717"/>
      <c r="K4" s="1717" t="s">
        <v>1572</v>
      </c>
      <c r="L4" s="1717"/>
      <c r="M4" s="1717" t="s">
        <v>1414</v>
      </c>
      <c r="N4" s="1717"/>
      <c r="O4" s="451" t="s">
        <v>412</v>
      </c>
      <c r="P4" s="451" t="s">
        <v>1899</v>
      </c>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row>
    <row r="5" spans="2:170" ht="18" customHeight="1" x14ac:dyDescent="0.2">
      <c r="B5" s="1679" t="s">
        <v>942</v>
      </c>
      <c r="C5" s="1680"/>
      <c r="D5" s="1680"/>
      <c r="E5" s="1680"/>
      <c r="F5" s="1680"/>
      <c r="G5" s="1680"/>
      <c r="H5" s="1680"/>
      <c r="I5" s="1680"/>
      <c r="J5" s="1680"/>
      <c r="K5" s="1680"/>
      <c r="L5" s="1680"/>
      <c r="M5" s="1680"/>
      <c r="N5" s="1680"/>
      <c r="O5" s="1680"/>
      <c r="P5" s="1769"/>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row>
    <row r="6" spans="2:170" ht="18" customHeight="1" x14ac:dyDescent="0.2">
      <c r="B6" s="1394" t="s">
        <v>943</v>
      </c>
      <c r="C6" s="1394"/>
      <c r="D6" s="1394"/>
      <c r="E6" s="1394"/>
      <c r="F6" s="1394"/>
      <c r="G6" s="1394"/>
      <c r="H6" s="1394"/>
      <c r="I6" s="1394"/>
      <c r="J6" s="1394"/>
      <c r="K6" s="1394"/>
      <c r="L6" s="1394"/>
      <c r="M6" s="1394"/>
      <c r="N6" s="1394"/>
      <c r="O6" s="1394"/>
      <c r="P6" s="1612">
        <f>SUMIF(U6:Z6,B7,U7:Z7)</f>
        <v>0</v>
      </c>
      <c r="R6" s="18"/>
      <c r="S6" s="18"/>
      <c r="T6" s="1379" t="s">
        <v>522</v>
      </c>
      <c r="U6" s="769" t="s">
        <v>523</v>
      </c>
      <c r="V6" s="769" t="s">
        <v>524</v>
      </c>
      <c r="W6" s="695" t="s">
        <v>525</v>
      </c>
      <c r="X6" s="769" t="s">
        <v>526</v>
      </c>
      <c r="Y6" s="769" t="s">
        <v>527</v>
      </c>
      <c r="Z6" s="769" t="s">
        <v>663</v>
      </c>
      <c r="AA6" s="19"/>
      <c r="AB6" s="19"/>
      <c r="AC6" s="19"/>
      <c r="AD6" s="18"/>
      <c r="AE6" s="18"/>
      <c r="AF6" s="18"/>
      <c r="AG6" s="18"/>
      <c r="AH6" s="18"/>
      <c r="AI6" s="18"/>
      <c r="AJ6" s="18"/>
      <c r="AK6" s="18"/>
      <c r="AL6" s="18"/>
      <c r="AM6" s="18"/>
      <c r="AN6" s="18"/>
      <c r="AO6" s="18"/>
      <c r="AP6" s="18"/>
      <c r="AQ6" s="18"/>
      <c r="AR6" s="18"/>
      <c r="AS6" s="18"/>
      <c r="AT6" s="18"/>
      <c r="AU6" s="3"/>
      <c r="AV6" s="3"/>
      <c r="AW6" s="3"/>
      <c r="AX6" s="3"/>
      <c r="AY6" s="3"/>
      <c r="AZ6" s="3"/>
      <c r="BA6" s="3"/>
      <c r="BB6" s="3"/>
      <c r="BC6" s="3"/>
      <c r="BD6" s="3"/>
      <c r="BE6" s="3"/>
    </row>
    <row r="7" spans="2:170" ht="15" customHeight="1" x14ac:dyDescent="0.2">
      <c r="B7" s="1629"/>
      <c r="C7" s="1629"/>
      <c r="D7" s="1629"/>
      <c r="E7" s="1629"/>
      <c r="F7" s="1629"/>
      <c r="G7" s="1629"/>
      <c r="H7" s="1629"/>
      <c r="I7" s="1629"/>
      <c r="J7" s="1629"/>
      <c r="K7" s="1629"/>
      <c r="L7" s="1629"/>
      <c r="M7" s="1629"/>
      <c r="N7" s="1629"/>
      <c r="O7" s="1629"/>
      <c r="P7" s="1733"/>
      <c r="R7" s="18"/>
      <c r="S7" s="18"/>
      <c r="T7" s="1379"/>
      <c r="U7" s="688">
        <v>0</v>
      </c>
      <c r="V7" s="776">
        <v>0</v>
      </c>
      <c r="W7" s="776">
        <v>0.1</v>
      </c>
      <c r="X7" s="776">
        <v>0.3</v>
      </c>
      <c r="Y7" s="776">
        <v>0.5</v>
      </c>
      <c r="Z7" s="776">
        <v>1</v>
      </c>
      <c r="AA7" s="18"/>
      <c r="AB7" s="18"/>
      <c r="AC7" s="18"/>
      <c r="AD7" s="18"/>
      <c r="AE7" s="18"/>
      <c r="AF7" s="18"/>
      <c r="AG7" s="18"/>
      <c r="AH7" s="18"/>
      <c r="AI7" s="18"/>
      <c r="AJ7" s="18"/>
      <c r="AK7" s="18"/>
      <c r="AL7" s="18"/>
      <c r="AM7" s="18"/>
      <c r="AN7" s="18"/>
      <c r="AO7" s="18"/>
      <c r="AP7" s="18"/>
      <c r="AQ7" s="18"/>
      <c r="AR7" s="18"/>
      <c r="AS7" s="18"/>
      <c r="AT7" s="18"/>
      <c r="AU7" s="3"/>
      <c r="AV7" s="3"/>
      <c r="AW7" s="3"/>
      <c r="AX7" s="3"/>
      <c r="AY7" s="3"/>
      <c r="AZ7" s="3"/>
      <c r="BA7" s="3"/>
      <c r="BB7" s="3"/>
      <c r="BC7" s="3"/>
      <c r="BD7" s="3"/>
      <c r="BE7" s="3"/>
    </row>
    <row r="8" spans="2:170" ht="11.25" customHeight="1" x14ac:dyDescent="0.2">
      <c r="B8" s="1592" t="str">
        <f>IF(AND(P6&gt;0.1,B10=""),"Enter specific level of amputation or shortening below.","")</f>
        <v/>
      </c>
      <c r="C8" s="1592"/>
      <c r="D8" s="1592"/>
      <c r="E8" s="1592"/>
      <c r="F8" s="1592"/>
      <c r="G8" s="1592"/>
      <c r="H8" s="1592"/>
      <c r="I8" s="1592"/>
      <c r="J8" s="1592"/>
      <c r="K8" s="1592"/>
      <c r="L8" s="1592"/>
      <c r="M8" s="1592"/>
      <c r="N8" s="1592"/>
      <c r="O8" s="1592"/>
      <c r="P8" s="1592"/>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3"/>
      <c r="AV8" s="3"/>
      <c r="AW8" s="3"/>
      <c r="AX8" s="3"/>
      <c r="AY8" s="3"/>
      <c r="AZ8" s="3"/>
      <c r="BA8" s="3"/>
      <c r="BB8" s="3"/>
      <c r="BC8" s="3"/>
      <c r="BD8" s="3"/>
      <c r="BE8" s="3"/>
    </row>
    <row r="9" spans="2:170" ht="27" customHeight="1" x14ac:dyDescent="0.2">
      <c r="B9" s="1703" t="s">
        <v>664</v>
      </c>
      <c r="C9" s="1703"/>
      <c r="D9" s="1703"/>
      <c r="E9" s="1703"/>
      <c r="F9" s="1703"/>
      <c r="G9" s="1703"/>
      <c r="H9" s="1703"/>
      <c r="I9" s="1703"/>
      <c r="J9" s="1703"/>
      <c r="K9" s="1703"/>
      <c r="L9" s="1703"/>
      <c r="M9" s="1703"/>
      <c r="N9" s="1703"/>
      <c r="O9" s="1703"/>
      <c r="P9" s="1719"/>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row>
    <row r="10" spans="2:170" ht="15" customHeight="1" x14ac:dyDescent="0.2">
      <c r="B10" s="1629"/>
      <c r="C10" s="1629"/>
      <c r="D10" s="1629"/>
      <c r="E10" s="1629"/>
      <c r="F10" s="1629"/>
      <c r="G10" s="1629"/>
      <c r="H10" s="1629"/>
      <c r="I10" s="1629"/>
      <c r="J10" s="1629"/>
      <c r="K10" s="1629"/>
      <c r="L10" s="1629"/>
      <c r="M10" s="1629"/>
      <c r="N10" s="1629"/>
      <c r="O10" s="1629"/>
      <c r="P10" s="1720"/>
      <c r="R10" s="18"/>
      <c r="S10" s="18"/>
      <c r="T10" s="1555" t="s">
        <v>799</v>
      </c>
      <c r="U10" s="1555"/>
      <c r="V10" s="1555"/>
      <c r="W10" s="1555"/>
      <c r="X10" s="1555"/>
      <c r="Y10" s="1555"/>
      <c r="Z10" s="18"/>
      <c r="AA10" s="18"/>
      <c r="AB10" s="18"/>
      <c r="AC10" s="18"/>
      <c r="AD10" s="18"/>
      <c r="AE10" s="18"/>
      <c r="AF10" s="18"/>
      <c r="AG10" s="18"/>
      <c r="AH10" s="18"/>
      <c r="AI10" s="18"/>
      <c r="AJ10" s="18"/>
      <c r="AK10" s="18"/>
      <c r="AL10" s="18"/>
      <c r="AM10" s="18"/>
      <c r="AN10" s="18"/>
      <c r="AO10" s="18"/>
      <c r="AP10" s="18"/>
      <c r="AQ10" s="18"/>
      <c r="AR10" s="18"/>
      <c r="AS10" s="18"/>
      <c r="AT10" s="18"/>
    </row>
    <row r="11" spans="2:170" ht="15" customHeight="1" x14ac:dyDescent="0.2">
      <c r="B11" s="1367" t="s">
        <v>966</v>
      </c>
      <c r="C11" s="1368"/>
      <c r="D11" s="1368"/>
      <c r="E11" s="1368"/>
      <c r="F11" s="1368"/>
      <c r="G11" s="1368"/>
      <c r="H11" s="1368"/>
      <c r="I11" s="1368"/>
      <c r="J11" s="1368"/>
      <c r="K11" s="1368"/>
      <c r="L11" s="1368"/>
      <c r="M11" s="1369"/>
      <c r="N11" s="1656" t="s">
        <v>146</v>
      </c>
      <c r="O11" s="1656"/>
      <c r="P11" s="303">
        <f>IF(P6=1,0,R84)</f>
        <v>0</v>
      </c>
      <c r="R11" s="18"/>
      <c r="S11" s="18"/>
      <c r="T11" s="769" t="s">
        <v>147</v>
      </c>
      <c r="U11" s="646">
        <f>SUMIF(V11:AD11,B10,V12:AD12)</f>
        <v>0</v>
      </c>
      <c r="V11" s="769" t="s">
        <v>523</v>
      </c>
      <c r="W11" s="769" t="s">
        <v>148</v>
      </c>
      <c r="X11" s="769" t="s">
        <v>1909</v>
      </c>
      <c r="Y11" s="769" t="s">
        <v>1561</v>
      </c>
      <c r="Z11" s="769" t="s">
        <v>1562</v>
      </c>
      <c r="AA11" s="769" t="s">
        <v>1563</v>
      </c>
      <c r="AB11" s="769" t="s">
        <v>1564</v>
      </c>
      <c r="AC11" s="769" t="s">
        <v>1565</v>
      </c>
      <c r="AD11" s="769" t="s">
        <v>1566</v>
      </c>
      <c r="AE11" s="18"/>
      <c r="AF11" s="18"/>
      <c r="AG11" s="18"/>
      <c r="AH11" s="18"/>
      <c r="AI11" s="18"/>
      <c r="AJ11" s="18"/>
      <c r="AK11" s="18"/>
      <c r="AL11" s="18"/>
      <c r="AM11" s="18"/>
      <c r="AN11" s="18"/>
      <c r="AO11" s="18"/>
      <c r="AP11" s="18"/>
      <c r="AQ11" s="18"/>
      <c r="AR11" s="18"/>
      <c r="AS11" s="18"/>
      <c r="AT11" s="18"/>
    </row>
    <row r="12" spans="2:170" ht="15" customHeight="1" x14ac:dyDescent="0.2">
      <c r="B12" s="1437"/>
      <c r="C12" s="1438"/>
      <c r="D12" s="1438"/>
      <c r="E12" s="1438"/>
      <c r="F12" s="1438"/>
      <c r="G12" s="1438"/>
      <c r="H12" s="1438"/>
      <c r="I12" s="1438"/>
      <c r="J12" s="1438"/>
      <c r="K12" s="1438"/>
      <c r="L12" s="1438"/>
      <c r="M12" s="1439"/>
      <c r="N12" s="1656" t="s">
        <v>1567</v>
      </c>
      <c r="O12" s="1656"/>
      <c r="P12" s="26">
        <f>IF(P6=1,0,R160)</f>
        <v>0</v>
      </c>
      <c r="R12" s="18"/>
      <c r="S12" s="18"/>
      <c r="T12" s="769" t="s">
        <v>1568</v>
      </c>
      <c r="U12" s="646">
        <f>U11</f>
        <v>0</v>
      </c>
      <c r="V12" s="688">
        <v>0</v>
      </c>
      <c r="W12" s="688">
        <v>0.05</v>
      </c>
      <c r="X12" s="688">
        <v>0.1</v>
      </c>
      <c r="Y12" s="688">
        <v>0.15</v>
      </c>
      <c r="Z12" s="688">
        <v>0.2</v>
      </c>
      <c r="AA12" s="688">
        <v>0.25</v>
      </c>
      <c r="AB12" s="688">
        <v>0.3</v>
      </c>
      <c r="AC12" s="688">
        <v>0.35</v>
      </c>
      <c r="AD12" s="688">
        <v>0.4</v>
      </c>
      <c r="AE12" s="18"/>
      <c r="AF12" s="18"/>
      <c r="AG12" s="18"/>
      <c r="AH12" s="18"/>
      <c r="AI12" s="18"/>
      <c r="AJ12" s="18"/>
      <c r="AK12" s="18"/>
      <c r="AL12" s="18"/>
      <c r="AM12" s="18"/>
      <c r="AN12" s="18"/>
      <c r="AO12" s="18"/>
      <c r="AP12" s="18"/>
      <c r="AQ12" s="18"/>
      <c r="AR12" s="18"/>
      <c r="AS12" s="18"/>
      <c r="AT12" s="18"/>
    </row>
    <row r="13" spans="2:170" ht="15" customHeight="1" x14ac:dyDescent="0.2">
      <c r="B13" s="1437"/>
      <c r="C13" s="1438"/>
      <c r="D13" s="1438"/>
      <c r="E13" s="1438"/>
      <c r="F13" s="1438"/>
      <c r="G13" s="1438"/>
      <c r="H13" s="1438"/>
      <c r="I13" s="1438"/>
      <c r="J13" s="1438"/>
      <c r="K13" s="1438"/>
      <c r="L13" s="1438"/>
      <c r="M13" s="1439"/>
      <c r="N13" s="1656" t="s">
        <v>1569</v>
      </c>
      <c r="O13" s="1656"/>
      <c r="P13" s="26">
        <f>IF(P6=1,0,R237)</f>
        <v>0</v>
      </c>
      <c r="R13" s="18"/>
      <c r="S13" s="18"/>
      <c r="T13" s="769" t="s">
        <v>1570</v>
      </c>
      <c r="U13" s="646">
        <f>SUMIF(V11:AD11,B10,V13:AD13)</f>
        <v>0</v>
      </c>
      <c r="V13" s="688">
        <v>0</v>
      </c>
      <c r="W13" s="688">
        <v>0</v>
      </c>
      <c r="X13" s="688">
        <v>0.05</v>
      </c>
      <c r="Y13" s="688">
        <v>0.05</v>
      </c>
      <c r="Z13" s="688">
        <v>0.1</v>
      </c>
      <c r="AA13" s="688">
        <v>0.1</v>
      </c>
      <c r="AB13" s="688">
        <v>0.15</v>
      </c>
      <c r="AC13" s="688">
        <v>0.15</v>
      </c>
      <c r="AD13" s="688">
        <v>0.2</v>
      </c>
      <c r="AE13" s="18"/>
      <c r="AF13" s="18"/>
      <c r="AG13" s="18"/>
      <c r="AH13" s="18"/>
      <c r="AI13" s="18"/>
      <c r="AJ13" s="18"/>
      <c r="AK13" s="18"/>
      <c r="AL13" s="18"/>
      <c r="AM13" s="18"/>
      <c r="AN13" s="18"/>
      <c r="AO13" s="18"/>
      <c r="AP13" s="18"/>
      <c r="AQ13" s="18"/>
      <c r="AR13" s="18"/>
      <c r="AS13" s="18"/>
      <c r="AT13" s="18"/>
    </row>
    <row r="14" spans="2:170" ht="15" customHeight="1" x14ac:dyDescent="0.2">
      <c r="B14" s="1370"/>
      <c r="C14" s="1371"/>
      <c r="D14" s="1371"/>
      <c r="E14" s="1371"/>
      <c r="F14" s="1371"/>
      <c r="G14" s="1371"/>
      <c r="H14" s="1371"/>
      <c r="I14" s="1371"/>
      <c r="J14" s="1371"/>
      <c r="K14" s="1371"/>
      <c r="L14" s="1371"/>
      <c r="M14" s="1372"/>
      <c r="N14" s="1656" t="s">
        <v>1571</v>
      </c>
      <c r="O14" s="1656"/>
      <c r="P14" s="26">
        <f>IF(P6=1,0,R312)</f>
        <v>0</v>
      </c>
      <c r="R14" s="18"/>
      <c r="S14" s="18"/>
      <c r="T14" s="769" t="s">
        <v>1572</v>
      </c>
      <c r="U14" s="646">
        <f>SUMIF(V11:AD11,B10,V14:AD14)</f>
        <v>0</v>
      </c>
      <c r="V14" s="688">
        <v>0</v>
      </c>
      <c r="W14" s="688">
        <v>0</v>
      </c>
      <c r="X14" s="688">
        <v>0</v>
      </c>
      <c r="Y14" s="688">
        <v>0</v>
      </c>
      <c r="Z14" s="688">
        <v>0.05</v>
      </c>
      <c r="AA14" s="688">
        <v>0.05</v>
      </c>
      <c r="AB14" s="688">
        <v>0.05</v>
      </c>
      <c r="AC14" s="688">
        <v>0.05</v>
      </c>
      <c r="AD14" s="688">
        <v>0.1</v>
      </c>
      <c r="AE14" s="18"/>
      <c r="AF14" s="18"/>
      <c r="AG14" s="18"/>
      <c r="AH14" s="18"/>
      <c r="AI14" s="18"/>
      <c r="AJ14" s="18"/>
      <c r="AK14" s="18"/>
      <c r="AL14" s="18"/>
      <c r="AM14" s="18"/>
      <c r="AN14" s="18"/>
      <c r="AO14" s="18"/>
      <c r="AP14" s="18"/>
      <c r="AQ14" s="18"/>
      <c r="AR14" s="18"/>
      <c r="AS14" s="18"/>
      <c r="AT14" s="18"/>
      <c r="AU14" s="3"/>
      <c r="AV14" s="3"/>
      <c r="AW14" s="3"/>
      <c r="AX14" s="3"/>
      <c r="AY14" s="3"/>
      <c r="AZ14" s="3"/>
      <c r="BA14" s="3"/>
      <c r="BB14" s="3"/>
      <c r="BC14" s="3"/>
      <c r="BD14" s="3"/>
    </row>
    <row r="15" spans="2:170" ht="12" customHeight="1" x14ac:dyDescent="0.2">
      <c r="B15" s="1395"/>
      <c r="C15" s="1395"/>
      <c r="D15" s="1395"/>
      <c r="E15" s="1395"/>
      <c r="F15" s="1395"/>
      <c r="G15" s="1395"/>
      <c r="H15" s="1395"/>
      <c r="I15" s="1395"/>
      <c r="J15" s="1395"/>
      <c r="K15" s="1395"/>
      <c r="L15" s="1395"/>
      <c r="M15" s="1395"/>
      <c r="N15" s="1395"/>
      <c r="O15" s="1395"/>
      <c r="P15" s="1395"/>
      <c r="R15" s="157"/>
      <c r="S15" s="157"/>
      <c r="T15" s="157"/>
      <c r="U15" s="157"/>
      <c r="V15" s="157"/>
      <c r="W15" s="157"/>
      <c r="X15" s="157"/>
      <c r="Y15" s="157"/>
      <c r="Z15" s="18"/>
      <c r="AA15" s="18"/>
      <c r="AB15" s="18"/>
      <c r="AC15" s="18"/>
      <c r="AD15" s="18"/>
      <c r="AE15" s="18"/>
      <c r="AF15" s="18"/>
      <c r="AG15" s="18"/>
      <c r="AH15" s="18"/>
      <c r="AI15" s="18"/>
      <c r="AJ15" s="18"/>
      <c r="AK15" s="18"/>
      <c r="AL15" s="18"/>
      <c r="AM15" s="18"/>
      <c r="AN15" s="18"/>
      <c r="AO15" s="18"/>
      <c r="AP15" s="18"/>
      <c r="AQ15" s="18"/>
      <c r="AR15" s="18"/>
      <c r="AS15" s="18"/>
      <c r="AT15" s="18"/>
    </row>
    <row r="16" spans="2:170" ht="18" customHeight="1" x14ac:dyDescent="0.2">
      <c r="B16" s="1555" t="s">
        <v>1595</v>
      </c>
      <c r="C16" s="1555"/>
      <c r="D16" s="1555"/>
      <c r="E16" s="1555"/>
      <c r="F16" s="1555"/>
      <c r="G16" s="1555"/>
      <c r="H16" s="1555"/>
      <c r="I16" s="1555"/>
      <c r="J16" s="1555"/>
      <c r="K16" s="1555"/>
      <c r="L16" s="1555"/>
      <c r="M16" s="1555"/>
      <c r="N16" s="1555"/>
      <c r="O16" s="1555"/>
      <c r="P16" s="1481">
        <f>IF(R27=1,"ERROR",IF(AND(AC20&gt;0,AC20&lt;0.01),0.01,ROUND(AC20,2)))</f>
        <v>0</v>
      </c>
      <c r="R16" s="18"/>
      <c r="S16" s="18"/>
      <c r="T16" s="1811" t="s">
        <v>2217</v>
      </c>
      <c r="U16" s="1811"/>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row>
    <row r="17" spans="2:48" ht="27" customHeight="1" x14ac:dyDescent="0.2">
      <c r="B17" s="23"/>
      <c r="C17" s="1555" t="s">
        <v>1596</v>
      </c>
      <c r="D17" s="1555"/>
      <c r="E17" s="1555"/>
      <c r="F17" s="1555"/>
      <c r="G17" s="1536" t="s">
        <v>1081</v>
      </c>
      <c r="H17" s="1536"/>
      <c r="I17" s="1536"/>
      <c r="J17" s="1536"/>
      <c r="K17" s="1555"/>
      <c r="L17" s="1555"/>
      <c r="M17" s="1555"/>
      <c r="N17" s="1555"/>
      <c r="O17" s="1555"/>
      <c r="P17" s="1631"/>
      <c r="R17" s="18"/>
      <c r="S17" s="769" t="s">
        <v>1573</v>
      </c>
      <c r="T17" s="774" t="s">
        <v>1596</v>
      </c>
      <c r="U17" s="774" t="s">
        <v>1597</v>
      </c>
      <c r="V17" s="1410" t="s">
        <v>1083</v>
      </c>
      <c r="W17" s="1410"/>
      <c r="X17" s="1410"/>
      <c r="Y17" s="1410"/>
      <c r="Z17" s="18"/>
      <c r="AA17" s="1598" t="s">
        <v>2258</v>
      </c>
      <c r="AB17" s="1599"/>
      <c r="AC17" s="1599"/>
      <c r="AD17" s="1600"/>
      <c r="AE17" s="18"/>
      <c r="AF17" s="18"/>
      <c r="AG17" s="18"/>
      <c r="AH17" s="18"/>
      <c r="AI17" s="18"/>
      <c r="AJ17" s="18"/>
      <c r="AK17" s="18"/>
      <c r="AL17" s="18"/>
      <c r="AM17" s="18"/>
      <c r="AN17" s="18"/>
      <c r="AO17" s="18"/>
      <c r="AP17" s="18"/>
      <c r="AQ17" s="18"/>
      <c r="AR17" s="18"/>
      <c r="AS17" s="18"/>
      <c r="AT17" s="18"/>
    </row>
    <row r="18" spans="2:48" ht="15" customHeight="1" x14ac:dyDescent="0.2">
      <c r="B18" s="23" t="s">
        <v>1574</v>
      </c>
      <c r="C18" s="1555" t="s">
        <v>365</v>
      </c>
      <c r="D18" s="1555"/>
      <c r="E18" s="1555" t="s">
        <v>1796</v>
      </c>
      <c r="F18" s="1555"/>
      <c r="G18" s="1555" t="s">
        <v>365</v>
      </c>
      <c r="H18" s="1555"/>
      <c r="I18" s="1555" t="s">
        <v>1796</v>
      </c>
      <c r="J18" s="1555"/>
      <c r="K18" s="1555"/>
      <c r="L18" s="1555"/>
      <c r="M18" s="1555"/>
      <c r="N18" s="1555"/>
      <c r="O18" s="1555"/>
      <c r="P18" s="1631"/>
      <c r="R18" s="18"/>
      <c r="S18" s="769">
        <v>80</v>
      </c>
      <c r="T18" s="769" t="str">
        <f>IF(OR(C19="",C19="NA"),"",IF(C19&gt;S18,S18,IF(C19&lt;0,0,C19)))</f>
        <v/>
      </c>
      <c r="U18" s="770" t="str">
        <f>IF(OR(G19="",G19="NA"),"",IF(G19&gt;S18,S18,IF(G19&lt;0,0,G19)))</f>
        <v/>
      </c>
      <c r="V18" s="696" t="str">
        <f>IF(Y18="","",ROUND(Y18,0))</f>
        <v/>
      </c>
      <c r="W18" s="1569" t="s">
        <v>1203</v>
      </c>
      <c r="X18" s="1569"/>
      <c r="Y18" s="697" t="str">
        <f>IF(T18="","",IF(OR(U18="",U18=0,U18&lt;T18),T18,(T18*80)/U18))</f>
        <v/>
      </c>
      <c r="Z18" s="18"/>
      <c r="AA18" s="1601"/>
      <c r="AB18" s="1602"/>
      <c r="AC18" s="1602"/>
      <c r="AD18" s="1603"/>
      <c r="AE18" s="18"/>
      <c r="AF18" s="18"/>
      <c r="AG18" s="18"/>
      <c r="AH18" s="18"/>
      <c r="AI18" s="18"/>
      <c r="AJ18" s="18"/>
      <c r="AK18" s="18"/>
      <c r="AL18" s="18"/>
      <c r="AM18" s="18"/>
      <c r="AN18" s="18"/>
      <c r="AO18" s="18"/>
      <c r="AP18" s="18"/>
      <c r="AQ18" s="18"/>
      <c r="AR18" s="18"/>
      <c r="AS18" s="18"/>
      <c r="AT18" s="18"/>
    </row>
    <row r="19" spans="2:48" ht="15" customHeight="1" x14ac:dyDescent="0.2">
      <c r="B19" s="185" t="s">
        <v>1575</v>
      </c>
      <c r="C19" s="1308"/>
      <c r="D19" s="1308"/>
      <c r="E19" s="1558">
        <f>UETable!BF3</f>
        <v>0</v>
      </c>
      <c r="F19" s="1558"/>
      <c r="G19" s="1308"/>
      <c r="H19" s="1308"/>
      <c r="I19" s="1538">
        <f>IF(C19="",0,IF(OR(C19&lt;=0,G19&lt;=0),E19,IF(G19&lt;C19,0,UETable!BK3)))</f>
        <v>0</v>
      </c>
      <c r="J19" s="1538"/>
      <c r="K19" s="1556" t="str">
        <f>IF(OR(C19="NA",G19="NA"),"",IF(AND(C19&lt;&gt;"",G19=""),"Enter contralateral or NA.",IF(AND(C19="",G19&lt;&gt;""),"Need data","")))</f>
        <v/>
      </c>
      <c r="L19" s="1556"/>
      <c r="M19" s="1556"/>
      <c r="N19" s="1556"/>
      <c r="O19" s="1556"/>
      <c r="P19" s="1631"/>
      <c r="R19" s="18"/>
      <c r="S19" s="769">
        <v>80</v>
      </c>
      <c r="T19" s="769" t="str">
        <f>IF(OR(C20="",C20="NA"),"",IF(C20&gt;S18,S18,IF(C20&lt;0,0,C20)))</f>
        <v/>
      </c>
      <c r="U19" s="770" t="str">
        <f>IF(OR(G20="",G20="NA"),"",IF(G20&gt;S18,S18,IF(G20&lt;0,0,G20)))</f>
        <v/>
      </c>
      <c r="V19" s="696" t="str">
        <f>IF(Y19="","",ROUND(Y19,0))</f>
        <v/>
      </c>
      <c r="W19" s="770">
        <f>IF(T19="",0,80-T19)</f>
        <v>0</v>
      </c>
      <c r="X19" s="769">
        <f>IF(U19="",0,80-U19)</f>
        <v>0</v>
      </c>
      <c r="Y19" s="697" t="str">
        <f>IF(T19="","",IF(OR(U19="",U19=0,U19&gt;T19),T19,80-(W19*80)/X19))</f>
        <v/>
      </c>
      <c r="Z19" s="18"/>
      <c r="AA19" s="1604"/>
      <c r="AB19" s="1605"/>
      <c r="AC19" s="1605"/>
      <c r="AD19" s="1606"/>
      <c r="AE19" s="18"/>
      <c r="AF19" s="18"/>
      <c r="AG19" s="18"/>
      <c r="AH19" s="18"/>
      <c r="AI19" s="18"/>
      <c r="AJ19" s="18"/>
      <c r="AK19" s="18"/>
      <c r="AL19" s="18"/>
      <c r="AM19" s="18"/>
      <c r="AN19" s="18"/>
      <c r="AO19" s="18"/>
      <c r="AP19" s="18"/>
      <c r="AQ19" s="18"/>
      <c r="AR19" s="18"/>
      <c r="AS19" s="18"/>
      <c r="AT19" s="18"/>
    </row>
    <row r="20" spans="2:48" ht="15" customHeight="1" x14ac:dyDescent="0.2">
      <c r="B20" s="185" t="s">
        <v>1576</v>
      </c>
      <c r="C20" s="1308"/>
      <c r="D20" s="1308"/>
      <c r="E20" s="1558">
        <f>UETable!BF4</f>
        <v>0</v>
      </c>
      <c r="F20" s="1558"/>
      <c r="G20" s="1308"/>
      <c r="H20" s="1308"/>
      <c r="I20" s="1538">
        <f>IF(C20="",0,IF(OR(C20&gt;=80,G20&gt;=80),E20,IF(G20&gt;C20,0,UETable!BK4)))</f>
        <v>0</v>
      </c>
      <c r="J20" s="1538"/>
      <c r="K20" s="1556" t="str">
        <f>IF(OR(C20="NA",G20="NA"),"",IF(AND(C20&lt;&gt;"",G20=""),"Enter contralateral or NA.",IF(AND(C20="",G20&lt;&gt;""),"Need data","")))</f>
        <v/>
      </c>
      <c r="L20" s="1556"/>
      <c r="M20" s="1556"/>
      <c r="N20" s="1556"/>
      <c r="O20" s="1556"/>
      <c r="P20" s="1631"/>
      <c r="R20" s="1025"/>
      <c r="S20" s="770">
        <v>80</v>
      </c>
      <c r="T20" s="769" t="str">
        <f>IF(OR(C21="",C21="NA"),"",IF(C21&gt;S18,S18,IF(C21&lt;0,0,C21)))</f>
        <v/>
      </c>
      <c r="U20" s="18"/>
      <c r="V20" s="18"/>
      <c r="W20" s="18"/>
      <c r="X20" s="18"/>
      <c r="Y20" s="18"/>
      <c r="Z20" s="18"/>
      <c r="AA20" s="243">
        <f>IF(E21&gt;0,O22,IF(AND(E21=0,E25&gt;0,O22&gt;0,C27&gt;0),C27*O22,O22))</f>
        <v>0</v>
      </c>
      <c r="AB20" s="243">
        <f>IF(E25&gt;0,O26,IF(AND(E25=0,E21&gt;0,O26&gt;0,C27&gt;0),C27*O26,O26))</f>
        <v>0</v>
      </c>
      <c r="AC20" s="243">
        <f>IF(AND(E21=0,E25=0,C27&gt;0),C27*AD25,AD25)</f>
        <v>0</v>
      </c>
      <c r="AD20" s="1035">
        <f>IF(AND(E21&gt;0,E25&gt;0),1,IF(AND(E21&gt;0,O26=0),1,IF(AND(E25&gt;0,O22=0),1,0)))</f>
        <v>0</v>
      </c>
      <c r="AE20" s="18"/>
      <c r="AF20" s="18"/>
      <c r="AG20" s="18"/>
      <c r="AH20" s="18"/>
      <c r="AI20" s="18"/>
      <c r="AJ20" s="18"/>
      <c r="AK20" s="18"/>
      <c r="AL20" s="18"/>
      <c r="AM20" s="18"/>
      <c r="AN20" s="18"/>
      <c r="AO20" s="18"/>
      <c r="AP20" s="18"/>
      <c r="AQ20" s="18"/>
      <c r="AR20" s="18"/>
      <c r="AS20" s="18"/>
      <c r="AT20" s="18"/>
    </row>
    <row r="21" spans="2:48" ht="15" customHeight="1" x14ac:dyDescent="0.2">
      <c r="B21" s="185" t="s">
        <v>1577</v>
      </c>
      <c r="C21" s="1308"/>
      <c r="D21" s="1308"/>
      <c r="E21" s="1558">
        <f>IF(AND(C21&lt;&gt;"",C21&lt;&gt;"NA",C20&lt;&gt;"NA",C20&lt;&gt;""),"ERROR",IF(AND(C21&lt;&gt;"",C21&lt;&gt;"NA",C19&lt;&gt;"",C19&lt;&gt;"NA"),"ERROR",UETable!BF5))</f>
        <v>0</v>
      </c>
      <c r="F21" s="1558"/>
      <c r="G21" s="1556" t="str">
        <f>IF(AND(C21&lt;&gt;"",C21&lt;&gt;"NA",C20&lt;&gt;"NA",C20&lt;&gt;""),"ERROR: Cannot rate ROM and ankylosis.",IF(AND(C21&lt;&gt;"",C21&lt;&gt;"NA",C19&lt;&gt;"",C19&lt;&gt;"NA"),"ERROR: Cannot rate ROM and ankylosis.",""))</f>
        <v/>
      </c>
      <c r="H21" s="1556"/>
      <c r="I21" s="1556"/>
      <c r="J21" s="1556"/>
      <c r="K21" s="1556"/>
      <c r="L21" s="1556"/>
      <c r="M21" s="1556"/>
      <c r="N21" s="1556"/>
      <c r="O21" s="1556"/>
      <c r="P21" s="1631"/>
      <c r="R21" s="160"/>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row>
    <row r="22" spans="2:48" ht="15" customHeight="1" x14ac:dyDescent="0.2">
      <c r="B22" s="1613"/>
      <c r="C22" s="1614"/>
      <c r="D22" s="1614"/>
      <c r="E22" s="1614"/>
      <c r="F22" s="1614"/>
      <c r="G22" s="1614"/>
      <c r="H22" s="1614"/>
      <c r="I22" s="1614"/>
      <c r="J22" s="1615"/>
      <c r="K22" s="1568" t="s">
        <v>1842</v>
      </c>
      <c r="L22" s="1568"/>
      <c r="M22" s="1568"/>
      <c r="N22" s="1568"/>
      <c r="O22" s="77">
        <f>IF(E21="ERROR","ERROR",IF(R22&gt;1,1,R22))</f>
        <v>0</v>
      </c>
      <c r="P22" s="1631"/>
      <c r="R22" s="243">
        <f>SUM(I19,I20,E21)</f>
        <v>0</v>
      </c>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row>
    <row r="23" spans="2:48" ht="15" customHeight="1" x14ac:dyDescent="0.2">
      <c r="B23" s="185" t="s">
        <v>1578</v>
      </c>
      <c r="C23" s="1308"/>
      <c r="D23" s="1308"/>
      <c r="E23" s="1558">
        <f>UETable!BF7</f>
        <v>0</v>
      </c>
      <c r="F23" s="1558"/>
      <c r="G23" s="1308"/>
      <c r="H23" s="1308"/>
      <c r="I23" s="1538">
        <f>IF(C23="",0,IF(OR(C23&lt;=0,G23&lt;=0),E23,IF(G23&lt;C23,0,UETable!BK7)))</f>
        <v>0</v>
      </c>
      <c r="J23" s="1538"/>
      <c r="K23" s="1556" t="str">
        <f>IF(OR(C23="NA",G23="NA"),"",IF(AND(C23&lt;&gt;"",G23=""),"Enter contralateral or NA.",IF(AND(C23="",G23&lt;&gt;""),"Need data","")))</f>
        <v/>
      </c>
      <c r="L23" s="1556"/>
      <c r="M23" s="1556"/>
      <c r="N23" s="1556"/>
      <c r="O23" s="1556"/>
      <c r="P23" s="1631"/>
      <c r="R23" s="160"/>
      <c r="S23" s="1024">
        <v>60</v>
      </c>
      <c r="T23" s="769" t="str">
        <f>IF(OR(C23="",C23="NA"),"",IF(C23&gt;S23,S23,IF(C23&lt;0,0,C23)))</f>
        <v/>
      </c>
      <c r="U23" s="769" t="str">
        <f>IF(OR(G23="",G23="NA"),"",IF(G23&gt;S23,S23,IF(G23&lt;0,0,G23)))</f>
        <v/>
      </c>
      <c r="V23" s="696" t="str">
        <f>IF(Y23="","",ROUND(Y23,0))</f>
        <v/>
      </c>
      <c r="W23" s="1410" t="s">
        <v>1203</v>
      </c>
      <c r="X23" s="1410"/>
      <c r="Y23" s="697" t="str">
        <f>IF(T23="","",IF(OR(U23="",U23=0,U23&lt;T23),T23,(T23*60)/U23))</f>
        <v/>
      </c>
      <c r="Z23" s="18"/>
      <c r="AA23" s="18"/>
      <c r="AB23" s="18"/>
      <c r="AC23" s="18"/>
      <c r="AD23" s="18"/>
      <c r="AE23" s="18"/>
      <c r="AF23" s="18"/>
      <c r="AG23" s="18"/>
      <c r="AH23" s="18"/>
      <c r="AI23" s="18"/>
      <c r="AJ23" s="18"/>
      <c r="AK23" s="18"/>
      <c r="AL23" s="18"/>
      <c r="AM23" s="18"/>
      <c r="AN23" s="18"/>
      <c r="AO23" s="18"/>
      <c r="AP23" s="18"/>
      <c r="AQ23" s="18"/>
      <c r="AR23" s="18"/>
      <c r="AS23" s="18"/>
      <c r="AT23" s="18"/>
    </row>
    <row r="24" spans="2:48" ht="15" customHeight="1" x14ac:dyDescent="0.2">
      <c r="B24" s="185" t="s">
        <v>1579</v>
      </c>
      <c r="C24" s="1308"/>
      <c r="D24" s="1308"/>
      <c r="E24" s="1558">
        <f>UETable!BF8</f>
        <v>0</v>
      </c>
      <c r="F24" s="1558"/>
      <c r="G24" s="1308"/>
      <c r="H24" s="1308"/>
      <c r="I24" s="1538">
        <f>IF(C24="",0,IF(OR(C24&gt;=60,G24&gt;=60),E24,IF(G24&gt;C24,0,UETable!BK8)))</f>
        <v>0</v>
      </c>
      <c r="J24" s="1538"/>
      <c r="K24" s="1556" t="str">
        <f>IF(OR(C24="NA",G24="NA"),"",IF(AND(C24&lt;&gt;"",G24=""),"Enter contralateral or NA.",IF(AND(C24="",G24&lt;&gt;""),"Need data","")))</f>
        <v/>
      </c>
      <c r="L24" s="1556"/>
      <c r="M24" s="1556"/>
      <c r="N24" s="1556"/>
      <c r="O24" s="1556"/>
      <c r="P24" s="1631"/>
      <c r="R24" s="1029"/>
      <c r="S24" s="1024">
        <v>60</v>
      </c>
      <c r="T24" s="769" t="str">
        <f>IF(OR(C24="",C24="NA"),"",IF(C24&gt;S24,S24,IF(C24&lt;0,0,C24)))</f>
        <v/>
      </c>
      <c r="U24" s="769" t="str">
        <f>IF(OR(G24="",G24="NA"),"",IF(G24&gt;S24,S24,IF(G24&lt;0,0,G24)))</f>
        <v/>
      </c>
      <c r="V24" s="696" t="str">
        <f>IF(Y24="","",ROUND(Y24,0))</f>
        <v/>
      </c>
      <c r="W24" s="769">
        <f>IF(T24="",0,60-T24)</f>
        <v>0</v>
      </c>
      <c r="X24" s="769">
        <f>IF(U24="",0,60-U24)</f>
        <v>0</v>
      </c>
      <c r="Y24" s="697" t="str">
        <f>IF(T24="","",IF(OR(U24="",U24=0,U24&gt;T24),T24,60-(W24*60)/X24))</f>
        <v/>
      </c>
      <c r="Z24" s="18"/>
      <c r="AA24" s="783" t="s">
        <v>1307</v>
      </c>
      <c r="AB24" s="783" t="s">
        <v>1305</v>
      </c>
      <c r="AC24" s="769" t="s">
        <v>1306</v>
      </c>
      <c r="AD24" s="769" t="s">
        <v>1307</v>
      </c>
      <c r="AE24" s="18"/>
      <c r="AF24" s="18"/>
      <c r="AG24" s="18"/>
      <c r="AH24" s="18"/>
      <c r="AI24" s="18"/>
      <c r="AJ24" s="18"/>
      <c r="AK24" s="18"/>
      <c r="AL24" s="18"/>
      <c r="AM24" s="18"/>
      <c r="AN24" s="18"/>
      <c r="AO24" s="18"/>
      <c r="AP24" s="18"/>
      <c r="AQ24" s="18"/>
      <c r="AR24" s="18"/>
      <c r="AS24" s="18"/>
      <c r="AT24" s="18"/>
    </row>
    <row r="25" spans="2:48" ht="15" customHeight="1" x14ac:dyDescent="0.2">
      <c r="B25" s="185" t="s">
        <v>643</v>
      </c>
      <c r="C25" s="1308"/>
      <c r="D25" s="1308"/>
      <c r="E25" s="1558">
        <f>IF(AND(C25&lt;&gt;"",C25&lt;&gt;"NA",C24&lt;&gt;"NA",C24&lt;&gt;""),"ERROR",IF(AND(C25&lt;&gt;"",C25&lt;&gt;"NA",C23&lt;&gt;"",C23&lt;&gt;"NA"),"ERROR",UETable!BF9))</f>
        <v>0</v>
      </c>
      <c r="F25" s="1558"/>
      <c r="G25" s="1556" t="str">
        <f>IF(AND(C25&lt;&gt;"",C25&lt;&gt;"NA",C24&lt;&gt;"NA",C24&lt;&gt;""),"ERROR: Cannot rate ROM and ankylosis.",IF(AND(C25&lt;&gt;"",C25&lt;&gt;"NA",C23&lt;&gt;"",C23&lt;&gt;"NA"),"ERROR: Cannot rate ROM and ankylosis.",""))</f>
        <v/>
      </c>
      <c r="H25" s="1556"/>
      <c r="I25" s="1556"/>
      <c r="J25" s="1556"/>
      <c r="K25" s="1556"/>
      <c r="L25" s="1556"/>
      <c r="M25" s="1556"/>
      <c r="N25" s="1556"/>
      <c r="O25" s="1556"/>
      <c r="P25" s="1631"/>
      <c r="R25" s="1025"/>
      <c r="S25" s="1024">
        <v>60</v>
      </c>
      <c r="T25" s="769" t="str">
        <f>IF(OR(C25="",C25="NA"),"",IF(C25&gt;S25,S25,IF(C25&lt;0,0,C25)))</f>
        <v/>
      </c>
      <c r="U25" s="18"/>
      <c r="V25" s="18"/>
      <c r="W25" s="18"/>
      <c r="X25" s="18"/>
      <c r="Y25" s="18"/>
      <c r="Z25" s="18"/>
      <c r="AA25" s="1036">
        <f>IF(AND(AA20&gt;0,AA20&lt;0.01),0.01,ROUND(AA20,2))</f>
        <v>0</v>
      </c>
      <c r="AB25" s="776">
        <f>LARGE(AA25:AA26,1)</f>
        <v>0</v>
      </c>
      <c r="AC25" s="688">
        <f>AB25+AB26*(1-AB25)</f>
        <v>0</v>
      </c>
      <c r="AD25" s="688">
        <f>ROUND(AC25,2)</f>
        <v>0</v>
      </c>
      <c r="AE25" s="18"/>
      <c r="AF25" s="18"/>
      <c r="AG25" s="18"/>
      <c r="AH25" s="18"/>
      <c r="AI25" s="18"/>
      <c r="AJ25" s="18"/>
      <c r="AK25" s="18"/>
      <c r="AL25" s="18"/>
      <c r="AM25" s="18"/>
      <c r="AN25" s="18"/>
      <c r="AO25" s="18"/>
      <c r="AP25" s="18"/>
      <c r="AQ25" s="18"/>
      <c r="AR25" s="18"/>
      <c r="AS25" s="18"/>
      <c r="AT25" s="18"/>
    </row>
    <row r="26" spans="2:48" ht="15" customHeight="1" x14ac:dyDescent="0.2">
      <c r="B26" s="1045"/>
      <c r="C26" s="1046"/>
      <c r="D26" s="1046"/>
      <c r="E26" s="1810" t="str">
        <f>IF(AND(OR(E21&gt;0,E25&gt;0),C27&gt;0),"Note: Ankylosis impairment is not apportioned.","")</f>
        <v/>
      </c>
      <c r="F26" s="1810"/>
      <c r="G26" s="1810"/>
      <c r="H26" s="1810"/>
      <c r="I26" s="1810"/>
      <c r="J26" s="1810"/>
      <c r="K26" s="1568" t="s">
        <v>1842</v>
      </c>
      <c r="L26" s="1568"/>
      <c r="M26" s="1568"/>
      <c r="N26" s="1568"/>
      <c r="O26" s="77">
        <f>IF(E25="ERROR","ERROR",IF(R26&gt;1,1,R26))</f>
        <v>0</v>
      </c>
      <c r="P26" s="1631"/>
      <c r="R26" s="243">
        <f>SUM(I23,I24,E25)</f>
        <v>0</v>
      </c>
      <c r="S26" s="18"/>
      <c r="T26" s="18"/>
      <c r="U26" s="18"/>
      <c r="V26" s="18"/>
      <c r="W26" s="18"/>
      <c r="X26" s="18"/>
      <c r="Y26" s="18"/>
      <c r="Z26" s="18"/>
      <c r="AA26" s="1036">
        <f>IF(AND(AB20&gt;0,AB20&lt;0.01),0.01,ROUND(AB20,2))</f>
        <v>0</v>
      </c>
      <c r="AB26" s="776">
        <f>LARGE(AA25:AA26,2)</f>
        <v>0</v>
      </c>
      <c r="AD26" s="18"/>
      <c r="AE26" s="18"/>
      <c r="AF26" s="18"/>
      <c r="AG26" s="18"/>
      <c r="AH26" s="18"/>
      <c r="AI26" s="18"/>
      <c r="AJ26" s="18"/>
      <c r="AK26" s="18"/>
      <c r="AL26" s="18"/>
      <c r="AM26" s="18"/>
      <c r="AN26" s="18"/>
      <c r="AO26" s="18"/>
      <c r="AP26" s="18"/>
      <c r="AQ26" s="18"/>
      <c r="AR26" s="18"/>
      <c r="AS26" s="18"/>
      <c r="AT26" s="18"/>
    </row>
    <row r="27" spans="2:48" ht="15" customHeight="1" x14ac:dyDescent="0.2">
      <c r="B27" s="1034" t="s">
        <v>2259</v>
      </c>
      <c r="C27" s="1658"/>
      <c r="D27" s="1805"/>
      <c r="E27" s="1810"/>
      <c r="F27" s="1810"/>
      <c r="G27" s="1810"/>
      <c r="H27" s="1810"/>
      <c r="I27" s="1810"/>
      <c r="J27" s="1810"/>
      <c r="K27" s="1568" t="s">
        <v>1135</v>
      </c>
      <c r="L27" s="1568"/>
      <c r="M27" s="1568"/>
      <c r="N27" s="1568"/>
      <c r="O27" s="1568"/>
      <c r="P27" s="1623"/>
      <c r="R27" s="769">
        <f>IF(OR(O22="ERROR",O26="ERROR"),1,0)</f>
        <v>0</v>
      </c>
      <c r="S27" s="18"/>
      <c r="T27" s="18"/>
      <c r="U27" s="18"/>
      <c r="V27" s="18"/>
      <c r="W27" s="18"/>
      <c r="X27" s="18"/>
      <c r="Y27" s="18"/>
      <c r="Z27" s="18"/>
      <c r="AC27" s="18"/>
      <c r="AD27" s="18"/>
      <c r="AE27" s="18"/>
      <c r="AF27" s="18"/>
      <c r="AG27" s="18"/>
      <c r="AH27" s="18"/>
      <c r="AI27" s="18"/>
      <c r="AJ27" s="18"/>
      <c r="AK27" s="18"/>
      <c r="AL27" s="18"/>
      <c r="AM27" s="18"/>
      <c r="AN27" s="18"/>
      <c r="AO27" s="18"/>
      <c r="AP27" s="18"/>
      <c r="AQ27" s="18"/>
      <c r="AR27" s="18"/>
      <c r="AS27" s="18"/>
      <c r="AT27" s="18"/>
    </row>
    <row r="28" spans="2:48" ht="12" customHeight="1" x14ac:dyDescent="0.2">
      <c r="B28" s="1395"/>
      <c r="C28" s="1395"/>
      <c r="D28" s="1395"/>
      <c r="E28" s="1395"/>
      <c r="F28" s="1395"/>
      <c r="G28" s="1395"/>
      <c r="H28" s="1395"/>
      <c r="I28" s="1395"/>
      <c r="J28" s="1395"/>
      <c r="K28" s="1395"/>
      <c r="L28" s="1395"/>
      <c r="M28" s="1395"/>
      <c r="N28" s="1395"/>
      <c r="O28" s="1395"/>
      <c r="P28" s="3"/>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row>
    <row r="29" spans="2:48" ht="12" customHeight="1" x14ac:dyDescent="0.2">
      <c r="B29" s="604"/>
      <c r="C29" s="1607" t="s">
        <v>248</v>
      </c>
      <c r="D29" s="1709"/>
      <c r="E29" s="1596" t="s">
        <v>249</v>
      </c>
      <c r="F29" s="1721"/>
      <c r="G29" s="434"/>
      <c r="H29" s="436"/>
      <c r="I29" s="1625" t="s">
        <v>250</v>
      </c>
      <c r="J29" s="1707"/>
      <c r="K29" s="595"/>
      <c r="L29" s="436"/>
      <c r="M29" s="1596" t="s">
        <v>249</v>
      </c>
      <c r="N29" s="1721"/>
      <c r="O29" s="435"/>
      <c r="P29" s="436"/>
      <c r="Z29" s="601"/>
      <c r="AE29" s="600"/>
      <c r="AF29" s="600"/>
      <c r="AG29" s="600"/>
      <c r="AH29" s="600"/>
      <c r="AI29" s="600"/>
      <c r="AJ29" s="600"/>
      <c r="AK29" s="600"/>
      <c r="AL29" s="600"/>
      <c r="AM29" s="600"/>
      <c r="AN29" s="600"/>
    </row>
    <row r="30" spans="2:48" ht="12" customHeight="1" x14ac:dyDescent="0.2">
      <c r="B30" s="605"/>
      <c r="C30" s="1610" t="s">
        <v>251</v>
      </c>
      <c r="D30" s="1708"/>
      <c r="E30" s="1610" t="s">
        <v>252</v>
      </c>
      <c r="F30" s="1708"/>
      <c r="G30" s="1610" t="s">
        <v>253</v>
      </c>
      <c r="H30" s="1708"/>
      <c r="I30" s="1579" t="s">
        <v>254</v>
      </c>
      <c r="J30" s="1715"/>
      <c r="K30" s="1610" t="s">
        <v>255</v>
      </c>
      <c r="L30" s="1708"/>
      <c r="M30" s="1610" t="s">
        <v>256</v>
      </c>
      <c r="N30" s="1708"/>
      <c r="O30" s="3"/>
      <c r="P30" s="395"/>
      <c r="Z30" s="418"/>
      <c r="AE30" s="600"/>
      <c r="AF30" s="600"/>
      <c r="AG30" s="600"/>
      <c r="AH30" s="600"/>
      <c r="AI30" s="600"/>
      <c r="AJ30" s="600"/>
      <c r="AK30" s="600"/>
      <c r="AL30" s="600"/>
      <c r="AM30" s="600"/>
      <c r="AN30" s="600"/>
    </row>
    <row r="31" spans="2:48" ht="12" customHeight="1" x14ac:dyDescent="0.2">
      <c r="B31" s="605"/>
      <c r="C31" s="1552" t="s">
        <v>257</v>
      </c>
      <c r="D31" s="1706"/>
      <c r="E31" s="1552" t="s">
        <v>258</v>
      </c>
      <c r="F31" s="1706"/>
      <c r="G31" s="1552" t="s">
        <v>259</v>
      </c>
      <c r="H31" s="1706"/>
      <c r="I31" s="1635" t="s">
        <v>260</v>
      </c>
      <c r="J31" s="1716"/>
      <c r="K31" s="1552" t="s">
        <v>259</v>
      </c>
      <c r="L31" s="1706"/>
      <c r="M31" s="1552" t="s">
        <v>258</v>
      </c>
      <c r="N31" s="1706"/>
      <c r="O31" s="3"/>
      <c r="P31" s="395"/>
      <c r="AH31" s="877">
        <v>1</v>
      </c>
      <c r="AI31" s="877">
        <v>2</v>
      </c>
      <c r="AJ31" s="877">
        <v>3</v>
      </c>
      <c r="AK31" s="877">
        <v>4</v>
      </c>
      <c r="AM31" s="600"/>
      <c r="AN31" s="600"/>
      <c r="AO31" s="600"/>
      <c r="AP31" s="600"/>
      <c r="AQ31" s="600"/>
      <c r="AR31" s="600"/>
      <c r="AS31" s="600"/>
      <c r="AT31" s="600"/>
      <c r="AU31" s="600"/>
      <c r="AV31" s="600"/>
    </row>
    <row r="32" spans="2:48" ht="12" customHeight="1" x14ac:dyDescent="0.2">
      <c r="B32" s="679" t="s">
        <v>1986</v>
      </c>
      <c r="C32" s="1552" t="s">
        <v>261</v>
      </c>
      <c r="D32" s="1706"/>
      <c r="E32" s="1552" t="s">
        <v>261</v>
      </c>
      <c r="F32" s="1706"/>
      <c r="G32" s="1552" t="s">
        <v>261</v>
      </c>
      <c r="H32" s="1706"/>
      <c r="I32" s="1552" t="s">
        <v>261</v>
      </c>
      <c r="J32" s="1706"/>
      <c r="K32" s="1552" t="s">
        <v>261</v>
      </c>
      <c r="L32" s="1706"/>
      <c r="M32" s="1552" t="s">
        <v>261</v>
      </c>
      <c r="N32" s="1706"/>
      <c r="O32" s="3"/>
      <c r="P32" s="395"/>
      <c r="S32" s="1519" t="s">
        <v>2234</v>
      </c>
      <c r="T32" s="1520"/>
      <c r="U32" s="1520"/>
      <c r="V32" s="1521"/>
      <c r="W32" s="599"/>
      <c r="X32" s="1519" t="s">
        <v>2197</v>
      </c>
      <c r="Y32" s="1520"/>
      <c r="Z32" s="1520"/>
      <c r="AA32" s="1521"/>
      <c r="AB32" s="599"/>
      <c r="AC32" s="1562" t="s">
        <v>2197</v>
      </c>
      <c r="AD32" s="1563"/>
      <c r="AE32" s="1563"/>
      <c r="AF32" s="1564"/>
      <c r="AG32" s="599"/>
      <c r="AH32" s="1818" t="s">
        <v>2197</v>
      </c>
      <c r="AI32" s="1819"/>
      <c r="AJ32" s="1820"/>
      <c r="AL32" s="1516" t="s">
        <v>2197</v>
      </c>
      <c r="AM32" s="1517"/>
      <c r="AN32" s="1517"/>
      <c r="AO32" s="1518"/>
      <c r="AQ32" s="1516" t="s">
        <v>2197</v>
      </c>
      <c r="AR32" s="1517"/>
      <c r="AS32" s="1517"/>
      <c r="AT32" s="1518"/>
    </row>
    <row r="33" spans="1:109" ht="15" customHeight="1" x14ac:dyDescent="0.2">
      <c r="B33" s="185" t="s">
        <v>1600</v>
      </c>
      <c r="C33" s="1554"/>
      <c r="D33" s="1554"/>
      <c r="E33" s="1554"/>
      <c r="F33" s="1554"/>
      <c r="G33" s="1555" t="s">
        <v>1942</v>
      </c>
      <c r="H33" s="1555"/>
      <c r="I33" s="1554"/>
      <c r="J33" s="1554"/>
      <c r="K33" s="1555" t="s">
        <v>1942</v>
      </c>
      <c r="L33" s="1555"/>
      <c r="M33" s="1554"/>
      <c r="N33" s="1554"/>
      <c r="O33" s="3"/>
      <c r="P33" s="395"/>
      <c r="S33" s="369">
        <f>IF(C33="",0,C33)</f>
        <v>0</v>
      </c>
      <c r="T33" s="369">
        <f>IF(AND(E33&lt;&gt;C33,E33&lt;&gt;""),E33,IF(OR(E34&lt;&gt;"",E35&lt;&gt;""),0,S33))</f>
        <v>0</v>
      </c>
      <c r="U33" s="369">
        <f>IF(AND(I33&lt;&gt;E33,I33&lt;&gt;""),I33,IF(OR(I34&lt;&gt;"",I35&lt;&gt;""),0,T33))</f>
        <v>0</v>
      </c>
      <c r="V33" s="369">
        <f>IF(AND(M33&lt;&gt;I33,M33&lt;&gt;""),M33,IF(OR(M34&lt;&gt;"",M35&lt;&gt;""),0,U33))</f>
        <v>0</v>
      </c>
      <c r="W33" s="599"/>
      <c r="X33" s="185">
        <f>IF(C33&gt;1,1,0)</f>
        <v>0</v>
      </c>
      <c r="Y33" s="369">
        <f t="shared" ref="Y33:AA35" si="0">IF(AND(S33&lt;&gt;T33,T33&gt;0),1,0)</f>
        <v>0</v>
      </c>
      <c r="Z33" s="369">
        <f t="shared" si="0"/>
        <v>0</v>
      </c>
      <c r="AA33" s="369">
        <f t="shared" si="0"/>
        <v>0</v>
      </c>
      <c r="AC33" s="602">
        <f>IF(S33=1,0,IF(S33=2,0.25,IF(S33=3,0.38,IF(S33=4,0.5,0))))</f>
        <v>0</v>
      </c>
      <c r="AD33" s="602">
        <f>IF(T33=1,0,IF(T33=2,0.19,IF(T33=3,0.28,IF(T33=4,0.37,0))))</f>
        <v>0</v>
      </c>
      <c r="AE33" s="602">
        <f>IF(U33=1,0,IF(U33=2,0.12,IF(U33=3,0.17,IF(U33=4,0.23,0))))</f>
        <v>0</v>
      </c>
      <c r="AF33" s="602">
        <f>IF(V33=1,0,IF(V33=2,0.08,IF(V33=3,0.12,IF(V33=4,0.15,0))))</f>
        <v>0</v>
      </c>
      <c r="AH33" s="602">
        <f>IF(S33=1,0,IF(S33=2,0.19,IF(S33=3,0.28,IF(S33=4,0.37,0))))</f>
        <v>0</v>
      </c>
      <c r="AI33" s="602">
        <f>IF(T33=1,0,IF(T33=2,0.12,IF(T33=3,0.17,IF(T33=4,0.23,0))))</f>
        <v>0</v>
      </c>
      <c r="AJ33" s="602">
        <f>IF(U33=1,0,IF(U33=2,0.08,IF(U33=3,0.12,IF(U33=4,0.15,0))))</f>
        <v>0</v>
      </c>
      <c r="AL33" s="602">
        <f>IF(S33=1,0,IF(S33=2,0.12,IF(S33=3,0.17,IF(S33=4,0.23,0))))</f>
        <v>0</v>
      </c>
      <c r="AM33" s="602">
        <f>IF(T33=1,0,IF(T33=2,0.08,IF(T33=3,0.12,IF(T33=4,0.15,0))))</f>
        <v>0</v>
      </c>
      <c r="AO33" s="602">
        <f>IF(S33=1,0,IF(S33=2,0.08,IF(S33=3,0.12,IF(S33=4,0.15,0))))</f>
        <v>0</v>
      </c>
      <c r="AP33" s="603"/>
      <c r="AQ33" s="602">
        <f>IF(X33=0,0,IF(OR(Y33=1,Y34=1,Y35=1),AC33-AH33,IF(OR(Z33=1,Z34=1,Z35=1),AC33-AL33,IF(OR(AA33=1,AA34=1,AA35=1),AC33-AO33,AC33))))</f>
        <v>0</v>
      </c>
      <c r="AR33" s="602">
        <f>IF(Y33=0,0,IF(OR(Z33=1,Z34=1,Z35=1),AD33-AI33,IF(OR(AA33=1,AA34=1,AA35=1),AD33-AM33,AD33)))</f>
        <v>0</v>
      </c>
      <c r="AS33" s="602">
        <f>IF(Z33=0,0,IF(OR(AA33=1,AA34=1,AA35=1),AE33-AJ33,AE33))</f>
        <v>0</v>
      </c>
      <c r="AT33" s="602">
        <f>IF(AA33=0,0,AF33)</f>
        <v>0</v>
      </c>
      <c r="AU33" s="603"/>
      <c r="AV33" s="784" t="s">
        <v>262</v>
      </c>
      <c r="AW33" s="784"/>
      <c r="AX33" s="1487" t="s">
        <v>2197</v>
      </c>
      <c r="AY33" s="1487"/>
      <c r="AZ33" s="1487"/>
      <c r="BA33" s="1487"/>
      <c r="BB33" s="1487"/>
      <c r="BC33" s="1487"/>
    </row>
    <row r="34" spans="1:109" ht="15" customHeight="1" x14ac:dyDescent="0.2">
      <c r="B34" s="369" t="s">
        <v>1601</v>
      </c>
      <c r="C34" s="1554"/>
      <c r="D34" s="1554"/>
      <c r="E34" s="1554"/>
      <c r="F34" s="1554"/>
      <c r="G34" s="1555" t="s">
        <v>1942</v>
      </c>
      <c r="H34" s="1555"/>
      <c r="I34" s="1554"/>
      <c r="J34" s="1554"/>
      <c r="K34" s="1555" t="s">
        <v>1942</v>
      </c>
      <c r="L34" s="1555"/>
      <c r="M34" s="1554"/>
      <c r="N34" s="1554"/>
      <c r="O34" s="3"/>
      <c r="P34" s="395"/>
      <c r="S34" s="369">
        <f>IF(C34="",0,C34)</f>
        <v>0</v>
      </c>
      <c r="T34" s="369">
        <f>IF(E34&lt;&gt;C34,E34,IF(AND(E35&lt;&gt;C35,S33&gt;1),S33,0))</f>
        <v>0</v>
      </c>
      <c r="U34" s="369">
        <f>IF(I34&lt;&gt;E34,I34,IF(AND(I35&lt;&gt;E35,T33&gt;1),T33,0))</f>
        <v>0</v>
      </c>
      <c r="V34" s="369">
        <f>IF(M34&lt;&gt;I34,M34,IF(AND(M35&lt;&gt;I35,U33&gt;1),U33,0))</f>
        <v>0</v>
      </c>
      <c r="W34" s="599"/>
      <c r="X34" s="185">
        <f>IF(C34&gt;1,1,0)</f>
        <v>0</v>
      </c>
      <c r="Y34" s="369">
        <f t="shared" si="0"/>
        <v>0</v>
      </c>
      <c r="Z34" s="369">
        <f t="shared" si="0"/>
        <v>0</v>
      </c>
      <c r="AA34" s="369">
        <f t="shared" si="0"/>
        <v>0</v>
      </c>
      <c r="AC34" s="602">
        <f>IF(S34=1,0,IF(S34=2,0.1,IF(S34=3,0.17,IF(S34=4,0.23,0))))</f>
        <v>0</v>
      </c>
      <c r="AD34" s="602">
        <f>IF(T34=1,0,IF(T34=2,0.08,IF(T34=3,0.12,IF(T34=4,0.16,0))))</f>
        <v>0</v>
      </c>
      <c r="AE34" s="602">
        <f>IF(U34=1,0,IF(U34=2,0.05,IF(U34=3,0.07,IF(U34=4,0.09,0))))</f>
        <v>0</v>
      </c>
      <c r="AF34" s="602">
        <f>IF(V34=1,0,IF(V34=2,0.03,IF(V34=3,0.05,IF(V34=4,0.06,0))))</f>
        <v>0</v>
      </c>
      <c r="AH34" s="602">
        <f>IF(S34=1,0,IF(S34=2,0.08,IF(S34=3,0.12,IF(S34=4,0.16,0))))</f>
        <v>0</v>
      </c>
      <c r="AI34" s="602">
        <f>IF(T34=1,0,IF(T34=2,0.05,IF(T34=3,0.07,IF(T34=4,0.09,0))))</f>
        <v>0</v>
      </c>
      <c r="AJ34" s="602">
        <f>IF(U34=1,0,IF(U34=2,0.03,IF(U34=3,0.05,IF(U34=4,0.06,0))))</f>
        <v>0</v>
      </c>
      <c r="AL34" s="602">
        <f>IF(S34=1,0,IF(S34=2,0.05,IF(S34=3,0.07,IF(S34=4,0.09,0))))</f>
        <v>0</v>
      </c>
      <c r="AM34" s="602">
        <f>IF(T34=1,0,IF(T34=2,0.03,IF(T34=3,0.05,IF(T34=4,0.06,0))))</f>
        <v>0</v>
      </c>
      <c r="AO34" s="602">
        <f>IF(S34=1,0,IF(S34=2,0.03,IF(S34=3,0.05,IF(S34=4,0.06,0))))</f>
        <v>0</v>
      </c>
      <c r="AP34" s="603"/>
      <c r="AQ34" s="602">
        <f>IF(X34=0,0,IF(OR(Y33=1,Y34=1),AC34-AH34,IF(OR(Z33=1,Z34=1),AC34-AL34,IF(OR(AA33=1,AA34=1),AC34-AO34,AC34))))</f>
        <v>0</v>
      </c>
      <c r="AR34" s="602">
        <f>IF(Y34=0,0,IF(OR(Z33=1,Z34=1),AD34-AI34,IF(OR(AA33=1,AA34=1),AD34-AM34,AD34)))</f>
        <v>0</v>
      </c>
      <c r="AS34" s="602">
        <f>IF(Z34=0,0,IF(OR(AA33=1,AA34=1),AE34-AJ34,AE34))</f>
        <v>0</v>
      </c>
      <c r="AT34" s="602">
        <f>IF(AA34=0,0,AF34)</f>
        <v>0</v>
      </c>
      <c r="AU34" s="603"/>
      <c r="AV34" s="452">
        <f>LARGE((AQ33,AR33,AS33,AT33,AQ34,AR34,AS34,AT34,AQ35,AR35,AS35,AT35),1)</f>
        <v>0</v>
      </c>
      <c r="AW34" s="452">
        <f>LARGE((AQ33,AR33,AS33,AT33,AQ34,AR34,AS34,AT34,AQ35,AR35,AS35,AT35),2)</f>
        <v>0</v>
      </c>
      <c r="AX34" s="452">
        <f>LARGE((AQ33,AR33,AS33,AT33,AQ34,AR34,AS34,AT34,AQ35,AR35,AS35,AT35),3)</f>
        <v>0</v>
      </c>
      <c r="AY34" s="452">
        <f>LARGE((AQ33,AR33,AS33,AT33,AQ34,AR34,AS34,AT34,AQ35,AR35,AS35,AT35),4)</f>
        <v>0</v>
      </c>
      <c r="AZ34" s="452">
        <f>LARGE((AQ33,AR33,AS33,AT33,AQ34,AR34,AS34,AT34,AQ35,AR35,AS35,AT35),5)</f>
        <v>0</v>
      </c>
      <c r="BA34" s="452">
        <f>LARGE((AQ33,AR33,AS33,AT33,AQ34,AR34,AS34,AT34,AQ35,AR35,AS35,AT35),6)</f>
        <v>0</v>
      </c>
      <c r="BB34" s="452">
        <f>LARGE((AQ33,AR33,AS33,AT33,AQ34,AR34,AS34,AT34,AQ35,AR35,AS35,AT35),7)</f>
        <v>0</v>
      </c>
      <c r="BC34" s="452">
        <f>LARGE((AQ33,AR33,AS33,AT33,AQ34,AR34,AS34,AT34,AQ35,AR35,AS35,AT35),8)</f>
        <v>0</v>
      </c>
    </row>
    <row r="35" spans="1:109" ht="15" customHeight="1" x14ac:dyDescent="0.2">
      <c r="B35" s="606" t="s">
        <v>1602</v>
      </c>
      <c r="C35" s="1554"/>
      <c r="D35" s="1554"/>
      <c r="E35" s="1554"/>
      <c r="F35" s="1554"/>
      <c r="G35" s="1450" t="s">
        <v>1942</v>
      </c>
      <c r="H35" s="1450"/>
      <c r="I35" s="1554"/>
      <c r="J35" s="1554"/>
      <c r="K35" s="1450" t="s">
        <v>1942</v>
      </c>
      <c r="L35" s="1450"/>
      <c r="M35" s="1554"/>
      <c r="N35" s="1554"/>
      <c r="O35" s="3"/>
      <c r="P35" s="395"/>
      <c r="S35" s="369">
        <f>IF(C35="",0,C35)</f>
        <v>0</v>
      </c>
      <c r="T35" s="369">
        <f>IF(E35&lt;&gt;C35,E35,IF(AND(E34&lt;&gt;C34,S33&gt;1),S33,0))</f>
        <v>0</v>
      </c>
      <c r="U35" s="369">
        <f>IF(I35&lt;&gt;E35,I35,IF(AND(I34&lt;&gt;E34,T33&gt;1),T33,0))</f>
        <v>0</v>
      </c>
      <c r="V35" s="369">
        <f>IF(M35&lt;&gt;I35,M35,IF(AND(M34&lt;&gt;I34,U33&gt;1),U33,0))</f>
        <v>0</v>
      </c>
      <c r="W35" s="599"/>
      <c r="X35" s="185">
        <f>IF(C35&gt;1,1,0)</f>
        <v>0</v>
      </c>
      <c r="Y35" s="369">
        <f t="shared" si="0"/>
        <v>0</v>
      </c>
      <c r="Z35" s="369">
        <f t="shared" si="0"/>
        <v>0</v>
      </c>
      <c r="AA35" s="369">
        <f t="shared" si="0"/>
        <v>0</v>
      </c>
      <c r="AC35" s="602">
        <f>IF(S35=1,0,IF(S35=2,0.17,IF(S35=3,0.25,IF(S35=4,0.35,0))))</f>
        <v>0</v>
      </c>
      <c r="AD35" s="602">
        <f>IF(T35=1,0,IF(T35=2,0.12,IF(T35=3,0.18,IF(T35=4,0.25,0))))</f>
        <v>0</v>
      </c>
      <c r="AE35" s="602">
        <f>IF(U35=1,0,IF(U35=2,0.07,IF(U35=3,0.11,IF(U35=4,0.15,0))))</f>
        <v>0</v>
      </c>
      <c r="AF35" s="602">
        <f>IF(V35=1,0,IF(V35=2,0.05,IF(V35=3,0.07,IF(V35=4,0.1,0))))</f>
        <v>0</v>
      </c>
      <c r="AH35" s="602">
        <f>IF(S35=1,0,IF(S35=2,0.12,IF(S35=3,0.18,IF(S35=4,0.25,0))))</f>
        <v>0</v>
      </c>
      <c r="AI35" s="602">
        <f>IF(T35=1,0,IF(T35=2,0.07,IF(T35=3,0.11,IF(T35=4,0.15,0))))</f>
        <v>0</v>
      </c>
      <c r="AJ35" s="602">
        <f>IF(U35=1,0,IF(U35=2,0.05,IF(U35=3,0.07,IF(U35=4,0.1,0))))</f>
        <v>0</v>
      </c>
      <c r="AL35" s="602">
        <f>IF(S35=1,0,IF(S35=2,0.07,IF(S35=3,0.11,IF(S35=4,0.15,0))))</f>
        <v>0</v>
      </c>
      <c r="AM35" s="602">
        <f>IF(T35=1,0,IF(T35=2,0.05,IF(T35=3,0.07,IF(T35=4,0.1,0))))</f>
        <v>0</v>
      </c>
      <c r="AO35" s="602">
        <f>IF(S35=1,0,IF(S35=2,0.05,IF(S35=3,0.07,IF(S35=4,0.1,0))))</f>
        <v>0</v>
      </c>
      <c r="AP35" s="603"/>
      <c r="AQ35" s="602">
        <f>IF(X35=0,0,IF(OR(Y33=1,Y35=1),AC35-AH35,IF(OR(Z33=1,Z35=1),AC35-AL35,IF(OR(AA33=1,AA35=1),AC35-AO35,AC35))))</f>
        <v>0</v>
      </c>
      <c r="AR35" s="602">
        <f>IF(Y35=0,0,IF(OR(Z33=1,Z35=1),AD35-AI35,IF(OR(AA33=1,AA35=1),AD35-AM35,AD35)))</f>
        <v>0</v>
      </c>
      <c r="AS35" s="602">
        <f>IF(Z35=0,0,IF(OR(AA33=1,AA35=1),AE35-AJ35,AE35))</f>
        <v>0</v>
      </c>
      <c r="AT35" s="602">
        <f>IF(AA35=0,0,AF35)</f>
        <v>0</v>
      </c>
      <c r="AU35" s="603"/>
      <c r="AV35" s="479">
        <f>ROUND(AV34+AW34*(1-AV34),2)</f>
        <v>0</v>
      </c>
      <c r="AW35" s="479">
        <f t="shared" ref="AW35:BB35" si="1">ROUND(AV35+AX34*(1-AV35),2)</f>
        <v>0</v>
      </c>
      <c r="AX35" s="479">
        <f t="shared" si="1"/>
        <v>0</v>
      </c>
      <c r="AY35" s="479">
        <f t="shared" si="1"/>
        <v>0</v>
      </c>
      <c r="AZ35" s="479">
        <f t="shared" si="1"/>
        <v>0</v>
      </c>
      <c r="BA35" s="479">
        <f t="shared" si="1"/>
        <v>0</v>
      </c>
      <c r="BB35" s="479">
        <f t="shared" si="1"/>
        <v>0</v>
      </c>
      <c r="BC35" s="185"/>
    </row>
    <row r="36" spans="1:109" x14ac:dyDescent="0.2">
      <c r="B36" s="1593" t="str">
        <f>IF(AA36=1,"ERROR: If radial or ulnar impairment is recorded, do not enter losses for 'both sides.'","")</f>
        <v/>
      </c>
      <c r="C36" s="1594"/>
      <c r="D36" s="1594"/>
      <c r="E36" s="1594"/>
      <c r="F36" s="1594"/>
      <c r="G36" s="1594"/>
      <c r="H36" s="1594"/>
      <c r="I36" s="1594"/>
      <c r="J36" s="1594"/>
      <c r="K36" s="1594"/>
      <c r="L36" s="1594"/>
      <c r="M36" s="1594"/>
      <c r="N36" s="1594"/>
      <c r="O36" s="1595"/>
      <c r="P36" s="303">
        <f>IF(B36&lt;&gt;"","ERROR",BB35)</f>
        <v>0</v>
      </c>
      <c r="S36" s="599"/>
      <c r="T36" s="599"/>
      <c r="U36" s="599"/>
      <c r="X36" s="369">
        <f>SUM(X33:AA33)</f>
        <v>0</v>
      </c>
      <c r="Y36" s="369">
        <f>SUM(X34:AA34)</f>
        <v>0</v>
      </c>
      <c r="Z36" s="369">
        <f>SUM(X35:AA35)</f>
        <v>0</v>
      </c>
      <c r="AA36" s="369">
        <f>IF(AND(X36&gt;0,Y36&gt;0),1,IF(AND(X36&gt;0,Z36&gt;0),1,0))</f>
        <v>0</v>
      </c>
    </row>
    <row r="37" spans="1:109" ht="15" customHeight="1" x14ac:dyDescent="0.2">
      <c r="B37" s="434" t="s">
        <v>1227</v>
      </c>
      <c r="C37" s="435"/>
      <c r="D37" s="435"/>
      <c r="E37" s="435"/>
      <c r="F37" s="435"/>
      <c r="G37" s="435"/>
      <c r="H37" s="435"/>
      <c r="I37" s="435"/>
      <c r="J37" s="435"/>
      <c r="K37" s="435"/>
      <c r="L37" s="435"/>
      <c r="M37" s="435"/>
      <c r="N37" s="435"/>
      <c r="O37" s="435"/>
      <c r="P37" s="436"/>
    </row>
    <row r="38" spans="1:109" ht="15" customHeight="1" x14ac:dyDescent="0.2">
      <c r="B38" s="185" t="s">
        <v>1600</v>
      </c>
      <c r="C38" s="1554"/>
      <c r="D38" s="1554"/>
      <c r="E38" s="1554"/>
      <c r="F38" s="1554"/>
      <c r="G38" s="1555" t="s">
        <v>1942</v>
      </c>
      <c r="H38" s="1555"/>
      <c r="I38" s="1554"/>
      <c r="J38" s="1554"/>
      <c r="K38" s="1555" t="s">
        <v>1942</v>
      </c>
      <c r="L38" s="1555"/>
      <c r="M38" s="1554"/>
      <c r="N38" s="1554"/>
      <c r="O38" s="3"/>
      <c r="P38" s="395"/>
      <c r="S38" s="369">
        <f>IF(C38="",0,C38)</f>
        <v>0</v>
      </c>
      <c r="T38" s="369">
        <f>IF(AND(E38&lt;&gt;C38,E38&lt;&gt;""),E38,IF(OR(E39&lt;&gt;"",E40&lt;&gt;""),0,S38))</f>
        <v>0</v>
      </c>
      <c r="U38" s="369">
        <f>IF(AND(I38&lt;&gt;E38,I38&lt;&gt;""),I38,IF(OR(I39&lt;&gt;"",I40&lt;&gt;""),0,T38))</f>
        <v>0</v>
      </c>
      <c r="V38" s="369">
        <f>IF(AND(M38&lt;&gt;I38,M38&lt;&gt;""),M38,IF(OR(M39&lt;&gt;"",M40&lt;&gt;""),0,U38))</f>
        <v>0</v>
      </c>
      <c r="W38" s="599"/>
      <c r="X38" s="185">
        <f>IF(C38&gt;1,1,0)</f>
        <v>0</v>
      </c>
      <c r="Y38" s="369">
        <f t="shared" ref="Y38:AA40" si="2">IF(AND(S38&lt;&gt;T38,T38&gt;0),1,0)</f>
        <v>0</v>
      </c>
      <c r="Z38" s="369">
        <f t="shared" si="2"/>
        <v>0</v>
      </c>
      <c r="AA38" s="369">
        <f t="shared" si="2"/>
        <v>0</v>
      </c>
      <c r="AC38" s="602">
        <f>IF(S38=1,0,IF(S38=2,0.25,IF(S38=3,0.38,IF(S38=4,0.5,0))))</f>
        <v>0</v>
      </c>
      <c r="AD38" s="602">
        <f>IF(T38=1,0,IF(T38=2,0.19,IF(T38=3,0.28,IF(T38=4,0.37,0))))</f>
        <v>0</v>
      </c>
      <c r="AE38" s="602">
        <f>IF(U38=1,0,IF(U38=2,0.12,IF(U38=3,0.17,IF(U38=4,0.23,0))))</f>
        <v>0</v>
      </c>
      <c r="AF38" s="602">
        <f>IF(V38=1,0,IF(V38=2,0.08,IF(V38=3,0.12,IF(V38=4,0.15,0))))</f>
        <v>0</v>
      </c>
      <c r="AH38" s="602">
        <f>IF(S38=1,0,IF(S38=2,0.19,IF(S38=3,0.28,IF(S38=4,0.37,0))))</f>
        <v>0</v>
      </c>
      <c r="AI38" s="602">
        <f>IF(T38=1,0,IF(T38=2,0.12,IF(T38=3,0.17,IF(T38=4,0.23,0))))</f>
        <v>0</v>
      </c>
      <c r="AJ38" s="602">
        <f>IF(U38=1,0,IF(U38=2,0.08,IF(U38=3,0.12,IF(U38=4,0.15,0))))</f>
        <v>0</v>
      </c>
      <c r="AL38" s="602">
        <f>IF(S38=1,0,IF(S38=2,0.12,IF(S38=3,0.17,IF(S38=4,0.23,0))))</f>
        <v>0</v>
      </c>
      <c r="AM38" s="602">
        <f>IF(T38=1,0,IF(T38=2,0.08,IF(T38=3,0.12,IF(T38=4,0.15,0))))</f>
        <v>0</v>
      </c>
      <c r="AO38" s="602">
        <f>IF(S38=1,0,IF(S38=2,0.08,IF(S38=3,0.12,IF(S38=4,0.15,0))))</f>
        <v>0</v>
      </c>
      <c r="AP38" s="603"/>
      <c r="AQ38" s="602">
        <f>IF(X38=0,0,IF(OR(Y38=1,Y39=1,Y40=1),AC38-AH38,IF(OR(Z38=1,Z39=1,Z40=1),AC38-AL38,IF(OR(AA38=1,AA39=1,AA40=1),AC38-AO38,AC38))))</f>
        <v>0</v>
      </c>
      <c r="AR38" s="602">
        <f>IF(Y38=0,0,IF(OR(Z38=1,Z39=1,Z40=1),AD38-AI38,IF(OR(AA38=1,AA39=1,AA40=1),AD38-AM38,AD38)))</f>
        <v>0</v>
      </c>
      <c r="AS38" s="602">
        <f>IF(Z38=0,0,IF(OR(AA38=1,AA39=1,AA40=1),AE38-AJ38,AE38))</f>
        <v>0</v>
      </c>
      <c r="AT38" s="602">
        <f>IF(AA38=0,0,AF38)</f>
        <v>0</v>
      </c>
      <c r="AU38" s="603"/>
      <c r="AV38" s="784" t="s">
        <v>262</v>
      </c>
      <c r="AW38" s="784"/>
    </row>
    <row r="39" spans="1:109" ht="15" customHeight="1" x14ac:dyDescent="0.2">
      <c r="B39" s="369" t="s">
        <v>1601</v>
      </c>
      <c r="C39" s="1554"/>
      <c r="D39" s="1554"/>
      <c r="E39" s="1554"/>
      <c r="F39" s="1554"/>
      <c r="G39" s="1555" t="s">
        <v>1942</v>
      </c>
      <c r="H39" s="1555"/>
      <c r="I39" s="1554"/>
      <c r="J39" s="1554"/>
      <c r="K39" s="1555" t="s">
        <v>1942</v>
      </c>
      <c r="L39" s="1555"/>
      <c r="M39" s="1554"/>
      <c r="N39" s="1554"/>
      <c r="O39" s="3"/>
      <c r="P39" s="395"/>
      <c r="S39" s="369">
        <f>IF(C39="",0,C39)</f>
        <v>0</v>
      </c>
      <c r="T39" s="369">
        <f>IF(E39&lt;&gt;C39,E39,IF(AND(E40&lt;&gt;C40,S38&gt;1),S38,0))</f>
        <v>0</v>
      </c>
      <c r="U39" s="369">
        <f>IF(I39&lt;&gt;E39,I39,IF(AND(I40&lt;&gt;E40,T38&gt;1),T38,0))</f>
        <v>0</v>
      </c>
      <c r="V39" s="369">
        <f>IF(M39&lt;&gt;I39,M39,IF(AND(M40&lt;&gt;I40,U38&gt;1),U38,0))</f>
        <v>0</v>
      </c>
      <c r="W39" s="599"/>
      <c r="X39" s="185">
        <f>IF(C39&gt;1,1,0)</f>
        <v>0</v>
      </c>
      <c r="Y39" s="369">
        <f t="shared" si="2"/>
        <v>0</v>
      </c>
      <c r="Z39" s="369">
        <f t="shared" si="2"/>
        <v>0</v>
      </c>
      <c r="AA39" s="369">
        <f t="shared" si="2"/>
        <v>0</v>
      </c>
      <c r="AC39" s="602">
        <f>IF(S39=1,0,IF(S39=2,0.1,IF(S39=3,0.17,IF(S39=4,0.23,0))))</f>
        <v>0</v>
      </c>
      <c r="AD39" s="602">
        <f>IF(T39=1,0,IF(T39=2,0.08,IF(T39=3,0.12,IF(T39=4,0.16,0))))</f>
        <v>0</v>
      </c>
      <c r="AE39" s="602">
        <f>IF(U39=1,0,IF(U39=2,0.05,IF(U39=3,0.07,IF(U39=4,0.09,0))))</f>
        <v>0</v>
      </c>
      <c r="AF39" s="602">
        <f>IF(V39=1,0,IF(V39=2,0.03,IF(V39=3,0.05,IF(V39=4,0.06,0))))</f>
        <v>0</v>
      </c>
      <c r="AH39" s="602">
        <f>IF(S39=1,0,IF(S39=2,0.08,IF(S39=3,0.12,IF(S39=4,0.16,0))))</f>
        <v>0</v>
      </c>
      <c r="AI39" s="602">
        <f>IF(T39=1,0,IF(T39=2,0.05,IF(T39=3,0.07,IF(T39=4,0.09,0))))</f>
        <v>0</v>
      </c>
      <c r="AJ39" s="602">
        <f>IF(U39=1,0,IF(U39=2,0.03,IF(U39=3,0.05,IF(U39=4,0.06,0))))</f>
        <v>0</v>
      </c>
      <c r="AL39" s="602">
        <f>IF(S39=1,0,IF(S39=2,0.05,IF(S39=3,0.07,IF(S39=4,0.09,0))))</f>
        <v>0</v>
      </c>
      <c r="AM39" s="602">
        <f>IF(T39=1,0,IF(T39=2,0.03,IF(T39=3,0.05,IF(T39=4,0.06,0))))</f>
        <v>0</v>
      </c>
      <c r="AO39" s="602">
        <f>IF(S39=1,0,IF(S39=2,0.03,IF(S39=3,0.05,IF(S39=4,0.06,0))))</f>
        <v>0</v>
      </c>
      <c r="AP39" s="603"/>
      <c r="AQ39" s="602">
        <f>IF(X39=0,0,IF(OR(Y38=1,Y39=1),AC39-AH39,IF(OR(Z38=1,Z39=1),AC39-AL39,IF(OR(AA38=1,AA39=1),AC39-AO39,AC39))))</f>
        <v>0</v>
      </c>
      <c r="AR39" s="602">
        <f>IF(Y39=0,0,IF(OR(Z38=1,Z39=1),AD39-AI39,IF(OR(AA38=1,AA39=1),AD39-AM39,AD39)))</f>
        <v>0</v>
      </c>
      <c r="AS39" s="602">
        <f>IF(Z39=0,0,IF(OR(AA38=1,AA39=1),AE39-AJ39,AE39))</f>
        <v>0</v>
      </c>
      <c r="AT39" s="602">
        <f>IF(AA39=0,0,AF39)</f>
        <v>0</v>
      </c>
      <c r="AU39" s="603"/>
      <c r="AV39" s="452">
        <f>LARGE((AQ38,AR38,AS38,AT38,AQ39,AR39,AS39,AT39,AQ40,AR40,AS40,AT40),1)</f>
        <v>0</v>
      </c>
      <c r="AW39" s="452">
        <f>LARGE((AQ38,AR38,AS38,AT38,AQ39,AR39,AS39,AT39,AQ40,AR40,AS40,AT40),2)</f>
        <v>0</v>
      </c>
      <c r="AX39" s="452">
        <f>LARGE((AQ38,AR38,AS38,AT38,AQ39,AR39,AS39,AT39,AQ40,AR40,AS40,AT40),3)</f>
        <v>0</v>
      </c>
      <c r="AY39" s="452">
        <f>LARGE((AQ38,AR38,AS38,AT38,AQ39,AR39,AS39,AT39,AQ40,AR40,AS40,AT40),4)</f>
        <v>0</v>
      </c>
      <c r="AZ39" s="452">
        <f>LARGE((AQ38,AR38,AS38,AT38,AQ39,AR39,AS39,AT39,AQ40,AR40,AS40,AT40),5)</f>
        <v>0</v>
      </c>
      <c r="BA39" s="452">
        <f>LARGE((AQ38,AR38,AS38,AT38,AQ39,AR39,AS39,AT39,AQ40,AR40,AS40,AT40),6)</f>
        <v>0</v>
      </c>
      <c r="BB39" s="452">
        <f>LARGE((AQ38,AR38,AS38,AT38,AQ39,AR39,AS39,AT39,AQ40,AR40,AS40,AT40),7)</f>
        <v>0</v>
      </c>
      <c r="BC39" s="452">
        <f>LARGE((AQ38,AR38,AS38,AT38,AQ39,AR39,AS39,AT39,AQ40,AR40,AS40,AT40),8)</f>
        <v>0</v>
      </c>
    </row>
    <row r="40" spans="1:109" ht="15" customHeight="1" x14ac:dyDescent="0.2">
      <c r="B40" s="606" t="s">
        <v>1602</v>
      </c>
      <c r="C40" s="1554"/>
      <c r="D40" s="1554"/>
      <c r="E40" s="1554"/>
      <c r="F40" s="1554"/>
      <c r="G40" s="1450" t="s">
        <v>1942</v>
      </c>
      <c r="H40" s="1450"/>
      <c r="I40" s="1554"/>
      <c r="J40" s="1554"/>
      <c r="K40" s="1450" t="s">
        <v>1942</v>
      </c>
      <c r="L40" s="1450"/>
      <c r="M40" s="1554"/>
      <c r="N40" s="1554"/>
      <c r="O40" s="3"/>
      <c r="P40" s="395"/>
      <c r="S40" s="369">
        <f>IF(C40="",0,C40)</f>
        <v>0</v>
      </c>
      <c r="T40" s="369">
        <f>IF(E40&lt;&gt;C40,E40,IF(AND(E39&lt;&gt;C39,S38&gt;1),S38,0))</f>
        <v>0</v>
      </c>
      <c r="U40" s="369">
        <f>IF(I40&lt;&gt;E40,I40,IF(AND(I39&lt;&gt;E39,T38&gt;1),T38,0))</f>
        <v>0</v>
      </c>
      <c r="V40" s="369">
        <f>IF(M40&lt;&gt;I40,M40,IF(AND(M39&lt;&gt;I39,U38&gt;1),U38,0))</f>
        <v>0</v>
      </c>
      <c r="W40" s="599"/>
      <c r="X40" s="185">
        <f>IF(C40&gt;1,1,0)</f>
        <v>0</v>
      </c>
      <c r="Y40" s="369">
        <f t="shared" si="2"/>
        <v>0</v>
      </c>
      <c r="Z40" s="369">
        <f t="shared" si="2"/>
        <v>0</v>
      </c>
      <c r="AA40" s="369">
        <f t="shared" si="2"/>
        <v>0</v>
      </c>
      <c r="AC40" s="602">
        <f>IF(S40=1,0,IF(S40=2,0.17,IF(S40=3,0.25,IF(S40=4,0.35,0))))</f>
        <v>0</v>
      </c>
      <c r="AD40" s="602">
        <f>IF(T40=1,0,IF(T40=2,0.12,IF(T40=3,0.18,IF(T40=4,0.25,0))))</f>
        <v>0</v>
      </c>
      <c r="AE40" s="602">
        <f>IF(U40=1,0,IF(U40=2,0.07,IF(U40=3,0.11,IF(U40=4,0.15,0))))</f>
        <v>0</v>
      </c>
      <c r="AF40" s="602">
        <f>IF(V40=1,0,IF(V40=2,0.05,IF(V40=3,0.07,IF(V40=4,0.1,0))))</f>
        <v>0</v>
      </c>
      <c r="AH40" s="602">
        <f>IF(S40=1,0,IF(S40=2,0.12,IF(S40=3,0.18,IF(S40=4,0.25,0))))</f>
        <v>0</v>
      </c>
      <c r="AI40" s="602">
        <f>IF(T40=1,0,IF(T40=2,0.07,IF(T40=3,0.11,IF(T40=4,0.15,0))))</f>
        <v>0</v>
      </c>
      <c r="AJ40" s="602">
        <f>IF(U40=1,0,IF(U40=2,0.05,IF(U40=3,0.07,IF(U40=4,0.1,0))))</f>
        <v>0</v>
      </c>
      <c r="AL40" s="602">
        <f>IF(S40=1,0,IF(S40=2,0.07,IF(S40=3,0.11,IF(S40=4,0.15,0))))</f>
        <v>0</v>
      </c>
      <c r="AM40" s="602">
        <f>IF(T40=1,0,IF(T40=2,0.05,IF(T40=3,0.07,IF(T40=4,0.1,0))))</f>
        <v>0</v>
      </c>
      <c r="AO40" s="602">
        <f>IF(S40=1,0,IF(S40=2,0.05,IF(S40=3,0.07,IF(S40=4,0.1,0))))</f>
        <v>0</v>
      </c>
      <c r="AP40" s="603"/>
      <c r="AQ40" s="602">
        <f>IF(X40=0,0,IF(OR(Y38=1,Y40=1),AC40-AH40,IF(OR(Z38=1,Z40=1),AC40-AL40,IF(OR(AA38=1,AA40=1),AC40-AO40,AC40))))</f>
        <v>0</v>
      </c>
      <c r="AR40" s="602">
        <f>IF(Y40=0,0,IF(OR(Z38=1,Z40=1),AD40-AI40,IF(OR(AA38=1,AA40=1),AD40-AM40,AD40)))</f>
        <v>0</v>
      </c>
      <c r="AS40" s="602">
        <f>IF(Z40=0,0,IF(OR(AA38=1,AA40=1),AE40-AJ40,AE40))</f>
        <v>0</v>
      </c>
      <c r="AT40" s="602">
        <f>IF(AA40=0,0,AF40)</f>
        <v>0</v>
      </c>
      <c r="AU40" s="603"/>
      <c r="AV40" s="479">
        <f>ROUND(AV39+AW39*(1-AV39),2)</f>
        <v>0</v>
      </c>
      <c r="AW40" s="479">
        <f t="shared" ref="AW40:BB40" si="3">ROUND(AV40+AX39*(1-AV40),2)</f>
        <v>0</v>
      </c>
      <c r="AX40" s="479">
        <f t="shared" si="3"/>
        <v>0</v>
      </c>
      <c r="AY40" s="479">
        <f t="shared" si="3"/>
        <v>0</v>
      </c>
      <c r="AZ40" s="479">
        <f t="shared" si="3"/>
        <v>0</v>
      </c>
      <c r="BA40" s="479">
        <f t="shared" si="3"/>
        <v>0</v>
      </c>
      <c r="BB40" s="479">
        <f t="shared" si="3"/>
        <v>0</v>
      </c>
      <c r="BC40" s="185"/>
    </row>
    <row r="41" spans="1:109" x14ac:dyDescent="0.2">
      <c r="B41" s="1593" t="str">
        <f>IF(AA41=1,"ERROR: If radial or ulnar impairment is recorded, do not enter losses for 'both sides.'","")</f>
        <v/>
      </c>
      <c r="C41" s="1594"/>
      <c r="D41" s="1594"/>
      <c r="E41" s="1594"/>
      <c r="F41" s="1594"/>
      <c r="G41" s="1594"/>
      <c r="H41" s="1594"/>
      <c r="I41" s="1594"/>
      <c r="J41" s="1594"/>
      <c r="K41" s="1594"/>
      <c r="L41" s="1594"/>
      <c r="M41" s="1594"/>
      <c r="N41" s="1594"/>
      <c r="O41" s="1595"/>
      <c r="P41" s="303">
        <f>IF(B41&lt;&gt;"","ERROR",BB40)</f>
        <v>0</v>
      </c>
      <c r="S41" s="599"/>
      <c r="T41" s="599"/>
      <c r="U41" s="599"/>
      <c r="X41" s="369">
        <f>SUM(X38:AA38)</f>
        <v>0</v>
      </c>
      <c r="Y41" s="369">
        <f>SUM(X39:AA39)</f>
        <v>0</v>
      </c>
      <c r="Z41" s="369">
        <f>SUM(X40:AA40)</f>
        <v>0</v>
      </c>
      <c r="AA41" s="369">
        <f>IF(AND(X41&gt;0,Y41&gt;0),1,IF(AND(X41&gt;0,Z41&gt;0),1,0))</f>
        <v>0</v>
      </c>
    </row>
    <row r="42" spans="1:109" ht="12" customHeight="1" x14ac:dyDescent="0.2">
      <c r="B42" s="1705"/>
      <c r="C42" s="1705"/>
      <c r="D42" s="1705"/>
      <c r="E42" s="1705"/>
      <c r="F42" s="1705"/>
      <c r="G42" s="1705"/>
      <c r="H42" s="1705"/>
      <c r="I42" s="1705"/>
      <c r="J42" s="1705"/>
      <c r="K42" s="1705"/>
      <c r="L42" s="1705"/>
      <c r="M42" s="1705"/>
      <c r="N42" s="1705"/>
      <c r="O42" s="1705"/>
      <c r="P42" s="85"/>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row>
    <row r="43" spans="1:109" ht="12" customHeight="1" x14ac:dyDescent="0.2">
      <c r="B43" s="598"/>
      <c r="C43" s="598"/>
      <c r="D43" s="598"/>
      <c r="E43" s="598"/>
      <c r="F43" s="598"/>
      <c r="G43" s="598"/>
      <c r="H43" s="598"/>
      <c r="I43" s="598"/>
      <c r="J43" s="598"/>
      <c r="K43" s="598"/>
      <c r="L43" s="598"/>
      <c r="M43" s="598"/>
      <c r="N43" s="598"/>
      <c r="O43" s="598"/>
      <c r="P43" s="85"/>
      <c r="R43" s="18"/>
      <c r="S43" s="1487" t="s">
        <v>2197</v>
      </c>
      <c r="T43" s="1487"/>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row>
    <row r="44" spans="1:109" ht="14.25" customHeight="1" x14ac:dyDescent="0.2">
      <c r="A44" s="189"/>
      <c r="B44" s="1581" t="s">
        <v>973</v>
      </c>
      <c r="C44" s="1582"/>
      <c r="D44" s="1543"/>
      <c r="E44" s="1543"/>
      <c r="F44" s="1587" t="s">
        <v>1229</v>
      </c>
      <c r="G44" s="1587"/>
      <c r="H44" s="1587"/>
      <c r="I44" s="1587"/>
      <c r="J44" s="1587"/>
      <c r="K44" s="1587"/>
      <c r="L44" s="1587"/>
      <c r="M44" s="1587"/>
      <c r="N44" s="1587"/>
      <c r="O44" s="1587"/>
      <c r="P44" s="95">
        <f>IF(T44=1,0.1,0)</f>
        <v>0</v>
      </c>
      <c r="R44" s="18"/>
      <c r="S44" s="686" t="b">
        <v>0</v>
      </c>
      <c r="T44" s="769">
        <f>IF(S44=TRUE,1,0)</f>
        <v>0</v>
      </c>
      <c r="W44" s="18"/>
      <c r="X44" s="18"/>
      <c r="Y44" s="18"/>
      <c r="Z44" s="18"/>
      <c r="AA44" s="18"/>
      <c r="AB44" s="18"/>
      <c r="AC44" s="18"/>
      <c r="AD44" s="18"/>
      <c r="AE44" s="18"/>
      <c r="AF44" s="18"/>
      <c r="AG44" s="18">
        <v>1E-4</v>
      </c>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row>
    <row r="45" spans="1:109" x14ac:dyDescent="0.2">
      <c r="B45" s="1583"/>
      <c r="C45" s="1584"/>
      <c r="D45" s="1543"/>
      <c r="E45" s="1543"/>
      <c r="F45" s="1587" t="s">
        <v>1231</v>
      </c>
      <c r="G45" s="1587"/>
      <c r="H45" s="1587"/>
      <c r="I45" s="1587"/>
      <c r="J45" s="1587"/>
      <c r="K45" s="1587"/>
      <c r="L45" s="1587"/>
      <c r="M45" s="1587"/>
      <c r="N45" s="1587"/>
      <c r="O45" s="1587"/>
      <c r="P45" s="95">
        <f>IF(T45=1,0.1,0)</f>
        <v>0</v>
      </c>
      <c r="R45" s="18"/>
      <c r="S45" s="686" t="b">
        <v>0</v>
      </c>
      <c r="T45" s="769">
        <f>IF(S45=TRUE,1,0)</f>
        <v>0</v>
      </c>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row>
    <row r="46" spans="1:109" x14ac:dyDescent="0.2">
      <c r="B46" s="1583"/>
      <c r="C46" s="1584"/>
      <c r="D46" s="1543"/>
      <c r="E46" s="1543"/>
      <c r="F46" s="1587" t="s">
        <v>1230</v>
      </c>
      <c r="G46" s="1587"/>
      <c r="H46" s="1587"/>
      <c r="I46" s="1587"/>
      <c r="J46" s="1587"/>
      <c r="K46" s="1587"/>
      <c r="L46" s="1587"/>
      <c r="M46" s="1587"/>
      <c r="N46" s="1587"/>
      <c r="O46" s="1587"/>
      <c r="P46" s="95">
        <f>IF(T46=1,0.1,0)</f>
        <v>0</v>
      </c>
      <c r="R46" s="18"/>
      <c r="S46" s="686" t="b">
        <v>0</v>
      </c>
      <c r="T46" s="769">
        <f>IF(S46=TRUE,1,0)</f>
        <v>0</v>
      </c>
      <c r="U46" s="164"/>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row>
    <row r="47" spans="1:109" x14ac:dyDescent="0.2">
      <c r="B47" s="1585"/>
      <c r="C47" s="1586"/>
      <c r="D47" s="1543"/>
      <c r="E47" s="1543"/>
      <c r="F47" s="1587" t="s">
        <v>1232</v>
      </c>
      <c r="G47" s="1587"/>
      <c r="H47" s="1587"/>
      <c r="I47" s="1587"/>
      <c r="J47" s="1587"/>
      <c r="K47" s="1587"/>
      <c r="L47" s="1587"/>
      <c r="M47" s="1587"/>
      <c r="N47" s="1587"/>
      <c r="O47" s="1587"/>
      <c r="P47" s="95">
        <f>IF(T47=1,0.1,0)</f>
        <v>0</v>
      </c>
      <c r="R47" s="18"/>
      <c r="S47" s="686" t="b">
        <v>0</v>
      </c>
      <c r="T47" s="769">
        <f>IF(S47=TRUE,1,0)</f>
        <v>0</v>
      </c>
      <c r="U47" s="164"/>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row>
    <row r="48" spans="1:109" ht="12" customHeight="1" x14ac:dyDescent="0.2">
      <c r="B48" s="1395"/>
      <c r="C48" s="1395"/>
      <c r="D48" s="1395"/>
      <c r="E48" s="1395"/>
      <c r="F48" s="1395"/>
      <c r="G48" s="1395"/>
      <c r="H48" s="1395"/>
      <c r="I48" s="1395"/>
      <c r="J48" s="1395"/>
      <c r="K48" s="1395"/>
      <c r="L48" s="1395"/>
      <c r="M48" s="1395"/>
      <c r="N48" s="1395"/>
      <c r="O48" s="1395"/>
      <c r="P48" s="3"/>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row>
    <row r="49" spans="1:109" ht="12" customHeight="1" x14ac:dyDescent="0.2">
      <c r="B49" s="1"/>
      <c r="C49" s="1"/>
      <c r="D49" s="1"/>
      <c r="E49" s="1"/>
      <c r="F49" s="1"/>
      <c r="G49" s="1"/>
      <c r="H49" s="1"/>
      <c r="I49" s="1"/>
      <c r="J49" s="1"/>
      <c r="K49" s="1"/>
      <c r="L49" s="1"/>
      <c r="M49" s="1"/>
      <c r="N49" s="1"/>
      <c r="O49" s="1"/>
      <c r="P49" s="3"/>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row>
    <row r="50" spans="1:109" ht="15" customHeight="1" x14ac:dyDescent="0.2">
      <c r="B50" s="256" t="s">
        <v>1233</v>
      </c>
      <c r="C50" s="1555" t="s">
        <v>1371</v>
      </c>
      <c r="D50" s="1555"/>
      <c r="E50" s="1555"/>
      <c r="F50" s="1555"/>
      <c r="G50" s="1555"/>
      <c r="H50" s="1534" t="s">
        <v>1796</v>
      </c>
      <c r="I50" s="1534"/>
      <c r="J50" s="1534"/>
      <c r="K50" s="42"/>
      <c r="L50" s="1534" t="s">
        <v>1234</v>
      </c>
      <c r="M50" s="1534"/>
      <c r="N50" s="1534"/>
      <c r="O50" s="1534"/>
      <c r="P50" s="1481">
        <f>U52</f>
        <v>0</v>
      </c>
      <c r="R50" s="18"/>
      <c r="S50" s="704" t="s">
        <v>1597</v>
      </c>
      <c r="T50" s="704" t="s">
        <v>1305</v>
      </c>
      <c r="U50" s="704" t="s">
        <v>2188</v>
      </c>
      <c r="V50" s="18"/>
      <c r="W50" s="1487" t="s">
        <v>2197</v>
      </c>
      <c r="X50" s="1487"/>
      <c r="Y50" s="1487"/>
      <c r="Z50" s="1487"/>
      <c r="AA50" s="18"/>
      <c r="AB50" s="18"/>
      <c r="AC50" s="18"/>
      <c r="AD50" s="18"/>
      <c r="AE50" s="18"/>
      <c r="AF50" s="18"/>
      <c r="AG50" s="18"/>
      <c r="AH50" s="18"/>
      <c r="AI50" s="18"/>
      <c r="AJ50" s="18"/>
      <c r="AK50" s="18"/>
      <c r="AL50" s="18"/>
      <c r="AM50" s="18"/>
      <c r="AN50" s="18"/>
      <c r="AO50" s="18"/>
      <c r="AP50" s="18"/>
      <c r="AQ50" s="18"/>
      <c r="AR50" s="18"/>
      <c r="AS50" s="18"/>
      <c r="AT50" s="18"/>
    </row>
    <row r="51" spans="1:109" ht="15" customHeight="1" x14ac:dyDescent="0.2">
      <c r="B51" s="256" t="s">
        <v>1235</v>
      </c>
      <c r="C51" s="1542"/>
      <c r="D51" s="1542"/>
      <c r="E51" s="1542"/>
      <c r="F51" s="1542"/>
      <c r="G51" s="1542"/>
      <c r="H51" s="1545">
        <f>IF(C51=$X$52,0.03,IF(C51=$Y$52,0.06,IF(C51=$Z$52,0.09,0)))</f>
        <v>0</v>
      </c>
      <c r="I51" s="1545"/>
      <c r="J51" s="1545"/>
      <c r="K51" s="185"/>
      <c r="L51" s="1308"/>
      <c r="M51" s="1308"/>
      <c r="N51" s="1308"/>
      <c r="O51" s="26">
        <f>IF(H51&gt;=S51,H51-S51,0)</f>
        <v>0</v>
      </c>
      <c r="P51" s="1631"/>
      <c r="R51" s="18"/>
      <c r="S51" s="776">
        <f>IF(L51=$X$51,0.03,IF(L51=$Y$51,0.06,IF(L51=$Z$51,0.09,0)))</f>
        <v>0</v>
      </c>
      <c r="T51" s="776">
        <f>LARGE(O51:O52,1)</f>
        <v>0</v>
      </c>
      <c r="U51" s="684">
        <f>T51+T52*(1-T51)</f>
        <v>0</v>
      </c>
      <c r="V51" s="775"/>
      <c r="W51" s="769" t="s">
        <v>523</v>
      </c>
      <c r="X51" s="769" t="s">
        <v>915</v>
      </c>
      <c r="Y51" s="776" t="s">
        <v>1803</v>
      </c>
      <c r="Z51" s="769" t="s">
        <v>1672</v>
      </c>
      <c r="AA51" s="18"/>
      <c r="AB51" s="18"/>
      <c r="AC51" s="18"/>
      <c r="AD51" s="18"/>
      <c r="AE51" s="18"/>
      <c r="AF51" s="18"/>
      <c r="AG51" s="18"/>
      <c r="AH51" s="18"/>
      <c r="AI51" s="18"/>
      <c r="AJ51" s="18"/>
      <c r="AK51" s="18"/>
      <c r="AL51" s="18"/>
      <c r="AM51" s="18"/>
      <c r="AN51" s="18"/>
      <c r="AO51" s="18"/>
      <c r="AP51" s="18"/>
      <c r="AQ51" s="18"/>
      <c r="AR51" s="18"/>
      <c r="AS51" s="18"/>
      <c r="AT51" s="18"/>
    </row>
    <row r="52" spans="1:109" ht="15" customHeight="1" x14ac:dyDescent="0.2">
      <c r="B52" s="185" t="s">
        <v>1236</v>
      </c>
      <c r="C52" s="1542"/>
      <c r="D52" s="1542"/>
      <c r="E52" s="1542"/>
      <c r="F52" s="1542"/>
      <c r="G52" s="1542"/>
      <c r="H52" s="1545">
        <f>IF(C52=$X$52,0.02,IF(C52=$Y$52,0.04,IF(C52=$Z$52,0.06,0)))</f>
        <v>0</v>
      </c>
      <c r="I52" s="1545"/>
      <c r="J52" s="1545"/>
      <c r="K52" s="185"/>
      <c r="L52" s="1308"/>
      <c r="M52" s="1308"/>
      <c r="N52" s="1308"/>
      <c r="O52" s="26">
        <f>IF(H52&gt;=S52,H52-S52,0)</f>
        <v>0</v>
      </c>
      <c r="P52" s="1623"/>
      <c r="R52" s="18"/>
      <c r="S52" s="776">
        <f>IF(L52=$X$51,0.02,IF(L52=$Y$51,0.04,IF(L52=$Z$51,0.06,0)))</f>
        <v>0</v>
      </c>
      <c r="T52" s="776">
        <f>LARGE(O51:O52,2)</f>
        <v>0</v>
      </c>
      <c r="U52" s="684">
        <f>ROUND(U51,2)</f>
        <v>0</v>
      </c>
      <c r="V52" s="775"/>
      <c r="W52" s="769"/>
      <c r="X52" s="769" t="s">
        <v>1237</v>
      </c>
      <c r="Y52" s="769" t="s">
        <v>1238</v>
      </c>
      <c r="Z52" s="769" t="s">
        <v>1239</v>
      </c>
      <c r="AA52" s="18"/>
      <c r="AB52" s="18"/>
      <c r="AC52" s="18"/>
      <c r="AD52" s="18"/>
      <c r="AE52" s="18"/>
      <c r="AF52" s="18"/>
      <c r="AG52" s="18"/>
      <c r="AH52" s="18"/>
      <c r="AI52" s="18"/>
      <c r="AJ52" s="18"/>
      <c r="AK52" s="18"/>
      <c r="AL52" s="18"/>
      <c r="AM52" s="18"/>
      <c r="AN52" s="18"/>
      <c r="AO52" s="18"/>
      <c r="AP52" s="18"/>
      <c r="AQ52" s="18"/>
      <c r="AR52" s="18"/>
      <c r="AS52" s="18"/>
      <c r="AT52" s="18"/>
    </row>
    <row r="53" spans="1:109" ht="12" customHeight="1" x14ac:dyDescent="0.2">
      <c r="B53" s="1395"/>
      <c r="C53" s="1395"/>
      <c r="D53" s="1395"/>
      <c r="E53" s="1395"/>
      <c r="F53" s="1395"/>
      <c r="G53" s="1395"/>
      <c r="H53" s="1395"/>
      <c r="I53" s="1395"/>
      <c r="J53" s="1395"/>
      <c r="K53" s="1395"/>
      <c r="L53" s="1395"/>
      <c r="M53" s="1395"/>
      <c r="N53" s="1395"/>
      <c r="O53" s="1395"/>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row>
    <row r="54" spans="1:109" ht="15" customHeight="1" x14ac:dyDescent="0.2">
      <c r="A54" s="189"/>
      <c r="B54" s="1710" t="s">
        <v>1240</v>
      </c>
      <c r="C54" s="1711"/>
      <c r="D54" s="1714"/>
      <c r="E54" s="1649"/>
      <c r="F54" s="1357" t="s">
        <v>787</v>
      </c>
      <c r="G54" s="1358"/>
      <c r="H54" s="1358"/>
      <c r="I54" s="1358"/>
      <c r="J54" s="1358"/>
      <c r="K54" s="1358"/>
      <c r="L54" s="1358"/>
      <c r="M54" s="1358"/>
      <c r="N54" s="1358"/>
      <c r="O54" s="1359"/>
      <c r="P54" s="303">
        <f>IF(T54=1,0.18,0)</f>
        <v>0</v>
      </c>
      <c r="R54" s="1565" t="s">
        <v>2197</v>
      </c>
      <c r="S54" s="706" t="b">
        <v>0</v>
      </c>
      <c r="T54" s="769">
        <f>IF(S54=TRUE,1,0)</f>
        <v>0</v>
      </c>
      <c r="U54" s="18"/>
      <c r="V54" s="18"/>
      <c r="W54" s="18"/>
      <c r="X54" s="18"/>
      <c r="Y54" s="18"/>
      <c r="Z54" s="18"/>
      <c r="AA54" s="18"/>
      <c r="AB54" s="18"/>
      <c r="AC54" s="18"/>
      <c r="AD54" s="18"/>
      <c r="AE54" s="18"/>
      <c r="AF54" s="18"/>
      <c r="AG54" s="18">
        <v>1E-4</v>
      </c>
      <c r="AH54" s="18"/>
      <c r="AI54" s="18"/>
      <c r="AJ54" s="18"/>
      <c r="AK54" s="18"/>
      <c r="AL54" s="18"/>
      <c r="AM54" s="18"/>
      <c r="AN54" s="18"/>
      <c r="AO54" s="18"/>
      <c r="AP54" s="18"/>
      <c r="AQ54" s="18"/>
      <c r="AR54" s="18"/>
      <c r="AS54" s="18"/>
      <c r="AT54" s="18"/>
    </row>
    <row r="55" spans="1:109" ht="15" customHeight="1" x14ac:dyDescent="0.2">
      <c r="B55" s="1712"/>
      <c r="C55" s="1713"/>
      <c r="D55" s="1714"/>
      <c r="E55" s="1649"/>
      <c r="F55" s="1357" t="s">
        <v>788</v>
      </c>
      <c r="G55" s="1358"/>
      <c r="H55" s="1358"/>
      <c r="I55" s="1358"/>
      <c r="J55" s="1358"/>
      <c r="K55" s="1358"/>
      <c r="L55" s="1358"/>
      <c r="M55" s="1358"/>
      <c r="N55" s="1358"/>
      <c r="O55" s="1359"/>
      <c r="P55" s="303">
        <f>IF(T55=1,0.22,0)</f>
        <v>0</v>
      </c>
      <c r="R55" s="1536"/>
      <c r="S55" s="706" t="b">
        <v>0</v>
      </c>
      <c r="T55" s="769">
        <f>IF(S55=TRUE,1,0)</f>
        <v>0</v>
      </c>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row>
    <row r="56" spans="1:109" s="8" customFormat="1" ht="12" customHeight="1" x14ac:dyDescent="0.2">
      <c r="B56" s="1638"/>
      <c r="C56" s="1638"/>
      <c r="D56" s="1638"/>
      <c r="E56" s="1638"/>
      <c r="F56" s="1638"/>
      <c r="G56" s="1638"/>
      <c r="H56" s="1638"/>
      <c r="I56" s="1638"/>
      <c r="J56" s="1638"/>
      <c r="K56" s="1638"/>
      <c r="L56" s="1638"/>
      <c r="M56" s="1638"/>
      <c r="N56" s="1638"/>
      <c r="O56" s="1638"/>
      <c r="P56" s="1638"/>
      <c r="R56" s="60"/>
      <c r="S56" s="180"/>
      <c r="T56" s="60"/>
      <c r="U56" s="60"/>
      <c r="V56" s="60"/>
      <c r="W56" s="60"/>
      <c r="X56" s="60"/>
      <c r="Y56" s="60"/>
      <c r="Z56" s="60"/>
      <c r="AA56" s="60"/>
      <c r="AB56" s="60"/>
      <c r="AC56" s="60"/>
      <c r="AD56" s="60"/>
      <c r="AE56" s="60"/>
      <c r="AF56" s="60"/>
      <c r="AG56" s="60"/>
      <c r="AH56" s="60"/>
      <c r="AI56" s="60"/>
      <c r="AJ56" s="60"/>
      <c r="AK56" s="60"/>
      <c r="AL56" s="60"/>
      <c r="AM56" s="60"/>
      <c r="AN56" s="60"/>
      <c r="AO56" s="60"/>
      <c r="AP56" s="60"/>
      <c r="AQ56" s="60"/>
      <c r="AR56" s="60"/>
      <c r="AS56" s="60"/>
      <c r="AT56" s="60"/>
    </row>
    <row r="57" spans="1:109" ht="15" customHeight="1" x14ac:dyDescent="0.2">
      <c r="B57" s="1541" t="s">
        <v>789</v>
      </c>
      <c r="C57" s="1541"/>
      <c r="D57" s="1541"/>
      <c r="E57" s="1541"/>
      <c r="F57" s="1541"/>
      <c r="G57" s="1541"/>
      <c r="H57" s="1541"/>
      <c r="I57" s="1541"/>
      <c r="J57" s="1541"/>
      <c r="K57" s="1541"/>
      <c r="L57" s="1541"/>
      <c r="M57" s="1541"/>
      <c r="N57" s="1541"/>
      <c r="O57" s="388"/>
      <c r="P57" s="26">
        <f>SUMIF(T57:X57,O57,T58:X58)</f>
        <v>0</v>
      </c>
      <c r="R57" s="1561" t="s">
        <v>2197</v>
      </c>
      <c r="S57" s="1561"/>
      <c r="T57" s="769" t="s">
        <v>1969</v>
      </c>
      <c r="U57" s="769" t="s">
        <v>1970</v>
      </c>
      <c r="V57" s="776" t="s">
        <v>1972</v>
      </c>
      <c r="W57" s="769" t="s">
        <v>945</v>
      </c>
      <c r="X57" s="813" t="s">
        <v>558</v>
      </c>
      <c r="Y57" s="812"/>
      <c r="Z57" s="807" t="s">
        <v>1969</v>
      </c>
      <c r="AA57" s="769" t="s">
        <v>1970</v>
      </c>
      <c r="AB57" s="776" t="s">
        <v>1972</v>
      </c>
      <c r="AC57" s="769" t="s">
        <v>945</v>
      </c>
      <c r="AD57" s="776" t="s">
        <v>558</v>
      </c>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row>
    <row r="58" spans="1:109" ht="15" customHeight="1" x14ac:dyDescent="0.2">
      <c r="B58" s="1541" t="s">
        <v>1499</v>
      </c>
      <c r="C58" s="1541"/>
      <c r="D58" s="1541"/>
      <c r="E58" s="1541"/>
      <c r="F58" s="1541"/>
      <c r="G58" s="1541"/>
      <c r="H58" s="1541"/>
      <c r="I58" s="1541"/>
      <c r="J58" s="1541"/>
      <c r="K58" s="1541"/>
      <c r="L58" s="1541"/>
      <c r="M58" s="1541"/>
      <c r="N58" s="1541"/>
      <c r="O58" s="388"/>
      <c r="P58" s="26">
        <f>SUMIF(Z57:AD57,O58,Z58:AD58)</f>
        <v>0</v>
      </c>
      <c r="R58" s="1561"/>
      <c r="S58" s="1561"/>
      <c r="T58" s="776">
        <v>0.03</v>
      </c>
      <c r="U58" s="776">
        <v>0.15</v>
      </c>
      <c r="V58" s="776">
        <v>0.38</v>
      </c>
      <c r="W58" s="776">
        <v>0.68</v>
      </c>
      <c r="X58" s="813">
        <v>0.9</v>
      </c>
      <c r="Y58" s="812"/>
      <c r="Z58" s="813">
        <v>0.03</v>
      </c>
      <c r="AA58" s="776">
        <v>0.15</v>
      </c>
      <c r="AB58" s="776">
        <v>0.35</v>
      </c>
      <c r="AC58" s="776">
        <v>0.63</v>
      </c>
      <c r="AD58" s="776">
        <v>0.88</v>
      </c>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row>
    <row r="59" spans="1:109" x14ac:dyDescent="0.2">
      <c r="B59" s="1395"/>
      <c r="C59" s="1395"/>
      <c r="D59" s="1395"/>
      <c r="E59" s="1395"/>
      <c r="F59" s="1395"/>
      <c r="G59" s="1395"/>
      <c r="H59" s="1395"/>
      <c r="I59" s="1395"/>
      <c r="J59" s="1395"/>
      <c r="K59" s="1395"/>
      <c r="L59" s="1395"/>
      <c r="M59" s="1395"/>
      <c r="N59" s="1395"/>
      <c r="O59" s="1395"/>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row>
    <row r="60" spans="1:109" ht="27" customHeight="1" x14ac:dyDescent="0.2">
      <c r="B60" s="1632" t="s">
        <v>800</v>
      </c>
      <c r="C60" s="1633"/>
      <c r="D60" s="1633"/>
      <c r="E60" s="1633"/>
      <c r="F60" s="1634"/>
      <c r="G60" s="1626" t="s">
        <v>1525</v>
      </c>
      <c r="H60" s="1627"/>
      <c r="I60" s="1627"/>
      <c r="J60" s="1628"/>
      <c r="K60" s="1616"/>
      <c r="L60" s="1617"/>
      <c r="M60" s="1617"/>
      <c r="N60" s="1617"/>
      <c r="O60" s="1618"/>
      <c r="P60" s="1481">
        <f>U76</f>
        <v>0</v>
      </c>
      <c r="R60" s="783" t="s">
        <v>1865</v>
      </c>
      <c r="S60" s="769" t="s">
        <v>1305</v>
      </c>
      <c r="T60" s="769" t="s">
        <v>1306</v>
      </c>
      <c r="U60" s="769" t="s">
        <v>1307</v>
      </c>
      <c r="V60" s="1549" t="s">
        <v>801</v>
      </c>
      <c r="W60" s="1550"/>
      <c r="X60" s="1551"/>
      <c r="Y60" s="18"/>
      <c r="Z60" s="18"/>
      <c r="AB60" s="18"/>
      <c r="AC60" s="18"/>
      <c r="AD60" s="18"/>
      <c r="AE60" s="18"/>
      <c r="AF60" s="18"/>
      <c r="AG60" s="18"/>
      <c r="AH60" s="18"/>
      <c r="AI60" s="18"/>
      <c r="AJ60" s="18"/>
      <c r="AK60" s="18"/>
      <c r="AL60" s="18"/>
      <c r="AM60" s="18"/>
      <c r="AN60" s="18"/>
      <c r="AO60" s="18"/>
      <c r="AP60" s="18"/>
      <c r="AQ60" s="18"/>
      <c r="AR60" s="18"/>
      <c r="AS60" s="18"/>
      <c r="AT60" s="18"/>
    </row>
    <row r="61" spans="1:109" ht="15" customHeight="1" x14ac:dyDescent="0.2">
      <c r="B61" s="1394" t="s">
        <v>628</v>
      </c>
      <c r="C61" s="1394"/>
      <c r="D61" s="1394"/>
      <c r="E61" s="1623">
        <f>P6</f>
        <v>0</v>
      </c>
      <c r="F61" s="1624"/>
      <c r="G61" s="1611" t="s">
        <v>1942</v>
      </c>
      <c r="H61" s="1611"/>
      <c r="I61" s="1559"/>
      <c r="J61" s="1559"/>
      <c r="K61" s="1619"/>
      <c r="L61" s="1620"/>
      <c r="M61" s="1620"/>
      <c r="N61" s="1620"/>
      <c r="O61" s="1621"/>
      <c r="P61" s="1631"/>
      <c r="R61" s="688">
        <f>E61</f>
        <v>0</v>
      </c>
      <c r="S61" s="776">
        <f>LARGE($R$61:$R$77,1)</f>
        <v>0</v>
      </c>
      <c r="T61" s="684">
        <f>S61+S62*(1-S61)</f>
        <v>0</v>
      </c>
      <c r="U61" s="688">
        <f t="shared" ref="U61:U76" si="4">ROUND(T61,2)</f>
        <v>0</v>
      </c>
      <c r="V61" s="769">
        <f>IF(E61&gt;0,1,0)</f>
        <v>0</v>
      </c>
      <c r="W61" s="769">
        <f>COUNTIF(V61:V77,1)</f>
        <v>0</v>
      </c>
      <c r="X61" s="1081">
        <f>IF(AND(W61=0,W62&gt;0),1,IF(W61&gt;0,2,0))</f>
        <v>0</v>
      </c>
      <c r="Y61" s="1395"/>
      <c r="Z61" s="1395"/>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row>
    <row r="62" spans="1:109" ht="15" customHeight="1" x14ac:dyDescent="0.2">
      <c r="B62" s="1410" t="s">
        <v>802</v>
      </c>
      <c r="C62" s="1410"/>
      <c r="D62" s="1410"/>
      <c r="E62" s="1373">
        <f>P11</f>
        <v>0</v>
      </c>
      <c r="F62" s="1346"/>
      <c r="G62" s="1611" t="s">
        <v>1942</v>
      </c>
      <c r="H62" s="1611"/>
      <c r="I62" s="1559"/>
      <c r="J62" s="1559"/>
      <c r="K62" s="1619"/>
      <c r="L62" s="1620"/>
      <c r="M62" s="1620"/>
      <c r="N62" s="1620"/>
      <c r="O62" s="1621"/>
      <c r="P62" s="1631"/>
      <c r="R62" s="688">
        <f>E62</f>
        <v>0</v>
      </c>
      <c r="S62" s="776">
        <f>LARGE($R$61:$R$77,2)</f>
        <v>0</v>
      </c>
      <c r="T62" s="684">
        <f>U61+S63*(1-U61)</f>
        <v>0</v>
      </c>
      <c r="U62" s="688">
        <f t="shared" si="4"/>
        <v>0</v>
      </c>
      <c r="V62" s="769">
        <f>IF(E62&gt;0,2,0)</f>
        <v>0</v>
      </c>
      <c r="W62" s="770">
        <f>COUNTIF(V61:V77,2)</f>
        <v>0</v>
      </c>
      <c r="X62" s="18"/>
      <c r="Y62" s="1395"/>
      <c r="Z62" s="1395"/>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row>
    <row r="63" spans="1:109" ht="15" customHeight="1" x14ac:dyDescent="0.2">
      <c r="B63" s="1410" t="s">
        <v>803</v>
      </c>
      <c r="C63" s="1410"/>
      <c r="D63" s="1410"/>
      <c r="E63" s="1373">
        <f>P12</f>
        <v>0</v>
      </c>
      <c r="F63" s="1346"/>
      <c r="G63" s="1611" t="s">
        <v>1942</v>
      </c>
      <c r="H63" s="1611"/>
      <c r="I63" s="1559"/>
      <c r="J63" s="1559"/>
      <c r="K63" s="1619"/>
      <c r="L63" s="1620"/>
      <c r="M63" s="1620"/>
      <c r="N63" s="1620"/>
      <c r="O63" s="1621"/>
      <c r="P63" s="1631"/>
      <c r="R63" s="688">
        <f>E63</f>
        <v>0</v>
      </c>
      <c r="S63" s="776">
        <f>LARGE($R$61:$R$77,3)</f>
        <v>0</v>
      </c>
      <c r="T63" s="684">
        <f>U62+S64*(1-U62)</f>
        <v>0</v>
      </c>
      <c r="U63" s="688">
        <f t="shared" si="4"/>
        <v>0</v>
      </c>
      <c r="V63" s="769">
        <f>IF(E63&gt;0,2,0)</f>
        <v>0</v>
      </c>
      <c r="W63" s="18"/>
      <c r="X63" s="18"/>
      <c r="Y63" s="1395"/>
      <c r="Z63" s="1395"/>
      <c r="AA63" s="18"/>
      <c r="AB63" s="18"/>
      <c r="AC63" s="19"/>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row>
    <row r="64" spans="1:109" ht="15" customHeight="1" x14ac:dyDescent="0.2">
      <c r="B64" s="1410" t="s">
        <v>804</v>
      </c>
      <c r="C64" s="1410"/>
      <c r="D64" s="1410"/>
      <c r="E64" s="1373">
        <f>P13</f>
        <v>0</v>
      </c>
      <c r="F64" s="1346"/>
      <c r="G64" s="1611" t="s">
        <v>1942</v>
      </c>
      <c r="H64" s="1611"/>
      <c r="I64" s="1559"/>
      <c r="J64" s="1559"/>
      <c r="K64" s="1619"/>
      <c r="L64" s="1620"/>
      <c r="M64" s="1620"/>
      <c r="N64" s="1620"/>
      <c r="O64" s="1621"/>
      <c r="P64" s="1631"/>
      <c r="R64" s="688">
        <f>E64</f>
        <v>0</v>
      </c>
      <c r="S64" s="776">
        <f>LARGE($R$61:$R$77,4)</f>
        <v>0</v>
      </c>
      <c r="T64" s="684">
        <f t="shared" ref="T64:T76" si="5">U63+S65*(1-U63)</f>
        <v>0</v>
      </c>
      <c r="U64" s="688">
        <f t="shared" si="4"/>
        <v>0</v>
      </c>
      <c r="V64" s="769">
        <f>IF(E64&gt;0,2,0)</f>
        <v>0</v>
      </c>
      <c r="W64" s="18"/>
      <c r="X64" s="18"/>
      <c r="Y64" s="1395"/>
      <c r="Z64" s="1395"/>
      <c r="AA64" s="19"/>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row>
    <row r="65" spans="2:69" ht="15" customHeight="1" x14ac:dyDescent="0.2">
      <c r="B65" s="1410" t="s">
        <v>805</v>
      </c>
      <c r="C65" s="1410"/>
      <c r="D65" s="1410"/>
      <c r="E65" s="1373">
        <f>P14</f>
        <v>0</v>
      </c>
      <c r="F65" s="1346"/>
      <c r="G65" s="1611" t="s">
        <v>1942</v>
      </c>
      <c r="H65" s="1611"/>
      <c r="I65" s="1559"/>
      <c r="J65" s="1559"/>
      <c r="K65" s="1619"/>
      <c r="L65" s="1620"/>
      <c r="M65" s="1620"/>
      <c r="N65" s="1620"/>
      <c r="O65" s="1621"/>
      <c r="P65" s="1631"/>
      <c r="R65" s="688">
        <f>E65</f>
        <v>0</v>
      </c>
      <c r="S65" s="776">
        <f>LARGE($R$61:$R$77,5)</f>
        <v>0</v>
      </c>
      <c r="T65" s="684">
        <f t="shared" si="5"/>
        <v>0</v>
      </c>
      <c r="U65" s="688">
        <f t="shared" si="4"/>
        <v>0</v>
      </c>
      <c r="V65" s="769">
        <f>IF(E65&gt;0,2,0)</f>
        <v>0</v>
      </c>
      <c r="W65" s="18"/>
      <c r="X65" s="18"/>
      <c r="Y65" s="18" t="s">
        <v>511</v>
      </c>
      <c r="Z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row>
    <row r="66" spans="2:69" ht="15" customHeight="1" x14ac:dyDescent="0.2">
      <c r="B66" s="1410" t="s">
        <v>1959</v>
      </c>
      <c r="C66" s="1410"/>
      <c r="D66" s="1410"/>
      <c r="E66" s="1373">
        <f>IF(E607&gt;0,0,P16)</f>
        <v>0</v>
      </c>
      <c r="F66" s="1346"/>
      <c r="G66" s="1770" t="s">
        <v>2260</v>
      </c>
      <c r="H66" s="1771"/>
      <c r="I66" s="1559"/>
      <c r="J66" s="1559"/>
      <c r="K66" s="1619"/>
      <c r="L66" s="1620"/>
      <c r="M66" s="1620"/>
      <c r="N66" s="1620"/>
      <c r="O66" s="1621"/>
      <c r="P66" s="1631"/>
      <c r="R66" s="688">
        <f>IF(I66&gt;0,I66,E66)</f>
        <v>0</v>
      </c>
      <c r="S66" s="776">
        <f>LARGE($R$61:$R$77,6)</f>
        <v>0</v>
      </c>
      <c r="T66" s="684">
        <f t="shared" si="5"/>
        <v>0</v>
      </c>
      <c r="U66" s="688">
        <f t="shared" si="4"/>
        <v>0</v>
      </c>
      <c r="V66" s="769">
        <f t="shared" ref="V66:V77" si="6">IF(E66&gt;0,1,0)</f>
        <v>0</v>
      </c>
      <c r="W66" s="18"/>
      <c r="X66" s="18"/>
      <c r="Y66" s="1087"/>
      <c r="Z66" s="161"/>
      <c r="AA66" s="1"/>
      <c r="AB66" s="1"/>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row>
    <row r="67" spans="2:69" ht="15" customHeight="1" x14ac:dyDescent="0.2">
      <c r="B67" s="1410" t="s">
        <v>1986</v>
      </c>
      <c r="C67" s="1410"/>
      <c r="D67" s="1410"/>
      <c r="E67" s="1373">
        <f>P36</f>
        <v>0</v>
      </c>
      <c r="F67" s="1346"/>
      <c r="G67" s="1544"/>
      <c r="H67" s="1544"/>
      <c r="I67" s="1545">
        <f t="shared" ref="I67:I73" si="7">IF(AND(Y67&lt;0.01,Y67&gt;0),0.01,ROUND(Y67,2))</f>
        <v>0</v>
      </c>
      <c r="J67" s="1545"/>
      <c r="K67" s="1619"/>
      <c r="L67" s="1620"/>
      <c r="M67" s="1620"/>
      <c r="N67" s="1620"/>
      <c r="O67" s="1621"/>
      <c r="P67" s="1631"/>
      <c r="R67" s="688">
        <f t="shared" ref="R67:R73" si="8">IF(I67&gt;0,I67,E67)</f>
        <v>0</v>
      </c>
      <c r="S67" s="776">
        <f>LARGE($R$61:$R$77,7)</f>
        <v>0</v>
      </c>
      <c r="T67" s="684">
        <f t="shared" si="5"/>
        <v>0</v>
      </c>
      <c r="U67" s="688">
        <f t="shared" si="4"/>
        <v>0</v>
      </c>
      <c r="V67" s="769">
        <f t="shared" si="6"/>
        <v>0</v>
      </c>
      <c r="W67" s="18"/>
      <c r="X67" s="18"/>
      <c r="Y67" s="355">
        <f>E67*G67</f>
        <v>0</v>
      </c>
      <c r="Z67" s="161"/>
      <c r="AA67" s="1"/>
      <c r="AB67" s="1"/>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row>
    <row r="68" spans="2:69" ht="15" customHeight="1" x14ac:dyDescent="0.2">
      <c r="B68" s="1410" t="s">
        <v>1227</v>
      </c>
      <c r="C68" s="1410"/>
      <c r="D68" s="1410"/>
      <c r="E68" s="1373">
        <f>P41</f>
        <v>0</v>
      </c>
      <c r="F68" s="1346"/>
      <c r="G68" s="1544"/>
      <c r="H68" s="1544"/>
      <c r="I68" s="1545">
        <f t="shared" si="7"/>
        <v>0</v>
      </c>
      <c r="J68" s="1545"/>
      <c r="K68" s="1619"/>
      <c r="L68" s="1620"/>
      <c r="M68" s="1620"/>
      <c r="N68" s="1620"/>
      <c r="O68" s="1621"/>
      <c r="P68" s="1631"/>
      <c r="R68" s="688">
        <f t="shared" si="8"/>
        <v>0</v>
      </c>
      <c r="S68" s="776">
        <f>LARGE($R$61:$R$77,8)</f>
        <v>0</v>
      </c>
      <c r="T68" s="684">
        <f t="shared" si="5"/>
        <v>0</v>
      </c>
      <c r="U68" s="688">
        <f t="shared" si="4"/>
        <v>0</v>
      </c>
      <c r="V68" s="769">
        <f t="shared" si="6"/>
        <v>0</v>
      </c>
      <c r="W68" s="18"/>
      <c r="X68" s="18"/>
      <c r="Y68" s="1028">
        <f t="shared" ref="Y68:Y73" si="9">E68*G68</f>
        <v>0</v>
      </c>
      <c r="Z68" s="373"/>
      <c r="AA68" s="1"/>
      <c r="AB68" s="1"/>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row>
    <row r="69" spans="2:69" ht="15" customHeight="1" x14ac:dyDescent="0.2">
      <c r="B69" s="1410" t="s">
        <v>1417</v>
      </c>
      <c r="C69" s="1410"/>
      <c r="D69" s="1410"/>
      <c r="E69" s="1373">
        <f>P44</f>
        <v>0</v>
      </c>
      <c r="F69" s="1373"/>
      <c r="G69" s="1544"/>
      <c r="H69" s="1544"/>
      <c r="I69" s="1545">
        <f t="shared" si="7"/>
        <v>0</v>
      </c>
      <c r="J69" s="1545"/>
      <c r="K69" s="1619"/>
      <c r="L69" s="1620"/>
      <c r="M69" s="1620"/>
      <c r="N69" s="1620"/>
      <c r="O69" s="1621"/>
      <c r="P69" s="1631"/>
      <c r="R69" s="688">
        <f t="shared" si="8"/>
        <v>0</v>
      </c>
      <c r="S69" s="776">
        <f>LARGE($R$61:$R$77,9)</f>
        <v>0</v>
      </c>
      <c r="T69" s="684">
        <f t="shared" si="5"/>
        <v>0</v>
      </c>
      <c r="U69" s="688">
        <f t="shared" si="4"/>
        <v>0</v>
      </c>
      <c r="V69" s="769">
        <f t="shared" si="6"/>
        <v>0</v>
      </c>
      <c r="W69" s="18"/>
      <c r="X69" s="18"/>
      <c r="Y69" s="1028">
        <f t="shared" si="9"/>
        <v>0</v>
      </c>
      <c r="Z69" s="373"/>
      <c r="AA69" s="1"/>
      <c r="AB69" s="1"/>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row>
    <row r="70" spans="2:69" ht="15" customHeight="1" x14ac:dyDescent="0.2">
      <c r="B70" s="1362" t="s">
        <v>1418</v>
      </c>
      <c r="C70" s="1363"/>
      <c r="D70" s="1364"/>
      <c r="E70" s="1373">
        <f>P45</f>
        <v>0</v>
      </c>
      <c r="F70" s="1373"/>
      <c r="G70" s="1544"/>
      <c r="H70" s="1544"/>
      <c r="I70" s="1545">
        <f t="shared" si="7"/>
        <v>0</v>
      </c>
      <c r="J70" s="1545"/>
      <c r="K70" s="1030"/>
      <c r="L70" s="1031"/>
      <c r="M70" s="1031"/>
      <c r="N70" s="1031"/>
      <c r="O70" s="1032"/>
      <c r="P70" s="1631"/>
      <c r="R70" s="688">
        <f t="shared" si="8"/>
        <v>0</v>
      </c>
      <c r="S70" s="776">
        <f>LARGE($R$61:$R$77,10)</f>
        <v>0</v>
      </c>
      <c r="T70" s="684">
        <f t="shared" si="5"/>
        <v>0</v>
      </c>
      <c r="U70" s="688">
        <f t="shared" si="4"/>
        <v>0</v>
      </c>
      <c r="V70" s="769">
        <f t="shared" si="6"/>
        <v>0</v>
      </c>
      <c r="W70" s="18"/>
      <c r="X70" s="18"/>
      <c r="Y70" s="1028">
        <f t="shared" si="9"/>
        <v>0</v>
      </c>
      <c r="Z70" s="373"/>
      <c r="AA70" s="1073"/>
      <c r="AB70" s="1073"/>
      <c r="AC70" s="1073"/>
      <c r="AD70" s="1073"/>
      <c r="AE70" s="1073"/>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row>
    <row r="71" spans="2:69" ht="15" customHeight="1" x14ac:dyDescent="0.2">
      <c r="B71" s="1362" t="s">
        <v>1419</v>
      </c>
      <c r="C71" s="1363"/>
      <c r="D71" s="1364"/>
      <c r="E71" s="1373">
        <f>P46</f>
        <v>0</v>
      </c>
      <c r="F71" s="1373"/>
      <c r="G71" s="1544"/>
      <c r="H71" s="1544"/>
      <c r="I71" s="1545">
        <f t="shared" si="7"/>
        <v>0</v>
      </c>
      <c r="J71" s="1545"/>
      <c r="K71" s="1030"/>
      <c r="L71" s="1031"/>
      <c r="M71" s="1031"/>
      <c r="N71" s="1031"/>
      <c r="O71" s="1032"/>
      <c r="P71" s="1631"/>
      <c r="R71" s="688">
        <f t="shared" si="8"/>
        <v>0</v>
      </c>
      <c r="S71" s="776">
        <f>LARGE($R$61:$R$77,11)</f>
        <v>0</v>
      </c>
      <c r="T71" s="684">
        <f t="shared" si="5"/>
        <v>0</v>
      </c>
      <c r="U71" s="688">
        <f t="shared" si="4"/>
        <v>0</v>
      </c>
      <c r="V71" s="769">
        <f t="shared" si="6"/>
        <v>0</v>
      </c>
      <c r="W71" s="18"/>
      <c r="X71" s="18"/>
      <c r="Y71" s="1028">
        <f t="shared" si="9"/>
        <v>0</v>
      </c>
      <c r="Z71" s="373"/>
      <c r="AA71" s="1073"/>
      <c r="AB71" s="1073"/>
      <c r="AC71" s="1073"/>
      <c r="AD71" s="1073"/>
      <c r="AE71" s="1073"/>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row>
    <row r="72" spans="2:69" ht="15" customHeight="1" x14ac:dyDescent="0.2">
      <c r="B72" s="1362" t="s">
        <v>1420</v>
      </c>
      <c r="C72" s="1363"/>
      <c r="D72" s="1364"/>
      <c r="E72" s="1373">
        <f>P47</f>
        <v>0</v>
      </c>
      <c r="F72" s="1373"/>
      <c r="G72" s="1544"/>
      <c r="H72" s="1544"/>
      <c r="I72" s="1545">
        <f t="shared" si="7"/>
        <v>0</v>
      </c>
      <c r="J72" s="1545"/>
      <c r="K72" s="1030"/>
      <c r="L72" s="1031"/>
      <c r="M72" s="1031"/>
      <c r="N72" s="1031"/>
      <c r="O72" s="1032"/>
      <c r="P72" s="1631"/>
      <c r="R72" s="688">
        <f t="shared" si="8"/>
        <v>0</v>
      </c>
      <c r="S72" s="776">
        <f>LARGE($R$61:$R$77,12)</f>
        <v>0</v>
      </c>
      <c r="T72" s="684">
        <f t="shared" si="5"/>
        <v>0</v>
      </c>
      <c r="U72" s="688">
        <f t="shared" si="4"/>
        <v>0</v>
      </c>
      <c r="V72" s="769">
        <f t="shared" si="6"/>
        <v>0</v>
      </c>
      <c r="W72" s="18"/>
      <c r="X72" s="18"/>
      <c r="Y72" s="1028">
        <f t="shared" si="9"/>
        <v>0</v>
      </c>
      <c r="Z72" s="373"/>
      <c r="AA72" s="1073"/>
      <c r="AB72" s="1073"/>
      <c r="AC72" s="1073"/>
      <c r="AD72" s="1073"/>
      <c r="AE72" s="1073"/>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row>
    <row r="73" spans="2:69" ht="15" customHeight="1" x14ac:dyDescent="0.2">
      <c r="B73" s="1410" t="s">
        <v>1233</v>
      </c>
      <c r="C73" s="1410"/>
      <c r="D73" s="1410"/>
      <c r="E73" s="1373">
        <f>P50</f>
        <v>0</v>
      </c>
      <c r="F73" s="1346"/>
      <c r="G73" s="1544"/>
      <c r="H73" s="1544"/>
      <c r="I73" s="1545">
        <f t="shared" si="7"/>
        <v>0</v>
      </c>
      <c r="J73" s="1545"/>
      <c r="K73" s="1588" t="str">
        <f>IF(AND(P16&gt;0,E607&gt;0),"A value has been granted for motor loss. Additional impairment value is not allowed for reduced range of motion in the same extremity.","")</f>
        <v/>
      </c>
      <c r="L73" s="1589"/>
      <c r="M73" s="1589"/>
      <c r="N73" s="1589"/>
      <c r="O73" s="1590"/>
      <c r="P73" s="1631"/>
      <c r="R73" s="688">
        <f t="shared" si="8"/>
        <v>0</v>
      </c>
      <c r="S73" s="776">
        <f>LARGE($R$61:$R$77,13)</f>
        <v>0</v>
      </c>
      <c r="T73" s="684">
        <f t="shared" si="5"/>
        <v>0</v>
      </c>
      <c r="U73" s="688">
        <f t="shared" si="4"/>
        <v>0</v>
      </c>
      <c r="V73" s="769">
        <f t="shared" si="6"/>
        <v>0</v>
      </c>
      <c r="W73" s="18"/>
      <c r="X73" s="18"/>
      <c r="Y73" s="1028">
        <f t="shared" si="9"/>
        <v>0</v>
      </c>
      <c r="Z73" s="373"/>
      <c r="AA73" s="1073"/>
      <c r="AB73" s="1073"/>
      <c r="AC73" s="1073"/>
      <c r="AD73" s="1073"/>
      <c r="AE73" s="1073"/>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row>
    <row r="74" spans="2:69" ht="15" customHeight="1" x14ac:dyDescent="0.2">
      <c r="B74" s="1410" t="s">
        <v>806</v>
      </c>
      <c r="C74" s="1410"/>
      <c r="D74" s="1410"/>
      <c r="E74" s="1373">
        <f>P54</f>
        <v>0</v>
      </c>
      <c r="F74" s="1346"/>
      <c r="G74" s="1611" t="s">
        <v>1942</v>
      </c>
      <c r="H74" s="1611"/>
      <c r="I74" s="1555"/>
      <c r="J74" s="1555"/>
      <c r="K74" s="1588"/>
      <c r="L74" s="1589"/>
      <c r="M74" s="1589"/>
      <c r="N74" s="1589"/>
      <c r="O74" s="1590"/>
      <c r="P74" s="1631"/>
      <c r="R74" s="688">
        <f>E74</f>
        <v>0</v>
      </c>
      <c r="S74" s="776">
        <f>LARGE($R$61:$R$77,14)</f>
        <v>0</v>
      </c>
      <c r="T74" s="684">
        <f t="shared" si="5"/>
        <v>0</v>
      </c>
      <c r="U74" s="688">
        <f t="shared" si="4"/>
        <v>0</v>
      </c>
      <c r="V74" s="769">
        <f t="shared" si="6"/>
        <v>0</v>
      </c>
      <c r="W74" s="18"/>
      <c r="X74" s="18"/>
      <c r="Y74" s="371"/>
      <c r="Z74" s="315"/>
      <c r="AA74" s="1073"/>
      <c r="AB74" s="1073"/>
      <c r="AC74" s="1073"/>
      <c r="AD74" s="1073"/>
      <c r="AE74" s="1073"/>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row>
    <row r="75" spans="2:69" ht="15" customHeight="1" x14ac:dyDescent="0.2">
      <c r="B75" s="1410" t="s">
        <v>807</v>
      </c>
      <c r="C75" s="1410"/>
      <c r="D75" s="1410"/>
      <c r="E75" s="1373">
        <f>P55</f>
        <v>0</v>
      </c>
      <c r="F75" s="1346"/>
      <c r="G75" s="1611" t="s">
        <v>1942</v>
      </c>
      <c r="H75" s="1611"/>
      <c r="I75" s="1555"/>
      <c r="J75" s="1555"/>
      <c r="K75" s="1588"/>
      <c r="L75" s="1589"/>
      <c r="M75" s="1589"/>
      <c r="N75" s="1589"/>
      <c r="O75" s="1590"/>
      <c r="P75" s="1631"/>
      <c r="R75" s="688">
        <f>E75</f>
        <v>0</v>
      </c>
      <c r="S75" s="776">
        <f>LARGE($R$61:$R$77,15)</f>
        <v>0</v>
      </c>
      <c r="T75" s="684">
        <f t="shared" si="5"/>
        <v>0</v>
      </c>
      <c r="U75" s="688">
        <f t="shared" si="4"/>
        <v>0</v>
      </c>
      <c r="V75" s="769">
        <f t="shared" si="6"/>
        <v>0</v>
      </c>
      <c r="W75" s="18"/>
      <c r="X75" s="18"/>
      <c r="Y75" s="371"/>
      <c r="Z75" s="315"/>
      <c r="AA75" s="1073"/>
      <c r="AB75" s="1073"/>
      <c r="AC75" s="1073"/>
      <c r="AD75" s="1073"/>
      <c r="AE75" s="1073"/>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row>
    <row r="76" spans="2:69" ht="15" customHeight="1" x14ac:dyDescent="0.2">
      <c r="B76" s="1410" t="s">
        <v>1447</v>
      </c>
      <c r="C76" s="1410"/>
      <c r="D76" s="1410"/>
      <c r="E76" s="1373">
        <f>P57</f>
        <v>0</v>
      </c>
      <c r="F76" s="1346"/>
      <c r="G76" s="1544"/>
      <c r="H76" s="1544"/>
      <c r="I76" s="1545">
        <f>IF(AND(Y76&lt;0.01,Y76&gt;0),0.01,ROUND(Y76,2))</f>
        <v>0</v>
      </c>
      <c r="J76" s="1545"/>
      <c r="K76" s="1588"/>
      <c r="L76" s="1589"/>
      <c r="M76" s="1589"/>
      <c r="N76" s="1589"/>
      <c r="O76" s="1590"/>
      <c r="P76" s="1631"/>
      <c r="R76" s="688">
        <f>IF(I76&gt;0,I76,E76)</f>
        <v>0</v>
      </c>
      <c r="S76" s="776">
        <f>LARGE($R$61:$R$77,16)</f>
        <v>0</v>
      </c>
      <c r="T76" s="684">
        <f t="shared" si="5"/>
        <v>0</v>
      </c>
      <c r="U76" s="688">
        <f t="shared" si="4"/>
        <v>0</v>
      </c>
      <c r="V76" s="769">
        <f t="shared" si="6"/>
        <v>0</v>
      </c>
      <c r="W76" s="18"/>
      <c r="X76" s="18"/>
      <c r="Y76" s="1028">
        <f t="shared" ref="Y76:Y77" si="10">E76*G76</f>
        <v>0</v>
      </c>
      <c r="Z76" s="85"/>
      <c r="AA76" s="1073"/>
      <c r="AB76" s="1073"/>
      <c r="AC76" s="1073"/>
      <c r="AD76" s="1073"/>
      <c r="AE76" s="1073"/>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row>
    <row r="77" spans="2:69" ht="15" customHeight="1" x14ac:dyDescent="0.2">
      <c r="B77" s="1408" t="s">
        <v>1254</v>
      </c>
      <c r="C77" s="1408"/>
      <c r="D77" s="1408"/>
      <c r="E77" s="1630">
        <f>P58</f>
        <v>0</v>
      </c>
      <c r="F77" s="1482"/>
      <c r="G77" s="1622"/>
      <c r="H77" s="1622"/>
      <c r="I77" s="1612">
        <f>IF(AND(Y77&lt;0.01,Y77&gt;0),0.01,ROUND(Y77,2))</f>
        <v>0</v>
      </c>
      <c r="J77" s="1612"/>
      <c r="K77" s="1574"/>
      <c r="L77" s="1575"/>
      <c r="M77" s="1575"/>
      <c r="N77" s="1575"/>
      <c r="O77" s="1576"/>
      <c r="P77" s="1631"/>
      <c r="R77" s="688">
        <f>IF(I77&gt;0,I77,E77)</f>
        <v>0</v>
      </c>
      <c r="S77" s="776">
        <f>LARGE($R$61:$R$77,17)</f>
        <v>0</v>
      </c>
      <c r="T77" s="707"/>
      <c r="U77" s="684"/>
      <c r="V77" s="769">
        <f t="shared" si="6"/>
        <v>0</v>
      </c>
      <c r="W77" s="18"/>
      <c r="X77" s="18"/>
      <c r="Y77" s="1028">
        <f t="shared" si="10"/>
        <v>0</v>
      </c>
      <c r="Z77" s="85"/>
      <c r="AA77" s="1073"/>
      <c r="AB77" s="1073"/>
      <c r="AC77" s="1073"/>
      <c r="AD77" s="1073"/>
      <c r="AE77" s="1073"/>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row>
    <row r="78" spans="2:69" s="3" customFormat="1" x14ac:dyDescent="0.2">
      <c r="B78" s="1568" t="s">
        <v>1415</v>
      </c>
      <c r="C78" s="1568"/>
      <c r="D78" s="1568"/>
      <c r="E78" s="1568"/>
      <c r="F78" s="1568"/>
      <c r="G78" s="1568"/>
      <c r="H78" s="1568"/>
      <c r="I78" s="1568"/>
      <c r="J78" s="1568"/>
      <c r="K78" s="1568"/>
      <c r="L78" s="1568"/>
      <c r="M78" s="1568"/>
      <c r="N78" s="1568"/>
      <c r="O78" s="1568"/>
      <c r="P78" s="1623"/>
      <c r="R78" s="35"/>
      <c r="S78" s="19"/>
      <c r="T78" s="177"/>
      <c r="U78" s="114"/>
      <c r="V78" s="18"/>
      <c r="W78" s="18"/>
      <c r="X78" s="18"/>
      <c r="Y78" s="1025"/>
      <c r="Z78" s="85"/>
      <c r="AA78" s="1073"/>
      <c r="AB78" s="1073"/>
      <c r="AC78" s="1073"/>
      <c r="AD78" s="1073"/>
      <c r="AE78" s="1073"/>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row>
    <row r="79" spans="2:69" s="3" customFormat="1" x14ac:dyDescent="0.2">
      <c r="B79" s="10"/>
      <c r="C79" s="10"/>
      <c r="D79" s="10"/>
      <c r="E79" s="10"/>
      <c r="F79" s="10"/>
      <c r="G79" s="10"/>
      <c r="H79" s="10"/>
      <c r="I79" s="10"/>
      <c r="J79" s="10"/>
      <c r="K79" s="10"/>
      <c r="L79" s="10"/>
      <c r="M79" s="10"/>
      <c r="N79" s="10"/>
      <c r="O79" s="10"/>
      <c r="P79" s="10"/>
      <c r="R79" s="18"/>
      <c r="S79" s="18"/>
      <c r="T79" s="18"/>
      <c r="U79" s="18"/>
      <c r="V79" s="18"/>
      <c r="W79" s="18"/>
      <c r="X79" s="18"/>
      <c r="Y79" s="1068"/>
      <c r="Z79" s="18"/>
      <c r="AA79" s="1073"/>
      <c r="AB79" s="1073"/>
      <c r="AC79" s="1073"/>
      <c r="AD79" s="1073"/>
      <c r="AE79" s="1073"/>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row>
    <row r="80" spans="2:69" ht="18" customHeight="1" x14ac:dyDescent="0.2">
      <c r="B80" s="1487" t="s">
        <v>1416</v>
      </c>
      <c r="C80" s="1487"/>
      <c r="D80" s="1487"/>
      <c r="E80" s="1487"/>
      <c r="F80" s="1487"/>
      <c r="G80" s="1487"/>
      <c r="H80" s="1487"/>
      <c r="I80" s="1487"/>
      <c r="J80" s="1487"/>
      <c r="K80" s="1487"/>
      <c r="L80" s="1487"/>
      <c r="M80" s="1487"/>
      <c r="N80" s="1487"/>
      <c r="O80" s="1487"/>
      <c r="P80" s="1487"/>
      <c r="R80" s="18"/>
      <c r="S80" s="18"/>
      <c r="T80" s="18"/>
      <c r="U80" s="18"/>
      <c r="V80" s="18"/>
      <c r="W80" s="1821"/>
      <c r="X80" s="1821"/>
      <c r="Y80" s="1068"/>
      <c r="Z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row>
    <row r="81" spans="2:84" ht="18" customHeight="1" x14ac:dyDescent="0.2">
      <c r="B81" s="1410" t="s">
        <v>1324</v>
      </c>
      <c r="C81" s="1410"/>
      <c r="D81" s="1410"/>
      <c r="E81" s="1410"/>
      <c r="F81" s="1410"/>
      <c r="G81" s="1410"/>
      <c r="H81" s="1410"/>
      <c r="I81" s="1410"/>
      <c r="J81" s="1410"/>
      <c r="K81" s="1410"/>
      <c r="L81" s="1410"/>
      <c r="M81" s="1410"/>
      <c r="N81" s="1410"/>
      <c r="O81" s="1410"/>
      <c r="P81" s="1545">
        <f>SUMIF(S81:Y81,B82,S82:Y82)</f>
        <v>0</v>
      </c>
      <c r="R81" s="1379" t="s">
        <v>1325</v>
      </c>
      <c r="S81" s="769" t="s">
        <v>524</v>
      </c>
      <c r="T81" s="695" t="s">
        <v>1326</v>
      </c>
      <c r="U81" s="769" t="s">
        <v>526</v>
      </c>
      <c r="V81" s="769" t="s">
        <v>1077</v>
      </c>
      <c r="W81" s="769" t="s">
        <v>1080</v>
      </c>
      <c r="X81" s="769" t="s">
        <v>716</v>
      </c>
      <c r="Y81" s="1064" t="s">
        <v>590</v>
      </c>
      <c r="Z81" s="18"/>
      <c r="AA81" s="18"/>
      <c r="AB81" s="18"/>
      <c r="AC81" s="18"/>
      <c r="AD81" s="18"/>
      <c r="AE81" s="18"/>
      <c r="AF81" s="18"/>
      <c r="AG81" s="18"/>
      <c r="AH81" s="18"/>
      <c r="AI81" s="18"/>
      <c r="AJ81" s="18"/>
      <c r="AK81" s="19"/>
      <c r="AL81" s="19"/>
      <c r="AM81" s="19"/>
      <c r="AN81" s="19"/>
      <c r="AO81" s="19"/>
      <c r="AP81" s="18"/>
      <c r="AQ81" s="18"/>
      <c r="AR81" s="18"/>
      <c r="AS81" s="18"/>
      <c r="AT81" s="18"/>
      <c r="AU81" s="3"/>
      <c r="AV81" s="3"/>
      <c r="AW81" s="3"/>
      <c r="AX81" s="3"/>
      <c r="AY81" s="3"/>
      <c r="AZ81" s="3"/>
      <c r="BA81" s="3"/>
      <c r="BB81" s="3"/>
      <c r="BC81" s="3"/>
      <c r="BD81" s="3"/>
      <c r="BE81" s="3"/>
      <c r="BF81" s="3"/>
      <c r="BG81" s="3"/>
      <c r="BH81" s="3"/>
      <c r="BI81" s="3"/>
      <c r="BJ81" s="3"/>
      <c r="BK81" s="3"/>
    </row>
    <row r="82" spans="2:84" ht="15" customHeight="1" x14ac:dyDescent="0.2">
      <c r="B82" s="1629"/>
      <c r="C82" s="1629"/>
      <c r="D82" s="1629"/>
      <c r="E82" s="1629"/>
      <c r="F82" s="1629"/>
      <c r="G82" s="1629"/>
      <c r="H82" s="1629"/>
      <c r="I82" s="1629"/>
      <c r="J82" s="1629"/>
      <c r="K82" s="1629"/>
      <c r="L82" s="1629"/>
      <c r="M82" s="1629"/>
      <c r="N82" s="1629"/>
      <c r="O82" s="1629"/>
      <c r="P82" s="1545"/>
      <c r="R82" s="1410"/>
      <c r="S82" s="688">
        <v>0</v>
      </c>
      <c r="T82" s="776">
        <v>0.1</v>
      </c>
      <c r="U82" s="776">
        <v>0.3</v>
      </c>
      <c r="V82" s="776">
        <v>0.5</v>
      </c>
      <c r="W82" s="776">
        <v>0.63</v>
      </c>
      <c r="X82" s="776">
        <v>0.75</v>
      </c>
      <c r="Y82" s="776">
        <v>1</v>
      </c>
      <c r="Z82" s="18"/>
      <c r="AA82" s="18"/>
      <c r="AB82" s="18"/>
      <c r="AC82" s="18"/>
      <c r="AD82" s="18"/>
      <c r="AE82" s="18"/>
      <c r="AF82" s="18"/>
      <c r="AG82" s="18"/>
      <c r="AH82" s="18"/>
      <c r="AI82" s="18"/>
      <c r="AJ82" s="18"/>
      <c r="AK82" s="18"/>
      <c r="AL82" s="18"/>
      <c r="AM82" s="18"/>
      <c r="AN82" s="18"/>
      <c r="AO82" s="18"/>
      <c r="AP82" s="18"/>
      <c r="AQ82" s="18"/>
      <c r="AR82" s="18"/>
      <c r="AS82" s="18"/>
      <c r="AT82" s="18"/>
      <c r="AU82" s="3"/>
      <c r="AV82" s="3"/>
      <c r="AW82" s="3"/>
      <c r="AX82" s="3"/>
      <c r="AY82" s="3"/>
      <c r="AZ82" s="3"/>
      <c r="BA82" s="3"/>
      <c r="BB82" s="3"/>
      <c r="BC82" s="3"/>
      <c r="BD82" s="3"/>
      <c r="BE82" s="3"/>
      <c r="BF82" s="3"/>
      <c r="BG82" s="3"/>
      <c r="BH82" s="3"/>
      <c r="BI82" s="3"/>
      <c r="BJ82" s="3"/>
      <c r="BK82" s="3"/>
    </row>
    <row r="83" spans="2:84" ht="12" customHeight="1" x14ac:dyDescent="0.2">
      <c r="B83" s="1592" t="str">
        <f>IF(AND(P81&gt;0.1,B85=""),"Enter specific level of amputation or shortening below.","")</f>
        <v/>
      </c>
      <c r="C83" s="1592"/>
      <c r="D83" s="1592"/>
      <c r="E83" s="1592"/>
      <c r="F83" s="1592"/>
      <c r="G83" s="1592"/>
      <c r="H83" s="1592"/>
      <c r="I83" s="1592"/>
      <c r="J83" s="1592"/>
      <c r="K83" s="1592"/>
      <c r="L83" s="1592"/>
      <c r="M83" s="1592"/>
      <c r="N83" s="1592"/>
      <c r="O83" s="1592"/>
      <c r="P83" s="1592"/>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3"/>
      <c r="AV83" s="3"/>
      <c r="AW83" s="3"/>
      <c r="AX83" s="3"/>
      <c r="AY83" s="3"/>
      <c r="AZ83" s="3"/>
      <c r="BA83" s="3"/>
      <c r="BB83" s="3"/>
      <c r="BC83" s="3"/>
      <c r="BD83" s="3"/>
      <c r="BE83" s="3"/>
    </row>
    <row r="84" spans="2:84" ht="30" customHeight="1" x14ac:dyDescent="0.2">
      <c r="B84" s="1379" t="s">
        <v>1184</v>
      </c>
      <c r="C84" s="1379"/>
      <c r="D84" s="1379"/>
      <c r="E84" s="1379"/>
      <c r="F84" s="1379"/>
      <c r="G84" s="1379"/>
      <c r="H84" s="1379"/>
      <c r="I84" s="1379"/>
      <c r="J84" s="1379"/>
      <c r="K84" s="1379"/>
      <c r="L84" s="1379"/>
      <c r="M84" s="1379"/>
      <c r="N84" s="1379"/>
      <c r="O84" s="1379"/>
      <c r="P84" s="1545">
        <f>IF(P81=1,0,U11)</f>
        <v>0</v>
      </c>
      <c r="R84" s="646">
        <f>SUMIF(S84:AD84,B85,S85:AD85)</f>
        <v>0</v>
      </c>
      <c r="S84" s="769" t="s">
        <v>1185</v>
      </c>
      <c r="T84" s="769" t="s">
        <v>1186</v>
      </c>
      <c r="U84" s="769" t="s">
        <v>1187</v>
      </c>
      <c r="V84" s="769" t="s">
        <v>1188</v>
      </c>
      <c r="W84" s="769" t="s">
        <v>1924</v>
      </c>
      <c r="X84" s="769" t="s">
        <v>1925</v>
      </c>
      <c r="Y84" s="769" t="s">
        <v>673</v>
      </c>
      <c r="Z84" s="769" t="s">
        <v>674</v>
      </c>
      <c r="AA84" s="769" t="s">
        <v>675</v>
      </c>
      <c r="AB84" s="769" t="s">
        <v>676</v>
      </c>
      <c r="AC84" s="769" t="s">
        <v>677</v>
      </c>
      <c r="AD84" s="769" t="s">
        <v>678</v>
      </c>
      <c r="AE84" s="18"/>
      <c r="AF84" s="18"/>
      <c r="AG84" s="18"/>
      <c r="AH84" s="18"/>
      <c r="AI84" s="18"/>
      <c r="AJ84" s="18"/>
      <c r="AK84" s="18"/>
      <c r="AL84" s="18"/>
      <c r="AM84" s="18"/>
      <c r="AN84" s="18"/>
      <c r="AO84" s="18"/>
      <c r="AP84" s="18"/>
      <c r="AQ84" s="18"/>
      <c r="AR84" s="18"/>
      <c r="AS84" s="18"/>
      <c r="AT84" s="18"/>
    </row>
    <row r="85" spans="2:84" ht="15" customHeight="1" x14ac:dyDescent="0.2">
      <c r="B85" s="1629"/>
      <c r="C85" s="1629"/>
      <c r="D85" s="1629"/>
      <c r="E85" s="1629"/>
      <c r="F85" s="1629"/>
      <c r="G85" s="1629"/>
      <c r="H85" s="1629"/>
      <c r="I85" s="1629"/>
      <c r="J85" s="1629"/>
      <c r="K85" s="1629"/>
      <c r="L85" s="1629"/>
      <c r="M85" s="1629"/>
      <c r="N85" s="1629"/>
      <c r="O85" s="1629"/>
      <c r="P85" s="1545"/>
      <c r="R85" s="1379" t="s">
        <v>679</v>
      </c>
      <c r="S85" s="776">
        <v>0</v>
      </c>
      <c r="T85" s="776">
        <v>0.05</v>
      </c>
      <c r="U85" s="776">
        <v>0.05</v>
      </c>
      <c r="V85" s="776">
        <v>0.1</v>
      </c>
      <c r="W85" s="776">
        <v>0.15</v>
      </c>
      <c r="X85" s="776">
        <v>0.2</v>
      </c>
      <c r="Y85" s="776">
        <v>0.2</v>
      </c>
      <c r="Z85" s="776">
        <v>0.25</v>
      </c>
      <c r="AA85" s="776">
        <v>0.25</v>
      </c>
      <c r="AB85" s="776">
        <v>0.25</v>
      </c>
      <c r="AC85" s="776">
        <v>0.25</v>
      </c>
      <c r="AD85" s="776">
        <v>0.3</v>
      </c>
      <c r="AE85" s="18"/>
      <c r="AF85" s="18"/>
      <c r="AG85" s="18"/>
      <c r="AH85" s="18"/>
      <c r="AI85" s="18"/>
      <c r="AJ85" s="18"/>
      <c r="AK85" s="18"/>
      <c r="AL85" s="18"/>
      <c r="AM85" s="18"/>
      <c r="AN85" s="18"/>
      <c r="AO85" s="18"/>
      <c r="AP85" s="18"/>
      <c r="AQ85" s="18"/>
      <c r="AR85" s="18"/>
      <c r="AS85" s="18"/>
      <c r="AT85" s="18"/>
    </row>
    <row r="86" spans="2:84" ht="18" customHeight="1" x14ac:dyDescent="0.2">
      <c r="B86" s="1653" t="s">
        <v>680</v>
      </c>
      <c r="C86" s="1654"/>
      <c r="D86" s="1654"/>
      <c r="E86" s="1654"/>
      <c r="F86" s="1654"/>
      <c r="G86" s="1654"/>
      <c r="H86" s="1654"/>
      <c r="I86" s="1654"/>
      <c r="J86" s="1654"/>
      <c r="K86" s="1654"/>
      <c r="L86" s="1654"/>
      <c r="M86" s="1654"/>
      <c r="N86" s="1654"/>
      <c r="O86" s="1655"/>
      <c r="P86" s="1545"/>
      <c r="R86" s="1379"/>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row>
    <row r="87" spans="2:84" ht="12" customHeight="1" x14ac:dyDescent="0.2">
      <c r="B87" s="1395"/>
      <c r="C87" s="1395"/>
      <c r="D87" s="1395"/>
      <c r="E87" s="1395"/>
      <c r="F87" s="1395"/>
      <c r="G87" s="1395"/>
      <c r="H87" s="1395"/>
      <c r="I87" s="1395"/>
      <c r="J87" s="1395"/>
      <c r="K87" s="1395"/>
      <c r="L87" s="1395"/>
      <c r="M87" s="1395"/>
      <c r="N87" s="1395"/>
      <c r="O87" s="1395"/>
      <c r="P87" s="182"/>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row>
    <row r="88" spans="2:84" ht="15" customHeight="1" x14ac:dyDescent="0.2">
      <c r="B88" s="1555" t="s">
        <v>1595</v>
      </c>
      <c r="C88" s="1555"/>
      <c r="D88" s="1555"/>
      <c r="E88" s="1555"/>
      <c r="F88" s="1555"/>
      <c r="G88" s="1555"/>
      <c r="H88" s="1555"/>
      <c r="I88" s="1555"/>
      <c r="J88" s="1555"/>
      <c r="K88" s="1555"/>
      <c r="L88" s="1555"/>
      <c r="M88" s="1555"/>
      <c r="N88" s="1555"/>
      <c r="O88" s="1555"/>
      <c r="P88" s="1373">
        <f>IF(R101=1,"ERROR",IF(AND(AD92&gt;0,AD92&lt;0.01),0.01,ROUND(AD92,2)))</f>
        <v>0</v>
      </c>
      <c r="R88" s="18"/>
      <c r="S88" s="18"/>
      <c r="T88" s="1379" t="s">
        <v>1258</v>
      </c>
      <c r="U88" s="1379" t="s">
        <v>1258</v>
      </c>
      <c r="V88" s="18"/>
      <c r="W88" s="18"/>
      <c r="X88" s="18"/>
      <c r="Y88" s="18"/>
      <c r="Z88" s="18"/>
      <c r="AA88" s="18"/>
      <c r="AB88" s="18"/>
      <c r="AC88" s="784"/>
      <c r="AD88" s="784"/>
      <c r="AE88" s="18"/>
      <c r="AF88" s="18"/>
      <c r="AG88" s="18"/>
      <c r="AH88" s="18"/>
      <c r="AI88" s="18"/>
      <c r="AJ88" s="18"/>
      <c r="AK88" s="18"/>
      <c r="AL88" s="18"/>
      <c r="AM88" s="18"/>
      <c r="AN88" s="18"/>
      <c r="AO88" s="18"/>
      <c r="AP88" s="18"/>
      <c r="AQ88" s="18"/>
      <c r="AR88" s="18"/>
      <c r="AS88" s="18"/>
      <c r="AT88" s="18"/>
    </row>
    <row r="89" spans="2:84" ht="27" customHeight="1" x14ac:dyDescent="0.2">
      <c r="B89" s="23" t="s">
        <v>1416</v>
      </c>
      <c r="C89" s="1555" t="s">
        <v>1596</v>
      </c>
      <c r="D89" s="1555"/>
      <c r="E89" s="1555"/>
      <c r="F89" s="1555"/>
      <c r="G89" s="1536" t="s">
        <v>1081</v>
      </c>
      <c r="H89" s="1536"/>
      <c r="I89" s="1536"/>
      <c r="J89" s="1536"/>
      <c r="K89" s="1555"/>
      <c r="L89" s="1555"/>
      <c r="M89" s="1555"/>
      <c r="N89" s="1555"/>
      <c r="O89" s="1555"/>
      <c r="P89" s="1373"/>
      <c r="R89" s="18"/>
      <c r="S89" s="775"/>
      <c r="T89" s="1376"/>
      <c r="U89" s="1560"/>
      <c r="V89" s="18"/>
      <c r="W89" s="18"/>
      <c r="X89" s="18"/>
      <c r="Y89" s="18"/>
      <c r="Z89" s="18"/>
      <c r="AA89" s="1598" t="s">
        <v>2258</v>
      </c>
      <c r="AB89" s="1599"/>
      <c r="AC89" s="1599"/>
      <c r="AD89" s="1600"/>
      <c r="AE89" s="1050"/>
      <c r="AF89" s="18"/>
      <c r="AG89" s="18"/>
      <c r="AH89" s="18"/>
      <c r="AI89" s="18"/>
      <c r="AJ89" s="18"/>
      <c r="AK89" s="18"/>
      <c r="AL89" s="18"/>
      <c r="AM89" s="18"/>
      <c r="AN89" s="18"/>
      <c r="AO89" s="18"/>
      <c r="AP89" s="18"/>
      <c r="AQ89" s="18"/>
      <c r="AR89" s="18"/>
      <c r="AS89" s="18"/>
      <c r="AT89" s="18"/>
    </row>
    <row r="90" spans="2:84" ht="18" customHeight="1" x14ac:dyDescent="0.2">
      <c r="B90" s="23"/>
      <c r="C90" s="1555" t="s">
        <v>365</v>
      </c>
      <c r="D90" s="1555"/>
      <c r="E90" s="1555" t="s">
        <v>1796</v>
      </c>
      <c r="F90" s="1555"/>
      <c r="G90" s="1555" t="s">
        <v>365</v>
      </c>
      <c r="H90" s="1555"/>
      <c r="I90" s="1555" t="s">
        <v>1796</v>
      </c>
      <c r="J90" s="1555"/>
      <c r="K90" s="1555"/>
      <c r="L90" s="1555"/>
      <c r="M90" s="1555"/>
      <c r="N90" s="1555"/>
      <c r="O90" s="1555"/>
      <c r="P90" s="1373"/>
      <c r="R90" s="1025"/>
      <c r="S90" s="1024" t="s">
        <v>1655</v>
      </c>
      <c r="T90" s="774" t="s">
        <v>1596</v>
      </c>
      <c r="U90" s="774" t="s">
        <v>1597</v>
      </c>
      <c r="V90" s="1555" t="s">
        <v>1083</v>
      </c>
      <c r="W90" s="1555"/>
      <c r="X90" s="1555"/>
      <c r="Y90" s="1555"/>
      <c r="Z90" s="784"/>
      <c r="AA90" s="1601"/>
      <c r="AB90" s="1602"/>
      <c r="AC90" s="1602"/>
      <c r="AD90" s="1603"/>
      <c r="AE90" s="1050"/>
      <c r="AF90" s="18"/>
      <c r="AG90" s="18"/>
      <c r="AH90" s="18"/>
      <c r="AI90" s="18"/>
      <c r="AJ90" s="18"/>
      <c r="AK90" s="18"/>
      <c r="AL90" s="18"/>
      <c r="AM90" s="18"/>
      <c r="AN90" s="18"/>
      <c r="AO90" s="18"/>
      <c r="AP90" s="18"/>
      <c r="AQ90" s="18"/>
      <c r="AR90" s="18"/>
      <c r="AS90" s="18"/>
      <c r="AT90" s="18"/>
    </row>
    <row r="91" spans="2:84" ht="13.5" customHeight="1" x14ac:dyDescent="0.2">
      <c r="B91" s="185" t="s">
        <v>681</v>
      </c>
      <c r="C91" s="1308"/>
      <c r="D91" s="1308"/>
      <c r="E91" s="1558">
        <f>UETable!BF12</f>
        <v>0</v>
      </c>
      <c r="F91" s="1558"/>
      <c r="G91" s="1308"/>
      <c r="H91" s="1308"/>
      <c r="I91" s="1538">
        <f>IF(C91="",0,IF(OR(C91&lt;=0,G91&lt;=0),E91,IF(G91&lt;C91,0,UETable!BK12)))</f>
        <v>0</v>
      </c>
      <c r="J91" s="1538"/>
      <c r="K91" s="1556" t="str">
        <f>IF(OR(C91="NA",G91="NA"),"",IF(AND(C91&lt;&gt;"",G91=""),"Enter contralateral or NA.",IF(AND(C91="",G91&lt;&gt;""),"Need data","")))</f>
        <v/>
      </c>
      <c r="L91" s="1556"/>
      <c r="M91" s="1556"/>
      <c r="N91" s="1556"/>
      <c r="O91" s="1556"/>
      <c r="P91" s="1373"/>
      <c r="R91" s="160"/>
      <c r="S91" s="1024">
        <v>70</v>
      </c>
      <c r="T91" s="769" t="str">
        <f>IF(OR(C91="",C91="NA"),"",IF(C91&gt;S91,S91,IF(C91&lt;0,0,C91)))</f>
        <v/>
      </c>
      <c r="U91" s="769" t="str">
        <f>IF(OR(G91="",G91="NA"),"",IF(G91&gt;S91,S91,IF(G91&lt;0,0,G91)))</f>
        <v/>
      </c>
      <c r="V91" s="696" t="str">
        <f>IF(Y91="","",ROUND(Y91,0))</f>
        <v/>
      </c>
      <c r="W91" s="1410" t="s">
        <v>1203</v>
      </c>
      <c r="X91" s="1410"/>
      <c r="Y91" s="697" t="str">
        <f>IF(T91="","",IF(OR(U91="",U91=0,U91&lt;T91),T91,(T91*70)/U91))</f>
        <v/>
      </c>
      <c r="Z91" s="18"/>
      <c r="AA91" s="1604"/>
      <c r="AB91" s="1605"/>
      <c r="AC91" s="1605"/>
      <c r="AD91" s="1606"/>
      <c r="AE91" s="1051">
        <f>IF(OR(E93&gt;0,E97&gt;0,E101&gt;0),1,0)</f>
        <v>0</v>
      </c>
      <c r="AF91" s="18"/>
      <c r="AG91" s="18"/>
      <c r="AH91" s="18"/>
      <c r="AI91" s="18"/>
      <c r="AJ91" s="18"/>
      <c r="AK91" s="18"/>
      <c r="AL91" s="18"/>
      <c r="AM91" s="18"/>
      <c r="AN91" s="18"/>
      <c r="AO91" s="18"/>
      <c r="AP91" s="18"/>
      <c r="AQ91" s="18"/>
      <c r="AR91" s="18"/>
      <c r="AS91" s="18"/>
      <c r="AT91" s="18"/>
    </row>
    <row r="92" spans="2:84" ht="13.5" customHeight="1" x14ac:dyDescent="0.2">
      <c r="B92" s="185" t="s">
        <v>682</v>
      </c>
      <c r="C92" s="1308"/>
      <c r="D92" s="1308"/>
      <c r="E92" s="1558">
        <f>UETable!BF13</f>
        <v>0</v>
      </c>
      <c r="F92" s="1558"/>
      <c r="G92" s="1308"/>
      <c r="H92" s="1308"/>
      <c r="I92" s="1538">
        <f>IF(C92="",0,IF(OR(C92&gt;=70,G92&gt;=70),E92,IF(G92&gt;C92,0,UETable!BK13)))</f>
        <v>0</v>
      </c>
      <c r="J92" s="1538"/>
      <c r="K92" s="1556" t="str">
        <f>IF(OR(C92="NA",G92="NA"),"",IF(AND(C92&lt;&gt;"",G92=""),"Enter contralateral or NA.",IF(AND(C92="",G92&lt;&gt;""),"Need data","")))</f>
        <v/>
      </c>
      <c r="L92" s="1556"/>
      <c r="M92" s="1556"/>
      <c r="N92" s="1556"/>
      <c r="O92" s="1556"/>
      <c r="P92" s="1373"/>
      <c r="R92" s="1029"/>
      <c r="S92" s="1024">
        <v>70</v>
      </c>
      <c r="T92" s="769" t="str">
        <f>IF(OR(C92="",C92="NA"),"",IF(C92&gt;S92,S92,IF(C92&lt;0,0,C92)))</f>
        <v/>
      </c>
      <c r="U92" s="769" t="str">
        <f>IF(OR(G92="",G92="NA"),"",IF(G92&gt;S92,S92,IF(G92&lt;0,0,G92)))</f>
        <v/>
      </c>
      <c r="V92" s="696" t="str">
        <f>IF(Y92="","",ROUND(Y92,0))</f>
        <v/>
      </c>
      <c r="W92" s="769">
        <f>IF(T92="",0,70-T92)</f>
        <v>0</v>
      </c>
      <c r="X92" s="769">
        <f>IF(U92="",0,70-U92)</f>
        <v>0</v>
      </c>
      <c r="Y92" s="697" t="str">
        <f>IF(T92="","",IF(OR(U92="",U92=0,U92&gt;T92),T92,70-(W92*70)/X92))</f>
        <v/>
      </c>
      <c r="Z92" s="18"/>
      <c r="AA92" s="243">
        <f>IF(E93&gt;0,O94,IF(AND(E93=0,AE91=1,O94&gt;0,C103&gt;0),C103*O94,O94))</f>
        <v>0</v>
      </c>
      <c r="AB92" s="243">
        <f>IF(E97&gt;0,O98,IF(AND(E97=0,AE91=1,O98&gt;0,C103&gt;0),C103*O98,O98))</f>
        <v>0</v>
      </c>
      <c r="AC92" s="1055">
        <f>IF(E101&gt;0,O102,IF(AND(E101=0,AE91=1,O102&gt;0,C103&gt;0),C103*O102,O102))</f>
        <v>0</v>
      </c>
      <c r="AD92" s="243">
        <f>IF(AND(AE91=0,C103&gt;0),C103*AD100,AD100)</f>
        <v>0</v>
      </c>
      <c r="AE92" s="1051">
        <f>IF(AD95=AD96,1,0)</f>
        <v>1</v>
      </c>
      <c r="AF92" s="18"/>
      <c r="AG92" s="18"/>
      <c r="AH92" s="18"/>
      <c r="AI92" s="18"/>
      <c r="AJ92" s="18"/>
      <c r="AK92" s="18"/>
      <c r="AL92" s="18"/>
      <c r="AM92" s="18"/>
      <c r="AN92" s="18"/>
      <c r="AO92" s="18"/>
      <c r="AP92" s="18"/>
      <c r="AQ92" s="18"/>
      <c r="AR92" s="18"/>
      <c r="AS92" s="18"/>
      <c r="AT92" s="18"/>
    </row>
    <row r="93" spans="2:84" ht="15" customHeight="1" x14ac:dyDescent="0.2">
      <c r="B93" s="185" t="s">
        <v>683</v>
      </c>
      <c r="C93" s="1308"/>
      <c r="D93" s="1308"/>
      <c r="E93" s="1558">
        <f>IF(AND(C93&lt;&gt;"",C93&lt;&gt;"NA",C92&lt;&gt;"NA",C92&lt;&gt;""),"ERROR",IF(AND(C93&lt;&gt;"",C93&lt;&gt;"NA",C91&lt;&gt;"",C91&lt;&gt;"NA"),"ERROR",UETable!BF14))</f>
        <v>0</v>
      </c>
      <c r="F93" s="1558"/>
      <c r="G93" s="1556" t="str">
        <f>IF(AND(C93&lt;&gt;"",C93&lt;&gt;"NA",C92&lt;&gt;"NA",C92&lt;&gt;""),"ERROR: Cannot rate ROM and ankylosis.",IF(AND(C93&lt;&gt;"",C93&lt;&gt;"NA",C91&lt;&gt;"",C91&lt;&gt;"NA"),"ERROR: Cannot rate ROM and ankylosis.",""))</f>
        <v/>
      </c>
      <c r="H93" s="1556"/>
      <c r="I93" s="1556"/>
      <c r="J93" s="1556"/>
      <c r="K93" s="1556"/>
      <c r="L93" s="1556"/>
      <c r="M93" s="1556"/>
      <c r="N93" s="1556"/>
      <c r="O93" s="1556"/>
      <c r="P93" s="1373"/>
      <c r="R93" s="160"/>
      <c r="S93" s="1024">
        <v>70</v>
      </c>
      <c r="T93" s="769" t="str">
        <f>IF(OR(C93="",C93="NA"),"",IF(C93&gt;S93,S93,IF(C93&lt;0,0,C93)))</f>
        <v/>
      </c>
      <c r="U93" s="18"/>
      <c r="V93" s="18"/>
      <c r="W93" s="18"/>
      <c r="X93" s="18"/>
      <c r="Y93" s="18"/>
      <c r="Z93" s="18"/>
      <c r="AA93" s="1047"/>
      <c r="AB93" s="1047"/>
      <c r="AC93" s="1047"/>
      <c r="AD93" s="1047"/>
      <c r="AE93" s="1050"/>
      <c r="AF93" s="18"/>
      <c r="AG93" s="18"/>
      <c r="AH93" s="18"/>
      <c r="AI93" s="18"/>
      <c r="AJ93" s="18"/>
      <c r="AK93" s="18"/>
      <c r="AL93" s="18"/>
      <c r="AM93" s="18"/>
      <c r="AN93" s="18"/>
      <c r="AO93" s="18"/>
      <c r="AP93" s="18"/>
      <c r="AQ93" s="18"/>
      <c r="AR93" s="18"/>
      <c r="AS93" s="18"/>
      <c r="AT93" s="18"/>
    </row>
    <row r="94" spans="2:84" x14ac:dyDescent="0.2">
      <c r="B94" s="1613"/>
      <c r="C94" s="1614"/>
      <c r="D94" s="1614"/>
      <c r="E94" s="1614"/>
      <c r="F94" s="1614"/>
      <c r="G94" s="1614"/>
      <c r="H94" s="1614"/>
      <c r="I94" s="1614"/>
      <c r="J94" s="1615"/>
      <c r="K94" s="1568" t="s">
        <v>1842</v>
      </c>
      <c r="L94" s="1568"/>
      <c r="M94" s="1568"/>
      <c r="N94" s="1568"/>
      <c r="O94" s="77">
        <f>IF(E93="ERROR","ERROR",IF(R94&gt;1,1,R94))</f>
        <v>0</v>
      </c>
      <c r="P94" s="1373"/>
      <c r="R94" s="243">
        <f>SUM(I91,I92,E93)</f>
        <v>0</v>
      </c>
      <c r="S94" s="18"/>
      <c r="T94" s="18"/>
      <c r="U94" s="18"/>
      <c r="V94" s="18"/>
      <c r="W94" s="18"/>
      <c r="X94" s="18"/>
      <c r="Y94" s="18"/>
      <c r="Z94" s="18"/>
      <c r="AA94" s="1050"/>
      <c r="AB94" s="1050"/>
      <c r="AC94" s="1050"/>
      <c r="AD94" s="1050"/>
      <c r="AE94" s="1050"/>
      <c r="AF94" s="18"/>
      <c r="AG94" s="18"/>
      <c r="AH94" s="18"/>
      <c r="AI94" s="18"/>
      <c r="AJ94" s="18"/>
      <c r="AK94" s="18"/>
      <c r="AL94" s="18"/>
      <c r="AM94" s="18"/>
      <c r="AN94" s="18"/>
      <c r="AO94" s="18"/>
      <c r="AP94" s="18"/>
      <c r="AQ94" s="18"/>
      <c r="AR94" s="18"/>
      <c r="AS94" s="18"/>
      <c r="AT94" s="18"/>
    </row>
    <row r="95" spans="2:84" ht="13.5" customHeight="1" x14ac:dyDescent="0.2">
      <c r="B95" s="185" t="s">
        <v>684</v>
      </c>
      <c r="C95" s="1308"/>
      <c r="D95" s="1308"/>
      <c r="E95" s="1558">
        <f>UETable!BF16</f>
        <v>0</v>
      </c>
      <c r="F95" s="1558"/>
      <c r="G95" s="1308"/>
      <c r="H95" s="1308"/>
      <c r="I95" s="1538">
        <f>IF(C95="",0,IF(OR(C95&lt;=0,G95&lt;=0),E95,IF(G95&lt;C95,0,UETable!BK16)))</f>
        <v>0</v>
      </c>
      <c r="J95" s="1538"/>
      <c r="K95" s="1556" t="str">
        <f>IF(OR(C95="NA",G95="NA"),"",IF(AND(C95&lt;&gt;"",G95=""),"Enter contralateral or NA.",IF(AND(C95="",G95&lt;&gt;""),"Need data","")))</f>
        <v/>
      </c>
      <c r="L95" s="1556"/>
      <c r="M95" s="1556"/>
      <c r="N95" s="1556"/>
      <c r="O95" s="1556"/>
      <c r="P95" s="1373"/>
      <c r="R95" s="1025"/>
      <c r="S95" s="1024">
        <v>100</v>
      </c>
      <c r="T95" s="769" t="str">
        <f>IF(OR(C95="",C95="NA"),"",IF(C95&gt;S95,S95,IF(C95&lt;0,0,C95)))</f>
        <v/>
      </c>
      <c r="U95" s="769" t="str">
        <f>IF(OR(G95="",G95="NA"),"",IF(G95&gt;S95,S95,IF(G95&lt;0,0,G95)))</f>
        <v/>
      </c>
      <c r="V95" s="696" t="str">
        <f>IF(Y95="","",ROUND(Y95,0))</f>
        <v/>
      </c>
      <c r="W95" s="1410" t="s">
        <v>1203</v>
      </c>
      <c r="X95" s="1410"/>
      <c r="Y95" s="697" t="str">
        <f>IF(T95="","",IF(OR(U95="",U95=0,U95&lt;T95),T95,(T95*100)/U95))</f>
        <v/>
      </c>
      <c r="Z95" s="18"/>
      <c r="AA95" s="242">
        <f>E93</f>
        <v>0</v>
      </c>
      <c r="AB95" s="242">
        <f>E97</f>
        <v>0</v>
      </c>
      <c r="AC95" s="242">
        <f>E101</f>
        <v>0</v>
      </c>
      <c r="AD95" s="1051">
        <f>COUNTIF(AA95:AC95,"&gt;0")</f>
        <v>0</v>
      </c>
      <c r="AE95" s="1050"/>
      <c r="AF95" s="18"/>
      <c r="AG95" s="18"/>
      <c r="AH95" s="18"/>
      <c r="AI95" s="18"/>
      <c r="AJ95" s="18"/>
      <c r="AK95" s="18"/>
      <c r="AL95" s="18"/>
      <c r="AM95" s="18"/>
      <c r="AN95" s="18"/>
      <c r="AO95" s="18"/>
      <c r="AP95" s="18"/>
      <c r="AQ95" s="18"/>
      <c r="AR95" s="18"/>
      <c r="AS95" s="18"/>
      <c r="AT95" s="18"/>
    </row>
    <row r="96" spans="2:84" ht="13.5" customHeight="1" x14ac:dyDescent="0.2">
      <c r="B96" s="185" t="s">
        <v>685</v>
      </c>
      <c r="C96" s="1308"/>
      <c r="D96" s="1308"/>
      <c r="E96" s="1558">
        <f>UETable!BF17</f>
        <v>0</v>
      </c>
      <c r="F96" s="1558"/>
      <c r="G96" s="1308"/>
      <c r="H96" s="1308"/>
      <c r="I96" s="1538">
        <f>IF(C96="",0,IF(OR(C96&gt;=100,G96&gt;=100),E96,IF(G96&gt;C96,0,UETable!BK17)))</f>
        <v>0</v>
      </c>
      <c r="J96" s="1538"/>
      <c r="K96" s="1556" t="str">
        <f>IF(OR(C96="NA",G96="NA"),"",IF(AND(C96&lt;&gt;"",G96=""),"Enter contralateral or NA.",IF(AND(C96="",G96&lt;&gt;""),"Need data","")))</f>
        <v/>
      </c>
      <c r="L96" s="1556"/>
      <c r="M96" s="1556"/>
      <c r="N96" s="1556"/>
      <c r="O96" s="1556"/>
      <c r="P96" s="1373"/>
      <c r="R96" s="1023"/>
      <c r="S96" s="1024">
        <v>100</v>
      </c>
      <c r="T96" s="769" t="str">
        <f>IF(OR(C96="",C96="NA"),"",IF(C96&gt;S96,S96,IF(C96&lt;0,0,C96)))</f>
        <v/>
      </c>
      <c r="U96" s="769" t="str">
        <f>IF(OR(G96="",G96="NA"),"",IF(G96&gt;S96,S96,IF(G96&lt;0,0,G96)))</f>
        <v/>
      </c>
      <c r="V96" s="696" t="str">
        <f>IF(Y96="","",ROUND(Y96,0))</f>
        <v/>
      </c>
      <c r="W96" s="769">
        <f>IF(T96="",0,100-T96)</f>
        <v>0</v>
      </c>
      <c r="X96" s="769">
        <f>IF(U96="",0,100-U96)</f>
        <v>0</v>
      </c>
      <c r="Y96" s="697" t="str">
        <f>IF(T96="","",IF(OR(U96="",U96=0,U96&gt;T96),T96,100-(W96*100)/X96))</f>
        <v/>
      </c>
      <c r="Z96" s="18"/>
      <c r="AA96" s="242">
        <f>O94</f>
        <v>0</v>
      </c>
      <c r="AB96" s="242">
        <f>O98</f>
        <v>0</v>
      </c>
      <c r="AC96" s="242">
        <f>O102</f>
        <v>0</v>
      </c>
      <c r="AD96" s="1051">
        <f>COUNTIF(AA96:AC96,"&gt;0")</f>
        <v>0</v>
      </c>
      <c r="AE96" s="1050"/>
      <c r="AF96" s="18"/>
      <c r="AG96" s="18"/>
      <c r="AH96" s="18"/>
      <c r="AI96" s="18"/>
      <c r="AJ96" s="18"/>
      <c r="AK96" s="18"/>
      <c r="AL96" s="18"/>
      <c r="AM96" s="18"/>
      <c r="AN96" s="18"/>
      <c r="AO96" s="18"/>
      <c r="AP96" s="18"/>
      <c r="AQ96" s="18"/>
      <c r="AR96" s="18"/>
      <c r="AS96" s="18"/>
      <c r="AT96" s="18"/>
    </row>
    <row r="97" spans="1:109" ht="15" customHeight="1" x14ac:dyDescent="0.2">
      <c r="B97" s="185" t="s">
        <v>686</v>
      </c>
      <c r="C97" s="1308"/>
      <c r="D97" s="1308"/>
      <c r="E97" s="1558">
        <f>IF(AND(C97&lt;&gt;"",C97&lt;&gt;"NA",C96&lt;&gt;"NA",C96&lt;&gt;""),"ERROR",IF(AND(C97&lt;&gt;"",C97&lt;&gt;"NA",C95&lt;&gt;"",C95&lt;&gt;"NA"),"ERROR",UETable!BF18))</f>
        <v>0</v>
      </c>
      <c r="F97" s="1558"/>
      <c r="G97" s="1556" t="str">
        <f>IF(AND(C97&lt;&gt;"",C97&lt;&gt;"NA",C96&lt;&gt;"NA",C96&lt;&gt;""),"ERROR: Cannot rate ROM and ankylosis.",IF(AND(C97&lt;&gt;"",C97&lt;&gt;"NA",C95&lt;&gt;"",C95&lt;&gt;"NA"),"ERROR: Cannot rate ROM and ankylosis.",""))</f>
        <v/>
      </c>
      <c r="H97" s="1556"/>
      <c r="I97" s="1556"/>
      <c r="J97" s="1556"/>
      <c r="K97" s="1556"/>
      <c r="L97" s="1556"/>
      <c r="M97" s="1556"/>
      <c r="N97" s="1556"/>
      <c r="O97" s="1556"/>
      <c r="P97" s="1373"/>
      <c r="R97" s="1025"/>
      <c r="S97" s="1024">
        <v>100</v>
      </c>
      <c r="T97" s="769" t="str">
        <f>IF(OR(C97="",C97="NA"),"",IF(C97&gt;S97,S97,IF(C97&lt;0,0,C97)))</f>
        <v/>
      </c>
      <c r="U97" s="18"/>
      <c r="V97" s="18"/>
      <c r="W97" s="18"/>
      <c r="X97" s="18"/>
      <c r="Y97" s="18"/>
      <c r="Z97" s="18"/>
      <c r="AA97" s="1050"/>
      <c r="AB97" s="1050"/>
      <c r="AC97" s="1050"/>
      <c r="AD97" s="1050"/>
      <c r="AE97" s="1050"/>
      <c r="AF97" s="18"/>
      <c r="AG97" s="18"/>
      <c r="AH97" s="18"/>
      <c r="AI97" s="18"/>
      <c r="AJ97" s="18"/>
      <c r="AK97" s="18"/>
      <c r="AL97" s="18"/>
      <c r="AM97" s="18"/>
      <c r="AN97" s="18"/>
      <c r="AO97" s="18"/>
      <c r="AP97" s="18"/>
      <c r="AQ97" s="18"/>
      <c r="AR97" s="18"/>
      <c r="AS97" s="18"/>
      <c r="AT97" s="18"/>
    </row>
    <row r="98" spans="1:109" x14ac:dyDescent="0.2">
      <c r="B98" s="1613"/>
      <c r="C98" s="1614"/>
      <c r="D98" s="1614"/>
      <c r="E98" s="1614"/>
      <c r="F98" s="1614"/>
      <c r="G98" s="1614"/>
      <c r="H98" s="1614"/>
      <c r="I98" s="1614"/>
      <c r="J98" s="1615"/>
      <c r="K98" s="1568" t="s">
        <v>1842</v>
      </c>
      <c r="L98" s="1568"/>
      <c r="M98" s="1568"/>
      <c r="N98" s="1568"/>
      <c r="O98" s="77">
        <f>IF(E97="ERROR","ERROR",IF(R98&gt;1,1,R98))</f>
        <v>0</v>
      </c>
      <c r="P98" s="1373"/>
      <c r="R98" s="243">
        <f>SUM(I95,I96,E97)</f>
        <v>0</v>
      </c>
      <c r="S98" s="18"/>
      <c r="T98" s="18"/>
      <c r="U98" s="18"/>
      <c r="V98" s="18"/>
      <c r="W98" s="18"/>
      <c r="X98" s="18"/>
      <c r="Y98" s="18"/>
      <c r="Z98" s="18"/>
      <c r="AA98" s="1054" t="s">
        <v>1307</v>
      </c>
      <c r="AB98" s="1054" t="s">
        <v>1305</v>
      </c>
      <c r="AC98" s="1048" t="s">
        <v>1306</v>
      </c>
      <c r="AD98" s="1048" t="s">
        <v>1307</v>
      </c>
      <c r="AE98" s="1050"/>
      <c r="AF98" s="18"/>
      <c r="AG98" s="18"/>
      <c r="AH98" s="18"/>
      <c r="AI98" s="18"/>
      <c r="AJ98" s="18"/>
      <c r="AK98" s="18"/>
      <c r="AL98" s="18"/>
      <c r="AM98" s="18"/>
      <c r="AN98" s="18"/>
      <c r="AO98" s="18"/>
      <c r="AP98" s="18"/>
      <c r="AQ98" s="18"/>
      <c r="AR98" s="18"/>
      <c r="AS98" s="18"/>
      <c r="AT98" s="18"/>
    </row>
    <row r="99" spans="1:109" ht="13.5" customHeight="1" x14ac:dyDescent="0.2">
      <c r="B99" s="185" t="s">
        <v>1578</v>
      </c>
      <c r="C99" s="1308"/>
      <c r="D99" s="1308"/>
      <c r="E99" s="1558">
        <f>UETable!BF20</f>
        <v>0</v>
      </c>
      <c r="F99" s="1558"/>
      <c r="G99" s="1308"/>
      <c r="H99" s="1308"/>
      <c r="I99" s="1538">
        <f>IF(C99="",0,IF(OR(C99&lt;=0,G99&lt;=0),E99,IF(G99&lt;C99,0,UETable!BK20)))</f>
        <v>0</v>
      </c>
      <c r="J99" s="1538"/>
      <c r="K99" s="1556" t="str">
        <f>IF(OR(C99="NA",G99="NA"),"",IF(AND(C99&lt;&gt;"",G99=""),"Enter contralateral or NA.",IF(AND(C99="",G99&lt;&gt;""),"Need data","")))</f>
        <v/>
      </c>
      <c r="L99" s="1556"/>
      <c r="M99" s="1556"/>
      <c r="N99" s="1556"/>
      <c r="O99" s="1556"/>
      <c r="P99" s="1373"/>
      <c r="R99" s="1025"/>
      <c r="S99" s="1024">
        <v>90</v>
      </c>
      <c r="T99" s="769" t="str">
        <f>IF(OR(C99="",C99="NA"),"",IF(C99&gt;S99,S99,IF(C99&lt;0,0,C99)))</f>
        <v/>
      </c>
      <c r="U99" s="769" t="str">
        <f>IF(OR(G99="",G99="NA"),"",IF(G99&gt;S99,S99,IF(G99&lt;0,0,G99)))</f>
        <v/>
      </c>
      <c r="V99" s="696" t="str">
        <f>IF(Y99="","",ROUND(Y99,0))</f>
        <v/>
      </c>
      <c r="W99" s="1410" t="s">
        <v>1203</v>
      </c>
      <c r="X99" s="1410"/>
      <c r="Y99" s="697" t="str">
        <f>IF(T99="","",IF(OR(U99="",U99=0,U99&lt;T99),T99,(T99*90)/U99))</f>
        <v/>
      </c>
      <c r="Z99" s="18"/>
      <c r="AA99" s="1053">
        <f>IF(AND(AA92&gt;0,AA92&lt;0.01),0.01,ROUND(AA92,2))</f>
        <v>0</v>
      </c>
      <c r="AB99" s="1052">
        <f>LARGE(AA99:AA101,1)</f>
        <v>0</v>
      </c>
      <c r="AC99" s="1053">
        <f>AB99+AB100*(1-AB99)</f>
        <v>0</v>
      </c>
      <c r="AD99" s="1053">
        <f>ROUND(AC99,2)</f>
        <v>0</v>
      </c>
      <c r="AE99" s="1050"/>
      <c r="AF99" s="18"/>
      <c r="AG99" s="18"/>
      <c r="AH99" s="18"/>
      <c r="AI99" s="18"/>
      <c r="AJ99" s="18"/>
      <c r="AK99" s="18"/>
      <c r="AL99" s="18"/>
      <c r="AM99" s="18"/>
      <c r="AN99" s="18"/>
      <c r="AO99" s="18"/>
      <c r="AP99" s="18"/>
      <c r="AQ99" s="18"/>
      <c r="AR99" s="18"/>
      <c r="AS99" s="18"/>
      <c r="AT99" s="18"/>
    </row>
    <row r="100" spans="1:109" ht="13.5" customHeight="1" x14ac:dyDescent="0.2">
      <c r="B100" s="185" t="s">
        <v>1579</v>
      </c>
      <c r="C100" s="1308"/>
      <c r="D100" s="1308"/>
      <c r="E100" s="1558">
        <f>UETable!BF21</f>
        <v>0</v>
      </c>
      <c r="F100" s="1558"/>
      <c r="G100" s="1308"/>
      <c r="H100" s="1308"/>
      <c r="I100" s="1538">
        <f>IF(C100="",0,IF(OR(C100&gt;=90,G100&gt;=90),E100,IF(G100&gt;C100,0,UETable!BK21)))</f>
        <v>0</v>
      </c>
      <c r="J100" s="1538"/>
      <c r="K100" s="1556" t="str">
        <f>IF(OR(C100="NA",G100="NA"),"",IF(AND(C100&lt;&gt;"",G100=""),"Enter contralateral or NA.",IF(AND(C100="",G100&lt;&gt;""),"Need data","")))</f>
        <v/>
      </c>
      <c r="L100" s="1556"/>
      <c r="M100" s="1556"/>
      <c r="N100" s="1556"/>
      <c r="O100" s="1556"/>
      <c r="P100" s="1373"/>
      <c r="R100" s="1025"/>
      <c r="S100" s="1024">
        <v>90</v>
      </c>
      <c r="T100" s="769" t="str">
        <f>IF(OR(C100="",C100="NA"),"",IF(C100&gt;S100,S100,IF(C100&lt;0,0,C100)))</f>
        <v/>
      </c>
      <c r="U100" s="769" t="str">
        <f>IF(OR(G100="",G100="NA"),"",IF(G100&gt;S100,S100,IF(G100&lt;0,0,G100)))</f>
        <v/>
      </c>
      <c r="V100" s="696" t="str">
        <f>IF(Y100="","",ROUND(Y100,0))</f>
        <v/>
      </c>
      <c r="W100" s="769">
        <f>IF(T100="",0,90-T100)</f>
        <v>0</v>
      </c>
      <c r="X100" s="769">
        <f>IF(U100="",0,90-U100)</f>
        <v>0</v>
      </c>
      <c r="Y100" s="697" t="str">
        <f>IF(T100="","",IF(OR(U100="",U100=0,U100&gt;T100),T100,90-(W100*90)/X100))</f>
        <v/>
      </c>
      <c r="Z100" s="18"/>
      <c r="AA100" s="1053">
        <f>IF(AND(AB92&gt;0,AB92&lt;0.01),0.01,ROUND(AB92,2))</f>
        <v>0</v>
      </c>
      <c r="AB100" s="1052">
        <f>LARGE(AA99:AA101,2)</f>
        <v>0</v>
      </c>
      <c r="AC100" s="684">
        <f>AD99+AB101*(1-AD99)</f>
        <v>0</v>
      </c>
      <c r="AD100" s="1053">
        <f>ROUND(AC100,2)</f>
        <v>0</v>
      </c>
      <c r="AE100" s="1050"/>
      <c r="AF100" s="18"/>
      <c r="AG100" s="18"/>
      <c r="AH100" s="18"/>
      <c r="AI100" s="18"/>
      <c r="AJ100" s="18"/>
      <c r="AK100" s="18"/>
      <c r="AL100" s="18"/>
      <c r="AM100" s="18"/>
      <c r="AN100" s="18"/>
      <c r="AO100" s="18"/>
      <c r="AP100" s="18"/>
      <c r="AQ100" s="18"/>
      <c r="AR100" s="18"/>
      <c r="AS100" s="18"/>
      <c r="AT100" s="18"/>
    </row>
    <row r="101" spans="1:109" ht="15" customHeight="1" x14ac:dyDescent="0.2">
      <c r="B101" s="185" t="s">
        <v>643</v>
      </c>
      <c r="C101" s="1308"/>
      <c r="D101" s="1308"/>
      <c r="E101" s="1558">
        <f>IF(AND(C101&lt;&gt;"",C101&lt;&gt;"NA",C100&lt;&gt;"NA",C100&lt;&gt;""),"ERROR",IF(AND(C101&lt;&gt;"",C101&lt;&gt;"NA",C99&lt;&gt;"",C99&lt;&gt;"NA"),"ERROR",UETable!BF22))</f>
        <v>0</v>
      </c>
      <c r="F101" s="1558"/>
      <c r="G101" s="1556" t="str">
        <f>IF(AND(C101&lt;&gt;"",C101&lt;&gt;"NA",C100&lt;&gt;"NA",C100&lt;&gt;""),"ERROR: Cannot rate ROM and ankylosis.",IF(AND(C101&lt;&gt;"",C101&lt;&gt;"NA",C99&lt;&gt;"",C99&lt;&gt;"NA"),"ERROR: Cannot rate ROM and ankylosis.",""))</f>
        <v/>
      </c>
      <c r="H101" s="1556"/>
      <c r="I101" s="1556"/>
      <c r="J101" s="1556"/>
      <c r="K101" s="1556"/>
      <c r="L101" s="1556"/>
      <c r="M101" s="1556"/>
      <c r="N101" s="1556"/>
      <c r="O101" s="1556"/>
      <c r="P101" s="1373"/>
      <c r="R101" s="1024">
        <f>IF(OR(O94="ERROR",O98="ERROR",O102="ERROR"),1,0)</f>
        <v>0</v>
      </c>
      <c r="S101" s="1021">
        <v>90</v>
      </c>
      <c r="T101" s="769" t="str">
        <f>IF(OR(C101="",C101="NA"),"",IF(C101&gt;S101,S101,IF(C101&lt;0,0,C101)))</f>
        <v/>
      </c>
      <c r="U101" s="18"/>
      <c r="V101" s="18"/>
      <c r="W101" s="18"/>
      <c r="X101" s="18"/>
      <c r="Y101" s="18"/>
      <c r="Z101" s="18"/>
      <c r="AA101" s="1053">
        <f>IF(AND(AC92&gt;0,AC92&lt;0.01),0.01,ROUND(AC92,2))</f>
        <v>0</v>
      </c>
      <c r="AB101" s="1052">
        <f>LARGE(AA99:AA101,3)</f>
        <v>0</v>
      </c>
      <c r="AC101" s="1047"/>
      <c r="AD101" s="1047"/>
      <c r="AE101" s="1050"/>
      <c r="AF101" s="18"/>
      <c r="AG101" s="18"/>
      <c r="AH101" s="18"/>
      <c r="AI101" s="18"/>
      <c r="AJ101" s="18"/>
      <c r="AK101" s="18"/>
      <c r="AL101" s="18"/>
      <c r="AM101" s="18"/>
      <c r="AN101" s="18"/>
      <c r="AO101" s="18"/>
      <c r="AP101" s="18"/>
      <c r="AQ101" s="18"/>
      <c r="AR101" s="18"/>
      <c r="AS101" s="18"/>
      <c r="AT101" s="18"/>
    </row>
    <row r="102" spans="1:109" ht="12.75" customHeight="1" x14ac:dyDescent="0.2">
      <c r="B102" s="1045"/>
      <c r="C102" s="1046"/>
      <c r="D102" s="1046"/>
      <c r="E102" s="1796" t="str">
        <f>IF(AND(OR(E93&gt;0,E97&gt;0,E101&gt;0),C103&gt;0),"Note: Ankylosis is not apportioned.","")</f>
        <v/>
      </c>
      <c r="F102" s="1796"/>
      <c r="G102" s="1796"/>
      <c r="H102" s="1796"/>
      <c r="I102" s="1796"/>
      <c r="J102" s="1568" t="s">
        <v>1842</v>
      </c>
      <c r="K102" s="1568"/>
      <c r="L102" s="1568"/>
      <c r="M102" s="1568"/>
      <c r="N102" s="1568"/>
      <c r="O102" s="77">
        <f>IF(E101="ERROR","ERROR",IF(R102&gt;1,1,R102))</f>
        <v>0</v>
      </c>
      <c r="P102" s="1373"/>
      <c r="R102" s="243">
        <f>SUM(I99,I100,E101)</f>
        <v>0</v>
      </c>
      <c r="S102" s="18"/>
      <c r="T102" s="18"/>
      <c r="U102" s="18"/>
      <c r="V102" s="18"/>
      <c r="W102" s="18"/>
      <c r="X102" s="18"/>
      <c r="Y102" s="18"/>
      <c r="Z102" s="18"/>
      <c r="AA102" s="18"/>
      <c r="AB102" s="18"/>
      <c r="AE102" s="18"/>
      <c r="AF102" s="18"/>
      <c r="AG102" s="18"/>
      <c r="AH102" s="18"/>
      <c r="AI102" s="18"/>
      <c r="AJ102" s="18"/>
      <c r="AK102" s="18"/>
      <c r="AL102" s="18"/>
      <c r="AM102" s="18"/>
      <c r="AN102" s="18"/>
      <c r="AO102" s="18"/>
      <c r="AP102" s="18"/>
      <c r="AQ102" s="18"/>
      <c r="AR102" s="18"/>
      <c r="AS102" s="18"/>
      <c r="AT102" s="18"/>
    </row>
    <row r="103" spans="1:109" ht="15" customHeight="1" x14ac:dyDescent="0.2">
      <c r="B103" s="1049" t="s">
        <v>2259</v>
      </c>
      <c r="C103" s="1544"/>
      <c r="D103" s="1577"/>
      <c r="E103" s="1796"/>
      <c r="F103" s="1796"/>
      <c r="G103" s="1796"/>
      <c r="H103" s="1796"/>
      <c r="I103" s="1796"/>
      <c r="J103" s="1568" t="s">
        <v>1625</v>
      </c>
      <c r="K103" s="1568"/>
      <c r="L103" s="1568"/>
      <c r="M103" s="1568"/>
      <c r="N103" s="1568"/>
      <c r="O103" s="1568"/>
      <c r="P103" s="1373"/>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row>
    <row r="104" spans="1:109" ht="12" customHeight="1" x14ac:dyDescent="0.2">
      <c r="B104" s="1469"/>
      <c r="C104" s="1469"/>
      <c r="D104" s="1469"/>
      <c r="E104" s="1469"/>
      <c r="F104" s="1469"/>
      <c r="G104" s="1469"/>
      <c r="H104" s="1469"/>
      <c r="I104" s="1469"/>
      <c r="J104" s="1469"/>
      <c r="K104" s="1469"/>
      <c r="L104" s="1469"/>
      <c r="M104" s="1469"/>
      <c r="N104" s="1469"/>
      <c r="O104" s="1469"/>
      <c r="P104" s="1469"/>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row>
    <row r="105" spans="1:109" ht="12" customHeight="1" x14ac:dyDescent="0.2">
      <c r="B105" s="1395"/>
      <c r="C105" s="1395"/>
      <c r="D105" s="1395"/>
      <c r="E105" s="1395"/>
      <c r="F105" s="1395"/>
      <c r="G105" s="1395"/>
      <c r="H105" s="1395"/>
      <c r="I105" s="1395"/>
      <c r="J105" s="1395"/>
      <c r="K105" s="1395"/>
      <c r="L105" s="1395"/>
      <c r="M105" s="1395"/>
      <c r="N105" s="1395"/>
      <c r="O105" s="1395"/>
      <c r="P105" s="182"/>
      <c r="R105" s="18"/>
      <c r="S105" s="1487" t="s">
        <v>2197</v>
      </c>
      <c r="T105" s="1487"/>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row>
    <row r="106" spans="1:109" ht="14.25" customHeight="1" x14ac:dyDescent="0.2">
      <c r="A106" s="189"/>
      <c r="B106" s="1581" t="s">
        <v>967</v>
      </c>
      <c r="C106" s="1582"/>
      <c r="D106" s="1543"/>
      <c r="E106" s="1543"/>
      <c r="F106" s="1587" t="s">
        <v>1229</v>
      </c>
      <c r="G106" s="1587"/>
      <c r="H106" s="1587"/>
      <c r="I106" s="1587"/>
      <c r="J106" s="1587"/>
      <c r="K106" s="1587"/>
      <c r="L106" s="1587"/>
      <c r="M106" s="1587"/>
      <c r="N106" s="1587"/>
      <c r="O106" s="1587"/>
      <c r="P106" s="95">
        <f>IF(T106=1,0.1,0)</f>
        <v>0</v>
      </c>
      <c r="R106" s="18"/>
      <c r="S106" s="686" t="b">
        <v>0</v>
      </c>
      <c r="T106" s="769">
        <f>IF(S106=TRUE,1,0)</f>
        <v>0</v>
      </c>
      <c r="W106" s="18"/>
      <c r="X106" s="18"/>
      <c r="Y106" s="18"/>
      <c r="Z106" s="18"/>
      <c r="AA106" s="18"/>
      <c r="AB106" s="18"/>
      <c r="AC106" s="18"/>
      <c r="AD106" s="18"/>
      <c r="AE106" s="18"/>
      <c r="AF106" s="18"/>
      <c r="AG106" s="18">
        <v>1E-4</v>
      </c>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row>
    <row r="107" spans="1:109" x14ac:dyDescent="0.2">
      <c r="B107" s="1583"/>
      <c r="C107" s="1584"/>
      <c r="D107" s="1543"/>
      <c r="E107" s="1543"/>
      <c r="F107" s="1587" t="s">
        <v>1231</v>
      </c>
      <c r="G107" s="1587"/>
      <c r="H107" s="1587"/>
      <c r="I107" s="1587"/>
      <c r="J107" s="1587"/>
      <c r="K107" s="1587"/>
      <c r="L107" s="1587"/>
      <c r="M107" s="1587"/>
      <c r="N107" s="1587"/>
      <c r="O107" s="1587"/>
      <c r="P107" s="95">
        <f>IF(T107=1,0.1,0)</f>
        <v>0</v>
      </c>
      <c r="R107" s="18"/>
      <c r="S107" s="686" t="b">
        <v>0</v>
      </c>
      <c r="T107" s="769">
        <f>IF(S107=TRUE,1,0)</f>
        <v>0</v>
      </c>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row>
    <row r="108" spans="1:109" x14ac:dyDescent="0.2">
      <c r="B108" s="1583"/>
      <c r="C108" s="1584"/>
      <c r="D108" s="1543"/>
      <c r="E108" s="1543"/>
      <c r="F108" s="1587" t="s">
        <v>1230</v>
      </c>
      <c r="G108" s="1587"/>
      <c r="H108" s="1587"/>
      <c r="I108" s="1587"/>
      <c r="J108" s="1587"/>
      <c r="K108" s="1587"/>
      <c r="L108" s="1587"/>
      <c r="M108" s="1587"/>
      <c r="N108" s="1587"/>
      <c r="O108" s="1587"/>
      <c r="P108" s="95">
        <f>IF(T108=1,0.1,0)</f>
        <v>0</v>
      </c>
      <c r="R108" s="18"/>
      <c r="S108" s="686" t="b">
        <v>0</v>
      </c>
      <c r="T108" s="769">
        <f>IF(S108=TRUE,1,0)</f>
        <v>0</v>
      </c>
      <c r="U108" s="164"/>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row>
    <row r="109" spans="1:109" x14ac:dyDescent="0.2">
      <c r="B109" s="1585"/>
      <c r="C109" s="1586"/>
      <c r="D109" s="1543"/>
      <c r="E109" s="1543"/>
      <c r="F109" s="1587" t="s">
        <v>1232</v>
      </c>
      <c r="G109" s="1587"/>
      <c r="H109" s="1587"/>
      <c r="I109" s="1587"/>
      <c r="J109" s="1587"/>
      <c r="K109" s="1587"/>
      <c r="L109" s="1587"/>
      <c r="M109" s="1587"/>
      <c r="N109" s="1587"/>
      <c r="O109" s="1587"/>
      <c r="P109" s="95">
        <f>IF(T109=1,0.1,0)</f>
        <v>0</v>
      </c>
      <c r="R109" s="18"/>
      <c r="S109" s="686" t="b">
        <v>0</v>
      </c>
      <c r="T109" s="769">
        <f>IF(S109=TRUE,1,0)</f>
        <v>0</v>
      </c>
      <c r="U109" s="164"/>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row>
    <row r="110" spans="1:109" ht="12" customHeight="1" x14ac:dyDescent="0.2">
      <c r="B110" s="1395"/>
      <c r="C110" s="1395"/>
      <c r="D110" s="1395"/>
      <c r="E110" s="1395"/>
      <c r="F110" s="1395"/>
      <c r="G110" s="1395"/>
      <c r="H110" s="1395"/>
      <c r="I110" s="1395"/>
      <c r="J110" s="1395"/>
      <c r="K110" s="1395"/>
      <c r="L110" s="1395"/>
      <c r="M110" s="1395"/>
      <c r="N110" s="1395"/>
      <c r="O110" s="1395"/>
      <c r="P110" s="182"/>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row>
    <row r="111" spans="1:109" ht="12" customHeight="1" x14ac:dyDescent="0.2">
      <c r="B111" s="604"/>
      <c r="C111" s="1607" t="s">
        <v>248</v>
      </c>
      <c r="D111" s="1597"/>
      <c r="E111" s="1596" t="s">
        <v>249</v>
      </c>
      <c r="F111" s="1597"/>
      <c r="G111" s="434"/>
      <c r="H111" s="436"/>
      <c r="I111" s="1625" t="s">
        <v>250</v>
      </c>
      <c r="J111" s="1597"/>
      <c r="K111" s="595"/>
      <c r="L111" s="436"/>
      <c r="M111" s="1596" t="s">
        <v>249</v>
      </c>
      <c r="N111" s="1597"/>
      <c r="O111" s="435"/>
      <c r="P111" s="611"/>
      <c r="Z111" s="601"/>
      <c r="AE111" s="600"/>
      <c r="AF111" s="600"/>
      <c r="AG111" s="600"/>
      <c r="AH111" s="600"/>
      <c r="AI111" s="600"/>
      <c r="AJ111" s="600"/>
      <c r="AK111" s="600"/>
      <c r="AL111" s="600"/>
      <c r="AM111" s="600"/>
      <c r="AN111" s="600"/>
    </row>
    <row r="112" spans="1:109" ht="12" customHeight="1" x14ac:dyDescent="0.2">
      <c r="B112" s="605"/>
      <c r="C112" s="1610" t="s">
        <v>251</v>
      </c>
      <c r="D112" s="1580"/>
      <c r="E112" s="1610" t="s">
        <v>252</v>
      </c>
      <c r="F112" s="1580"/>
      <c r="G112" s="1610" t="s">
        <v>253</v>
      </c>
      <c r="H112" s="1580"/>
      <c r="I112" s="1579" t="s">
        <v>254</v>
      </c>
      <c r="J112" s="1580"/>
      <c r="K112" s="1610" t="s">
        <v>255</v>
      </c>
      <c r="L112" s="1580"/>
      <c r="M112" s="1610" t="s">
        <v>256</v>
      </c>
      <c r="N112" s="1580"/>
      <c r="O112" s="3"/>
      <c r="P112" s="612"/>
      <c r="Z112" s="418"/>
      <c r="AE112" s="600"/>
      <c r="AF112" s="600"/>
      <c r="AG112" s="600"/>
      <c r="AH112" s="600"/>
      <c r="AI112" s="600"/>
      <c r="AJ112" s="600"/>
      <c r="AK112" s="600"/>
      <c r="AL112" s="600"/>
      <c r="AM112" s="600"/>
      <c r="AN112" s="600"/>
    </row>
    <row r="113" spans="2:79" ht="12" customHeight="1" x14ac:dyDescent="0.2">
      <c r="B113" s="605"/>
      <c r="C113" s="1552" t="s">
        <v>257</v>
      </c>
      <c r="D113" s="1553"/>
      <c r="E113" s="1552" t="s">
        <v>258</v>
      </c>
      <c r="F113" s="1553"/>
      <c r="G113" s="1552" t="s">
        <v>259</v>
      </c>
      <c r="H113" s="1553"/>
      <c r="I113" s="1635" t="s">
        <v>260</v>
      </c>
      <c r="J113" s="1553"/>
      <c r="K113" s="1552" t="s">
        <v>259</v>
      </c>
      <c r="L113" s="1553"/>
      <c r="M113" s="1552" t="s">
        <v>258</v>
      </c>
      <c r="N113" s="1553"/>
      <c r="O113" s="3"/>
      <c r="P113" s="612"/>
      <c r="AH113" s="783">
        <v>1</v>
      </c>
      <c r="AI113" s="783">
        <v>2</v>
      </c>
      <c r="AJ113" s="783">
        <v>3</v>
      </c>
      <c r="AK113" s="783">
        <v>4</v>
      </c>
      <c r="AM113" s="600"/>
      <c r="AN113" s="600"/>
      <c r="AO113" s="600"/>
      <c r="AP113" s="600"/>
      <c r="AQ113" s="600"/>
      <c r="AR113" s="600"/>
      <c r="AS113" s="600"/>
      <c r="AT113" s="600"/>
      <c r="AU113" s="600"/>
      <c r="AV113" s="600"/>
    </row>
    <row r="114" spans="2:79" ht="12" customHeight="1" x14ac:dyDescent="0.2">
      <c r="B114" s="679" t="s">
        <v>1986</v>
      </c>
      <c r="C114" s="1608" t="s">
        <v>261</v>
      </c>
      <c r="D114" s="1609"/>
      <c r="E114" s="1608" t="s">
        <v>261</v>
      </c>
      <c r="F114" s="1609"/>
      <c r="G114" s="1608" t="s">
        <v>261</v>
      </c>
      <c r="H114" s="1609"/>
      <c r="I114" s="1608" t="s">
        <v>261</v>
      </c>
      <c r="J114" s="1609"/>
      <c r="K114" s="1608" t="s">
        <v>261</v>
      </c>
      <c r="L114" s="1609"/>
      <c r="M114" s="1608" t="s">
        <v>261</v>
      </c>
      <c r="N114" s="1609"/>
      <c r="O114" s="3"/>
      <c r="P114" s="612"/>
      <c r="S114" s="1516" t="s">
        <v>2197</v>
      </c>
      <c r="T114" s="1517"/>
      <c r="U114" s="1517"/>
      <c r="V114" s="1517"/>
      <c r="W114" s="1517"/>
      <c r="X114" s="1518"/>
      <c r="Y114" s="599"/>
      <c r="Z114" s="599"/>
      <c r="AA114" s="1562" t="s">
        <v>2197</v>
      </c>
      <c r="AB114" s="1563"/>
      <c r="AC114" s="1563"/>
      <c r="AD114" s="1563"/>
      <c r="AE114" s="1563"/>
      <c r="AF114" s="1564"/>
      <c r="AG114" s="599"/>
      <c r="AH114" s="1519" t="s">
        <v>2197</v>
      </c>
      <c r="AI114" s="1520"/>
      <c r="AJ114" s="1520"/>
      <c r="AK114" s="1520"/>
      <c r="AL114" s="1520"/>
      <c r="AM114" s="1521"/>
      <c r="AO114" s="1516" t="s">
        <v>2197</v>
      </c>
      <c r="AP114" s="1517"/>
      <c r="AQ114" s="1517"/>
      <c r="AR114" s="1517"/>
      <c r="AS114" s="1518"/>
      <c r="AT114" s="772"/>
      <c r="AU114" s="1516" t="s">
        <v>2197</v>
      </c>
      <c r="AV114" s="1517"/>
      <c r="AW114" s="1517"/>
      <c r="AX114" s="1518"/>
      <c r="AY114" s="772"/>
      <c r="AZ114" s="1516" t="s">
        <v>2197</v>
      </c>
      <c r="BA114" s="1517"/>
      <c r="BB114" s="1517"/>
      <c r="BC114" s="1517"/>
      <c r="BD114" s="1517"/>
      <c r="BE114" s="1517"/>
      <c r="BF114" s="1517"/>
      <c r="BG114" s="1518"/>
      <c r="BH114" s="772"/>
      <c r="BI114" s="1516" t="s">
        <v>2197</v>
      </c>
      <c r="BJ114" s="1517"/>
      <c r="BK114" s="1517"/>
      <c r="BL114" s="1517"/>
      <c r="BM114" s="1517"/>
      <c r="BN114" s="1518"/>
    </row>
    <row r="115" spans="2:79" s="419" customFormat="1" ht="15" customHeight="1" x14ac:dyDescent="0.2">
      <c r="B115" s="185" t="s">
        <v>1606</v>
      </c>
      <c r="C115" s="1554"/>
      <c r="D115" s="1554"/>
      <c r="E115" s="1554"/>
      <c r="F115" s="1554"/>
      <c r="G115" s="1554"/>
      <c r="H115" s="1554"/>
      <c r="I115" s="1554"/>
      <c r="J115" s="1554"/>
      <c r="K115" s="1554"/>
      <c r="L115" s="1554"/>
      <c r="M115" s="1554"/>
      <c r="N115" s="1554"/>
      <c r="O115" s="613"/>
      <c r="P115" s="614"/>
      <c r="S115" s="369">
        <f>IF(C115="",0,C115)</f>
        <v>0</v>
      </c>
      <c r="T115" s="369">
        <f>IF(AND(E115&lt;&gt;C115,E115&lt;&gt;""),E115,IF(OR(E116&lt;&gt;"",E117&lt;&gt;""),0,S115))</f>
        <v>0</v>
      </c>
      <c r="U115" s="369">
        <f>IF(AND(G115&lt;&gt;E115,G115&lt;&gt;""),G115,IF(OR(G116&lt;&gt;"",G117&lt;&gt;""),0,T115))</f>
        <v>0</v>
      </c>
      <c r="V115" s="369">
        <f>IF(AND(I115&lt;&gt;G115,I115&lt;&gt;""),I115,IF(OR(I116&lt;&gt;"",I117&lt;&gt;""),0,U115))</f>
        <v>0</v>
      </c>
      <c r="W115" s="369">
        <f>IF(AND(K115&lt;&gt;I115,K115&lt;&gt;""),K115,IF(OR(K116&lt;&gt;"",K117&lt;&gt;""),0,V115))</f>
        <v>0</v>
      </c>
      <c r="X115" s="369">
        <f>IF(AND(M115&lt;&gt;K115,M115&lt;&gt;""),M115,IF(OR(M116&lt;&gt;"",M117&lt;&gt;""),0,W115))</f>
        <v>0</v>
      </c>
      <c r="Z115" s="599"/>
      <c r="AA115" s="607">
        <f>IF(C115&gt;1,1,0)</f>
        <v>0</v>
      </c>
      <c r="AB115" s="369">
        <f t="shared" ref="AB115:AF117" si="11">IF(AND(S115&lt;&gt;T115,T115&gt;0),1,0)</f>
        <v>0</v>
      </c>
      <c r="AC115" s="369">
        <f t="shared" si="11"/>
        <v>0</v>
      </c>
      <c r="AD115" s="369">
        <f t="shared" si="11"/>
        <v>0</v>
      </c>
      <c r="AE115" s="369">
        <f t="shared" si="11"/>
        <v>0</v>
      </c>
      <c r="AF115" s="369">
        <f t="shared" si="11"/>
        <v>0</v>
      </c>
      <c r="AH115" s="602">
        <f>IF(S115=1,0,IF(S115=2,0.25,IF(S115=3,0.38,IF(S115=4,0.5,0))))</f>
        <v>0</v>
      </c>
      <c r="AI115" s="602">
        <f>IF(T115=1,0,IF(T115=2,0.23,IF(T115=3,0.35,IF(T115=4,0.45,0))))</f>
        <v>0</v>
      </c>
      <c r="AJ115" s="602">
        <f>IF(U115=1,0,IF(U115=2,0.2,IF(U115=3,0.3,IF(U115=4,0.39,0))))</f>
        <v>0</v>
      </c>
      <c r="AK115" s="602">
        <f>IF(V115=1,0,IF(V115=2,0.17,IF(V115=3,0.25,IF(V115=4,0.33,0))))</f>
        <v>0</v>
      </c>
      <c r="AL115" s="602">
        <f>IF(W115=1,0,IF(W115=2,0.13,IF(W115=3,0.19,IF(W115=4,0.24,0))))</f>
        <v>0</v>
      </c>
      <c r="AM115" s="602">
        <f>IF(X115=1,0,IF(X115=2,0.08,IF(X115=3,0.12,IF(X115=4,0.15,0))))</f>
        <v>0</v>
      </c>
      <c r="AN115" s="603"/>
      <c r="AO115" s="602">
        <f>IF(S115=1,0,IF(S115=2,0.23,IF(S115=3,0.35,IF(S115=4,0.45,0))))</f>
        <v>0</v>
      </c>
      <c r="AP115" s="602">
        <f>IF(T115=1,0,IF(T115=2,0.2,IF(T115=3,0.3,IF(T115=4,0.39,0))))</f>
        <v>0</v>
      </c>
      <c r="AQ115" s="602">
        <f>IF(U115=1,0,IF(U115=2,0.17,IF(U115=3,0.25,IF(U115=4,0.33,0))))</f>
        <v>0</v>
      </c>
      <c r="AR115" s="602">
        <f>IF(V115=1,0,IF(V115=2,0.13,IF(V115=3,0.19,IF(V115=4,0.24,0))))</f>
        <v>0</v>
      </c>
      <c r="AS115" s="602">
        <f>IF(W115=1,0,IF(W115=2,0.08,IF(W115=3,0.12,IF(W115=4,0.15,0))))</f>
        <v>0</v>
      </c>
      <c r="AU115" s="602">
        <f>IF(S115=1,0,IF(S115=2,0.2,IF(S115=3,0.3,IF(S115=4,0.39,0))))</f>
        <v>0</v>
      </c>
      <c r="AV115" s="602">
        <f>IF(T115=1,0,IF(T115=2,0.17,IF(T115=3,0.25,IF(T115=4,0.33,0))))</f>
        <v>0</v>
      </c>
      <c r="AW115" s="602">
        <f>IF(U115=1,0,IF(U115=2,0.13,IF(U115=3,0.19,IF(U115=4,0.24,0))))</f>
        <v>0</v>
      </c>
      <c r="AX115" s="602">
        <f>IF(V115=1,0,IF(V115=2,0.08,IF(V115=3,0.12,IF(V115=4,0.15,0))))</f>
        <v>0</v>
      </c>
      <c r="AZ115" s="602">
        <f>IF(S115=1,0,IF(S115=2,0.17,IF(S115=3,0.25,IF(S115=4,0.33,0))))</f>
        <v>0</v>
      </c>
      <c r="BA115" s="602">
        <f>IF(T115=1,0,IF(T115=2,0.13,IF(T115=3,0.19,IF(T115=4,0.24,0))))</f>
        <v>0</v>
      </c>
      <c r="BB115" s="602">
        <f>IF(U115=1,0,IF(U115=2,0.08,IF(U115=3,0.12,IF(U115=4,0.15,0))))</f>
        <v>0</v>
      </c>
      <c r="BD115" s="602">
        <f>IF(S115=1,0,IF(S115=2,0.13,IF(S115=3,0.19,IF(S115=4,0.24,0))))</f>
        <v>0</v>
      </c>
      <c r="BE115" s="602">
        <f>IF(T115=1,0,IF(T115=2,0.08,IF(T115=3,0.12,IF(T115=4,0.15,0))))</f>
        <v>0</v>
      </c>
      <c r="BG115" s="602">
        <f>IF(S115=1,0,IF(S115=2,0.08,IF(S115=3,0.12,IF(S115=4,0.15,0))))</f>
        <v>0</v>
      </c>
      <c r="BI115" s="602">
        <f>IF(AA115=0,0,IF(OR(AB115=1,AB116=1,AB117=1),AH115-AO115,IF(OR(AC115=1,AC116=1,AC117=1),AH115-AU115,IF(OR(AD115=1,AD116=1,AD117=1),AH115-AZ115,IF(OR(AE115=1,AE116=1,AE117=1),AH115-BD115,IF(OR(AF115=1,AF116=1,AF117=1),AH115-BG115,AH115))))))</f>
        <v>0</v>
      </c>
      <c r="BJ115" s="602">
        <f>IF(AB115=0,0,IF(OR(AC115=1,AC116=1,AC117=1),AI115-AP115,IF(OR(AD115=1,AD116=1,AD117=1),AI115-AV115,IF(OR(AE115=1,AE116=1,AE117=1),AI115-BA115,IF(OR(AF115=1,AF116=1,AF117=1),AI115-BE115,AI115)))))</f>
        <v>0</v>
      </c>
      <c r="BK115" s="602">
        <f>IF(AC115=0,0,IF(OR(AD115=1,AD116=1,AD117=1),AJ115-AQ115,IF(OR(AE115=1,AE116=1,AE117=1),AJ115-AW115,IF(OR(AF115=1,AF116=1,AF117=1),AJ115-BB115,AJ115))))</f>
        <v>0</v>
      </c>
      <c r="BL115" s="602">
        <f>IF(AD115=0,0,IF(OR(AE115=1,AE116=1,AE117=1),AK115-AR115,IF(OR(AF115=1,AF116=1,AF117=1),AK115-AX115,AK115)))</f>
        <v>0</v>
      </c>
      <c r="BM115" s="602">
        <f>IF(AE115=0,0,IF(OR(AF115=1,AF116=1,AF117=1),AL115-AS115,AL115))</f>
        <v>0</v>
      </c>
      <c r="BN115" s="602">
        <f>IF(AF115=0,0,AM115)</f>
        <v>0</v>
      </c>
      <c r="BP115" s="613" t="s">
        <v>262</v>
      </c>
      <c r="BQ115" s="613"/>
      <c r="BR115" s="1487" t="s">
        <v>2197</v>
      </c>
      <c r="BS115" s="1487"/>
      <c r="BT115" s="1487"/>
      <c r="BU115" s="1487"/>
      <c r="BV115" s="1487"/>
      <c r="BW115" s="1487"/>
      <c r="BX115" s="1487"/>
      <c r="BY115" s="1487"/>
      <c r="BZ115" s="1487"/>
      <c r="CA115" s="1487"/>
    </row>
    <row r="116" spans="2:79" s="419" customFormat="1" ht="15" customHeight="1" x14ac:dyDescent="0.2">
      <c r="B116" s="369" t="s">
        <v>1609</v>
      </c>
      <c r="C116" s="1554"/>
      <c r="D116" s="1554"/>
      <c r="E116" s="1554"/>
      <c r="F116" s="1554"/>
      <c r="G116" s="1554"/>
      <c r="H116" s="1554"/>
      <c r="I116" s="1554"/>
      <c r="J116" s="1554"/>
      <c r="K116" s="1554"/>
      <c r="L116" s="1554"/>
      <c r="M116" s="1554"/>
      <c r="N116" s="1554"/>
      <c r="O116" s="613"/>
      <c r="P116" s="622"/>
      <c r="S116" s="369">
        <f>IF(C116="",0,C116)</f>
        <v>0</v>
      </c>
      <c r="T116" s="369">
        <f>IF(E116&lt;&gt;C116,E116,IF(AND(E117&lt;&gt;C117,S115&gt;1),S115,0))</f>
        <v>0</v>
      </c>
      <c r="U116" s="369">
        <f>IF(G116&lt;&gt;E116,G116,IF(AND(G117&lt;&gt;E117,T115&gt;1),T115,0))</f>
        <v>0</v>
      </c>
      <c r="V116" s="369">
        <f>IF(I116&lt;&gt;G116,I116,IF(AND(I117&lt;&gt;G117,U115&gt;1),U115,0))</f>
        <v>0</v>
      </c>
      <c r="W116" s="369">
        <f>IF(K116&lt;&gt;I116,K116,IF(AND(K117&lt;&gt;I117,V115&gt;1),V115,0))</f>
        <v>0</v>
      </c>
      <c r="X116" s="369">
        <f>IF(M116&lt;&gt;K116,M116,IF(AND(M117&lt;&gt;K117,W115&gt;1),W115,0))</f>
        <v>0</v>
      </c>
      <c r="Z116" s="599"/>
      <c r="AA116" s="607">
        <f>IF(C116&gt;1,1,0)</f>
        <v>0</v>
      </c>
      <c r="AB116" s="369">
        <f t="shared" si="11"/>
        <v>0</v>
      </c>
      <c r="AC116" s="369">
        <f t="shared" si="11"/>
        <v>0</v>
      </c>
      <c r="AD116" s="369">
        <f t="shared" si="11"/>
        <v>0</v>
      </c>
      <c r="AE116" s="369">
        <f t="shared" si="11"/>
        <v>0</v>
      </c>
      <c r="AF116" s="369">
        <f t="shared" si="11"/>
        <v>0</v>
      </c>
      <c r="AH116" s="602">
        <f>IF(S116=1,0,IF(S116=2,0.17,IF(S116=3,0.25,IF(S116=4,0.35,0))))</f>
        <v>0</v>
      </c>
      <c r="AI116" s="602">
        <f>IF(T116=1,0,IF(T116=2,0.15,IF(T116=3,0.23,IF(T116=4,0.31,0))))</f>
        <v>0</v>
      </c>
      <c r="AJ116" s="602">
        <f>IF(U116=1,0,IF(U116=2,0.13,IF(U116=3,0.2,IF(U116=4,0.27,0))))</f>
        <v>0</v>
      </c>
      <c r="AK116" s="602">
        <f>IF(V116=1,0,IF(V116=2,0.11,IF(V116=3,0.17,IF(V116=4,0.22,0))))</f>
        <v>0</v>
      </c>
      <c r="AL116" s="602">
        <f>IF(W116=1,0,IF(W116=2,0.08,IF(W116=3,0.12,IF(W116=4,0.16,0))))</f>
        <v>0</v>
      </c>
      <c r="AM116" s="602">
        <f>IF(X116=1,0,IF(X116=2,0.05,IF(X116=3,0.07,IF(X116=4,0.1,0))))</f>
        <v>0</v>
      </c>
      <c r="AN116" s="603"/>
      <c r="AO116" s="602">
        <f>IF(S116=1,0,IF(S116=2,0.15,IF(S116=3,0.23,IF(S116=4,0.31,0))))</f>
        <v>0</v>
      </c>
      <c r="AP116" s="602">
        <f>IF(T116=1,0,IF(T116=2,0.13,IF(T116=3,0.2,IF(T116=4,0.27,0))))</f>
        <v>0</v>
      </c>
      <c r="AQ116" s="602">
        <f>IF(U116=1,0,IF(U116=2,0.11,IF(U116=3,0.17,IF(U116=4,0.22,0))))</f>
        <v>0</v>
      </c>
      <c r="AR116" s="602">
        <f>IF(V116=1,0,IF(V116=2,0.08,IF(V116=3,0.12,IF(V116=4,0.16,0))))</f>
        <v>0</v>
      </c>
      <c r="AS116" s="602">
        <f>IF(W116=1,0,IF(W116=2,0.05,IF(W116=3,0.07,IF(W116=4,0.1,0))))</f>
        <v>0</v>
      </c>
      <c r="AU116" s="602">
        <f>IF(S116=1,0,IF(S116=2,0.13,IF(S116=3,0.2,IF(S116=4,0.27,0))))</f>
        <v>0</v>
      </c>
      <c r="AV116" s="602">
        <f>IF(T116=1,0,IF(T116=2,0.11,IF(T116=3,0.17,IF(T116=4,0.22,0))))</f>
        <v>0</v>
      </c>
      <c r="AW116" s="602">
        <f>IF(U116=1,0,IF(U116=2,0.08,IF(U116=3,0.12,IF(U116=4,0.16,0))))</f>
        <v>0</v>
      </c>
      <c r="AX116" s="602">
        <f>IF(V116=1,0,IF(V116=2,0.05,IF(V116=3,0.07,IF(V116=4,0.1,0))))</f>
        <v>0</v>
      </c>
      <c r="AZ116" s="602">
        <f>IF(S116=1,0,IF(S116=2,0.11,IF(S116=3,0.17,IF(S116=4,0.22,0))))</f>
        <v>0</v>
      </c>
      <c r="BA116" s="602">
        <f>IF(T116=1,0,IF(T116=2,0.08,IF(T116=3,0.12,IF(T116=4,0.16,0))))</f>
        <v>0</v>
      </c>
      <c r="BB116" s="602">
        <f>IF(U116=1,0,IF(U116=2,0.05,IF(U116=3,0.07,IF(U116=4,0.1,0))))</f>
        <v>0</v>
      </c>
      <c r="BD116" s="602">
        <f>IF(S116=1,0,IF(S116=2,0.08,IF(S116=3,0.12,IF(S116=4,0.16,0))))</f>
        <v>0</v>
      </c>
      <c r="BE116" s="602">
        <f>IF(T116=1,0,IF(T116=2,0.05,IF(T116=3,0.07,IF(T116=4,0.1,0))))</f>
        <v>0</v>
      </c>
      <c r="BG116" s="602">
        <f>IF(S116=1,0,IF(S116=2,0.05,IF(S116=3,0.07,IF(S116=4,0.1,0))))</f>
        <v>0</v>
      </c>
      <c r="BI116" s="602">
        <f>IF(AA116=0,0,IF(OR(AB115=1,AB116=1),AH116-AO116,IF(OR(AC115=1,AC116=1),AH116-AU116,IF(OR(AD115=1,AD116=1),AH116-AZ116,IF(OR(AE115=1,AE116=1),AH116-BD116,IF(OR(AF115=1,AF116=1),AH116-BG116,AH116))))))</f>
        <v>0</v>
      </c>
      <c r="BJ116" s="602">
        <f>IF(AB116=0,0,IF(OR(AC115=1,AC116=1),AI116-AP116,IF(OR(AD115=1,AD116=1),AI116-AV116,IF(OR(AE115=1,AE116=1),AI116-BA116,IF(OR(AF115=1,AF116=1),AI116-BE116,AI116)))))</f>
        <v>0</v>
      </c>
      <c r="BK116" s="602">
        <f>IF(AC116=0,0,IF(OR(AD115=1,AD116=1),AJ116-AQ116,IF(OR(AE115=1,AE116=1),AJ116-AW116,IF(OR(AF115=1,AF116=1),AJ116-BB116,AJ116))))</f>
        <v>0</v>
      </c>
      <c r="BL116" s="602">
        <f>IF(AD116=0,0,IF(OR(AE115=1,AE116=1),AK116-AR116,IF(OR(AF115=1,AF116=1),AK116-AX116,AK116)))</f>
        <v>0</v>
      </c>
      <c r="BM116" s="602">
        <f>IF(AE116=0,0,IF(OR(AF115=1,AF116=1),AL116-AS116,AL116))</f>
        <v>0</v>
      </c>
      <c r="BN116" s="602">
        <f>IF(AF116=0,0,AM116)</f>
        <v>0</v>
      </c>
      <c r="BP116" s="608">
        <f>LARGE((BI115,BJ115,BK115,BL115,BM115,BN115,BI116,BJ116,BK116,BL116,BM116,BN116,BI117,BJ117,BK117,BL117,BM117,BN117),1)</f>
        <v>0</v>
      </c>
      <c r="BQ116" s="609">
        <f>LARGE((BI115,BJ115,BK115,BL115,BM115,BN115,BI116,BJ116,BK116,BL116,BM116,BN116,BI117,BJ117,BK117,BL117,BM117,BN117),2)</f>
        <v>0</v>
      </c>
      <c r="BR116" s="609">
        <f>LARGE((BI115,BJ115,BK115,BL115,BM115,BN115,BI116,BJ116,BK116,BL116,BM116,BN116,BI117,BJ117,BK117,BL117,BM117,BN117),3)</f>
        <v>0</v>
      </c>
      <c r="BS116" s="609">
        <f>LARGE((BI115,BJ115,BK115,BL115,BM115,BN115,BI116,BJ116,BK116,BL116,BM116,BN116,BI117,BJ117,BK117,BL117,BM117,BN117),4)</f>
        <v>0</v>
      </c>
      <c r="BT116" s="609">
        <f>LARGE((BI115,BJ115,BK115,BL115,BM115,BN115,BI116,BJ116,BK116,BL116,BM116,BN116,BI117,BJ117,BK117,BL117,BM117,BN117),5)</f>
        <v>0</v>
      </c>
      <c r="BU116" s="609">
        <f>LARGE((BI115,BJ115,BK115,BL115,BM115,BN115,BI116,BJ116,BK116,BL116,BM116,BN116,BI117,BJ117,BK117,BL117,BM117,BN117),6)</f>
        <v>0</v>
      </c>
      <c r="BV116" s="609">
        <f>LARGE((BI115,BJ115,BK115,BL115,BM115,BN115,BI116,BJ116,BK116,BL116,BM116,BN116,BI117,BJ117,BK117,BL117,BM117,BN117),7)</f>
        <v>0</v>
      </c>
      <c r="BW116" s="609">
        <f>LARGE((BI115,BJ115,BK115,BL115,BM115,BN115,BI116,BJ116,BK116,BL116,BM116,BN116,BI117,BJ117,BK117,BL117,BM117,BN117),8)</f>
        <v>0</v>
      </c>
      <c r="BX116" s="609">
        <f>LARGE((BI115,BJ115,BK115,BL115,BM115,BN115,BI116,BJ116,BK116,BL116,BM116,BN116,BI117,BJ117,BK117,BL117,BM117,BN117),9)</f>
        <v>0</v>
      </c>
      <c r="BY116" s="609">
        <f>LARGE((BI115,BJ115,BK115,BL115,BM115,BN115,BI116,BJ116,BK116,BL116,BM116,BN116,BI117,BJ117,BK117,BL117,BM117,BN117),10)</f>
        <v>0</v>
      </c>
      <c r="BZ116" s="609">
        <f>LARGE((BI115,BJ115,BK115,BL115,BM115,BN115,BI116,BJ116,BK116,BL116,BM116,BN116,BI117,BJ117,BK117,BL117,BM117,BN117),11)</f>
        <v>0</v>
      </c>
      <c r="CA116" s="609">
        <f>LARGE((BI115,BJ115,BK115,BL115,BM115,BN115,BI116,BJ116,BK116,BL116,BM116,BN116,BI117,BJ117,BK117,BL117,BM117,BN117),12)</f>
        <v>0</v>
      </c>
    </row>
    <row r="117" spans="2:79" s="419" customFormat="1" ht="15" customHeight="1" x14ac:dyDescent="0.2">
      <c r="B117" s="606" t="s">
        <v>1612</v>
      </c>
      <c r="C117" s="1554"/>
      <c r="D117" s="1554"/>
      <c r="E117" s="1554"/>
      <c r="F117" s="1554"/>
      <c r="G117" s="1554"/>
      <c r="H117" s="1554"/>
      <c r="I117" s="1554"/>
      <c r="J117" s="1554"/>
      <c r="K117" s="1554"/>
      <c r="L117" s="1554"/>
      <c r="M117" s="1554"/>
      <c r="N117" s="1554"/>
      <c r="O117" s="613"/>
      <c r="P117" s="622"/>
      <c r="S117" s="369">
        <f>IF(C117="",0,C117)</f>
        <v>0</v>
      </c>
      <c r="T117" s="369">
        <f>IF(E117&lt;&gt;C117,E117,IF(AND(E116&lt;&gt;C116,S115&gt;1),S115,0))</f>
        <v>0</v>
      </c>
      <c r="U117" s="369">
        <f>IF(G117&lt;&gt;E117,G117,IF(AND(G116&lt;&gt;E116,T115&gt;1),T115,0))</f>
        <v>0</v>
      </c>
      <c r="V117" s="369">
        <f>IF(I117&lt;&gt;G117,I117,IF(AND(I116&lt;&gt;G116,U115&gt;1),U115,0))</f>
        <v>0</v>
      </c>
      <c r="W117" s="369">
        <f>IF(K117&lt;&gt;I117,K117,IF(AND(K116&lt;&gt;I116,V115&gt;1),V115,0))</f>
        <v>0</v>
      </c>
      <c r="X117" s="369">
        <f>IF(M117&lt;&gt;K117,M117,IF(AND(M116&lt;&gt;K116,W115&gt;1),W115,0))</f>
        <v>0</v>
      </c>
      <c r="AA117" s="607">
        <f>IF(C117&gt;1,1,0)</f>
        <v>0</v>
      </c>
      <c r="AB117" s="369">
        <f t="shared" si="11"/>
        <v>0</v>
      </c>
      <c r="AC117" s="369">
        <f t="shared" si="11"/>
        <v>0</v>
      </c>
      <c r="AD117" s="369">
        <f t="shared" si="11"/>
        <v>0</v>
      </c>
      <c r="AE117" s="369">
        <f t="shared" si="11"/>
        <v>0</v>
      </c>
      <c r="AF117" s="369">
        <f t="shared" si="11"/>
        <v>0</v>
      </c>
      <c r="AH117" s="602">
        <f>IF(S117=1,0,IF(S117=2,0.1,IF(S117=3,0.17,IF(S117=4,0.23,0))))</f>
        <v>0</v>
      </c>
      <c r="AI117" s="602">
        <f>IF(T117=1,0,IF(T117=2,0.09,IF(T117=3,0.15,IF(T117=4,0.2,0))))</f>
        <v>0</v>
      </c>
      <c r="AJ117" s="602">
        <f>IF(U117=1,0,IF(U117=2,0.08,IF(U117=3,0.13,IF(U117=4,0.17,0))))</f>
        <v>0</v>
      </c>
      <c r="AK117" s="602">
        <f>IF(V117=1,0,IF(V117=2,0.07,IF(V117=3,0.1,IF(V117=4,0.14,0))))</f>
        <v>0</v>
      </c>
      <c r="AL117" s="602">
        <f>IF(W117=1,0,IF(W117=2,0.05,IF(W117=3,0.08,IF(W117=4,0.1,0))))</f>
        <v>0</v>
      </c>
      <c r="AM117" s="602">
        <f>IF(X117=1,0,IF(X117=2,0.03,IF(X117=3,0.05,IF(X117=4,0.06,0))))</f>
        <v>0</v>
      </c>
      <c r="AN117" s="603"/>
      <c r="AO117" s="602">
        <f>IF(S117=1,0,IF(S117=2,0.09,IF(S117=3,0.15,IF(S117=4,0.2,0))))</f>
        <v>0</v>
      </c>
      <c r="AP117" s="602">
        <f>IF(T117=1,0,IF(T117=2,0.08,IF(T117=3,0.13,IF(T117=4,0.17,0))))</f>
        <v>0</v>
      </c>
      <c r="AQ117" s="602">
        <f>IF(U117=1,0,IF(U117=2,0.07,IF(U117=3,0.1,IF(U117=4,0.14,0))))</f>
        <v>0</v>
      </c>
      <c r="AR117" s="602">
        <f>IF(V117=1,0,IF(V117=2,0.05,IF(V117=3,0.08,IF(V117=4,0.1,0))))</f>
        <v>0</v>
      </c>
      <c r="AS117" s="602">
        <f>IF(W117=1,0,IF(W117=2,0.03,IF(W117=3,0.05,IF(W117=4,0.06,0))))</f>
        <v>0</v>
      </c>
      <c r="AU117" s="602">
        <f>IF(S117=1,0,IF(S117=2,0.08,IF(S117=3,0.13,IF(S117=4,0.17,0))))</f>
        <v>0</v>
      </c>
      <c r="AV117" s="602">
        <f>IF(T117=1,0,IF(T117=2,0.07,IF(T117=3,0.1,IF(T117=4,0.14,0))))</f>
        <v>0</v>
      </c>
      <c r="AW117" s="602">
        <f>IF(U117=1,0,IF(U117=2,0.05,IF(U117=3,0.08,IF(U117=4,0.1,0))))</f>
        <v>0</v>
      </c>
      <c r="AX117" s="602">
        <f>IF(V117=1,0,IF(V117=2,0.03,IF(V117=3,0.05,IF(V117=4,0.06,0))))</f>
        <v>0</v>
      </c>
      <c r="AZ117" s="602">
        <f>IF(S117=1,0,IF(S117=2,0.07,IF(S117=3,0.1,IF(S117=4,0.14,0))))</f>
        <v>0</v>
      </c>
      <c r="BA117" s="602">
        <f>IF(T117=1,0,IF(T117=2,0.05,IF(T117=3,0.08,IF(T117=4,0.1,0))))</f>
        <v>0</v>
      </c>
      <c r="BB117" s="602">
        <f>IF(U117=1,0,IF(U117=2,0.03,IF(U117=3,0.05,IF(U117=4,0.06,0))))</f>
        <v>0</v>
      </c>
      <c r="BD117" s="602">
        <f>IF(S117=1,0,IF(S117=2,0.05,IF(S117=3,0.08,IF(S117=4,0.1,0))))</f>
        <v>0</v>
      </c>
      <c r="BE117" s="602">
        <f>IF(T117=1,0,IF(T117=2,0.03,IF(T117=3,0.05,IF(T117=4,0.06,0))))</f>
        <v>0</v>
      </c>
      <c r="BG117" s="602">
        <f>IF(S117=1,0,IF(S117=2,0.03,IF(S117=3,0.05,IF(S117=4,0.06,0))))</f>
        <v>0</v>
      </c>
      <c r="BI117" s="602">
        <f>IF(AA117=0,0,IF(OR(AB115=1,AB117=1),AH117-AO117,IF(OR(AC115=1,AC117=1),AH117-AU117,IF(OR(AD115=1,AD117=1),AH117-AZ117,IF(OR(AE115=1,AE117=1),AH117-BD117,IF(OR(AF115=1,AF117=1),AH117-BG117,AH117))))))</f>
        <v>0</v>
      </c>
      <c r="BJ117" s="602">
        <f>IF(AB117=0,0,IF(OR(AC115=1,AC117=1),AI117-AP117,IF(OR(AD115=1,AD117=1),AI117-AV117,IF(OR(AE115=1,AE117=1),AI117-BA117,IF(OR(AF115=1,AF117=1),AI117-BE117,AI117)))))</f>
        <v>0</v>
      </c>
      <c r="BK117" s="602">
        <f>IF(AC117=0,0,IF(OR(AD115=1,AD117=1),AJ117-AQ117,IF(OR(AE115=1,AE117=1),AJ117-AW117,IF(OR(AF115=1,AF117=1),AJ117-BB117,AJ117))))</f>
        <v>0</v>
      </c>
      <c r="BL117" s="602">
        <f>IF(AD117=0,0,IF(OR(AE115=1,AE117=1),AK117-AR117,IF(OR(AF115=1,AF117=1),AK117-AX117,AK117)))</f>
        <v>0</v>
      </c>
      <c r="BM117" s="602">
        <f>IF(AE117=0,0,IF(OR(AF115=1,AF117=1),AL117-AS117,AL117))</f>
        <v>0</v>
      </c>
      <c r="BN117" s="602">
        <f>IF(AF117=0,0,AM117)</f>
        <v>0</v>
      </c>
      <c r="BP117" s="610">
        <f>ROUND(BP116+BQ116*(1-BP116),2)</f>
        <v>0</v>
      </c>
      <c r="BQ117" s="610">
        <f t="shared" ref="BQ117:BZ117" si="12">ROUND(BP117+BR116*(1-BP117),2)</f>
        <v>0</v>
      </c>
      <c r="BR117" s="610">
        <f t="shared" si="12"/>
        <v>0</v>
      </c>
      <c r="BS117" s="610">
        <f t="shared" si="12"/>
        <v>0</v>
      </c>
      <c r="BT117" s="610">
        <f t="shared" si="12"/>
        <v>0</v>
      </c>
      <c r="BU117" s="610">
        <f t="shared" si="12"/>
        <v>0</v>
      </c>
      <c r="BV117" s="610">
        <f t="shared" si="12"/>
        <v>0</v>
      </c>
      <c r="BW117" s="610">
        <f t="shared" si="12"/>
        <v>0</v>
      </c>
      <c r="BX117" s="610">
        <f t="shared" si="12"/>
        <v>0</v>
      </c>
      <c r="BY117" s="610">
        <f t="shared" si="12"/>
        <v>0</v>
      </c>
      <c r="BZ117" s="610">
        <f t="shared" si="12"/>
        <v>0</v>
      </c>
      <c r="CA117" s="607"/>
    </row>
    <row r="118" spans="2:79" s="419" customFormat="1" ht="15" customHeight="1" x14ac:dyDescent="0.2">
      <c r="B118" s="1593" t="str">
        <f>IF(AD118=1,"ERROR: If radial or ulnar impairment is recorded, do not enter losses for 'both sides.'","")</f>
        <v/>
      </c>
      <c r="C118" s="1594"/>
      <c r="D118" s="1594"/>
      <c r="E118" s="1594"/>
      <c r="F118" s="1594"/>
      <c r="G118" s="1594"/>
      <c r="H118" s="1594"/>
      <c r="I118" s="1594"/>
      <c r="J118" s="1594"/>
      <c r="K118" s="1594"/>
      <c r="L118" s="1594"/>
      <c r="M118" s="1594"/>
      <c r="N118" s="1594"/>
      <c r="O118" s="1595"/>
      <c r="P118" s="303">
        <f>IF(B118&lt;&gt;"","ERROR",BZ117)</f>
        <v>0</v>
      </c>
      <c r="S118" s="599"/>
      <c r="T118" s="599"/>
      <c r="U118" s="599"/>
      <c r="V118" s="599"/>
      <c r="W118" s="599"/>
      <c r="AA118" s="369">
        <f>SUM(AA115:AF115)</f>
        <v>0</v>
      </c>
      <c r="AB118" s="369">
        <f>SUM(AA116:AF116)</f>
        <v>0</v>
      </c>
      <c r="AC118" s="369">
        <f>SUM(AA117:AF117)</f>
        <v>0</v>
      </c>
      <c r="AD118" s="369">
        <f>IF(AND(AA118&gt;0,AB118&gt;0),1,IF(AND(AA118&gt;0,AC118&gt;0),1,0))</f>
        <v>0</v>
      </c>
      <c r="AE118" s="599"/>
      <c r="AF118" s="599"/>
    </row>
    <row r="119" spans="2:79" s="419" customFormat="1" ht="15" customHeight="1" x14ac:dyDescent="0.2">
      <c r="B119" s="434" t="s">
        <v>1227</v>
      </c>
      <c r="C119" s="597"/>
      <c r="D119" s="597"/>
      <c r="E119" s="597"/>
      <c r="F119" s="597"/>
      <c r="G119" s="597"/>
      <c r="H119" s="597"/>
      <c r="I119" s="597"/>
      <c r="J119" s="597"/>
      <c r="K119" s="597"/>
      <c r="L119" s="597"/>
      <c r="M119" s="597"/>
      <c r="N119" s="597"/>
      <c r="O119" s="616"/>
      <c r="P119" s="617"/>
      <c r="S119" s="599"/>
      <c r="T119" s="599"/>
      <c r="U119" s="599"/>
      <c r="V119" s="599"/>
      <c r="W119" s="599"/>
      <c r="X119" s="620"/>
      <c r="AA119" s="599"/>
      <c r="AB119" s="599"/>
      <c r="AC119" s="599"/>
      <c r="AD119" s="599"/>
      <c r="AE119" s="599"/>
      <c r="AF119" s="599"/>
    </row>
    <row r="120" spans="2:79" s="419" customFormat="1" ht="15" customHeight="1" x14ac:dyDescent="0.2">
      <c r="B120" s="185" t="s">
        <v>1606</v>
      </c>
      <c r="C120" s="1554"/>
      <c r="D120" s="1554"/>
      <c r="E120" s="1554"/>
      <c r="F120" s="1554"/>
      <c r="G120" s="1554"/>
      <c r="H120" s="1554"/>
      <c r="I120" s="1554"/>
      <c r="J120" s="1554"/>
      <c r="K120" s="1554"/>
      <c r="L120" s="1554"/>
      <c r="M120" s="1554"/>
      <c r="N120" s="1554"/>
      <c r="O120" s="613"/>
      <c r="P120" s="614"/>
      <c r="S120" s="369">
        <f>IF(C120="",0,C120)</f>
        <v>0</v>
      </c>
      <c r="T120" s="369">
        <f>IF(AND(E120&lt;&gt;C120,E120&lt;&gt;""),E120,IF(OR(E121&lt;&gt;"",E122&lt;&gt;""),0,S120))</f>
        <v>0</v>
      </c>
      <c r="U120" s="369">
        <f>IF(AND(G120&lt;&gt;E120,G120&lt;&gt;""),G120,IF(OR(G121&lt;&gt;"",G122&lt;&gt;""),0,T120))</f>
        <v>0</v>
      </c>
      <c r="V120" s="369">
        <f>IF(AND(I120&lt;&gt;G120,I120&lt;&gt;""),I120,IF(OR(I121&lt;&gt;"",I122&lt;&gt;""),0,U120))</f>
        <v>0</v>
      </c>
      <c r="W120" s="369">
        <f>IF(AND(K120&lt;&gt;I120,K120&lt;&gt;""),K120,IF(OR(K121&lt;&gt;"",K122&lt;&gt;""),0,V120))</f>
        <v>0</v>
      </c>
      <c r="X120" s="369">
        <f>IF(AND(M120&lt;&gt;K120,M120&lt;&gt;""),M120,IF(OR(M121&lt;&gt;"",M122&lt;&gt;""),0,W120))</f>
        <v>0</v>
      </c>
      <c r="Z120" s="599"/>
      <c r="AA120" s="607">
        <f>IF(C120&gt;1,1,0)</f>
        <v>0</v>
      </c>
      <c r="AB120" s="369">
        <f t="shared" ref="AB120:AF122" si="13">IF(AND(S120&lt;&gt;T120,T120&gt;0),1,0)</f>
        <v>0</v>
      </c>
      <c r="AC120" s="369">
        <f t="shared" si="13"/>
        <v>0</v>
      </c>
      <c r="AD120" s="369">
        <f t="shared" si="13"/>
        <v>0</v>
      </c>
      <c r="AE120" s="369">
        <f t="shared" si="13"/>
        <v>0</v>
      </c>
      <c r="AF120" s="369">
        <f t="shared" si="13"/>
        <v>0</v>
      </c>
      <c r="AH120" s="602">
        <f>IF(S120=1,0,IF(S120=2,0.25,IF(S120=3,0.38,IF(S120=4,0.5,0))))</f>
        <v>0</v>
      </c>
      <c r="AI120" s="602">
        <f>IF(T120=1,0,IF(T120=2,0.23,IF(T120=3,0.35,IF(T120=4,0.45,0))))</f>
        <v>0</v>
      </c>
      <c r="AJ120" s="602">
        <f>IF(U120=1,0,IF(U120=2,0.2,IF(U120=3,0.3,IF(U120=4,0.39,0))))</f>
        <v>0</v>
      </c>
      <c r="AK120" s="602">
        <f>IF(V120=1,0,IF(V120=2,0.17,IF(V120=3,0.25,IF(V120=4,0.33,0))))</f>
        <v>0</v>
      </c>
      <c r="AL120" s="602">
        <f>IF(W120=1,0,IF(W120=2,0.13,IF(W120=3,0.19,IF(W120=4,0.24,0))))</f>
        <v>0</v>
      </c>
      <c r="AM120" s="602">
        <f>IF(X120=1,0,IF(X120=2,0.08,IF(X120=3,0.12,IF(X120=4,0.15,0))))</f>
        <v>0</v>
      </c>
      <c r="AN120" s="603"/>
      <c r="AO120" s="602">
        <f>IF(S120=1,0,IF(S120=2,0.23,IF(S120=3,0.35,IF(S120=4,0.45,0))))</f>
        <v>0</v>
      </c>
      <c r="AP120" s="602">
        <f>IF(T120=1,0,IF(T120=2,0.2,IF(T120=3,0.3,IF(T120=4,0.39,0))))</f>
        <v>0</v>
      </c>
      <c r="AQ120" s="602">
        <f>IF(U120=1,0,IF(U120=2,0.17,IF(U120=3,0.25,IF(U120=4,0.33,0))))</f>
        <v>0</v>
      </c>
      <c r="AR120" s="602">
        <f>IF(V120=1,0,IF(V120=2,0.13,IF(V120=3,0.19,IF(V120=4,0.24,0))))</f>
        <v>0</v>
      </c>
      <c r="AS120" s="602">
        <f>IF(W120=1,0,IF(W120=2,0.08,IF(W120=3,0.12,IF(W120=4,0.15,0))))</f>
        <v>0</v>
      </c>
      <c r="AU120" s="602">
        <f>IF(S120=1,0,IF(S120=2,0.2,IF(S120=3,0.3,IF(S120=4,0.39,0))))</f>
        <v>0</v>
      </c>
      <c r="AV120" s="602">
        <f>IF(T120=1,0,IF(T120=2,0.17,IF(T120=3,0.25,IF(T120=4,0.33,0))))</f>
        <v>0</v>
      </c>
      <c r="AW120" s="602">
        <f>IF(U120=1,0,IF(U120=2,0.13,IF(U120=3,0.19,IF(U120=4,0.24,0))))</f>
        <v>0</v>
      </c>
      <c r="AX120" s="602">
        <f>IF(V120=1,0,IF(V120=2,0.08,IF(V120=3,0.12,IF(V120=4,0.15,0))))</f>
        <v>0</v>
      </c>
      <c r="AZ120" s="602">
        <f>IF(S120=1,0,IF(S120=2,0.17,IF(S120=3,0.25,IF(S120=4,0.33,0))))</f>
        <v>0</v>
      </c>
      <c r="BA120" s="602">
        <f>IF(T120=1,0,IF(T120=2,0.13,IF(T120=3,0.19,IF(T120=4,0.24,0))))</f>
        <v>0</v>
      </c>
      <c r="BB120" s="602">
        <f>IF(U120=1,0,IF(U120=2,0.08,IF(U120=3,0.12,IF(U120=4,0.15,0))))</f>
        <v>0</v>
      </c>
      <c r="BD120" s="602">
        <f>IF(S120=1,0,IF(S120=2,0.13,IF(S120=3,0.19,IF(S120=4,0.24,0))))</f>
        <v>0</v>
      </c>
      <c r="BE120" s="602">
        <f>IF(T120=1,0,IF(T120=2,0.08,IF(T120=3,0.12,IF(T120=4,0.15,0))))</f>
        <v>0</v>
      </c>
      <c r="BG120" s="602">
        <f>IF(S120=1,0,IF(S120=2,0.08,IF(S120=3,0.12,IF(S120=4,0.15,0))))</f>
        <v>0</v>
      </c>
      <c r="BI120" s="602">
        <f>IF(AA120=0,0,IF(OR(AB120=1,AB121=1,AB122=1),AH120-AO120,IF(OR(AC120=1,AC121=1,AC122=1),AH120-AU120,IF(OR(AD120=1,AD121=1,AD122=1),AH120-AZ120,IF(OR(AE120=1,AE121=1,AE122=1),AH120-BD120,IF(OR(AF120=1,AF121=1,AF122=1),AH120-BG120,AH120))))))</f>
        <v>0</v>
      </c>
      <c r="BJ120" s="602">
        <f>IF(AB120=0,0,IF(OR(AC120=1,AC121=1,AC122=1),AI120-AP120,IF(OR(AD120=1,AD121=1,AD122=1),AI120-AV120,IF(OR(AE120=1,AE121=1,AE122=1),AI120-BA120,IF(OR(AF120=1,AF121=1,AF122=1),AI120-BE120,AI120)))))</f>
        <v>0</v>
      </c>
      <c r="BK120" s="602">
        <f>IF(AC120=0,0,IF(OR(AD120=1,AD121=1,AD122=1),AJ120-AQ120,IF(OR(AE120=1,AE121=1,AE122=1),AJ120-AW120,IF(OR(AF120=1,AF121=1,AF122=1),AJ120-BB120,AJ120))))</f>
        <v>0</v>
      </c>
      <c r="BL120" s="602">
        <f>IF(AD120=0,0,IF(OR(AE120=1,AE121=1,AE122=1),AK120-AR120,IF(OR(AF120=1,AF121=1,AF122=1),AK120-AX120,AK120)))</f>
        <v>0</v>
      </c>
      <c r="BM120" s="602">
        <f>IF(AE120=0,0,IF(OR(AF120=1,AF121=1,AF122=1),AL120-AS120,AL120))</f>
        <v>0</v>
      </c>
      <c r="BN120" s="602">
        <f>IF(AF120=0,0,AM120)</f>
        <v>0</v>
      </c>
      <c r="BP120" s="419" t="s">
        <v>262</v>
      </c>
    </row>
    <row r="121" spans="2:79" s="419" customFormat="1" ht="15" customHeight="1" x14ac:dyDescent="0.2">
      <c r="B121" s="369" t="s">
        <v>1609</v>
      </c>
      <c r="C121" s="1554"/>
      <c r="D121" s="1554"/>
      <c r="E121" s="1554"/>
      <c r="F121" s="1554"/>
      <c r="G121" s="1554"/>
      <c r="H121" s="1554"/>
      <c r="I121" s="1554"/>
      <c r="J121" s="1554"/>
      <c r="K121" s="1554"/>
      <c r="L121" s="1554"/>
      <c r="M121" s="1554"/>
      <c r="N121" s="1554"/>
      <c r="O121" s="613"/>
      <c r="P121" s="622"/>
      <c r="S121" s="369">
        <f>IF(C121="",0,C121)</f>
        <v>0</v>
      </c>
      <c r="T121" s="369">
        <f>IF(E121&lt;&gt;C121,E121,IF(AND(E122&lt;&gt;C122,S120&gt;1),S120,0))</f>
        <v>0</v>
      </c>
      <c r="U121" s="369">
        <f>IF(G121&lt;&gt;E121,G121,IF(AND(G122&lt;&gt;E122,T120&gt;1),T120,0))</f>
        <v>0</v>
      </c>
      <c r="V121" s="369">
        <f>IF(I121&lt;&gt;G121,I121,IF(AND(I122&lt;&gt;G122,U120&gt;1),U120,0))</f>
        <v>0</v>
      </c>
      <c r="W121" s="369">
        <f>IF(K121&lt;&gt;I121,K121,IF(AND(K122&lt;&gt;I122,V120&gt;1),V120,0))</f>
        <v>0</v>
      </c>
      <c r="X121" s="369">
        <f>IF(M121&lt;&gt;K121,M121,IF(AND(M122&lt;&gt;K122,W120&gt;1),W120,0))</f>
        <v>0</v>
      </c>
      <c r="Z121" s="599"/>
      <c r="AA121" s="607">
        <f>IF(C121&gt;1,1,0)</f>
        <v>0</v>
      </c>
      <c r="AB121" s="369">
        <f t="shared" si="13"/>
        <v>0</v>
      </c>
      <c r="AC121" s="369">
        <f t="shared" si="13"/>
        <v>0</v>
      </c>
      <c r="AD121" s="369">
        <f t="shared" si="13"/>
        <v>0</v>
      </c>
      <c r="AE121" s="369">
        <f t="shared" si="13"/>
        <v>0</v>
      </c>
      <c r="AF121" s="369">
        <f t="shared" si="13"/>
        <v>0</v>
      </c>
      <c r="AH121" s="602">
        <f>IF(S121=1,0,IF(S121=2,0.17,IF(S121=3,0.25,IF(S121=4,0.35,0))))</f>
        <v>0</v>
      </c>
      <c r="AI121" s="602">
        <f>IF(T121=1,0,IF(T121=2,0.15,IF(T121=3,0.23,IF(T121=4,0.31,0))))</f>
        <v>0</v>
      </c>
      <c r="AJ121" s="602">
        <f>IF(U121=1,0,IF(U121=2,0.13,IF(U121=3,0.2,IF(U121=4,0.27,0))))</f>
        <v>0</v>
      </c>
      <c r="AK121" s="602">
        <f>IF(V121=1,0,IF(V121=2,0.11,IF(V121=3,0.17,IF(V121=4,0.22,0))))</f>
        <v>0</v>
      </c>
      <c r="AL121" s="602">
        <f>IF(W121=1,0,IF(W121=2,0.08,IF(W121=3,0.12,IF(W121=4,0.16,0))))</f>
        <v>0</v>
      </c>
      <c r="AM121" s="602">
        <f>IF(X121=1,0,IF(X121=2,0.05,IF(X121=3,0.07,IF(X121=4,0.1,0))))</f>
        <v>0</v>
      </c>
      <c r="AN121" s="603"/>
      <c r="AO121" s="602">
        <f>IF(S121=1,0,IF(S121=2,0.15,IF(S121=3,0.23,IF(S121=4,0.31,0))))</f>
        <v>0</v>
      </c>
      <c r="AP121" s="602">
        <f>IF(T121=1,0,IF(T121=2,0.13,IF(T121=3,0.2,IF(T121=4,0.27,0))))</f>
        <v>0</v>
      </c>
      <c r="AQ121" s="602">
        <f>IF(U121=1,0,IF(U121=2,0.11,IF(U121=3,0.17,IF(U121=4,0.22,0))))</f>
        <v>0</v>
      </c>
      <c r="AR121" s="602">
        <f>IF(V121=1,0,IF(V121=2,0.08,IF(V121=3,0.12,IF(V121=4,0.16,0))))</f>
        <v>0</v>
      </c>
      <c r="AS121" s="602">
        <f>IF(W121=1,0,IF(W121=2,0.05,IF(W121=3,0.07,IF(W121=4,0.1,0))))</f>
        <v>0</v>
      </c>
      <c r="AU121" s="602">
        <f>IF(S121=1,0,IF(S121=2,0.13,IF(S121=3,0.2,IF(S121=4,0.27,0))))</f>
        <v>0</v>
      </c>
      <c r="AV121" s="602">
        <f>IF(T121=1,0,IF(T121=2,0.11,IF(T121=3,0.17,IF(T121=4,0.22,0))))</f>
        <v>0</v>
      </c>
      <c r="AW121" s="602">
        <f>IF(U121=1,0,IF(U121=2,0.08,IF(U121=3,0.12,IF(U121=4,0.16,0))))</f>
        <v>0</v>
      </c>
      <c r="AX121" s="602">
        <f>IF(V121=1,0,IF(V121=2,0.05,IF(V121=3,0.07,IF(V121=4,0.1,0))))</f>
        <v>0</v>
      </c>
      <c r="AZ121" s="602">
        <f>IF(S121=1,0,IF(S121=2,0.11,IF(S121=3,0.17,IF(S121=4,0.22,0))))</f>
        <v>0</v>
      </c>
      <c r="BA121" s="602">
        <f>IF(T121=1,0,IF(T121=2,0.08,IF(T121=3,0.12,IF(T121=4,0.16,0))))</f>
        <v>0</v>
      </c>
      <c r="BB121" s="602">
        <f>IF(U121=1,0,IF(U121=2,0.05,IF(U121=3,0.07,IF(U121=4,0.1,0))))</f>
        <v>0</v>
      </c>
      <c r="BD121" s="602">
        <f>IF(S121=1,0,IF(S121=2,0.08,IF(S121=3,0.12,IF(S121=4,0.16,0))))</f>
        <v>0</v>
      </c>
      <c r="BE121" s="602">
        <f>IF(T121=1,0,IF(T121=2,0.05,IF(T121=3,0.07,IF(T121=4,0.1,0))))</f>
        <v>0</v>
      </c>
      <c r="BG121" s="602">
        <f>IF(S121=1,0,IF(S121=2,0.05,IF(S121=3,0.07,IF(S121=4,0.1,0))))</f>
        <v>0</v>
      </c>
      <c r="BI121" s="602">
        <f>IF(AA121=0,0,IF(OR(AB120=1,AB121=1),AH121-AO121,IF(OR(AC120=1,AC121=1),AH121-AU121,IF(OR(AD120=1,AD121=1),AH121-AZ121,IF(OR(AE120=1,AE121=1),AH121-BD121,IF(OR(AF120=1,AF121=1),AH121-BG121,AH121))))))</f>
        <v>0</v>
      </c>
      <c r="BJ121" s="602">
        <f>IF(AB121=0,0,IF(OR(AC120=1,AC121=1),AI121-AP121,IF(OR(AD120=1,AD121=1),AI121-AV121,IF(OR(AE120=1,AE121=1),AI121-BA121,IF(OR(AF120=1,AF121=1),AI121-BE121,AI121)))))</f>
        <v>0</v>
      </c>
      <c r="BK121" s="602">
        <f>IF(AC121=0,0,IF(OR(AD120=1,AD121=1),AJ121-AQ121,IF(OR(AE120=1,AE121=1),AJ121-AW121,IF(OR(AF120=1,AF121=1),AJ121-BB121,AJ121))))</f>
        <v>0</v>
      </c>
      <c r="BL121" s="602">
        <f>IF(AD121=0,0,IF(OR(AE120=1,AE121=1),AK121-AR121,IF(OR(AF120=1,AF121=1),AK121-AX121,AK121)))</f>
        <v>0</v>
      </c>
      <c r="BM121" s="602">
        <f>IF(AE121=0,0,IF(OR(AF120=1,AF121=1),AL121-AS121,AL121))</f>
        <v>0</v>
      </c>
      <c r="BN121" s="602">
        <f>IF(AF121=0,0,AM121)</f>
        <v>0</v>
      </c>
      <c r="BP121" s="608">
        <f>LARGE((BI120,BJ120,BK120,BL120,BM120,BN120,BI121,BJ121,BK121,BL121,BM121,BN121,BI122,BJ122,BK122,BL122,BM122,BN122),1)</f>
        <v>0</v>
      </c>
      <c r="BQ121" s="609">
        <f>LARGE((BI120,BJ120,BK120,BL120,BM120,BN120,BI121,BJ121,BK121,BL121,BM121,BN121,BI122,BJ122,BK122,BL122,BM122,BN122),2)</f>
        <v>0</v>
      </c>
      <c r="BR121" s="609">
        <f>LARGE((BI120,BJ120,BK120,BL120,BM120,BN120,BI121,BJ121,BK121,BL121,BM121,BN121,BI122,BJ122,BK122,BL122,BM122,BN122),3)</f>
        <v>0</v>
      </c>
      <c r="BS121" s="609">
        <f>LARGE((BI120,BJ120,BK120,BL120,BM120,BN120,BI121,BJ121,BK121,BL121,BM121,BN121,BI122,BJ122,BK122,BL122,BM122,BN122),4)</f>
        <v>0</v>
      </c>
      <c r="BT121" s="609">
        <f>LARGE((BI120,BJ120,BK120,BL120,BM120,BN120,BI121,BJ121,BK121,BL121,BM121,BN121,BI122,BJ122,BK122,BL122,BM122,BN122),5)</f>
        <v>0</v>
      </c>
      <c r="BU121" s="609">
        <f>LARGE((BI120,BJ120,BK120,BL120,BM120,BN120,BI121,BJ121,BK121,BL121,BM121,BN121,BI122,BJ122,BK122,BL122,BM122,BN122),6)</f>
        <v>0</v>
      </c>
      <c r="BV121" s="609">
        <f>LARGE((BI120,BJ120,BK120,BL120,BM120,BN120,BI121,BJ121,BK121,BL121,BM121,BN121,BI122,BJ122,BK122,BL122,BM122,BN122),7)</f>
        <v>0</v>
      </c>
      <c r="BW121" s="609">
        <f>LARGE((BI120,BJ120,BK120,BL120,BM120,BN120,BI121,BJ121,BK121,BL121,BM121,BN121,BI122,BJ122,BK122,BL122,BM122,BN122),8)</f>
        <v>0</v>
      </c>
      <c r="BX121" s="609">
        <f>LARGE((BI120,BJ120,BK120,BL120,BM120,BN120,BI121,BJ121,BK121,BL121,BM121,BN121,BI122,BJ122,BK122,BL122,BM122,BN122),9)</f>
        <v>0</v>
      </c>
      <c r="BY121" s="609">
        <f>LARGE((BI120,BJ120,BK120,BL120,BM120,BN120,BI121,BJ121,BK121,BL121,BM121,BN121,BI122,BJ122,BK122,BL122,BM122,BN122),10)</f>
        <v>0</v>
      </c>
      <c r="BZ121" s="609">
        <f>LARGE((BI120,BJ120,BK120,BL120,BM120,BN120,BI121,BJ121,BK121,BL121,BM121,BN121,BI122,BJ122,BK122,BL122,BM122,BN122),11)</f>
        <v>0</v>
      </c>
      <c r="CA121" s="609">
        <f>LARGE((BI120,BJ120,BK120,BL120,BM120,BN120,BI121,BJ121,BK121,BL121,BM121,BN121,BI122,BJ122,BK122,BL122,BM122,BN122),12)</f>
        <v>0</v>
      </c>
    </row>
    <row r="122" spans="2:79" s="419" customFormat="1" ht="15" customHeight="1" x14ac:dyDescent="0.2">
      <c r="B122" s="606" t="s">
        <v>1612</v>
      </c>
      <c r="C122" s="1554"/>
      <c r="D122" s="1554"/>
      <c r="E122" s="1554"/>
      <c r="F122" s="1554"/>
      <c r="G122" s="1554"/>
      <c r="H122" s="1554"/>
      <c r="I122" s="1554"/>
      <c r="J122" s="1554"/>
      <c r="K122" s="1554"/>
      <c r="L122" s="1554"/>
      <c r="M122" s="1554"/>
      <c r="N122" s="1554"/>
      <c r="O122" s="613"/>
      <c r="P122" s="622"/>
      <c r="S122" s="369">
        <f>IF(C122="",0,C122)</f>
        <v>0</v>
      </c>
      <c r="T122" s="369">
        <f>IF(E122&lt;&gt;C122,E122,IF(AND(E121&lt;&gt;C121,S120&gt;1),S120,0))</f>
        <v>0</v>
      </c>
      <c r="U122" s="369">
        <f>IF(G122&lt;&gt;E122,G122,IF(AND(G121&lt;&gt;E121,T120&gt;1),T120,0))</f>
        <v>0</v>
      </c>
      <c r="V122" s="369">
        <f>IF(I122&lt;&gt;G122,I122,IF(AND(I121&lt;&gt;G121,U120&gt;1),U120,0))</f>
        <v>0</v>
      </c>
      <c r="W122" s="369">
        <f>IF(K122&lt;&gt;I122,K122,IF(AND(K121&lt;&gt;I121,V120&gt;1),V120,0))</f>
        <v>0</v>
      </c>
      <c r="X122" s="369">
        <f>IF(M122&lt;&gt;K122,M122,IF(AND(M121&lt;&gt;K121,W120&gt;1),W120,0))</f>
        <v>0</v>
      </c>
      <c r="AA122" s="607">
        <f>IF(C122&gt;1,1,0)</f>
        <v>0</v>
      </c>
      <c r="AB122" s="369">
        <f t="shared" si="13"/>
        <v>0</v>
      </c>
      <c r="AC122" s="369">
        <f t="shared" si="13"/>
        <v>0</v>
      </c>
      <c r="AD122" s="369">
        <f t="shared" si="13"/>
        <v>0</v>
      </c>
      <c r="AE122" s="369">
        <f t="shared" si="13"/>
        <v>0</v>
      </c>
      <c r="AF122" s="369">
        <f t="shared" si="13"/>
        <v>0</v>
      </c>
      <c r="AH122" s="602">
        <f>IF(S122=1,0,IF(S122=2,0.1,IF(S122=3,0.17,IF(S122=4,0.23,0))))</f>
        <v>0</v>
      </c>
      <c r="AI122" s="602">
        <f>IF(T122=1,0,IF(T122=2,0.09,IF(T122=3,0.15,IF(T122=4,0.2,0))))</f>
        <v>0</v>
      </c>
      <c r="AJ122" s="602">
        <f>IF(U122=1,0,IF(U122=2,0.08,IF(U122=3,0.13,IF(U122=4,0.17,0))))</f>
        <v>0</v>
      </c>
      <c r="AK122" s="602">
        <f>IF(V122=1,0,IF(V122=2,0.07,IF(V122=3,0.1,IF(V122=4,0.14,0))))</f>
        <v>0</v>
      </c>
      <c r="AL122" s="602">
        <f>IF(W122=1,0,IF(W122=2,0.05,IF(W122=3,0.08,IF(W122=4,0.1,0))))</f>
        <v>0</v>
      </c>
      <c r="AM122" s="602">
        <f>IF(X122=1,0,IF(X122=2,0.03,IF(X122=3,0.05,IF(X122=4,0.06,0))))</f>
        <v>0</v>
      </c>
      <c r="AN122" s="603"/>
      <c r="AO122" s="602">
        <f>IF(S122=1,0,IF(S122=2,0.09,IF(S122=3,0.15,IF(S122=4,0.2,0))))</f>
        <v>0</v>
      </c>
      <c r="AP122" s="602">
        <f>IF(T122=1,0,IF(T122=2,0.08,IF(T122=3,0.13,IF(T122=4,0.17,0))))</f>
        <v>0</v>
      </c>
      <c r="AQ122" s="602">
        <f>IF(U122=1,0,IF(U122=2,0.07,IF(U122=3,0.1,IF(U122=4,0.14,0))))</f>
        <v>0</v>
      </c>
      <c r="AR122" s="602">
        <f>IF(V122=1,0,IF(V122=2,0.05,IF(V122=3,0.08,IF(V122=4,0.1,0))))</f>
        <v>0</v>
      </c>
      <c r="AS122" s="602">
        <f>IF(W122=1,0,IF(W122=2,0.03,IF(W122=3,0.05,IF(W122=4,0.06,0))))</f>
        <v>0</v>
      </c>
      <c r="AU122" s="602">
        <f>IF(S122=1,0,IF(S122=2,0.08,IF(S122=3,0.13,IF(S122=4,0.17,0))))</f>
        <v>0</v>
      </c>
      <c r="AV122" s="602">
        <f>IF(T122=1,0,IF(T122=2,0.07,IF(T122=3,0.1,IF(T122=4,0.14,0))))</f>
        <v>0</v>
      </c>
      <c r="AW122" s="602">
        <f>IF(U122=1,0,IF(U122=2,0.05,IF(U122=3,0.08,IF(U122=4,0.1,0))))</f>
        <v>0</v>
      </c>
      <c r="AX122" s="602">
        <f>IF(V122=1,0,IF(V122=2,0.03,IF(V122=3,0.05,IF(V122=4,0.06,0))))</f>
        <v>0</v>
      </c>
      <c r="AZ122" s="602">
        <f>IF(S122=1,0,IF(S122=2,0.07,IF(S122=3,0.1,IF(S122=4,0.14,0))))</f>
        <v>0</v>
      </c>
      <c r="BA122" s="602">
        <f>IF(T122=1,0,IF(T122=2,0.05,IF(T122=3,0.08,IF(T122=4,0.1,0))))</f>
        <v>0</v>
      </c>
      <c r="BB122" s="602">
        <f>IF(U122=1,0,IF(U122=2,0.03,IF(U122=3,0.05,IF(U122=4,0.06,0))))</f>
        <v>0</v>
      </c>
      <c r="BD122" s="602">
        <f>IF(S122=1,0,IF(S122=2,0.05,IF(S122=3,0.08,IF(S122=4,0.1,0))))</f>
        <v>0</v>
      </c>
      <c r="BE122" s="602">
        <f>IF(T122=1,0,IF(T122=2,0.03,IF(T122=3,0.05,IF(T122=4,0.06,0))))</f>
        <v>0</v>
      </c>
      <c r="BG122" s="602">
        <f>IF(S122=1,0,IF(S122=2,0.03,IF(S122=3,0.05,IF(S122=4,0.06,0))))</f>
        <v>0</v>
      </c>
      <c r="BI122" s="602">
        <f>IF(AA122=0,0,IF(OR(AB120=1,AB122=1),AH122-AO122,IF(OR(AC120=1,AC122=1),AH122-AU122,IF(OR(AD120=1,AD122=1),AH122-AZ122,IF(OR(AE120=1,AE122=1),AH122-BD122,IF(OR(AF120=1,AF122=1),AH122-BG122,AH122))))))</f>
        <v>0</v>
      </c>
      <c r="BJ122" s="602">
        <f>IF(AB122=0,0,IF(OR(AC120=1,AC122=1),AI122-AP122,IF(OR(AD120=1,AD122=1),AI122-AV122,IF(OR(AE120=1,AE122=1),AI122-BA122,IF(OR(AF120=1,AF122=1),AI122-BE122,AI122)))))</f>
        <v>0</v>
      </c>
      <c r="BK122" s="602">
        <f>IF(AC122=0,0,IF(OR(AD120=1,AD122=1),AJ122-AQ122,IF(OR(AE120=1,AE122=1),AJ122-AW122,IF(OR(AF120=1,AF122=1),AJ122-BB122,AJ122))))</f>
        <v>0</v>
      </c>
      <c r="BL122" s="602">
        <f>IF(AD122=0,0,IF(OR(AE120=1,AE122=1),AK122-AR122,IF(OR(AF120=1,AF122=1),AK122-AX122,AK122)))</f>
        <v>0</v>
      </c>
      <c r="BM122" s="602">
        <f>IF(AE122=0,0,IF(OR(AF120=1,AF122=1),AL122-AS122,AL122))</f>
        <v>0</v>
      </c>
      <c r="BN122" s="602">
        <f>IF(AF122=0,0,AM122)</f>
        <v>0</v>
      </c>
      <c r="BP122" s="610">
        <f>ROUND(BP121+BQ121*(1-BP121),2)</f>
        <v>0</v>
      </c>
      <c r="BQ122" s="610">
        <f t="shared" ref="BQ122:BZ122" si="14">ROUND(BP122+BR121*(1-BP122),2)</f>
        <v>0</v>
      </c>
      <c r="BR122" s="610">
        <f t="shared" si="14"/>
        <v>0</v>
      </c>
      <c r="BS122" s="610">
        <f t="shared" si="14"/>
        <v>0</v>
      </c>
      <c r="BT122" s="610">
        <f t="shared" si="14"/>
        <v>0</v>
      </c>
      <c r="BU122" s="610">
        <f t="shared" si="14"/>
        <v>0</v>
      </c>
      <c r="BV122" s="610">
        <f t="shared" si="14"/>
        <v>0</v>
      </c>
      <c r="BW122" s="610">
        <f t="shared" si="14"/>
        <v>0</v>
      </c>
      <c r="BX122" s="610">
        <f t="shared" si="14"/>
        <v>0</v>
      </c>
      <c r="BY122" s="610">
        <f t="shared" si="14"/>
        <v>0</v>
      </c>
      <c r="BZ122" s="610">
        <f t="shared" si="14"/>
        <v>0</v>
      </c>
      <c r="CA122" s="607"/>
    </row>
    <row r="123" spans="2:79" s="419" customFormat="1" ht="15" customHeight="1" x14ac:dyDescent="0.2">
      <c r="B123" s="1593" t="str">
        <f>IF(AD123=1,"ERROR: If radial or ulnar impairment is recorded, do not enter losses for 'both sides.'","")</f>
        <v/>
      </c>
      <c r="C123" s="1594"/>
      <c r="D123" s="1594"/>
      <c r="E123" s="1594"/>
      <c r="F123" s="1594"/>
      <c r="G123" s="1594"/>
      <c r="H123" s="1594"/>
      <c r="I123" s="1594"/>
      <c r="J123" s="1594"/>
      <c r="K123" s="1594"/>
      <c r="L123" s="1594"/>
      <c r="M123" s="1594"/>
      <c r="N123" s="1594"/>
      <c r="O123" s="1595"/>
      <c r="P123" s="303">
        <f>IF(B123&lt;&gt;"","ERROR",BZ122)</f>
        <v>0</v>
      </c>
      <c r="S123" s="599"/>
      <c r="T123" s="599"/>
      <c r="U123" s="599"/>
      <c r="V123" s="599"/>
      <c r="W123" s="599"/>
      <c r="AA123" s="369">
        <f>SUM(AA120:AF120)</f>
        <v>0</v>
      </c>
      <c r="AB123" s="369">
        <f>SUM(AA121:AF121)</f>
        <v>0</v>
      </c>
      <c r="AC123" s="369">
        <f>SUM(AA122:AF122)</f>
        <v>0</v>
      </c>
      <c r="AD123" s="369">
        <f>IF(AND(AA123&gt;0,AB123&gt;0),1,IF(AND(AA123&gt;0,AC123&gt;0),1,0))</f>
        <v>0</v>
      </c>
      <c r="AE123" s="599"/>
      <c r="AF123" s="599"/>
    </row>
    <row r="124" spans="2:79" ht="12" customHeight="1" x14ac:dyDescent="0.2">
      <c r="B124" s="1"/>
      <c r="C124" s="1"/>
      <c r="D124" s="1"/>
      <c r="E124" s="1"/>
      <c r="F124" s="1"/>
      <c r="G124" s="1"/>
      <c r="H124" s="1"/>
      <c r="I124" s="1"/>
      <c r="J124" s="1"/>
      <c r="K124" s="1"/>
      <c r="L124" s="1"/>
      <c r="M124" s="1"/>
      <c r="N124" s="1"/>
      <c r="O124" s="1"/>
      <c r="P124" s="182"/>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row>
    <row r="125" spans="2:79" x14ac:dyDescent="0.2">
      <c r="B125" s="256" t="s">
        <v>1233</v>
      </c>
      <c r="C125" s="1555" t="s">
        <v>1371</v>
      </c>
      <c r="D125" s="1555"/>
      <c r="E125" s="1555"/>
      <c r="F125" s="1555"/>
      <c r="G125" s="1555"/>
      <c r="H125" s="1534" t="s">
        <v>1796</v>
      </c>
      <c r="I125" s="1534"/>
      <c r="J125" s="1534"/>
      <c r="K125" s="42"/>
      <c r="L125" s="1534" t="s">
        <v>1234</v>
      </c>
      <c r="M125" s="1534"/>
      <c r="N125" s="1534"/>
      <c r="O125" s="1534"/>
      <c r="P125" s="1373">
        <f>V127</f>
        <v>0</v>
      </c>
      <c r="R125" s="18"/>
      <c r="S125" s="705" t="s">
        <v>1597</v>
      </c>
      <c r="T125" s="705" t="s">
        <v>1305</v>
      </c>
      <c r="U125" s="705" t="s">
        <v>1306</v>
      </c>
      <c r="V125" s="704" t="s">
        <v>1307</v>
      </c>
      <c r="AA125" s="18"/>
      <c r="AB125" s="18"/>
      <c r="AC125" s="18"/>
      <c r="AD125" s="18"/>
      <c r="AE125" s="18"/>
      <c r="AF125" s="18"/>
      <c r="AG125" s="18"/>
      <c r="AH125" s="18"/>
      <c r="AI125" s="18"/>
      <c r="AJ125" s="18"/>
      <c r="AK125" s="18"/>
      <c r="AL125" s="18"/>
      <c r="AM125" s="18"/>
      <c r="AN125" s="18"/>
      <c r="AO125" s="18"/>
      <c r="AP125" s="18"/>
      <c r="AQ125" s="18"/>
      <c r="AR125" s="18"/>
      <c r="AS125" s="18"/>
      <c r="AT125" s="18"/>
    </row>
    <row r="126" spans="2:79" ht="15" customHeight="1" x14ac:dyDescent="0.2">
      <c r="B126" s="185" t="s">
        <v>74</v>
      </c>
      <c r="C126" s="1542"/>
      <c r="D126" s="1542"/>
      <c r="E126" s="1542"/>
      <c r="F126" s="1542"/>
      <c r="G126" s="1542"/>
      <c r="H126" s="1545">
        <f>IF(C126=$X$127,0.09,IF(C126=$Y$127,0.18,IF(C126=$Z$127,0.27,0)))</f>
        <v>0</v>
      </c>
      <c r="I126" s="1545"/>
      <c r="J126" s="1545"/>
      <c r="K126" s="185"/>
      <c r="L126" s="1542"/>
      <c r="M126" s="1542"/>
      <c r="N126" s="1542"/>
      <c r="O126" s="26">
        <f>IF(H126&gt;=S126,H126-S126,0)</f>
        <v>0</v>
      </c>
      <c r="P126" s="1373"/>
      <c r="R126" s="18"/>
      <c r="S126" s="776">
        <f>IF(L126=$Y$128,0.09,IF(L126=$Z$128,0.18,IF(L126=$AA$128,0.27,0)))</f>
        <v>0</v>
      </c>
      <c r="T126" s="776">
        <f>LARGE(O126:O128,1)</f>
        <v>0</v>
      </c>
      <c r="U126" s="684">
        <f>T126+T127*(1-T126)</f>
        <v>0</v>
      </c>
      <c r="V126" s="684">
        <f>ROUND(U126,2)</f>
        <v>0</v>
      </c>
      <c r="W126" s="1487" t="s">
        <v>2197</v>
      </c>
      <c r="X126" s="1487"/>
      <c r="Y126" s="1487"/>
      <c r="Z126" s="1487"/>
      <c r="AA126" s="775"/>
      <c r="AB126" s="18"/>
      <c r="AC126" s="18"/>
      <c r="AD126" s="18"/>
      <c r="AE126" s="18"/>
      <c r="AF126" s="18"/>
      <c r="AG126" s="18"/>
      <c r="AH126" s="18"/>
      <c r="AI126" s="18"/>
      <c r="AJ126" s="18"/>
      <c r="AK126" s="18"/>
      <c r="AL126" s="18"/>
      <c r="AM126" s="18"/>
      <c r="AN126" s="18"/>
      <c r="AO126" s="18"/>
      <c r="AP126" s="18"/>
      <c r="AQ126" s="18"/>
      <c r="AR126" s="18"/>
      <c r="AS126" s="18"/>
      <c r="AT126" s="18"/>
    </row>
    <row r="127" spans="2:79" ht="15" customHeight="1" x14ac:dyDescent="0.2">
      <c r="B127" s="256" t="s">
        <v>75</v>
      </c>
      <c r="C127" s="1542"/>
      <c r="D127" s="1542"/>
      <c r="E127" s="1542"/>
      <c r="F127" s="1542"/>
      <c r="G127" s="1542"/>
      <c r="H127" s="1545">
        <f>IF(C127=$X$127,0.16,IF(C127=$Y$127,0.32,IF(C127=$Z$127,0.48,0)))</f>
        <v>0</v>
      </c>
      <c r="I127" s="1545"/>
      <c r="J127" s="1545"/>
      <c r="K127" s="185"/>
      <c r="L127" s="1542"/>
      <c r="M127" s="1542"/>
      <c r="N127" s="1542"/>
      <c r="O127" s="26">
        <f>IF(H127&gt;=S127,H127-S127,0)</f>
        <v>0</v>
      </c>
      <c r="P127" s="1373"/>
      <c r="R127" s="18"/>
      <c r="S127" s="776">
        <f>IF(L127=$Y$128,0.16,IF(L127=$Z$128,0.32,IF(L127=$AA$128,0.48,0)))</f>
        <v>0</v>
      </c>
      <c r="T127" s="776">
        <f>LARGE(O126:O128,2)</f>
        <v>0</v>
      </c>
      <c r="U127" s="684">
        <f>V126+T128*(1-V126)</f>
        <v>0</v>
      </c>
      <c r="V127" s="684">
        <f>ROUND(U127,2)</f>
        <v>0</v>
      </c>
      <c r="W127" s="769"/>
      <c r="X127" s="769" t="s">
        <v>1237</v>
      </c>
      <c r="Y127" s="769" t="s">
        <v>1238</v>
      </c>
      <c r="Z127" s="769" t="s">
        <v>1239</v>
      </c>
      <c r="AA127" s="769"/>
      <c r="AB127" s="18"/>
      <c r="AC127" s="18"/>
      <c r="AD127" s="18"/>
      <c r="AE127" s="18"/>
      <c r="AF127" s="18"/>
      <c r="AG127" s="18"/>
      <c r="AH127" s="18"/>
      <c r="AI127" s="18"/>
      <c r="AJ127" s="18"/>
      <c r="AK127" s="18"/>
      <c r="AL127" s="18"/>
      <c r="AM127" s="18"/>
      <c r="AN127" s="18"/>
      <c r="AO127" s="18"/>
      <c r="AP127" s="18"/>
      <c r="AQ127" s="18"/>
      <c r="AR127" s="18"/>
      <c r="AS127" s="18"/>
      <c r="AT127" s="18"/>
    </row>
    <row r="128" spans="2:79" ht="15" customHeight="1" x14ac:dyDescent="0.2">
      <c r="B128" s="256" t="s">
        <v>76</v>
      </c>
      <c r="C128" s="1542"/>
      <c r="D128" s="1542"/>
      <c r="E128" s="1542"/>
      <c r="F128" s="1542"/>
      <c r="G128" s="1542"/>
      <c r="H128" s="1545">
        <f>IF(C128=$X$127,0.2,IF(C128=$Y$127,0.4,IF(C128=$Z$127,0.6,0)))</f>
        <v>0</v>
      </c>
      <c r="I128" s="1545"/>
      <c r="J128" s="1545"/>
      <c r="K128" s="185"/>
      <c r="L128" s="1542"/>
      <c r="M128" s="1542"/>
      <c r="N128" s="1542"/>
      <c r="O128" s="26">
        <f>IF(H128&gt;=S128,H128-S128,0)</f>
        <v>0</v>
      </c>
      <c r="P128" s="1373"/>
      <c r="R128" s="18"/>
      <c r="S128" s="776">
        <f>IF(L128=$Y$128,0.2,IF(L128=$Z$128,0.4,IF(L128=$AA$128,0.6,0)))</f>
        <v>0</v>
      </c>
      <c r="T128" s="776">
        <f>LARGE(O126:O128,3)</f>
        <v>0</v>
      </c>
      <c r="U128" s="769"/>
      <c r="V128" s="769"/>
      <c r="W128" s="769"/>
      <c r="X128" s="769" t="s">
        <v>523</v>
      </c>
      <c r="Y128" s="769" t="s">
        <v>915</v>
      </c>
      <c r="Z128" s="776" t="s">
        <v>1803</v>
      </c>
      <c r="AA128" s="769" t="s">
        <v>1672</v>
      </c>
      <c r="AB128" s="18"/>
      <c r="AC128" s="18"/>
      <c r="AD128" s="18"/>
      <c r="AE128" s="18"/>
      <c r="AF128" s="18"/>
      <c r="AG128" s="18"/>
      <c r="AH128" s="18"/>
      <c r="AI128" s="18"/>
      <c r="AJ128" s="18"/>
      <c r="AK128" s="18"/>
      <c r="AL128" s="18"/>
      <c r="AM128" s="18"/>
      <c r="AN128" s="18"/>
      <c r="AO128" s="18"/>
      <c r="AP128" s="18"/>
      <c r="AQ128" s="18"/>
      <c r="AR128" s="18"/>
      <c r="AS128" s="18"/>
      <c r="AT128" s="18"/>
    </row>
    <row r="129" spans="1:109" ht="12" customHeight="1" x14ac:dyDescent="0.2">
      <c r="B129" s="1578"/>
      <c r="C129" s="1578"/>
      <c r="D129" s="1578"/>
      <c r="E129" s="1578"/>
      <c r="F129" s="1578"/>
      <c r="G129" s="1578"/>
      <c r="H129" s="1578"/>
      <c r="I129" s="1578"/>
      <c r="J129" s="1578"/>
      <c r="K129" s="1578"/>
      <c r="L129" s="1578"/>
      <c r="M129" s="1578"/>
      <c r="N129" s="1578"/>
      <c r="O129" s="1578"/>
      <c r="P129" s="191"/>
      <c r="R129" s="18"/>
      <c r="S129" s="19"/>
      <c r="T129" s="19"/>
      <c r="U129" s="18"/>
      <c r="V129" s="18"/>
      <c r="W129" s="18"/>
      <c r="X129" s="18"/>
      <c r="Y129" s="18"/>
      <c r="Z129" s="19"/>
      <c r="AA129" s="18"/>
      <c r="AB129" s="18"/>
      <c r="AC129" s="18"/>
      <c r="AD129" s="18"/>
      <c r="AE129" s="18"/>
      <c r="AF129" s="18"/>
      <c r="AG129" s="18"/>
      <c r="AH129" s="18"/>
      <c r="AI129" s="18"/>
      <c r="AJ129" s="18"/>
      <c r="AK129" s="18"/>
      <c r="AL129" s="18"/>
      <c r="AM129" s="18"/>
      <c r="AN129" s="18"/>
      <c r="AO129" s="18"/>
      <c r="AP129" s="18"/>
      <c r="AQ129" s="18"/>
      <c r="AR129" s="18"/>
      <c r="AS129" s="18"/>
      <c r="AT129" s="18"/>
    </row>
    <row r="130" spans="1:109" ht="15" customHeight="1" x14ac:dyDescent="0.2">
      <c r="A130" s="189"/>
      <c r="B130" s="1591" t="s">
        <v>968</v>
      </c>
      <c r="C130" s="1539"/>
      <c r="D130" s="1540"/>
      <c r="E130" s="1357" t="s">
        <v>573</v>
      </c>
      <c r="F130" s="1358"/>
      <c r="G130" s="1358"/>
      <c r="H130" s="1358"/>
      <c r="I130" s="1358"/>
      <c r="J130" s="1358"/>
      <c r="K130" s="1358"/>
      <c r="L130" s="1358"/>
      <c r="M130" s="1358"/>
      <c r="N130" s="1358"/>
      <c r="O130" s="1359"/>
      <c r="P130" s="303">
        <f>IF(T130=1,0.15,0)</f>
        <v>0</v>
      </c>
      <c r="R130" s="1557" t="s">
        <v>2197</v>
      </c>
      <c r="S130" s="706" t="b">
        <v>0</v>
      </c>
      <c r="T130" s="769">
        <f>IF(S130=TRUE,1,0)</f>
        <v>0</v>
      </c>
      <c r="U130" s="18"/>
      <c r="V130" s="18"/>
      <c r="W130" s="18"/>
      <c r="X130" s="18"/>
      <c r="Y130" s="18"/>
      <c r="Z130" s="18"/>
      <c r="AA130" s="18"/>
      <c r="AB130" s="18"/>
      <c r="AC130" s="18"/>
      <c r="AD130" s="18"/>
      <c r="AE130" s="18"/>
      <c r="AF130" s="18"/>
      <c r="AG130" s="18">
        <v>1E-4</v>
      </c>
      <c r="AH130" s="18"/>
      <c r="AI130" s="18"/>
      <c r="AJ130" s="18"/>
      <c r="AK130" s="18"/>
      <c r="AL130" s="18"/>
      <c r="AM130" s="18"/>
      <c r="AN130" s="18"/>
      <c r="AO130" s="18"/>
      <c r="AP130" s="18"/>
      <c r="AQ130" s="18"/>
      <c r="AR130" s="18"/>
      <c r="AS130" s="18"/>
      <c r="AT130" s="18"/>
    </row>
    <row r="131" spans="1:109" ht="15" customHeight="1" x14ac:dyDescent="0.2">
      <c r="B131" s="1591"/>
      <c r="C131" s="1539"/>
      <c r="D131" s="1540"/>
      <c r="E131" s="1357" t="s">
        <v>574</v>
      </c>
      <c r="F131" s="1358"/>
      <c r="G131" s="1358"/>
      <c r="H131" s="1358"/>
      <c r="I131" s="1358"/>
      <c r="J131" s="1358"/>
      <c r="K131" s="1358"/>
      <c r="L131" s="1358"/>
      <c r="M131" s="1358"/>
      <c r="N131" s="1358"/>
      <c r="O131" s="1359"/>
      <c r="P131" s="303">
        <f>IF(T131=1,0.25,0)</f>
        <v>0</v>
      </c>
      <c r="R131" s="1557"/>
      <c r="S131" s="706" t="b">
        <v>0</v>
      </c>
      <c r="T131" s="769">
        <f>IF(S131=TRUE,1,0)</f>
        <v>0</v>
      </c>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row>
    <row r="132" spans="1:109" ht="15" customHeight="1" x14ac:dyDescent="0.2">
      <c r="B132" s="1591"/>
      <c r="C132" s="1539"/>
      <c r="D132" s="1540"/>
      <c r="E132" s="1357" t="s">
        <v>788</v>
      </c>
      <c r="F132" s="1358"/>
      <c r="G132" s="1358"/>
      <c r="H132" s="1358"/>
      <c r="I132" s="1358"/>
      <c r="J132" s="1358"/>
      <c r="K132" s="1358"/>
      <c r="L132" s="1358"/>
      <c r="M132" s="1358"/>
      <c r="N132" s="1358"/>
      <c r="O132" s="1359"/>
      <c r="P132" s="303">
        <f>IF(T132=1,0.23,0)</f>
        <v>0</v>
      </c>
      <c r="R132" s="1557"/>
      <c r="S132" s="706" t="b">
        <v>0</v>
      </c>
      <c r="T132" s="769">
        <f>IF(S132=TRUE,1,0)</f>
        <v>0</v>
      </c>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row>
    <row r="133" spans="1:109" ht="12" customHeight="1" x14ac:dyDescent="0.2">
      <c r="B133" s="1395"/>
      <c r="C133" s="1395"/>
      <c r="D133" s="1395"/>
      <c r="E133" s="1395"/>
      <c r="F133" s="1395"/>
      <c r="G133" s="1395"/>
      <c r="H133" s="1395"/>
      <c r="I133" s="1395"/>
      <c r="J133" s="1395"/>
      <c r="K133" s="1395"/>
      <c r="L133" s="1395"/>
      <c r="M133" s="1395"/>
      <c r="N133" s="1395"/>
      <c r="O133" s="1395"/>
      <c r="P133" s="2"/>
      <c r="R133" s="18"/>
      <c r="S133" s="163"/>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row>
    <row r="134" spans="1:109" ht="15" customHeight="1" x14ac:dyDescent="0.2">
      <c r="B134" s="1541" t="s">
        <v>380</v>
      </c>
      <c r="C134" s="1541"/>
      <c r="D134" s="1541"/>
      <c r="E134" s="1541"/>
      <c r="F134" s="1541"/>
      <c r="G134" s="1541"/>
      <c r="H134" s="1541"/>
      <c r="I134" s="1541"/>
      <c r="J134" s="1541"/>
      <c r="K134" s="1541"/>
      <c r="L134" s="1541"/>
      <c r="M134" s="1541"/>
      <c r="N134" s="1541"/>
      <c r="O134" s="388"/>
      <c r="P134" s="26">
        <f>SUMIF(T134:X134,O134,T135:X135)</f>
        <v>0</v>
      </c>
      <c r="R134" s="1561" t="s">
        <v>2197</v>
      </c>
      <c r="S134" s="1561"/>
      <c r="T134" s="769" t="s">
        <v>1969</v>
      </c>
      <c r="U134" s="769" t="s">
        <v>1970</v>
      </c>
      <c r="V134" s="776" t="s">
        <v>1972</v>
      </c>
      <c r="W134" s="769" t="s">
        <v>945</v>
      </c>
      <c r="X134" s="776" t="s">
        <v>558</v>
      </c>
      <c r="Y134" s="775"/>
      <c r="Z134" s="769" t="s">
        <v>1969</v>
      </c>
      <c r="AA134" s="769" t="s">
        <v>1970</v>
      </c>
      <c r="AB134" s="776" t="s">
        <v>1972</v>
      </c>
      <c r="AC134" s="769" t="s">
        <v>945</v>
      </c>
      <c r="AD134" s="776" t="s">
        <v>558</v>
      </c>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row>
    <row r="135" spans="1:109" ht="15" customHeight="1" x14ac:dyDescent="0.2">
      <c r="B135" s="1541" t="s">
        <v>1499</v>
      </c>
      <c r="C135" s="1541"/>
      <c r="D135" s="1541"/>
      <c r="E135" s="1541"/>
      <c r="F135" s="1541"/>
      <c r="G135" s="1541"/>
      <c r="H135" s="1541"/>
      <c r="I135" s="1541"/>
      <c r="J135" s="1541"/>
      <c r="K135" s="1541"/>
      <c r="L135" s="1541"/>
      <c r="M135" s="1541"/>
      <c r="N135" s="1541"/>
      <c r="O135" s="388"/>
      <c r="P135" s="26">
        <f>SUMIF(Z134:AD134,O135,Z135:AD135)</f>
        <v>0</v>
      </c>
      <c r="R135" s="1561"/>
      <c r="S135" s="1561"/>
      <c r="T135" s="776">
        <v>0.03</v>
      </c>
      <c r="U135" s="776">
        <v>0.15</v>
      </c>
      <c r="V135" s="776">
        <v>0.38</v>
      </c>
      <c r="W135" s="776">
        <v>0.68</v>
      </c>
      <c r="X135" s="776">
        <v>0.9</v>
      </c>
      <c r="Y135" s="775"/>
      <c r="Z135" s="776">
        <v>0.03</v>
      </c>
      <c r="AA135" s="776">
        <v>0.15</v>
      </c>
      <c r="AB135" s="776">
        <v>0.35</v>
      </c>
      <c r="AC135" s="776">
        <v>0.63</v>
      </c>
      <c r="AD135" s="776">
        <v>0.88</v>
      </c>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row>
    <row r="136" spans="1:109" ht="12" customHeight="1" x14ac:dyDescent="0.2">
      <c r="A136" s="3"/>
      <c r="B136" s="1812"/>
      <c r="C136" s="1812"/>
      <c r="D136" s="1812"/>
      <c r="E136" s="1812"/>
      <c r="F136" s="1812"/>
      <c r="G136" s="1812"/>
      <c r="H136" s="1812"/>
      <c r="I136" s="1812"/>
      <c r="J136" s="1812"/>
      <c r="K136" s="1812"/>
      <c r="L136" s="1812"/>
      <c r="M136" s="1812"/>
      <c r="N136" s="1812"/>
      <c r="O136" s="1812"/>
      <c r="P136" s="462"/>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row>
    <row r="137" spans="1:109" ht="27" customHeight="1" x14ac:dyDescent="0.2">
      <c r="B137" s="1632" t="s">
        <v>381</v>
      </c>
      <c r="C137" s="1633"/>
      <c r="D137" s="1633"/>
      <c r="E137" s="1633"/>
      <c r="F137" s="1634"/>
      <c r="G137" s="1626" t="s">
        <v>1525</v>
      </c>
      <c r="H137" s="1627"/>
      <c r="I137" s="1627"/>
      <c r="J137" s="1628"/>
      <c r="K137" s="1616"/>
      <c r="L137" s="1617"/>
      <c r="M137" s="1617"/>
      <c r="N137" s="1617"/>
      <c r="O137" s="1618"/>
      <c r="P137" s="1481">
        <f>U151</f>
        <v>0</v>
      </c>
      <c r="R137" s="783" t="s">
        <v>1865</v>
      </c>
      <c r="S137" s="769" t="s">
        <v>1305</v>
      </c>
      <c r="T137" s="769" t="s">
        <v>1306</v>
      </c>
      <c r="U137" s="769" t="s">
        <v>1307</v>
      </c>
      <c r="V137" s="1549" t="s">
        <v>801</v>
      </c>
      <c r="W137" s="1550"/>
      <c r="X137" s="1551"/>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row>
    <row r="138" spans="1:109" ht="14.45" customHeight="1" x14ac:dyDescent="0.2">
      <c r="B138" s="1546" t="s">
        <v>628</v>
      </c>
      <c r="C138" s="1547"/>
      <c r="D138" s="1548"/>
      <c r="E138" s="1730">
        <f>P81</f>
        <v>0</v>
      </c>
      <c r="F138" s="1735"/>
      <c r="G138" s="1534" t="s">
        <v>1942</v>
      </c>
      <c r="H138" s="1534"/>
      <c r="I138" s="1559"/>
      <c r="J138" s="1559"/>
      <c r="K138" s="1619"/>
      <c r="L138" s="1620"/>
      <c r="M138" s="1620"/>
      <c r="N138" s="1620"/>
      <c r="O138" s="1621"/>
      <c r="P138" s="1631"/>
      <c r="R138" s="688">
        <f>E138</f>
        <v>0</v>
      </c>
      <c r="S138" s="776">
        <f>LARGE($R$138:$R$152,1)</f>
        <v>0</v>
      </c>
      <c r="T138" s="684">
        <f>S138+S139*(1-S138)</f>
        <v>0</v>
      </c>
      <c r="U138" s="688">
        <f t="shared" ref="U138:U151" si="15">ROUND(T138,2)</f>
        <v>0</v>
      </c>
      <c r="V138" s="769">
        <f>IF(E138&gt;0,1,0)</f>
        <v>0</v>
      </c>
      <c r="W138" s="769">
        <f>COUNTIF(V138:V152,1)</f>
        <v>0</v>
      </c>
      <c r="X138" s="769">
        <f>IF(AND(W138=0,W139&gt;0),1,IF(W138&gt;0,2,0))</f>
        <v>0</v>
      </c>
      <c r="AA138" s="18"/>
      <c r="AD138" s="18"/>
      <c r="AG138" s="18"/>
      <c r="AH138" s="18"/>
      <c r="AI138" s="18"/>
      <c r="AJ138" s="18"/>
      <c r="AK138" s="18"/>
      <c r="AL138" s="18"/>
      <c r="AM138" s="18"/>
      <c r="AN138" s="18"/>
      <c r="AO138" s="18"/>
      <c r="AP138" s="18"/>
      <c r="AQ138" s="18"/>
      <c r="AR138" s="18"/>
      <c r="AS138" s="18"/>
      <c r="AT138" s="18"/>
    </row>
    <row r="139" spans="1:109" ht="14.45" customHeight="1" x14ac:dyDescent="0.2">
      <c r="B139" s="1362" t="s">
        <v>382</v>
      </c>
      <c r="C139" s="1363"/>
      <c r="D139" s="1364"/>
      <c r="E139" s="1373">
        <f>P84</f>
        <v>0</v>
      </c>
      <c r="F139" s="1342"/>
      <c r="G139" s="1534" t="s">
        <v>1942</v>
      </c>
      <c r="H139" s="1534"/>
      <c r="I139" s="1559"/>
      <c r="J139" s="1559"/>
      <c r="K139" s="1619"/>
      <c r="L139" s="1620"/>
      <c r="M139" s="1620"/>
      <c r="N139" s="1620"/>
      <c r="O139" s="1621"/>
      <c r="P139" s="1631"/>
      <c r="R139" s="688">
        <f>E139</f>
        <v>0</v>
      </c>
      <c r="S139" s="776">
        <f>LARGE($R$138:$R$152,2)</f>
        <v>0</v>
      </c>
      <c r="T139" s="684">
        <f>U138+S140*(1-U138)</f>
        <v>0</v>
      </c>
      <c r="U139" s="688">
        <f t="shared" si="15"/>
        <v>0</v>
      </c>
      <c r="V139" s="769">
        <f>IF(E139&gt;0,2,0)</f>
        <v>0</v>
      </c>
      <c r="W139" s="770">
        <f>COUNTIF(V138:V152,2)</f>
        <v>0</v>
      </c>
      <c r="X139" s="18"/>
      <c r="Y139" s="18" t="s">
        <v>511</v>
      </c>
      <c r="AA139" s="1469"/>
      <c r="AB139" s="1469"/>
      <c r="AC139" s="1469"/>
      <c r="AD139" s="18"/>
      <c r="AG139" s="18"/>
      <c r="AH139" s="18"/>
      <c r="AI139" s="18"/>
      <c r="AJ139" s="18"/>
      <c r="AK139" s="18"/>
      <c r="AL139" s="18"/>
      <c r="AM139" s="18"/>
      <c r="AN139" s="18"/>
      <c r="AO139" s="18"/>
      <c r="AP139" s="18"/>
      <c r="AQ139" s="18"/>
      <c r="AR139" s="18"/>
      <c r="AS139" s="18"/>
      <c r="AT139" s="18"/>
    </row>
    <row r="140" spans="1:109" ht="14.45" customHeight="1" x14ac:dyDescent="0.2">
      <c r="B140" s="1362" t="s">
        <v>1959</v>
      </c>
      <c r="C140" s="1363"/>
      <c r="D140" s="1364"/>
      <c r="E140" s="1373">
        <f>IF(E607&gt;0,0,P88)</f>
        <v>0</v>
      </c>
      <c r="F140" s="1342"/>
      <c r="G140" s="1729" t="s">
        <v>2260</v>
      </c>
      <c r="H140" s="1729"/>
      <c r="I140" s="1559"/>
      <c r="J140" s="1559"/>
      <c r="K140" s="1619"/>
      <c r="L140" s="1620"/>
      <c r="M140" s="1620"/>
      <c r="N140" s="1620"/>
      <c r="O140" s="1621"/>
      <c r="P140" s="1631"/>
      <c r="R140" s="688">
        <f t="shared" ref="R140:R147" si="16">IF(I140&gt;0,I140,E140)</f>
        <v>0</v>
      </c>
      <c r="S140" s="776">
        <f>LARGE($R$138:$R$152,3)</f>
        <v>0</v>
      </c>
      <c r="T140" s="684">
        <f>U139+S141*(1-U139)</f>
        <v>0</v>
      </c>
      <c r="U140" s="688">
        <f t="shared" si="15"/>
        <v>0</v>
      </c>
      <c r="V140" s="769">
        <f t="shared" ref="V140:V152" si="17">IF(E140&gt;0,1,0)</f>
        <v>0</v>
      </c>
      <c r="W140" s="18"/>
      <c r="X140" s="18"/>
      <c r="Y140" s="1087"/>
      <c r="Z140" s="18"/>
      <c r="AA140" s="1469"/>
      <c r="AB140" s="1469"/>
      <c r="AC140" s="1469"/>
      <c r="AD140" s="18"/>
      <c r="AG140" s="18"/>
      <c r="AH140" s="18"/>
      <c r="AI140" s="18"/>
      <c r="AJ140" s="18"/>
      <c r="AK140" s="18"/>
      <c r="AL140" s="18"/>
      <c r="AM140" s="18"/>
      <c r="AN140" s="18"/>
      <c r="AO140" s="18"/>
      <c r="AP140" s="18"/>
      <c r="AQ140" s="18"/>
      <c r="AR140" s="18"/>
      <c r="AS140" s="18"/>
      <c r="AT140" s="18"/>
    </row>
    <row r="141" spans="1:109" ht="14.45" customHeight="1" x14ac:dyDescent="0.2">
      <c r="B141" s="1410" t="s">
        <v>1417</v>
      </c>
      <c r="C141" s="1410"/>
      <c r="D141" s="1410"/>
      <c r="E141" s="1342">
        <f>P106</f>
        <v>0</v>
      </c>
      <c r="F141" s="1343"/>
      <c r="G141" s="1544"/>
      <c r="H141" s="1544"/>
      <c r="I141" s="1545">
        <f t="shared" ref="I141:I147" si="18">IF(AND(Y141&lt;0.01,Y141&gt;0),0.01,ROUND(Y141,2))</f>
        <v>0</v>
      </c>
      <c r="J141" s="1545"/>
      <c r="K141" s="1619"/>
      <c r="L141" s="1620"/>
      <c r="M141" s="1620"/>
      <c r="N141" s="1620"/>
      <c r="O141" s="1621"/>
      <c r="P141" s="1631"/>
      <c r="R141" s="688">
        <f t="shared" si="16"/>
        <v>0</v>
      </c>
      <c r="S141" s="776">
        <f>LARGE($R$138:$R$152,4)</f>
        <v>0</v>
      </c>
      <c r="T141" s="684">
        <f t="shared" ref="T141:T151" si="19">U140+S142*(1-U140)</f>
        <v>0</v>
      </c>
      <c r="U141" s="688">
        <f t="shared" si="15"/>
        <v>0</v>
      </c>
      <c r="V141" s="769">
        <f t="shared" si="17"/>
        <v>0</v>
      </c>
      <c r="W141" s="18"/>
      <c r="X141" s="18"/>
      <c r="Y141" s="355">
        <f>E141*G141</f>
        <v>0</v>
      </c>
      <c r="Z141" s="860"/>
      <c r="AA141" s="1469"/>
      <c r="AB141" s="1469"/>
      <c r="AC141" s="1469"/>
      <c r="AD141" s="18"/>
      <c r="AG141" s="18"/>
      <c r="AH141" s="18"/>
      <c r="AI141" s="18"/>
      <c r="AJ141" s="18"/>
      <c r="AK141" s="18"/>
      <c r="AL141" s="18"/>
      <c r="AM141" s="18"/>
      <c r="AN141" s="18"/>
      <c r="AO141" s="18"/>
      <c r="AP141" s="18"/>
      <c r="AQ141" s="18"/>
      <c r="AR141" s="18"/>
      <c r="AS141" s="18"/>
      <c r="AT141" s="18"/>
    </row>
    <row r="142" spans="1:109" ht="14.45" customHeight="1" x14ac:dyDescent="0.2">
      <c r="B142" s="1362" t="s">
        <v>1418</v>
      </c>
      <c r="C142" s="1363"/>
      <c r="D142" s="1364"/>
      <c r="E142" s="1342">
        <f>P107</f>
        <v>0</v>
      </c>
      <c r="F142" s="1343"/>
      <c r="G142" s="1544"/>
      <c r="H142" s="1544"/>
      <c r="I142" s="1545">
        <f t="shared" si="18"/>
        <v>0</v>
      </c>
      <c r="J142" s="1545"/>
      <c r="K142" s="1619"/>
      <c r="L142" s="1620"/>
      <c r="M142" s="1620"/>
      <c r="N142" s="1620"/>
      <c r="O142" s="1621"/>
      <c r="P142" s="1631"/>
      <c r="R142" s="688">
        <f t="shared" si="16"/>
        <v>0</v>
      </c>
      <c r="S142" s="776">
        <f>LARGE($R$138:$R$152,5)</f>
        <v>0</v>
      </c>
      <c r="T142" s="684">
        <f t="shared" si="19"/>
        <v>0</v>
      </c>
      <c r="U142" s="688">
        <f t="shared" si="15"/>
        <v>0</v>
      </c>
      <c r="V142" s="769">
        <f t="shared" si="17"/>
        <v>0</v>
      </c>
      <c r="W142" s="18"/>
      <c r="X142" s="18"/>
      <c r="Y142" s="1028">
        <f t="shared" ref="Y142:Y147" si="20">E142*G142</f>
        <v>0</v>
      </c>
      <c r="Z142" s="860"/>
      <c r="AA142" s="1469"/>
      <c r="AB142" s="1469"/>
      <c r="AC142" s="1469"/>
      <c r="AD142" s="18"/>
      <c r="AE142" s="18"/>
      <c r="AF142" s="18"/>
      <c r="AG142" s="18"/>
      <c r="AH142" s="18"/>
      <c r="AI142" s="18"/>
      <c r="AJ142" s="18"/>
      <c r="AK142" s="18"/>
      <c r="AL142" s="18"/>
      <c r="AM142" s="18"/>
      <c r="AN142" s="18"/>
      <c r="AO142" s="18"/>
      <c r="AP142" s="18"/>
      <c r="AQ142" s="18"/>
      <c r="AR142" s="18"/>
      <c r="AS142" s="18"/>
      <c r="AT142" s="18"/>
    </row>
    <row r="143" spans="1:109" ht="14.45" customHeight="1" x14ac:dyDescent="0.2">
      <c r="B143" s="1362" t="s">
        <v>1419</v>
      </c>
      <c r="C143" s="1363"/>
      <c r="D143" s="1364"/>
      <c r="E143" s="1342">
        <f>P108</f>
        <v>0</v>
      </c>
      <c r="F143" s="1343"/>
      <c r="G143" s="1544"/>
      <c r="H143" s="1544"/>
      <c r="I143" s="1545">
        <f t="shared" si="18"/>
        <v>0</v>
      </c>
      <c r="J143" s="1545"/>
      <c r="K143" s="1619"/>
      <c r="L143" s="1620"/>
      <c r="M143" s="1620"/>
      <c r="N143" s="1620"/>
      <c r="O143" s="1621"/>
      <c r="P143" s="1631"/>
      <c r="R143" s="688">
        <f t="shared" si="16"/>
        <v>0</v>
      </c>
      <c r="S143" s="776">
        <f>LARGE($R$138:$R$152,6)</f>
        <v>0</v>
      </c>
      <c r="T143" s="684">
        <f t="shared" si="19"/>
        <v>0</v>
      </c>
      <c r="U143" s="688">
        <f t="shared" si="15"/>
        <v>0</v>
      </c>
      <c r="V143" s="769">
        <f t="shared" si="17"/>
        <v>0</v>
      </c>
      <c r="W143" s="18"/>
      <c r="X143" s="18"/>
      <c r="Y143" s="1028">
        <f t="shared" si="20"/>
        <v>0</v>
      </c>
      <c r="Z143" s="860"/>
      <c r="AA143" s="408"/>
      <c r="AC143" s="18"/>
      <c r="AD143" s="18"/>
      <c r="AE143" s="18"/>
      <c r="AF143" s="18"/>
      <c r="AG143" s="18"/>
      <c r="AH143" s="18"/>
      <c r="AI143" s="18"/>
      <c r="AJ143" s="18"/>
      <c r="AK143" s="18"/>
      <c r="AL143" s="18"/>
      <c r="AM143" s="18"/>
      <c r="AN143" s="18"/>
      <c r="AO143" s="18"/>
      <c r="AP143" s="18"/>
      <c r="AQ143" s="18"/>
      <c r="AR143" s="18"/>
      <c r="AS143" s="18"/>
      <c r="AT143" s="18"/>
    </row>
    <row r="144" spans="1:109" ht="14.45" customHeight="1" x14ac:dyDescent="0.2">
      <c r="B144" s="1362" t="s">
        <v>1420</v>
      </c>
      <c r="C144" s="1363"/>
      <c r="D144" s="1364"/>
      <c r="E144" s="1342">
        <f>P109</f>
        <v>0</v>
      </c>
      <c r="F144" s="1343"/>
      <c r="G144" s="1544"/>
      <c r="H144" s="1544"/>
      <c r="I144" s="1545">
        <f t="shared" si="18"/>
        <v>0</v>
      </c>
      <c r="J144" s="1545"/>
      <c r="K144" s="1619"/>
      <c r="L144" s="1620"/>
      <c r="M144" s="1620"/>
      <c r="N144" s="1620"/>
      <c r="O144" s="1621"/>
      <c r="P144" s="1631"/>
      <c r="R144" s="688">
        <f t="shared" si="16"/>
        <v>0</v>
      </c>
      <c r="S144" s="776">
        <f>LARGE($R$138:$R$152,7)</f>
        <v>0</v>
      </c>
      <c r="T144" s="684">
        <f t="shared" si="19"/>
        <v>0</v>
      </c>
      <c r="U144" s="688">
        <f t="shared" si="15"/>
        <v>0</v>
      </c>
      <c r="V144" s="769">
        <f t="shared" si="17"/>
        <v>0</v>
      </c>
      <c r="W144" s="18"/>
      <c r="X144" s="18"/>
      <c r="Y144" s="1028">
        <f t="shared" si="20"/>
        <v>0</v>
      </c>
      <c r="Z144" s="860"/>
      <c r="AA144" s="8"/>
      <c r="AB144" s="8"/>
      <c r="AC144" s="8"/>
      <c r="AD144" s="18"/>
      <c r="AE144" s="18"/>
      <c r="AF144" s="18"/>
      <c r="AG144" s="18"/>
      <c r="AH144" s="18"/>
      <c r="AI144" s="18"/>
      <c r="AJ144" s="18"/>
      <c r="AK144" s="18"/>
      <c r="AL144" s="18"/>
      <c r="AM144" s="18"/>
      <c r="AN144" s="18"/>
      <c r="AO144" s="18"/>
      <c r="AP144" s="18"/>
      <c r="AQ144" s="18"/>
      <c r="AR144" s="18"/>
      <c r="AS144" s="18"/>
      <c r="AT144" s="18"/>
    </row>
    <row r="145" spans="2:63" ht="14.45" customHeight="1" x14ac:dyDescent="0.2">
      <c r="B145" s="1362" t="s">
        <v>1986</v>
      </c>
      <c r="C145" s="1363"/>
      <c r="D145" s="1364"/>
      <c r="E145" s="1373">
        <f>P118</f>
        <v>0</v>
      </c>
      <c r="F145" s="1342"/>
      <c r="G145" s="1544"/>
      <c r="H145" s="1544"/>
      <c r="I145" s="1545">
        <f t="shared" si="18"/>
        <v>0</v>
      </c>
      <c r="J145" s="1545"/>
      <c r="K145" s="1619"/>
      <c r="L145" s="1620"/>
      <c r="M145" s="1620"/>
      <c r="N145" s="1620"/>
      <c r="O145" s="1621"/>
      <c r="P145" s="1631"/>
      <c r="R145" s="688">
        <f t="shared" si="16"/>
        <v>0</v>
      </c>
      <c r="S145" s="776">
        <f>LARGE($R$138:$R$152,8)</f>
        <v>0</v>
      </c>
      <c r="T145" s="684">
        <f t="shared" si="19"/>
        <v>0</v>
      </c>
      <c r="U145" s="688">
        <f t="shared" si="15"/>
        <v>0</v>
      </c>
      <c r="V145" s="769">
        <f t="shared" si="17"/>
        <v>0</v>
      </c>
      <c r="W145" s="18"/>
      <c r="X145" s="18"/>
      <c r="Y145" s="1028">
        <f t="shared" si="20"/>
        <v>0</v>
      </c>
      <c r="Z145" s="860"/>
      <c r="AA145" s="8"/>
      <c r="AB145" s="8"/>
      <c r="AC145" s="8"/>
      <c r="AD145" s="18"/>
      <c r="AE145" s="18"/>
      <c r="AF145" s="18"/>
      <c r="AG145" s="18"/>
      <c r="AH145" s="18"/>
      <c r="AI145" s="18"/>
      <c r="AJ145" s="18"/>
      <c r="AK145" s="18"/>
      <c r="AL145" s="18"/>
      <c r="AM145" s="18"/>
      <c r="AN145" s="18"/>
      <c r="AO145" s="18"/>
      <c r="AP145" s="18"/>
      <c r="AQ145" s="18"/>
      <c r="AR145" s="18"/>
      <c r="AS145" s="18"/>
      <c r="AT145" s="18"/>
    </row>
    <row r="146" spans="2:63" ht="14.45" customHeight="1" x14ac:dyDescent="0.2">
      <c r="B146" s="1362" t="s">
        <v>1227</v>
      </c>
      <c r="C146" s="1363"/>
      <c r="D146" s="1364"/>
      <c r="E146" s="1373">
        <f>P123</f>
        <v>0</v>
      </c>
      <c r="F146" s="1342"/>
      <c r="G146" s="1544"/>
      <c r="H146" s="1544"/>
      <c r="I146" s="1545">
        <f t="shared" si="18"/>
        <v>0</v>
      </c>
      <c r="J146" s="1545"/>
      <c r="K146" s="1030"/>
      <c r="L146" s="1031"/>
      <c r="M146" s="1031"/>
      <c r="N146" s="1031"/>
      <c r="O146" s="1032"/>
      <c r="P146" s="1631"/>
      <c r="R146" s="688">
        <f t="shared" si="16"/>
        <v>0</v>
      </c>
      <c r="S146" s="776">
        <f>LARGE($R$138:$R$152,9)</f>
        <v>0</v>
      </c>
      <c r="T146" s="684">
        <f t="shared" si="19"/>
        <v>0</v>
      </c>
      <c r="U146" s="688">
        <f t="shared" si="15"/>
        <v>0</v>
      </c>
      <c r="V146" s="769">
        <f t="shared" si="17"/>
        <v>0</v>
      </c>
      <c r="W146" s="18"/>
      <c r="X146" s="18"/>
      <c r="Y146" s="1028">
        <f t="shared" si="20"/>
        <v>0</v>
      </c>
      <c r="Z146" s="373"/>
      <c r="AA146" s="8"/>
      <c r="AB146" s="8"/>
      <c r="AC146" s="8"/>
      <c r="AD146" s="18"/>
      <c r="AE146" s="18"/>
      <c r="AF146" s="18"/>
      <c r="AG146" s="18"/>
      <c r="AH146" s="18"/>
      <c r="AI146" s="18"/>
      <c r="AJ146" s="18"/>
      <c r="AK146" s="18"/>
      <c r="AL146" s="18"/>
      <c r="AM146" s="18"/>
      <c r="AN146" s="18"/>
      <c r="AO146" s="18"/>
      <c r="AP146" s="18"/>
      <c r="AQ146" s="18"/>
      <c r="AR146" s="18"/>
      <c r="AS146" s="18"/>
      <c r="AT146" s="18"/>
    </row>
    <row r="147" spans="2:63" ht="14.45" customHeight="1" x14ac:dyDescent="0.2">
      <c r="B147" s="1362" t="s">
        <v>1233</v>
      </c>
      <c r="C147" s="1363"/>
      <c r="D147" s="1364"/>
      <c r="E147" s="1373">
        <f>P125</f>
        <v>0</v>
      </c>
      <c r="F147" s="1342"/>
      <c r="G147" s="1544"/>
      <c r="H147" s="1544"/>
      <c r="I147" s="1545">
        <f t="shared" si="18"/>
        <v>0</v>
      </c>
      <c r="J147" s="1545"/>
      <c r="K147" s="1030"/>
      <c r="L147" s="1031"/>
      <c r="M147" s="1031"/>
      <c r="N147" s="1031"/>
      <c r="O147" s="1032"/>
      <c r="P147" s="1631"/>
      <c r="R147" s="688">
        <f t="shared" si="16"/>
        <v>0</v>
      </c>
      <c r="S147" s="776">
        <f>LARGE($R$138:$R$152,10)</f>
        <v>0</v>
      </c>
      <c r="T147" s="684">
        <f t="shared" si="19"/>
        <v>0</v>
      </c>
      <c r="U147" s="688">
        <f t="shared" si="15"/>
        <v>0</v>
      </c>
      <c r="V147" s="769">
        <f t="shared" si="17"/>
        <v>0</v>
      </c>
      <c r="W147" s="18"/>
      <c r="X147" s="18"/>
      <c r="Y147" s="1028">
        <f t="shared" si="20"/>
        <v>0</v>
      </c>
      <c r="Z147" s="373"/>
      <c r="AA147" s="8"/>
      <c r="AB147" s="8"/>
      <c r="AC147" s="8"/>
      <c r="AD147" s="18"/>
      <c r="AE147" s="18"/>
      <c r="AF147" s="18"/>
      <c r="AG147" s="18"/>
      <c r="AH147" s="18"/>
      <c r="AI147" s="18"/>
      <c r="AJ147" s="18"/>
      <c r="AK147" s="18"/>
      <c r="AL147" s="18"/>
      <c r="AM147" s="18"/>
      <c r="AN147" s="18"/>
      <c r="AO147" s="18"/>
      <c r="AP147" s="18"/>
      <c r="AQ147" s="18"/>
      <c r="AR147" s="18"/>
      <c r="AS147" s="18"/>
      <c r="AT147" s="18"/>
    </row>
    <row r="148" spans="2:63" ht="14.45" customHeight="1" x14ac:dyDescent="0.2">
      <c r="B148" s="1362" t="s">
        <v>383</v>
      </c>
      <c r="C148" s="1363"/>
      <c r="D148" s="1364"/>
      <c r="E148" s="1373">
        <f>P130</f>
        <v>0</v>
      </c>
      <c r="F148" s="1342"/>
      <c r="G148" s="1534" t="s">
        <v>1942</v>
      </c>
      <c r="H148" s="1534"/>
      <c r="I148" s="1559"/>
      <c r="J148" s="1559"/>
      <c r="K148" s="1588" t="str">
        <f>IF(AND(P88&gt;0,E607&gt;0),"A value has been granted for motor loss. Additional impairment value is not allowed for reduced ROM in the same extremity.","")</f>
        <v/>
      </c>
      <c r="L148" s="1589"/>
      <c r="M148" s="1589"/>
      <c r="N148" s="1589"/>
      <c r="O148" s="1590"/>
      <c r="P148" s="1631"/>
      <c r="R148" s="688">
        <f>E148</f>
        <v>0</v>
      </c>
      <c r="S148" s="776">
        <f>LARGE($R$138:$R$152,11)</f>
        <v>0</v>
      </c>
      <c r="T148" s="684">
        <f t="shared" si="19"/>
        <v>0</v>
      </c>
      <c r="U148" s="688">
        <f t="shared" si="15"/>
        <v>0</v>
      </c>
      <c r="V148" s="769">
        <f t="shared" si="17"/>
        <v>0</v>
      </c>
      <c r="W148" s="18"/>
      <c r="X148" s="18"/>
      <c r="Y148" s="370"/>
      <c r="Z148" s="373"/>
      <c r="AC148" s="18"/>
      <c r="AD148" s="18"/>
      <c r="AE148" s="18"/>
      <c r="AF148" s="18"/>
      <c r="AG148" s="18"/>
      <c r="AH148" s="18"/>
      <c r="AI148" s="18"/>
      <c r="AJ148" s="18"/>
      <c r="AK148" s="18"/>
      <c r="AL148" s="18"/>
      <c r="AM148" s="18"/>
      <c r="AN148" s="18"/>
      <c r="AO148" s="18"/>
      <c r="AP148" s="18"/>
      <c r="AQ148" s="18"/>
      <c r="AR148" s="18"/>
      <c r="AS148" s="18"/>
      <c r="AT148" s="18"/>
    </row>
    <row r="149" spans="2:63" ht="14.45" customHeight="1" x14ac:dyDescent="0.2">
      <c r="B149" s="1362" t="s">
        <v>384</v>
      </c>
      <c r="C149" s="1363"/>
      <c r="D149" s="1364"/>
      <c r="E149" s="1373">
        <f>P131</f>
        <v>0</v>
      </c>
      <c r="F149" s="1342"/>
      <c r="G149" s="1534" t="s">
        <v>1942</v>
      </c>
      <c r="H149" s="1534"/>
      <c r="I149" s="1559"/>
      <c r="J149" s="1559"/>
      <c r="K149" s="1588"/>
      <c r="L149" s="1589"/>
      <c r="M149" s="1589"/>
      <c r="N149" s="1589"/>
      <c r="O149" s="1590"/>
      <c r="P149" s="1631"/>
      <c r="R149" s="688">
        <f>E149</f>
        <v>0</v>
      </c>
      <c r="S149" s="776">
        <f>LARGE($R$138:$R$152,12)</f>
        <v>0</v>
      </c>
      <c r="T149" s="684">
        <f t="shared" si="19"/>
        <v>0</v>
      </c>
      <c r="U149" s="688">
        <f t="shared" si="15"/>
        <v>0</v>
      </c>
      <c r="V149" s="769">
        <f t="shared" si="17"/>
        <v>0</v>
      </c>
      <c r="W149" s="18"/>
      <c r="X149" s="18"/>
      <c r="Y149" s="370"/>
      <c r="Z149" s="315"/>
      <c r="AC149" s="18"/>
      <c r="AD149" s="18"/>
      <c r="AE149" s="18"/>
      <c r="AF149" s="18"/>
      <c r="AG149" s="18"/>
      <c r="AH149" s="18"/>
      <c r="AI149" s="18"/>
      <c r="AJ149" s="18"/>
      <c r="AK149" s="18"/>
      <c r="AL149" s="18"/>
      <c r="AM149" s="18"/>
      <c r="AN149" s="18"/>
      <c r="AO149" s="18"/>
      <c r="AP149" s="18"/>
      <c r="AQ149" s="18"/>
      <c r="AR149" s="18"/>
      <c r="AS149" s="18"/>
      <c r="AT149" s="18"/>
    </row>
    <row r="150" spans="2:63" ht="14.45" customHeight="1" x14ac:dyDescent="0.2">
      <c r="B150" s="1362" t="s">
        <v>807</v>
      </c>
      <c r="C150" s="1363"/>
      <c r="D150" s="1364"/>
      <c r="E150" s="1373">
        <f>P132</f>
        <v>0</v>
      </c>
      <c r="F150" s="1342"/>
      <c r="G150" s="1534" t="s">
        <v>1942</v>
      </c>
      <c r="H150" s="1534"/>
      <c r="I150" s="1559"/>
      <c r="J150" s="1559"/>
      <c r="K150" s="1588"/>
      <c r="L150" s="1589"/>
      <c r="M150" s="1589"/>
      <c r="N150" s="1589"/>
      <c r="O150" s="1590"/>
      <c r="P150" s="1631"/>
      <c r="R150" s="688">
        <f>E150</f>
        <v>0</v>
      </c>
      <c r="S150" s="776">
        <f>LARGE($R$138:$R$152,13)</f>
        <v>0</v>
      </c>
      <c r="T150" s="684">
        <f t="shared" si="19"/>
        <v>0</v>
      </c>
      <c r="U150" s="688">
        <f t="shared" si="15"/>
        <v>0</v>
      </c>
      <c r="V150" s="769">
        <f t="shared" si="17"/>
        <v>0</v>
      </c>
      <c r="W150" s="18"/>
      <c r="X150" s="18"/>
      <c r="Y150" s="370"/>
      <c r="Z150" s="315"/>
      <c r="AC150" s="18"/>
      <c r="AD150" s="18"/>
      <c r="AE150" s="18"/>
      <c r="AF150" s="18"/>
      <c r="AG150" s="18"/>
      <c r="AH150" s="18"/>
      <c r="AI150" s="18"/>
      <c r="AJ150" s="18"/>
      <c r="AK150" s="18"/>
      <c r="AL150" s="18"/>
      <c r="AM150" s="18"/>
      <c r="AN150" s="18"/>
      <c r="AO150" s="18"/>
      <c r="AP150" s="18"/>
      <c r="AQ150" s="18"/>
      <c r="AR150" s="18"/>
      <c r="AS150" s="18"/>
      <c r="AT150" s="18"/>
    </row>
    <row r="151" spans="2:63" ht="14.45" customHeight="1" x14ac:dyDescent="0.2">
      <c r="B151" s="1362" t="s">
        <v>1447</v>
      </c>
      <c r="C151" s="1363"/>
      <c r="D151" s="1364"/>
      <c r="E151" s="1373">
        <f>P134</f>
        <v>0</v>
      </c>
      <c r="F151" s="1342"/>
      <c r="G151" s="1544"/>
      <c r="H151" s="1544"/>
      <c r="I151" s="1545">
        <f>IF(AND(Y151&lt;0.01,Y151&gt;0),0.01,ROUND(Y151,2))</f>
        <v>0</v>
      </c>
      <c r="J151" s="1545"/>
      <c r="K151" s="1588"/>
      <c r="L151" s="1589"/>
      <c r="M151" s="1589"/>
      <c r="N151" s="1589"/>
      <c r="O151" s="1590"/>
      <c r="P151" s="1631"/>
      <c r="R151" s="688">
        <f>IF(I151&gt;0,I151,E151)</f>
        <v>0</v>
      </c>
      <c r="S151" s="776">
        <f>LARGE($R$138:$R$152,14)</f>
        <v>0</v>
      </c>
      <c r="T151" s="684">
        <f t="shared" si="19"/>
        <v>0</v>
      </c>
      <c r="U151" s="688">
        <f t="shared" si="15"/>
        <v>0</v>
      </c>
      <c r="V151" s="769">
        <f t="shared" si="17"/>
        <v>0</v>
      </c>
      <c r="W151" s="18"/>
      <c r="X151" s="18"/>
      <c r="Y151" s="1028">
        <f t="shared" ref="Y151:Y152" si="21">E151*G151</f>
        <v>0</v>
      </c>
      <c r="Z151" s="85"/>
      <c r="AA151" s="18"/>
      <c r="AB151" s="18"/>
      <c r="AC151" s="18"/>
      <c r="AD151" s="18"/>
      <c r="AE151" s="18"/>
      <c r="AF151" s="18"/>
      <c r="AG151" s="18"/>
      <c r="AH151" s="18"/>
      <c r="AI151" s="18"/>
      <c r="AJ151" s="18"/>
      <c r="AK151" s="18"/>
      <c r="AL151" s="18"/>
      <c r="AM151" s="18"/>
      <c r="AN151" s="18"/>
      <c r="AO151" s="18"/>
      <c r="AP151" s="18"/>
      <c r="AQ151" s="18"/>
      <c r="AR151" s="18"/>
      <c r="AS151" s="18"/>
      <c r="AT151" s="18"/>
    </row>
    <row r="152" spans="2:63" ht="14.45" customHeight="1" x14ac:dyDescent="0.2">
      <c r="B152" s="1408" t="s">
        <v>1254</v>
      </c>
      <c r="C152" s="1408"/>
      <c r="D152" s="1408"/>
      <c r="E152" s="1630">
        <f>P135</f>
        <v>0</v>
      </c>
      <c r="F152" s="1630"/>
      <c r="G152" s="1622"/>
      <c r="H152" s="1622"/>
      <c r="I152" s="1612">
        <f>IF(AND(Y152&lt;0.01,Y152&gt;0),0.01,ROUND(Y152,2))</f>
        <v>0</v>
      </c>
      <c r="J152" s="1612"/>
      <c r="K152" s="1574"/>
      <c r="L152" s="1575"/>
      <c r="M152" s="1575"/>
      <c r="N152" s="1575"/>
      <c r="O152" s="1576"/>
      <c r="P152" s="1631"/>
      <c r="Q152" s="3"/>
      <c r="R152" s="688">
        <f>IF(I152&gt;0,I152,E152)</f>
        <v>0</v>
      </c>
      <c r="S152" s="776">
        <f>LARGE($R$138:$R$152,15)</f>
        <v>0</v>
      </c>
      <c r="T152" s="707"/>
      <c r="U152" s="688"/>
      <c r="V152" s="769">
        <f t="shared" si="17"/>
        <v>0</v>
      </c>
      <c r="W152" s="18"/>
      <c r="X152" s="18"/>
      <c r="Y152" s="1028">
        <f t="shared" si="21"/>
        <v>0</v>
      </c>
      <c r="Z152" s="85"/>
      <c r="AA152" s="18"/>
      <c r="AB152" s="18"/>
      <c r="AC152" s="18"/>
      <c r="AD152" s="18"/>
      <c r="AE152" s="18"/>
      <c r="AF152" s="18"/>
      <c r="AG152" s="18"/>
      <c r="AH152" s="18"/>
      <c r="AI152" s="18"/>
      <c r="AJ152" s="18"/>
      <c r="AK152" s="18"/>
      <c r="AL152" s="18"/>
      <c r="AM152" s="18"/>
      <c r="AN152" s="18"/>
      <c r="AO152" s="18"/>
      <c r="AP152" s="18"/>
      <c r="AQ152" s="18"/>
      <c r="AR152" s="18"/>
      <c r="AS152" s="18"/>
      <c r="AT152" s="18"/>
      <c r="BA152" s="3"/>
    </row>
    <row r="153" spans="2:63" ht="14.25" customHeight="1" x14ac:dyDescent="0.2">
      <c r="B153" s="1568" t="s">
        <v>583</v>
      </c>
      <c r="C153" s="1568"/>
      <c r="D153" s="1568"/>
      <c r="E153" s="1568"/>
      <c r="F153" s="1568"/>
      <c r="G153" s="1568"/>
      <c r="H153" s="1568"/>
      <c r="I153" s="1568"/>
      <c r="J153" s="1568"/>
      <c r="K153" s="1568"/>
      <c r="L153" s="1568"/>
      <c r="M153" s="1568"/>
      <c r="N153" s="1568"/>
      <c r="O153" s="1568"/>
      <c r="P153" s="1623"/>
      <c r="S153" s="19"/>
      <c r="T153" s="177"/>
      <c r="U153" s="157"/>
      <c r="V153" s="18"/>
      <c r="W153" s="18"/>
      <c r="X153" s="18"/>
      <c r="Y153" s="1025"/>
      <c r="Z153" s="85"/>
      <c r="AA153" s="18"/>
      <c r="AB153" s="18"/>
      <c r="AC153" s="18"/>
      <c r="AD153" s="18"/>
      <c r="AE153" s="18"/>
      <c r="AF153" s="18"/>
      <c r="AG153" s="18"/>
      <c r="AH153" s="18"/>
      <c r="AI153" s="18"/>
      <c r="AJ153" s="18"/>
      <c r="AK153" s="18"/>
      <c r="AL153" s="18"/>
      <c r="AM153" s="18"/>
      <c r="AN153" s="18"/>
      <c r="AO153" s="18"/>
      <c r="AP153" s="18"/>
      <c r="AQ153" s="18"/>
      <c r="AR153" s="18"/>
      <c r="AS153" s="18"/>
      <c r="AT153" s="18"/>
    </row>
    <row r="154" spans="2:63" ht="12" customHeight="1" x14ac:dyDescent="0.2">
      <c r="B154" s="10"/>
      <c r="C154" s="10"/>
      <c r="D154" s="10"/>
      <c r="E154" s="10"/>
      <c r="F154" s="10"/>
      <c r="G154" s="10"/>
      <c r="H154" s="10"/>
      <c r="I154" s="10"/>
      <c r="J154" s="10"/>
      <c r="K154" s="10"/>
      <c r="L154" s="10"/>
      <c r="M154" s="10"/>
      <c r="N154" s="10"/>
      <c r="O154" s="10"/>
      <c r="P154" s="10"/>
      <c r="R154" s="18"/>
      <c r="S154" s="18"/>
      <c r="T154" s="18"/>
      <c r="U154" s="18"/>
      <c r="V154" s="18"/>
      <c r="W154" s="18"/>
      <c r="X154" s="18"/>
      <c r="Y154" s="1068"/>
      <c r="Z154" s="1068"/>
      <c r="AA154" s="18"/>
      <c r="AB154" s="18"/>
      <c r="AC154" s="18"/>
      <c r="AD154" s="18"/>
      <c r="AE154" s="18"/>
      <c r="AF154" s="18"/>
      <c r="AG154" s="18"/>
      <c r="AH154" s="18"/>
      <c r="AI154" s="18"/>
      <c r="AJ154" s="18"/>
      <c r="AK154" s="18"/>
      <c r="AL154" s="18"/>
      <c r="AM154" s="18"/>
      <c r="AN154" s="18"/>
      <c r="AO154" s="18"/>
      <c r="AP154" s="18"/>
      <c r="AQ154" s="18"/>
      <c r="AR154" s="18"/>
      <c r="AS154" s="18"/>
      <c r="AT154" s="18"/>
    </row>
    <row r="155" spans="2:63" ht="12" customHeight="1" x14ac:dyDescent="0.2">
      <c r="B155" s="10"/>
      <c r="C155" s="10"/>
      <c r="D155" s="10"/>
      <c r="E155" s="10"/>
      <c r="F155" s="10"/>
      <c r="G155" s="10"/>
      <c r="H155" s="10"/>
      <c r="I155" s="10"/>
      <c r="J155" s="10"/>
      <c r="K155" s="10"/>
      <c r="L155" s="10"/>
      <c r="M155" s="10"/>
      <c r="N155" s="10"/>
      <c r="O155" s="10"/>
      <c r="P155" s="10"/>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row>
    <row r="156" spans="2:63" ht="16.5" customHeight="1" x14ac:dyDescent="0.2">
      <c r="B156" s="1516" t="s">
        <v>584</v>
      </c>
      <c r="C156" s="1517"/>
      <c r="D156" s="1517"/>
      <c r="E156" s="1517"/>
      <c r="F156" s="1517"/>
      <c r="G156" s="1517"/>
      <c r="H156" s="1517"/>
      <c r="I156" s="1517"/>
      <c r="J156" s="1517"/>
      <c r="K156" s="1517"/>
      <c r="L156" s="1517"/>
      <c r="M156" s="1517"/>
      <c r="N156" s="1517"/>
      <c r="O156" s="1517"/>
      <c r="P156" s="15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row>
    <row r="157" spans="2:63" ht="15" customHeight="1" x14ac:dyDescent="0.2">
      <c r="B157" s="1410" t="s">
        <v>1816</v>
      </c>
      <c r="C157" s="1410"/>
      <c r="D157" s="1410"/>
      <c r="E157" s="1410"/>
      <c r="F157" s="1410"/>
      <c r="G157" s="1410"/>
      <c r="H157" s="1410"/>
      <c r="I157" s="1410"/>
      <c r="J157" s="1410"/>
      <c r="K157" s="1410"/>
      <c r="L157" s="1410"/>
      <c r="M157" s="1410"/>
      <c r="N157" s="1410"/>
      <c r="O157" s="1410"/>
      <c r="P157" s="1545">
        <f>SUMIF(S157:Y157,B158,S158:Y158)</f>
        <v>0</v>
      </c>
      <c r="R157" s="1560" t="s">
        <v>1325</v>
      </c>
      <c r="S157" s="769" t="s">
        <v>524</v>
      </c>
      <c r="T157" s="695" t="s">
        <v>1326</v>
      </c>
      <c r="U157" s="769" t="s">
        <v>526</v>
      </c>
      <c r="V157" s="769" t="s">
        <v>1077</v>
      </c>
      <c r="W157" s="769" t="s">
        <v>1080</v>
      </c>
      <c r="X157" s="769" t="s">
        <v>716</v>
      </c>
      <c r="Y157" s="769" t="s">
        <v>590</v>
      </c>
      <c r="Z157" s="18"/>
      <c r="AA157" s="18"/>
      <c r="AB157" s="18"/>
      <c r="AC157" s="18"/>
      <c r="AD157" s="18"/>
      <c r="AE157" s="18"/>
      <c r="AF157" s="18"/>
      <c r="AG157" s="18"/>
      <c r="AH157" s="18"/>
      <c r="AI157" s="18"/>
      <c r="AJ157" s="18"/>
      <c r="AK157" s="19"/>
      <c r="AL157" s="19"/>
      <c r="AM157" s="19"/>
      <c r="AN157" s="19"/>
      <c r="AO157" s="19"/>
      <c r="AP157" s="18"/>
      <c r="AQ157" s="18"/>
      <c r="AR157" s="18"/>
      <c r="AS157" s="18"/>
      <c r="AT157" s="18"/>
      <c r="AU157" s="3"/>
      <c r="AV157" s="3"/>
      <c r="AW157" s="3"/>
      <c r="AX157" s="3"/>
      <c r="AY157" s="3"/>
      <c r="AZ157" s="3"/>
      <c r="BA157" s="3"/>
      <c r="BB157" s="3"/>
      <c r="BC157" s="3"/>
      <c r="BD157" s="3"/>
      <c r="BE157" s="3"/>
      <c r="BF157" s="3"/>
      <c r="BG157" s="3"/>
      <c r="BH157" s="3"/>
      <c r="BI157" s="3"/>
      <c r="BJ157" s="3"/>
      <c r="BK157" s="3"/>
    </row>
    <row r="158" spans="2:63" ht="15" customHeight="1" x14ac:dyDescent="0.2">
      <c r="B158" s="1629"/>
      <c r="C158" s="1629"/>
      <c r="D158" s="1629"/>
      <c r="E158" s="1629"/>
      <c r="F158" s="1629"/>
      <c r="G158" s="1629"/>
      <c r="H158" s="1629"/>
      <c r="I158" s="1629"/>
      <c r="J158" s="1629"/>
      <c r="K158" s="1629"/>
      <c r="L158" s="1629"/>
      <c r="M158" s="1629"/>
      <c r="N158" s="1629"/>
      <c r="O158" s="1629"/>
      <c r="P158" s="1545"/>
      <c r="R158" s="1394"/>
      <c r="S158" s="688">
        <v>0</v>
      </c>
      <c r="T158" s="776">
        <v>0.1</v>
      </c>
      <c r="U158" s="776">
        <v>0.3</v>
      </c>
      <c r="V158" s="776">
        <v>0.5</v>
      </c>
      <c r="W158" s="776">
        <v>0.63</v>
      </c>
      <c r="X158" s="776">
        <v>0.75</v>
      </c>
      <c r="Y158" s="776">
        <v>1</v>
      </c>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3"/>
      <c r="AV158" s="3"/>
      <c r="AW158" s="3"/>
      <c r="AX158" s="3"/>
      <c r="AY158" s="3"/>
      <c r="AZ158" s="3"/>
      <c r="BA158" s="3"/>
      <c r="BB158" s="3"/>
      <c r="BC158" s="3"/>
      <c r="BD158" s="3"/>
      <c r="BE158" s="3"/>
      <c r="BF158" s="3"/>
      <c r="BG158" s="3"/>
      <c r="BH158" s="3"/>
      <c r="BI158" s="3"/>
      <c r="BJ158" s="3"/>
      <c r="BK158" s="3"/>
    </row>
    <row r="159" spans="2:63" ht="15" customHeight="1" x14ac:dyDescent="0.2">
      <c r="B159" s="1592" t="str">
        <f>IF(AND(P157&gt;0.1,B161=""),"Enter specific level of amputation or shortening below.","")</f>
        <v/>
      </c>
      <c r="C159" s="1592"/>
      <c r="D159" s="1592"/>
      <c r="E159" s="1592"/>
      <c r="F159" s="1592"/>
      <c r="G159" s="1592"/>
      <c r="H159" s="1592"/>
      <c r="I159" s="1592"/>
      <c r="J159" s="1592"/>
      <c r="K159" s="1592"/>
      <c r="L159" s="1592"/>
      <c r="M159" s="1592"/>
      <c r="N159" s="1592"/>
      <c r="O159" s="1592"/>
      <c r="P159" s="1592"/>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3"/>
      <c r="AV159" s="3"/>
      <c r="AW159" s="3"/>
      <c r="AX159" s="3"/>
      <c r="AY159" s="3"/>
      <c r="AZ159" s="3"/>
      <c r="BA159" s="3"/>
      <c r="BB159" s="3"/>
      <c r="BC159" s="3"/>
      <c r="BD159" s="3"/>
      <c r="BE159" s="3"/>
    </row>
    <row r="160" spans="2:63" ht="27" customHeight="1" x14ac:dyDescent="0.2">
      <c r="B160" s="1379" t="s">
        <v>588</v>
      </c>
      <c r="C160" s="1379"/>
      <c r="D160" s="1379"/>
      <c r="E160" s="1379"/>
      <c r="F160" s="1379"/>
      <c r="G160" s="1379"/>
      <c r="H160" s="1379"/>
      <c r="I160" s="1379"/>
      <c r="J160" s="1379"/>
      <c r="K160" s="1379"/>
      <c r="L160" s="1379"/>
      <c r="M160" s="1379"/>
      <c r="N160" s="1379"/>
      <c r="O160" s="1379"/>
      <c r="P160" s="1545">
        <f>IF(P157=1,0,U12)</f>
        <v>0</v>
      </c>
      <c r="R160" s="646">
        <f>SUMIF(S160:AD160,B161,S161:AD161)</f>
        <v>0</v>
      </c>
      <c r="S160" s="769" t="s">
        <v>1185</v>
      </c>
      <c r="T160" s="769" t="s">
        <v>1186</v>
      </c>
      <c r="U160" s="769" t="s">
        <v>1187</v>
      </c>
      <c r="V160" s="769" t="s">
        <v>1188</v>
      </c>
      <c r="W160" s="769" t="s">
        <v>1924</v>
      </c>
      <c r="X160" s="769" t="s">
        <v>1925</v>
      </c>
      <c r="Y160" s="769" t="s">
        <v>673</v>
      </c>
      <c r="Z160" s="769" t="s">
        <v>674</v>
      </c>
      <c r="AA160" s="769" t="s">
        <v>675</v>
      </c>
      <c r="AB160" s="769" t="s">
        <v>676</v>
      </c>
      <c r="AC160" s="769" t="s">
        <v>677</v>
      </c>
      <c r="AD160" s="769" t="s">
        <v>678</v>
      </c>
      <c r="AE160" s="18"/>
      <c r="AF160" s="18"/>
      <c r="AG160" s="18"/>
      <c r="AH160" s="18"/>
      <c r="AI160" s="18"/>
      <c r="AJ160" s="18"/>
      <c r="AK160" s="18"/>
      <c r="AL160" s="18"/>
      <c r="AM160" s="18"/>
      <c r="AN160" s="18"/>
      <c r="AO160" s="18"/>
      <c r="AP160" s="18"/>
      <c r="AQ160" s="18"/>
      <c r="AR160" s="18"/>
      <c r="AS160" s="18"/>
      <c r="AT160" s="18"/>
    </row>
    <row r="161" spans="2:84" ht="15" customHeight="1" x14ac:dyDescent="0.2">
      <c r="B161" s="1629"/>
      <c r="C161" s="1629"/>
      <c r="D161" s="1629"/>
      <c r="E161" s="1629"/>
      <c r="F161" s="1629"/>
      <c r="G161" s="1629"/>
      <c r="H161" s="1629"/>
      <c r="I161" s="1629"/>
      <c r="J161" s="1629"/>
      <c r="K161" s="1629"/>
      <c r="L161" s="1629"/>
      <c r="M161" s="1629"/>
      <c r="N161" s="1629"/>
      <c r="O161" s="1629"/>
      <c r="P161" s="1545"/>
      <c r="R161" s="1379" t="s">
        <v>679</v>
      </c>
      <c r="S161" s="776">
        <v>0</v>
      </c>
      <c r="T161" s="776">
        <v>0.05</v>
      </c>
      <c r="U161" s="776">
        <v>0.05</v>
      </c>
      <c r="V161" s="776">
        <v>0.1</v>
      </c>
      <c r="W161" s="776">
        <v>0.15</v>
      </c>
      <c r="X161" s="776">
        <v>0.2</v>
      </c>
      <c r="Y161" s="776">
        <v>0.2</v>
      </c>
      <c r="Z161" s="776">
        <v>0.25</v>
      </c>
      <c r="AA161" s="776">
        <v>0.25</v>
      </c>
      <c r="AB161" s="776">
        <v>0.25</v>
      </c>
      <c r="AC161" s="776">
        <v>0.25</v>
      </c>
      <c r="AD161" s="776">
        <v>0.3</v>
      </c>
      <c r="AE161" s="18"/>
      <c r="AF161" s="18"/>
      <c r="AG161" s="18"/>
      <c r="AH161" s="18"/>
      <c r="AI161" s="18"/>
      <c r="AJ161" s="18"/>
      <c r="AK161" s="18"/>
      <c r="AL161" s="18"/>
      <c r="AM161" s="18"/>
      <c r="AN161" s="18"/>
      <c r="AO161" s="18"/>
      <c r="AP161" s="18"/>
      <c r="AQ161" s="18"/>
      <c r="AR161" s="18"/>
      <c r="AS161" s="18"/>
      <c r="AT161" s="18"/>
    </row>
    <row r="162" spans="2:84" ht="18" customHeight="1" x14ac:dyDescent="0.2">
      <c r="B162" s="1703" t="s">
        <v>680</v>
      </c>
      <c r="C162" s="1703"/>
      <c r="D162" s="1703"/>
      <c r="E162" s="1703"/>
      <c r="F162" s="1703"/>
      <c r="G162" s="1703"/>
      <c r="H162" s="1703"/>
      <c r="I162" s="1703"/>
      <c r="J162" s="1703"/>
      <c r="K162" s="1703"/>
      <c r="L162" s="1703"/>
      <c r="M162" s="1703"/>
      <c r="N162" s="1703"/>
      <c r="O162" s="1703"/>
      <c r="P162" s="1545"/>
      <c r="R162" s="1379"/>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row>
    <row r="163" spans="2:84" ht="7.5" customHeight="1" x14ac:dyDescent="0.2">
      <c r="B163" s="1395"/>
      <c r="C163" s="1395"/>
      <c r="D163" s="1395"/>
      <c r="E163" s="1395"/>
      <c r="F163" s="1395"/>
      <c r="G163" s="1395"/>
      <c r="H163" s="1395"/>
      <c r="I163" s="1395"/>
      <c r="J163" s="1395"/>
      <c r="K163" s="1395"/>
      <c r="L163" s="1395"/>
      <c r="M163" s="1395"/>
      <c r="N163" s="1395"/>
      <c r="O163" s="1395"/>
      <c r="P163" s="182"/>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row>
    <row r="164" spans="2:84" ht="9.75" customHeight="1" x14ac:dyDescent="0.2">
      <c r="B164" s="1395"/>
      <c r="C164" s="1395"/>
      <c r="D164" s="1395"/>
      <c r="E164" s="1395"/>
      <c r="F164" s="1395"/>
      <c r="G164" s="1395"/>
      <c r="H164" s="1395"/>
      <c r="I164" s="1395"/>
      <c r="J164" s="1395"/>
      <c r="K164" s="1395"/>
      <c r="L164" s="1395"/>
      <c r="M164" s="1395"/>
      <c r="N164" s="1395"/>
      <c r="O164" s="1395"/>
      <c r="P164" s="182"/>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row>
    <row r="165" spans="2:84" ht="15" customHeight="1" x14ac:dyDescent="0.2">
      <c r="B165" s="1555" t="s">
        <v>1595</v>
      </c>
      <c r="C165" s="1555"/>
      <c r="D165" s="1555"/>
      <c r="E165" s="1555"/>
      <c r="F165" s="1555"/>
      <c r="G165" s="1555"/>
      <c r="H165" s="1555"/>
      <c r="I165" s="1555"/>
      <c r="J165" s="1555"/>
      <c r="K165" s="1555"/>
      <c r="L165" s="1555"/>
      <c r="M165" s="1555"/>
      <c r="N165" s="1555"/>
      <c r="O165" s="1555"/>
      <c r="P165" s="1373">
        <f>IF(R178=1,"ERROR",IF(AND(AD169&gt;0,AD169&lt;0.01),0.01,ROUND(AD169,2)))</f>
        <v>0</v>
      </c>
      <c r="R165" s="18"/>
      <c r="S165" s="18"/>
      <c r="T165" s="1379" t="s">
        <v>1258</v>
      </c>
      <c r="U165" s="1379" t="s">
        <v>1258</v>
      </c>
      <c r="V165" s="18"/>
      <c r="W165" s="18"/>
      <c r="X165" s="18"/>
      <c r="Y165" s="18"/>
      <c r="Z165" s="18"/>
      <c r="AA165" s="18"/>
      <c r="AB165" s="18"/>
      <c r="AC165" s="1569"/>
      <c r="AD165" s="1569"/>
      <c r="AE165" s="18"/>
      <c r="AF165" s="18"/>
      <c r="AG165" s="18"/>
      <c r="AH165" s="18"/>
      <c r="AI165" s="18"/>
      <c r="AJ165" s="18"/>
      <c r="AK165" s="18"/>
      <c r="AL165" s="18"/>
      <c r="AM165" s="18"/>
      <c r="AN165" s="18"/>
      <c r="AO165" s="18"/>
      <c r="AP165" s="18"/>
      <c r="AQ165" s="18"/>
      <c r="AR165" s="18"/>
      <c r="AS165" s="18"/>
      <c r="AT165" s="18"/>
    </row>
    <row r="166" spans="2:84" ht="27" customHeight="1" x14ac:dyDescent="0.2">
      <c r="B166" s="23" t="s">
        <v>1567</v>
      </c>
      <c r="C166" s="1555" t="s">
        <v>1596</v>
      </c>
      <c r="D166" s="1555"/>
      <c r="E166" s="1555"/>
      <c r="F166" s="1555"/>
      <c r="G166" s="1536" t="s">
        <v>1081</v>
      </c>
      <c r="H166" s="1536"/>
      <c r="I166" s="1536"/>
      <c r="J166" s="1536"/>
      <c r="K166" s="1555"/>
      <c r="L166" s="1555"/>
      <c r="M166" s="1555"/>
      <c r="N166" s="1555"/>
      <c r="O166" s="1555"/>
      <c r="P166" s="1373"/>
      <c r="R166" s="18"/>
      <c r="S166" s="18"/>
      <c r="T166" s="1560"/>
      <c r="U166" s="1560"/>
      <c r="V166" s="18"/>
      <c r="W166" s="18"/>
      <c r="X166" s="18"/>
      <c r="Y166" s="18"/>
      <c r="Z166" s="18"/>
      <c r="AA166" s="1598" t="s">
        <v>2262</v>
      </c>
      <c r="AB166" s="1599"/>
      <c r="AC166" s="1599"/>
      <c r="AD166" s="1600"/>
      <c r="AE166" s="1050"/>
      <c r="AF166" s="18"/>
      <c r="AG166" s="18"/>
      <c r="AH166" s="18"/>
      <c r="AI166" s="18"/>
      <c r="AJ166" s="18"/>
      <c r="AK166" s="18"/>
      <c r="AL166" s="18"/>
      <c r="AM166" s="18"/>
      <c r="AN166" s="18"/>
      <c r="AO166" s="18"/>
      <c r="AP166" s="18"/>
      <c r="AQ166" s="18"/>
      <c r="AR166" s="18"/>
      <c r="AS166" s="18"/>
      <c r="AT166" s="18"/>
    </row>
    <row r="167" spans="2:84" ht="18" customHeight="1" x14ac:dyDescent="0.2">
      <c r="B167" s="23"/>
      <c r="C167" s="1555" t="s">
        <v>365</v>
      </c>
      <c r="D167" s="1555"/>
      <c r="E167" s="1555" t="s">
        <v>1796</v>
      </c>
      <c r="F167" s="1555"/>
      <c r="G167" s="1555" t="s">
        <v>365</v>
      </c>
      <c r="H167" s="1555"/>
      <c r="I167" s="1555" t="s">
        <v>1796</v>
      </c>
      <c r="J167" s="1555"/>
      <c r="K167" s="1555"/>
      <c r="L167" s="1555"/>
      <c r="M167" s="1555"/>
      <c r="N167" s="1555"/>
      <c r="O167" s="1555"/>
      <c r="P167" s="1373"/>
      <c r="R167" s="1025"/>
      <c r="S167" s="1024" t="s">
        <v>1655</v>
      </c>
      <c r="T167" s="1022" t="s">
        <v>1596</v>
      </c>
      <c r="U167" s="774" t="s">
        <v>1597</v>
      </c>
      <c r="V167" s="1555" t="s">
        <v>1083</v>
      </c>
      <c r="W167" s="1555"/>
      <c r="X167" s="1555"/>
      <c r="Y167" s="1555"/>
      <c r="Z167" s="784"/>
      <c r="AA167" s="1601"/>
      <c r="AB167" s="1602"/>
      <c r="AC167" s="1602"/>
      <c r="AD167" s="1603"/>
      <c r="AE167" s="1050"/>
      <c r="AF167" s="18"/>
      <c r="AG167" s="18"/>
      <c r="AH167" s="18"/>
      <c r="AI167" s="18"/>
      <c r="AJ167" s="18"/>
      <c r="AK167" s="18"/>
      <c r="AL167" s="18"/>
      <c r="AM167" s="18"/>
      <c r="AN167" s="18"/>
      <c r="AO167" s="18"/>
      <c r="AP167" s="18"/>
      <c r="AQ167" s="18"/>
      <c r="AR167" s="18"/>
      <c r="AS167" s="18"/>
      <c r="AT167" s="18"/>
    </row>
    <row r="168" spans="2:84" ht="13.5" customHeight="1" x14ac:dyDescent="0.2">
      <c r="B168" s="185" t="s">
        <v>681</v>
      </c>
      <c r="C168" s="1308"/>
      <c r="D168" s="1308"/>
      <c r="E168" s="1558">
        <f>UETable!BF25</f>
        <v>0</v>
      </c>
      <c r="F168" s="1558"/>
      <c r="G168" s="1308"/>
      <c r="H168" s="1308"/>
      <c r="I168" s="1538">
        <f>IF(C168="",0,IF(OR(C168&lt;=0,G168&lt;=0),E168,IF(G168&lt;C168,0,UETable!BK25)))</f>
        <v>0</v>
      </c>
      <c r="J168" s="1538"/>
      <c r="K168" s="1556" t="str">
        <f>IF(OR(C168="NA",G168="NA"),"",IF(AND(C168&lt;&gt;"",G168=""),"Enter contralateral or NA.",IF(AND(C168="",G168&lt;&gt;""),"Need data","")))</f>
        <v/>
      </c>
      <c r="L168" s="1556"/>
      <c r="M168" s="1556"/>
      <c r="N168" s="1556"/>
      <c r="O168" s="1556"/>
      <c r="P168" s="1373"/>
      <c r="R168" s="160"/>
      <c r="S168" s="1024">
        <v>70</v>
      </c>
      <c r="T168" s="1021" t="str">
        <f>IF(OR(C168="",C168="NA"),"",IF(C168&gt;S168,S168,IF(C168&lt;0,0,C168)))</f>
        <v/>
      </c>
      <c r="U168" s="769" t="str">
        <f>IF(OR(G168="",G168="NA"),"",IF(G168&gt;S168,S168,IF(G168&lt;0,0,G168)))</f>
        <v/>
      </c>
      <c r="V168" s="696" t="str">
        <f>IF(Y168="","",ROUND(Y168,0))</f>
        <v/>
      </c>
      <c r="W168" s="1410" t="s">
        <v>1203</v>
      </c>
      <c r="X168" s="1410"/>
      <c r="Y168" s="697" t="str">
        <f>IF(T168="","",IF(OR(U168="",U168=0,U168&lt;T168),T168,(T168*70)/U168))</f>
        <v/>
      </c>
      <c r="Z168" s="18"/>
      <c r="AA168" s="1604"/>
      <c r="AB168" s="1605"/>
      <c r="AC168" s="1605"/>
      <c r="AD168" s="1606"/>
      <c r="AE168" s="1051">
        <f>IF(OR(E170&gt;0,E174&gt;0,E178&gt;0),1,0)</f>
        <v>0</v>
      </c>
      <c r="AF168" s="18"/>
      <c r="AG168" s="18"/>
      <c r="AH168" s="18"/>
      <c r="AI168" s="18"/>
      <c r="AJ168" s="18"/>
      <c r="AK168" s="18"/>
      <c r="AL168" s="18"/>
      <c r="AM168" s="18"/>
      <c r="AN168" s="18"/>
      <c r="AO168" s="18"/>
      <c r="AP168" s="18"/>
      <c r="AQ168" s="18"/>
      <c r="AR168" s="18"/>
      <c r="AS168" s="18"/>
      <c r="AT168" s="18"/>
    </row>
    <row r="169" spans="2:84" ht="13.5" customHeight="1" x14ac:dyDescent="0.2">
      <c r="B169" s="185" t="s">
        <v>682</v>
      </c>
      <c r="C169" s="1308"/>
      <c r="D169" s="1308"/>
      <c r="E169" s="1558">
        <f>UETable!BF26</f>
        <v>0</v>
      </c>
      <c r="F169" s="1558"/>
      <c r="G169" s="1308"/>
      <c r="H169" s="1308"/>
      <c r="I169" s="1538">
        <f>IF(C169="",0,IF(OR(C169&gt;=70,G169&gt;=70),E169,IF(G169&gt;C169,0,UETable!BK26)))</f>
        <v>0</v>
      </c>
      <c r="J169" s="1538"/>
      <c r="K169" s="1556" t="str">
        <f>IF(OR(C169="NA",G169="NA"),"",IF(AND(C169&lt;&gt;"",G169=""),"Enter contralateral or NA.",IF(AND(C169="",G169&lt;&gt;""),"Need data","")))</f>
        <v/>
      </c>
      <c r="L169" s="1556"/>
      <c r="M169" s="1556"/>
      <c r="N169" s="1556"/>
      <c r="O169" s="1556"/>
      <c r="P169" s="1373"/>
      <c r="R169" s="1029"/>
      <c r="S169" s="1024">
        <v>70</v>
      </c>
      <c r="T169" s="1021" t="str">
        <f>IF(OR(C169="",C169="NA"),"",IF(C169&gt;S169,S169,IF(C169&lt;0,0,C169)))</f>
        <v/>
      </c>
      <c r="U169" s="769" t="str">
        <f>IF(OR(G169="",G169="NA"),"",IF(G169&gt;S169,S169,IF(G169&lt;0,0,G169)))</f>
        <v/>
      </c>
      <c r="V169" s="696" t="str">
        <f>IF(Y169="","",ROUND(Y169,0))</f>
        <v/>
      </c>
      <c r="W169" s="769">
        <f>IF(T169="",0,70-T169)</f>
        <v>0</v>
      </c>
      <c r="X169" s="769">
        <f>IF(U169="",0,70-U169)</f>
        <v>0</v>
      </c>
      <c r="Y169" s="697" t="str">
        <f>IF(T169="","",IF(OR(U169="",U169=0,U169&gt;T169),T169,70-(W169*70)/X169))</f>
        <v/>
      </c>
      <c r="Z169" s="18"/>
      <c r="AA169" s="1056">
        <f>IF(E170&gt;0,O171,IF(AND(E170=0,AE168=1,O171&gt;0,C180&gt;0),C180*O171,O171))</f>
        <v>0</v>
      </c>
      <c r="AB169" s="1056">
        <f>IF(E174&gt;0,O175,IF(AND(E174=0,AE168=1,O175&gt;0,C180&gt;0),C180*O175,O175))</f>
        <v>0</v>
      </c>
      <c r="AC169" s="1056">
        <f>IF(E178&gt;0,O179,IF(AND(E178=0,AE168=1,O179&gt;0,C180&gt;0),C180*O179,O179))</f>
        <v>0</v>
      </c>
      <c r="AD169" s="1056">
        <f>IF(AND(AE168=0,C180&gt;0),C180*AD177,AD177)</f>
        <v>0</v>
      </c>
      <c r="AE169" s="1051">
        <f>IF(AD172=AD173,1,0)</f>
        <v>1</v>
      </c>
      <c r="AF169" s="18"/>
      <c r="AG169" s="18"/>
      <c r="AH169" s="18"/>
      <c r="AI169" s="18"/>
      <c r="AJ169" s="18"/>
      <c r="AK169" s="18"/>
      <c r="AL169" s="18"/>
      <c r="AM169" s="18"/>
      <c r="AN169" s="18"/>
      <c r="AO169" s="18"/>
      <c r="AP169" s="18"/>
      <c r="AQ169" s="18"/>
      <c r="AR169" s="18"/>
      <c r="AS169" s="18"/>
      <c r="AT169" s="18"/>
    </row>
    <row r="170" spans="2:84" ht="15" customHeight="1" x14ac:dyDescent="0.2">
      <c r="B170" s="185" t="s">
        <v>683</v>
      </c>
      <c r="C170" s="1308"/>
      <c r="D170" s="1308"/>
      <c r="E170" s="1558">
        <f>IF(AND(C170&lt;&gt;"",C170&lt;&gt;"NA",C169&lt;&gt;"NA",C169&lt;&gt;""),"ERROR",IF(AND(C170&lt;&gt;"",C170&lt;&gt;"NA",C168&lt;&gt;"",C168&lt;&gt;"NA"),"ERROR",UETable!BF27))</f>
        <v>0</v>
      </c>
      <c r="F170" s="1558"/>
      <c r="G170" s="1556" t="str">
        <f>IF(AND(C170&lt;&gt;"",C170&lt;&gt;"NA",C169&lt;&gt;"NA",C169&lt;&gt;""),"ERROR: Cannot rate ROM and ankylosis.",IF(AND(C170&lt;&gt;"",C170&lt;&gt;"NA",C168&lt;&gt;"",C168&lt;&gt;"NA"),"ERROR: Cannot rate ROM and ankylosis.",""))</f>
        <v/>
      </c>
      <c r="H170" s="1556"/>
      <c r="I170" s="1556"/>
      <c r="J170" s="1556"/>
      <c r="K170" s="1556"/>
      <c r="L170" s="1556"/>
      <c r="M170" s="1556"/>
      <c r="N170" s="1556"/>
      <c r="O170" s="1556"/>
      <c r="P170" s="1373"/>
      <c r="R170" s="160"/>
      <c r="S170" s="1024">
        <v>70</v>
      </c>
      <c r="T170" s="1021" t="str">
        <f>IF(OR(C170="",C170="NA"),"",IF(C170&gt;S170,S170,IF(C170&lt;0,0,C170)))</f>
        <v/>
      </c>
      <c r="U170" s="18"/>
      <c r="V170" s="18"/>
      <c r="W170" s="18"/>
      <c r="X170" s="18"/>
      <c r="Y170" s="18"/>
      <c r="Z170" s="18"/>
      <c r="AA170" s="1060"/>
      <c r="AB170" s="1060"/>
      <c r="AC170" s="1060"/>
      <c r="AD170" s="1060"/>
      <c r="AE170" s="1050"/>
      <c r="AF170" s="18"/>
      <c r="AG170" s="18"/>
      <c r="AH170" s="18"/>
      <c r="AI170" s="18"/>
      <c r="AJ170" s="18"/>
      <c r="AK170" s="18"/>
      <c r="AL170" s="18"/>
      <c r="AM170" s="18"/>
      <c r="AN170" s="18"/>
      <c r="AO170" s="18"/>
      <c r="AP170" s="18"/>
      <c r="AQ170" s="18"/>
      <c r="AR170" s="18"/>
      <c r="AS170" s="18"/>
      <c r="AT170" s="18"/>
    </row>
    <row r="171" spans="2:84" x14ac:dyDescent="0.2">
      <c r="B171" s="1613"/>
      <c r="C171" s="1614"/>
      <c r="D171" s="1614"/>
      <c r="E171" s="1614"/>
      <c r="F171" s="1614"/>
      <c r="G171" s="1614"/>
      <c r="H171" s="1614"/>
      <c r="I171" s="1614"/>
      <c r="J171" s="1615"/>
      <c r="K171" s="1568" t="s">
        <v>1842</v>
      </c>
      <c r="L171" s="1568"/>
      <c r="M171" s="1568"/>
      <c r="N171" s="1568"/>
      <c r="O171" s="77">
        <f>IF(E170="ERROR","ERROR",IF(R171&gt;1,1,R171))</f>
        <v>0</v>
      </c>
      <c r="P171" s="1373"/>
      <c r="R171" s="243">
        <f>SUM(I168,I169,E170)</f>
        <v>0</v>
      </c>
      <c r="S171" s="1024"/>
      <c r="T171" s="18"/>
      <c r="U171" s="18"/>
      <c r="V171" s="18"/>
      <c r="W171" s="18"/>
      <c r="X171" s="18"/>
      <c r="Y171" s="18"/>
      <c r="Z171" s="18"/>
      <c r="AA171" s="1050"/>
      <c r="AB171" s="1050"/>
      <c r="AC171" s="1050"/>
      <c r="AD171" s="1050"/>
      <c r="AE171" s="1050"/>
      <c r="AF171" s="18"/>
      <c r="AG171" s="18"/>
      <c r="AH171" s="18"/>
      <c r="AI171" s="18"/>
      <c r="AJ171" s="18"/>
      <c r="AK171" s="18"/>
      <c r="AL171" s="18"/>
      <c r="AM171" s="18"/>
      <c r="AN171" s="18"/>
      <c r="AO171" s="18"/>
      <c r="AP171" s="18"/>
      <c r="AQ171" s="18"/>
      <c r="AR171" s="18"/>
      <c r="AS171" s="18"/>
      <c r="AT171" s="18"/>
    </row>
    <row r="172" spans="2:84" ht="13.5" customHeight="1" x14ac:dyDescent="0.2">
      <c r="B172" s="185" t="s">
        <v>684</v>
      </c>
      <c r="C172" s="1308"/>
      <c r="D172" s="1308"/>
      <c r="E172" s="1558">
        <f>UETable!BF29</f>
        <v>0</v>
      </c>
      <c r="F172" s="1558"/>
      <c r="G172" s="1308"/>
      <c r="H172" s="1308"/>
      <c r="I172" s="1538">
        <f>IF(C172="",0,IF(OR(C172&lt;=0,G172&lt;=0),E172,IF(G172&lt;C172,0,UETable!BK29)))</f>
        <v>0</v>
      </c>
      <c r="J172" s="1538"/>
      <c r="K172" s="1556" t="str">
        <f>IF(OR(C172="NA",G172="NA"),"",IF(AND(C172&lt;&gt;"",G172=""),"Enter contralateral or NA.",IF(AND(C172="",G172&lt;&gt;""),"Need data","")))</f>
        <v/>
      </c>
      <c r="L172" s="1556"/>
      <c r="M172" s="1556"/>
      <c r="N172" s="1556"/>
      <c r="O172" s="1556"/>
      <c r="P172" s="1373"/>
      <c r="R172" s="160"/>
      <c r="S172" s="1024">
        <v>100</v>
      </c>
      <c r="T172" s="1021" t="str">
        <f>IF(OR(C172="",C172="NA"),"",IF(C172&gt;S172,S172,IF(C172&lt;0,0,C172)))</f>
        <v/>
      </c>
      <c r="U172" s="769" t="str">
        <f>IF(OR(G172="",G172="NA"),"",IF(G172&gt;S172,S172,IF(G172&lt;0,0,G172)))</f>
        <v/>
      </c>
      <c r="V172" s="696" t="str">
        <f>IF(Y172="","",ROUND(Y172,0))</f>
        <v/>
      </c>
      <c r="W172" s="1410" t="s">
        <v>1203</v>
      </c>
      <c r="X172" s="1410"/>
      <c r="Y172" s="697" t="str">
        <f>IF(T172="","",IF(OR(U172="",U172=0,U172&lt;T172),T172,(T172*100)/U172))</f>
        <v/>
      </c>
      <c r="Z172" s="18"/>
      <c r="AA172" s="242">
        <f>E170</f>
        <v>0</v>
      </c>
      <c r="AB172" s="242">
        <f>E174</f>
        <v>0</v>
      </c>
      <c r="AC172" s="242">
        <f>E178</f>
        <v>0</v>
      </c>
      <c r="AD172" s="1051">
        <f>COUNTIF(AA172:AC172,"&gt;0")</f>
        <v>0</v>
      </c>
      <c r="AE172" s="1050"/>
      <c r="AF172" s="18"/>
      <c r="AG172" s="18"/>
      <c r="AH172" s="18"/>
      <c r="AI172" s="18"/>
      <c r="AJ172" s="18"/>
      <c r="AK172" s="18"/>
      <c r="AL172" s="18"/>
      <c r="AM172" s="18"/>
      <c r="AN172" s="18"/>
      <c r="AO172" s="18"/>
      <c r="AP172" s="18"/>
      <c r="AQ172" s="18"/>
      <c r="AR172" s="18"/>
      <c r="AS172" s="18"/>
      <c r="AT172" s="18"/>
    </row>
    <row r="173" spans="2:84" ht="13.5" customHeight="1" x14ac:dyDescent="0.2">
      <c r="B173" s="185" t="s">
        <v>685</v>
      </c>
      <c r="C173" s="1308"/>
      <c r="D173" s="1308"/>
      <c r="E173" s="1558">
        <f>UETable!BF30</f>
        <v>0</v>
      </c>
      <c r="F173" s="1558"/>
      <c r="G173" s="1308"/>
      <c r="H173" s="1308"/>
      <c r="I173" s="1538">
        <f>IF(C173="",0,IF(OR(C173&gt;=100,G173&gt;=100),E173,IF(G173&gt;C173,0,UETable!BK30)))</f>
        <v>0</v>
      </c>
      <c r="J173" s="1538"/>
      <c r="K173" s="1556" t="str">
        <f>IF(OR(C173="NA",G173="NA"),"",IF(AND(C173&lt;&gt;"",G173=""),"Enter contralateral or NA.",IF(AND(C173="",G173&lt;&gt;""),"Need data","")))</f>
        <v/>
      </c>
      <c r="L173" s="1556"/>
      <c r="M173" s="1556"/>
      <c r="N173" s="1556"/>
      <c r="O173" s="1556"/>
      <c r="P173" s="1373"/>
      <c r="R173" s="1029"/>
      <c r="S173" s="1024">
        <v>100</v>
      </c>
      <c r="T173" s="1021" t="str">
        <f>IF(OR(C173="",C173="NA"),"",IF(C173&gt;S173,S173,IF(C173&lt;0,0,C173)))</f>
        <v/>
      </c>
      <c r="U173" s="769" t="str">
        <f>IF(OR(G173="",G173="NA"),"",IF(G173&gt;S173,S173,IF(G173&lt;0,0,G173)))</f>
        <v/>
      </c>
      <c r="V173" s="696" t="str">
        <f>IF(Y173="","",ROUND(Y173,0))</f>
        <v/>
      </c>
      <c r="W173" s="769">
        <f>IF(T173="",0,100-T173)</f>
        <v>0</v>
      </c>
      <c r="X173" s="769">
        <f>IF(U173="",0,100-U173)</f>
        <v>0</v>
      </c>
      <c r="Y173" s="697" t="str">
        <f>IF(T173="","",IF(OR(U173="",U173=0,U173&gt;T173),T173,100-(W173*100)/X173))</f>
        <v/>
      </c>
      <c r="Z173" s="18"/>
      <c r="AA173" s="242">
        <f>O171</f>
        <v>0</v>
      </c>
      <c r="AB173" s="242">
        <f>O175</f>
        <v>0</v>
      </c>
      <c r="AC173" s="242">
        <f>O179</f>
        <v>0</v>
      </c>
      <c r="AD173" s="1051">
        <f>COUNTIF(AA173:AC173,"&gt;0")</f>
        <v>0</v>
      </c>
      <c r="AE173" s="1050"/>
      <c r="AF173" s="18"/>
      <c r="AG173" s="18"/>
      <c r="AH173" s="18"/>
      <c r="AI173" s="18"/>
      <c r="AJ173" s="18"/>
      <c r="AK173" s="18"/>
      <c r="AL173" s="18"/>
      <c r="AM173" s="18"/>
      <c r="AN173" s="18"/>
      <c r="AO173" s="18"/>
      <c r="AP173" s="18"/>
      <c r="AQ173" s="18"/>
      <c r="AR173" s="18"/>
      <c r="AS173" s="18"/>
      <c r="AT173" s="18"/>
    </row>
    <row r="174" spans="2:84" ht="15" customHeight="1" x14ac:dyDescent="0.2">
      <c r="B174" s="185" t="s">
        <v>686</v>
      </c>
      <c r="C174" s="1308"/>
      <c r="D174" s="1308"/>
      <c r="E174" s="1558">
        <f>IF(AND(C174&lt;&gt;"",C174&lt;&gt;"NA",C173&lt;&gt;"NA",C173&lt;&gt;""),"ERROR",IF(AND(C174&lt;&gt;"",C174&lt;&gt;"NA",C172&lt;&gt;"",C172&lt;&gt;"NA"),"ERROR",UETable!BF31))</f>
        <v>0</v>
      </c>
      <c r="F174" s="1558"/>
      <c r="G174" s="1556" t="str">
        <f>IF(AND(C174&lt;&gt;"",C174&lt;&gt;"NA",C173&lt;&gt;"NA",C173&lt;&gt;""),"ERROR: Cannot rate ROM and ankylosis.",IF(AND(C174&lt;&gt;"",C174&lt;&gt;"NA",C172&lt;&gt;"",C172&lt;&gt;"NA"),"ERROR: Cannot rate ROM and ankylosis.",""))</f>
        <v/>
      </c>
      <c r="H174" s="1556"/>
      <c r="I174" s="1556"/>
      <c r="J174" s="1556"/>
      <c r="K174" s="1556"/>
      <c r="L174" s="1556"/>
      <c r="M174" s="1556"/>
      <c r="N174" s="1556"/>
      <c r="O174" s="1556"/>
      <c r="P174" s="1373"/>
      <c r="R174" s="1025"/>
      <c r="S174" s="1024">
        <v>100</v>
      </c>
      <c r="T174" s="1021" t="str">
        <f>IF(OR(C174="",C174="NA"),"",IF(C174&gt;S174,S174,IF(C174&lt;0,0,C174)))</f>
        <v/>
      </c>
      <c r="U174" s="18"/>
      <c r="V174" s="18"/>
      <c r="W174" s="18"/>
      <c r="X174" s="18"/>
      <c r="Y174" s="18"/>
      <c r="Z174" s="18"/>
      <c r="AA174" s="1050"/>
      <c r="AB174" s="1050"/>
      <c r="AC174" s="1050"/>
      <c r="AD174" s="1050"/>
      <c r="AE174" s="1050"/>
      <c r="AF174" s="18"/>
      <c r="AG174" s="18"/>
      <c r="AH174" s="18"/>
      <c r="AI174" s="18"/>
      <c r="AJ174" s="18"/>
      <c r="AK174" s="18"/>
      <c r="AL174" s="18"/>
      <c r="AM174" s="18"/>
      <c r="AN174" s="18"/>
      <c r="AO174" s="18"/>
      <c r="AP174" s="18"/>
      <c r="AQ174" s="18"/>
      <c r="AR174" s="18"/>
      <c r="AS174" s="18"/>
      <c r="AT174" s="18"/>
    </row>
    <row r="175" spans="2:84" x14ac:dyDescent="0.2">
      <c r="B175" s="1613"/>
      <c r="C175" s="1614"/>
      <c r="D175" s="1614"/>
      <c r="E175" s="1614"/>
      <c r="F175" s="1614"/>
      <c r="G175" s="1614"/>
      <c r="H175" s="1614"/>
      <c r="I175" s="1614"/>
      <c r="J175" s="1615"/>
      <c r="K175" s="1568" t="s">
        <v>1842</v>
      </c>
      <c r="L175" s="1568"/>
      <c r="M175" s="1568"/>
      <c r="N175" s="1568"/>
      <c r="O175" s="77">
        <f>IF(E174="ERROR","ERROR",IF(R175&gt;1,1,R175))</f>
        <v>0</v>
      </c>
      <c r="P175" s="1373"/>
      <c r="R175" s="243">
        <f>SUM(I172,I173,E174)</f>
        <v>0</v>
      </c>
      <c r="S175" s="1024"/>
      <c r="T175" s="18"/>
      <c r="U175" s="18"/>
      <c r="V175" s="18"/>
      <c r="W175" s="18"/>
      <c r="X175" s="18"/>
      <c r="Y175" s="18"/>
      <c r="Z175" s="18"/>
      <c r="AA175" s="1054" t="s">
        <v>1307</v>
      </c>
      <c r="AB175" s="1054" t="s">
        <v>1305</v>
      </c>
      <c r="AC175" s="1048" t="s">
        <v>1306</v>
      </c>
      <c r="AD175" s="1048" t="s">
        <v>1307</v>
      </c>
      <c r="AE175" s="1050"/>
      <c r="AF175" s="18"/>
      <c r="AG175" s="18"/>
      <c r="AH175" s="18"/>
      <c r="AI175" s="18"/>
      <c r="AJ175" s="18"/>
      <c r="AK175" s="18"/>
      <c r="AL175" s="18"/>
      <c r="AM175" s="18"/>
      <c r="AN175" s="18"/>
      <c r="AO175" s="18"/>
      <c r="AP175" s="18"/>
      <c r="AQ175" s="18"/>
      <c r="AR175" s="18"/>
      <c r="AS175" s="18"/>
      <c r="AT175" s="18"/>
    </row>
    <row r="176" spans="2:84" ht="13.5" customHeight="1" x14ac:dyDescent="0.2">
      <c r="B176" s="185" t="s">
        <v>1578</v>
      </c>
      <c r="C176" s="1308"/>
      <c r="D176" s="1308"/>
      <c r="E176" s="1558">
        <f>UETable!BF33</f>
        <v>0</v>
      </c>
      <c r="F176" s="1558"/>
      <c r="G176" s="1308"/>
      <c r="H176" s="1308"/>
      <c r="I176" s="1538">
        <f>IF(C176="",0,IF(OR(C176&lt;=0,G176&lt;=0),E176,IF(G176&lt;C176,0,UETable!BK33)))</f>
        <v>0</v>
      </c>
      <c r="J176" s="1538"/>
      <c r="K176" s="1556" t="str">
        <f>IF(OR(C176="NA",G176="NA"),"",IF(AND(C176&lt;&gt;"",G176=""),"Enter contralateral or NA.",IF(AND(C176="",G176&lt;&gt;""),"Need data","")))</f>
        <v/>
      </c>
      <c r="L176" s="1556"/>
      <c r="M176" s="1556"/>
      <c r="N176" s="1556"/>
      <c r="O176" s="1556"/>
      <c r="P176" s="1373"/>
      <c r="R176" s="1025"/>
      <c r="S176" s="1024">
        <v>90</v>
      </c>
      <c r="T176" s="1021" t="str">
        <f>IF(OR(C176="",C176="NA"),"",IF(C176&gt;S176,S176,IF(C176&lt;0,0,C176)))</f>
        <v/>
      </c>
      <c r="U176" s="769" t="str">
        <f>IF(OR(G176="",G176="NA"),"",IF(G176&gt;S176,S176,IF(G176&lt;0,0,G176)))</f>
        <v/>
      </c>
      <c r="V176" s="696" t="str">
        <f>IF(Y176="","",ROUND(Y176,0))</f>
        <v/>
      </c>
      <c r="W176" s="1410" t="s">
        <v>1203</v>
      </c>
      <c r="X176" s="1410"/>
      <c r="Y176" s="697" t="str">
        <f>IF(T176="","",IF(OR(U176="",U176=0,U176&lt;T176),T176,(T176*90)/U176))</f>
        <v/>
      </c>
      <c r="Z176" s="18"/>
      <c r="AA176" s="1053">
        <f>IF(AND(AA169&gt;0,AA169&lt;0.01),0.01,ROUND(AA169,2))</f>
        <v>0</v>
      </c>
      <c r="AB176" s="1052">
        <f>LARGE(AA176:AA178,1)</f>
        <v>0</v>
      </c>
      <c r="AC176" s="1053">
        <f>AB176+AB177*(1-AB176)</f>
        <v>0</v>
      </c>
      <c r="AD176" s="1053">
        <f>ROUND(AC176,2)</f>
        <v>0</v>
      </c>
      <c r="AE176" s="1050"/>
      <c r="AF176" s="18"/>
      <c r="AG176" s="18"/>
      <c r="AH176" s="18"/>
      <c r="AI176" s="18"/>
      <c r="AJ176" s="18"/>
      <c r="AK176" s="18"/>
      <c r="AL176" s="18"/>
      <c r="AM176" s="18"/>
      <c r="AN176" s="18"/>
      <c r="AO176" s="18"/>
      <c r="AP176" s="18"/>
      <c r="AQ176" s="18"/>
      <c r="AR176" s="18"/>
      <c r="AS176" s="18"/>
      <c r="AT176" s="18"/>
    </row>
    <row r="177" spans="1:109" ht="13.5" customHeight="1" x14ac:dyDescent="0.2">
      <c r="B177" s="185" t="s">
        <v>1579</v>
      </c>
      <c r="C177" s="1308"/>
      <c r="D177" s="1308"/>
      <c r="E177" s="1558">
        <f>UETable!BF34</f>
        <v>0</v>
      </c>
      <c r="F177" s="1558"/>
      <c r="G177" s="1308"/>
      <c r="H177" s="1308"/>
      <c r="I177" s="1538">
        <f>IF(C177="",0,IF(OR(C177&gt;=90,G177&gt;=90),E177,IF(G177&gt;C177,0,UETable!BK34)))</f>
        <v>0</v>
      </c>
      <c r="J177" s="1538"/>
      <c r="K177" s="1556" t="str">
        <f>IF(OR(C177="NA",G177="NA"),"",IF(AND(C177&lt;&gt;"",G177=""),"Enter contralateral or NA.",IF(AND(C177="",G177&lt;&gt;""),"Need data","")))</f>
        <v/>
      </c>
      <c r="L177" s="1556"/>
      <c r="M177" s="1556"/>
      <c r="N177" s="1556"/>
      <c r="O177" s="1556"/>
      <c r="P177" s="1373"/>
      <c r="R177" s="1025"/>
      <c r="S177" s="1024">
        <v>90</v>
      </c>
      <c r="T177" s="1021" t="str">
        <f>IF(OR(C177="",C177="NA"),"",IF(C177&gt;S177,S177,IF(C177&lt;0,0,C177)))</f>
        <v/>
      </c>
      <c r="U177" s="769" t="str">
        <f>IF(OR(G177="",G177="NA"),"",IF(G177&gt;S177,S177,IF(G177&lt;0,0,G177)))</f>
        <v/>
      </c>
      <c r="V177" s="696" t="str">
        <f>IF(Y177="","",ROUND(Y177,0))</f>
        <v/>
      </c>
      <c r="W177" s="769">
        <f>IF(T177="",0,90-T177)</f>
        <v>0</v>
      </c>
      <c r="X177" s="769">
        <f>IF(U177="",0,90-U177)</f>
        <v>0</v>
      </c>
      <c r="Y177" s="697" t="str">
        <f>IF(T177="","",IF(OR(U177="",U177=0,U177&gt;T177),T177,90-(W177*90)/X177))</f>
        <v/>
      </c>
      <c r="Z177" s="18"/>
      <c r="AA177" s="1053">
        <f>IF(AND(AB169&gt;0,AB169&lt;0.01),0.01,ROUND(AB169,2))</f>
        <v>0</v>
      </c>
      <c r="AB177" s="1052">
        <f>LARGE(AA176:AA178,2)</f>
        <v>0</v>
      </c>
      <c r="AC177" s="684">
        <f>AD176+AB178*(1-AD176)</f>
        <v>0</v>
      </c>
      <c r="AD177" s="1053">
        <f>ROUND(AC177,2)</f>
        <v>0</v>
      </c>
      <c r="AE177" s="1050"/>
      <c r="AF177" s="18"/>
      <c r="AG177" s="18"/>
      <c r="AH177" s="18"/>
      <c r="AI177" s="18"/>
      <c r="AJ177" s="18"/>
      <c r="AK177" s="18"/>
      <c r="AL177" s="18"/>
      <c r="AM177" s="18"/>
      <c r="AN177" s="18"/>
      <c r="AO177" s="18"/>
      <c r="AP177" s="18"/>
      <c r="AQ177" s="18"/>
      <c r="AR177" s="18"/>
      <c r="AS177" s="18"/>
      <c r="AT177" s="18"/>
    </row>
    <row r="178" spans="1:109" ht="15" customHeight="1" x14ac:dyDescent="0.2">
      <c r="B178" s="185" t="s">
        <v>643</v>
      </c>
      <c r="C178" s="1308"/>
      <c r="D178" s="1308"/>
      <c r="E178" s="1558">
        <f>IF(AND(C178&lt;&gt;"",C178&lt;&gt;"NA",C177&lt;&gt;"NA",C177&lt;&gt;""),"ERROR",IF(AND(C178&lt;&gt;"",C178&lt;&gt;"NA",C176&lt;&gt;"",C176&lt;&gt;"NA"),"ERROR",UETable!BF35))</f>
        <v>0</v>
      </c>
      <c r="F178" s="1558"/>
      <c r="G178" s="1556" t="str">
        <f>IF(AND(C178&lt;&gt;"",C178&lt;&gt;"NA",C177&lt;&gt;"NA",C177&lt;&gt;""),"ERROR: Cannot rate ROM and ankylosis.",IF(AND(C178&lt;&gt;"",C178&lt;&gt;"NA",C176&lt;&gt;"",C176&lt;&gt;"NA"),"ERROR: Cannot rate ROM and ankylosis.",""))</f>
        <v/>
      </c>
      <c r="H178" s="1556"/>
      <c r="I178" s="1556"/>
      <c r="J178" s="1556"/>
      <c r="K178" s="1556"/>
      <c r="L178" s="1556"/>
      <c r="M178" s="1556"/>
      <c r="N178" s="1556"/>
      <c r="O178" s="1556"/>
      <c r="P178" s="1373"/>
      <c r="R178" s="1024">
        <f>IF(OR(O171="ERROR",O175="ERROR",O179="ERROR"),1,0)</f>
        <v>0</v>
      </c>
      <c r="S178" s="1021">
        <v>90</v>
      </c>
      <c r="T178" s="1021" t="str">
        <f>IF(OR(C178="",C178="NA"),"",IF(C178&gt;S178,S178,IF(C178&lt;0,0,C178)))</f>
        <v/>
      </c>
      <c r="U178" s="18"/>
      <c r="V178" s="18"/>
      <c r="W178" s="18"/>
      <c r="X178" s="18"/>
      <c r="Y178" s="18"/>
      <c r="Z178" s="18"/>
      <c r="AA178" s="1053">
        <f>IF(AND(AC169&gt;0,AC169&lt;0.01),0.01,ROUND(AC169,2))</f>
        <v>0</v>
      </c>
      <c r="AB178" s="1052">
        <f>LARGE(AA176:AA178,3)</f>
        <v>0</v>
      </c>
      <c r="AC178" s="1047"/>
      <c r="AD178" s="1047"/>
      <c r="AE178" s="1050"/>
      <c r="AF178" s="18"/>
      <c r="AG178" s="18"/>
      <c r="AH178" s="18"/>
      <c r="AI178" s="18"/>
      <c r="AJ178" s="18"/>
      <c r="AK178" s="18"/>
      <c r="AL178" s="18"/>
      <c r="AM178" s="18"/>
      <c r="AN178" s="18"/>
      <c r="AO178" s="18"/>
      <c r="AP178" s="18"/>
      <c r="AQ178" s="18"/>
      <c r="AR178" s="18"/>
      <c r="AS178" s="18"/>
      <c r="AT178" s="18"/>
    </row>
    <row r="179" spans="1:109" ht="12.75" customHeight="1" x14ac:dyDescent="0.2">
      <c r="B179" s="1045"/>
      <c r="C179" s="1046"/>
      <c r="D179" s="1046"/>
      <c r="E179" s="1796" t="str">
        <f>IF(AND(OR(E170&gt;0,E174&gt;0,E178&gt;0),C180&gt;0),"Note: Ankylosis is not apportioned.","")</f>
        <v/>
      </c>
      <c r="F179" s="1796"/>
      <c r="G179" s="1796"/>
      <c r="H179" s="1796"/>
      <c r="I179" s="1796"/>
      <c r="J179" s="1568" t="s">
        <v>1842</v>
      </c>
      <c r="K179" s="1568"/>
      <c r="L179" s="1568"/>
      <c r="M179" s="1568"/>
      <c r="N179" s="1568"/>
      <c r="O179" s="77">
        <f>IF(E178="ERROR","ERROR",IF(R179&gt;1,1,R179))</f>
        <v>0</v>
      </c>
      <c r="P179" s="1373"/>
      <c r="R179" s="243">
        <f>SUM(I176,I177,E178)</f>
        <v>0</v>
      </c>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row>
    <row r="180" spans="1:109" ht="18" customHeight="1" x14ac:dyDescent="0.2">
      <c r="B180" s="1049" t="s">
        <v>2259</v>
      </c>
      <c r="C180" s="1544"/>
      <c r="D180" s="1577"/>
      <c r="E180" s="1796"/>
      <c r="F180" s="1796"/>
      <c r="G180" s="1796"/>
      <c r="H180" s="1796"/>
      <c r="I180" s="1796"/>
      <c r="J180" s="1568" t="s">
        <v>77</v>
      </c>
      <c r="K180" s="1568"/>
      <c r="L180" s="1568"/>
      <c r="M180" s="1568"/>
      <c r="N180" s="1568"/>
      <c r="O180" s="1568"/>
      <c r="P180" s="1373"/>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row>
    <row r="181" spans="1:109" ht="12" customHeight="1" x14ac:dyDescent="0.2">
      <c r="B181" s="1395"/>
      <c r="C181" s="1395"/>
      <c r="D181" s="1395"/>
      <c r="E181" s="1395"/>
      <c r="F181" s="1395"/>
      <c r="G181" s="1395"/>
      <c r="H181" s="1395"/>
      <c r="I181" s="1395"/>
      <c r="J181" s="1395"/>
      <c r="K181" s="1395"/>
      <c r="L181" s="1395"/>
      <c r="M181" s="1395"/>
      <c r="N181" s="1395"/>
      <c r="O181" s="1395"/>
      <c r="P181" s="182"/>
      <c r="R181" s="18"/>
      <c r="S181" s="1487" t="s">
        <v>2197</v>
      </c>
      <c r="T181" s="1487"/>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row>
    <row r="182" spans="1:109" ht="14.25" customHeight="1" x14ac:dyDescent="0.2">
      <c r="A182" s="189"/>
      <c r="B182" s="1581" t="s">
        <v>969</v>
      </c>
      <c r="C182" s="1582"/>
      <c r="D182" s="1543"/>
      <c r="E182" s="1543"/>
      <c r="F182" s="1587" t="s">
        <v>1229</v>
      </c>
      <c r="G182" s="1587"/>
      <c r="H182" s="1587"/>
      <c r="I182" s="1587"/>
      <c r="J182" s="1587"/>
      <c r="K182" s="1587"/>
      <c r="L182" s="1587"/>
      <c r="M182" s="1587"/>
      <c r="N182" s="1587"/>
      <c r="O182" s="1587"/>
      <c r="P182" s="95">
        <f>IF(T182=1,0.1,0)</f>
        <v>0</v>
      </c>
      <c r="R182" s="18"/>
      <c r="S182" s="686" t="b">
        <v>0</v>
      </c>
      <c r="T182" s="769">
        <f>IF(S182=TRUE,1,0)</f>
        <v>0</v>
      </c>
      <c r="W182" s="18"/>
      <c r="X182" s="18"/>
      <c r="Y182" s="18"/>
      <c r="Z182" s="18"/>
      <c r="AA182" s="18"/>
      <c r="AB182" s="18"/>
      <c r="AC182" s="18"/>
      <c r="AD182" s="18"/>
      <c r="AE182" s="18"/>
      <c r="AF182" s="18"/>
      <c r="AG182" s="18">
        <v>1E-4</v>
      </c>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row>
    <row r="183" spans="1:109" x14ac:dyDescent="0.2">
      <c r="B183" s="1583"/>
      <c r="C183" s="1584"/>
      <c r="D183" s="1543"/>
      <c r="E183" s="1543"/>
      <c r="F183" s="1587" t="s">
        <v>1231</v>
      </c>
      <c r="G183" s="1587"/>
      <c r="H183" s="1587"/>
      <c r="I183" s="1587"/>
      <c r="J183" s="1587"/>
      <c r="K183" s="1587"/>
      <c r="L183" s="1587"/>
      <c r="M183" s="1587"/>
      <c r="N183" s="1587"/>
      <c r="O183" s="1587"/>
      <c r="P183" s="95">
        <f>IF(T183=1,0.1,0)</f>
        <v>0</v>
      </c>
      <c r="R183" s="18"/>
      <c r="S183" s="686" t="b">
        <v>0</v>
      </c>
      <c r="T183" s="769">
        <f>IF(S183=TRUE,1,0)</f>
        <v>0</v>
      </c>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row>
    <row r="184" spans="1:109" x14ac:dyDescent="0.2">
      <c r="B184" s="1583"/>
      <c r="C184" s="1584"/>
      <c r="D184" s="1543"/>
      <c r="E184" s="1543"/>
      <c r="F184" s="1587" t="s">
        <v>1230</v>
      </c>
      <c r="G184" s="1587"/>
      <c r="H184" s="1587"/>
      <c r="I184" s="1587"/>
      <c r="J184" s="1587"/>
      <c r="K184" s="1587"/>
      <c r="L184" s="1587"/>
      <c r="M184" s="1587"/>
      <c r="N184" s="1587"/>
      <c r="O184" s="1587"/>
      <c r="P184" s="95">
        <f>IF(T184=1,0.1,0)</f>
        <v>0</v>
      </c>
      <c r="R184" s="18"/>
      <c r="S184" s="686" t="b">
        <v>0</v>
      </c>
      <c r="T184" s="769">
        <f>IF(S184=TRUE,1,0)</f>
        <v>0</v>
      </c>
      <c r="U184" s="164"/>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row>
    <row r="185" spans="1:109" x14ac:dyDescent="0.2">
      <c r="B185" s="1585"/>
      <c r="C185" s="1586"/>
      <c r="D185" s="1543"/>
      <c r="E185" s="1543"/>
      <c r="F185" s="1587" t="s">
        <v>1232</v>
      </c>
      <c r="G185" s="1587"/>
      <c r="H185" s="1587"/>
      <c r="I185" s="1587"/>
      <c r="J185" s="1587"/>
      <c r="K185" s="1587"/>
      <c r="L185" s="1587"/>
      <c r="M185" s="1587"/>
      <c r="N185" s="1587"/>
      <c r="O185" s="1587"/>
      <c r="P185" s="95">
        <f>IF(T185=1,0.1,0)</f>
        <v>0</v>
      </c>
      <c r="R185" s="18"/>
      <c r="S185" s="686" t="b">
        <v>0</v>
      </c>
      <c r="T185" s="769">
        <f>IF(S185=TRUE,1,0)</f>
        <v>0</v>
      </c>
      <c r="U185" s="164"/>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row>
    <row r="186" spans="1:109" ht="12" customHeight="1" x14ac:dyDescent="0.2">
      <c r="B186" s="1395"/>
      <c r="C186" s="1395"/>
      <c r="D186" s="1395"/>
      <c r="E186" s="1395"/>
      <c r="F186" s="1395"/>
      <c r="G186" s="1395"/>
      <c r="H186" s="1395"/>
      <c r="I186" s="1395"/>
      <c r="J186" s="1395"/>
      <c r="K186" s="1395"/>
      <c r="L186" s="1395"/>
      <c r="M186" s="1395"/>
      <c r="N186" s="1395"/>
      <c r="O186" s="1395"/>
      <c r="P186" s="182"/>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row>
    <row r="187" spans="1:109" ht="12" customHeight="1" x14ac:dyDescent="0.2">
      <c r="B187" s="604"/>
      <c r="C187" s="1607" t="s">
        <v>248</v>
      </c>
      <c r="D187" s="1597"/>
      <c r="E187" s="1596" t="s">
        <v>249</v>
      </c>
      <c r="F187" s="1597"/>
      <c r="G187" s="434"/>
      <c r="H187" s="436"/>
      <c r="I187" s="1625" t="s">
        <v>250</v>
      </c>
      <c r="J187" s="1597"/>
      <c r="K187" s="595"/>
      <c r="L187" s="436"/>
      <c r="M187" s="1596" t="s">
        <v>249</v>
      </c>
      <c r="N187" s="1597"/>
      <c r="O187" s="435"/>
      <c r="P187" s="611"/>
      <c r="Z187" s="601"/>
      <c r="AE187" s="600"/>
      <c r="AF187" s="600"/>
      <c r="AG187" s="600"/>
      <c r="AH187" s="600"/>
      <c r="AI187" s="600"/>
      <c r="AJ187" s="600"/>
      <c r="AK187" s="600"/>
      <c r="AL187" s="600"/>
      <c r="AM187" s="600"/>
      <c r="AN187" s="600"/>
    </row>
    <row r="188" spans="1:109" ht="12" customHeight="1" x14ac:dyDescent="0.2">
      <c r="B188" s="605"/>
      <c r="C188" s="1610" t="s">
        <v>251</v>
      </c>
      <c r="D188" s="1580"/>
      <c r="E188" s="1610" t="s">
        <v>252</v>
      </c>
      <c r="F188" s="1580"/>
      <c r="G188" s="1610" t="s">
        <v>253</v>
      </c>
      <c r="H188" s="1580"/>
      <c r="I188" s="1579" t="s">
        <v>254</v>
      </c>
      <c r="J188" s="1580"/>
      <c r="K188" s="1610" t="s">
        <v>255</v>
      </c>
      <c r="L188" s="1580"/>
      <c r="M188" s="1610" t="s">
        <v>256</v>
      </c>
      <c r="N188" s="1580"/>
      <c r="O188" s="3"/>
      <c r="P188" s="612"/>
      <c r="Z188" s="418"/>
      <c r="AE188" s="600"/>
      <c r="AF188" s="600"/>
      <c r="AG188" s="600"/>
      <c r="AH188" s="600"/>
      <c r="AI188" s="600"/>
      <c r="AJ188" s="600"/>
      <c r="AK188" s="600"/>
      <c r="AL188" s="600"/>
      <c r="AM188" s="600"/>
      <c r="AN188" s="600"/>
    </row>
    <row r="189" spans="1:109" ht="12" customHeight="1" x14ac:dyDescent="0.2">
      <c r="B189" s="605"/>
      <c r="C189" s="1552" t="s">
        <v>257</v>
      </c>
      <c r="D189" s="1553"/>
      <c r="E189" s="1552" t="s">
        <v>258</v>
      </c>
      <c r="F189" s="1553"/>
      <c r="G189" s="1552" t="s">
        <v>259</v>
      </c>
      <c r="H189" s="1553"/>
      <c r="I189" s="1635" t="s">
        <v>260</v>
      </c>
      <c r="J189" s="1553"/>
      <c r="K189" s="1552" t="s">
        <v>259</v>
      </c>
      <c r="L189" s="1553"/>
      <c r="M189" s="1552" t="s">
        <v>258</v>
      </c>
      <c r="N189" s="1553"/>
      <c r="O189" s="3"/>
      <c r="P189" s="612"/>
      <c r="AH189" s="783">
        <v>1</v>
      </c>
      <c r="AI189" s="783">
        <v>2</v>
      </c>
      <c r="AJ189" s="783">
        <v>3</v>
      </c>
      <c r="AK189" s="783">
        <v>4</v>
      </c>
      <c r="AM189" s="600"/>
      <c r="AN189" s="600"/>
      <c r="AO189" s="600"/>
      <c r="AP189" s="600"/>
      <c r="AQ189" s="600"/>
      <c r="AR189" s="600"/>
      <c r="AS189" s="600"/>
      <c r="AT189" s="600"/>
      <c r="AU189" s="600"/>
      <c r="AV189" s="600"/>
    </row>
    <row r="190" spans="1:109" ht="12" customHeight="1" x14ac:dyDescent="0.2">
      <c r="B190" s="679" t="s">
        <v>1986</v>
      </c>
      <c r="C190" s="1608" t="s">
        <v>261</v>
      </c>
      <c r="D190" s="1609"/>
      <c r="E190" s="1608" t="s">
        <v>261</v>
      </c>
      <c r="F190" s="1609"/>
      <c r="G190" s="1608" t="s">
        <v>261</v>
      </c>
      <c r="H190" s="1609"/>
      <c r="I190" s="1608" t="s">
        <v>261</v>
      </c>
      <c r="J190" s="1609"/>
      <c r="K190" s="1608" t="s">
        <v>261</v>
      </c>
      <c r="L190" s="1609"/>
      <c r="M190" s="1608" t="s">
        <v>261</v>
      </c>
      <c r="N190" s="1609"/>
      <c r="O190" s="3"/>
      <c r="P190" s="612"/>
      <c r="S190" s="1516" t="s">
        <v>2197</v>
      </c>
      <c r="T190" s="1517"/>
      <c r="U190" s="1517"/>
      <c r="V190" s="1517"/>
      <c r="W190" s="1517"/>
      <c r="X190" s="1518"/>
      <c r="Y190" s="599"/>
      <c r="Z190" s="599"/>
      <c r="AA190" s="1562" t="s">
        <v>2197</v>
      </c>
      <c r="AB190" s="1563"/>
      <c r="AC190" s="1563"/>
      <c r="AD190" s="1563"/>
      <c r="AE190" s="1563"/>
      <c r="AF190" s="1564"/>
      <c r="AG190" s="599"/>
      <c r="AH190" s="1519" t="s">
        <v>2197</v>
      </c>
      <c r="AI190" s="1520"/>
      <c r="AJ190" s="1520"/>
      <c r="AK190" s="1520"/>
      <c r="AL190" s="1520"/>
      <c r="AM190" s="1521"/>
      <c r="AN190" s="772"/>
      <c r="AO190" s="1516" t="s">
        <v>2197</v>
      </c>
      <c r="AP190" s="1517"/>
      <c r="AQ190" s="1517"/>
      <c r="AR190" s="1517"/>
      <c r="AS190" s="1518"/>
      <c r="AT190" s="772"/>
      <c r="AU190" s="1516" t="s">
        <v>2197</v>
      </c>
      <c r="AV190" s="1517"/>
      <c r="AW190" s="1517"/>
      <c r="AX190" s="1518"/>
      <c r="AY190" s="772"/>
      <c r="AZ190" s="1516" t="s">
        <v>2197</v>
      </c>
      <c r="BA190" s="1517"/>
      <c r="BB190" s="1517"/>
      <c r="BC190" s="1517"/>
      <c r="BD190" s="1517"/>
      <c r="BE190" s="1517"/>
      <c r="BF190" s="1517"/>
      <c r="BG190" s="1518"/>
      <c r="BH190" s="772"/>
      <c r="BI190" s="1516" t="s">
        <v>2197</v>
      </c>
      <c r="BJ190" s="1517"/>
      <c r="BK190" s="1517"/>
      <c r="BL190" s="1517"/>
      <c r="BM190" s="1517"/>
      <c r="BN190" s="1518"/>
    </row>
    <row r="191" spans="1:109" s="419" customFormat="1" ht="15" customHeight="1" x14ac:dyDescent="0.2">
      <c r="B191" s="185" t="s">
        <v>1607</v>
      </c>
      <c r="C191" s="1554"/>
      <c r="D191" s="1554"/>
      <c r="E191" s="1554"/>
      <c r="F191" s="1554"/>
      <c r="G191" s="1554"/>
      <c r="H191" s="1554"/>
      <c r="I191" s="1554"/>
      <c r="J191" s="1554"/>
      <c r="K191" s="1554"/>
      <c r="L191" s="1554"/>
      <c r="M191" s="1554"/>
      <c r="N191" s="1554"/>
      <c r="O191" s="613"/>
      <c r="P191" s="614"/>
      <c r="S191" s="369">
        <f>IF(C191="",0,C191)</f>
        <v>0</v>
      </c>
      <c r="T191" s="369">
        <f>IF(AND(E191&lt;&gt;C191,E191&lt;&gt;""),E191,IF(OR(E192&lt;&gt;"",E193&lt;&gt;""),0,S191))</f>
        <v>0</v>
      </c>
      <c r="U191" s="369">
        <f>IF(AND(G191&lt;&gt;E191,G191&lt;&gt;""),G191,IF(OR(G192&lt;&gt;"",G193&lt;&gt;""),0,T191))</f>
        <v>0</v>
      </c>
      <c r="V191" s="369">
        <f>IF(AND(I191&lt;&gt;G191,I191&lt;&gt;""),I191,IF(OR(I192&lt;&gt;"",I193&lt;&gt;""),0,U191))</f>
        <v>0</v>
      </c>
      <c r="W191" s="369">
        <f>IF(AND(K191&lt;&gt;I191,K191&lt;&gt;""),K191,IF(OR(K192&lt;&gt;"",K193&lt;&gt;""),0,V191))</f>
        <v>0</v>
      </c>
      <c r="X191" s="369">
        <f>IF(AND(M191&lt;&gt;K191,M191&lt;&gt;""),M191,IF(OR(M192&lt;&gt;"",M193&lt;&gt;""),0,W191))</f>
        <v>0</v>
      </c>
      <c r="Z191" s="599"/>
      <c r="AA191" s="607">
        <f>IF(C191&gt;1,1,0)</f>
        <v>0</v>
      </c>
      <c r="AB191" s="369">
        <f t="shared" ref="AB191:AF193" si="22">IF(AND(S191&lt;&gt;T191,T191&gt;0),1,0)</f>
        <v>0</v>
      </c>
      <c r="AC191" s="369">
        <f t="shared" si="22"/>
        <v>0</v>
      </c>
      <c r="AD191" s="369">
        <f t="shared" si="22"/>
        <v>0</v>
      </c>
      <c r="AE191" s="369">
        <f t="shared" si="22"/>
        <v>0</v>
      </c>
      <c r="AF191" s="369">
        <f t="shared" si="22"/>
        <v>0</v>
      </c>
      <c r="AH191" s="602">
        <f>IF(S191=1,0,IF(S191=2,0.25,IF(S191=3,0.38,IF(S191=4,0.5,0))))</f>
        <v>0</v>
      </c>
      <c r="AI191" s="602">
        <f>IF(T191=1,0,IF(T191=2,0.23,IF(T191=3,0.35,IF(T191=4,0.45,0))))</f>
        <v>0</v>
      </c>
      <c r="AJ191" s="602">
        <f>IF(U191=1,0,IF(U191=2,0.2,IF(U191=3,0.3,IF(U191=4,0.39,0))))</f>
        <v>0</v>
      </c>
      <c r="AK191" s="602">
        <f>IF(V191=1,0,IF(V191=2,0.17,IF(V191=3,0.25,IF(V191=4,0.33,0))))</f>
        <v>0</v>
      </c>
      <c r="AL191" s="602">
        <f>IF(W191=1,0,IF(W191=2,0.13,IF(W191=3,0.19,IF(W191=4,0.24,0))))</f>
        <v>0</v>
      </c>
      <c r="AM191" s="602">
        <f>IF(X191=1,0,IF(X191=2,0.08,IF(X191=3,0.12,IF(X191=4,0.15,0))))</f>
        <v>0</v>
      </c>
      <c r="AN191" s="603"/>
      <c r="AO191" s="602">
        <f>IF(S191=1,0,IF(S191=2,0.23,IF(S191=3,0.35,IF(S191=4,0.45,0))))</f>
        <v>0</v>
      </c>
      <c r="AP191" s="602">
        <f>IF(T191=1,0,IF(T191=2,0.2,IF(T191=3,0.3,IF(T191=4,0.39,0))))</f>
        <v>0</v>
      </c>
      <c r="AQ191" s="602">
        <f>IF(U191=1,0,IF(U191=2,0.17,IF(U191=3,0.25,IF(U191=4,0.33,0))))</f>
        <v>0</v>
      </c>
      <c r="AR191" s="602">
        <f>IF(V191=1,0,IF(V191=2,0.13,IF(V191=3,0.19,IF(V191=4,0.24,0))))</f>
        <v>0</v>
      </c>
      <c r="AS191" s="602">
        <f>IF(W191=1,0,IF(W191=2,0.08,IF(W191=3,0.12,IF(W191=4,0.15,0))))</f>
        <v>0</v>
      </c>
      <c r="AU191" s="602">
        <f>IF(S191=1,0,IF(S191=2,0.2,IF(S191=3,0.3,IF(S191=4,0.39,0))))</f>
        <v>0</v>
      </c>
      <c r="AV191" s="602">
        <f>IF(T191=1,0,IF(T191=2,0.17,IF(T191=3,0.25,IF(T191=4,0.33,0))))</f>
        <v>0</v>
      </c>
      <c r="AW191" s="602">
        <f>IF(U191=1,0,IF(U191=2,0.13,IF(U191=3,0.19,IF(U191=4,0.24,0))))</f>
        <v>0</v>
      </c>
      <c r="AX191" s="602">
        <f>IF(V191=1,0,IF(V191=2,0.08,IF(V191=3,0.12,IF(V191=4,0.15,0))))</f>
        <v>0</v>
      </c>
      <c r="AZ191" s="602">
        <f>IF(S191=1,0,IF(S191=2,0.17,IF(S191=3,0.25,IF(S191=4,0.33,0))))</f>
        <v>0</v>
      </c>
      <c r="BA191" s="602">
        <f>IF(T191=1,0,IF(T191=2,0.13,IF(T191=3,0.19,IF(T191=4,0.24,0))))</f>
        <v>0</v>
      </c>
      <c r="BB191" s="602">
        <f>IF(U191=1,0,IF(U191=2,0.08,IF(U191=3,0.12,IF(U191=4,0.15,0))))</f>
        <v>0</v>
      </c>
      <c r="BD191" s="602">
        <f>IF(S191=1,0,IF(S191=2,0.13,IF(S191=3,0.19,IF(S191=4,0.24,0))))</f>
        <v>0</v>
      </c>
      <c r="BE191" s="602">
        <f>IF(T191=1,0,IF(T191=2,0.08,IF(T191=3,0.12,IF(T191=4,0.15,0))))</f>
        <v>0</v>
      </c>
      <c r="BG191" s="602">
        <f>IF(S191=1,0,IF(S191=2,0.08,IF(S191=3,0.12,IF(S191=4,0.15,0))))</f>
        <v>0</v>
      </c>
      <c r="BI191" s="602">
        <f>IF(AA191=0,0,IF(OR(AB191=1,AB192=1,AB193=1),AH191-AO191,IF(OR(AC191=1,AC192=1,AC193=1),AH191-AU191,IF(OR(AD191=1,AD192=1,AD193=1),AH191-AZ191,IF(OR(AE191=1,AE192=1,AE193=1),AH191-BD191,IF(OR(AF191=1,AF192=1,AF193=1),AH191-BG191,AH191))))))</f>
        <v>0</v>
      </c>
      <c r="BJ191" s="602">
        <f>IF(AB191=0,0,IF(OR(AC191=1,AC192=1,AC193=1),AI191-AP191,IF(OR(AD191=1,AD192=1,AD193=1),AI191-AV191,IF(OR(AE191=1,AE192=1,AE193=1),AI191-BA191,IF(OR(AF191=1,AF192=1,AF193=1),AI191-BE191,AI191)))))</f>
        <v>0</v>
      </c>
      <c r="BK191" s="602">
        <f>IF(AC191=0,0,IF(OR(AD191=1,AD192=1,AD193=1),AJ191-AQ191,IF(OR(AE191=1,AE192=1,AE193=1),AJ191-AW191,IF(OR(AF191=1,AF192=1,AF193=1),AJ191-BB191,AJ191))))</f>
        <v>0</v>
      </c>
      <c r="BL191" s="602">
        <f>IF(AD191=0,0,IF(OR(AE191=1,AE192=1,AE193=1),AK191-AR191,IF(OR(AF191=1,AF192=1,AF193=1),AK191-AX191,AK191)))</f>
        <v>0</v>
      </c>
      <c r="BM191" s="602">
        <f>IF(AE191=0,0,IF(OR(AF191=1,AF192=1,AF193=1),AL191-AS191,AL191))</f>
        <v>0</v>
      </c>
      <c r="BN191" s="602">
        <f>IF(AF191=0,0,AM191)</f>
        <v>0</v>
      </c>
      <c r="BP191" s="419" t="s">
        <v>262</v>
      </c>
      <c r="BR191" s="1516" t="s">
        <v>2197</v>
      </c>
      <c r="BS191" s="1517"/>
      <c r="BT191" s="1517"/>
      <c r="BU191" s="1517"/>
      <c r="BV191" s="1517"/>
      <c r="BW191" s="1517"/>
      <c r="BX191" s="1517"/>
      <c r="BY191" s="1517"/>
      <c r="BZ191" s="1517"/>
      <c r="CA191" s="1518"/>
    </row>
    <row r="192" spans="1:109" s="419" customFormat="1" ht="15" customHeight="1" x14ac:dyDescent="0.2">
      <c r="B192" s="369" t="s">
        <v>1610</v>
      </c>
      <c r="C192" s="1554"/>
      <c r="D192" s="1554"/>
      <c r="E192" s="1554"/>
      <c r="F192" s="1554"/>
      <c r="G192" s="1554"/>
      <c r="H192" s="1554"/>
      <c r="I192" s="1554"/>
      <c r="J192" s="1554"/>
      <c r="K192" s="1554"/>
      <c r="L192" s="1554"/>
      <c r="M192" s="1554"/>
      <c r="N192" s="1554"/>
      <c r="O192" s="613"/>
      <c r="P192" s="622"/>
      <c r="S192" s="369">
        <f>IF(C192="",0,C192)</f>
        <v>0</v>
      </c>
      <c r="T192" s="369">
        <f>IF(E192&lt;&gt;C192,E192,IF(AND(E193&lt;&gt;C193,S191&gt;1),S191,0))</f>
        <v>0</v>
      </c>
      <c r="U192" s="369">
        <f>IF(G192&lt;&gt;E192,G192,IF(AND(G193&lt;&gt;E193,T191&gt;1),T191,0))</f>
        <v>0</v>
      </c>
      <c r="V192" s="369">
        <f>IF(I192&lt;&gt;G192,I192,IF(AND(I193&lt;&gt;G193,U191&gt;1),U191,0))</f>
        <v>0</v>
      </c>
      <c r="W192" s="369">
        <f>IF(K192&lt;&gt;I192,K192,IF(AND(K193&lt;&gt;I193,V191&gt;1),V191,0))</f>
        <v>0</v>
      </c>
      <c r="X192" s="369">
        <f>IF(M192&lt;&gt;K192,M192,IF(AND(M193&lt;&gt;K193,W191&gt;1),W191,0))</f>
        <v>0</v>
      </c>
      <c r="Z192" s="599"/>
      <c r="AA192" s="607">
        <f>IF(C192&gt;1,1,0)</f>
        <v>0</v>
      </c>
      <c r="AB192" s="369">
        <f t="shared" si="22"/>
        <v>0</v>
      </c>
      <c r="AC192" s="369">
        <f t="shared" si="22"/>
        <v>0</v>
      </c>
      <c r="AD192" s="369">
        <f t="shared" si="22"/>
        <v>0</v>
      </c>
      <c r="AE192" s="369">
        <f t="shared" si="22"/>
        <v>0</v>
      </c>
      <c r="AF192" s="369">
        <f t="shared" si="22"/>
        <v>0</v>
      </c>
      <c r="AH192" s="602">
        <f>IF(S192=1,0,IF(S192=2,0.17,IF(S192=3,0.25,IF(S192=4,0.35,0))))</f>
        <v>0</v>
      </c>
      <c r="AI192" s="602">
        <f>IF(T192=1,0,IF(T192=2,0.15,IF(T192=3,0.23,IF(T192=4,0.31,0))))</f>
        <v>0</v>
      </c>
      <c r="AJ192" s="602">
        <f>IF(U192=1,0,IF(U192=2,0.13,IF(U192=3,0.2,IF(U192=4,0.27,0))))</f>
        <v>0</v>
      </c>
      <c r="AK192" s="602">
        <f>IF(V192=1,0,IF(V192=2,0.11,IF(V192=3,0.17,IF(V192=4,0.22,0))))</f>
        <v>0</v>
      </c>
      <c r="AL192" s="602">
        <f>IF(W192=1,0,IF(W192=2,0.08,IF(W192=3,0.12,IF(W192=4,0.16,0))))</f>
        <v>0</v>
      </c>
      <c r="AM192" s="602">
        <f>IF(X192=1,0,IF(X192=2,0.05,IF(X192=3,0.07,IF(X192=4,0.1,0))))</f>
        <v>0</v>
      </c>
      <c r="AN192" s="603"/>
      <c r="AO192" s="602">
        <f>IF(S192=1,0,IF(S192=2,0.15,IF(S192=3,0.23,IF(S192=4,0.31,0))))</f>
        <v>0</v>
      </c>
      <c r="AP192" s="602">
        <f>IF(T192=1,0,IF(T192=2,0.13,IF(T192=3,0.2,IF(T192=4,0.27,0))))</f>
        <v>0</v>
      </c>
      <c r="AQ192" s="602">
        <f>IF(U192=1,0,IF(U192=2,0.11,IF(U192=3,0.17,IF(U192=4,0.22,0))))</f>
        <v>0</v>
      </c>
      <c r="AR192" s="602">
        <f>IF(V192=1,0,IF(V192=2,0.08,IF(V192=3,0.12,IF(V192=4,0.16,0))))</f>
        <v>0</v>
      </c>
      <c r="AS192" s="602">
        <f>IF(W192=1,0,IF(W192=2,0.05,IF(W192=3,0.07,IF(W192=4,0.1,0))))</f>
        <v>0</v>
      </c>
      <c r="AU192" s="602">
        <f>IF(S192=1,0,IF(S192=2,0.13,IF(S192=3,0.2,IF(S192=4,0.27,0))))</f>
        <v>0</v>
      </c>
      <c r="AV192" s="602">
        <f>IF(T192=1,0,IF(T192=2,0.11,IF(T192=3,0.17,IF(T192=4,0.22,0))))</f>
        <v>0</v>
      </c>
      <c r="AW192" s="602">
        <f>IF(U192=1,0,IF(U192=2,0.08,IF(U192=3,0.12,IF(U192=4,0.16,0))))</f>
        <v>0</v>
      </c>
      <c r="AX192" s="602">
        <f>IF(V192=1,0,IF(V192=2,0.05,IF(V192=3,0.07,IF(V192=4,0.1,0))))</f>
        <v>0</v>
      </c>
      <c r="AZ192" s="602">
        <f>IF(S192=1,0,IF(S192=2,0.11,IF(S192=3,0.17,IF(S192=4,0.22,0))))</f>
        <v>0</v>
      </c>
      <c r="BA192" s="602">
        <f>IF(T192=1,0,IF(T192=2,0.08,IF(T192=3,0.12,IF(T192=4,0.16,0))))</f>
        <v>0</v>
      </c>
      <c r="BB192" s="602">
        <f>IF(U192=1,0,IF(U192=2,0.05,IF(U192=3,0.07,IF(U192=4,0.1,0))))</f>
        <v>0</v>
      </c>
      <c r="BD192" s="602">
        <f>IF(S192=1,0,IF(S192=2,0.08,IF(S192=3,0.12,IF(S192=4,0.16,0))))</f>
        <v>0</v>
      </c>
      <c r="BE192" s="602">
        <f>IF(T192=1,0,IF(T192=2,0.05,IF(T192=3,0.07,IF(T192=4,0.1,0))))</f>
        <v>0</v>
      </c>
      <c r="BG192" s="602">
        <f>IF(S192=1,0,IF(S192=2,0.05,IF(S192=3,0.07,IF(S192=4,0.1,0))))</f>
        <v>0</v>
      </c>
      <c r="BI192" s="602">
        <f>IF(AA192=0,0,IF(OR(AB191=1,AB192=1),AH192-AO192,IF(OR(AC191=1,AC192=1),AH192-AU192,IF(OR(AD191=1,AD192=1),AH192-AZ192,IF(OR(AE191=1,AE192=1),AH192-BD192,IF(OR(AF191=1,AF192=1),AH192-BG192,AH192))))))</f>
        <v>0</v>
      </c>
      <c r="BJ192" s="602">
        <f>IF(AB192=0,0,IF(OR(AC191=1,AC192=1),AI192-AP192,IF(OR(AD191=1,AD192=1),AI192-AV192,IF(OR(AE191=1,AE192=1),AI192-BA192,IF(OR(AF191=1,AF192=1),AI192-BE192,AI192)))))</f>
        <v>0</v>
      </c>
      <c r="BK192" s="602">
        <f>IF(AC192=0,0,IF(OR(AD191=1,AD192=1),AJ192-AQ192,IF(OR(AE191=1,AE192=1),AJ192-AW192,IF(OR(AF191=1,AF192=1),AJ192-BB192,AJ192))))</f>
        <v>0</v>
      </c>
      <c r="BL192" s="602">
        <f>IF(AD192=0,0,IF(OR(AE191=1,AE192=1),AK192-AR192,IF(OR(AF191=1,AF192=1),AK192-AX192,AK192)))</f>
        <v>0</v>
      </c>
      <c r="BM192" s="602">
        <f>IF(AE192=0,0,IF(OR(AF191=1,AF192=1),AL192-AS192,AL192))</f>
        <v>0</v>
      </c>
      <c r="BN192" s="602">
        <f>IF(AF192=0,0,AM192)</f>
        <v>0</v>
      </c>
      <c r="BP192" s="608">
        <f>LARGE((BI191,BJ191,BK191,BL191,BM191,BN191,BI192,BJ192,BK192,BL192,BM192,BN192,BI193,BJ193,BK193,BL193,BM193,BN193),1)</f>
        <v>0</v>
      </c>
      <c r="BQ192" s="609">
        <f>LARGE((BI191,BJ191,BK191,BL191,BM191,BN191,BI192,BJ192,BK192,BL192,BM192,BN192,BI193,BJ193,BK193,BL193,BM193,BN193),2)</f>
        <v>0</v>
      </c>
      <c r="BR192" s="609">
        <f>LARGE((BI191,BJ191,BK191,BL191,BM191,BN191,BI192,BJ192,BK192,BL192,BM192,BN192,BI193,BJ193,BK193,BL193,BM193,BN193),3)</f>
        <v>0</v>
      </c>
      <c r="BS192" s="609">
        <f>LARGE((BI191,BJ191,BK191,BL191,BM191,BN191,BI192,BJ192,BK192,BL192,BM192,BN192,BI193,BJ193,BK193,BL193,BM193,BN193),4)</f>
        <v>0</v>
      </c>
      <c r="BT192" s="609">
        <f>LARGE((BI191,BJ191,BK191,BL191,BM191,BN191,BI192,BJ192,BK192,BL192,BM192,BN192,BI193,BJ193,BK193,BL193,BM193,BN193),5)</f>
        <v>0</v>
      </c>
      <c r="BU192" s="609">
        <f>LARGE((BI191,BJ191,BK191,BL191,BM191,BN191,BI192,BJ192,BK192,BL192,BM192,BN192,BI193,BJ193,BK193,BL193,BM193,BN193),6)</f>
        <v>0</v>
      </c>
      <c r="BV192" s="609">
        <f>LARGE((BI191,BJ191,BK191,BL191,BM191,BN191,BI192,BJ192,BK192,BL192,BM192,BN192,BI193,BJ193,BK193,BL193,BM193,BN193),7)</f>
        <v>0</v>
      </c>
      <c r="BW192" s="609">
        <f>LARGE((BI191,BJ191,BK191,BL191,BM191,BN191,BI192,BJ192,BK192,BL192,BM192,BN192,BI193,BJ193,BK193,BL193,BM193,BN193),8)</f>
        <v>0</v>
      </c>
      <c r="BX192" s="609">
        <f>LARGE((BI191,BJ191,BK191,BL191,BM191,BN191,BI192,BJ192,BK192,BL192,BM192,BN192,BI193,BJ193,BK193,BL193,BM193,BN193),9)</f>
        <v>0</v>
      </c>
      <c r="BY192" s="609">
        <f>LARGE((BI191,BJ191,BK191,BL191,BM191,BN191,BI192,BJ192,BK192,BL192,BM192,BN192,BI193,BJ193,BK193,BL193,BM193,BN193),10)</f>
        <v>0</v>
      </c>
      <c r="BZ192" s="609">
        <f>LARGE((BI191,BJ191,BK191,BL191,BM191,BN191,BI192,BJ192,BK192,BL192,BM192,BN192,BI193,BJ193,BK193,BL193,BM193,BN193),11)</f>
        <v>0</v>
      </c>
      <c r="CA192" s="609">
        <f>LARGE((BI191,BJ191,BK191,BL191,BM191,BN191,BI192,BJ192,BK192,BL192,BM192,BN192,BI193,BJ193,BK193,BL193,BM193,BN193),12)</f>
        <v>0</v>
      </c>
    </row>
    <row r="193" spans="1:79" s="419" customFormat="1" ht="15" customHeight="1" x14ac:dyDescent="0.2">
      <c r="B193" s="606" t="s">
        <v>1613</v>
      </c>
      <c r="C193" s="1554"/>
      <c r="D193" s="1554"/>
      <c r="E193" s="1554"/>
      <c r="F193" s="1554"/>
      <c r="G193" s="1554"/>
      <c r="H193" s="1554"/>
      <c r="I193" s="1554"/>
      <c r="J193" s="1554"/>
      <c r="K193" s="1554"/>
      <c r="L193" s="1554"/>
      <c r="M193" s="1554"/>
      <c r="N193" s="1554"/>
      <c r="O193" s="613"/>
      <c r="P193" s="622"/>
      <c r="S193" s="369">
        <f>IF(C193="",0,C193)</f>
        <v>0</v>
      </c>
      <c r="T193" s="369">
        <f>IF(E193&lt;&gt;C193,E193,IF(AND(E192&lt;&gt;C192,S191&gt;1),S191,0))</f>
        <v>0</v>
      </c>
      <c r="U193" s="369">
        <f>IF(G193&lt;&gt;E193,G193,IF(AND(G192&lt;&gt;E192,T191&gt;1),T191,0))</f>
        <v>0</v>
      </c>
      <c r="V193" s="369">
        <f>IF(I193&lt;&gt;G193,I193,IF(AND(I192&lt;&gt;G192,U191&gt;1),U191,0))</f>
        <v>0</v>
      </c>
      <c r="W193" s="369">
        <f>IF(K193&lt;&gt;I193,K193,IF(AND(K192&lt;&gt;I192,V191&gt;1),V191,0))</f>
        <v>0</v>
      </c>
      <c r="X193" s="369">
        <f>IF(M193&lt;&gt;K193,M193,IF(AND(M192&lt;&gt;K192,W191&gt;1),W191,0))</f>
        <v>0</v>
      </c>
      <c r="AA193" s="607">
        <f>IF(C193&gt;1,1,0)</f>
        <v>0</v>
      </c>
      <c r="AB193" s="369">
        <f t="shared" si="22"/>
        <v>0</v>
      </c>
      <c r="AC193" s="369">
        <f t="shared" si="22"/>
        <v>0</v>
      </c>
      <c r="AD193" s="369">
        <f t="shared" si="22"/>
        <v>0</v>
      </c>
      <c r="AE193" s="369">
        <f t="shared" si="22"/>
        <v>0</v>
      </c>
      <c r="AF193" s="369">
        <f t="shared" si="22"/>
        <v>0</v>
      </c>
      <c r="AH193" s="602">
        <f>IF(S193=1,0,IF(S193=2,0.1,IF(S193=3,0.17,IF(S193=4,0.23,0))))</f>
        <v>0</v>
      </c>
      <c r="AI193" s="602">
        <f>IF(T193=1,0,IF(T193=2,0.09,IF(T193=3,0.15,IF(T193=4,0.2,0))))</f>
        <v>0</v>
      </c>
      <c r="AJ193" s="602">
        <f>IF(U193=1,0,IF(U193=2,0.08,IF(U193=3,0.13,IF(U193=4,0.17,0))))</f>
        <v>0</v>
      </c>
      <c r="AK193" s="602">
        <f>IF(V193=1,0,IF(V193=2,0.07,IF(V193=3,0.1,IF(V193=4,0.14,0))))</f>
        <v>0</v>
      </c>
      <c r="AL193" s="602">
        <f>IF(W193=1,0,IF(W193=2,0.05,IF(W193=3,0.08,IF(W193=4,0.1,0))))</f>
        <v>0</v>
      </c>
      <c r="AM193" s="602">
        <f>IF(X193=1,0,IF(X193=2,0.03,IF(X193=3,0.05,IF(X193=4,0.06,0))))</f>
        <v>0</v>
      </c>
      <c r="AN193" s="603"/>
      <c r="AO193" s="602">
        <f>IF(S193=1,0,IF(S193=2,0.09,IF(S193=3,0.15,IF(S193=4,0.2,0))))</f>
        <v>0</v>
      </c>
      <c r="AP193" s="602">
        <f>IF(T193=1,0,IF(T193=2,0.08,IF(T193=3,0.13,IF(T193=4,0.17,0))))</f>
        <v>0</v>
      </c>
      <c r="AQ193" s="602">
        <f>IF(U193=1,0,IF(U193=2,0.07,IF(U193=3,0.1,IF(U193=4,0.14,0))))</f>
        <v>0</v>
      </c>
      <c r="AR193" s="602">
        <f>IF(V193=1,0,IF(V193=2,0.05,IF(V193=3,0.08,IF(V193=4,0.1,0))))</f>
        <v>0</v>
      </c>
      <c r="AS193" s="602">
        <f>IF(W193=1,0,IF(W193=2,0.03,IF(W193=3,0.05,IF(W193=4,0.06,0))))</f>
        <v>0</v>
      </c>
      <c r="AU193" s="602">
        <f>IF(S193=1,0,IF(S193=2,0.08,IF(S193=3,0.13,IF(S193=4,0.17,0))))</f>
        <v>0</v>
      </c>
      <c r="AV193" s="602">
        <f>IF(T193=1,0,IF(T193=2,0.07,IF(T193=3,0.1,IF(T193=4,0.14,0))))</f>
        <v>0</v>
      </c>
      <c r="AW193" s="602">
        <f>IF(U193=1,0,IF(U193=2,0.05,IF(U193=3,0.08,IF(U193=4,0.1,0))))</f>
        <v>0</v>
      </c>
      <c r="AX193" s="602">
        <f>IF(V193=1,0,IF(V193=2,0.03,IF(V193=3,0.05,IF(V193=4,0.06,0))))</f>
        <v>0</v>
      </c>
      <c r="AZ193" s="602">
        <f>IF(S193=1,0,IF(S193=2,0.07,IF(S193=3,0.1,IF(S193=4,0.14,0))))</f>
        <v>0</v>
      </c>
      <c r="BA193" s="602">
        <f>IF(T193=1,0,IF(T193=2,0.05,IF(T193=3,0.08,IF(T193=4,0.1,0))))</f>
        <v>0</v>
      </c>
      <c r="BB193" s="602">
        <f>IF(U193=1,0,IF(U193=2,0.03,IF(U193=3,0.05,IF(U193=4,0.06,0))))</f>
        <v>0</v>
      </c>
      <c r="BD193" s="602">
        <f>IF(S193=1,0,IF(S193=2,0.05,IF(S193=3,0.08,IF(S193=4,0.1,0))))</f>
        <v>0</v>
      </c>
      <c r="BE193" s="602">
        <f>IF(T193=1,0,IF(T193=2,0.03,IF(T193=3,0.05,IF(T193=4,0.06,0))))</f>
        <v>0</v>
      </c>
      <c r="BG193" s="602">
        <f>IF(S193=1,0,IF(S193=2,0.03,IF(S193=3,0.05,IF(S193=4,0.06,0))))</f>
        <v>0</v>
      </c>
      <c r="BI193" s="602">
        <f>IF(AA193=0,0,IF(OR(AB191=1,AB193=1),AH193-AO193,IF(OR(AC191=1,AC193=1),AH193-AU193,IF(OR(AD191=1,AD193=1),AH193-AZ193,IF(OR(AE191=1,AE193=1),AH193-BD193,IF(OR(AF191=1,AF193=1),AH193-BG193,AH193))))))</f>
        <v>0</v>
      </c>
      <c r="BJ193" s="602">
        <f>IF(AB193=0,0,IF(OR(AC191=1,AC193=1),AI193-AP193,IF(OR(AD191=1,AD193=1),AI193-AV193,IF(OR(AE191=1,AE193=1),AI193-BA193,IF(OR(AF191=1,AF193=1),AI193-BE193,AI193)))))</f>
        <v>0</v>
      </c>
      <c r="BK193" s="602">
        <f>IF(AC193=0,0,IF(OR(AD191=1,AD193=1),AJ193-AQ193,IF(OR(AE191=1,AE193=1),AJ193-AW193,IF(OR(AF191=1,AF193=1),AJ193-BB193,AJ193))))</f>
        <v>0</v>
      </c>
      <c r="BL193" s="602">
        <f>IF(AD193=0,0,IF(OR(AE191=1,AE193=1),AK193-AR193,IF(OR(AF191=1,AF193=1),AK193-AX193,AK193)))</f>
        <v>0</v>
      </c>
      <c r="BM193" s="602">
        <f>IF(AE193=0,0,IF(OR(AF191=1,AF193=1),AL193-AS193,AL193))</f>
        <v>0</v>
      </c>
      <c r="BN193" s="602">
        <f>IF(AF193=0,0,AM193)</f>
        <v>0</v>
      </c>
      <c r="BP193" s="610">
        <f>ROUND(BP192+BQ192*(1-BP192),2)</f>
        <v>0</v>
      </c>
      <c r="BQ193" s="610">
        <f t="shared" ref="BQ193:BZ193" si="23">ROUND(BP193+BR192*(1-BP193),2)</f>
        <v>0</v>
      </c>
      <c r="BR193" s="610">
        <f t="shared" si="23"/>
        <v>0</v>
      </c>
      <c r="BS193" s="610">
        <f t="shared" si="23"/>
        <v>0</v>
      </c>
      <c r="BT193" s="610">
        <f t="shared" si="23"/>
        <v>0</v>
      </c>
      <c r="BU193" s="610">
        <f t="shared" si="23"/>
        <v>0</v>
      </c>
      <c r="BV193" s="610">
        <f t="shared" si="23"/>
        <v>0</v>
      </c>
      <c r="BW193" s="610">
        <f t="shared" si="23"/>
        <v>0</v>
      </c>
      <c r="BX193" s="610">
        <f t="shared" si="23"/>
        <v>0</v>
      </c>
      <c r="BY193" s="610">
        <f t="shared" si="23"/>
        <v>0</v>
      </c>
      <c r="BZ193" s="610">
        <f t="shared" si="23"/>
        <v>0</v>
      </c>
      <c r="CA193" s="607"/>
    </row>
    <row r="194" spans="1:79" s="419" customFormat="1" ht="15" customHeight="1" x14ac:dyDescent="0.2">
      <c r="B194" s="1593" t="str">
        <f>IF(AD194=1,"ERROR: If radial or ulnar impairment is recorded, do not enter losses for 'both sides.'","")</f>
        <v/>
      </c>
      <c r="C194" s="1594"/>
      <c r="D194" s="1594"/>
      <c r="E194" s="1594"/>
      <c r="F194" s="1594"/>
      <c r="G194" s="1594"/>
      <c r="H194" s="1594"/>
      <c r="I194" s="1594"/>
      <c r="J194" s="1594"/>
      <c r="K194" s="1594"/>
      <c r="L194" s="1594"/>
      <c r="M194" s="1594"/>
      <c r="N194" s="1594"/>
      <c r="O194" s="1595"/>
      <c r="P194" s="303">
        <f>IF(B194&lt;&gt;"","ERROR",BZ193)</f>
        <v>0</v>
      </c>
      <c r="S194" s="599"/>
      <c r="T194" s="599"/>
      <c r="U194" s="599"/>
      <c r="V194" s="599"/>
      <c r="W194" s="599"/>
      <c r="AA194" s="369">
        <f>SUM(AA191:AF191)</f>
        <v>0</v>
      </c>
      <c r="AB194" s="369">
        <f>SUM(AA192:AF192)</f>
        <v>0</v>
      </c>
      <c r="AC194" s="369">
        <f>SUM(AA193:AF193)</f>
        <v>0</v>
      </c>
      <c r="AD194" s="369">
        <f>IF(AND(AA194&gt;0,AB194&gt;0),1,IF(AND(AA194&gt;0,AC194&gt;0),1,0))</f>
        <v>0</v>
      </c>
      <c r="AE194" s="599"/>
      <c r="AF194" s="599"/>
    </row>
    <row r="195" spans="1:79" s="419" customFormat="1" ht="15" customHeight="1" x14ac:dyDescent="0.2">
      <c r="B195" s="434" t="s">
        <v>1227</v>
      </c>
      <c r="C195" s="597"/>
      <c r="D195" s="597"/>
      <c r="E195" s="597"/>
      <c r="F195" s="597"/>
      <c r="G195" s="597"/>
      <c r="H195" s="597"/>
      <c r="I195" s="597"/>
      <c r="J195" s="597"/>
      <c r="K195" s="597"/>
      <c r="L195" s="597"/>
      <c r="M195" s="597"/>
      <c r="N195" s="597"/>
      <c r="O195" s="616"/>
      <c r="P195" s="617"/>
      <c r="S195" s="599"/>
      <c r="T195" s="599"/>
      <c r="U195" s="599"/>
      <c r="V195" s="599"/>
      <c r="W195" s="599"/>
      <c r="X195" s="620"/>
      <c r="AA195" s="599"/>
      <c r="AB195" s="599"/>
      <c r="AC195" s="599"/>
      <c r="AD195" s="599"/>
      <c r="AE195" s="599"/>
      <c r="AF195" s="599"/>
    </row>
    <row r="196" spans="1:79" s="419" customFormat="1" ht="15" customHeight="1" x14ac:dyDescent="0.2">
      <c r="B196" s="185" t="s">
        <v>1607</v>
      </c>
      <c r="C196" s="1554"/>
      <c r="D196" s="1554"/>
      <c r="E196" s="1554"/>
      <c r="F196" s="1554"/>
      <c r="G196" s="1554"/>
      <c r="H196" s="1554"/>
      <c r="I196" s="1554"/>
      <c r="J196" s="1554"/>
      <c r="K196" s="1554"/>
      <c r="L196" s="1554"/>
      <c r="M196" s="1554"/>
      <c r="N196" s="1554"/>
      <c r="O196" s="613"/>
      <c r="P196" s="614"/>
      <c r="S196" s="369">
        <f>IF(C196="",0,C196)</f>
        <v>0</v>
      </c>
      <c r="T196" s="369">
        <f>IF(AND(E196&lt;&gt;C196,E196&lt;&gt;""),E196,IF(OR(E197&lt;&gt;"",E198&lt;&gt;""),0,S196))</f>
        <v>0</v>
      </c>
      <c r="U196" s="369">
        <f>IF(AND(G196&lt;&gt;E196,G196&lt;&gt;""),G196,IF(OR(G197&lt;&gt;"",G198&lt;&gt;""),0,T196))</f>
        <v>0</v>
      </c>
      <c r="V196" s="369">
        <f>IF(AND(I196&lt;&gt;G196,I196&lt;&gt;""),I196,IF(OR(I197&lt;&gt;"",I198&lt;&gt;""),0,U196))</f>
        <v>0</v>
      </c>
      <c r="W196" s="369">
        <f>IF(AND(K196&lt;&gt;I196,K196&lt;&gt;""),K196,IF(OR(K197&lt;&gt;"",K198&lt;&gt;""),0,V196))</f>
        <v>0</v>
      </c>
      <c r="X196" s="369">
        <f>IF(AND(M196&lt;&gt;K196,M196&lt;&gt;""),M196,IF(OR(M197&lt;&gt;"",M198&lt;&gt;""),0,W196))</f>
        <v>0</v>
      </c>
      <c r="Z196" s="599"/>
      <c r="AA196" s="607">
        <f>IF(C196&gt;1,1,0)</f>
        <v>0</v>
      </c>
      <c r="AB196" s="369">
        <f t="shared" ref="AB196:AF198" si="24">IF(AND(S196&lt;&gt;T196,T196&gt;0),1,0)</f>
        <v>0</v>
      </c>
      <c r="AC196" s="369">
        <f t="shared" si="24"/>
        <v>0</v>
      </c>
      <c r="AD196" s="369">
        <f t="shared" si="24"/>
        <v>0</v>
      </c>
      <c r="AE196" s="369">
        <f t="shared" si="24"/>
        <v>0</v>
      </c>
      <c r="AF196" s="369">
        <f t="shared" si="24"/>
        <v>0</v>
      </c>
      <c r="AH196" s="602">
        <f>IF(S196=1,0,IF(S196=2,0.25,IF(S196=3,0.38,IF(S196=4,0.5,0))))</f>
        <v>0</v>
      </c>
      <c r="AI196" s="602">
        <f>IF(T196=1,0,IF(T196=2,0.23,IF(T196=3,0.35,IF(T196=4,0.45,0))))</f>
        <v>0</v>
      </c>
      <c r="AJ196" s="602">
        <f>IF(U196=1,0,IF(U196=2,0.2,IF(U196=3,0.3,IF(U196=4,0.39,0))))</f>
        <v>0</v>
      </c>
      <c r="AK196" s="602">
        <f>IF(V196=1,0,IF(V196=2,0.17,IF(V196=3,0.25,IF(V196=4,0.33,0))))</f>
        <v>0</v>
      </c>
      <c r="AL196" s="602">
        <f>IF(W196=1,0,IF(W196=2,0.13,IF(W196=3,0.19,IF(W196=4,0.24,0))))</f>
        <v>0</v>
      </c>
      <c r="AM196" s="602">
        <f>IF(X196=1,0,IF(X196=2,0.08,IF(X196=3,0.12,IF(X196=4,0.15,0))))</f>
        <v>0</v>
      </c>
      <c r="AN196" s="603"/>
      <c r="AO196" s="602">
        <f>IF(S196=1,0,IF(S196=2,0.23,IF(S196=3,0.35,IF(S196=4,0.45,0))))</f>
        <v>0</v>
      </c>
      <c r="AP196" s="602">
        <f>IF(T196=1,0,IF(T196=2,0.2,IF(T196=3,0.3,IF(T196=4,0.39,0))))</f>
        <v>0</v>
      </c>
      <c r="AQ196" s="602">
        <f>IF(U196=1,0,IF(U196=2,0.17,IF(U196=3,0.25,IF(U196=4,0.33,0))))</f>
        <v>0</v>
      </c>
      <c r="AR196" s="602">
        <f>IF(V196=1,0,IF(V196=2,0.13,IF(V196=3,0.19,IF(V196=4,0.24,0))))</f>
        <v>0</v>
      </c>
      <c r="AS196" s="602">
        <f>IF(W196=1,0,IF(W196=2,0.08,IF(W196=3,0.12,IF(W196=4,0.15,0))))</f>
        <v>0</v>
      </c>
      <c r="AU196" s="602">
        <f>IF(S196=1,0,IF(S196=2,0.2,IF(S196=3,0.3,IF(S196=4,0.39,0))))</f>
        <v>0</v>
      </c>
      <c r="AV196" s="602">
        <f>IF(T196=1,0,IF(T196=2,0.17,IF(T196=3,0.25,IF(T196=4,0.33,0))))</f>
        <v>0</v>
      </c>
      <c r="AW196" s="602">
        <f>IF(U196=1,0,IF(U196=2,0.13,IF(U196=3,0.19,IF(U196=4,0.24,0))))</f>
        <v>0</v>
      </c>
      <c r="AX196" s="602">
        <f>IF(V196=1,0,IF(V196=2,0.08,IF(V196=3,0.12,IF(V196=4,0.15,0))))</f>
        <v>0</v>
      </c>
      <c r="AZ196" s="602">
        <f>IF(S196=1,0,IF(S196=2,0.17,IF(S196=3,0.25,IF(S196=4,0.33,0))))</f>
        <v>0</v>
      </c>
      <c r="BA196" s="602">
        <f>IF(T196=1,0,IF(T196=2,0.13,IF(T196=3,0.19,IF(T196=4,0.24,0))))</f>
        <v>0</v>
      </c>
      <c r="BB196" s="602">
        <f>IF(U196=1,0,IF(U196=2,0.08,IF(U196=3,0.12,IF(U196=4,0.15,0))))</f>
        <v>0</v>
      </c>
      <c r="BD196" s="602">
        <f>IF(S196=1,0,IF(S196=2,0.13,IF(S196=3,0.19,IF(S196=4,0.24,0))))</f>
        <v>0</v>
      </c>
      <c r="BE196" s="602">
        <f>IF(T196=1,0,IF(T196=2,0.08,IF(T196=3,0.12,IF(T196=4,0.15,0))))</f>
        <v>0</v>
      </c>
      <c r="BG196" s="602">
        <f>IF(S196=1,0,IF(S196=2,0.08,IF(S196=3,0.12,IF(S196=4,0.15,0))))</f>
        <v>0</v>
      </c>
      <c r="BI196" s="602">
        <f>IF(AA196=0,0,IF(OR(AB196=1,AB197=1,AB198=1),AH196-AO196,IF(OR(AC196=1,AC197=1,AC198=1),AH196-AU196,IF(OR(AD196=1,AD197=1,AD198=1),AH196-AZ196,IF(OR(AE196=1,AE197=1,AE198=1),AH196-BD196,IF(OR(AF196=1,AF197=1,AF198=1),AH196-BG196,AH196))))))</f>
        <v>0</v>
      </c>
      <c r="BJ196" s="602">
        <f>IF(AB196=0,0,IF(OR(AC196=1,AC197=1,AC198=1),AI196-AP196,IF(OR(AD196=1,AD197=1,AD198=1),AI196-AV196,IF(OR(AE196=1,AE197=1,AE198=1),AI196-BA196,IF(OR(AF196=1,AF197=1,AF198=1),AI196-BE196,AI196)))))</f>
        <v>0</v>
      </c>
      <c r="BK196" s="602">
        <f>IF(AC196=0,0,IF(OR(AD196=1,AD197=1,AD198=1),AJ196-AQ196,IF(OR(AE196=1,AE197=1,AE198=1),AJ196-AW196,IF(OR(AF196=1,AF197=1,AF198=1),AJ196-BB196,AJ196))))</f>
        <v>0</v>
      </c>
      <c r="BL196" s="602">
        <f>IF(AD196=0,0,IF(OR(AE196=1,AE197=1,AE198=1),AK196-AR196,IF(OR(AF196=1,AF197=1,AF198=1),AK196-AX196,AK196)))</f>
        <v>0</v>
      </c>
      <c r="BM196" s="602">
        <f>IF(AE196=0,0,IF(OR(AF196=1,AF197=1,AF198=1),AL196-AS196,AL196))</f>
        <v>0</v>
      </c>
      <c r="BN196" s="602">
        <f>IF(AF196=0,0,AM196)</f>
        <v>0</v>
      </c>
      <c r="BP196" s="419" t="s">
        <v>262</v>
      </c>
    </row>
    <row r="197" spans="1:79" s="419" customFormat="1" ht="15" customHeight="1" x14ac:dyDescent="0.2">
      <c r="B197" s="369" t="s">
        <v>1610</v>
      </c>
      <c r="C197" s="1554"/>
      <c r="D197" s="1554"/>
      <c r="E197" s="1554"/>
      <c r="F197" s="1554"/>
      <c r="G197" s="1554"/>
      <c r="H197" s="1554"/>
      <c r="I197" s="1554"/>
      <c r="J197" s="1554"/>
      <c r="K197" s="1554"/>
      <c r="L197" s="1554"/>
      <c r="M197" s="1554"/>
      <c r="N197" s="1554"/>
      <c r="O197" s="613"/>
      <c r="P197" s="622"/>
      <c r="S197" s="369">
        <f>IF(C197="",0,C197)</f>
        <v>0</v>
      </c>
      <c r="T197" s="369">
        <f>IF(E197&lt;&gt;C197,E197,IF(AND(E198&lt;&gt;C198,S196&gt;1),S196,0))</f>
        <v>0</v>
      </c>
      <c r="U197" s="369">
        <f>IF(G197&lt;&gt;E197,G197,IF(AND(G198&lt;&gt;E198,T196&gt;1),T196,0))</f>
        <v>0</v>
      </c>
      <c r="V197" s="369">
        <f>IF(I197&lt;&gt;G197,I197,IF(AND(I198&lt;&gt;G198,U196&gt;1),U196,0))</f>
        <v>0</v>
      </c>
      <c r="W197" s="369">
        <f>IF(K197&lt;&gt;I197,K197,IF(AND(K198&lt;&gt;I198,V196&gt;1),V196,0))</f>
        <v>0</v>
      </c>
      <c r="X197" s="369">
        <f>IF(M197&lt;&gt;K197,M197,IF(AND(M198&lt;&gt;K198,W196&gt;1),W196,0))</f>
        <v>0</v>
      </c>
      <c r="Z197" s="599"/>
      <c r="AA197" s="607">
        <f>IF(C197&gt;1,1,0)</f>
        <v>0</v>
      </c>
      <c r="AB197" s="369">
        <f t="shared" si="24"/>
        <v>0</v>
      </c>
      <c r="AC197" s="369">
        <f t="shared" si="24"/>
        <v>0</v>
      </c>
      <c r="AD197" s="369">
        <f t="shared" si="24"/>
        <v>0</v>
      </c>
      <c r="AE197" s="369">
        <f t="shared" si="24"/>
        <v>0</v>
      </c>
      <c r="AF197" s="369">
        <f t="shared" si="24"/>
        <v>0</v>
      </c>
      <c r="AH197" s="602">
        <f>IF(S197=1,0,IF(S197=2,0.17,IF(S197=3,0.25,IF(S197=4,0.35,0))))</f>
        <v>0</v>
      </c>
      <c r="AI197" s="602">
        <f>IF(T197=1,0,IF(T197=2,0.15,IF(T197=3,0.23,IF(T197=4,0.31,0))))</f>
        <v>0</v>
      </c>
      <c r="AJ197" s="602">
        <f>IF(U197=1,0,IF(U197=2,0.13,IF(U197=3,0.2,IF(U197=4,0.27,0))))</f>
        <v>0</v>
      </c>
      <c r="AK197" s="602">
        <f>IF(V197=1,0,IF(V197=2,0.11,IF(V197=3,0.17,IF(V197=4,0.22,0))))</f>
        <v>0</v>
      </c>
      <c r="AL197" s="602">
        <f>IF(W197=1,0,IF(W197=2,0.08,IF(W197=3,0.12,IF(W197=4,0.16,0))))</f>
        <v>0</v>
      </c>
      <c r="AM197" s="602">
        <f>IF(X197=1,0,IF(X197=2,0.05,IF(X197=3,0.07,IF(X197=4,0.1,0))))</f>
        <v>0</v>
      </c>
      <c r="AN197" s="603"/>
      <c r="AO197" s="602">
        <f>IF(S197=1,0,IF(S197=2,0.15,IF(S197=3,0.23,IF(S197=4,0.31,0))))</f>
        <v>0</v>
      </c>
      <c r="AP197" s="602">
        <f>IF(T197=1,0,IF(T197=2,0.13,IF(T197=3,0.2,IF(T197=4,0.27,0))))</f>
        <v>0</v>
      </c>
      <c r="AQ197" s="602">
        <f>IF(U197=1,0,IF(U197=2,0.11,IF(U197=3,0.17,IF(U197=4,0.22,0))))</f>
        <v>0</v>
      </c>
      <c r="AR197" s="602">
        <f>IF(V197=1,0,IF(V197=2,0.08,IF(V197=3,0.12,IF(V197=4,0.16,0))))</f>
        <v>0</v>
      </c>
      <c r="AS197" s="602">
        <f>IF(W197=1,0,IF(W197=2,0.05,IF(W197=3,0.07,IF(W197=4,0.1,0))))</f>
        <v>0</v>
      </c>
      <c r="AU197" s="602">
        <f>IF(S197=1,0,IF(S197=2,0.13,IF(S197=3,0.2,IF(S197=4,0.27,0))))</f>
        <v>0</v>
      </c>
      <c r="AV197" s="602">
        <f>IF(T197=1,0,IF(T197=2,0.11,IF(T197=3,0.17,IF(T197=4,0.22,0))))</f>
        <v>0</v>
      </c>
      <c r="AW197" s="602">
        <f>IF(U197=1,0,IF(U197=2,0.08,IF(U197=3,0.12,IF(U197=4,0.16,0))))</f>
        <v>0</v>
      </c>
      <c r="AX197" s="602">
        <f>IF(V197=1,0,IF(V197=2,0.05,IF(V197=3,0.07,IF(V197=4,0.1,0))))</f>
        <v>0</v>
      </c>
      <c r="AZ197" s="602">
        <f>IF(S197=1,0,IF(S197=2,0.11,IF(S197=3,0.17,IF(S197=4,0.22,0))))</f>
        <v>0</v>
      </c>
      <c r="BA197" s="602">
        <f>IF(T197=1,0,IF(T197=2,0.08,IF(T197=3,0.12,IF(T197=4,0.16,0))))</f>
        <v>0</v>
      </c>
      <c r="BB197" s="602">
        <f>IF(U197=1,0,IF(U197=2,0.05,IF(U197=3,0.07,IF(U197=4,0.1,0))))</f>
        <v>0</v>
      </c>
      <c r="BD197" s="602">
        <f>IF(S197=1,0,IF(S197=2,0.08,IF(S197=3,0.12,IF(S197=4,0.16,0))))</f>
        <v>0</v>
      </c>
      <c r="BE197" s="602">
        <f>IF(T197=1,0,IF(T197=2,0.05,IF(T197=3,0.07,IF(T197=4,0.1,0))))</f>
        <v>0</v>
      </c>
      <c r="BG197" s="602">
        <f>IF(S197=1,0,IF(S197=2,0.05,IF(S197=3,0.07,IF(S197=4,0.1,0))))</f>
        <v>0</v>
      </c>
      <c r="BI197" s="602">
        <f>IF(AA197=0,0,IF(OR(AB196=1,AB197=1),AH197-AO197,IF(OR(AC196=1,AC197=1),AH197-AU197,IF(OR(AD196=1,AD197=1),AH197-AZ197,IF(OR(AE196=1,AE197=1),AH197-BD197,IF(OR(AF196=1,AF197=1),AH197-BG197,AH197))))))</f>
        <v>0</v>
      </c>
      <c r="BJ197" s="602">
        <f>IF(AB197=0,0,IF(OR(AC196=1,AC197=1),AI197-AP197,IF(OR(AD196=1,AD197=1),AI197-AV197,IF(OR(AE196=1,AE197=1),AI197-BA197,IF(OR(AF196=1,AF197=1),AI197-BE197,AI197)))))</f>
        <v>0</v>
      </c>
      <c r="BK197" s="602">
        <f>IF(AC197=0,0,IF(OR(AD196=1,AD197=1),AJ197-AQ197,IF(OR(AE196=1,AE197=1),AJ197-AW197,IF(OR(AF196=1,AF197=1),AJ197-BB197,AJ197))))</f>
        <v>0</v>
      </c>
      <c r="BL197" s="602">
        <f>IF(AD197=0,0,IF(OR(AE196=1,AE197=1),AK197-AR197,IF(OR(AF196=1,AF197=1),AK197-AX197,AK197)))</f>
        <v>0</v>
      </c>
      <c r="BM197" s="602">
        <f>IF(AE197=0,0,IF(OR(AF196=1,AF197=1),AL197-AS197,AL197))</f>
        <v>0</v>
      </c>
      <c r="BN197" s="602">
        <f>IF(AF197=0,0,AM197)</f>
        <v>0</v>
      </c>
      <c r="BP197" s="608">
        <f>LARGE((BI196,BJ196,BK196,BL196,BM196,BN196,BI197,BJ197,BK197,BL197,BM197,BN197,BI198,BJ198,BK198,BL198,BM198,BN198),1)</f>
        <v>0</v>
      </c>
      <c r="BQ197" s="609">
        <f>LARGE((BI196,BJ196,BK196,BL196,BM196,BN196,BI197,BJ197,BK197,BL197,BM197,BN197,BI198,BJ198,BK198,BL198,BM198,BN198),2)</f>
        <v>0</v>
      </c>
      <c r="BR197" s="609">
        <f>LARGE((BI196,BJ196,BK196,BL196,BM196,BN196,BI197,BJ197,BK197,BL197,BM197,BN197,BI198,BJ198,BK198,BL198,BM198,BN198),3)</f>
        <v>0</v>
      </c>
      <c r="BS197" s="609">
        <f>LARGE((BI196,BJ196,BK196,BL196,BM196,BN196,BI197,BJ197,BK197,BL197,BM197,BN197,BI198,BJ198,BK198,BL198,BM198,BN198),4)</f>
        <v>0</v>
      </c>
      <c r="BT197" s="609">
        <f>LARGE((BI196,BJ196,BK196,BL196,BM196,BN196,BI197,BJ197,BK197,BL197,BM197,BN197,BI198,BJ198,BK198,BL198,BM198,BN198),5)</f>
        <v>0</v>
      </c>
      <c r="BU197" s="609">
        <f>LARGE((BI196,BJ196,BK196,BL196,BM196,BN196,BI197,BJ197,BK197,BL197,BM197,BN197,BI198,BJ198,BK198,BL198,BM198,BN198),6)</f>
        <v>0</v>
      </c>
      <c r="BV197" s="609">
        <f>LARGE((BI196,BJ196,BK196,BL196,BM196,BN196,BI197,BJ197,BK197,BL197,BM197,BN197,BI198,BJ198,BK198,BL198,BM198,BN198),7)</f>
        <v>0</v>
      </c>
      <c r="BW197" s="609">
        <f>LARGE((BI196,BJ196,BK196,BL196,BM196,BN196,BI197,BJ197,BK197,BL197,BM197,BN197,BI198,BJ198,BK198,BL198,BM198,BN198),8)</f>
        <v>0</v>
      </c>
      <c r="BX197" s="609">
        <f>LARGE((BI196,BJ196,BK196,BL196,BM196,BN196,BI197,BJ197,BK197,BL197,BM197,BN197,BI198,BJ198,BK198,BL198,BM198,BN198),9)</f>
        <v>0</v>
      </c>
      <c r="BY197" s="609">
        <f>LARGE((BI196,BJ196,BK196,BL196,BM196,BN196,BI197,BJ197,BK197,BL197,BM197,BN197,BI198,BJ198,BK198,BL198,BM198,BN198),10)</f>
        <v>0</v>
      </c>
      <c r="BZ197" s="609">
        <f>LARGE((BI196,BJ196,BK196,BL196,BM196,BN196,BI197,BJ197,BK197,BL197,BM197,BN197,BI198,BJ198,BK198,BL198,BM198,BN198),11)</f>
        <v>0</v>
      </c>
      <c r="CA197" s="609">
        <f>LARGE((BI196,BJ196,BK196,BL196,BM196,BN196,BI197,BJ197,BK197,BL197,BM197,BN197,BI198,BJ198,BK198,BL198,BM198,BN198),12)</f>
        <v>0</v>
      </c>
    </row>
    <row r="198" spans="1:79" s="419" customFormat="1" ht="15" customHeight="1" x14ac:dyDescent="0.2">
      <c r="B198" s="606" t="s">
        <v>1613</v>
      </c>
      <c r="C198" s="1554"/>
      <c r="D198" s="1554"/>
      <c r="E198" s="1554"/>
      <c r="F198" s="1554"/>
      <c r="G198" s="1554"/>
      <c r="H198" s="1554"/>
      <c r="I198" s="1554"/>
      <c r="J198" s="1554"/>
      <c r="K198" s="1554"/>
      <c r="L198" s="1554"/>
      <c r="M198" s="1554"/>
      <c r="N198" s="1554"/>
      <c r="O198" s="613"/>
      <c r="P198" s="622"/>
      <c r="S198" s="369">
        <f>IF(C198="",0,C198)</f>
        <v>0</v>
      </c>
      <c r="T198" s="369">
        <f>IF(E198&lt;&gt;C198,E198,IF(AND(E197&lt;&gt;C197,S196&gt;1),S196,0))</f>
        <v>0</v>
      </c>
      <c r="U198" s="369">
        <f>IF(G198&lt;&gt;E198,G198,IF(AND(G197&lt;&gt;E197,T196&gt;1),T196,0))</f>
        <v>0</v>
      </c>
      <c r="V198" s="369">
        <f>IF(I198&lt;&gt;G198,I198,IF(AND(I197&lt;&gt;G197,U196&gt;1),U196,0))</f>
        <v>0</v>
      </c>
      <c r="W198" s="369">
        <f>IF(K198&lt;&gt;I198,K198,IF(AND(K197&lt;&gt;I197,V196&gt;1),V196,0))</f>
        <v>0</v>
      </c>
      <c r="X198" s="369">
        <f>IF(M198&lt;&gt;K198,M198,IF(AND(M197&lt;&gt;K197,W196&gt;1),W196,0))</f>
        <v>0</v>
      </c>
      <c r="AA198" s="607">
        <f>IF(C198&gt;1,1,0)</f>
        <v>0</v>
      </c>
      <c r="AB198" s="369">
        <f t="shared" si="24"/>
        <v>0</v>
      </c>
      <c r="AC198" s="369">
        <f t="shared" si="24"/>
        <v>0</v>
      </c>
      <c r="AD198" s="369">
        <f t="shared" si="24"/>
        <v>0</v>
      </c>
      <c r="AE198" s="369">
        <f t="shared" si="24"/>
        <v>0</v>
      </c>
      <c r="AF198" s="369">
        <f t="shared" si="24"/>
        <v>0</v>
      </c>
      <c r="AH198" s="602">
        <f>IF(S198=1,0,IF(S198=2,0.1,IF(S198=3,0.17,IF(S198=4,0.23,0))))</f>
        <v>0</v>
      </c>
      <c r="AI198" s="602">
        <f>IF(T198=1,0,IF(T198=2,0.09,IF(T198=3,0.15,IF(T198=4,0.2,0))))</f>
        <v>0</v>
      </c>
      <c r="AJ198" s="602">
        <f>IF(U198=1,0,IF(U198=2,0.08,IF(U198=3,0.13,IF(U198=4,0.17,0))))</f>
        <v>0</v>
      </c>
      <c r="AK198" s="602">
        <f>IF(V198=1,0,IF(V198=2,0.07,IF(V198=3,0.1,IF(V198=4,0.14,0))))</f>
        <v>0</v>
      </c>
      <c r="AL198" s="602">
        <f>IF(W198=1,0,IF(W198=2,0.05,IF(W198=3,0.08,IF(W198=4,0.1,0))))</f>
        <v>0</v>
      </c>
      <c r="AM198" s="602">
        <f>IF(X198=1,0,IF(X198=2,0.03,IF(X198=3,0.05,IF(X198=4,0.06,0))))</f>
        <v>0</v>
      </c>
      <c r="AN198" s="603"/>
      <c r="AO198" s="602">
        <f>IF(S198=1,0,IF(S198=2,0.09,IF(S198=3,0.15,IF(S198=4,0.2,0))))</f>
        <v>0</v>
      </c>
      <c r="AP198" s="602">
        <f>IF(T198=1,0,IF(T198=2,0.08,IF(T198=3,0.13,IF(T198=4,0.17,0))))</f>
        <v>0</v>
      </c>
      <c r="AQ198" s="602">
        <f>IF(U198=1,0,IF(U198=2,0.07,IF(U198=3,0.1,IF(U198=4,0.14,0))))</f>
        <v>0</v>
      </c>
      <c r="AR198" s="602">
        <f>IF(V198=1,0,IF(V198=2,0.05,IF(V198=3,0.08,IF(V198=4,0.1,0))))</f>
        <v>0</v>
      </c>
      <c r="AS198" s="602">
        <f>IF(W198=1,0,IF(W198=2,0.03,IF(W198=3,0.05,IF(W198=4,0.06,0))))</f>
        <v>0</v>
      </c>
      <c r="AU198" s="602">
        <f>IF(S198=1,0,IF(S198=2,0.08,IF(S198=3,0.13,IF(S198=4,0.17,0))))</f>
        <v>0</v>
      </c>
      <c r="AV198" s="602">
        <f>IF(T198=1,0,IF(T198=2,0.07,IF(T198=3,0.1,IF(T198=4,0.14,0))))</f>
        <v>0</v>
      </c>
      <c r="AW198" s="602">
        <f>IF(U198=1,0,IF(U198=2,0.05,IF(U198=3,0.08,IF(U198=4,0.1,0))))</f>
        <v>0</v>
      </c>
      <c r="AX198" s="602">
        <f>IF(V198=1,0,IF(V198=2,0.03,IF(V198=3,0.05,IF(V198=4,0.06,0))))</f>
        <v>0</v>
      </c>
      <c r="AZ198" s="602">
        <f>IF(S198=1,0,IF(S198=2,0.07,IF(S198=3,0.1,IF(S198=4,0.14,0))))</f>
        <v>0</v>
      </c>
      <c r="BA198" s="602">
        <f>IF(T198=1,0,IF(T198=2,0.05,IF(T198=3,0.08,IF(T198=4,0.1,0))))</f>
        <v>0</v>
      </c>
      <c r="BB198" s="602">
        <f>IF(U198=1,0,IF(U198=2,0.03,IF(U198=3,0.05,IF(U198=4,0.06,0))))</f>
        <v>0</v>
      </c>
      <c r="BD198" s="602">
        <f>IF(S198=1,0,IF(S198=2,0.05,IF(S198=3,0.08,IF(S198=4,0.1,0))))</f>
        <v>0</v>
      </c>
      <c r="BE198" s="602">
        <f>IF(T198=1,0,IF(T198=2,0.03,IF(T198=3,0.05,IF(T198=4,0.06,0))))</f>
        <v>0</v>
      </c>
      <c r="BG198" s="602">
        <f>IF(S198=1,0,IF(S198=2,0.03,IF(S198=3,0.05,IF(S198=4,0.06,0))))</f>
        <v>0</v>
      </c>
      <c r="BI198" s="602">
        <f>IF(AA198=0,0,IF(OR(AB196=1,AB198=1),AH198-AO198,IF(OR(AC196=1,AC198=1),AH198-AU198,IF(OR(AD196=1,AD198=1),AH198-AZ198,IF(OR(AE196=1,AE198=1),AH198-BD198,IF(OR(AF196=1,AF198=1),AH198-BG198,AH198))))))</f>
        <v>0</v>
      </c>
      <c r="BJ198" s="602">
        <f>IF(AB198=0,0,IF(OR(AC196=1,AC198=1),AI198-AP198,IF(OR(AD196=1,AD198=1),AI198-AV198,IF(OR(AE196=1,AE198=1),AI198-BA198,IF(OR(AF196=1,AF198=1),AI198-BE198,AI198)))))</f>
        <v>0</v>
      </c>
      <c r="BK198" s="602">
        <f>IF(AC198=0,0,IF(OR(AD196=1,AD198=1),AJ198-AQ198,IF(OR(AE196=1,AE198=1),AJ198-AW198,IF(OR(AF196=1,AF198=1),AJ198-BB198,AJ198))))</f>
        <v>0</v>
      </c>
      <c r="BL198" s="602">
        <f>IF(AD198=0,0,IF(OR(AE196=1,AE198=1),AK198-AR198,IF(OR(AF196=1,AF198=1),AK198-AX198,AK198)))</f>
        <v>0</v>
      </c>
      <c r="BM198" s="602">
        <f>IF(AE198=0,0,IF(OR(AF196=1,AF198=1),AL198-AS198,AL198))</f>
        <v>0</v>
      </c>
      <c r="BN198" s="602">
        <f>IF(AF198=0,0,AM198)</f>
        <v>0</v>
      </c>
      <c r="BP198" s="610">
        <f>ROUND(BP197+BQ197*(1-BP197),2)</f>
        <v>0</v>
      </c>
      <c r="BQ198" s="610">
        <f t="shared" ref="BQ198:BZ198" si="25">ROUND(BP198+BR197*(1-BP198),2)</f>
        <v>0</v>
      </c>
      <c r="BR198" s="610">
        <f t="shared" si="25"/>
        <v>0</v>
      </c>
      <c r="BS198" s="610">
        <f t="shared" si="25"/>
        <v>0</v>
      </c>
      <c r="BT198" s="610">
        <f t="shared" si="25"/>
        <v>0</v>
      </c>
      <c r="BU198" s="610">
        <f t="shared" si="25"/>
        <v>0</v>
      </c>
      <c r="BV198" s="610">
        <f t="shared" si="25"/>
        <v>0</v>
      </c>
      <c r="BW198" s="610">
        <f t="shared" si="25"/>
        <v>0</v>
      </c>
      <c r="BX198" s="610">
        <f t="shared" si="25"/>
        <v>0</v>
      </c>
      <c r="BY198" s="610">
        <f t="shared" si="25"/>
        <v>0</v>
      </c>
      <c r="BZ198" s="610">
        <f t="shared" si="25"/>
        <v>0</v>
      </c>
      <c r="CA198" s="607"/>
    </row>
    <row r="199" spans="1:79" s="419" customFormat="1" ht="15" customHeight="1" x14ac:dyDescent="0.2">
      <c r="B199" s="1593" t="str">
        <f>IF(AD199=1,"ERROR: If radial or ulnar impairment is recorded, do not enter losses for 'both sides.'","")</f>
        <v/>
      </c>
      <c r="C199" s="1594"/>
      <c r="D199" s="1594"/>
      <c r="E199" s="1594"/>
      <c r="F199" s="1594"/>
      <c r="G199" s="1594"/>
      <c r="H199" s="1594"/>
      <c r="I199" s="1594"/>
      <c r="J199" s="1594"/>
      <c r="K199" s="1594"/>
      <c r="L199" s="1594"/>
      <c r="M199" s="1594"/>
      <c r="N199" s="1594"/>
      <c r="O199" s="1595"/>
      <c r="P199" s="303">
        <f>IF(B199&lt;&gt;"","ERROR",BZ198)</f>
        <v>0</v>
      </c>
      <c r="S199" s="599"/>
      <c r="T199" s="599"/>
      <c r="U199" s="599"/>
      <c r="V199" s="599"/>
      <c r="W199" s="599"/>
      <c r="AA199" s="369">
        <f>SUM(AA196:AF196)</f>
        <v>0</v>
      </c>
      <c r="AB199" s="369">
        <f>SUM(AA197:AF197)</f>
        <v>0</v>
      </c>
      <c r="AC199" s="369">
        <f>SUM(AA198:AF198)</f>
        <v>0</v>
      </c>
      <c r="AD199" s="369">
        <f>IF(AND(AA199&gt;0,AB199&gt;0),1,IF(AND(AA199&gt;0,AC199&gt;0),1,0))</f>
        <v>0</v>
      </c>
      <c r="AE199" s="599"/>
      <c r="AF199" s="599"/>
    </row>
    <row r="200" spans="1:79" ht="12" customHeight="1" x14ac:dyDescent="0.2">
      <c r="B200" s="1"/>
      <c r="C200" s="1"/>
      <c r="D200" s="1"/>
      <c r="E200" s="1"/>
      <c r="F200" s="1"/>
      <c r="G200" s="1"/>
      <c r="H200" s="1"/>
      <c r="I200" s="1"/>
      <c r="J200" s="1"/>
      <c r="K200" s="1"/>
      <c r="L200" s="1"/>
      <c r="M200" s="1"/>
      <c r="N200" s="1"/>
      <c r="O200" s="1"/>
      <c r="P200" s="182"/>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row>
    <row r="201" spans="1:79" x14ac:dyDescent="0.2">
      <c r="B201" s="256" t="s">
        <v>1233</v>
      </c>
      <c r="C201" s="1555" t="s">
        <v>1371</v>
      </c>
      <c r="D201" s="1555"/>
      <c r="E201" s="1555"/>
      <c r="F201" s="1555"/>
      <c r="G201" s="1555"/>
      <c r="H201" s="1534" t="s">
        <v>1796</v>
      </c>
      <c r="I201" s="1534"/>
      <c r="J201" s="1534"/>
      <c r="K201" s="42"/>
      <c r="L201" s="1534" t="s">
        <v>1234</v>
      </c>
      <c r="M201" s="1534"/>
      <c r="N201" s="1534"/>
      <c r="O201" s="1534"/>
      <c r="P201" s="1373">
        <f>V203</f>
        <v>0</v>
      </c>
      <c r="R201" s="18"/>
      <c r="S201" s="704" t="s">
        <v>1597</v>
      </c>
      <c r="T201" s="704" t="s">
        <v>1305</v>
      </c>
      <c r="U201" s="704" t="s">
        <v>1306</v>
      </c>
      <c r="V201" s="704" t="s">
        <v>1307</v>
      </c>
      <c r="AA201" s="784"/>
      <c r="AB201" s="18"/>
      <c r="AC201" s="18"/>
      <c r="AD201" s="18"/>
      <c r="AE201" s="18"/>
      <c r="AF201" s="18"/>
      <c r="AG201" s="18"/>
      <c r="AH201" s="18"/>
      <c r="AI201" s="18"/>
      <c r="AJ201" s="18"/>
      <c r="AK201" s="18"/>
      <c r="AL201" s="18"/>
      <c r="AM201" s="18"/>
      <c r="AN201" s="18"/>
      <c r="AO201" s="18"/>
      <c r="AP201" s="18"/>
      <c r="AQ201" s="18"/>
      <c r="AR201" s="18"/>
      <c r="AS201" s="18"/>
      <c r="AT201" s="18"/>
    </row>
    <row r="202" spans="1:79" ht="15" customHeight="1" x14ac:dyDescent="0.2">
      <c r="B202" s="185" t="s">
        <v>546</v>
      </c>
      <c r="C202" s="1542"/>
      <c r="D202" s="1542"/>
      <c r="E202" s="1542"/>
      <c r="F202" s="1542"/>
      <c r="G202" s="1542"/>
      <c r="H202" s="1545">
        <f>IF(C202=$X$127,0.09,IF(C202=$Y$127,0.18,IF(C202=$Z$127,0.27,0)))</f>
        <v>0</v>
      </c>
      <c r="I202" s="1545"/>
      <c r="J202" s="1545"/>
      <c r="K202" s="185"/>
      <c r="L202" s="1542"/>
      <c r="M202" s="1542"/>
      <c r="N202" s="1542"/>
      <c r="O202" s="26">
        <f>IF(H202&gt;=S202,H202-S202,0)</f>
        <v>0</v>
      </c>
      <c r="P202" s="1373"/>
      <c r="R202" s="18"/>
      <c r="S202" s="776">
        <f>IF(L202=$Y$128,0.09,IF(L202=$Z$128,0.18,IF(L202=$AA$128,0.27,0)))</f>
        <v>0</v>
      </c>
      <c r="T202" s="776">
        <f>LARGE(O202:O204,1)</f>
        <v>0</v>
      </c>
      <c r="U202" s="684">
        <f>T202+T203*(1-T202)</f>
        <v>0</v>
      </c>
      <c r="V202" s="684">
        <f>ROUND(U202,2)</f>
        <v>0</v>
      </c>
      <c r="W202" s="1487" t="s">
        <v>2197</v>
      </c>
      <c r="X202" s="1487"/>
      <c r="Y202" s="1487"/>
      <c r="Z202" s="1487"/>
      <c r="AA202" s="780"/>
      <c r="AB202" s="775"/>
      <c r="AC202" s="18"/>
      <c r="AD202" s="18"/>
      <c r="AE202" s="18"/>
      <c r="AF202" s="18"/>
      <c r="AG202" s="18"/>
      <c r="AH202" s="18"/>
      <c r="AI202" s="18"/>
      <c r="AJ202" s="18"/>
      <c r="AK202" s="18"/>
      <c r="AL202" s="18"/>
      <c r="AM202" s="18"/>
      <c r="AN202" s="18"/>
      <c r="AO202" s="18"/>
      <c r="AP202" s="18"/>
      <c r="AQ202" s="18"/>
      <c r="AR202" s="18"/>
      <c r="AS202" s="18"/>
      <c r="AT202" s="18"/>
    </row>
    <row r="203" spans="1:79" ht="15" customHeight="1" x14ac:dyDescent="0.2">
      <c r="B203" s="256" t="s">
        <v>547</v>
      </c>
      <c r="C203" s="1542"/>
      <c r="D203" s="1542"/>
      <c r="E203" s="1542"/>
      <c r="F203" s="1542"/>
      <c r="G203" s="1542"/>
      <c r="H203" s="1545">
        <f>IF(C203=$X$127,0.16,IF(C203=$Y$127,0.32,IF(C203=$Z$127,0.48,0)))</f>
        <v>0</v>
      </c>
      <c r="I203" s="1545"/>
      <c r="J203" s="1545"/>
      <c r="K203" s="185"/>
      <c r="L203" s="1542"/>
      <c r="M203" s="1542"/>
      <c r="N203" s="1542"/>
      <c r="O203" s="26">
        <f>IF(H203&gt;=S203,H203-S203,0)</f>
        <v>0</v>
      </c>
      <c r="P203" s="1373"/>
      <c r="R203" s="18"/>
      <c r="S203" s="776">
        <f>IF(L203=$Y$128,0.16,IF(L203=$Z$128,0.32,IF(L203=$AA$128,0.48,0)))</f>
        <v>0</v>
      </c>
      <c r="T203" s="776">
        <f>LARGE(O202:O204,2)</f>
        <v>0</v>
      </c>
      <c r="U203" s="684">
        <f>V202+T204*(1-V202)</f>
        <v>0</v>
      </c>
      <c r="V203" s="684">
        <f>ROUND(U203,2)</f>
        <v>0</v>
      </c>
      <c r="W203" s="769"/>
      <c r="X203" s="769" t="s">
        <v>1237</v>
      </c>
      <c r="Y203" s="769" t="s">
        <v>1238</v>
      </c>
      <c r="Z203" s="769" t="s">
        <v>1239</v>
      </c>
      <c r="AA203" s="769"/>
      <c r="AB203" s="18"/>
      <c r="AC203" s="18"/>
      <c r="AD203" s="18"/>
      <c r="AE203" s="18"/>
      <c r="AF203" s="18"/>
      <c r="AG203" s="18"/>
      <c r="AH203" s="18"/>
      <c r="AI203" s="18"/>
      <c r="AJ203" s="18"/>
      <c r="AK203" s="18"/>
      <c r="AL203" s="18"/>
      <c r="AM203" s="18"/>
      <c r="AN203" s="18"/>
      <c r="AO203" s="18"/>
      <c r="AP203" s="18"/>
      <c r="AQ203" s="18"/>
      <c r="AR203" s="18"/>
      <c r="AS203" s="18"/>
      <c r="AT203" s="18"/>
    </row>
    <row r="204" spans="1:79" ht="15" customHeight="1" x14ac:dyDescent="0.2">
      <c r="B204" s="256" t="s">
        <v>548</v>
      </c>
      <c r="C204" s="1542"/>
      <c r="D204" s="1542"/>
      <c r="E204" s="1542"/>
      <c r="F204" s="1542"/>
      <c r="G204" s="1542"/>
      <c r="H204" s="1545">
        <f>IF(C204=$X$127,0.2,IF(C204=$Y$127,0.4,IF(C204=$Z$127,0.6,0)))</f>
        <v>0</v>
      </c>
      <c r="I204" s="1545"/>
      <c r="J204" s="1545"/>
      <c r="K204" s="185"/>
      <c r="L204" s="1542"/>
      <c r="M204" s="1542"/>
      <c r="N204" s="1542"/>
      <c r="O204" s="26">
        <f>IF(H204&gt;=S204,H204-S204,0)</f>
        <v>0</v>
      </c>
      <c r="P204" s="1373"/>
      <c r="R204" s="18"/>
      <c r="S204" s="776">
        <f>IF(L204=$Y$128,0.2,IF(L204=$Z$128,0.4,IF(L204=$AA$128,0.6,0)))</f>
        <v>0</v>
      </c>
      <c r="T204" s="776">
        <f>LARGE(O202:O204,3)</f>
        <v>0</v>
      </c>
      <c r="U204" s="769"/>
      <c r="V204" s="769"/>
      <c r="W204" s="769"/>
      <c r="X204" s="769" t="s">
        <v>523</v>
      </c>
      <c r="Y204" s="769" t="s">
        <v>915</v>
      </c>
      <c r="Z204" s="776" t="s">
        <v>1803</v>
      </c>
      <c r="AA204" s="769" t="s">
        <v>1672</v>
      </c>
      <c r="AB204" s="18"/>
      <c r="AC204" s="18"/>
      <c r="AD204" s="18"/>
      <c r="AE204" s="18"/>
      <c r="AF204" s="18"/>
      <c r="AG204" s="18"/>
      <c r="AH204" s="18"/>
      <c r="AI204" s="18"/>
      <c r="AJ204" s="18"/>
      <c r="AK204" s="18"/>
      <c r="AL204" s="18"/>
      <c r="AM204" s="18"/>
      <c r="AN204" s="18"/>
      <c r="AO204" s="18"/>
      <c r="AP204" s="18"/>
      <c r="AQ204" s="18"/>
      <c r="AR204" s="18"/>
      <c r="AS204" s="18"/>
      <c r="AT204" s="18"/>
    </row>
    <row r="205" spans="1:79" ht="12" customHeight="1" x14ac:dyDescent="0.2">
      <c r="B205" s="1578"/>
      <c r="C205" s="1578"/>
      <c r="D205" s="1578"/>
      <c r="E205" s="1578"/>
      <c r="F205" s="1578"/>
      <c r="G205" s="1578"/>
      <c r="H205" s="1578"/>
      <c r="I205" s="1578"/>
      <c r="J205" s="1578"/>
      <c r="K205" s="1578"/>
      <c r="L205" s="1578"/>
      <c r="M205" s="1578"/>
      <c r="N205" s="1578"/>
      <c r="O205" s="1578"/>
      <c r="P205" s="191"/>
      <c r="R205" s="18"/>
      <c r="S205" s="19"/>
      <c r="T205" s="19"/>
      <c r="U205" s="18"/>
      <c r="V205" s="18"/>
      <c r="W205" s="18"/>
      <c r="X205" s="18"/>
      <c r="Y205" s="18"/>
      <c r="Z205" s="19"/>
      <c r="AA205" s="18"/>
      <c r="AB205" s="18"/>
      <c r="AC205" s="18"/>
      <c r="AD205" s="18"/>
      <c r="AE205" s="18"/>
      <c r="AF205" s="18"/>
      <c r="AG205" s="18"/>
      <c r="AH205" s="18"/>
      <c r="AI205" s="18"/>
      <c r="AJ205" s="18"/>
      <c r="AK205" s="18"/>
      <c r="AL205" s="18"/>
      <c r="AM205" s="18"/>
      <c r="AN205" s="18"/>
      <c r="AO205" s="18"/>
      <c r="AP205" s="18"/>
      <c r="AQ205" s="18"/>
      <c r="AR205" s="18"/>
      <c r="AS205" s="18"/>
      <c r="AT205" s="18"/>
    </row>
    <row r="206" spans="1:79" ht="15" customHeight="1" x14ac:dyDescent="0.2">
      <c r="A206" s="189"/>
      <c r="B206" s="1591" t="s">
        <v>968</v>
      </c>
      <c r="C206" s="1539"/>
      <c r="D206" s="1540"/>
      <c r="E206" s="1357" t="s">
        <v>573</v>
      </c>
      <c r="F206" s="1358"/>
      <c r="G206" s="1358"/>
      <c r="H206" s="1358"/>
      <c r="I206" s="1358"/>
      <c r="J206" s="1358"/>
      <c r="K206" s="1358"/>
      <c r="L206" s="1358"/>
      <c r="M206" s="1358"/>
      <c r="N206" s="1358"/>
      <c r="O206" s="1359"/>
      <c r="P206" s="303">
        <f>IF(T206=1,0.15,0)</f>
        <v>0</v>
      </c>
      <c r="R206" s="1557" t="s">
        <v>2197</v>
      </c>
      <c r="S206" s="706" t="b">
        <v>0</v>
      </c>
      <c r="T206" s="769">
        <f>IF(S206=TRUE,1,0)</f>
        <v>0</v>
      </c>
      <c r="U206" s="18"/>
      <c r="V206" s="18"/>
      <c r="W206" s="18"/>
      <c r="X206" s="18"/>
      <c r="Y206" s="18"/>
      <c r="Z206" s="18"/>
      <c r="AA206" s="18"/>
      <c r="AB206" s="18"/>
      <c r="AC206" s="18"/>
      <c r="AD206" s="18"/>
      <c r="AE206" s="18"/>
      <c r="AF206" s="18"/>
      <c r="AG206" s="18">
        <v>1E-4</v>
      </c>
      <c r="AH206" s="18"/>
      <c r="AI206" s="18"/>
      <c r="AJ206" s="18"/>
      <c r="AK206" s="18"/>
      <c r="AL206" s="18"/>
      <c r="AM206" s="18"/>
      <c r="AN206" s="18"/>
      <c r="AO206" s="18"/>
      <c r="AP206" s="18"/>
      <c r="AQ206" s="18"/>
      <c r="AR206" s="18"/>
      <c r="AS206" s="18"/>
      <c r="AT206" s="18"/>
    </row>
    <row r="207" spans="1:79" ht="15" customHeight="1" x14ac:dyDescent="0.2">
      <c r="B207" s="1591"/>
      <c r="C207" s="1539"/>
      <c r="D207" s="1540"/>
      <c r="E207" s="1357" t="s">
        <v>574</v>
      </c>
      <c r="F207" s="1358"/>
      <c r="G207" s="1358"/>
      <c r="H207" s="1358"/>
      <c r="I207" s="1358"/>
      <c r="J207" s="1358"/>
      <c r="K207" s="1358"/>
      <c r="L207" s="1358"/>
      <c r="M207" s="1358"/>
      <c r="N207" s="1358"/>
      <c r="O207" s="1359"/>
      <c r="P207" s="303">
        <f>IF(T207=1,0.25,0)</f>
        <v>0</v>
      </c>
      <c r="R207" s="1557"/>
      <c r="S207" s="706" t="b">
        <v>0</v>
      </c>
      <c r="T207" s="769">
        <f>IF(S207=TRUE,1,0)</f>
        <v>0</v>
      </c>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row>
    <row r="208" spans="1:79" ht="15" customHeight="1" x14ac:dyDescent="0.2">
      <c r="B208" s="1591"/>
      <c r="C208" s="1539"/>
      <c r="D208" s="1540"/>
      <c r="E208" s="1357" t="s">
        <v>788</v>
      </c>
      <c r="F208" s="1358"/>
      <c r="G208" s="1358"/>
      <c r="H208" s="1358"/>
      <c r="I208" s="1358"/>
      <c r="J208" s="1358"/>
      <c r="K208" s="1358"/>
      <c r="L208" s="1358"/>
      <c r="M208" s="1358"/>
      <c r="N208" s="1358"/>
      <c r="O208" s="1359"/>
      <c r="P208" s="303">
        <f>IF(T208=1,0.23,0)</f>
        <v>0</v>
      </c>
      <c r="R208" s="1557"/>
      <c r="S208" s="706" t="b">
        <v>0</v>
      </c>
      <c r="T208" s="769">
        <f>IF(S208=TRUE,1,0)</f>
        <v>0</v>
      </c>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row>
    <row r="209" spans="2:109" ht="12" customHeight="1" x14ac:dyDescent="0.2">
      <c r="B209" s="1395"/>
      <c r="C209" s="1395"/>
      <c r="D209" s="1395"/>
      <c r="E209" s="1395"/>
      <c r="F209" s="1395"/>
      <c r="G209" s="1395"/>
      <c r="H209" s="1395"/>
      <c r="I209" s="1395"/>
      <c r="J209" s="1395"/>
      <c r="K209" s="1395"/>
      <c r="L209" s="1395"/>
      <c r="M209" s="1395"/>
      <c r="N209" s="1395"/>
      <c r="O209" s="1395"/>
      <c r="P209" s="2"/>
      <c r="R209" s="18"/>
      <c r="S209" s="163"/>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row>
    <row r="210" spans="2:109" ht="15" customHeight="1" x14ac:dyDescent="0.2">
      <c r="B210" s="1541" t="s">
        <v>1452</v>
      </c>
      <c r="C210" s="1541"/>
      <c r="D210" s="1541"/>
      <c r="E210" s="1541"/>
      <c r="F210" s="1541"/>
      <c r="G210" s="1541"/>
      <c r="H210" s="1541"/>
      <c r="I210" s="1541"/>
      <c r="J210" s="1541"/>
      <c r="K210" s="1541"/>
      <c r="L210" s="1541"/>
      <c r="M210" s="1541"/>
      <c r="N210" s="1541"/>
      <c r="O210" s="388"/>
      <c r="P210" s="26">
        <f>SUMIF(T210:X210,O210,T211:X211)</f>
        <v>0</v>
      </c>
      <c r="R210" s="1561" t="s">
        <v>2197</v>
      </c>
      <c r="S210" s="1561"/>
      <c r="T210" s="769" t="s">
        <v>1969</v>
      </c>
      <c r="U210" s="769" t="s">
        <v>1970</v>
      </c>
      <c r="V210" s="776" t="s">
        <v>1972</v>
      </c>
      <c r="W210" s="769" t="s">
        <v>945</v>
      </c>
      <c r="X210" s="776" t="s">
        <v>558</v>
      </c>
      <c r="Y210" s="18"/>
      <c r="Z210" s="769" t="s">
        <v>1969</v>
      </c>
      <c r="AA210" s="769" t="s">
        <v>1970</v>
      </c>
      <c r="AB210" s="776" t="s">
        <v>1972</v>
      </c>
      <c r="AC210" s="769" t="s">
        <v>945</v>
      </c>
      <c r="AD210" s="776" t="s">
        <v>558</v>
      </c>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row>
    <row r="211" spans="2:109" ht="15" customHeight="1" x14ac:dyDescent="0.2">
      <c r="B211" s="1541" t="s">
        <v>1499</v>
      </c>
      <c r="C211" s="1541"/>
      <c r="D211" s="1541"/>
      <c r="E211" s="1541"/>
      <c r="F211" s="1541"/>
      <c r="G211" s="1541"/>
      <c r="H211" s="1541"/>
      <c r="I211" s="1541"/>
      <c r="J211" s="1541"/>
      <c r="K211" s="1541"/>
      <c r="L211" s="1541"/>
      <c r="M211" s="1541"/>
      <c r="N211" s="1541"/>
      <c r="O211" s="388"/>
      <c r="P211" s="26">
        <f>SUMIF(Z210:AD210,O211,Z211:AD211)</f>
        <v>0</v>
      </c>
      <c r="R211" s="1561"/>
      <c r="S211" s="1561"/>
      <c r="T211" s="776">
        <v>0.03</v>
      </c>
      <c r="U211" s="776">
        <v>0.15</v>
      </c>
      <c r="V211" s="776">
        <v>0.38</v>
      </c>
      <c r="W211" s="776">
        <v>0.68</v>
      </c>
      <c r="X211" s="776">
        <v>0.9</v>
      </c>
      <c r="Y211" s="18"/>
      <c r="Z211" s="776">
        <v>0.03</v>
      </c>
      <c r="AA211" s="776">
        <v>0.15</v>
      </c>
      <c r="AB211" s="776">
        <v>0.35</v>
      </c>
      <c r="AC211" s="776">
        <v>0.63</v>
      </c>
      <c r="AD211" s="776">
        <v>0.88</v>
      </c>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row>
    <row r="212" spans="2:109" ht="12" customHeight="1" x14ac:dyDescent="0.2">
      <c r="B212" s="1395"/>
      <c r="C212" s="1395"/>
      <c r="D212" s="1395"/>
      <c r="E212" s="1395"/>
      <c r="F212" s="1395"/>
      <c r="G212" s="1395"/>
      <c r="H212" s="1395"/>
      <c r="I212" s="1395"/>
      <c r="J212" s="1395"/>
      <c r="K212" s="1395"/>
      <c r="L212" s="1395"/>
      <c r="M212" s="1395"/>
      <c r="N212" s="1395"/>
      <c r="O212" s="1395"/>
      <c r="P212" s="182"/>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row>
    <row r="213" spans="2:109" ht="12" customHeight="1" x14ac:dyDescent="0.2">
      <c r="B213" s="1395"/>
      <c r="C213" s="1395"/>
      <c r="D213" s="1395"/>
      <c r="E213" s="1395"/>
      <c r="F213" s="1395"/>
      <c r="G213" s="1395"/>
      <c r="H213" s="1395"/>
      <c r="I213" s="1395"/>
      <c r="J213" s="1395"/>
      <c r="K213" s="1395"/>
      <c r="L213" s="1395"/>
      <c r="M213" s="1395"/>
      <c r="N213" s="1395"/>
      <c r="O213" s="1395"/>
      <c r="P213" s="182"/>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row>
    <row r="214" spans="2:109" ht="27" customHeight="1" x14ac:dyDescent="0.2">
      <c r="B214" s="1632" t="s">
        <v>1453</v>
      </c>
      <c r="C214" s="1633"/>
      <c r="D214" s="1633"/>
      <c r="E214" s="1633"/>
      <c r="F214" s="1633"/>
      <c r="G214" s="1626" t="s">
        <v>1525</v>
      </c>
      <c r="H214" s="1627"/>
      <c r="I214" s="1627"/>
      <c r="J214" s="1628"/>
      <c r="K214" s="1616"/>
      <c r="L214" s="1617"/>
      <c r="M214" s="1617"/>
      <c r="N214" s="1617"/>
      <c r="O214" s="1618"/>
      <c r="P214" s="1481">
        <f>U228</f>
        <v>0</v>
      </c>
      <c r="R214" s="783" t="s">
        <v>1865</v>
      </c>
      <c r="S214" s="769" t="s">
        <v>1305</v>
      </c>
      <c r="T214" s="769" t="s">
        <v>1306</v>
      </c>
      <c r="U214" s="769" t="s">
        <v>1307</v>
      </c>
      <c r="V214" s="1549" t="s">
        <v>801</v>
      </c>
      <c r="W214" s="1550"/>
      <c r="X214" s="1551"/>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row>
    <row r="215" spans="2:109" ht="15" customHeight="1" x14ac:dyDescent="0.2">
      <c r="B215" s="1546" t="s">
        <v>628</v>
      </c>
      <c r="C215" s="1547"/>
      <c r="D215" s="1548"/>
      <c r="E215" s="1730">
        <f>P157</f>
        <v>0</v>
      </c>
      <c r="F215" s="1731"/>
      <c r="G215" s="1534" t="s">
        <v>1942</v>
      </c>
      <c r="H215" s="1534"/>
      <c r="I215" s="1559"/>
      <c r="J215" s="1559"/>
      <c r="K215" s="1619"/>
      <c r="L215" s="1620"/>
      <c r="M215" s="1620"/>
      <c r="N215" s="1620"/>
      <c r="O215" s="1621"/>
      <c r="P215" s="1631"/>
      <c r="R215" s="688">
        <f>E215</f>
        <v>0</v>
      </c>
      <c r="S215" s="776">
        <f>LARGE($R$215:$R$229,1)</f>
        <v>0</v>
      </c>
      <c r="T215" s="684">
        <f>S215+S216*(1-S215)</f>
        <v>0</v>
      </c>
      <c r="U215" s="688">
        <f t="shared" ref="U215:U228" si="26">ROUND(T215,2)</f>
        <v>0</v>
      </c>
      <c r="V215" s="769">
        <f>IF(E215&gt;0,1,0)</f>
        <v>0</v>
      </c>
      <c r="W215" s="769">
        <f>COUNTIF(V215:V229,1)</f>
        <v>0</v>
      </c>
      <c r="X215" s="769">
        <f>IF(AND(W215=0,W216&gt;0),1,IF(W215&gt;0,2,0))</f>
        <v>0</v>
      </c>
      <c r="AA215" s="18"/>
      <c r="AD215" s="18"/>
      <c r="AG215" s="18"/>
      <c r="AH215" s="18"/>
      <c r="AI215" s="18"/>
      <c r="AJ215" s="18"/>
      <c r="AK215" s="18"/>
      <c r="AL215" s="18"/>
      <c r="AM215" s="18"/>
      <c r="AN215" s="18"/>
      <c r="AO215" s="18"/>
      <c r="AP215" s="18"/>
      <c r="AQ215" s="18"/>
      <c r="AR215" s="18"/>
      <c r="AS215" s="18"/>
      <c r="AT215" s="18"/>
      <c r="AU215" s="18"/>
      <c r="AV215" s="18"/>
      <c r="AW215" s="18"/>
      <c r="AX215" s="18"/>
      <c r="AY215" s="18"/>
      <c r="AZ215" s="18"/>
    </row>
    <row r="216" spans="2:109" ht="15" customHeight="1" x14ac:dyDescent="0.2">
      <c r="B216" s="1362" t="s">
        <v>382</v>
      </c>
      <c r="C216" s="1363"/>
      <c r="D216" s="1364"/>
      <c r="E216" s="1373">
        <f>P160</f>
        <v>0</v>
      </c>
      <c r="F216" s="1373"/>
      <c r="G216" s="1534" t="s">
        <v>1942</v>
      </c>
      <c r="H216" s="1534"/>
      <c r="I216" s="1559"/>
      <c r="J216" s="1559"/>
      <c r="K216" s="1619"/>
      <c r="L216" s="1620"/>
      <c r="M216" s="1620"/>
      <c r="N216" s="1620"/>
      <c r="O216" s="1621"/>
      <c r="P216" s="1631"/>
      <c r="R216" s="688">
        <f>E216</f>
        <v>0</v>
      </c>
      <c r="S216" s="776">
        <f>LARGE($R$215:$R$229,2)</f>
        <v>0</v>
      </c>
      <c r="T216" s="684">
        <f>U215+S217*(1-U215)</f>
        <v>0</v>
      </c>
      <c r="U216" s="688">
        <f t="shared" si="26"/>
        <v>0</v>
      </c>
      <c r="V216" s="769">
        <f>IF(E216&gt;0,2,0)</f>
        <v>0</v>
      </c>
      <c r="W216" s="770">
        <f>COUNTIF(V215:V229,2)</f>
        <v>0</v>
      </c>
      <c r="X216" s="18"/>
      <c r="Y216" s="18" t="s">
        <v>511</v>
      </c>
      <c r="AA216" s="1395"/>
      <c r="AB216" s="1395"/>
      <c r="AC216" s="1395"/>
      <c r="AD216" s="18"/>
      <c r="AG216" s="18"/>
      <c r="AH216" s="18"/>
      <c r="AI216" s="18"/>
      <c r="AJ216" s="18"/>
      <c r="AK216" s="18"/>
      <c r="AL216" s="18"/>
      <c r="AM216" s="18"/>
      <c r="AN216" s="18"/>
      <c r="AO216" s="18"/>
      <c r="AP216" s="18"/>
      <c r="AQ216" s="18"/>
      <c r="AR216" s="18"/>
      <c r="AS216" s="18"/>
      <c r="AT216" s="18"/>
      <c r="AU216" s="18"/>
      <c r="AV216" s="18"/>
      <c r="AW216" s="18"/>
      <c r="AX216" s="18"/>
      <c r="AY216" s="18"/>
      <c r="AZ216" s="18"/>
    </row>
    <row r="217" spans="2:109" ht="15" customHeight="1" x14ac:dyDescent="0.2">
      <c r="B217" s="1362" t="s">
        <v>1959</v>
      </c>
      <c r="C217" s="1363"/>
      <c r="D217" s="1364"/>
      <c r="E217" s="1373">
        <f>IF(E607&gt;0,0,P165)</f>
        <v>0</v>
      </c>
      <c r="F217" s="1373"/>
      <c r="G217" s="1729" t="s">
        <v>2260</v>
      </c>
      <c r="H217" s="1729"/>
      <c r="I217" s="1559"/>
      <c r="J217" s="1559"/>
      <c r="K217" s="1619"/>
      <c r="L217" s="1620"/>
      <c r="M217" s="1620"/>
      <c r="N217" s="1620"/>
      <c r="O217" s="1621"/>
      <c r="P217" s="1631"/>
      <c r="R217" s="688">
        <f t="shared" ref="R217:R224" si="27">IF(I217&gt;0,I217,E217)</f>
        <v>0</v>
      </c>
      <c r="S217" s="776">
        <f>LARGE($R$215:$R$229,3)</f>
        <v>0</v>
      </c>
      <c r="T217" s="684">
        <f>U216+S218*(1-U216)</f>
        <v>0</v>
      </c>
      <c r="U217" s="688">
        <f t="shared" si="26"/>
        <v>0</v>
      </c>
      <c r="V217" s="769">
        <f t="shared" ref="V217:V229" si="28">IF(E217&gt;0,1,0)</f>
        <v>0</v>
      </c>
      <c r="W217" s="18"/>
      <c r="X217" s="18"/>
      <c r="Y217" s="1087"/>
      <c r="Z217" s="18"/>
      <c r="AA217" s="1395"/>
      <c r="AB217" s="1395"/>
      <c r="AC217" s="1395"/>
      <c r="AD217" s="18"/>
      <c r="AG217" s="18"/>
      <c r="AH217" s="18"/>
      <c r="AI217" s="18"/>
      <c r="AJ217" s="18"/>
      <c r="AK217" s="18"/>
      <c r="AL217" s="18"/>
      <c r="AM217" s="18"/>
      <c r="AN217" s="18"/>
      <c r="AO217" s="18"/>
      <c r="AP217" s="18"/>
      <c r="AQ217" s="18"/>
      <c r="AR217" s="18"/>
      <c r="AS217" s="18"/>
      <c r="AT217" s="18"/>
      <c r="AU217" s="18"/>
      <c r="AV217" s="18"/>
      <c r="AW217" s="18"/>
      <c r="AX217" s="18"/>
      <c r="AY217" s="18"/>
      <c r="AZ217" s="18"/>
    </row>
    <row r="218" spans="2:109" ht="15" customHeight="1" x14ac:dyDescent="0.2">
      <c r="B218" s="1410" t="s">
        <v>1417</v>
      </c>
      <c r="C218" s="1410"/>
      <c r="D218" s="1410"/>
      <c r="E218" s="1342">
        <f>P182</f>
        <v>0</v>
      </c>
      <c r="F218" s="1344"/>
      <c r="G218" s="1544"/>
      <c r="H218" s="1544"/>
      <c r="I218" s="1545">
        <f t="shared" ref="I218:I224" si="29">IF(AND(Y218&lt;0.01,Y218&gt;0),0.01,ROUND(Y218,2))</f>
        <v>0</v>
      </c>
      <c r="J218" s="1545"/>
      <c r="K218" s="1619"/>
      <c r="L218" s="1620"/>
      <c r="M218" s="1620"/>
      <c r="N218" s="1620"/>
      <c r="O218" s="1621"/>
      <c r="P218" s="1631"/>
      <c r="R218" s="688">
        <f t="shared" si="27"/>
        <v>0</v>
      </c>
      <c r="S218" s="776">
        <f>LARGE($R$215:$R$229,4)</f>
        <v>0</v>
      </c>
      <c r="T218" s="684">
        <f t="shared" ref="T218:T228" si="30">U217+S219*(1-U217)</f>
        <v>0</v>
      </c>
      <c r="U218" s="688">
        <f t="shared" si="26"/>
        <v>0</v>
      </c>
      <c r="V218" s="769">
        <f t="shared" si="28"/>
        <v>0</v>
      </c>
      <c r="W218" s="18"/>
      <c r="X218" s="18"/>
      <c r="Y218" s="355">
        <f>E218*G218</f>
        <v>0</v>
      </c>
      <c r="Z218" s="860"/>
      <c r="AA218" s="1395"/>
      <c r="AB218" s="1395"/>
      <c r="AC218" s="1395"/>
      <c r="AD218" s="18"/>
      <c r="AG218" s="18"/>
      <c r="AH218" s="18"/>
      <c r="AI218" s="18"/>
      <c r="AJ218" s="18"/>
      <c r="AK218" s="18"/>
      <c r="AL218" s="18"/>
      <c r="AM218" s="18"/>
      <c r="AN218" s="18"/>
      <c r="AO218" s="18"/>
      <c r="AP218" s="18"/>
      <c r="AQ218" s="18"/>
      <c r="AR218" s="18"/>
      <c r="AS218" s="18"/>
      <c r="AT218" s="18"/>
      <c r="AU218" s="18"/>
      <c r="AV218" s="18"/>
      <c r="AW218" s="18"/>
      <c r="AX218" s="18"/>
      <c r="AY218" s="18"/>
      <c r="AZ218" s="18"/>
    </row>
    <row r="219" spans="2:109" ht="15" customHeight="1" x14ac:dyDescent="0.2">
      <c r="B219" s="1362" t="s">
        <v>1418</v>
      </c>
      <c r="C219" s="1363"/>
      <c r="D219" s="1364"/>
      <c r="E219" s="1342">
        <f>P183</f>
        <v>0</v>
      </c>
      <c r="F219" s="1344"/>
      <c r="G219" s="1544"/>
      <c r="H219" s="1544"/>
      <c r="I219" s="1545">
        <f t="shared" si="29"/>
        <v>0</v>
      </c>
      <c r="J219" s="1545"/>
      <c r="K219" s="1619"/>
      <c r="L219" s="1620"/>
      <c r="M219" s="1620"/>
      <c r="N219" s="1620"/>
      <c r="O219" s="1621"/>
      <c r="P219" s="1631"/>
      <c r="R219" s="688">
        <f t="shared" si="27"/>
        <v>0</v>
      </c>
      <c r="S219" s="776">
        <f>LARGE($R$215:$R$229,5)</f>
        <v>0</v>
      </c>
      <c r="T219" s="684">
        <f t="shared" si="30"/>
        <v>0</v>
      </c>
      <c r="U219" s="688">
        <f t="shared" si="26"/>
        <v>0</v>
      </c>
      <c r="V219" s="769">
        <f t="shared" si="28"/>
        <v>0</v>
      </c>
      <c r="W219" s="18"/>
      <c r="X219" s="18"/>
      <c r="Y219" s="1028">
        <f t="shared" ref="Y219:Y224" si="31">E219*G219</f>
        <v>0</v>
      </c>
      <c r="Z219" s="860"/>
      <c r="AA219" s="1395"/>
      <c r="AB219" s="1395"/>
      <c r="AC219" s="1395"/>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row>
    <row r="220" spans="2:109" ht="15" customHeight="1" x14ac:dyDescent="0.2">
      <c r="B220" s="1362" t="s">
        <v>1419</v>
      </c>
      <c r="C220" s="1363"/>
      <c r="D220" s="1364"/>
      <c r="E220" s="1342">
        <f>P184</f>
        <v>0</v>
      </c>
      <c r="F220" s="1344"/>
      <c r="G220" s="1544"/>
      <c r="H220" s="1544"/>
      <c r="I220" s="1545">
        <f t="shared" si="29"/>
        <v>0</v>
      </c>
      <c r="J220" s="1545"/>
      <c r="K220" s="1619"/>
      <c r="L220" s="1620"/>
      <c r="M220" s="1620"/>
      <c r="N220" s="1620"/>
      <c r="O220" s="1621"/>
      <c r="P220" s="1631"/>
      <c r="R220" s="688">
        <f t="shared" si="27"/>
        <v>0</v>
      </c>
      <c r="S220" s="776">
        <f>LARGE($R$215:$R$229,6)</f>
        <v>0</v>
      </c>
      <c r="T220" s="684">
        <f t="shared" si="30"/>
        <v>0</v>
      </c>
      <c r="U220" s="688">
        <f t="shared" si="26"/>
        <v>0</v>
      </c>
      <c r="V220" s="769">
        <f t="shared" si="28"/>
        <v>0</v>
      </c>
      <c r="W220" s="18"/>
      <c r="X220" s="18"/>
      <c r="Y220" s="1028">
        <f t="shared" si="31"/>
        <v>0</v>
      </c>
      <c r="Z220" s="860"/>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row>
    <row r="221" spans="2:109" ht="15" customHeight="1" x14ac:dyDescent="0.2">
      <c r="B221" s="1362" t="s">
        <v>1420</v>
      </c>
      <c r="C221" s="1363"/>
      <c r="D221" s="1364"/>
      <c r="E221" s="1342">
        <f>P185</f>
        <v>0</v>
      </c>
      <c r="F221" s="1344"/>
      <c r="G221" s="1544"/>
      <c r="H221" s="1544"/>
      <c r="I221" s="1545">
        <f t="shared" si="29"/>
        <v>0</v>
      </c>
      <c r="J221" s="1545"/>
      <c r="K221" s="1619"/>
      <c r="L221" s="1620"/>
      <c r="M221" s="1620"/>
      <c r="N221" s="1620"/>
      <c r="O221" s="1621"/>
      <c r="P221" s="1631"/>
      <c r="R221" s="688">
        <f t="shared" si="27"/>
        <v>0</v>
      </c>
      <c r="S221" s="776">
        <f>LARGE($R$215:$R$229,7)</f>
        <v>0</v>
      </c>
      <c r="T221" s="684">
        <f t="shared" si="30"/>
        <v>0</v>
      </c>
      <c r="U221" s="688">
        <f t="shared" si="26"/>
        <v>0</v>
      </c>
      <c r="V221" s="769">
        <f t="shared" si="28"/>
        <v>0</v>
      </c>
      <c r="W221" s="18"/>
      <c r="X221" s="18"/>
      <c r="Y221" s="1028">
        <f t="shared" si="31"/>
        <v>0</v>
      </c>
      <c r="Z221" s="860"/>
      <c r="AA221" s="1073"/>
      <c r="AB221" s="1073"/>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row>
    <row r="222" spans="2:109" ht="15" customHeight="1" x14ac:dyDescent="0.2">
      <c r="B222" s="1362" t="s">
        <v>1986</v>
      </c>
      <c r="C222" s="1363"/>
      <c r="D222" s="1364"/>
      <c r="E222" s="1373">
        <f>P194</f>
        <v>0</v>
      </c>
      <c r="F222" s="1373"/>
      <c r="G222" s="1544"/>
      <c r="H222" s="1544"/>
      <c r="I222" s="1545">
        <f t="shared" si="29"/>
        <v>0</v>
      </c>
      <c r="J222" s="1545"/>
      <c r="K222" s="1619"/>
      <c r="L222" s="1620"/>
      <c r="M222" s="1620"/>
      <c r="N222" s="1620"/>
      <c r="O222" s="1621"/>
      <c r="P222" s="1631"/>
      <c r="R222" s="688">
        <f t="shared" si="27"/>
        <v>0</v>
      </c>
      <c r="S222" s="776">
        <f>LARGE($R$215:$R$229,8)</f>
        <v>0</v>
      </c>
      <c r="T222" s="684">
        <f t="shared" si="30"/>
        <v>0</v>
      </c>
      <c r="U222" s="688">
        <f t="shared" si="26"/>
        <v>0</v>
      </c>
      <c r="V222" s="769">
        <f t="shared" si="28"/>
        <v>0</v>
      </c>
      <c r="W222" s="18"/>
      <c r="X222" s="18"/>
      <c r="Y222" s="1028">
        <f t="shared" si="31"/>
        <v>0</v>
      </c>
      <c r="Z222" s="860"/>
      <c r="AA222" s="1073"/>
      <c r="AB222" s="1073"/>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row>
    <row r="223" spans="2:109" ht="15" customHeight="1" x14ac:dyDescent="0.2">
      <c r="B223" s="1362" t="s">
        <v>1227</v>
      </c>
      <c r="C223" s="1363"/>
      <c r="D223" s="1364"/>
      <c r="E223" s="1373">
        <f>P199</f>
        <v>0</v>
      </c>
      <c r="F223" s="1373"/>
      <c r="G223" s="1544"/>
      <c r="H223" s="1544"/>
      <c r="I223" s="1545">
        <f t="shared" si="29"/>
        <v>0</v>
      </c>
      <c r="J223" s="1545"/>
      <c r="K223" s="1030"/>
      <c r="L223" s="1031"/>
      <c r="M223" s="1031"/>
      <c r="N223" s="1031"/>
      <c r="O223" s="1032"/>
      <c r="P223" s="1631"/>
      <c r="R223" s="688">
        <f t="shared" si="27"/>
        <v>0</v>
      </c>
      <c r="S223" s="776">
        <f>LARGE($R$215:$R$229,9)</f>
        <v>0</v>
      </c>
      <c r="T223" s="684">
        <f t="shared" si="30"/>
        <v>0</v>
      </c>
      <c r="U223" s="688">
        <f t="shared" si="26"/>
        <v>0</v>
      </c>
      <c r="V223" s="769">
        <f t="shared" si="28"/>
        <v>0</v>
      </c>
      <c r="W223" s="18"/>
      <c r="X223" s="18"/>
      <c r="Y223" s="1028">
        <f t="shared" si="31"/>
        <v>0</v>
      </c>
      <c r="Z223" s="373"/>
      <c r="AA223" s="1073"/>
      <c r="AB223" s="1073"/>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row>
    <row r="224" spans="2:109" ht="15" customHeight="1" x14ac:dyDescent="0.2">
      <c r="B224" s="1362" t="s">
        <v>1233</v>
      </c>
      <c r="C224" s="1363"/>
      <c r="D224" s="1364"/>
      <c r="E224" s="1373">
        <f>P201</f>
        <v>0</v>
      </c>
      <c r="F224" s="1373"/>
      <c r="G224" s="1544"/>
      <c r="H224" s="1544"/>
      <c r="I224" s="1545">
        <f t="shared" si="29"/>
        <v>0</v>
      </c>
      <c r="J224" s="1545"/>
      <c r="K224" s="1030"/>
      <c r="L224" s="1031"/>
      <c r="M224" s="1031"/>
      <c r="N224" s="1031"/>
      <c r="O224" s="1032"/>
      <c r="P224" s="1631"/>
      <c r="R224" s="688">
        <f t="shared" si="27"/>
        <v>0</v>
      </c>
      <c r="S224" s="776">
        <f>LARGE($R$215:$R$229,10)</f>
        <v>0</v>
      </c>
      <c r="T224" s="684">
        <f t="shared" si="30"/>
        <v>0</v>
      </c>
      <c r="U224" s="688">
        <f t="shared" si="26"/>
        <v>0</v>
      </c>
      <c r="V224" s="769">
        <f t="shared" si="28"/>
        <v>0</v>
      </c>
      <c r="W224" s="18"/>
      <c r="X224" s="18"/>
      <c r="Y224" s="1028">
        <f t="shared" si="31"/>
        <v>0</v>
      </c>
      <c r="Z224" s="373"/>
      <c r="AA224" s="1073"/>
      <c r="AB224" s="1073"/>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row>
    <row r="225" spans="2:84" ht="15" customHeight="1" x14ac:dyDescent="0.2">
      <c r="B225" s="1362" t="s">
        <v>383</v>
      </c>
      <c r="C225" s="1363"/>
      <c r="D225" s="1364"/>
      <c r="E225" s="1373">
        <f>P206</f>
        <v>0</v>
      </c>
      <c r="F225" s="1373"/>
      <c r="G225" s="1534" t="s">
        <v>1942</v>
      </c>
      <c r="H225" s="1534"/>
      <c r="I225" s="1559"/>
      <c r="J225" s="1559"/>
      <c r="K225" s="1588" t="str">
        <f>IF(AND(P165&gt;0,E607&gt;0),"A value has been granted for motor loss. Additional impairment value is not allowed for reduced ROM in the same extremity.","")</f>
        <v/>
      </c>
      <c r="L225" s="1589"/>
      <c r="M225" s="1589"/>
      <c r="N225" s="1589"/>
      <c r="O225" s="1590"/>
      <c r="P225" s="1631"/>
      <c r="R225" s="688">
        <f>E225</f>
        <v>0</v>
      </c>
      <c r="S225" s="776">
        <f>LARGE($R$215:$R$229,11)</f>
        <v>0</v>
      </c>
      <c r="T225" s="684">
        <f t="shared" si="30"/>
        <v>0</v>
      </c>
      <c r="U225" s="688">
        <f t="shared" si="26"/>
        <v>0</v>
      </c>
      <c r="V225" s="769">
        <f t="shared" si="28"/>
        <v>0</v>
      </c>
      <c r="W225" s="18"/>
      <c r="X225" s="18"/>
      <c r="Y225" s="370"/>
      <c r="Z225" s="373"/>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row>
    <row r="226" spans="2:84" ht="15" customHeight="1" x14ac:dyDescent="0.2">
      <c r="B226" s="1362" t="s">
        <v>384</v>
      </c>
      <c r="C226" s="1363"/>
      <c r="D226" s="1364"/>
      <c r="E226" s="1373">
        <f>P207</f>
        <v>0</v>
      </c>
      <c r="F226" s="1373"/>
      <c r="G226" s="1534" t="s">
        <v>1942</v>
      </c>
      <c r="H226" s="1534"/>
      <c r="I226" s="1559"/>
      <c r="J226" s="1559"/>
      <c r="K226" s="1588"/>
      <c r="L226" s="1589"/>
      <c r="M226" s="1589"/>
      <c r="N226" s="1589"/>
      <c r="O226" s="1590"/>
      <c r="P226" s="1631"/>
      <c r="R226" s="688">
        <f>E226</f>
        <v>0</v>
      </c>
      <c r="S226" s="776">
        <f>LARGE($R$215:$R$229,12)</f>
        <v>0</v>
      </c>
      <c r="T226" s="684">
        <f t="shared" si="30"/>
        <v>0</v>
      </c>
      <c r="U226" s="688">
        <f t="shared" si="26"/>
        <v>0</v>
      </c>
      <c r="V226" s="769">
        <f t="shared" si="28"/>
        <v>0</v>
      </c>
      <c r="W226" s="18"/>
      <c r="X226" s="18"/>
      <c r="Y226" s="370"/>
      <c r="Z226" s="315"/>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row>
    <row r="227" spans="2:84" ht="15" customHeight="1" x14ac:dyDescent="0.2">
      <c r="B227" s="1362" t="s">
        <v>807</v>
      </c>
      <c r="C227" s="1363"/>
      <c r="D227" s="1364"/>
      <c r="E227" s="1373">
        <f>P208</f>
        <v>0</v>
      </c>
      <c r="F227" s="1373"/>
      <c r="G227" s="1534" t="s">
        <v>1942</v>
      </c>
      <c r="H227" s="1534"/>
      <c r="I227" s="1559"/>
      <c r="J227" s="1559"/>
      <c r="K227" s="1588"/>
      <c r="L227" s="1589"/>
      <c r="M227" s="1589"/>
      <c r="N227" s="1589"/>
      <c r="O227" s="1590"/>
      <c r="P227" s="1631"/>
      <c r="R227" s="688">
        <f>E227</f>
        <v>0</v>
      </c>
      <c r="S227" s="776">
        <f>LARGE($R$215:$R$229,13)</f>
        <v>0</v>
      </c>
      <c r="T227" s="684">
        <f t="shared" si="30"/>
        <v>0</v>
      </c>
      <c r="U227" s="688">
        <f t="shared" si="26"/>
        <v>0</v>
      </c>
      <c r="V227" s="769">
        <f t="shared" si="28"/>
        <v>0</v>
      </c>
      <c r="W227" s="18"/>
      <c r="X227" s="18"/>
      <c r="Y227" s="370"/>
      <c r="Z227" s="315"/>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row>
    <row r="228" spans="2:84" ht="15" customHeight="1" x14ac:dyDescent="0.2">
      <c r="B228" s="1362" t="s">
        <v>1447</v>
      </c>
      <c r="C228" s="1363"/>
      <c r="D228" s="1364"/>
      <c r="E228" s="1373">
        <f>P210</f>
        <v>0</v>
      </c>
      <c r="F228" s="1373"/>
      <c r="G228" s="1544"/>
      <c r="H228" s="1544"/>
      <c r="I228" s="1545">
        <f>IF(AND(Y228&lt;0.01,Y228&gt;0),0.01,ROUND(Y228,2))</f>
        <v>0</v>
      </c>
      <c r="J228" s="1545"/>
      <c r="K228" s="1588"/>
      <c r="L228" s="1589"/>
      <c r="M228" s="1589"/>
      <c r="N228" s="1589"/>
      <c r="O228" s="1590"/>
      <c r="P228" s="1631"/>
      <c r="R228" s="688">
        <f>IF(I228&gt;0,I228,E228)</f>
        <v>0</v>
      </c>
      <c r="S228" s="776">
        <f>LARGE($R$215:$R$229,14)</f>
        <v>0</v>
      </c>
      <c r="T228" s="684">
        <f t="shared" si="30"/>
        <v>0</v>
      </c>
      <c r="U228" s="688">
        <f t="shared" si="26"/>
        <v>0</v>
      </c>
      <c r="V228" s="769">
        <f t="shared" si="28"/>
        <v>0</v>
      </c>
      <c r="W228" s="18"/>
      <c r="X228" s="18"/>
      <c r="Y228" s="1028">
        <f t="shared" ref="Y228:Y229" si="32">E228*G228</f>
        <v>0</v>
      </c>
      <c r="Z228" s="85"/>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row>
    <row r="229" spans="2:84" ht="15" customHeight="1" x14ac:dyDescent="0.2">
      <c r="B229" s="1410" t="s">
        <v>1254</v>
      </c>
      <c r="C229" s="1410"/>
      <c r="D229" s="1410"/>
      <c r="E229" s="1809">
        <f>P211</f>
        <v>0</v>
      </c>
      <c r="F229" s="1809"/>
      <c r="G229" s="1544"/>
      <c r="H229" s="1544"/>
      <c r="I229" s="1545">
        <f>IF(AND(Y229&lt;0.01,Y229&gt;0),0.01,ROUND(Y229,2))</f>
        <v>0</v>
      </c>
      <c r="J229" s="1545"/>
      <c r="K229" s="1574"/>
      <c r="L229" s="1575"/>
      <c r="M229" s="1575"/>
      <c r="N229" s="1575"/>
      <c r="O229" s="1576"/>
      <c r="P229" s="1631"/>
      <c r="Q229" s="3"/>
      <c r="R229" s="688">
        <f>IF(I229&gt;0,I229,E229)</f>
        <v>0</v>
      </c>
      <c r="S229" s="776">
        <f>LARGE($R$215:$R$229,15)</f>
        <v>0</v>
      </c>
      <c r="T229" s="707"/>
      <c r="U229" s="688"/>
      <c r="V229" s="769">
        <f t="shared" si="28"/>
        <v>0</v>
      </c>
      <c r="W229" s="18"/>
      <c r="X229" s="18"/>
      <c r="Y229" s="1028">
        <f t="shared" si="32"/>
        <v>0</v>
      </c>
      <c r="Z229" s="85"/>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3"/>
    </row>
    <row r="230" spans="2:84" ht="14.25" customHeight="1" x14ac:dyDescent="0.2">
      <c r="B230" s="1799" t="s">
        <v>2255</v>
      </c>
      <c r="C230" s="1800"/>
      <c r="D230" s="1800"/>
      <c r="E230" s="1800"/>
      <c r="F230" s="1800"/>
      <c r="G230" s="1800"/>
      <c r="H230" s="1800"/>
      <c r="I230" s="1800"/>
      <c r="J230" s="1800"/>
      <c r="K230" s="1800"/>
      <c r="L230" s="1800"/>
      <c r="M230" s="1800"/>
      <c r="N230" s="1800"/>
      <c r="O230" s="1801"/>
      <c r="P230" s="1623"/>
      <c r="S230" s="19"/>
      <c r="T230" s="177"/>
      <c r="U230" s="157"/>
      <c r="V230" s="18"/>
      <c r="W230" s="18"/>
      <c r="X230" s="18"/>
      <c r="Y230" s="1025"/>
      <c r="Z230" s="85"/>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row>
    <row r="231" spans="2:84" ht="12" customHeight="1" x14ac:dyDescent="0.2">
      <c r="B231" s="10"/>
      <c r="C231" s="10"/>
      <c r="D231" s="10"/>
      <c r="E231" s="10"/>
      <c r="F231" s="10"/>
      <c r="G231" s="10"/>
      <c r="H231" s="10"/>
      <c r="I231" s="10"/>
      <c r="J231" s="10"/>
      <c r="K231" s="10"/>
      <c r="L231" s="10"/>
      <c r="M231" s="10"/>
      <c r="N231" s="10"/>
      <c r="O231" s="10"/>
      <c r="P231" s="10"/>
      <c r="R231" s="18"/>
      <c r="S231" s="18"/>
      <c r="T231" s="18"/>
      <c r="U231" s="18"/>
      <c r="V231" s="18"/>
      <c r="W231" s="18"/>
      <c r="X231" s="18"/>
      <c r="Y231" s="1068"/>
      <c r="Z231" s="106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row>
    <row r="232" spans="2:84" ht="12" customHeight="1" x14ac:dyDescent="0.2">
      <c r="B232" s="10"/>
      <c r="C232" s="10"/>
      <c r="D232" s="10"/>
      <c r="E232" s="10"/>
      <c r="F232" s="10"/>
      <c r="G232" s="10"/>
      <c r="H232" s="10"/>
      <c r="I232" s="10"/>
      <c r="J232" s="10"/>
      <c r="K232" s="10"/>
      <c r="L232" s="10"/>
      <c r="M232" s="10"/>
      <c r="N232" s="10"/>
      <c r="O232" s="10"/>
      <c r="P232" s="10"/>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row>
    <row r="233" spans="2:84" ht="18" customHeight="1" x14ac:dyDescent="0.2">
      <c r="B233" s="1516" t="s">
        <v>1454</v>
      </c>
      <c r="C233" s="1517"/>
      <c r="D233" s="1517"/>
      <c r="E233" s="1517"/>
      <c r="F233" s="1517"/>
      <c r="G233" s="1517"/>
      <c r="H233" s="1517"/>
      <c r="I233" s="1517"/>
      <c r="J233" s="1517"/>
      <c r="K233" s="1517"/>
      <c r="L233" s="1517"/>
      <c r="M233" s="1517"/>
      <c r="N233" s="1517"/>
      <c r="O233" s="1517"/>
      <c r="P233" s="15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row>
    <row r="234" spans="2:84" ht="18" customHeight="1" x14ac:dyDescent="0.2">
      <c r="B234" s="1394" t="s">
        <v>1455</v>
      </c>
      <c r="C234" s="1394"/>
      <c r="D234" s="1394"/>
      <c r="E234" s="1394"/>
      <c r="F234" s="1394"/>
      <c r="G234" s="1394"/>
      <c r="H234" s="1394"/>
      <c r="I234" s="1394"/>
      <c r="J234" s="1394"/>
      <c r="K234" s="1394"/>
      <c r="L234" s="1394"/>
      <c r="M234" s="1394"/>
      <c r="N234" s="1394"/>
      <c r="O234" s="1394"/>
      <c r="P234" s="1612">
        <f>SUMIF(S234:Y234,B235,S235:Y235)</f>
        <v>0</v>
      </c>
      <c r="R234" s="1560" t="s">
        <v>1325</v>
      </c>
      <c r="S234" s="769" t="s">
        <v>524</v>
      </c>
      <c r="T234" s="695" t="s">
        <v>1326</v>
      </c>
      <c r="U234" s="769" t="s">
        <v>526</v>
      </c>
      <c r="V234" s="769" t="s">
        <v>1077</v>
      </c>
      <c r="W234" s="769" t="s">
        <v>1080</v>
      </c>
      <c r="X234" s="769" t="s">
        <v>716</v>
      </c>
      <c r="Y234" s="769" t="s">
        <v>590</v>
      </c>
      <c r="Z234" s="18"/>
      <c r="AA234" s="18"/>
      <c r="AB234" s="18"/>
      <c r="AC234" s="18"/>
      <c r="AD234" s="18"/>
      <c r="AE234" s="18"/>
      <c r="AF234" s="18"/>
      <c r="AG234" s="18"/>
      <c r="AH234" s="18"/>
      <c r="AI234" s="18"/>
      <c r="AJ234" s="18"/>
      <c r="AK234" s="19"/>
      <c r="AL234" s="19"/>
      <c r="AM234" s="19"/>
      <c r="AN234" s="19"/>
      <c r="AO234" s="19"/>
      <c r="AP234" s="18"/>
      <c r="AQ234" s="18"/>
      <c r="AR234" s="18"/>
      <c r="AS234" s="18"/>
      <c r="AT234" s="18"/>
      <c r="AU234" s="3"/>
      <c r="AV234" s="3"/>
      <c r="AW234" s="3"/>
      <c r="AX234" s="3"/>
      <c r="AY234" s="3"/>
      <c r="AZ234" s="3"/>
      <c r="BA234" s="3"/>
      <c r="BB234" s="3"/>
      <c r="BC234" s="3"/>
      <c r="BD234" s="3"/>
      <c r="BE234" s="3"/>
      <c r="BF234" s="3"/>
      <c r="BG234" s="3"/>
      <c r="BH234" s="3"/>
      <c r="BI234" s="3"/>
      <c r="BJ234" s="3"/>
      <c r="BK234" s="3"/>
    </row>
    <row r="235" spans="2:84" ht="15" customHeight="1" x14ac:dyDescent="0.2">
      <c r="B235" s="1629"/>
      <c r="C235" s="1629"/>
      <c r="D235" s="1629"/>
      <c r="E235" s="1629"/>
      <c r="F235" s="1629"/>
      <c r="G235" s="1629"/>
      <c r="H235" s="1629"/>
      <c r="I235" s="1629"/>
      <c r="J235" s="1629"/>
      <c r="K235" s="1629"/>
      <c r="L235" s="1629"/>
      <c r="M235" s="1629"/>
      <c r="N235" s="1629"/>
      <c r="O235" s="1629"/>
      <c r="P235" s="1733"/>
      <c r="R235" s="1394"/>
      <c r="S235" s="688">
        <v>0</v>
      </c>
      <c r="T235" s="776">
        <v>0.1</v>
      </c>
      <c r="U235" s="776">
        <v>0.3</v>
      </c>
      <c r="V235" s="776">
        <v>0.5</v>
      </c>
      <c r="W235" s="776">
        <v>0.63</v>
      </c>
      <c r="X235" s="776">
        <v>0.75</v>
      </c>
      <c r="Y235" s="776">
        <v>1</v>
      </c>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3"/>
      <c r="AV235" s="3"/>
      <c r="AW235" s="3"/>
      <c r="AX235" s="3"/>
      <c r="AY235" s="3"/>
      <c r="AZ235" s="3"/>
      <c r="BA235" s="3"/>
      <c r="BB235" s="3"/>
      <c r="BC235" s="3"/>
      <c r="BD235" s="3"/>
      <c r="BE235" s="3"/>
      <c r="BF235" s="3"/>
      <c r="BG235" s="3"/>
      <c r="BH235" s="3"/>
      <c r="BI235" s="3"/>
      <c r="BJ235" s="3"/>
      <c r="BK235" s="3"/>
    </row>
    <row r="236" spans="2:84" ht="15" customHeight="1" x14ac:dyDescent="0.2">
      <c r="B236" s="1592" t="str">
        <f>IF(AND(P234&gt;0.1,B238=""),"Enter specific level of amputation or shortening below.","")</f>
        <v/>
      </c>
      <c r="C236" s="1592"/>
      <c r="D236" s="1592"/>
      <c r="E236" s="1592"/>
      <c r="F236" s="1592"/>
      <c r="G236" s="1592"/>
      <c r="H236" s="1592"/>
      <c r="I236" s="1592"/>
      <c r="J236" s="1592"/>
      <c r="K236" s="1592"/>
      <c r="L236" s="1592"/>
      <c r="M236" s="1592"/>
      <c r="N236" s="1592"/>
      <c r="O236" s="1592"/>
      <c r="P236" s="1592"/>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3"/>
      <c r="AV236" s="3"/>
      <c r="AW236" s="3"/>
      <c r="AX236" s="3"/>
      <c r="AY236" s="3"/>
      <c r="AZ236" s="3"/>
      <c r="BA236" s="3"/>
      <c r="BB236" s="3"/>
      <c r="BC236" s="3"/>
      <c r="BD236" s="3"/>
      <c r="BE236" s="3"/>
    </row>
    <row r="237" spans="2:84" ht="30" customHeight="1" x14ac:dyDescent="0.2">
      <c r="B237" s="1379" t="s">
        <v>1676</v>
      </c>
      <c r="C237" s="1379"/>
      <c r="D237" s="1379"/>
      <c r="E237" s="1379"/>
      <c r="F237" s="1379"/>
      <c r="G237" s="1379"/>
      <c r="H237" s="1379"/>
      <c r="I237" s="1379"/>
      <c r="J237" s="1379"/>
      <c r="K237" s="1379"/>
      <c r="L237" s="1379"/>
      <c r="M237" s="1379"/>
      <c r="N237" s="1379"/>
      <c r="O237" s="1379"/>
      <c r="P237" s="1612">
        <f>IF(P234=1,0,U13)</f>
        <v>0</v>
      </c>
      <c r="R237" s="646">
        <f>SUMIF(S237:AD237,B238,S238:AD238)</f>
        <v>0</v>
      </c>
      <c r="S237" s="769" t="s">
        <v>1185</v>
      </c>
      <c r="T237" s="769" t="s">
        <v>1186</v>
      </c>
      <c r="U237" s="769" t="s">
        <v>1187</v>
      </c>
      <c r="V237" s="769" t="s">
        <v>1188</v>
      </c>
      <c r="W237" s="769" t="s">
        <v>1924</v>
      </c>
      <c r="X237" s="769" t="s">
        <v>1925</v>
      </c>
      <c r="Y237" s="769" t="s">
        <v>673</v>
      </c>
      <c r="Z237" s="769" t="s">
        <v>674</v>
      </c>
      <c r="AA237" s="769" t="s">
        <v>675</v>
      </c>
      <c r="AB237" s="769" t="s">
        <v>676</v>
      </c>
      <c r="AC237" s="769" t="s">
        <v>677</v>
      </c>
      <c r="AD237" s="769" t="s">
        <v>678</v>
      </c>
      <c r="AE237" s="18"/>
      <c r="AF237" s="18"/>
      <c r="AG237" s="18"/>
      <c r="AH237" s="18"/>
      <c r="AI237" s="18"/>
      <c r="AJ237" s="18"/>
      <c r="AK237" s="18"/>
      <c r="AL237" s="18"/>
      <c r="AM237" s="18"/>
      <c r="AN237" s="18"/>
      <c r="AO237" s="18"/>
      <c r="AP237" s="18"/>
      <c r="AQ237" s="18"/>
      <c r="AR237" s="18"/>
      <c r="AS237" s="18"/>
      <c r="AT237" s="18"/>
    </row>
    <row r="238" spans="2:84" ht="15" customHeight="1" x14ac:dyDescent="0.2">
      <c r="B238" s="1629"/>
      <c r="C238" s="1629"/>
      <c r="D238" s="1629"/>
      <c r="E238" s="1629"/>
      <c r="F238" s="1629"/>
      <c r="G238" s="1629"/>
      <c r="H238" s="1629"/>
      <c r="I238" s="1629"/>
      <c r="J238" s="1629"/>
      <c r="K238" s="1629"/>
      <c r="L238" s="1629"/>
      <c r="M238" s="1629"/>
      <c r="N238" s="1629"/>
      <c r="O238" s="1629"/>
      <c r="P238" s="1732"/>
      <c r="R238" s="1379" t="s">
        <v>679</v>
      </c>
      <c r="S238" s="776">
        <v>0</v>
      </c>
      <c r="T238" s="776">
        <v>0</v>
      </c>
      <c r="U238" s="776">
        <v>0</v>
      </c>
      <c r="V238" s="776">
        <v>0.05</v>
      </c>
      <c r="W238" s="776">
        <v>0.05</v>
      </c>
      <c r="X238" s="776">
        <v>0.05</v>
      </c>
      <c r="Y238" s="776">
        <v>0.05</v>
      </c>
      <c r="Z238" s="776">
        <v>0.1</v>
      </c>
      <c r="AA238" s="776">
        <v>0.15</v>
      </c>
      <c r="AB238" s="776">
        <v>0.15</v>
      </c>
      <c r="AC238" s="776">
        <v>0.15</v>
      </c>
      <c r="AD238" s="776">
        <v>0.2</v>
      </c>
      <c r="AE238" s="18"/>
      <c r="AF238" s="18"/>
      <c r="AG238" s="18"/>
      <c r="AH238" s="18"/>
      <c r="AI238" s="18"/>
      <c r="AJ238" s="18"/>
      <c r="AK238" s="18"/>
      <c r="AL238" s="18"/>
      <c r="AM238" s="18"/>
      <c r="AN238" s="18"/>
      <c r="AO238" s="18"/>
      <c r="AP238" s="18"/>
      <c r="AQ238" s="18"/>
      <c r="AR238" s="18"/>
      <c r="AS238" s="18"/>
      <c r="AT238" s="18"/>
    </row>
    <row r="239" spans="2:84" ht="18" customHeight="1" x14ac:dyDescent="0.2">
      <c r="B239" s="1653" t="s">
        <v>680</v>
      </c>
      <c r="C239" s="1654"/>
      <c r="D239" s="1654"/>
      <c r="E239" s="1654"/>
      <c r="F239" s="1654"/>
      <c r="G239" s="1654"/>
      <c r="H239" s="1654"/>
      <c r="I239" s="1654"/>
      <c r="J239" s="1654"/>
      <c r="K239" s="1654"/>
      <c r="L239" s="1654"/>
      <c r="M239" s="1654"/>
      <c r="N239" s="1654"/>
      <c r="O239" s="1655"/>
      <c r="P239" s="1733"/>
      <c r="R239" s="1379"/>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row>
    <row r="240" spans="2:84" ht="12" customHeight="1" x14ac:dyDescent="0.2">
      <c r="B240" s="1395"/>
      <c r="C240" s="1395"/>
      <c r="D240" s="1395"/>
      <c r="E240" s="1395"/>
      <c r="F240" s="1395"/>
      <c r="G240" s="1395"/>
      <c r="H240" s="1395"/>
      <c r="I240" s="1395"/>
      <c r="J240" s="1395"/>
      <c r="K240" s="1395"/>
      <c r="L240" s="1395"/>
      <c r="M240" s="1395"/>
      <c r="N240" s="1395"/>
      <c r="O240" s="1395"/>
      <c r="P240" s="182"/>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row>
    <row r="241" spans="2:46" ht="18" customHeight="1" x14ac:dyDescent="0.2">
      <c r="B241" s="1555" t="s">
        <v>1595</v>
      </c>
      <c r="C241" s="1555"/>
      <c r="D241" s="1555"/>
      <c r="E241" s="1555"/>
      <c r="F241" s="1555"/>
      <c r="G241" s="1555"/>
      <c r="H241" s="1555"/>
      <c r="I241" s="1555"/>
      <c r="J241" s="1555"/>
      <c r="K241" s="1555"/>
      <c r="L241" s="1555"/>
      <c r="M241" s="1555"/>
      <c r="N241" s="1555"/>
      <c r="O241" s="1555"/>
      <c r="P241" s="1373">
        <f>IF(R254=1,"ERROR",IF(AND(AD245&gt;0,AD245&lt;0.01),0.01,ROUND(AD245,2)))</f>
        <v>0</v>
      </c>
      <c r="R241" s="18"/>
      <c r="S241" s="18"/>
      <c r="T241" s="1379" t="s">
        <v>1258</v>
      </c>
      <c r="U241" s="1379" t="s">
        <v>1258</v>
      </c>
      <c r="V241" s="18"/>
      <c r="W241" s="18"/>
      <c r="X241" s="18"/>
      <c r="Y241" s="18"/>
      <c r="Z241" s="18"/>
      <c r="AA241" s="18"/>
      <c r="AB241" s="18"/>
      <c r="AC241" s="1569"/>
      <c r="AD241" s="1569"/>
      <c r="AE241" s="18"/>
      <c r="AF241" s="18"/>
      <c r="AG241" s="18"/>
      <c r="AH241" s="18"/>
      <c r="AI241" s="18"/>
      <c r="AJ241" s="18"/>
      <c r="AK241" s="18"/>
      <c r="AL241" s="18"/>
      <c r="AM241" s="18"/>
      <c r="AN241" s="18"/>
      <c r="AO241" s="18"/>
      <c r="AP241" s="18"/>
      <c r="AQ241" s="18"/>
      <c r="AR241" s="18"/>
      <c r="AS241" s="18"/>
      <c r="AT241" s="18"/>
    </row>
    <row r="242" spans="2:46" ht="27" customHeight="1" x14ac:dyDescent="0.2">
      <c r="B242" s="25" t="s">
        <v>1569</v>
      </c>
      <c r="C242" s="1452" t="s">
        <v>1596</v>
      </c>
      <c r="D242" s="1452"/>
      <c r="E242" s="1452"/>
      <c r="F242" s="1452"/>
      <c r="G242" s="1786" t="s">
        <v>1081</v>
      </c>
      <c r="H242" s="1786"/>
      <c r="I242" s="1786"/>
      <c r="J242" s="1786"/>
      <c r="K242" s="1452"/>
      <c r="L242" s="1452"/>
      <c r="M242" s="1452"/>
      <c r="N242" s="1452"/>
      <c r="O242" s="1739"/>
      <c r="P242" s="1373"/>
      <c r="R242" s="18"/>
      <c r="S242" s="18"/>
      <c r="T242" s="1560"/>
      <c r="U242" s="1560"/>
      <c r="V242" s="18"/>
      <c r="W242" s="18"/>
      <c r="X242" s="18"/>
      <c r="Y242" s="18"/>
      <c r="Z242" s="18"/>
      <c r="AA242" s="1598" t="s">
        <v>2262</v>
      </c>
      <c r="AB242" s="1599"/>
      <c r="AC242" s="1599"/>
      <c r="AD242" s="1600"/>
      <c r="AE242" s="1050"/>
      <c r="AF242" s="18"/>
      <c r="AG242" s="18"/>
      <c r="AH242" s="18"/>
      <c r="AI242" s="18"/>
      <c r="AJ242" s="18"/>
      <c r="AK242" s="18"/>
      <c r="AL242" s="18"/>
      <c r="AM242" s="18"/>
      <c r="AN242" s="18"/>
      <c r="AO242" s="18"/>
      <c r="AP242" s="18"/>
      <c r="AQ242" s="18"/>
      <c r="AR242" s="18"/>
      <c r="AS242" s="18"/>
      <c r="AT242" s="18"/>
    </row>
    <row r="243" spans="2:46" ht="18" customHeight="1" x14ac:dyDescent="0.2">
      <c r="B243" s="23"/>
      <c r="C243" s="1555" t="s">
        <v>365</v>
      </c>
      <c r="D243" s="1555"/>
      <c r="E243" s="1555" t="s">
        <v>1796</v>
      </c>
      <c r="F243" s="1555"/>
      <c r="G243" s="1555" t="s">
        <v>365</v>
      </c>
      <c r="H243" s="1555"/>
      <c r="I243" s="1555" t="s">
        <v>1796</v>
      </c>
      <c r="J243" s="1555"/>
      <c r="K243" s="1555"/>
      <c r="L243" s="1555"/>
      <c r="M243" s="1555"/>
      <c r="N243" s="1555"/>
      <c r="O243" s="1549"/>
      <c r="P243" s="1373"/>
      <c r="R243" s="1025"/>
      <c r="S243" s="1024" t="s">
        <v>1655</v>
      </c>
      <c r="T243" s="1022" t="s">
        <v>1596</v>
      </c>
      <c r="U243" s="774" t="s">
        <v>1597</v>
      </c>
      <c r="V243" s="1555" t="s">
        <v>1083</v>
      </c>
      <c r="W243" s="1555"/>
      <c r="X243" s="1555"/>
      <c r="Y243" s="1555"/>
      <c r="Z243" s="784"/>
      <c r="AA243" s="1601"/>
      <c r="AB243" s="1602"/>
      <c r="AC243" s="1602"/>
      <c r="AD243" s="1603"/>
      <c r="AE243" s="1050"/>
      <c r="AF243" s="18"/>
      <c r="AG243" s="18"/>
      <c r="AH243" s="18"/>
      <c r="AI243" s="18"/>
      <c r="AJ243" s="18"/>
      <c r="AK243" s="18"/>
      <c r="AL243" s="18"/>
      <c r="AM243" s="18"/>
      <c r="AN243" s="18"/>
      <c r="AO243" s="18"/>
      <c r="AP243" s="18"/>
      <c r="AQ243" s="18"/>
      <c r="AR243" s="18"/>
      <c r="AS243" s="18"/>
      <c r="AT243" s="18"/>
    </row>
    <row r="244" spans="2:46" ht="13.5" customHeight="1" x14ac:dyDescent="0.2">
      <c r="B244" s="185" t="s">
        <v>681</v>
      </c>
      <c r="C244" s="1308"/>
      <c r="D244" s="1308"/>
      <c r="E244" s="1558">
        <f>UETable!BF38</f>
        <v>0</v>
      </c>
      <c r="F244" s="1558"/>
      <c r="G244" s="1308"/>
      <c r="H244" s="1308"/>
      <c r="I244" s="1538">
        <f>IF(C244="",0,IF(OR(C244&lt;=0,G244&lt;=0),E244,IF(G244&lt;C244,0,UETable!BK38)))</f>
        <v>0</v>
      </c>
      <c r="J244" s="1538"/>
      <c r="K244" s="1556" t="str">
        <f>IF(OR(C244="NA",G244="NA"),"",IF(AND(C244&lt;&gt;"",G244=""),"Enter contralateral or NA.",IF(AND(C244="",G244&lt;&gt;""),"Need data","")))</f>
        <v/>
      </c>
      <c r="L244" s="1556"/>
      <c r="M244" s="1556"/>
      <c r="N244" s="1556"/>
      <c r="O244" s="1704"/>
      <c r="P244" s="1373"/>
      <c r="R244" s="160"/>
      <c r="S244" s="1024">
        <v>70</v>
      </c>
      <c r="T244" s="1021" t="str">
        <f>IF(OR(C244="",C244="NA"),"",IF(C244&gt;S244,S244,IF(C244&lt;0,0,C244)))</f>
        <v/>
      </c>
      <c r="U244" s="769" t="str">
        <f>IF(OR(G244="",G244="NA"),"",IF(G244&gt;S244,S244,IF(G244&lt;0,0,G244)))</f>
        <v/>
      </c>
      <c r="V244" s="696" t="str">
        <f>IF(Y244="","",ROUND(Y244,0))</f>
        <v/>
      </c>
      <c r="W244" s="1410" t="s">
        <v>1203</v>
      </c>
      <c r="X244" s="1410"/>
      <c r="Y244" s="697" t="str">
        <f>IF(T244="","",IF(OR(U244="",U244=0,U244&lt;T244),T244,(T244*70)/U244))</f>
        <v/>
      </c>
      <c r="Z244" s="18"/>
      <c r="AA244" s="1604"/>
      <c r="AB244" s="1605"/>
      <c r="AC244" s="1605"/>
      <c r="AD244" s="1606"/>
      <c r="AE244" s="1051">
        <f>IF(OR(E246&gt;0,E250&gt;0,E254&gt;0),1,0)</f>
        <v>0</v>
      </c>
      <c r="AF244" s="18"/>
      <c r="AG244" s="18"/>
      <c r="AH244" s="18"/>
      <c r="AI244" s="18"/>
      <c r="AJ244" s="18"/>
      <c r="AK244" s="18"/>
      <c r="AL244" s="18"/>
      <c r="AM244" s="18"/>
      <c r="AN244" s="18"/>
      <c r="AO244" s="18"/>
      <c r="AP244" s="18"/>
      <c r="AQ244" s="18"/>
      <c r="AR244" s="18"/>
      <c r="AS244" s="18"/>
      <c r="AT244" s="18"/>
    </row>
    <row r="245" spans="2:46" ht="13.5" customHeight="1" x14ac:dyDescent="0.2">
      <c r="B245" s="185" t="s">
        <v>682</v>
      </c>
      <c r="C245" s="1308"/>
      <c r="D245" s="1308"/>
      <c r="E245" s="1558">
        <f>UETable!BF39</f>
        <v>0</v>
      </c>
      <c r="F245" s="1558"/>
      <c r="G245" s="1308"/>
      <c r="H245" s="1308"/>
      <c r="I245" s="1538">
        <f>IF(C245="",0,IF(OR(C245&gt;=70,G245&gt;=70),E245,IF(G245&gt;C245,0,UETable!BK39)))</f>
        <v>0</v>
      </c>
      <c r="J245" s="1538"/>
      <c r="K245" s="1556" t="str">
        <f>IF(OR(C245="NA",G245="NA"),"",IF(AND(C245&lt;&gt;"",G245=""),"Enter contralateral or NA.",IF(AND(C245="",G245&lt;&gt;""),"Need data","")))</f>
        <v/>
      </c>
      <c r="L245" s="1556"/>
      <c r="M245" s="1556"/>
      <c r="N245" s="1556"/>
      <c r="O245" s="1704"/>
      <c r="P245" s="1373"/>
      <c r="R245" s="1029"/>
      <c r="S245" s="1024">
        <v>70</v>
      </c>
      <c r="T245" s="1021" t="str">
        <f>IF(OR(C245="",C245="NA"),"",IF(C245&gt;S245,S245,IF(C245&lt;0,0,C245)))</f>
        <v/>
      </c>
      <c r="U245" s="769" t="str">
        <f>IF(OR(G245="",G245="NA"),"",IF(G245&gt;S245,S245,IF(G245&lt;0,0,G245)))</f>
        <v/>
      </c>
      <c r="V245" s="696" t="str">
        <f>IF(Y245="","",ROUND(Y245,0))</f>
        <v/>
      </c>
      <c r="W245" s="769">
        <f>IF(T245="",0,70-T245)</f>
        <v>0</v>
      </c>
      <c r="X245" s="769">
        <f>IF(U245="",0,70-U245)</f>
        <v>0</v>
      </c>
      <c r="Y245" s="697" t="str">
        <f>IF(T245="","",IF(OR(U245="",U245=0,U245&gt;T245),T245,70-(W245*70)/X245))</f>
        <v/>
      </c>
      <c r="Z245" s="18"/>
      <c r="AA245" s="243">
        <f>IF(E246&gt;0,O247,IF(AND(E246=0,AE244=1,O247&gt;0,C256&gt;0),C256*O247,O247))</f>
        <v>0</v>
      </c>
      <c r="AB245" s="243">
        <f>IF(E250&gt;0,O251,IF(AND(E250=0,AE244=1,O251&gt;0,C256&gt;0),C256*O251,O251))</f>
        <v>0</v>
      </c>
      <c r="AC245" s="1055">
        <f>IF(E254&gt;0,O255,IF(AND(E254=0,AE244=1,O255&gt;0,C256&gt;0),C256*O255,O255))</f>
        <v>0</v>
      </c>
      <c r="AD245" s="243">
        <f>IF(AND(AE244=0,C256&gt;0),C256*AD253,AD253)</f>
        <v>0</v>
      </c>
      <c r="AE245" s="1051">
        <f>IF(AD248=AD249,1,0)</f>
        <v>1</v>
      </c>
      <c r="AF245" s="18"/>
      <c r="AG245" s="18"/>
      <c r="AH245" s="18"/>
      <c r="AI245" s="18"/>
      <c r="AJ245" s="18"/>
      <c r="AK245" s="18"/>
      <c r="AL245" s="18"/>
      <c r="AM245" s="18"/>
      <c r="AN245" s="18"/>
      <c r="AO245" s="18"/>
      <c r="AP245" s="18"/>
      <c r="AQ245" s="18"/>
      <c r="AR245" s="18"/>
      <c r="AS245" s="18"/>
      <c r="AT245" s="18"/>
    </row>
    <row r="246" spans="2:46" ht="15" customHeight="1" x14ac:dyDescent="0.2">
      <c r="B246" s="185" t="s">
        <v>683</v>
      </c>
      <c r="C246" s="1308"/>
      <c r="D246" s="1308"/>
      <c r="E246" s="1558">
        <f>IF(AND(C246&lt;&gt;"",C246&lt;&gt;"NA",C245&lt;&gt;"NA",C245&lt;&gt;""),"ERROR",IF(AND(C246&lt;&gt;"",C246&lt;&gt;"NA",C244&lt;&gt;"",C244&lt;&gt;"NA"),"ERROR",UETable!BF40))</f>
        <v>0</v>
      </c>
      <c r="F246" s="1558"/>
      <c r="G246" s="1556" t="str">
        <f>IF(AND(C246&lt;&gt;"",C246&lt;&gt;"NA",C245&lt;&gt;"NA",C245&lt;&gt;""),"ERROR: Cannot rate ROM and ankylosis.",IF(AND(C246&lt;&gt;"",C246&lt;&gt;"NA",C244&lt;&gt;"",C244&lt;&gt;"NA"),"ERROR: Cannot rate ROM and ankylosis.",""))</f>
        <v/>
      </c>
      <c r="H246" s="1556"/>
      <c r="I246" s="1556"/>
      <c r="J246" s="1556"/>
      <c r="K246" s="1556"/>
      <c r="L246" s="1556"/>
      <c r="M246" s="1556"/>
      <c r="N246" s="1556"/>
      <c r="O246" s="1704"/>
      <c r="P246" s="1373"/>
      <c r="R246" s="160"/>
      <c r="S246" s="1024">
        <v>70</v>
      </c>
      <c r="T246" s="1021" t="str">
        <f>IF(OR(C246="",C246="NA"),"",IF(C246&gt;S246,S246,IF(C246&lt;0,0,C246)))</f>
        <v/>
      </c>
      <c r="U246" s="18"/>
      <c r="V246" s="18"/>
      <c r="W246" s="18"/>
      <c r="X246" s="18"/>
      <c r="Y246" s="18"/>
      <c r="Z246" s="18"/>
      <c r="AA246" s="1047"/>
      <c r="AB246" s="1047"/>
      <c r="AC246" s="1047"/>
      <c r="AD246" s="1047"/>
      <c r="AE246" s="1050"/>
      <c r="AF246" s="18"/>
      <c r="AG246" s="18"/>
      <c r="AH246" s="18"/>
      <c r="AI246" s="18"/>
      <c r="AJ246" s="18"/>
      <c r="AK246" s="18"/>
      <c r="AL246" s="18"/>
      <c r="AM246" s="18"/>
      <c r="AN246" s="18"/>
      <c r="AO246" s="18"/>
      <c r="AP246" s="18"/>
      <c r="AQ246" s="18"/>
      <c r="AR246" s="18"/>
      <c r="AS246" s="18"/>
      <c r="AT246" s="18"/>
    </row>
    <row r="247" spans="2:46" x14ac:dyDescent="0.2">
      <c r="B247" s="1613"/>
      <c r="C247" s="1614"/>
      <c r="D247" s="1614"/>
      <c r="E247" s="1614"/>
      <c r="F247" s="1614"/>
      <c r="G247" s="1614"/>
      <c r="H247" s="1614"/>
      <c r="I247" s="1614"/>
      <c r="J247" s="1615"/>
      <c r="K247" s="1568" t="s">
        <v>1842</v>
      </c>
      <c r="L247" s="1568"/>
      <c r="M247" s="1568"/>
      <c r="N247" s="1568"/>
      <c r="O247" s="77">
        <f>IF(E246="ERROR","ERROR",IF(R247&gt;1,1,R247))</f>
        <v>0</v>
      </c>
      <c r="P247" s="1373"/>
      <c r="R247" s="243">
        <f>SUM(I244,I245,E246)</f>
        <v>0</v>
      </c>
      <c r="S247" s="1024"/>
      <c r="T247" s="18"/>
      <c r="U247" s="18"/>
      <c r="V247" s="18"/>
      <c r="W247" s="18"/>
      <c r="X247" s="18"/>
      <c r="Y247" s="18"/>
      <c r="Z247" s="18"/>
      <c r="AA247" s="1050"/>
      <c r="AB247" s="1050"/>
      <c r="AC247" s="1050"/>
      <c r="AD247" s="1050"/>
      <c r="AE247" s="1050"/>
      <c r="AF247" s="18"/>
      <c r="AG247" s="18"/>
      <c r="AH247" s="18"/>
      <c r="AI247" s="18"/>
      <c r="AJ247" s="18"/>
      <c r="AK247" s="18"/>
      <c r="AL247" s="18"/>
      <c r="AM247" s="18"/>
      <c r="AN247" s="18"/>
      <c r="AO247" s="18"/>
      <c r="AP247" s="18"/>
      <c r="AQ247" s="18"/>
      <c r="AR247" s="18"/>
      <c r="AS247" s="18"/>
      <c r="AT247" s="18"/>
    </row>
    <row r="248" spans="2:46" ht="13.5" customHeight="1" x14ac:dyDescent="0.2">
      <c r="B248" s="286" t="s">
        <v>684</v>
      </c>
      <c r="C248" s="1308"/>
      <c r="D248" s="1308"/>
      <c r="E248" s="1738">
        <f>UETable!BF42</f>
        <v>0</v>
      </c>
      <c r="F248" s="1738"/>
      <c r="G248" s="1308"/>
      <c r="H248" s="1308"/>
      <c r="I248" s="1734">
        <f>IF(C248="",0,IF(OR(C248&lt;=0,G248&lt;=0),E248,IF(G248&lt;C248,0,UETable!BK42)))</f>
        <v>0</v>
      </c>
      <c r="J248" s="1734"/>
      <c r="K248" s="1736" t="str">
        <f>IF(OR(C248="NA",G248="NA"),"",IF(AND(C248&lt;&gt;"",G248=""),"Enter contralateral or NA.",IF(AND(C248="",G248&lt;&gt;""),"Need data","")))</f>
        <v/>
      </c>
      <c r="L248" s="1736"/>
      <c r="M248" s="1736"/>
      <c r="N248" s="1736"/>
      <c r="O248" s="1737"/>
      <c r="P248" s="1373"/>
      <c r="R248" s="160"/>
      <c r="S248" s="1024">
        <v>100</v>
      </c>
      <c r="T248" s="1021" t="str">
        <f>IF(OR(C248="",C248="NA"),"",IF(C248&gt;S248,S248,IF(C248&lt;0,0,C248)))</f>
        <v/>
      </c>
      <c r="U248" s="769" t="str">
        <f>IF(OR(G248="",G248="NA"),"",IF(G248&gt;S248,S248,IF(G248&lt;0,0,G248)))</f>
        <v/>
      </c>
      <c r="V248" s="696" t="str">
        <f>IF(Y248="","",ROUND(Y248,0))</f>
        <v/>
      </c>
      <c r="W248" s="1410" t="s">
        <v>1203</v>
      </c>
      <c r="X248" s="1410"/>
      <c r="Y248" s="697" t="str">
        <f>IF(T248="","",IF(OR(U248="",U248=0,U248&lt;T248),T248,(T248*100)/U248))</f>
        <v/>
      </c>
      <c r="Z248" s="18"/>
      <c r="AA248" s="242">
        <f>E246</f>
        <v>0</v>
      </c>
      <c r="AB248" s="242">
        <f>E250</f>
        <v>0</v>
      </c>
      <c r="AC248" s="242">
        <f>E254</f>
        <v>0</v>
      </c>
      <c r="AD248" s="1051">
        <f>COUNTIF(AA248:AC248,"&gt;0")</f>
        <v>0</v>
      </c>
      <c r="AE248" s="1050"/>
      <c r="AF248" s="18"/>
      <c r="AG248" s="18"/>
      <c r="AH248" s="18"/>
      <c r="AI248" s="18"/>
      <c r="AJ248" s="18"/>
      <c r="AK248" s="18"/>
      <c r="AL248" s="18"/>
      <c r="AM248" s="18"/>
      <c r="AN248" s="18"/>
      <c r="AO248" s="18"/>
      <c r="AP248" s="18"/>
      <c r="AQ248" s="18"/>
      <c r="AR248" s="18"/>
      <c r="AS248" s="18"/>
      <c r="AT248" s="18"/>
    </row>
    <row r="249" spans="2:46" ht="13.5" customHeight="1" x14ac:dyDescent="0.2">
      <c r="B249" s="185" t="s">
        <v>685</v>
      </c>
      <c r="C249" s="1308"/>
      <c r="D249" s="1308"/>
      <c r="E249" s="1558">
        <f>UETable!BF43</f>
        <v>0</v>
      </c>
      <c r="F249" s="1558"/>
      <c r="G249" s="1308"/>
      <c r="H249" s="1308"/>
      <c r="I249" s="1538">
        <f>IF(C249="",0,IF(OR(C249&gt;=100,G249&gt;=100),E249,IF(G249&gt;C249,0,UETable!BK43)))</f>
        <v>0</v>
      </c>
      <c r="J249" s="1538"/>
      <c r="K249" s="1556" t="str">
        <f>IF(OR(C249="NA",G249="NA"),"",IF(AND(C249&lt;&gt;"",G249=""),"Enter contralateral or NA.",IF(AND(C249="",G249&lt;&gt;""),"Need data","")))</f>
        <v/>
      </c>
      <c r="L249" s="1556"/>
      <c r="M249" s="1556"/>
      <c r="N249" s="1556"/>
      <c r="O249" s="1704"/>
      <c r="P249" s="1373"/>
      <c r="R249" s="1029"/>
      <c r="S249" s="1024">
        <v>100</v>
      </c>
      <c r="T249" s="1021" t="str">
        <f>IF(OR(C249="",C249="NA"),"",IF(C249&gt;S249,S249,IF(C249&lt;0,0,C249)))</f>
        <v/>
      </c>
      <c r="U249" s="769" t="str">
        <f>IF(OR(G249="",G249="NA"),"",IF(G249&gt;S249,S249,IF(G249&lt;0,0,G249)))</f>
        <v/>
      </c>
      <c r="V249" s="696" t="str">
        <f>IF(Y249="","",ROUND(Y249,0))</f>
        <v/>
      </c>
      <c r="W249" s="769">
        <f>IF(T249="",0,100-T249)</f>
        <v>0</v>
      </c>
      <c r="X249" s="769">
        <f>IF(U249="",0,100-U249)</f>
        <v>0</v>
      </c>
      <c r="Y249" s="697" t="str">
        <f>IF(T249="","",IF(OR(U249="",U249=0,U249&gt;T249),T249,100-(W249*100)/X249))</f>
        <v/>
      </c>
      <c r="Z249" s="18"/>
      <c r="AA249" s="242">
        <f>O247</f>
        <v>0</v>
      </c>
      <c r="AB249" s="242">
        <f>O251</f>
        <v>0</v>
      </c>
      <c r="AC249" s="242">
        <f>O255</f>
        <v>0</v>
      </c>
      <c r="AD249" s="1051">
        <f>COUNTIF(AA249:AC249,"&gt;0")</f>
        <v>0</v>
      </c>
      <c r="AE249" s="1050"/>
      <c r="AF249" s="18"/>
      <c r="AG249" s="18"/>
      <c r="AH249" s="18"/>
      <c r="AI249" s="18"/>
      <c r="AJ249" s="18"/>
      <c r="AK249" s="18"/>
      <c r="AL249" s="18"/>
      <c r="AM249" s="18"/>
      <c r="AN249" s="18"/>
      <c r="AO249" s="18"/>
      <c r="AP249" s="18"/>
      <c r="AQ249" s="18"/>
      <c r="AR249" s="18"/>
      <c r="AS249" s="18"/>
      <c r="AT249" s="18"/>
    </row>
    <row r="250" spans="2:46" ht="15" customHeight="1" x14ac:dyDescent="0.2">
      <c r="B250" s="185" t="s">
        <v>686</v>
      </c>
      <c r="C250" s="1308"/>
      <c r="D250" s="1308"/>
      <c r="E250" s="1558">
        <f>IF(AND(C250&lt;&gt;"",C250&lt;&gt;"NA",C249&lt;&gt;"NA",C249&lt;&gt;""),"ERROR",IF(AND(C250&lt;&gt;"",C250&lt;&gt;"NA",C248&lt;&gt;"",C248&lt;&gt;"NA"),"ERROR",UETable!BF44))</f>
        <v>0</v>
      </c>
      <c r="F250" s="1558"/>
      <c r="G250" s="1556" t="str">
        <f>IF(AND(C250&lt;&gt;"",C250&lt;&gt;"NA",C249&lt;&gt;"NA",C249&lt;&gt;""),"ERROR: Cannot rate ROM and ankylosis.",IF(AND(C250&lt;&gt;"",C250&lt;&gt;"NA",C248&lt;&gt;"",C248&lt;&gt;"NA"),"ERROR: Cannot rate ROM and ankylosis.",""))</f>
        <v/>
      </c>
      <c r="H250" s="1556"/>
      <c r="I250" s="1556"/>
      <c r="J250" s="1556"/>
      <c r="K250" s="1556"/>
      <c r="L250" s="1556"/>
      <c r="M250" s="1556"/>
      <c r="N250" s="1556"/>
      <c r="O250" s="1704"/>
      <c r="P250" s="1373"/>
      <c r="R250" s="1025"/>
      <c r="S250" s="1024">
        <v>100</v>
      </c>
      <c r="T250" s="1021" t="str">
        <f>IF(OR(C250="",C250="NA"),"",IF(C250&gt;S250,S250,IF(C250&lt;0,0,C250)))</f>
        <v/>
      </c>
      <c r="U250" s="18"/>
      <c r="V250" s="18"/>
      <c r="W250" s="18"/>
      <c r="X250" s="18"/>
      <c r="Y250" s="18"/>
      <c r="Z250" s="18"/>
      <c r="AA250" s="1050"/>
      <c r="AB250" s="1050"/>
      <c r="AC250" s="1050"/>
      <c r="AD250" s="1050"/>
      <c r="AE250" s="1050"/>
      <c r="AF250" s="18"/>
      <c r="AG250" s="18"/>
      <c r="AH250" s="18"/>
      <c r="AI250" s="18"/>
      <c r="AJ250" s="18"/>
      <c r="AK250" s="18"/>
      <c r="AL250" s="18"/>
      <c r="AM250" s="18"/>
      <c r="AN250" s="18"/>
      <c r="AO250" s="18"/>
      <c r="AP250" s="18"/>
      <c r="AQ250" s="18"/>
      <c r="AR250" s="18"/>
      <c r="AS250" s="18"/>
      <c r="AT250" s="18"/>
    </row>
    <row r="251" spans="2:46" x14ac:dyDescent="0.2">
      <c r="B251" s="1613"/>
      <c r="C251" s="1614"/>
      <c r="D251" s="1614"/>
      <c r="E251" s="1614"/>
      <c r="F251" s="1614"/>
      <c r="G251" s="1614"/>
      <c r="H251" s="1614"/>
      <c r="I251" s="1614"/>
      <c r="J251" s="1615"/>
      <c r="K251" s="1568" t="s">
        <v>1842</v>
      </c>
      <c r="L251" s="1568"/>
      <c r="M251" s="1568"/>
      <c r="N251" s="1568"/>
      <c r="O251" s="77">
        <f>IF(E250="ERROR","ERROR",IF(R251&gt;1,1,R251))</f>
        <v>0</v>
      </c>
      <c r="P251" s="1373"/>
      <c r="R251" s="243">
        <f>SUM(I248,I249,E250)</f>
        <v>0</v>
      </c>
      <c r="S251" s="1024"/>
      <c r="T251" s="18"/>
      <c r="U251" s="18"/>
      <c r="V251" s="18"/>
      <c r="W251" s="18"/>
      <c r="X251" s="18"/>
      <c r="Y251" s="18"/>
      <c r="Z251" s="18"/>
      <c r="AA251" s="1054" t="s">
        <v>1307</v>
      </c>
      <c r="AB251" s="1054" t="s">
        <v>1305</v>
      </c>
      <c r="AC251" s="1048" t="s">
        <v>1306</v>
      </c>
      <c r="AD251" s="1048" t="s">
        <v>1307</v>
      </c>
      <c r="AE251" s="1050"/>
      <c r="AF251" s="18"/>
      <c r="AG251" s="18"/>
      <c r="AH251" s="18"/>
      <c r="AI251" s="18"/>
      <c r="AJ251" s="18"/>
      <c r="AK251" s="18"/>
      <c r="AL251" s="18"/>
      <c r="AM251" s="18"/>
      <c r="AN251" s="18"/>
      <c r="AO251" s="18"/>
      <c r="AP251" s="18"/>
      <c r="AQ251" s="18"/>
      <c r="AR251" s="18"/>
      <c r="AS251" s="18"/>
      <c r="AT251" s="18"/>
    </row>
    <row r="252" spans="2:46" ht="13.5" customHeight="1" x14ac:dyDescent="0.2">
      <c r="B252" s="286" t="s">
        <v>1578</v>
      </c>
      <c r="C252" s="1308"/>
      <c r="D252" s="1308"/>
      <c r="E252" s="1738">
        <f>UETable!BF46</f>
        <v>0</v>
      </c>
      <c r="F252" s="1738"/>
      <c r="G252" s="1308"/>
      <c r="H252" s="1308"/>
      <c r="I252" s="1734">
        <f>IF(C252="",0,IF(OR(C252&lt;=0,G252&lt;=0),E252,IF(G252&lt;C252,0,UETable!BK46)))</f>
        <v>0</v>
      </c>
      <c r="J252" s="1734"/>
      <c r="K252" s="1736" t="str">
        <f>IF(OR(C252="NA",G252="NA"),"",IF(AND(C252&lt;&gt;"",G252=""),"Enter contralateral or NA.",IF(AND(C252="",G252&lt;&gt;""),"Need data","")))</f>
        <v/>
      </c>
      <c r="L252" s="1736"/>
      <c r="M252" s="1736"/>
      <c r="N252" s="1736"/>
      <c r="O252" s="1737"/>
      <c r="P252" s="1373"/>
      <c r="R252" s="1025"/>
      <c r="S252" s="1024">
        <v>90</v>
      </c>
      <c r="T252" s="1021" t="str">
        <f>IF(OR(C252="",C252="NA"),"",IF(C252&gt;S252,S252,IF(C252&lt;0,0,C252)))</f>
        <v/>
      </c>
      <c r="U252" s="769" t="str">
        <f>IF(OR(G252="",G252="NA"),"",IF(G252&gt;S252,S252,IF(G252&lt;0,0,G252)))</f>
        <v/>
      </c>
      <c r="V252" s="696" t="str">
        <f>IF(Y252="","",ROUND(Y252,0))</f>
        <v/>
      </c>
      <c r="W252" s="1410" t="s">
        <v>1203</v>
      </c>
      <c r="X252" s="1410"/>
      <c r="Y252" s="697" t="str">
        <f>IF(T252="","",IF(OR(U252="",U252=0,U252&lt;T252),T252,(T252*90)/U252))</f>
        <v/>
      </c>
      <c r="Z252" s="18"/>
      <c r="AA252" s="1053">
        <f>IF(AND(AA245&gt;0,AA245&lt;0.01),0.01,ROUND(AA245,2))</f>
        <v>0</v>
      </c>
      <c r="AB252" s="1052">
        <f>LARGE(AA252:AA254,1)</f>
        <v>0</v>
      </c>
      <c r="AC252" s="1053">
        <f>AB252+AB253*(1-AB252)</f>
        <v>0</v>
      </c>
      <c r="AD252" s="1053">
        <f>ROUND(AC252,2)</f>
        <v>0</v>
      </c>
      <c r="AE252" s="1050"/>
      <c r="AF252" s="18"/>
      <c r="AG252" s="18"/>
      <c r="AH252" s="18"/>
      <c r="AI252" s="18"/>
      <c r="AJ252" s="18"/>
      <c r="AK252" s="18"/>
      <c r="AL252" s="18"/>
      <c r="AM252" s="18"/>
      <c r="AN252" s="18"/>
      <c r="AO252" s="18"/>
      <c r="AP252" s="18"/>
      <c r="AQ252" s="18"/>
      <c r="AR252" s="18"/>
      <c r="AS252" s="18"/>
      <c r="AT252" s="18"/>
    </row>
    <row r="253" spans="2:46" ht="13.5" customHeight="1" x14ac:dyDescent="0.2">
      <c r="B253" s="185" t="s">
        <v>1579</v>
      </c>
      <c r="C253" s="1308"/>
      <c r="D253" s="1308"/>
      <c r="E253" s="1558">
        <f>UETable!BF47</f>
        <v>0</v>
      </c>
      <c r="F253" s="1558"/>
      <c r="G253" s="1308"/>
      <c r="H253" s="1308"/>
      <c r="I253" s="1538">
        <f>IF(C253="",0,IF(OR(C253&gt;=90,G253&gt;=90),E253,IF(G253&gt;C253,0,UETable!BK47)))</f>
        <v>0</v>
      </c>
      <c r="J253" s="1538"/>
      <c r="K253" s="1556" t="str">
        <f>IF(OR(C253="NA",G253="NA"),"",IF(AND(C253&lt;&gt;"",G253=""),"Enter contralateral or NA.",IF(AND(C253="",G253&lt;&gt;""),"Need data","")))</f>
        <v/>
      </c>
      <c r="L253" s="1556"/>
      <c r="M253" s="1556"/>
      <c r="N253" s="1556"/>
      <c r="O253" s="1704"/>
      <c r="P253" s="1373"/>
      <c r="R253" s="1025"/>
      <c r="S253" s="1024">
        <v>90</v>
      </c>
      <c r="T253" s="1021" t="str">
        <f>IF(OR(C253="",C253="NA"),"",IF(C253&gt;S253,S253,IF(C253&lt;0,0,C253)))</f>
        <v/>
      </c>
      <c r="U253" s="769" t="str">
        <f>IF(OR(G253="",G253="NA"),"",IF(G253&gt;S253,S253,IF(G253&lt;0,0,G253)))</f>
        <v/>
      </c>
      <c r="V253" s="696" t="str">
        <f>IF(Y253="","",ROUND(Y253,0))</f>
        <v/>
      </c>
      <c r="W253" s="769">
        <f>IF(T253="",0,90-T253)</f>
        <v>0</v>
      </c>
      <c r="X253" s="769">
        <f>IF(U253="",0,90-U253)</f>
        <v>0</v>
      </c>
      <c r="Y253" s="697" t="str">
        <f>IF(T253="","",IF(OR(U253="",U253=0,U253&gt;T253),T253,90-(W253*90)/X253))</f>
        <v/>
      </c>
      <c r="Z253" s="18"/>
      <c r="AA253" s="1053">
        <f>IF(AND(AB245&gt;0,AB245&lt;0.01),0.01,ROUND(AB245,2))</f>
        <v>0</v>
      </c>
      <c r="AB253" s="1052">
        <f>LARGE(AA252:AA254,2)</f>
        <v>0</v>
      </c>
      <c r="AC253" s="684">
        <f>AD252+AB254*(1-AD252)</f>
        <v>0</v>
      </c>
      <c r="AD253" s="1053">
        <f>ROUND(AC253,2)</f>
        <v>0</v>
      </c>
      <c r="AE253" s="1050"/>
      <c r="AF253" s="18"/>
      <c r="AG253" s="18"/>
      <c r="AH253" s="18"/>
      <c r="AI253" s="18"/>
      <c r="AJ253" s="18"/>
      <c r="AK253" s="18"/>
      <c r="AL253" s="18"/>
      <c r="AM253" s="18"/>
      <c r="AN253" s="18"/>
      <c r="AO253" s="18"/>
      <c r="AP253" s="18"/>
      <c r="AQ253" s="18"/>
      <c r="AR253" s="18"/>
      <c r="AS253" s="18"/>
      <c r="AT253" s="18"/>
    </row>
    <row r="254" spans="2:46" ht="15" customHeight="1" x14ac:dyDescent="0.2">
      <c r="B254" s="185" t="s">
        <v>643</v>
      </c>
      <c r="C254" s="1308"/>
      <c r="D254" s="1308"/>
      <c r="E254" s="1558">
        <f>IF(AND(C254&lt;&gt;"",C254&lt;&gt;"NA",C253&lt;&gt;"NA",C253&lt;&gt;""),"ERROR",IF(AND(C254&lt;&gt;"",C254&lt;&gt;"NA",C252&lt;&gt;"",C252&lt;&gt;"NA"),"ERROR",UETable!BF48))</f>
        <v>0</v>
      </c>
      <c r="F254" s="1558"/>
      <c r="G254" s="1556" t="str">
        <f>IF(AND(C254&lt;&gt;"",C254&lt;&gt;"NA",C253&lt;&gt;"NA",C253&lt;&gt;""),"ERROR: Cannot rate ROM and ankylosis.",IF(AND(C254&lt;&gt;"",C254&lt;&gt;"NA",C252&lt;&gt;"",C252&lt;&gt;"NA"),"ERROR: Cannot rate ROM and ankylosis.",""))</f>
        <v/>
      </c>
      <c r="H254" s="1556"/>
      <c r="I254" s="1556"/>
      <c r="J254" s="1556"/>
      <c r="K254" s="1556"/>
      <c r="L254" s="1556"/>
      <c r="M254" s="1556"/>
      <c r="N254" s="1556"/>
      <c r="O254" s="1704"/>
      <c r="P254" s="1373"/>
      <c r="R254" s="1024">
        <f>IF(OR(O247="ERROR",O251="ERROR",O255="ERROR"),1,0)</f>
        <v>0</v>
      </c>
      <c r="S254" s="1021">
        <v>90</v>
      </c>
      <c r="T254" s="1021" t="str">
        <f>IF(OR(C254="",C254="NA"),"",IF(C254&gt;S254,S254,IF(C254&lt;0,0,C254)))</f>
        <v/>
      </c>
      <c r="U254" s="18"/>
      <c r="V254" s="18"/>
      <c r="W254" s="18"/>
      <c r="X254" s="18"/>
      <c r="Y254" s="18"/>
      <c r="Z254" s="18"/>
      <c r="AA254" s="1053">
        <f>IF(AND(AC245&gt;0,AC245&lt;0.01),0.01,ROUND(AC245,2))</f>
        <v>0</v>
      </c>
      <c r="AB254" s="1052">
        <f>LARGE(AA252:AA254,3)</f>
        <v>0</v>
      </c>
      <c r="AC254" s="1047"/>
      <c r="AD254" s="1047"/>
      <c r="AE254" s="1050"/>
      <c r="AF254" s="18"/>
      <c r="AG254" s="18"/>
      <c r="AH254" s="18"/>
      <c r="AI254" s="18"/>
      <c r="AJ254" s="18"/>
      <c r="AK254" s="18"/>
      <c r="AL254" s="18"/>
      <c r="AM254" s="18"/>
      <c r="AN254" s="18"/>
      <c r="AO254" s="18"/>
      <c r="AP254" s="18"/>
      <c r="AQ254" s="18"/>
      <c r="AR254" s="18"/>
      <c r="AS254" s="18"/>
      <c r="AT254" s="18"/>
    </row>
    <row r="255" spans="2:46" ht="12.75" customHeight="1" x14ac:dyDescent="0.2">
      <c r="B255" s="1045"/>
      <c r="C255" s="1046"/>
      <c r="D255" s="1046"/>
      <c r="E255" s="1796" t="str">
        <f>IF(AND(OR(E246&gt;0,E250&gt;0,E254&gt;0),C256&gt;0),"Note: Ankylosis is not apportioned.","")</f>
        <v/>
      </c>
      <c r="F255" s="1796"/>
      <c r="G255" s="1796"/>
      <c r="H255" s="1796"/>
      <c r="I255" s="1796"/>
      <c r="J255" s="1568" t="s">
        <v>1842</v>
      </c>
      <c r="K255" s="1568"/>
      <c r="L255" s="1568"/>
      <c r="M255" s="1568"/>
      <c r="N255" s="1568"/>
      <c r="O255" s="77">
        <f>IF(E254="ERROR","ERROR",IF(R255&gt;1,1,R255))</f>
        <v>0</v>
      </c>
      <c r="P255" s="1373"/>
      <c r="R255" s="243">
        <f>SUM(I252,I253,E254)</f>
        <v>0</v>
      </c>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row>
    <row r="256" spans="2:46" ht="15" customHeight="1" x14ac:dyDescent="0.2">
      <c r="B256" s="1049" t="s">
        <v>2259</v>
      </c>
      <c r="C256" s="1544"/>
      <c r="D256" s="1577"/>
      <c r="E256" s="1796"/>
      <c r="F256" s="1796"/>
      <c r="G256" s="1796"/>
      <c r="H256" s="1796"/>
      <c r="I256" s="1796"/>
      <c r="J256" s="1568" t="s">
        <v>928</v>
      </c>
      <c r="K256" s="1568"/>
      <c r="L256" s="1568"/>
      <c r="M256" s="1568"/>
      <c r="N256" s="1568"/>
      <c r="O256" s="1740"/>
      <c r="P256" s="1373"/>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row>
    <row r="257" spans="1:109" ht="12" customHeight="1" x14ac:dyDescent="0.2">
      <c r="B257" s="1395"/>
      <c r="C257" s="1395"/>
      <c r="D257" s="1395"/>
      <c r="E257" s="1395"/>
      <c r="F257" s="1395"/>
      <c r="G257" s="1395"/>
      <c r="H257" s="1395"/>
      <c r="I257" s="1395"/>
      <c r="J257" s="1395"/>
      <c r="K257" s="1395"/>
      <c r="L257" s="1395"/>
      <c r="M257" s="1395"/>
      <c r="N257" s="1395"/>
      <c r="O257" s="1395"/>
      <c r="P257" s="182"/>
      <c r="R257" s="18"/>
      <c r="S257" s="1487" t="s">
        <v>2197</v>
      </c>
      <c r="T257" s="1487"/>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row>
    <row r="258" spans="1:109" ht="14.25" customHeight="1" x14ac:dyDescent="0.2">
      <c r="A258" s="189"/>
      <c r="B258" s="1581" t="s">
        <v>970</v>
      </c>
      <c r="C258" s="1582"/>
      <c r="D258" s="1543"/>
      <c r="E258" s="1543"/>
      <c r="F258" s="1587" t="s">
        <v>1229</v>
      </c>
      <c r="G258" s="1587"/>
      <c r="H258" s="1587"/>
      <c r="I258" s="1587"/>
      <c r="J258" s="1587"/>
      <c r="K258" s="1587"/>
      <c r="L258" s="1587"/>
      <c r="M258" s="1587"/>
      <c r="N258" s="1587"/>
      <c r="O258" s="1587"/>
      <c r="P258" s="95">
        <f>IF(T258=1,0.1,0)</f>
        <v>0</v>
      </c>
      <c r="R258" s="18"/>
      <c r="S258" s="686" t="b">
        <v>0</v>
      </c>
      <c r="T258" s="769">
        <f>IF(S258=TRUE,1,0)</f>
        <v>0</v>
      </c>
      <c r="W258" s="18"/>
      <c r="X258" s="18"/>
      <c r="Y258" s="18"/>
      <c r="Z258" s="18"/>
      <c r="AA258" s="18"/>
      <c r="AB258" s="18"/>
      <c r="AC258" s="18"/>
      <c r="AD258" s="18"/>
      <c r="AE258" s="18"/>
      <c r="AF258" s="18"/>
      <c r="AG258" s="18">
        <v>1E-4</v>
      </c>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row>
    <row r="259" spans="1:109" x14ac:dyDescent="0.2">
      <c r="B259" s="1583"/>
      <c r="C259" s="1584"/>
      <c r="D259" s="1543"/>
      <c r="E259" s="1543"/>
      <c r="F259" s="1587" t="s">
        <v>1231</v>
      </c>
      <c r="G259" s="1587"/>
      <c r="H259" s="1587"/>
      <c r="I259" s="1587"/>
      <c r="J259" s="1587"/>
      <c r="K259" s="1587"/>
      <c r="L259" s="1587"/>
      <c r="M259" s="1587"/>
      <c r="N259" s="1587"/>
      <c r="O259" s="1587"/>
      <c r="P259" s="95">
        <f>IF(T259=1,0.1,0)</f>
        <v>0</v>
      </c>
      <c r="R259" s="18"/>
      <c r="S259" s="686" t="b">
        <v>0</v>
      </c>
      <c r="T259" s="769">
        <f>IF(S259=TRUE,1,0)</f>
        <v>0</v>
      </c>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row>
    <row r="260" spans="1:109" x14ac:dyDescent="0.2">
      <c r="B260" s="1583"/>
      <c r="C260" s="1584"/>
      <c r="D260" s="1543"/>
      <c r="E260" s="1543"/>
      <c r="F260" s="1587" t="s">
        <v>1230</v>
      </c>
      <c r="G260" s="1587"/>
      <c r="H260" s="1587"/>
      <c r="I260" s="1587"/>
      <c r="J260" s="1587"/>
      <c r="K260" s="1587"/>
      <c r="L260" s="1587"/>
      <c r="M260" s="1587"/>
      <c r="N260" s="1587"/>
      <c r="O260" s="1587"/>
      <c r="P260" s="95">
        <f>IF(T260=1,0.1,0)</f>
        <v>0</v>
      </c>
      <c r="R260" s="18"/>
      <c r="S260" s="686" t="b">
        <v>0</v>
      </c>
      <c r="T260" s="769">
        <f>IF(S260=TRUE,1,0)</f>
        <v>0</v>
      </c>
      <c r="U260" s="164"/>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row>
    <row r="261" spans="1:109" x14ac:dyDescent="0.2">
      <c r="B261" s="1585"/>
      <c r="C261" s="1586"/>
      <c r="D261" s="1543"/>
      <c r="E261" s="1543"/>
      <c r="F261" s="1587" t="s">
        <v>1232</v>
      </c>
      <c r="G261" s="1587"/>
      <c r="H261" s="1587"/>
      <c r="I261" s="1587"/>
      <c r="J261" s="1587"/>
      <c r="K261" s="1587"/>
      <c r="L261" s="1587"/>
      <c r="M261" s="1587"/>
      <c r="N261" s="1587"/>
      <c r="O261" s="1587"/>
      <c r="P261" s="95">
        <f>IF(T261=1,0.1,0)</f>
        <v>0</v>
      </c>
      <c r="R261" s="18"/>
      <c r="S261" s="686" t="b">
        <v>0</v>
      </c>
      <c r="T261" s="769">
        <f>IF(S261=TRUE,1,0)</f>
        <v>0</v>
      </c>
      <c r="U261" s="164"/>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row>
    <row r="262" spans="1:109" ht="12" customHeight="1" x14ac:dyDescent="0.2">
      <c r="B262" s="1395"/>
      <c r="C262" s="1395"/>
      <c r="D262" s="1395"/>
      <c r="E262" s="1395"/>
      <c r="F262" s="1395"/>
      <c r="G262" s="1395"/>
      <c r="H262" s="1395"/>
      <c r="I262" s="1395"/>
      <c r="J262" s="1395"/>
      <c r="K262" s="1395"/>
      <c r="L262" s="1395"/>
      <c r="M262" s="1395"/>
      <c r="N262" s="1395"/>
      <c r="O262" s="1395"/>
      <c r="P262" s="182"/>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row>
    <row r="263" spans="1:109" ht="12" customHeight="1" x14ac:dyDescent="0.2">
      <c r="B263" s="604"/>
      <c r="C263" s="1607" t="s">
        <v>248</v>
      </c>
      <c r="D263" s="1597"/>
      <c r="E263" s="1596" t="s">
        <v>249</v>
      </c>
      <c r="F263" s="1597"/>
      <c r="G263" s="434"/>
      <c r="H263" s="436"/>
      <c r="I263" s="1625" t="s">
        <v>250</v>
      </c>
      <c r="J263" s="1597"/>
      <c r="K263" s="595"/>
      <c r="L263" s="436"/>
      <c r="M263" s="1596" t="s">
        <v>249</v>
      </c>
      <c r="N263" s="1597"/>
      <c r="O263" s="435"/>
      <c r="P263" s="611"/>
      <c r="Z263" s="601"/>
      <c r="AE263" s="600"/>
      <c r="AF263" s="600"/>
      <c r="AG263" s="600"/>
      <c r="AH263" s="600"/>
      <c r="AI263" s="600"/>
      <c r="AJ263" s="600"/>
      <c r="AK263" s="600"/>
      <c r="AL263" s="600"/>
      <c r="AM263" s="600"/>
      <c r="AN263" s="600"/>
    </row>
    <row r="264" spans="1:109" ht="12" customHeight="1" x14ac:dyDescent="0.2">
      <c r="B264" s="605"/>
      <c r="C264" s="1610" t="s">
        <v>251</v>
      </c>
      <c r="D264" s="1580"/>
      <c r="E264" s="1610" t="s">
        <v>252</v>
      </c>
      <c r="F264" s="1580"/>
      <c r="G264" s="1610" t="s">
        <v>253</v>
      </c>
      <c r="H264" s="1580"/>
      <c r="I264" s="1579" t="s">
        <v>254</v>
      </c>
      <c r="J264" s="1580"/>
      <c r="K264" s="1610" t="s">
        <v>255</v>
      </c>
      <c r="L264" s="1580"/>
      <c r="M264" s="1610" t="s">
        <v>256</v>
      </c>
      <c r="N264" s="1580"/>
      <c r="O264" s="3"/>
      <c r="P264" s="612"/>
      <c r="Z264" s="418"/>
      <c r="AE264" s="600"/>
      <c r="AF264" s="600"/>
      <c r="AG264" s="600"/>
      <c r="AH264" s="600"/>
      <c r="AI264" s="600"/>
      <c r="AJ264" s="600"/>
      <c r="AK264" s="600"/>
      <c r="AL264" s="600"/>
      <c r="AM264" s="600"/>
      <c r="AN264" s="600"/>
    </row>
    <row r="265" spans="1:109" ht="12" customHeight="1" x14ac:dyDescent="0.2">
      <c r="B265" s="605"/>
      <c r="C265" s="1552" t="s">
        <v>257</v>
      </c>
      <c r="D265" s="1553"/>
      <c r="E265" s="1552" t="s">
        <v>258</v>
      </c>
      <c r="F265" s="1553"/>
      <c r="G265" s="1552" t="s">
        <v>259</v>
      </c>
      <c r="H265" s="1553"/>
      <c r="I265" s="1635" t="s">
        <v>260</v>
      </c>
      <c r="J265" s="1553"/>
      <c r="K265" s="1552" t="s">
        <v>259</v>
      </c>
      <c r="L265" s="1553"/>
      <c r="M265" s="1552" t="s">
        <v>258</v>
      </c>
      <c r="N265" s="1553"/>
      <c r="O265" s="3"/>
      <c r="P265" s="612"/>
      <c r="AH265" s="783">
        <v>1</v>
      </c>
      <c r="AI265" s="783">
        <v>2</v>
      </c>
      <c r="AJ265" s="783">
        <v>3</v>
      </c>
      <c r="AK265" s="783">
        <v>4</v>
      </c>
      <c r="AM265" s="600"/>
      <c r="AN265" s="600"/>
      <c r="AO265" s="600"/>
      <c r="AP265" s="600"/>
      <c r="AQ265" s="600"/>
      <c r="AR265" s="600"/>
      <c r="AS265" s="600"/>
      <c r="AT265" s="600"/>
      <c r="AU265" s="600"/>
      <c r="AV265" s="600"/>
    </row>
    <row r="266" spans="1:109" ht="12" customHeight="1" x14ac:dyDescent="0.2">
      <c r="B266" s="679" t="s">
        <v>1986</v>
      </c>
      <c r="C266" s="1608" t="s">
        <v>261</v>
      </c>
      <c r="D266" s="1609"/>
      <c r="E266" s="1608" t="s">
        <v>261</v>
      </c>
      <c r="F266" s="1609"/>
      <c r="G266" s="1608" t="s">
        <v>261</v>
      </c>
      <c r="H266" s="1609"/>
      <c r="I266" s="1608" t="s">
        <v>261</v>
      </c>
      <c r="J266" s="1609"/>
      <c r="K266" s="1608" t="s">
        <v>261</v>
      </c>
      <c r="L266" s="1609"/>
      <c r="M266" s="1608" t="s">
        <v>261</v>
      </c>
      <c r="N266" s="1609"/>
      <c r="O266" s="3"/>
      <c r="P266" s="612"/>
      <c r="S266" s="1516" t="s">
        <v>2197</v>
      </c>
      <c r="T266" s="1517"/>
      <c r="U266" s="1517"/>
      <c r="V266" s="1517"/>
      <c r="W266" s="1517"/>
      <c r="X266" s="1518"/>
      <c r="Y266" s="599"/>
      <c r="Z266" s="599"/>
      <c r="AA266" s="1562" t="s">
        <v>2197</v>
      </c>
      <c r="AB266" s="1563"/>
      <c r="AC266" s="1563"/>
      <c r="AD266" s="1563"/>
      <c r="AE266" s="1563"/>
      <c r="AF266" s="1564"/>
      <c r="AG266" s="599"/>
      <c r="AH266" s="1519" t="s">
        <v>2197</v>
      </c>
      <c r="AI266" s="1520"/>
      <c r="AJ266" s="1520"/>
      <c r="AK266" s="1520"/>
      <c r="AL266" s="1520"/>
      <c r="AM266" s="1521"/>
      <c r="AN266" s="772"/>
      <c r="AO266" s="1516" t="s">
        <v>2197</v>
      </c>
      <c r="AP266" s="1517"/>
      <c r="AQ266" s="1517"/>
      <c r="AR266" s="1517"/>
      <c r="AS266" s="1518"/>
      <c r="AT266" s="772"/>
      <c r="AU266" s="1516" t="s">
        <v>2197</v>
      </c>
      <c r="AV266" s="1517"/>
      <c r="AW266" s="1517"/>
      <c r="AX266" s="1518"/>
      <c r="AY266" s="772"/>
      <c r="AZ266" s="1516" t="s">
        <v>2197</v>
      </c>
      <c r="BA266" s="1517"/>
      <c r="BB266" s="1517"/>
      <c r="BC266" s="1517"/>
      <c r="BD266" s="1517"/>
      <c r="BE266" s="1517"/>
      <c r="BF266" s="1517"/>
      <c r="BG266" s="1518"/>
      <c r="BH266" s="772"/>
      <c r="BI266" s="1516" t="s">
        <v>2197</v>
      </c>
      <c r="BJ266" s="1517"/>
      <c r="BK266" s="1517"/>
      <c r="BL266" s="1517"/>
      <c r="BM266" s="1517"/>
      <c r="BN266" s="1518"/>
    </row>
    <row r="267" spans="1:109" s="419" customFormat="1" ht="15" customHeight="1" x14ac:dyDescent="0.2">
      <c r="B267" s="185" t="s">
        <v>1608</v>
      </c>
      <c r="C267" s="1554"/>
      <c r="D267" s="1554"/>
      <c r="E267" s="1554"/>
      <c r="F267" s="1554"/>
      <c r="G267" s="1554"/>
      <c r="H267" s="1554"/>
      <c r="I267" s="1554"/>
      <c r="J267" s="1554"/>
      <c r="K267" s="1554"/>
      <c r="L267" s="1554"/>
      <c r="M267" s="1554"/>
      <c r="N267" s="1554"/>
      <c r="O267" s="613"/>
      <c r="P267" s="614"/>
      <c r="S267" s="369">
        <f>IF(C267="",0,C267)</f>
        <v>0</v>
      </c>
      <c r="T267" s="369">
        <f>IF(AND(E267&lt;&gt;C267,E267&lt;&gt;""),E267,IF(OR(E268&lt;&gt;"",E269&lt;&gt;""),0,S267))</f>
        <v>0</v>
      </c>
      <c r="U267" s="369">
        <f>IF(AND(G267&lt;&gt;E267,G267&lt;&gt;""),G267,IF(OR(G268&lt;&gt;"",G269&lt;&gt;""),0,T267))</f>
        <v>0</v>
      </c>
      <c r="V267" s="369">
        <f>IF(AND(I267&lt;&gt;G267,I267&lt;&gt;""),I267,IF(OR(I268&lt;&gt;"",I269&lt;&gt;""),0,U267))</f>
        <v>0</v>
      </c>
      <c r="W267" s="369">
        <f>IF(AND(K267&lt;&gt;I267,K267&lt;&gt;""),K267,IF(OR(K268&lt;&gt;"",K269&lt;&gt;""),0,V267))</f>
        <v>0</v>
      </c>
      <c r="X267" s="369">
        <f>IF(AND(M267&lt;&gt;K267,M267&lt;&gt;""),M267,IF(OR(M268&lt;&gt;"",M269&lt;&gt;""),0,W267))</f>
        <v>0</v>
      </c>
      <c r="Z267" s="599"/>
      <c r="AA267" s="607">
        <f>IF(C267&gt;1,1,0)</f>
        <v>0</v>
      </c>
      <c r="AB267" s="369">
        <f t="shared" ref="AB267:AF269" si="33">IF(AND(S267&lt;&gt;T267,T267&gt;0),1,0)</f>
        <v>0</v>
      </c>
      <c r="AC267" s="369">
        <f t="shared" si="33"/>
        <v>0</v>
      </c>
      <c r="AD267" s="369">
        <f t="shared" si="33"/>
        <v>0</v>
      </c>
      <c r="AE267" s="369">
        <f t="shared" si="33"/>
        <v>0</v>
      </c>
      <c r="AF267" s="369">
        <f t="shared" si="33"/>
        <v>0</v>
      </c>
      <c r="AH267" s="602">
        <f>IF(S267=1,0,IF(S267=2,0.25,IF(S267=3,0.38,IF(S267=4,0.5,0))))</f>
        <v>0</v>
      </c>
      <c r="AI267" s="602">
        <f>IF(T267=1,0,IF(T267=2,0.23,IF(T267=3,0.35,IF(T267=4,0.45,0))))</f>
        <v>0</v>
      </c>
      <c r="AJ267" s="602">
        <f>IF(U267=1,0,IF(U267=2,0.2,IF(U267=3,0.3,IF(U267=4,0.39,0))))</f>
        <v>0</v>
      </c>
      <c r="AK267" s="602">
        <f>IF(V267=1,0,IF(V267=2,0.17,IF(V267=3,0.25,IF(V267=4,0.33,0))))</f>
        <v>0</v>
      </c>
      <c r="AL267" s="602">
        <f>IF(W267=1,0,IF(W267=2,0.13,IF(W267=3,0.19,IF(W267=4,0.24,0))))</f>
        <v>0</v>
      </c>
      <c r="AM267" s="602">
        <f>IF(X267=1,0,IF(X267=2,0.08,IF(X267=3,0.12,IF(X267=4,0.15,0))))</f>
        <v>0</v>
      </c>
      <c r="AN267" s="603"/>
      <c r="AO267" s="602">
        <f>IF(S267=1,0,IF(S267=2,0.23,IF(S267=3,0.35,IF(S267=4,0.45,0))))</f>
        <v>0</v>
      </c>
      <c r="AP267" s="602">
        <f>IF(T267=1,0,IF(T267=2,0.2,IF(T267=3,0.3,IF(T267=4,0.39,0))))</f>
        <v>0</v>
      </c>
      <c r="AQ267" s="602">
        <f>IF(U267=1,0,IF(U267=2,0.17,IF(U267=3,0.25,IF(U267=4,0.33,0))))</f>
        <v>0</v>
      </c>
      <c r="AR267" s="602">
        <f>IF(V267=1,0,IF(V267=2,0.13,IF(V267=3,0.19,IF(V267=4,0.24,0))))</f>
        <v>0</v>
      </c>
      <c r="AS267" s="602">
        <f>IF(W267=1,0,IF(W267=2,0.08,IF(W267=3,0.12,IF(W267=4,0.15,0))))</f>
        <v>0</v>
      </c>
      <c r="AU267" s="602">
        <f>IF(S267=1,0,IF(S267=2,0.2,IF(S267=3,0.3,IF(S267=4,0.39,0))))</f>
        <v>0</v>
      </c>
      <c r="AV267" s="602">
        <f>IF(T267=1,0,IF(T267=2,0.17,IF(T267=3,0.25,IF(T267=4,0.33,0))))</f>
        <v>0</v>
      </c>
      <c r="AW267" s="602">
        <f>IF(U267=1,0,IF(U267=2,0.13,IF(U267=3,0.19,IF(U267=4,0.24,0))))</f>
        <v>0</v>
      </c>
      <c r="AX267" s="602">
        <f>IF(V267=1,0,IF(V267=2,0.08,IF(V267=3,0.12,IF(V267=4,0.15,0))))</f>
        <v>0</v>
      </c>
      <c r="AZ267" s="602">
        <f>IF(S267=1,0,IF(S267=2,0.17,IF(S267=3,0.25,IF(S267=4,0.33,0))))</f>
        <v>0</v>
      </c>
      <c r="BA267" s="602">
        <f>IF(T267=1,0,IF(T267=2,0.13,IF(T267=3,0.19,IF(T267=4,0.24,0))))</f>
        <v>0</v>
      </c>
      <c r="BB267" s="602">
        <f>IF(U267=1,0,IF(U267=2,0.08,IF(U267=3,0.12,IF(U267=4,0.15,0))))</f>
        <v>0</v>
      </c>
      <c r="BD267" s="602">
        <f>IF(S267=1,0,IF(S267=2,0.13,IF(S267=3,0.19,IF(S267=4,0.24,0))))</f>
        <v>0</v>
      </c>
      <c r="BE267" s="602">
        <f>IF(T267=1,0,IF(T267=2,0.08,IF(T267=3,0.12,IF(T267=4,0.15,0))))</f>
        <v>0</v>
      </c>
      <c r="BG267" s="602">
        <f>IF(S267=1,0,IF(S267=2,0.08,IF(S267=3,0.12,IF(S267=4,0.15,0))))</f>
        <v>0</v>
      </c>
      <c r="BI267" s="602">
        <f>IF(AA267=0,0,IF(OR(AB267=1,AB268=1,AB269=1),AH267-AO267,IF(OR(AC267=1,AC268=1,AC269=1),AH267-AU267,IF(OR(AD267=1,AD268=1,AD269=1),AH267-AZ267,IF(OR(AE267=1,AE268=1,AE269=1),AH267-BD267,IF(OR(AF267=1,AF268=1,AF269=1),AH267-BG267,AH267))))))</f>
        <v>0</v>
      </c>
      <c r="BJ267" s="602">
        <f>IF(AB267=0,0,IF(OR(AC267=1,AC268=1,AC269=1),AI267-AP267,IF(OR(AD267=1,AD268=1,AD269=1),AI267-AV267,IF(OR(AE267=1,AE268=1,AE269=1),AI267-BA267,IF(OR(AF267=1,AF268=1,AF269=1),AI267-BE267,AI267)))))</f>
        <v>0</v>
      </c>
      <c r="BK267" s="602">
        <f>IF(AC267=0,0,IF(OR(AD267=1,AD268=1,AD269=1),AJ267-AQ267,IF(OR(AE267=1,AE268=1,AE269=1),AJ267-AW267,IF(OR(AF267=1,AF268=1,AF269=1),AJ267-BB267,AJ267))))</f>
        <v>0</v>
      </c>
      <c r="BL267" s="602">
        <f>IF(AD267=0,0,IF(OR(AE267=1,AE268=1,AE269=1),AK267-AR267,IF(OR(AF267=1,AF268=1,AF269=1),AK267-AX267,AK267)))</f>
        <v>0</v>
      </c>
      <c r="BM267" s="602">
        <f>IF(AE267=0,0,IF(OR(AF267=1,AF268=1,AF269=1),AL267-AS267,AL267))</f>
        <v>0</v>
      </c>
      <c r="BN267" s="602">
        <f>IF(AF267=0,0,AM267)</f>
        <v>0</v>
      </c>
      <c r="BP267" s="419" t="s">
        <v>262</v>
      </c>
      <c r="BR267" s="1516" t="s">
        <v>2197</v>
      </c>
      <c r="BS267" s="1517"/>
      <c r="BT267" s="1517"/>
      <c r="BU267" s="1517"/>
      <c r="BV267" s="1517"/>
      <c r="BW267" s="1517"/>
      <c r="BX267" s="1517"/>
      <c r="BY267" s="1517"/>
      <c r="BZ267" s="1517"/>
      <c r="CA267" s="1518"/>
    </row>
    <row r="268" spans="1:109" s="419" customFormat="1" ht="15" customHeight="1" x14ac:dyDescent="0.2">
      <c r="B268" s="369" t="s">
        <v>1611</v>
      </c>
      <c r="C268" s="1554"/>
      <c r="D268" s="1554"/>
      <c r="E268" s="1554"/>
      <c r="F268" s="1554"/>
      <c r="G268" s="1554"/>
      <c r="H268" s="1554"/>
      <c r="I268" s="1554"/>
      <c r="J268" s="1554"/>
      <c r="K268" s="1554"/>
      <c r="L268" s="1554"/>
      <c r="M268" s="1554"/>
      <c r="N268" s="1554"/>
      <c r="O268" s="613"/>
      <c r="P268" s="622"/>
      <c r="S268" s="369">
        <f>IF(C268="",0,C268)</f>
        <v>0</v>
      </c>
      <c r="T268" s="369">
        <f>IF(E268&lt;&gt;C268,E268,IF(AND(E269&lt;&gt;C269,S267&gt;1),S267,0))</f>
        <v>0</v>
      </c>
      <c r="U268" s="369">
        <f>IF(G268&lt;&gt;E268,G268,IF(AND(G269&lt;&gt;E269,T267&gt;1),T267,0))</f>
        <v>0</v>
      </c>
      <c r="V268" s="369">
        <f>IF(I268&lt;&gt;G268,I268,IF(AND(I269&lt;&gt;G269,U267&gt;1),U267,0))</f>
        <v>0</v>
      </c>
      <c r="W268" s="369">
        <f>IF(K268&lt;&gt;I268,K268,IF(AND(K269&lt;&gt;I269,V267&gt;1),V267,0))</f>
        <v>0</v>
      </c>
      <c r="X268" s="369">
        <f>IF(M268&lt;&gt;K268,M268,IF(AND(M269&lt;&gt;K269,W267&gt;1),W267,0))</f>
        <v>0</v>
      </c>
      <c r="Z268" s="599"/>
      <c r="AA268" s="607">
        <f>IF(C268&gt;1,1,0)</f>
        <v>0</v>
      </c>
      <c r="AB268" s="369">
        <f t="shared" si="33"/>
        <v>0</v>
      </c>
      <c r="AC268" s="369">
        <f t="shared" si="33"/>
        <v>0</v>
      </c>
      <c r="AD268" s="369">
        <f t="shared" si="33"/>
        <v>0</v>
      </c>
      <c r="AE268" s="369">
        <f t="shared" si="33"/>
        <v>0</v>
      </c>
      <c r="AF268" s="369">
        <f t="shared" si="33"/>
        <v>0</v>
      </c>
      <c r="AH268" s="602">
        <f>IF(S268=1,0,IF(S268=2,0.17,IF(S268=3,0.25,IF(S268=4,0.35,0))))</f>
        <v>0</v>
      </c>
      <c r="AI268" s="602">
        <f>IF(T268=1,0,IF(T268=2,0.15,IF(T268=3,0.23,IF(T268=4,0.31,0))))</f>
        <v>0</v>
      </c>
      <c r="AJ268" s="602">
        <f>IF(U268=1,0,IF(U268=2,0.13,IF(U268=3,0.2,IF(U268=4,0.27,0))))</f>
        <v>0</v>
      </c>
      <c r="AK268" s="602">
        <f>IF(V268=1,0,IF(V268=2,0.11,IF(V268=3,0.17,IF(V268=4,0.22,0))))</f>
        <v>0</v>
      </c>
      <c r="AL268" s="602">
        <f>IF(W268=1,0,IF(W268=2,0.08,IF(W268=3,0.12,IF(W268=4,0.16,0))))</f>
        <v>0</v>
      </c>
      <c r="AM268" s="602">
        <f>IF(X268=1,0,IF(X268=2,0.05,IF(X268=3,0.07,IF(X268=4,0.1,0))))</f>
        <v>0</v>
      </c>
      <c r="AN268" s="603"/>
      <c r="AO268" s="602">
        <f>IF(S268=1,0,IF(S268=2,0.15,IF(S268=3,0.23,IF(S268=4,0.31,0))))</f>
        <v>0</v>
      </c>
      <c r="AP268" s="602">
        <f>IF(T268=1,0,IF(T268=2,0.13,IF(T268=3,0.2,IF(T268=4,0.27,0))))</f>
        <v>0</v>
      </c>
      <c r="AQ268" s="602">
        <f>IF(U268=1,0,IF(U268=2,0.11,IF(U268=3,0.17,IF(U268=4,0.22,0))))</f>
        <v>0</v>
      </c>
      <c r="AR268" s="602">
        <f>IF(V268=1,0,IF(V268=2,0.08,IF(V268=3,0.12,IF(V268=4,0.16,0))))</f>
        <v>0</v>
      </c>
      <c r="AS268" s="602">
        <f>IF(W268=1,0,IF(W268=2,0.05,IF(W268=3,0.07,IF(W268=4,0.1,0))))</f>
        <v>0</v>
      </c>
      <c r="AU268" s="602">
        <f>IF(S268=1,0,IF(S268=2,0.13,IF(S268=3,0.2,IF(S268=4,0.27,0))))</f>
        <v>0</v>
      </c>
      <c r="AV268" s="602">
        <f>IF(T268=1,0,IF(T268=2,0.11,IF(T268=3,0.17,IF(T268=4,0.22,0))))</f>
        <v>0</v>
      </c>
      <c r="AW268" s="602">
        <f>IF(U268=1,0,IF(U268=2,0.08,IF(U268=3,0.12,IF(U268=4,0.16,0))))</f>
        <v>0</v>
      </c>
      <c r="AX268" s="602">
        <f>IF(V268=1,0,IF(V268=2,0.05,IF(V268=3,0.07,IF(V268=4,0.1,0))))</f>
        <v>0</v>
      </c>
      <c r="AZ268" s="602">
        <f>IF(S268=1,0,IF(S268=2,0.11,IF(S268=3,0.17,IF(S268=4,0.22,0))))</f>
        <v>0</v>
      </c>
      <c r="BA268" s="602">
        <f>IF(T268=1,0,IF(T268=2,0.08,IF(T268=3,0.12,IF(T268=4,0.16,0))))</f>
        <v>0</v>
      </c>
      <c r="BB268" s="602">
        <f>IF(U268=1,0,IF(U268=2,0.05,IF(U268=3,0.07,IF(U268=4,0.1,0))))</f>
        <v>0</v>
      </c>
      <c r="BD268" s="602">
        <f>IF(S268=1,0,IF(S268=2,0.08,IF(S268=3,0.12,IF(S268=4,0.16,0))))</f>
        <v>0</v>
      </c>
      <c r="BE268" s="602">
        <f>IF(T268=1,0,IF(T268=2,0.05,IF(T268=3,0.07,IF(T268=4,0.1,0))))</f>
        <v>0</v>
      </c>
      <c r="BG268" s="602">
        <f>IF(S268=1,0,IF(S268=2,0.05,IF(S268=3,0.07,IF(S268=4,0.1,0))))</f>
        <v>0</v>
      </c>
      <c r="BI268" s="602">
        <f>IF(AA268=0,0,IF(OR(AB267=1,AB268=1),AH268-AO268,IF(OR(AC267=1,AC268=1),AH268-AU268,IF(OR(AD267=1,AD268=1),AH268-AZ268,IF(OR(AE267=1,AE268=1),AH268-BD268,IF(OR(AF267=1,AF268=1),AH268-BG268,AH268))))))</f>
        <v>0</v>
      </c>
      <c r="BJ268" s="602">
        <f>IF(AB268=0,0,IF(OR(AC267=1,AC268=1),AI268-AP268,IF(OR(AD267=1,AD268=1),AI268-AV268,IF(OR(AE267=1,AE268=1),AI268-BA268,IF(OR(AF267=1,AF268=1),AI268-BE268,AI268)))))</f>
        <v>0</v>
      </c>
      <c r="BK268" s="602">
        <f>IF(AC268=0,0,IF(OR(AD267=1,AD268=1),AJ268-AQ268,IF(OR(AE267=1,AE268=1),AJ268-AW268,IF(OR(AF267=1,AF268=1),AJ268-BB268,AJ268))))</f>
        <v>0</v>
      </c>
      <c r="BL268" s="602">
        <f>IF(AD268=0,0,IF(OR(AE267=1,AE268=1),AK268-AR268,IF(OR(AF267=1,AF268=1),AK268-AX268,AK268)))</f>
        <v>0</v>
      </c>
      <c r="BM268" s="602">
        <f>IF(AE268=0,0,IF(OR(AF267=1,AF268=1),AL268-AS268,AL268))</f>
        <v>0</v>
      </c>
      <c r="BN268" s="602">
        <f>IF(AF268=0,0,AM268)</f>
        <v>0</v>
      </c>
      <c r="BP268" s="608">
        <f>LARGE((BI267,BJ267,BK267,BL267,BM267,BN267,BI268,BJ268,BK268,BL268,BM268,BN268,BI269,BJ269,BK269,BL269,BM269,BN269),1)</f>
        <v>0</v>
      </c>
      <c r="BQ268" s="609">
        <f>LARGE((BI267,BJ267,BK267,BL267,BM267,BN267,BI268,BJ268,BK268,BL268,BM268,BN268,BI269,BJ269,BK269,BL269,BM269,BN269),2)</f>
        <v>0</v>
      </c>
      <c r="BR268" s="609">
        <f>LARGE((BI267,BJ267,BK267,BL267,BM267,BN267,BI268,BJ268,BK268,BL268,BM268,BN268,BI269,BJ269,BK269,BL269,BM269,BN269),3)</f>
        <v>0</v>
      </c>
      <c r="BS268" s="609">
        <f>LARGE((BI267,BJ267,BK267,BL267,BM267,BN267,BI268,BJ268,BK268,BL268,BM268,BN268,BI269,BJ269,BK269,BL269,BM269,BN269),4)</f>
        <v>0</v>
      </c>
      <c r="BT268" s="609">
        <f>LARGE((BI267,BJ267,BK267,BL267,BM267,BN267,BI268,BJ268,BK268,BL268,BM268,BN268,BI269,BJ269,BK269,BL269,BM269,BN269),5)</f>
        <v>0</v>
      </c>
      <c r="BU268" s="609">
        <f>LARGE((BI267,BJ267,BK267,BL267,BM267,BN267,BI268,BJ268,BK268,BL268,BM268,BN268,BI269,BJ269,BK269,BL269,BM269,BN269),6)</f>
        <v>0</v>
      </c>
      <c r="BV268" s="609">
        <f>LARGE((BI267,BJ267,BK267,BL267,BM267,BN267,BI268,BJ268,BK268,BL268,BM268,BN268,BI269,BJ269,BK269,BL269,BM269,BN269),7)</f>
        <v>0</v>
      </c>
      <c r="BW268" s="609">
        <f>LARGE((BI267,BJ267,BK267,BL267,BM267,BN267,BI268,BJ268,BK268,BL268,BM268,BN268,BI269,BJ269,BK269,BL269,BM269,BN269),8)</f>
        <v>0</v>
      </c>
      <c r="BX268" s="609">
        <f>LARGE((BI267,BJ267,BK267,BL267,BM267,BN267,BI268,BJ268,BK268,BL268,BM268,BN268,BI269,BJ269,BK269,BL269,BM269,BN269),9)</f>
        <v>0</v>
      </c>
      <c r="BY268" s="609">
        <f>LARGE((BI267,BJ267,BK267,BL267,BM267,BN267,BI268,BJ268,BK268,BL268,BM268,BN268,BI269,BJ269,BK269,BL269,BM269,BN269),10)</f>
        <v>0</v>
      </c>
      <c r="BZ268" s="609">
        <f>LARGE((BI267,BJ267,BK267,BL267,BM267,BN267,BI268,BJ268,BK268,BL268,BM268,BN268,BI269,BJ269,BK269,BL269,BM269,BN269),11)</f>
        <v>0</v>
      </c>
      <c r="CA268" s="609">
        <f>LARGE((BI267,BJ267,BK267,BL267,BM267,BN267,BI268,BJ268,BK268,BL268,BM268,BN268,BI269,BJ269,BK269,BL269,BM269,BN269),12)</f>
        <v>0</v>
      </c>
    </row>
    <row r="269" spans="1:109" s="419" customFormat="1" ht="15" customHeight="1" x14ac:dyDescent="0.2">
      <c r="B269" s="606" t="s">
        <v>1614</v>
      </c>
      <c r="C269" s="1636"/>
      <c r="D269" s="1636"/>
      <c r="E269" s="1636"/>
      <c r="F269" s="1636"/>
      <c r="G269" s="1636"/>
      <c r="H269" s="1636"/>
      <c r="I269" s="1636"/>
      <c r="J269" s="1636"/>
      <c r="K269" s="1636"/>
      <c r="L269" s="1636"/>
      <c r="M269" s="1636"/>
      <c r="N269" s="1636"/>
      <c r="O269" s="613"/>
      <c r="P269" s="622"/>
      <c r="S269" s="369">
        <f>IF(C269="",0,C269)</f>
        <v>0</v>
      </c>
      <c r="T269" s="369">
        <f>IF(E269&lt;&gt;C269,E269,IF(AND(E268&lt;&gt;C268,S267&gt;1),S267,0))</f>
        <v>0</v>
      </c>
      <c r="U269" s="369">
        <f>IF(G269&lt;&gt;E269,G269,IF(AND(G268&lt;&gt;E268,T267&gt;1),T267,0))</f>
        <v>0</v>
      </c>
      <c r="V269" s="369">
        <f>IF(I269&lt;&gt;G269,I269,IF(AND(I268&lt;&gt;G268,U267&gt;1),U267,0))</f>
        <v>0</v>
      </c>
      <c r="W269" s="369">
        <f>IF(K269&lt;&gt;I269,K269,IF(AND(K268&lt;&gt;I268,V267&gt;1),V267,0))</f>
        <v>0</v>
      </c>
      <c r="X269" s="369">
        <f>IF(M269&lt;&gt;K269,M269,IF(AND(M268&lt;&gt;K268,W267&gt;1),W267,0))</f>
        <v>0</v>
      </c>
      <c r="AA269" s="607">
        <f>IF(C269&gt;1,1,0)</f>
        <v>0</v>
      </c>
      <c r="AB269" s="369">
        <f t="shared" si="33"/>
        <v>0</v>
      </c>
      <c r="AC269" s="369">
        <f t="shared" si="33"/>
        <v>0</v>
      </c>
      <c r="AD269" s="369">
        <f t="shared" si="33"/>
        <v>0</v>
      </c>
      <c r="AE269" s="369">
        <f t="shared" si="33"/>
        <v>0</v>
      </c>
      <c r="AF269" s="369">
        <f t="shared" si="33"/>
        <v>0</v>
      </c>
      <c r="AH269" s="602">
        <f>IF(S269=1,0,IF(S269=2,0.1,IF(S269=3,0.17,IF(S269=4,0.23,0))))</f>
        <v>0</v>
      </c>
      <c r="AI269" s="602">
        <f>IF(T269=1,0,IF(T269=2,0.09,IF(T269=3,0.15,IF(T269=4,0.2,0))))</f>
        <v>0</v>
      </c>
      <c r="AJ269" s="602">
        <f>IF(U269=1,0,IF(U269=2,0.08,IF(U269=3,0.13,IF(U269=4,0.17,0))))</f>
        <v>0</v>
      </c>
      <c r="AK269" s="602">
        <f>IF(V269=1,0,IF(V269=2,0.07,IF(V269=3,0.1,IF(V269=4,0.14,0))))</f>
        <v>0</v>
      </c>
      <c r="AL269" s="602">
        <f>IF(W269=1,0,IF(W269=2,0.05,IF(W269=3,0.08,IF(W269=4,0.1,0))))</f>
        <v>0</v>
      </c>
      <c r="AM269" s="602">
        <f>IF(X269=1,0,IF(X269=2,0.03,IF(X269=3,0.05,IF(X269=4,0.06,0))))</f>
        <v>0</v>
      </c>
      <c r="AN269" s="603"/>
      <c r="AO269" s="602">
        <f>IF(S269=1,0,IF(S269=2,0.09,IF(S269=3,0.15,IF(S269=4,0.2,0))))</f>
        <v>0</v>
      </c>
      <c r="AP269" s="602">
        <f>IF(T269=1,0,IF(T269=2,0.08,IF(T269=3,0.13,IF(T269=4,0.17,0))))</f>
        <v>0</v>
      </c>
      <c r="AQ269" s="602">
        <f>IF(U269=1,0,IF(U269=2,0.07,IF(U269=3,0.1,IF(U269=4,0.14,0))))</f>
        <v>0</v>
      </c>
      <c r="AR269" s="602">
        <f>IF(V269=1,0,IF(V269=2,0.05,IF(V269=3,0.08,IF(V269=4,0.1,0))))</f>
        <v>0</v>
      </c>
      <c r="AS269" s="602">
        <f>IF(W269=1,0,IF(W269=2,0.03,IF(W269=3,0.05,IF(W269=4,0.06,0))))</f>
        <v>0</v>
      </c>
      <c r="AU269" s="602">
        <f>IF(S269=1,0,IF(S269=2,0.08,IF(S269=3,0.13,IF(S269=4,0.17,0))))</f>
        <v>0</v>
      </c>
      <c r="AV269" s="602">
        <f>IF(T269=1,0,IF(T269=2,0.07,IF(T269=3,0.1,IF(T269=4,0.14,0))))</f>
        <v>0</v>
      </c>
      <c r="AW269" s="602">
        <f>IF(U269=1,0,IF(U269=2,0.05,IF(U269=3,0.08,IF(U269=4,0.1,0))))</f>
        <v>0</v>
      </c>
      <c r="AX269" s="602">
        <f>IF(V269=1,0,IF(V269=2,0.03,IF(V269=3,0.05,IF(V269=4,0.06,0))))</f>
        <v>0</v>
      </c>
      <c r="AZ269" s="602">
        <f>IF(S269=1,0,IF(S269=2,0.07,IF(S269=3,0.1,IF(S269=4,0.14,0))))</f>
        <v>0</v>
      </c>
      <c r="BA269" s="602">
        <f>IF(T269=1,0,IF(T269=2,0.05,IF(T269=3,0.08,IF(T269=4,0.1,0))))</f>
        <v>0</v>
      </c>
      <c r="BB269" s="602">
        <f>IF(U269=1,0,IF(U269=2,0.03,IF(U269=3,0.05,IF(U269=4,0.06,0))))</f>
        <v>0</v>
      </c>
      <c r="BD269" s="602">
        <f>IF(S269=1,0,IF(S269=2,0.05,IF(S269=3,0.08,IF(S269=4,0.1,0))))</f>
        <v>0</v>
      </c>
      <c r="BE269" s="602">
        <f>IF(T269=1,0,IF(T269=2,0.03,IF(T269=3,0.05,IF(T269=4,0.06,0))))</f>
        <v>0</v>
      </c>
      <c r="BG269" s="602">
        <f>IF(S269=1,0,IF(S269=2,0.03,IF(S269=3,0.05,IF(S269=4,0.06,0))))</f>
        <v>0</v>
      </c>
      <c r="BI269" s="602">
        <f>IF(AA269=0,0,IF(OR(AB267=1,AB269=1),AH269-AO269,IF(OR(AC267=1,AC269=1),AH269-AU269,IF(OR(AD267=1,AD269=1),AH269-AZ269,IF(OR(AE267=1,AE269=1),AH269-BD269,IF(OR(AF267=1,AF269=1),AH269-BG269,AH269))))))</f>
        <v>0</v>
      </c>
      <c r="BJ269" s="602">
        <f>IF(AB269=0,0,IF(OR(AC267=1,AC269=1),AI269-AP269,IF(OR(AD267=1,AD269=1),AI269-AV269,IF(OR(AE267=1,AE269=1),AI269-BA269,IF(OR(AF267=1,AF269=1),AI269-BE269,AI269)))))</f>
        <v>0</v>
      </c>
      <c r="BK269" s="602">
        <f>IF(AC269=0,0,IF(OR(AD267=1,AD269=1),AJ269-AQ269,IF(OR(AE267=1,AE269=1),AJ269-AW269,IF(OR(AF267=1,AF269=1),AJ269-BB269,AJ269))))</f>
        <v>0</v>
      </c>
      <c r="BL269" s="602">
        <f>IF(AD269=0,0,IF(OR(AE267=1,AE269=1),AK269-AR269,IF(OR(AF267=1,AF269=1),AK269-AX269,AK269)))</f>
        <v>0</v>
      </c>
      <c r="BM269" s="602">
        <f>IF(AE269=0,0,IF(OR(AF267=1,AF269=1),AL269-AS269,AL269))</f>
        <v>0</v>
      </c>
      <c r="BN269" s="602">
        <f>IF(AF269=0,0,AM269)</f>
        <v>0</v>
      </c>
      <c r="BP269" s="610">
        <f>ROUND(BP268+BQ268*(1-BP268),2)</f>
        <v>0</v>
      </c>
      <c r="BQ269" s="610">
        <f t="shared" ref="BQ269:BZ269" si="34">ROUND(BP269+BR268*(1-BP269),2)</f>
        <v>0</v>
      </c>
      <c r="BR269" s="610">
        <f t="shared" si="34"/>
        <v>0</v>
      </c>
      <c r="BS269" s="610">
        <f t="shared" si="34"/>
        <v>0</v>
      </c>
      <c r="BT269" s="610">
        <f t="shared" si="34"/>
        <v>0</v>
      </c>
      <c r="BU269" s="610">
        <f t="shared" si="34"/>
        <v>0</v>
      </c>
      <c r="BV269" s="610">
        <f t="shared" si="34"/>
        <v>0</v>
      </c>
      <c r="BW269" s="610">
        <f t="shared" si="34"/>
        <v>0</v>
      </c>
      <c r="BX269" s="610">
        <f t="shared" si="34"/>
        <v>0</v>
      </c>
      <c r="BY269" s="610">
        <f t="shared" si="34"/>
        <v>0</v>
      </c>
      <c r="BZ269" s="610">
        <f t="shared" si="34"/>
        <v>0</v>
      </c>
      <c r="CA269" s="607"/>
    </row>
    <row r="270" spans="1:109" s="419" customFormat="1" ht="15" customHeight="1" x14ac:dyDescent="0.2">
      <c r="B270" s="1593" t="str">
        <f>IF(AD270=1,"ERROR: If radial or ulnar impairment is recorded, do not enter losses for 'both sides.'","")</f>
        <v/>
      </c>
      <c r="C270" s="1594"/>
      <c r="D270" s="1594"/>
      <c r="E270" s="1594"/>
      <c r="F270" s="1594"/>
      <c r="G270" s="1594"/>
      <c r="H270" s="1594"/>
      <c r="I270" s="1594"/>
      <c r="J270" s="1594"/>
      <c r="K270" s="1594"/>
      <c r="L270" s="1594"/>
      <c r="M270" s="1594"/>
      <c r="N270" s="1594"/>
      <c r="O270" s="1595"/>
      <c r="P270" s="303">
        <f>IF(B270&lt;&gt;"","ERROR",BZ269)</f>
        <v>0</v>
      </c>
      <c r="S270" s="599"/>
      <c r="T270" s="599"/>
      <c r="U270" s="599"/>
      <c r="V270" s="599"/>
      <c r="W270" s="599"/>
      <c r="AA270" s="369">
        <f>SUM(AA267:AF267)</f>
        <v>0</v>
      </c>
      <c r="AB270" s="369">
        <f>SUM(AA268:AF268)</f>
        <v>0</v>
      </c>
      <c r="AC270" s="369">
        <f>SUM(AA269:AF269)</f>
        <v>0</v>
      </c>
      <c r="AD270" s="369">
        <f>IF(AND(AA270&gt;0,AB270&gt;0),1,IF(AND(AA270&gt;0,AC270&gt;0),1,0))</f>
        <v>0</v>
      </c>
      <c r="AE270" s="599"/>
      <c r="AF270" s="599"/>
    </row>
    <row r="271" spans="1:109" s="419" customFormat="1" ht="15" customHeight="1" x14ac:dyDescent="0.2">
      <c r="B271" s="434" t="s">
        <v>1227</v>
      </c>
      <c r="C271" s="597"/>
      <c r="D271" s="597"/>
      <c r="E271" s="597"/>
      <c r="F271" s="597"/>
      <c r="G271" s="597"/>
      <c r="H271" s="597"/>
      <c r="I271" s="597"/>
      <c r="J271" s="597"/>
      <c r="K271" s="597"/>
      <c r="L271" s="597"/>
      <c r="M271" s="597"/>
      <c r="N271" s="597"/>
      <c r="O271" s="616"/>
      <c r="P271" s="617"/>
      <c r="S271" s="599"/>
      <c r="T271" s="599"/>
      <c r="U271" s="599"/>
      <c r="V271" s="599"/>
      <c r="W271" s="599"/>
      <c r="X271" s="620"/>
      <c r="AA271" s="599"/>
      <c r="AB271" s="599"/>
      <c r="AC271" s="599"/>
      <c r="AD271" s="599"/>
      <c r="AE271" s="599"/>
      <c r="AF271" s="599"/>
    </row>
    <row r="272" spans="1:109" s="419" customFormat="1" ht="15" customHeight="1" x14ac:dyDescent="0.2">
      <c r="B272" s="185" t="s">
        <v>1608</v>
      </c>
      <c r="C272" s="1554"/>
      <c r="D272" s="1554"/>
      <c r="E272" s="1554"/>
      <c r="F272" s="1554"/>
      <c r="G272" s="1554"/>
      <c r="H272" s="1554"/>
      <c r="I272" s="1554"/>
      <c r="J272" s="1554"/>
      <c r="K272" s="1554"/>
      <c r="L272" s="1554"/>
      <c r="M272" s="1554"/>
      <c r="N272" s="1554"/>
      <c r="O272" s="613"/>
      <c r="P272" s="614"/>
      <c r="S272" s="369">
        <f>IF(C272="",0,C272)</f>
        <v>0</v>
      </c>
      <c r="T272" s="369">
        <f>IF(AND(E272&lt;&gt;C272,E272&lt;&gt;""),E272,IF(OR(E273&lt;&gt;"",E274&lt;&gt;""),0,S272))</f>
        <v>0</v>
      </c>
      <c r="U272" s="369">
        <f>IF(AND(G272&lt;&gt;E272,G272&lt;&gt;""),G272,IF(OR(G273&lt;&gt;"",G274&lt;&gt;""),0,T272))</f>
        <v>0</v>
      </c>
      <c r="V272" s="369">
        <f>IF(AND(I272&lt;&gt;G272,I272&lt;&gt;""),I272,IF(OR(I273&lt;&gt;"",I274&lt;&gt;""),0,U272))</f>
        <v>0</v>
      </c>
      <c r="W272" s="369">
        <f>IF(AND(K272&lt;&gt;I272,K272&lt;&gt;""),K272,IF(OR(K273&lt;&gt;"",K274&lt;&gt;""),0,V272))</f>
        <v>0</v>
      </c>
      <c r="X272" s="369">
        <f>IF(AND(M272&lt;&gt;K272,M272&lt;&gt;""),M272,IF(OR(M273&lt;&gt;"",M274&lt;&gt;""),0,W272))</f>
        <v>0</v>
      </c>
      <c r="Z272" s="599"/>
      <c r="AA272" s="607">
        <f>IF(C272&gt;1,1,0)</f>
        <v>0</v>
      </c>
      <c r="AB272" s="369">
        <f t="shared" ref="AB272:AF274" si="35">IF(AND(S272&lt;&gt;T272,T272&gt;0),1,0)</f>
        <v>0</v>
      </c>
      <c r="AC272" s="369">
        <f t="shared" si="35"/>
        <v>0</v>
      </c>
      <c r="AD272" s="369">
        <f t="shared" si="35"/>
        <v>0</v>
      </c>
      <c r="AE272" s="369">
        <f t="shared" si="35"/>
        <v>0</v>
      </c>
      <c r="AF272" s="369">
        <f t="shared" si="35"/>
        <v>0</v>
      </c>
      <c r="AH272" s="602">
        <f>IF(S272=1,0,IF(S272=2,0.25,IF(S272=3,0.38,IF(S272=4,0.5,0))))</f>
        <v>0</v>
      </c>
      <c r="AI272" s="602">
        <f>IF(T272=1,0,IF(T272=2,0.23,IF(T272=3,0.35,IF(T272=4,0.45,0))))</f>
        <v>0</v>
      </c>
      <c r="AJ272" s="602">
        <f>IF(U272=1,0,IF(U272=2,0.2,IF(U272=3,0.3,IF(U272=4,0.39,0))))</f>
        <v>0</v>
      </c>
      <c r="AK272" s="602">
        <f>IF(V272=1,0,IF(V272=2,0.17,IF(V272=3,0.25,IF(V272=4,0.33,0))))</f>
        <v>0</v>
      </c>
      <c r="AL272" s="602">
        <f>IF(W272=1,0,IF(W272=2,0.13,IF(W272=3,0.19,IF(W272=4,0.24,0))))</f>
        <v>0</v>
      </c>
      <c r="AM272" s="602">
        <f>IF(X272=1,0,IF(X272=2,0.08,IF(X272=3,0.12,IF(X272=4,0.15,0))))</f>
        <v>0</v>
      </c>
      <c r="AN272" s="603"/>
      <c r="AO272" s="602">
        <f>IF(S272=1,0,IF(S272=2,0.23,IF(S272=3,0.35,IF(S272=4,0.45,0))))</f>
        <v>0</v>
      </c>
      <c r="AP272" s="602">
        <f>IF(T272=1,0,IF(T272=2,0.2,IF(T272=3,0.3,IF(T272=4,0.39,0))))</f>
        <v>0</v>
      </c>
      <c r="AQ272" s="602">
        <f>IF(U272=1,0,IF(U272=2,0.17,IF(U272=3,0.25,IF(U272=4,0.33,0))))</f>
        <v>0</v>
      </c>
      <c r="AR272" s="602">
        <f>IF(V272=1,0,IF(V272=2,0.13,IF(V272=3,0.19,IF(V272=4,0.24,0))))</f>
        <v>0</v>
      </c>
      <c r="AS272" s="602">
        <f>IF(W272=1,0,IF(W272=2,0.08,IF(W272=3,0.12,IF(W272=4,0.15,0))))</f>
        <v>0</v>
      </c>
      <c r="AU272" s="602">
        <f>IF(S272=1,0,IF(S272=2,0.2,IF(S272=3,0.3,IF(S272=4,0.39,0))))</f>
        <v>0</v>
      </c>
      <c r="AV272" s="602">
        <f>IF(T272=1,0,IF(T272=2,0.17,IF(T272=3,0.25,IF(T272=4,0.33,0))))</f>
        <v>0</v>
      </c>
      <c r="AW272" s="602">
        <f>IF(U272=1,0,IF(U272=2,0.13,IF(U272=3,0.19,IF(U272=4,0.24,0))))</f>
        <v>0</v>
      </c>
      <c r="AX272" s="602">
        <f>IF(V272=1,0,IF(V272=2,0.08,IF(V272=3,0.12,IF(V272=4,0.15,0))))</f>
        <v>0</v>
      </c>
      <c r="AZ272" s="602">
        <f>IF(S272=1,0,IF(S272=2,0.17,IF(S272=3,0.25,IF(S272=4,0.33,0))))</f>
        <v>0</v>
      </c>
      <c r="BA272" s="602">
        <f>IF(T272=1,0,IF(T272=2,0.13,IF(T272=3,0.19,IF(T272=4,0.24,0))))</f>
        <v>0</v>
      </c>
      <c r="BB272" s="602">
        <f>IF(U272=1,0,IF(U272=2,0.08,IF(U272=3,0.12,IF(U272=4,0.15,0))))</f>
        <v>0</v>
      </c>
      <c r="BD272" s="602">
        <f>IF(S272=1,0,IF(S272=2,0.13,IF(S272=3,0.19,IF(S272=4,0.24,0))))</f>
        <v>0</v>
      </c>
      <c r="BE272" s="602">
        <f>IF(T272=1,0,IF(T272=2,0.08,IF(T272=3,0.12,IF(T272=4,0.15,0))))</f>
        <v>0</v>
      </c>
      <c r="BG272" s="602">
        <f>IF(S272=1,0,IF(S272=2,0.08,IF(S272=3,0.12,IF(S272=4,0.15,0))))</f>
        <v>0</v>
      </c>
      <c r="BI272" s="602">
        <f>IF(AA272=0,0,IF(OR(AB272=1,AB273=1,AB274=1),AH272-AO272,IF(OR(AC272=1,AC273=1,AC274=1),AH272-AU272,IF(OR(AD272=1,AD273=1,AD274=1),AH272-AZ272,IF(OR(AE272=1,AE273=1,AE274=1),AH272-BD272,IF(OR(AF272=1,AF273=1,AF274=1),AH272-BG272,AH272))))))</f>
        <v>0</v>
      </c>
      <c r="BJ272" s="602">
        <f>IF(AB272=0,0,IF(OR(AC272=1,AC273=1,AC274=1),AI272-AP272,IF(OR(AD272=1,AD273=1,AD274=1),AI272-AV272,IF(OR(AE272=1,AE273=1,AE274=1),AI272-BA272,IF(OR(AF272=1,AF273=1,AF274=1),AI272-BE272,AI272)))))</f>
        <v>0</v>
      </c>
      <c r="BK272" s="602">
        <f>IF(AC272=0,0,IF(OR(AD272=1,AD273=1,AD274=1),AJ272-AQ272,IF(OR(AE272=1,AE273=1,AE274=1),AJ272-AW272,IF(OR(AF272=1,AF273=1,AF274=1),AJ272-BB272,AJ272))))</f>
        <v>0</v>
      </c>
      <c r="BL272" s="602">
        <f>IF(AD272=0,0,IF(OR(AE272=1,AE273=1,AE274=1),AK272-AR272,IF(OR(AF272=1,AF273=1,AF274=1),AK272-AX272,AK272)))</f>
        <v>0</v>
      </c>
      <c r="BM272" s="602">
        <f>IF(AE272=0,0,IF(OR(AF272=1,AF273=1,AF274=1),AL272-AS272,AL272))</f>
        <v>0</v>
      </c>
      <c r="BN272" s="602">
        <f>IF(AF272=0,0,AM272)</f>
        <v>0</v>
      </c>
      <c r="BP272" s="419" t="s">
        <v>262</v>
      </c>
    </row>
    <row r="273" spans="1:109" s="419" customFormat="1" ht="15" customHeight="1" x14ac:dyDescent="0.2">
      <c r="B273" s="369" t="s">
        <v>1611</v>
      </c>
      <c r="C273" s="1554"/>
      <c r="D273" s="1554"/>
      <c r="E273" s="1554"/>
      <c r="F273" s="1554"/>
      <c r="G273" s="1554"/>
      <c r="H273" s="1554"/>
      <c r="I273" s="1554"/>
      <c r="J273" s="1554"/>
      <c r="K273" s="1554"/>
      <c r="L273" s="1554"/>
      <c r="M273" s="1554"/>
      <c r="N273" s="1554"/>
      <c r="O273" s="613"/>
      <c r="P273" s="622"/>
      <c r="S273" s="369">
        <f>IF(C273="",0,C273)</f>
        <v>0</v>
      </c>
      <c r="T273" s="369">
        <f>IF(E273&lt;&gt;C273,E273,IF(AND(E274&lt;&gt;C274,S272&gt;1),S272,0))</f>
        <v>0</v>
      </c>
      <c r="U273" s="369">
        <f>IF(G273&lt;&gt;E273,G273,IF(AND(G274&lt;&gt;E274,T272&gt;1),T272,0))</f>
        <v>0</v>
      </c>
      <c r="V273" s="369">
        <f>IF(I273&lt;&gt;G273,I273,IF(AND(I274&lt;&gt;G274,U272&gt;1),U272,0))</f>
        <v>0</v>
      </c>
      <c r="W273" s="369">
        <f>IF(K273&lt;&gt;I273,K273,IF(AND(K274&lt;&gt;I274,V272&gt;1),V272,0))</f>
        <v>0</v>
      </c>
      <c r="X273" s="369">
        <f>IF(M273&lt;&gt;K273,M273,IF(AND(M274&lt;&gt;K274,W272&gt;1),W272,0))</f>
        <v>0</v>
      </c>
      <c r="Z273" s="599"/>
      <c r="AA273" s="607">
        <f>IF(C273&gt;1,1,0)</f>
        <v>0</v>
      </c>
      <c r="AB273" s="369">
        <f t="shared" si="35"/>
        <v>0</v>
      </c>
      <c r="AC273" s="369">
        <f t="shared" si="35"/>
        <v>0</v>
      </c>
      <c r="AD273" s="369">
        <f t="shared" si="35"/>
        <v>0</v>
      </c>
      <c r="AE273" s="369">
        <f t="shared" si="35"/>
        <v>0</v>
      </c>
      <c r="AF273" s="369">
        <f t="shared" si="35"/>
        <v>0</v>
      </c>
      <c r="AH273" s="602">
        <f>IF(S273=1,0,IF(S273=2,0.17,IF(S273=3,0.25,IF(S273=4,0.35,0))))</f>
        <v>0</v>
      </c>
      <c r="AI273" s="602">
        <f>IF(T273=1,0,IF(T273=2,0.15,IF(T273=3,0.23,IF(T273=4,0.31,0))))</f>
        <v>0</v>
      </c>
      <c r="AJ273" s="602">
        <f>IF(U273=1,0,IF(U273=2,0.13,IF(U273=3,0.2,IF(U273=4,0.27,0))))</f>
        <v>0</v>
      </c>
      <c r="AK273" s="602">
        <f>IF(V273=1,0,IF(V273=2,0.11,IF(V273=3,0.17,IF(V273=4,0.22,0))))</f>
        <v>0</v>
      </c>
      <c r="AL273" s="602">
        <f>IF(W273=1,0,IF(W273=2,0.08,IF(W273=3,0.12,IF(W273=4,0.16,0))))</f>
        <v>0</v>
      </c>
      <c r="AM273" s="602">
        <f>IF(X273=1,0,IF(X273=2,0.05,IF(X273=3,0.07,IF(X273=4,0.1,0))))</f>
        <v>0</v>
      </c>
      <c r="AN273" s="603"/>
      <c r="AO273" s="602">
        <f>IF(S273=1,0,IF(S273=2,0.15,IF(S273=3,0.23,IF(S273=4,0.31,0))))</f>
        <v>0</v>
      </c>
      <c r="AP273" s="602">
        <f>IF(T273=1,0,IF(T273=2,0.13,IF(T273=3,0.2,IF(T273=4,0.27,0))))</f>
        <v>0</v>
      </c>
      <c r="AQ273" s="602">
        <f>IF(U273=1,0,IF(U273=2,0.11,IF(U273=3,0.17,IF(U273=4,0.22,0))))</f>
        <v>0</v>
      </c>
      <c r="AR273" s="602">
        <f>IF(V273=1,0,IF(V273=2,0.08,IF(V273=3,0.12,IF(V273=4,0.16,0))))</f>
        <v>0</v>
      </c>
      <c r="AS273" s="602">
        <f>IF(W273=1,0,IF(W273=2,0.05,IF(W273=3,0.07,IF(W273=4,0.1,0))))</f>
        <v>0</v>
      </c>
      <c r="AU273" s="602">
        <f>IF(S273=1,0,IF(S273=2,0.13,IF(S273=3,0.2,IF(S273=4,0.27,0))))</f>
        <v>0</v>
      </c>
      <c r="AV273" s="602">
        <f>IF(T273=1,0,IF(T273=2,0.11,IF(T273=3,0.17,IF(T273=4,0.22,0))))</f>
        <v>0</v>
      </c>
      <c r="AW273" s="602">
        <f>IF(U273=1,0,IF(U273=2,0.08,IF(U273=3,0.12,IF(U273=4,0.16,0))))</f>
        <v>0</v>
      </c>
      <c r="AX273" s="602">
        <f>IF(V273=1,0,IF(V273=2,0.05,IF(V273=3,0.07,IF(V273=4,0.1,0))))</f>
        <v>0</v>
      </c>
      <c r="AZ273" s="602">
        <f>IF(S273=1,0,IF(S273=2,0.11,IF(S273=3,0.17,IF(S273=4,0.22,0))))</f>
        <v>0</v>
      </c>
      <c r="BA273" s="602">
        <f>IF(T273=1,0,IF(T273=2,0.08,IF(T273=3,0.12,IF(T273=4,0.16,0))))</f>
        <v>0</v>
      </c>
      <c r="BB273" s="602">
        <f>IF(U273=1,0,IF(U273=2,0.05,IF(U273=3,0.07,IF(U273=4,0.1,0))))</f>
        <v>0</v>
      </c>
      <c r="BD273" s="602">
        <f>IF(S273=1,0,IF(S273=2,0.08,IF(S273=3,0.12,IF(S273=4,0.16,0))))</f>
        <v>0</v>
      </c>
      <c r="BE273" s="602">
        <f>IF(T273=1,0,IF(T273=2,0.05,IF(T273=3,0.07,IF(T273=4,0.1,0))))</f>
        <v>0</v>
      </c>
      <c r="BG273" s="602">
        <f>IF(S273=1,0,IF(S273=2,0.05,IF(S273=3,0.07,IF(S273=4,0.1,0))))</f>
        <v>0</v>
      </c>
      <c r="BI273" s="602">
        <f>IF(AA273=0,0,IF(OR(AB272=1,AB273=1),AH273-AO273,IF(OR(AC272=1,AC273=1),AH273-AU273,IF(OR(AD272=1,AD273=1),AH273-AZ273,IF(OR(AE272=1,AE273=1),AH273-BD273,IF(OR(AF272=1,AF273=1),AH273-BG273,AH273))))))</f>
        <v>0</v>
      </c>
      <c r="BJ273" s="602">
        <f>IF(AB273=0,0,IF(OR(AC272=1,AC273=1),AI273-AP273,IF(OR(AD272=1,AD273=1),AI273-AV273,IF(OR(AE272=1,AE273=1),AI273-BA273,IF(OR(AF272=1,AF273=1),AI273-BE273,AI273)))))</f>
        <v>0</v>
      </c>
      <c r="BK273" s="602">
        <f>IF(AC273=0,0,IF(OR(AD272=1,AD273=1),AJ273-AQ273,IF(OR(AE272=1,AE273=1),AJ273-AW273,IF(OR(AF272=1,AF273=1),AJ273-BB273,AJ273))))</f>
        <v>0</v>
      </c>
      <c r="BL273" s="602">
        <f>IF(AD273=0,0,IF(OR(AE272=1,AE273=1),AK273-AR273,IF(OR(AF272=1,AF273=1),AK273-AX273,AK273)))</f>
        <v>0</v>
      </c>
      <c r="BM273" s="602">
        <f>IF(AE273=0,0,IF(OR(AF272=1,AF273=1),AL273-AS273,AL273))</f>
        <v>0</v>
      </c>
      <c r="BN273" s="602">
        <f>IF(AF273=0,0,AM273)</f>
        <v>0</v>
      </c>
      <c r="BP273" s="608">
        <f>LARGE((BI272,BJ272,BK272,BL272,BM272,BN272,BI273,BJ273,BK273,BL273,BM273,BN273,BI274,BJ274,BK274,BL274,BM274,BN274),1)</f>
        <v>0</v>
      </c>
      <c r="BQ273" s="609">
        <f>LARGE((BI272,BJ272,BK272,BL272,BM272,BN272,BI273,BJ273,BK273,BL273,BM273,BN273,BI274,BJ274,BK274,BL274,BM274,BN274),2)</f>
        <v>0</v>
      </c>
      <c r="BR273" s="609">
        <f>LARGE((BI272,BJ272,BK272,BL272,BM272,BN272,BI273,BJ273,BK273,BL273,BM273,BN273,BI274,BJ274,BK274,BL274,BM274,BN274),3)</f>
        <v>0</v>
      </c>
      <c r="BS273" s="609">
        <f>LARGE((BI272,BJ272,BK272,BL272,BM272,BN272,BI273,BJ273,BK273,BL273,BM273,BN273,BI274,BJ274,BK274,BL274,BM274,BN274),4)</f>
        <v>0</v>
      </c>
      <c r="BT273" s="609">
        <f>LARGE((BI272,BJ272,BK272,BL272,BM272,BN272,BI273,BJ273,BK273,BL273,BM273,BN273,BI274,BJ274,BK274,BL274,BM274,BN274),5)</f>
        <v>0</v>
      </c>
      <c r="BU273" s="609">
        <f>LARGE((BI272,BJ272,BK272,BL272,BM272,BN272,BI273,BJ273,BK273,BL273,BM273,BN273,BI274,BJ274,BK274,BL274,BM274,BN274),6)</f>
        <v>0</v>
      </c>
      <c r="BV273" s="609">
        <f>LARGE((BI272,BJ272,BK272,BL272,BM272,BN272,BI273,BJ273,BK273,BL273,BM273,BN273,BI274,BJ274,BK274,BL274,BM274,BN274),7)</f>
        <v>0</v>
      </c>
      <c r="BW273" s="609">
        <f>LARGE((BI272,BJ272,BK272,BL272,BM272,BN272,BI273,BJ273,BK273,BL273,BM273,BN273,BI274,BJ274,BK274,BL274,BM274,BN274),8)</f>
        <v>0</v>
      </c>
      <c r="BX273" s="609">
        <f>LARGE((BI272,BJ272,BK272,BL272,BM272,BN272,BI273,BJ273,BK273,BL273,BM273,BN273,BI274,BJ274,BK274,BL274,BM274,BN274),9)</f>
        <v>0</v>
      </c>
      <c r="BY273" s="609">
        <f>LARGE((BI272,BJ272,BK272,BL272,BM272,BN272,BI273,BJ273,BK273,BL273,BM273,BN273,BI274,BJ274,BK274,BL274,BM274,BN274),10)</f>
        <v>0</v>
      </c>
      <c r="BZ273" s="609">
        <f>LARGE((BI272,BJ272,BK272,BL272,BM272,BN272,BI273,BJ273,BK273,BL273,BM273,BN273,BI274,BJ274,BK274,BL274,BM274,BN274),11)</f>
        <v>0</v>
      </c>
      <c r="CA273" s="609">
        <f>LARGE((BI272,BJ272,BK272,BL272,BM272,BN272,BI273,BJ273,BK273,BL273,BM273,BN273,BI274,BJ274,BK274,BL274,BM274,BN274),12)</f>
        <v>0</v>
      </c>
    </row>
    <row r="274" spans="1:109" s="419" customFormat="1" ht="15" customHeight="1" x14ac:dyDescent="0.2">
      <c r="B274" s="606" t="s">
        <v>1614</v>
      </c>
      <c r="C274" s="1636"/>
      <c r="D274" s="1636"/>
      <c r="E274" s="1636"/>
      <c r="F274" s="1636"/>
      <c r="G274" s="1636"/>
      <c r="H274" s="1636"/>
      <c r="I274" s="1636"/>
      <c r="J274" s="1636"/>
      <c r="K274" s="1636"/>
      <c r="L274" s="1636"/>
      <c r="M274" s="1636"/>
      <c r="N274" s="1636"/>
      <c r="O274" s="613"/>
      <c r="P274" s="622"/>
      <c r="S274" s="369">
        <f>IF(C274="",0,C274)</f>
        <v>0</v>
      </c>
      <c r="T274" s="369">
        <f>IF(E274&lt;&gt;C274,E274,IF(AND(E273&lt;&gt;C273,S272&gt;1),S272,0))</f>
        <v>0</v>
      </c>
      <c r="U274" s="369">
        <f>IF(G274&lt;&gt;E274,G274,IF(AND(G273&lt;&gt;E273,T272&gt;1),T272,0))</f>
        <v>0</v>
      </c>
      <c r="V274" s="369">
        <f>IF(I274&lt;&gt;G274,I274,IF(AND(I273&lt;&gt;G273,U272&gt;1),U272,0))</f>
        <v>0</v>
      </c>
      <c r="W274" s="369">
        <f>IF(K274&lt;&gt;I274,K274,IF(AND(K273&lt;&gt;I273,V272&gt;1),V272,0))</f>
        <v>0</v>
      </c>
      <c r="X274" s="369">
        <f>IF(M274&lt;&gt;K274,M274,IF(AND(M273&lt;&gt;K273,W272&gt;1),W272,0))</f>
        <v>0</v>
      </c>
      <c r="AA274" s="607">
        <f>IF(C274&gt;1,1,0)</f>
        <v>0</v>
      </c>
      <c r="AB274" s="369">
        <f t="shared" si="35"/>
        <v>0</v>
      </c>
      <c r="AC274" s="369">
        <f t="shared" si="35"/>
        <v>0</v>
      </c>
      <c r="AD274" s="369">
        <f t="shared" si="35"/>
        <v>0</v>
      </c>
      <c r="AE274" s="369">
        <f t="shared" si="35"/>
        <v>0</v>
      </c>
      <c r="AF274" s="369">
        <f t="shared" si="35"/>
        <v>0</v>
      </c>
      <c r="AH274" s="602">
        <f>IF(S274=1,0,IF(S274=2,0.1,IF(S274=3,0.17,IF(S274=4,0.23,0))))</f>
        <v>0</v>
      </c>
      <c r="AI274" s="602">
        <f>IF(T274=1,0,IF(T274=2,0.09,IF(T274=3,0.15,IF(T274=4,0.2,0))))</f>
        <v>0</v>
      </c>
      <c r="AJ274" s="602">
        <f>IF(U274=1,0,IF(U274=2,0.08,IF(U274=3,0.13,IF(U274=4,0.17,0))))</f>
        <v>0</v>
      </c>
      <c r="AK274" s="602">
        <f>IF(V274=1,0,IF(V274=2,0.07,IF(V274=3,0.1,IF(V274=4,0.14,0))))</f>
        <v>0</v>
      </c>
      <c r="AL274" s="602">
        <f>IF(W274=1,0,IF(W274=2,0.05,IF(W274=3,0.08,IF(W274=4,0.1,0))))</f>
        <v>0</v>
      </c>
      <c r="AM274" s="602">
        <f>IF(X274=1,0,IF(X274=2,0.03,IF(X274=3,0.05,IF(X274=4,0.06,0))))</f>
        <v>0</v>
      </c>
      <c r="AN274" s="603"/>
      <c r="AO274" s="602">
        <f>IF(S274=1,0,IF(S274=2,0.09,IF(S274=3,0.15,IF(S274=4,0.2,0))))</f>
        <v>0</v>
      </c>
      <c r="AP274" s="602">
        <f>IF(T274=1,0,IF(T274=2,0.08,IF(T274=3,0.13,IF(T274=4,0.17,0))))</f>
        <v>0</v>
      </c>
      <c r="AQ274" s="602">
        <f>IF(U274=1,0,IF(U274=2,0.07,IF(U274=3,0.1,IF(U274=4,0.14,0))))</f>
        <v>0</v>
      </c>
      <c r="AR274" s="602">
        <f>IF(V274=1,0,IF(V274=2,0.05,IF(V274=3,0.08,IF(V274=4,0.1,0))))</f>
        <v>0</v>
      </c>
      <c r="AS274" s="602">
        <f>IF(W274=1,0,IF(W274=2,0.03,IF(W274=3,0.05,IF(W274=4,0.06,0))))</f>
        <v>0</v>
      </c>
      <c r="AU274" s="602">
        <f>IF(S274=1,0,IF(S274=2,0.08,IF(S274=3,0.13,IF(S274=4,0.17,0))))</f>
        <v>0</v>
      </c>
      <c r="AV274" s="602">
        <f>IF(T274=1,0,IF(T274=2,0.07,IF(T274=3,0.1,IF(T274=4,0.14,0))))</f>
        <v>0</v>
      </c>
      <c r="AW274" s="602">
        <f>IF(U274=1,0,IF(U274=2,0.05,IF(U274=3,0.08,IF(U274=4,0.1,0))))</f>
        <v>0</v>
      </c>
      <c r="AX274" s="602">
        <f>IF(V274=1,0,IF(V274=2,0.03,IF(V274=3,0.05,IF(V274=4,0.06,0))))</f>
        <v>0</v>
      </c>
      <c r="AZ274" s="602">
        <f>IF(S274=1,0,IF(S274=2,0.07,IF(S274=3,0.1,IF(S274=4,0.14,0))))</f>
        <v>0</v>
      </c>
      <c r="BA274" s="602">
        <f>IF(T274=1,0,IF(T274=2,0.05,IF(T274=3,0.08,IF(T274=4,0.1,0))))</f>
        <v>0</v>
      </c>
      <c r="BB274" s="602">
        <f>IF(U274=1,0,IF(U274=2,0.03,IF(U274=3,0.05,IF(U274=4,0.06,0))))</f>
        <v>0</v>
      </c>
      <c r="BD274" s="602">
        <f>IF(S274=1,0,IF(S274=2,0.05,IF(S274=3,0.08,IF(S274=4,0.1,0))))</f>
        <v>0</v>
      </c>
      <c r="BE274" s="602">
        <f>IF(T274=1,0,IF(T274=2,0.03,IF(T274=3,0.05,IF(T274=4,0.06,0))))</f>
        <v>0</v>
      </c>
      <c r="BG274" s="602">
        <f>IF(S274=1,0,IF(S274=2,0.03,IF(S274=3,0.05,IF(S274=4,0.06,0))))</f>
        <v>0</v>
      </c>
      <c r="BI274" s="602">
        <f>IF(AA274=0,0,IF(OR(AB272=1,AB274=1),AH274-AO274,IF(OR(AC272=1,AC274=1),AH274-AU274,IF(OR(AD272=1,AD274=1),AH274-AZ274,IF(OR(AE272=1,AE274=1),AH274-BD274,IF(OR(AF272=1,AF274=1),AH274-BG274,AH274))))))</f>
        <v>0</v>
      </c>
      <c r="BJ274" s="602">
        <f>IF(AB274=0,0,IF(OR(AC272=1,AC274=1),AI274-AP274,IF(OR(AD272=1,AD274=1),AI274-AV274,IF(OR(AE272=1,AE274=1),AI274-BA274,IF(OR(AF272=1,AF274=1),AI274-BE274,AI274)))))</f>
        <v>0</v>
      </c>
      <c r="BK274" s="602">
        <f>IF(AC274=0,0,IF(OR(AD272=1,AD274=1),AJ274-AQ274,IF(OR(AE272=1,AE274=1),AJ274-AW274,IF(OR(AF272=1,AF274=1),AJ274-BB274,AJ274))))</f>
        <v>0</v>
      </c>
      <c r="BL274" s="602">
        <f>IF(AD274=0,0,IF(OR(AE272=1,AE274=1),AK274-AR274,IF(OR(AF272=1,AF274=1),AK274-AX274,AK274)))</f>
        <v>0</v>
      </c>
      <c r="BM274" s="602">
        <f>IF(AE274=0,0,IF(OR(AF272=1,AF274=1),AL274-AS274,AL274))</f>
        <v>0</v>
      </c>
      <c r="BN274" s="602">
        <f>IF(AF274=0,0,AM274)</f>
        <v>0</v>
      </c>
      <c r="BP274" s="610">
        <f>ROUND(BP273+BQ273*(1-BP273),2)</f>
        <v>0</v>
      </c>
      <c r="BQ274" s="610">
        <f t="shared" ref="BQ274:BZ274" si="36">ROUND(BP274+BR273*(1-BP274),2)</f>
        <v>0</v>
      </c>
      <c r="BR274" s="610">
        <f t="shared" si="36"/>
        <v>0</v>
      </c>
      <c r="BS274" s="610">
        <f t="shared" si="36"/>
        <v>0</v>
      </c>
      <c r="BT274" s="610">
        <f t="shared" si="36"/>
        <v>0</v>
      </c>
      <c r="BU274" s="610">
        <f t="shared" si="36"/>
        <v>0</v>
      </c>
      <c r="BV274" s="610">
        <f t="shared" si="36"/>
        <v>0</v>
      </c>
      <c r="BW274" s="610">
        <f t="shared" si="36"/>
        <v>0</v>
      </c>
      <c r="BX274" s="610">
        <f t="shared" si="36"/>
        <v>0</v>
      </c>
      <c r="BY274" s="610">
        <f t="shared" si="36"/>
        <v>0</v>
      </c>
      <c r="BZ274" s="610">
        <f t="shared" si="36"/>
        <v>0</v>
      </c>
      <c r="CA274" s="607"/>
    </row>
    <row r="275" spans="1:109" s="419" customFormat="1" ht="15" customHeight="1" x14ac:dyDescent="0.2">
      <c r="B275" s="1593" t="str">
        <f>IF(AD275=1,"ERROR: If radial or ulnar impairment is recorded, do not enter losses for 'both sides.'","")</f>
        <v/>
      </c>
      <c r="C275" s="1594"/>
      <c r="D275" s="1594"/>
      <c r="E275" s="1594"/>
      <c r="F275" s="1594"/>
      <c r="G275" s="1594"/>
      <c r="H275" s="1594"/>
      <c r="I275" s="1594"/>
      <c r="J275" s="1594"/>
      <c r="K275" s="1594"/>
      <c r="L275" s="1594"/>
      <c r="M275" s="1594"/>
      <c r="N275" s="1594"/>
      <c r="O275" s="1595"/>
      <c r="P275" s="303">
        <f>IF(B275&lt;&gt;"","ERROR",BZ274)</f>
        <v>0</v>
      </c>
      <c r="S275" s="599"/>
      <c r="T275" s="599"/>
      <c r="U275" s="599"/>
      <c r="V275" s="599"/>
      <c r="W275" s="599"/>
      <c r="AA275" s="369">
        <f>SUM(AA272:AF272)</f>
        <v>0</v>
      </c>
      <c r="AB275" s="369">
        <f>SUM(AA273:AF273)</f>
        <v>0</v>
      </c>
      <c r="AC275" s="369">
        <f>SUM(AA274:AF274)</f>
        <v>0</v>
      </c>
      <c r="AD275" s="369">
        <f>IF(AND(AA275&gt;0,AB275&gt;0),1,IF(AND(AA275&gt;0,AC275&gt;0),1,0))</f>
        <v>0</v>
      </c>
      <c r="AE275" s="599"/>
      <c r="AF275" s="599"/>
    </row>
    <row r="276" spans="1:109" ht="12" customHeight="1" x14ac:dyDescent="0.2">
      <c r="B276" s="225"/>
      <c r="C276" s="225"/>
      <c r="D276" s="225"/>
      <c r="E276" s="225"/>
      <c r="F276" s="225"/>
      <c r="G276" s="225"/>
      <c r="H276" s="225"/>
      <c r="I276" s="225"/>
      <c r="J276" s="225"/>
      <c r="K276" s="225"/>
      <c r="L276" s="225"/>
      <c r="M276" s="225"/>
      <c r="N276" s="225"/>
      <c r="O276" s="225"/>
      <c r="P276" s="182"/>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row>
    <row r="277" spans="1:109" x14ac:dyDescent="0.2">
      <c r="B277" s="256" t="s">
        <v>1233</v>
      </c>
      <c r="C277" s="1555" t="s">
        <v>1371</v>
      </c>
      <c r="D277" s="1555"/>
      <c r="E277" s="1555"/>
      <c r="F277" s="1555"/>
      <c r="G277" s="1555"/>
      <c r="H277" s="1534" t="s">
        <v>1796</v>
      </c>
      <c r="I277" s="1534"/>
      <c r="J277" s="1534"/>
      <c r="K277" s="42"/>
      <c r="L277" s="1534" t="s">
        <v>1234</v>
      </c>
      <c r="M277" s="1534"/>
      <c r="N277" s="1534"/>
      <c r="O277" s="1534"/>
      <c r="P277" s="1373">
        <f>V279</f>
        <v>0</v>
      </c>
      <c r="R277" s="18"/>
      <c r="S277" s="704" t="s">
        <v>1597</v>
      </c>
      <c r="T277" s="704" t="s">
        <v>1305</v>
      </c>
      <c r="U277" s="704" t="s">
        <v>1306</v>
      </c>
      <c r="V277" s="704" t="s">
        <v>1307</v>
      </c>
      <c r="AA277" s="18"/>
      <c r="AB277" s="18"/>
      <c r="AC277" s="18"/>
      <c r="AD277" s="18"/>
      <c r="AE277" s="18"/>
      <c r="AF277" s="18"/>
      <c r="AG277" s="18"/>
      <c r="AH277" s="18"/>
      <c r="AI277" s="18"/>
      <c r="AJ277" s="18"/>
      <c r="AK277" s="18"/>
      <c r="AL277" s="18"/>
      <c r="AM277" s="18"/>
      <c r="AN277" s="18"/>
      <c r="AO277" s="18"/>
      <c r="AP277" s="18"/>
      <c r="AQ277" s="18"/>
      <c r="AR277" s="18"/>
      <c r="AS277" s="18"/>
      <c r="AT277" s="18"/>
    </row>
    <row r="278" spans="1:109" ht="15" customHeight="1" x14ac:dyDescent="0.2">
      <c r="B278" s="185" t="s">
        <v>1288</v>
      </c>
      <c r="C278" s="1542"/>
      <c r="D278" s="1542"/>
      <c r="E278" s="1542"/>
      <c r="F278" s="1542"/>
      <c r="G278" s="1542"/>
      <c r="H278" s="1545">
        <f>IF(C278=$X$127,0.09,IF(C278=$Y$127,0.18,IF(C278=$Z$127,0.27,0)))</f>
        <v>0</v>
      </c>
      <c r="I278" s="1545"/>
      <c r="J278" s="1545"/>
      <c r="K278" s="185"/>
      <c r="L278" s="1542"/>
      <c r="M278" s="1542"/>
      <c r="N278" s="1542"/>
      <c r="O278" s="26">
        <f>IF(H278&gt;=S278,H278-S278,0)</f>
        <v>0</v>
      </c>
      <c r="P278" s="1373"/>
      <c r="R278" s="18"/>
      <c r="S278" s="776">
        <f>IF(L278=$Y$128,0.09,IF(L278=$Z$128,0.18,IF(L278=$AA$128,0.27,0)))</f>
        <v>0</v>
      </c>
      <c r="T278" s="776">
        <f>LARGE(O278:O280,1)</f>
        <v>0</v>
      </c>
      <c r="U278" s="684">
        <f>T278+T279*(1-T278)</f>
        <v>0</v>
      </c>
      <c r="V278" s="791">
        <f>ROUND(U278,2)</f>
        <v>0</v>
      </c>
      <c r="W278" s="1487" t="s">
        <v>2197</v>
      </c>
      <c r="X278" s="1487"/>
      <c r="Y278" s="1487"/>
      <c r="Z278" s="1487"/>
      <c r="AA278" s="18"/>
      <c r="AB278" s="18"/>
      <c r="AC278" s="18"/>
      <c r="AD278" s="18"/>
      <c r="AE278" s="18"/>
      <c r="AF278" s="18"/>
      <c r="AG278" s="18"/>
      <c r="AH278" s="18"/>
      <c r="AI278" s="18"/>
      <c r="AJ278" s="18"/>
      <c r="AK278" s="18"/>
      <c r="AL278" s="18"/>
      <c r="AM278" s="18"/>
      <c r="AN278" s="18"/>
      <c r="AO278" s="18"/>
      <c r="AP278" s="18"/>
      <c r="AQ278" s="18"/>
      <c r="AR278" s="18"/>
      <c r="AS278" s="18"/>
      <c r="AT278" s="18"/>
    </row>
    <row r="279" spans="1:109" ht="15" customHeight="1" x14ac:dyDescent="0.2">
      <c r="B279" s="256" t="s">
        <v>1289</v>
      </c>
      <c r="C279" s="1542"/>
      <c r="D279" s="1542"/>
      <c r="E279" s="1542"/>
      <c r="F279" s="1542"/>
      <c r="G279" s="1542"/>
      <c r="H279" s="1545">
        <f>IF(C279=$X$127,0.16,IF(C279=$Y$127,0.32,IF(C279=$Z$127,0.48,0)))</f>
        <v>0</v>
      </c>
      <c r="I279" s="1545"/>
      <c r="J279" s="1545"/>
      <c r="K279" s="185"/>
      <c r="L279" s="1542"/>
      <c r="M279" s="1542"/>
      <c r="N279" s="1542"/>
      <c r="O279" s="26">
        <f>IF(H279&gt;=S279,H279-S279,0)</f>
        <v>0</v>
      </c>
      <c r="P279" s="1373"/>
      <c r="R279" s="18"/>
      <c r="S279" s="776">
        <f>IF(L279=$Y$128,0.16,IF(L279=$Z$128,0.32,IF(L279=$AA$128,0.48,0)))</f>
        <v>0</v>
      </c>
      <c r="T279" s="776">
        <f>LARGE(O278:O280,2)</f>
        <v>0</v>
      </c>
      <c r="U279" s="684">
        <f>V278+T280*(1-V278)</f>
        <v>0</v>
      </c>
      <c r="V279" s="791">
        <f>ROUND(U279,2)</f>
        <v>0</v>
      </c>
      <c r="W279" s="769"/>
      <c r="X279" s="769" t="s">
        <v>1237</v>
      </c>
      <c r="Y279" s="769" t="s">
        <v>1238</v>
      </c>
      <c r="Z279" s="769" t="s">
        <v>1239</v>
      </c>
      <c r="AA279" s="769"/>
      <c r="AB279" s="18"/>
      <c r="AC279" s="18"/>
      <c r="AD279" s="18"/>
      <c r="AE279" s="18"/>
      <c r="AF279" s="18"/>
      <c r="AG279" s="18"/>
      <c r="AH279" s="18"/>
      <c r="AI279" s="18"/>
      <c r="AJ279" s="18"/>
      <c r="AK279" s="18"/>
      <c r="AL279" s="18"/>
      <c r="AM279" s="18"/>
      <c r="AN279" s="18"/>
      <c r="AO279" s="18"/>
      <c r="AP279" s="18"/>
      <c r="AQ279" s="18"/>
      <c r="AR279" s="18"/>
      <c r="AS279" s="18"/>
      <c r="AT279" s="18"/>
    </row>
    <row r="280" spans="1:109" ht="15" customHeight="1" x14ac:dyDescent="0.2">
      <c r="B280" s="256" t="s">
        <v>1290</v>
      </c>
      <c r="C280" s="1542"/>
      <c r="D280" s="1542"/>
      <c r="E280" s="1542"/>
      <c r="F280" s="1542"/>
      <c r="G280" s="1542"/>
      <c r="H280" s="1545">
        <f>IF(C280=$X$127,0.2,IF(C280=$Y$127,0.4,IF(C280=$Z$127,0.6,0)))</f>
        <v>0</v>
      </c>
      <c r="I280" s="1545"/>
      <c r="J280" s="1545"/>
      <c r="K280" s="185"/>
      <c r="L280" s="1542"/>
      <c r="M280" s="1542"/>
      <c r="N280" s="1542"/>
      <c r="O280" s="26">
        <f>IF(H280&gt;=S280,H280-S280,0)</f>
        <v>0</v>
      </c>
      <c r="P280" s="1373"/>
      <c r="R280" s="18"/>
      <c r="S280" s="776">
        <f>IF(L280=$Y$128,0.2,IF(L280=$Z$128,0.4,IF(L280=$AA$128,0.6,0)))</f>
        <v>0</v>
      </c>
      <c r="T280" s="776">
        <f>LARGE(O278:O280,3)</f>
        <v>0</v>
      </c>
      <c r="U280" s="18"/>
      <c r="V280" s="18"/>
      <c r="W280" s="769"/>
      <c r="X280" s="769" t="s">
        <v>523</v>
      </c>
      <c r="Y280" s="769" t="s">
        <v>915</v>
      </c>
      <c r="Z280" s="776" t="s">
        <v>1803</v>
      </c>
      <c r="AA280" s="769" t="s">
        <v>1672</v>
      </c>
      <c r="AB280" s="18"/>
      <c r="AC280" s="18"/>
      <c r="AD280" s="18"/>
      <c r="AE280" s="18"/>
      <c r="AF280" s="18"/>
      <c r="AG280" s="18"/>
      <c r="AH280" s="18"/>
      <c r="AI280" s="18"/>
      <c r="AJ280" s="18"/>
      <c r="AK280" s="18"/>
      <c r="AL280" s="18"/>
      <c r="AM280" s="18"/>
      <c r="AN280" s="18"/>
      <c r="AO280" s="18"/>
      <c r="AP280" s="18"/>
      <c r="AQ280" s="18"/>
      <c r="AR280" s="18"/>
      <c r="AS280" s="18"/>
      <c r="AT280" s="18"/>
    </row>
    <row r="281" spans="1:109" ht="12" customHeight="1" x14ac:dyDescent="0.2">
      <c r="B281" s="1578"/>
      <c r="C281" s="1578"/>
      <c r="D281" s="1578"/>
      <c r="E281" s="1578"/>
      <c r="F281" s="1578"/>
      <c r="G281" s="1578"/>
      <c r="H281" s="1578"/>
      <c r="I281" s="1578"/>
      <c r="J281" s="1578"/>
      <c r="K281" s="1578"/>
      <c r="L281" s="1578"/>
      <c r="M281" s="1578"/>
      <c r="N281" s="1578"/>
      <c r="O281" s="1578"/>
      <c r="P281" s="191"/>
      <c r="R281" s="18"/>
      <c r="S281" s="19"/>
      <c r="T281" s="19"/>
      <c r="U281" s="18"/>
      <c r="V281" s="18"/>
      <c r="W281" s="18"/>
      <c r="X281" s="18"/>
      <c r="Y281" s="18"/>
      <c r="Z281" s="19"/>
      <c r="AA281" s="18"/>
      <c r="AB281" s="18"/>
      <c r="AC281" s="18"/>
      <c r="AD281" s="18"/>
      <c r="AE281" s="18"/>
      <c r="AF281" s="18"/>
      <c r="AG281" s="18"/>
      <c r="AH281" s="18"/>
      <c r="AI281" s="18"/>
      <c r="AJ281" s="18"/>
      <c r="AK281" s="18"/>
      <c r="AL281" s="18"/>
      <c r="AM281" s="18"/>
      <c r="AN281" s="18"/>
      <c r="AO281" s="18"/>
      <c r="AP281" s="18"/>
      <c r="AQ281" s="18"/>
      <c r="AR281" s="18"/>
      <c r="AS281" s="18"/>
      <c r="AT281" s="18"/>
    </row>
    <row r="282" spans="1:109" ht="15" customHeight="1" x14ac:dyDescent="0.2">
      <c r="A282" s="189"/>
      <c r="B282" s="1591" t="s">
        <v>968</v>
      </c>
      <c r="C282" s="1539"/>
      <c r="D282" s="1540"/>
      <c r="E282" s="1357" t="s">
        <v>573</v>
      </c>
      <c r="F282" s="1358"/>
      <c r="G282" s="1358"/>
      <c r="H282" s="1358"/>
      <c r="I282" s="1358"/>
      <c r="J282" s="1358"/>
      <c r="K282" s="1358"/>
      <c r="L282" s="1358"/>
      <c r="M282" s="1358"/>
      <c r="N282" s="1358"/>
      <c r="O282" s="1359"/>
      <c r="P282" s="303">
        <f>IF(T282=1,0.15,0)</f>
        <v>0</v>
      </c>
      <c r="R282" s="1557" t="s">
        <v>2197</v>
      </c>
      <c r="S282" s="706" t="b">
        <v>0</v>
      </c>
      <c r="T282" s="769">
        <f>IF(S282=TRUE,1,0)</f>
        <v>0</v>
      </c>
      <c r="U282" s="18"/>
      <c r="V282" s="18"/>
      <c r="W282" s="18"/>
      <c r="X282" s="18"/>
      <c r="Y282" s="18"/>
      <c r="Z282" s="18"/>
      <c r="AA282" s="18"/>
      <c r="AB282" s="18"/>
      <c r="AC282" s="18"/>
      <c r="AD282" s="18"/>
      <c r="AE282" s="18"/>
      <c r="AF282" s="18"/>
      <c r="AG282" s="18">
        <v>1E-4</v>
      </c>
      <c r="AH282" s="18"/>
      <c r="AI282" s="18"/>
      <c r="AJ282" s="18"/>
      <c r="AK282" s="18"/>
      <c r="AL282" s="18"/>
      <c r="AM282" s="18"/>
      <c r="AN282" s="18"/>
      <c r="AO282" s="18"/>
      <c r="AP282" s="18"/>
      <c r="AQ282" s="18"/>
      <c r="AR282" s="18"/>
      <c r="AS282" s="18"/>
      <c r="AT282" s="18"/>
    </row>
    <row r="283" spans="1:109" ht="15" customHeight="1" x14ac:dyDescent="0.2">
      <c r="B283" s="1591"/>
      <c r="C283" s="1539"/>
      <c r="D283" s="1540"/>
      <c r="E283" s="1357" t="s">
        <v>574</v>
      </c>
      <c r="F283" s="1358"/>
      <c r="G283" s="1358"/>
      <c r="H283" s="1358"/>
      <c r="I283" s="1358"/>
      <c r="J283" s="1358"/>
      <c r="K283" s="1358"/>
      <c r="L283" s="1358"/>
      <c r="M283" s="1358"/>
      <c r="N283" s="1358"/>
      <c r="O283" s="1359"/>
      <c r="P283" s="303">
        <f>IF(T283=1,0.25,0)</f>
        <v>0</v>
      </c>
      <c r="R283" s="1557"/>
      <c r="S283" s="706" t="b">
        <v>0</v>
      </c>
      <c r="T283" s="769">
        <f>IF(S283=TRUE,1,0)</f>
        <v>0</v>
      </c>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row>
    <row r="284" spans="1:109" ht="15" customHeight="1" x14ac:dyDescent="0.2">
      <c r="B284" s="1591"/>
      <c r="C284" s="1539"/>
      <c r="D284" s="1540"/>
      <c r="E284" s="1357" t="s">
        <v>788</v>
      </c>
      <c r="F284" s="1358"/>
      <c r="G284" s="1358"/>
      <c r="H284" s="1358"/>
      <c r="I284" s="1358"/>
      <c r="J284" s="1358"/>
      <c r="K284" s="1358"/>
      <c r="L284" s="1358"/>
      <c r="M284" s="1358"/>
      <c r="N284" s="1358"/>
      <c r="O284" s="1359"/>
      <c r="P284" s="303">
        <f>IF(T284=1,0.23,0)</f>
        <v>0</v>
      </c>
      <c r="R284" s="1557"/>
      <c r="S284" s="706" t="b">
        <v>0</v>
      </c>
      <c r="T284" s="769">
        <f>IF(S284=TRUE,1,0)</f>
        <v>0</v>
      </c>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row>
    <row r="285" spans="1:109" ht="12" customHeight="1" x14ac:dyDescent="0.2">
      <c r="B285" s="1395"/>
      <c r="C285" s="1395"/>
      <c r="D285" s="1395"/>
      <c r="E285" s="1395"/>
      <c r="F285" s="1395"/>
      <c r="G285" s="1395"/>
      <c r="H285" s="1395"/>
      <c r="I285" s="1395"/>
      <c r="J285" s="1395"/>
      <c r="K285" s="1395"/>
      <c r="L285" s="1395"/>
      <c r="M285" s="1395"/>
      <c r="N285" s="1395"/>
      <c r="O285" s="1395"/>
      <c r="P285" s="2"/>
      <c r="R285" s="18"/>
      <c r="S285" s="163"/>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row>
    <row r="286" spans="1:109" ht="15" customHeight="1" x14ac:dyDescent="0.2">
      <c r="B286" s="1541" t="s">
        <v>1253</v>
      </c>
      <c r="C286" s="1541"/>
      <c r="D286" s="1541"/>
      <c r="E286" s="1541"/>
      <c r="F286" s="1541"/>
      <c r="G286" s="1541"/>
      <c r="H286" s="1541"/>
      <c r="I286" s="1541"/>
      <c r="J286" s="1541"/>
      <c r="K286" s="1541"/>
      <c r="L286" s="1541"/>
      <c r="M286" s="1541"/>
      <c r="N286" s="1541"/>
      <c r="O286" s="388"/>
      <c r="P286" s="26">
        <f>SUMIF(T286:X286,O286,T287:X287)</f>
        <v>0</v>
      </c>
      <c r="R286" s="1561" t="s">
        <v>2197</v>
      </c>
      <c r="S286" s="1561"/>
      <c r="T286" s="769" t="s">
        <v>1969</v>
      </c>
      <c r="U286" s="769" t="s">
        <v>1970</v>
      </c>
      <c r="V286" s="776" t="s">
        <v>1972</v>
      </c>
      <c r="W286" s="769" t="s">
        <v>945</v>
      </c>
      <c r="X286" s="776" t="s">
        <v>558</v>
      </c>
      <c r="Y286" s="18"/>
      <c r="Z286" s="769" t="s">
        <v>1969</v>
      </c>
      <c r="AA286" s="769" t="s">
        <v>1970</v>
      </c>
      <c r="AB286" s="776" t="s">
        <v>1972</v>
      </c>
      <c r="AC286" s="769" t="s">
        <v>945</v>
      </c>
      <c r="AD286" s="776" t="s">
        <v>558</v>
      </c>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row>
    <row r="287" spans="1:109" ht="15" customHeight="1" x14ac:dyDescent="0.2">
      <c r="B287" s="1541" t="s">
        <v>1499</v>
      </c>
      <c r="C287" s="1541"/>
      <c r="D287" s="1541"/>
      <c r="E287" s="1541"/>
      <c r="F287" s="1541"/>
      <c r="G287" s="1541"/>
      <c r="H287" s="1541"/>
      <c r="I287" s="1541"/>
      <c r="J287" s="1541"/>
      <c r="K287" s="1541"/>
      <c r="L287" s="1541"/>
      <c r="M287" s="1541"/>
      <c r="N287" s="1541"/>
      <c r="O287" s="388"/>
      <c r="P287" s="26">
        <f>SUMIF(Z286:AD286,O287,Z287:AD287)</f>
        <v>0</v>
      </c>
      <c r="R287" s="1561"/>
      <c r="S287" s="1561"/>
      <c r="T287" s="776">
        <v>0.03</v>
      </c>
      <c r="U287" s="776">
        <v>0.15</v>
      </c>
      <c r="V287" s="776">
        <v>0.38</v>
      </c>
      <c r="W287" s="776">
        <v>0.68</v>
      </c>
      <c r="X287" s="776">
        <v>0.9</v>
      </c>
      <c r="Y287" s="18"/>
      <c r="Z287" s="776">
        <v>0.03</v>
      </c>
      <c r="AA287" s="776">
        <v>0.15</v>
      </c>
      <c r="AB287" s="776">
        <v>0.35</v>
      </c>
      <c r="AC287" s="776">
        <v>0.63</v>
      </c>
      <c r="AD287" s="776">
        <v>0.88</v>
      </c>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row>
    <row r="288" spans="1:109" ht="12" customHeight="1" x14ac:dyDescent="0.2">
      <c r="B288" s="1395"/>
      <c r="C288" s="1395"/>
      <c r="D288" s="1395"/>
      <c r="E288" s="1395"/>
      <c r="F288" s="1395"/>
      <c r="G288" s="1395"/>
      <c r="H288" s="1395"/>
      <c r="I288" s="1395"/>
      <c r="J288" s="1395"/>
      <c r="K288" s="1395"/>
      <c r="L288" s="1395"/>
      <c r="M288" s="1395"/>
      <c r="N288" s="1395"/>
      <c r="O288" s="1395"/>
      <c r="P288" s="182"/>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row>
    <row r="289" spans="2:53" ht="27" customHeight="1" x14ac:dyDescent="0.2">
      <c r="B289" s="1632" t="s">
        <v>1665</v>
      </c>
      <c r="C289" s="1633"/>
      <c r="D289" s="1633"/>
      <c r="E289" s="1633"/>
      <c r="F289" s="1634"/>
      <c r="G289" s="1626" t="s">
        <v>1525</v>
      </c>
      <c r="H289" s="1627"/>
      <c r="I289" s="1627"/>
      <c r="J289" s="1628"/>
      <c r="K289" s="1616"/>
      <c r="L289" s="1617"/>
      <c r="M289" s="1617"/>
      <c r="N289" s="1617"/>
      <c r="O289" s="1618"/>
      <c r="P289" s="1481">
        <f>U303</f>
        <v>0</v>
      </c>
      <c r="R289" s="783" t="s">
        <v>1865</v>
      </c>
      <c r="S289" s="769" t="s">
        <v>1305</v>
      </c>
      <c r="T289" s="769" t="s">
        <v>1306</v>
      </c>
      <c r="U289" s="769" t="s">
        <v>1307</v>
      </c>
      <c r="V289" s="1549" t="s">
        <v>801</v>
      </c>
      <c r="W289" s="1550"/>
      <c r="X289" s="1551"/>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row>
    <row r="290" spans="2:53" ht="15" customHeight="1" x14ac:dyDescent="0.2">
      <c r="B290" s="1546" t="s">
        <v>628</v>
      </c>
      <c r="C290" s="1547"/>
      <c r="D290" s="1548"/>
      <c r="E290" s="1730">
        <f>P234</f>
        <v>0</v>
      </c>
      <c r="F290" s="1731"/>
      <c r="G290" s="1534" t="s">
        <v>1942</v>
      </c>
      <c r="H290" s="1534"/>
      <c r="I290" s="1559"/>
      <c r="J290" s="1559"/>
      <c r="K290" s="1619"/>
      <c r="L290" s="1620"/>
      <c r="M290" s="1620"/>
      <c r="N290" s="1620"/>
      <c r="O290" s="1621"/>
      <c r="P290" s="1631"/>
      <c r="R290" s="688">
        <f>E290</f>
        <v>0</v>
      </c>
      <c r="S290" s="776">
        <f>LARGE($R$290:$R$304,1)</f>
        <v>0</v>
      </c>
      <c r="T290" s="684">
        <f>S290+S291*(1-S290)</f>
        <v>0</v>
      </c>
      <c r="U290" s="688">
        <f t="shared" ref="U290:U303" si="37">ROUND(T290,2)</f>
        <v>0</v>
      </c>
      <c r="V290" s="769">
        <f>IF(E290&gt;0,1,0)</f>
        <v>0</v>
      </c>
      <c r="W290" s="770">
        <f>COUNTIF(V290:V304,1)</f>
        <v>0</v>
      </c>
      <c r="X290" s="770">
        <f>IF(AND(W290=0,W291&gt;0),1,IF(W290&gt;0,2,0))</f>
        <v>0</v>
      </c>
      <c r="AA290" s="18"/>
      <c r="AD290" s="18"/>
      <c r="AG290" s="18"/>
      <c r="AH290" s="18"/>
      <c r="AI290" s="18"/>
      <c r="AJ290" s="18"/>
      <c r="AK290" s="18"/>
      <c r="AL290" s="18"/>
      <c r="AM290" s="18"/>
      <c r="AN290" s="18"/>
      <c r="AO290" s="18"/>
      <c r="AP290" s="18"/>
      <c r="AQ290" s="18"/>
      <c r="AR290" s="18"/>
      <c r="AS290" s="18"/>
      <c r="AT290" s="18"/>
      <c r="AU290" s="18"/>
    </row>
    <row r="291" spans="2:53" ht="15" customHeight="1" x14ac:dyDescent="0.2">
      <c r="B291" s="1362" t="s">
        <v>382</v>
      </c>
      <c r="C291" s="1363"/>
      <c r="D291" s="1364"/>
      <c r="E291" s="1373">
        <f>P237</f>
        <v>0</v>
      </c>
      <c r="F291" s="1373"/>
      <c r="G291" s="1534" t="s">
        <v>1942</v>
      </c>
      <c r="H291" s="1534"/>
      <c r="I291" s="1559"/>
      <c r="J291" s="1559"/>
      <c r="K291" s="1619"/>
      <c r="L291" s="1620"/>
      <c r="M291" s="1620"/>
      <c r="N291" s="1620"/>
      <c r="O291" s="1621"/>
      <c r="P291" s="1631"/>
      <c r="R291" s="688">
        <f>E291</f>
        <v>0</v>
      </c>
      <c r="S291" s="776">
        <f>LARGE($R$290:$R$304,2)</f>
        <v>0</v>
      </c>
      <c r="T291" s="684">
        <f>U290+S292*(1-U290)</f>
        <v>0</v>
      </c>
      <c r="U291" s="688">
        <f t="shared" si="37"/>
        <v>0</v>
      </c>
      <c r="V291" s="769">
        <f>IF(E291&gt;0,2,0)</f>
        <v>0</v>
      </c>
      <c r="W291" s="770">
        <f>COUNTIF(V290:V304,2)</f>
        <v>0</v>
      </c>
      <c r="X291" s="18"/>
      <c r="Y291" s="18" t="s">
        <v>511</v>
      </c>
      <c r="AA291" s="1395"/>
      <c r="AB291" s="1395"/>
      <c r="AC291" s="1395"/>
      <c r="AD291" s="18"/>
      <c r="AG291" s="18"/>
      <c r="AH291" s="18"/>
      <c r="AI291" s="18"/>
      <c r="AJ291" s="18"/>
      <c r="AK291" s="18"/>
      <c r="AL291" s="18"/>
      <c r="AM291" s="18"/>
      <c r="AN291" s="18"/>
      <c r="AO291" s="18"/>
      <c r="AP291" s="18"/>
      <c r="AQ291" s="18"/>
      <c r="AR291" s="18"/>
      <c r="AS291" s="18"/>
      <c r="AT291" s="18"/>
      <c r="AU291" s="18"/>
    </row>
    <row r="292" spans="2:53" ht="15" customHeight="1" x14ac:dyDescent="0.2">
      <c r="B292" s="1362" t="s">
        <v>1959</v>
      </c>
      <c r="C292" s="1363"/>
      <c r="D292" s="1364"/>
      <c r="E292" s="1373">
        <f>IF(E607&gt;0,0,P241)</f>
        <v>0</v>
      </c>
      <c r="F292" s="1373"/>
      <c r="G292" s="1729" t="s">
        <v>2260</v>
      </c>
      <c r="H292" s="1729"/>
      <c r="I292" s="1559"/>
      <c r="J292" s="1559"/>
      <c r="K292" s="1619"/>
      <c r="L292" s="1620"/>
      <c r="M292" s="1620"/>
      <c r="N292" s="1620"/>
      <c r="O292" s="1621"/>
      <c r="P292" s="1631"/>
      <c r="R292" s="688">
        <f t="shared" ref="R292:R299" si="38">IF(I292&gt;0,I292,E292)</f>
        <v>0</v>
      </c>
      <c r="S292" s="776">
        <f>LARGE($R$290:$R$304,3)</f>
        <v>0</v>
      </c>
      <c r="T292" s="684">
        <f>U291+S293*(1-U291)</f>
        <v>0</v>
      </c>
      <c r="U292" s="688">
        <f t="shared" si="37"/>
        <v>0</v>
      </c>
      <c r="V292" s="769">
        <f t="shared" ref="V292:V304" si="39">IF(E292&gt;0,1,0)</f>
        <v>0</v>
      </c>
      <c r="W292" s="18"/>
      <c r="X292" s="18"/>
      <c r="Y292" s="1087"/>
      <c r="Z292" s="18"/>
      <c r="AA292" s="1395"/>
      <c r="AB292" s="1395"/>
      <c r="AC292" s="1395"/>
      <c r="AD292" s="18"/>
      <c r="AG292" s="18"/>
      <c r="AH292" s="18"/>
      <c r="AI292" s="18"/>
      <c r="AJ292" s="18"/>
      <c r="AK292" s="18"/>
      <c r="AL292" s="18"/>
      <c r="AM292" s="18"/>
      <c r="AN292" s="18"/>
      <c r="AO292" s="18"/>
      <c r="AP292" s="18"/>
      <c r="AQ292" s="18"/>
      <c r="AR292" s="18"/>
      <c r="AS292" s="18"/>
      <c r="AT292" s="18"/>
      <c r="AU292" s="18"/>
    </row>
    <row r="293" spans="2:53" ht="15" customHeight="1" x14ac:dyDescent="0.2">
      <c r="B293" s="1410" t="s">
        <v>1417</v>
      </c>
      <c r="C293" s="1410"/>
      <c r="D293" s="1410"/>
      <c r="E293" s="1342">
        <f>P258</f>
        <v>0</v>
      </c>
      <c r="F293" s="1344"/>
      <c r="G293" s="1544"/>
      <c r="H293" s="1544"/>
      <c r="I293" s="1545">
        <f t="shared" ref="I293:I299" si="40">IF(AND(Y293&lt;0.01,Y293&gt;0),0.01,ROUND(Y293,2))</f>
        <v>0</v>
      </c>
      <c r="J293" s="1545"/>
      <c r="K293" s="1619"/>
      <c r="L293" s="1620"/>
      <c r="M293" s="1620"/>
      <c r="N293" s="1620"/>
      <c r="O293" s="1621"/>
      <c r="P293" s="1631"/>
      <c r="R293" s="688">
        <f t="shared" si="38"/>
        <v>0</v>
      </c>
      <c r="S293" s="776">
        <f>LARGE($R$290:$R$304,4)</f>
        <v>0</v>
      </c>
      <c r="T293" s="684">
        <f t="shared" ref="T293:T303" si="41">U292+S294*(1-U292)</f>
        <v>0</v>
      </c>
      <c r="U293" s="688">
        <f t="shared" si="37"/>
        <v>0</v>
      </c>
      <c r="V293" s="769">
        <f t="shared" si="39"/>
        <v>0</v>
      </c>
      <c r="W293" s="18"/>
      <c r="X293" s="18"/>
      <c r="Y293" s="355">
        <f>E293*G293</f>
        <v>0</v>
      </c>
      <c r="Z293" s="860"/>
      <c r="AA293" s="1395"/>
      <c r="AB293" s="1395"/>
      <c r="AC293" s="1395"/>
      <c r="AD293" s="18"/>
      <c r="AG293" s="18"/>
      <c r="AH293" s="18"/>
      <c r="AI293" s="18"/>
      <c r="AJ293" s="18"/>
      <c r="AK293" s="18"/>
      <c r="AL293" s="18"/>
      <c r="AM293" s="18"/>
      <c r="AN293" s="18"/>
      <c r="AO293" s="18"/>
      <c r="AP293" s="18"/>
      <c r="AQ293" s="18"/>
      <c r="AR293" s="18"/>
      <c r="AS293" s="18"/>
      <c r="AT293" s="18"/>
      <c r="AU293" s="18"/>
    </row>
    <row r="294" spans="2:53" ht="15" customHeight="1" x14ac:dyDescent="0.2">
      <c r="B294" s="1362" t="s">
        <v>1418</v>
      </c>
      <c r="C294" s="1363"/>
      <c r="D294" s="1364"/>
      <c r="E294" s="1342">
        <f>P259</f>
        <v>0</v>
      </c>
      <c r="F294" s="1344"/>
      <c r="G294" s="1544"/>
      <c r="H294" s="1544"/>
      <c r="I294" s="1545">
        <f t="shared" si="40"/>
        <v>0</v>
      </c>
      <c r="J294" s="1545"/>
      <c r="K294" s="1619"/>
      <c r="L294" s="1620"/>
      <c r="M294" s="1620"/>
      <c r="N294" s="1620"/>
      <c r="O294" s="1621"/>
      <c r="P294" s="1631"/>
      <c r="R294" s="688">
        <f t="shared" si="38"/>
        <v>0</v>
      </c>
      <c r="S294" s="776">
        <f>LARGE($R$290:$R$304,5)</f>
        <v>0</v>
      </c>
      <c r="T294" s="684">
        <f t="shared" si="41"/>
        <v>0</v>
      </c>
      <c r="U294" s="688">
        <f t="shared" si="37"/>
        <v>0</v>
      </c>
      <c r="V294" s="769">
        <f t="shared" si="39"/>
        <v>0</v>
      </c>
      <c r="W294" s="18"/>
      <c r="X294" s="18"/>
      <c r="Y294" s="1028">
        <f t="shared" ref="Y294:Y299" si="42">E294*G294</f>
        <v>0</v>
      </c>
      <c r="Z294" s="860"/>
      <c r="AA294" s="1395"/>
      <c r="AB294" s="1395"/>
      <c r="AC294" s="1395"/>
      <c r="AD294" s="18"/>
      <c r="AE294" s="18"/>
      <c r="AF294" s="18"/>
      <c r="AG294" s="18"/>
      <c r="AH294" s="18"/>
      <c r="AI294" s="18"/>
      <c r="AJ294" s="18"/>
      <c r="AK294" s="18"/>
      <c r="AL294" s="18"/>
      <c r="AM294" s="18"/>
      <c r="AN294" s="18"/>
      <c r="AO294" s="18"/>
      <c r="AP294" s="18"/>
      <c r="AQ294" s="18"/>
      <c r="AR294" s="18"/>
      <c r="AS294" s="18"/>
      <c r="AT294" s="18"/>
      <c r="AU294" s="18"/>
    </row>
    <row r="295" spans="2:53" ht="15" customHeight="1" x14ac:dyDescent="0.2">
      <c r="B295" s="1362" t="s">
        <v>1419</v>
      </c>
      <c r="C295" s="1363"/>
      <c r="D295" s="1364"/>
      <c r="E295" s="1342">
        <f>P260</f>
        <v>0</v>
      </c>
      <c r="F295" s="1344"/>
      <c r="G295" s="1544"/>
      <c r="H295" s="1544"/>
      <c r="I295" s="1545">
        <f t="shared" si="40"/>
        <v>0</v>
      </c>
      <c r="J295" s="1545"/>
      <c r="K295" s="1619"/>
      <c r="L295" s="1620"/>
      <c r="M295" s="1620"/>
      <c r="N295" s="1620"/>
      <c r="O295" s="1621"/>
      <c r="P295" s="1631"/>
      <c r="R295" s="688">
        <f t="shared" si="38"/>
        <v>0</v>
      </c>
      <c r="S295" s="776">
        <f>LARGE($R$290:$R$304,6)</f>
        <v>0</v>
      </c>
      <c r="T295" s="684">
        <f t="shared" si="41"/>
        <v>0</v>
      </c>
      <c r="U295" s="688">
        <f t="shared" si="37"/>
        <v>0</v>
      </c>
      <c r="V295" s="769">
        <f t="shared" si="39"/>
        <v>0</v>
      </c>
      <c r="W295" s="18"/>
      <c r="X295" s="18"/>
      <c r="Y295" s="1028">
        <f t="shared" si="42"/>
        <v>0</v>
      </c>
      <c r="Z295" s="860"/>
      <c r="AC295" s="18"/>
      <c r="AD295" s="18"/>
      <c r="AE295" s="18"/>
      <c r="AF295" s="18"/>
      <c r="AG295" s="18"/>
      <c r="AH295" s="18"/>
      <c r="AI295" s="18"/>
      <c r="AJ295" s="18"/>
      <c r="AK295" s="18"/>
      <c r="AL295" s="18"/>
      <c r="AM295" s="18"/>
      <c r="AN295" s="18"/>
      <c r="AO295" s="18"/>
      <c r="AP295" s="18"/>
      <c r="AQ295" s="18"/>
      <c r="AR295" s="18"/>
      <c r="AS295" s="18"/>
      <c r="AT295" s="18"/>
      <c r="AU295" s="18"/>
    </row>
    <row r="296" spans="2:53" ht="15" customHeight="1" x14ac:dyDescent="0.2">
      <c r="B296" s="1362" t="s">
        <v>1420</v>
      </c>
      <c r="C296" s="1363"/>
      <c r="D296" s="1364"/>
      <c r="E296" s="1342">
        <f>P261</f>
        <v>0</v>
      </c>
      <c r="F296" s="1344"/>
      <c r="G296" s="1544"/>
      <c r="H296" s="1544"/>
      <c r="I296" s="1545">
        <f t="shared" si="40"/>
        <v>0</v>
      </c>
      <c r="J296" s="1545"/>
      <c r="K296" s="1619"/>
      <c r="L296" s="1620"/>
      <c r="M296" s="1620"/>
      <c r="N296" s="1620"/>
      <c r="O296" s="1621"/>
      <c r="P296" s="1631"/>
      <c r="R296" s="688">
        <f t="shared" si="38"/>
        <v>0</v>
      </c>
      <c r="S296" s="776">
        <f>LARGE($R$290:$R$304,7)</f>
        <v>0</v>
      </c>
      <c r="T296" s="684">
        <f t="shared" si="41"/>
        <v>0</v>
      </c>
      <c r="U296" s="688">
        <f t="shared" si="37"/>
        <v>0</v>
      </c>
      <c r="V296" s="769">
        <f t="shared" si="39"/>
        <v>0</v>
      </c>
      <c r="W296" s="18"/>
      <c r="X296" s="18"/>
      <c r="Y296" s="1028">
        <f t="shared" si="42"/>
        <v>0</v>
      </c>
      <c r="Z296" s="860"/>
      <c r="AA296" s="1073"/>
      <c r="AB296" s="1073"/>
      <c r="AC296" s="18"/>
      <c r="AD296" s="18"/>
      <c r="AE296" s="18"/>
      <c r="AF296" s="18"/>
      <c r="AG296" s="18"/>
      <c r="AH296" s="18"/>
      <c r="AI296" s="18"/>
      <c r="AJ296" s="18"/>
      <c r="AK296" s="18"/>
      <c r="AL296" s="18"/>
      <c r="AM296" s="18"/>
      <c r="AN296" s="18"/>
      <c r="AO296" s="18"/>
      <c r="AP296" s="18"/>
      <c r="AQ296" s="18"/>
      <c r="AR296" s="18"/>
      <c r="AS296" s="18"/>
      <c r="AT296" s="18"/>
      <c r="AU296" s="18"/>
    </row>
    <row r="297" spans="2:53" ht="15" customHeight="1" x14ac:dyDescent="0.2">
      <c r="B297" s="1362" t="s">
        <v>1986</v>
      </c>
      <c r="C297" s="1363"/>
      <c r="D297" s="1364"/>
      <c r="E297" s="1373">
        <f>P270</f>
        <v>0</v>
      </c>
      <c r="F297" s="1373"/>
      <c r="G297" s="1544"/>
      <c r="H297" s="1544"/>
      <c r="I297" s="1545">
        <f t="shared" si="40"/>
        <v>0</v>
      </c>
      <c r="J297" s="1545"/>
      <c r="K297" s="1619"/>
      <c r="L297" s="1620"/>
      <c r="M297" s="1620"/>
      <c r="N297" s="1620"/>
      <c r="O297" s="1621"/>
      <c r="P297" s="1631"/>
      <c r="R297" s="688">
        <f t="shared" si="38"/>
        <v>0</v>
      </c>
      <c r="S297" s="776">
        <f>LARGE($R$290:$R$304,8)</f>
        <v>0</v>
      </c>
      <c r="T297" s="684">
        <f t="shared" si="41"/>
        <v>0</v>
      </c>
      <c r="U297" s="688">
        <f t="shared" si="37"/>
        <v>0</v>
      </c>
      <c r="V297" s="769">
        <f t="shared" si="39"/>
        <v>0</v>
      </c>
      <c r="W297" s="18"/>
      <c r="X297" s="18"/>
      <c r="Y297" s="1028">
        <f t="shared" si="42"/>
        <v>0</v>
      </c>
      <c r="Z297" s="860"/>
      <c r="AA297" s="1073"/>
      <c r="AB297" s="1073"/>
      <c r="AC297" s="18"/>
      <c r="AD297" s="18"/>
      <c r="AE297" s="18"/>
      <c r="AF297" s="18"/>
      <c r="AG297" s="18"/>
      <c r="AH297" s="18"/>
      <c r="AI297" s="18"/>
      <c r="AJ297" s="18"/>
      <c r="AK297" s="18"/>
      <c r="AL297" s="18"/>
      <c r="AM297" s="18"/>
      <c r="AN297" s="18"/>
      <c r="AO297" s="18"/>
      <c r="AP297" s="18"/>
      <c r="AQ297" s="18"/>
      <c r="AR297" s="18"/>
      <c r="AS297" s="18"/>
      <c r="AT297" s="18"/>
      <c r="AU297" s="18"/>
    </row>
    <row r="298" spans="2:53" ht="15" customHeight="1" x14ac:dyDescent="0.2">
      <c r="B298" s="1362" t="s">
        <v>1227</v>
      </c>
      <c r="C298" s="1363"/>
      <c r="D298" s="1364"/>
      <c r="E298" s="1373">
        <f>P275</f>
        <v>0</v>
      </c>
      <c r="F298" s="1373"/>
      <c r="G298" s="1544"/>
      <c r="H298" s="1544"/>
      <c r="I298" s="1545">
        <f t="shared" si="40"/>
        <v>0</v>
      </c>
      <c r="J298" s="1545"/>
      <c r="K298" s="1030"/>
      <c r="L298" s="1031"/>
      <c r="M298" s="1031"/>
      <c r="N298" s="1031"/>
      <c r="O298" s="1032"/>
      <c r="P298" s="1631"/>
      <c r="R298" s="688">
        <f t="shared" si="38"/>
        <v>0</v>
      </c>
      <c r="S298" s="776">
        <f>LARGE($R$290:$R$304,9)</f>
        <v>0</v>
      </c>
      <c r="T298" s="684">
        <f t="shared" si="41"/>
        <v>0</v>
      </c>
      <c r="U298" s="688">
        <f t="shared" si="37"/>
        <v>0</v>
      </c>
      <c r="V298" s="769">
        <f t="shared" si="39"/>
        <v>0</v>
      </c>
      <c r="W298" s="18"/>
      <c r="X298" s="18"/>
      <c r="Y298" s="1028">
        <f t="shared" si="42"/>
        <v>0</v>
      </c>
      <c r="Z298" s="373"/>
      <c r="AA298" s="1073"/>
      <c r="AB298" s="1073"/>
      <c r="AC298" s="18"/>
      <c r="AD298" s="18"/>
      <c r="AE298" s="18"/>
      <c r="AF298" s="18"/>
      <c r="AG298" s="18"/>
      <c r="AH298" s="18"/>
      <c r="AI298" s="18"/>
      <c r="AJ298" s="18"/>
      <c r="AK298" s="18"/>
      <c r="AL298" s="18"/>
      <c r="AM298" s="18"/>
      <c r="AN298" s="18"/>
      <c r="AO298" s="18"/>
      <c r="AP298" s="18"/>
      <c r="AQ298" s="18"/>
      <c r="AR298" s="18"/>
      <c r="AS298" s="18"/>
      <c r="AT298" s="18"/>
      <c r="AU298" s="18"/>
    </row>
    <row r="299" spans="2:53" ht="15" customHeight="1" x14ac:dyDescent="0.2">
      <c r="B299" s="1362" t="s">
        <v>1233</v>
      </c>
      <c r="C299" s="1363"/>
      <c r="D299" s="1364"/>
      <c r="E299" s="1373">
        <f>P277</f>
        <v>0</v>
      </c>
      <c r="F299" s="1373"/>
      <c r="G299" s="1544"/>
      <c r="H299" s="1544"/>
      <c r="I299" s="1545">
        <f t="shared" si="40"/>
        <v>0</v>
      </c>
      <c r="J299" s="1545"/>
      <c r="K299" s="1030"/>
      <c r="L299" s="1031"/>
      <c r="M299" s="1031"/>
      <c r="N299" s="1031"/>
      <c r="O299" s="1032"/>
      <c r="P299" s="1631"/>
      <c r="R299" s="688">
        <f t="shared" si="38"/>
        <v>0</v>
      </c>
      <c r="S299" s="776">
        <f>LARGE($R$290:$R$304,10)</f>
        <v>0</v>
      </c>
      <c r="T299" s="684">
        <f t="shared" si="41"/>
        <v>0</v>
      </c>
      <c r="U299" s="688">
        <f t="shared" si="37"/>
        <v>0</v>
      </c>
      <c r="V299" s="769">
        <f t="shared" si="39"/>
        <v>0</v>
      </c>
      <c r="W299" s="18"/>
      <c r="X299" s="18"/>
      <c r="Y299" s="1028">
        <f t="shared" si="42"/>
        <v>0</v>
      </c>
      <c r="Z299" s="373"/>
      <c r="AA299" s="1073"/>
      <c r="AB299" s="1073"/>
      <c r="AC299" s="18"/>
      <c r="AD299" s="18"/>
      <c r="AE299" s="18"/>
      <c r="AF299" s="18"/>
      <c r="AG299" s="18"/>
      <c r="AH299" s="18"/>
      <c r="AI299" s="18"/>
      <c r="AJ299" s="18"/>
      <c r="AK299" s="18"/>
      <c r="AL299" s="18"/>
      <c r="AM299" s="18"/>
      <c r="AN299" s="18"/>
      <c r="AO299" s="18"/>
      <c r="AP299" s="18"/>
      <c r="AQ299" s="18"/>
      <c r="AR299" s="18"/>
      <c r="AS299" s="18"/>
      <c r="AT299" s="18"/>
      <c r="AU299" s="18"/>
    </row>
    <row r="300" spans="2:53" ht="15" customHeight="1" x14ac:dyDescent="0.2">
      <c r="B300" s="1362" t="s">
        <v>383</v>
      </c>
      <c r="C300" s="1363"/>
      <c r="D300" s="1364"/>
      <c r="E300" s="1373">
        <f>P282</f>
        <v>0</v>
      </c>
      <c r="F300" s="1373"/>
      <c r="G300" s="1534" t="s">
        <v>1942</v>
      </c>
      <c r="H300" s="1534"/>
      <c r="I300" s="1559"/>
      <c r="J300" s="1559"/>
      <c r="K300" s="1588" t="str">
        <f>IF(AND(P241&gt;0,E607&gt;0),"A value has been granted for motor loss. Additional impairment value is not allowed for reduced ROM in the same extremity.","")</f>
        <v/>
      </c>
      <c r="L300" s="1589"/>
      <c r="M300" s="1589"/>
      <c r="N300" s="1589"/>
      <c r="O300" s="1590"/>
      <c r="P300" s="1631"/>
      <c r="R300" s="688">
        <f>E300</f>
        <v>0</v>
      </c>
      <c r="S300" s="776">
        <f>LARGE($R$290:$R$304,11)</f>
        <v>0</v>
      </c>
      <c r="T300" s="684">
        <f t="shared" si="41"/>
        <v>0</v>
      </c>
      <c r="U300" s="688">
        <f t="shared" si="37"/>
        <v>0</v>
      </c>
      <c r="V300" s="769">
        <f t="shared" si="39"/>
        <v>0</v>
      </c>
      <c r="W300" s="18"/>
      <c r="X300" s="18"/>
      <c r="Y300" s="370"/>
      <c r="Z300" s="373"/>
      <c r="AC300" s="18"/>
      <c r="AD300" s="18"/>
      <c r="AE300" s="18"/>
      <c r="AF300" s="18"/>
      <c r="AG300" s="18"/>
      <c r="AH300" s="18"/>
      <c r="AI300" s="18"/>
      <c r="AJ300" s="18"/>
      <c r="AK300" s="18"/>
      <c r="AL300" s="18"/>
      <c r="AM300" s="18"/>
      <c r="AN300" s="18"/>
      <c r="AO300" s="18"/>
      <c r="AP300" s="18"/>
      <c r="AQ300" s="18"/>
      <c r="AR300" s="18"/>
      <c r="AS300" s="18"/>
      <c r="AT300" s="18"/>
      <c r="AU300" s="18"/>
    </row>
    <row r="301" spans="2:53" ht="15" customHeight="1" x14ac:dyDescent="0.2">
      <c r="B301" s="1362" t="s">
        <v>384</v>
      </c>
      <c r="C301" s="1363"/>
      <c r="D301" s="1364"/>
      <c r="E301" s="1373">
        <f>P283</f>
        <v>0</v>
      </c>
      <c r="F301" s="1373"/>
      <c r="G301" s="1534" t="s">
        <v>1942</v>
      </c>
      <c r="H301" s="1534"/>
      <c r="I301" s="1559"/>
      <c r="J301" s="1559"/>
      <c r="K301" s="1588"/>
      <c r="L301" s="1589"/>
      <c r="M301" s="1589"/>
      <c r="N301" s="1589"/>
      <c r="O301" s="1590"/>
      <c r="P301" s="1631"/>
      <c r="R301" s="688">
        <f>E301</f>
        <v>0</v>
      </c>
      <c r="S301" s="776">
        <f>LARGE($R$290:$R$304,12)</f>
        <v>0</v>
      </c>
      <c r="T301" s="684">
        <f t="shared" si="41"/>
        <v>0</v>
      </c>
      <c r="U301" s="688">
        <f t="shared" si="37"/>
        <v>0</v>
      </c>
      <c r="V301" s="769">
        <f t="shared" si="39"/>
        <v>0</v>
      </c>
      <c r="W301" s="18"/>
      <c r="X301" s="18"/>
      <c r="Y301" s="370"/>
      <c r="Z301" s="315"/>
      <c r="AC301" s="18"/>
      <c r="AD301" s="18"/>
      <c r="AE301" s="18"/>
      <c r="AF301" s="18"/>
      <c r="AG301" s="18"/>
      <c r="AH301" s="18"/>
      <c r="AI301" s="18"/>
      <c r="AJ301" s="18"/>
      <c r="AK301" s="18"/>
      <c r="AL301" s="18"/>
      <c r="AM301" s="18"/>
      <c r="AN301" s="18"/>
      <c r="AO301" s="18"/>
      <c r="AP301" s="18"/>
      <c r="AQ301" s="18"/>
      <c r="AR301" s="18"/>
      <c r="AS301" s="18"/>
      <c r="AT301" s="18"/>
      <c r="AU301" s="18"/>
    </row>
    <row r="302" spans="2:53" ht="15" customHeight="1" x14ac:dyDescent="0.2">
      <c r="B302" s="1362" t="s">
        <v>807</v>
      </c>
      <c r="C302" s="1363"/>
      <c r="D302" s="1364"/>
      <c r="E302" s="1373">
        <f>P284</f>
        <v>0</v>
      </c>
      <c r="F302" s="1373"/>
      <c r="G302" s="1534" t="s">
        <v>1942</v>
      </c>
      <c r="H302" s="1534"/>
      <c r="I302" s="1559"/>
      <c r="J302" s="1559"/>
      <c r="K302" s="1588"/>
      <c r="L302" s="1589"/>
      <c r="M302" s="1589"/>
      <c r="N302" s="1589"/>
      <c r="O302" s="1590"/>
      <c r="P302" s="1631"/>
      <c r="R302" s="688">
        <f>E302</f>
        <v>0</v>
      </c>
      <c r="S302" s="776">
        <f>LARGE($R$290:$R$304,13)</f>
        <v>0</v>
      </c>
      <c r="T302" s="684">
        <f t="shared" si="41"/>
        <v>0</v>
      </c>
      <c r="U302" s="688">
        <f t="shared" si="37"/>
        <v>0</v>
      </c>
      <c r="V302" s="769">
        <f t="shared" si="39"/>
        <v>0</v>
      </c>
      <c r="W302" s="18"/>
      <c r="X302" s="18"/>
      <c r="Y302" s="370"/>
      <c r="Z302" s="315"/>
      <c r="AC302" s="18"/>
      <c r="AD302" s="18"/>
      <c r="AE302" s="18"/>
      <c r="AF302" s="18"/>
      <c r="AG302" s="18"/>
      <c r="AH302" s="18"/>
      <c r="AI302" s="18"/>
      <c r="AJ302" s="18"/>
      <c r="AK302" s="18"/>
      <c r="AL302" s="18"/>
      <c r="AM302" s="18"/>
      <c r="AN302" s="18"/>
      <c r="AO302" s="18"/>
      <c r="AP302" s="18"/>
      <c r="AQ302" s="18"/>
      <c r="AR302" s="18"/>
      <c r="AS302" s="18"/>
      <c r="AT302" s="18"/>
      <c r="AU302" s="18"/>
    </row>
    <row r="303" spans="2:53" ht="15" customHeight="1" x14ac:dyDescent="0.2">
      <c r="B303" s="1362" t="s">
        <v>1447</v>
      </c>
      <c r="C303" s="1363"/>
      <c r="D303" s="1364"/>
      <c r="E303" s="1373">
        <f>P286</f>
        <v>0</v>
      </c>
      <c r="F303" s="1373"/>
      <c r="G303" s="1544"/>
      <c r="H303" s="1544"/>
      <c r="I303" s="1545">
        <f>IF(AND(Y303&lt;0.01,Y303&gt;0),0.01,ROUND(Y303,2))</f>
        <v>0</v>
      </c>
      <c r="J303" s="1545"/>
      <c r="K303" s="1588"/>
      <c r="L303" s="1589"/>
      <c r="M303" s="1589"/>
      <c r="N303" s="1589"/>
      <c r="O303" s="1590"/>
      <c r="P303" s="1631"/>
      <c r="R303" s="688">
        <f>IF(I303&gt;0,I303,E303)</f>
        <v>0</v>
      </c>
      <c r="S303" s="776">
        <f>LARGE($R$290:$R$304,14)</f>
        <v>0</v>
      </c>
      <c r="T303" s="684">
        <f t="shared" si="41"/>
        <v>0</v>
      </c>
      <c r="U303" s="688">
        <f t="shared" si="37"/>
        <v>0</v>
      </c>
      <c r="V303" s="769">
        <f t="shared" si="39"/>
        <v>0</v>
      </c>
      <c r="W303" s="18"/>
      <c r="X303" s="18"/>
      <c r="Y303" s="1028">
        <f t="shared" ref="Y303:Y304" si="43">E303*G303</f>
        <v>0</v>
      </c>
      <c r="Z303" s="85"/>
      <c r="AA303" s="18"/>
      <c r="AB303" s="18"/>
      <c r="AC303" s="18"/>
      <c r="AD303" s="18"/>
      <c r="AE303" s="18"/>
      <c r="AF303" s="18"/>
      <c r="AG303" s="18"/>
      <c r="AH303" s="18"/>
      <c r="AI303" s="18"/>
      <c r="AJ303" s="18"/>
      <c r="AK303" s="18"/>
      <c r="AL303" s="18"/>
      <c r="AM303" s="18"/>
      <c r="AN303" s="18"/>
      <c r="AO303" s="18"/>
      <c r="AP303" s="18"/>
      <c r="AQ303" s="18"/>
      <c r="AR303" s="18"/>
      <c r="AS303" s="18"/>
      <c r="AT303" s="18"/>
      <c r="AU303" s="18"/>
    </row>
    <row r="304" spans="2:53" ht="15" customHeight="1" x14ac:dyDescent="0.2">
      <c r="B304" s="1408" t="s">
        <v>1254</v>
      </c>
      <c r="C304" s="1408"/>
      <c r="D304" s="1408"/>
      <c r="E304" s="1630">
        <f>P287</f>
        <v>0</v>
      </c>
      <c r="F304" s="1630"/>
      <c r="G304" s="1622"/>
      <c r="H304" s="1622"/>
      <c r="I304" s="1612">
        <f>IF(AND(Y304&lt;0.01,Y304&gt;0),0.01,ROUND(Y304,2))</f>
        <v>0</v>
      </c>
      <c r="J304" s="1612"/>
      <c r="K304" s="1574"/>
      <c r="L304" s="1575"/>
      <c r="M304" s="1575"/>
      <c r="N304" s="1575"/>
      <c r="O304" s="1576"/>
      <c r="P304" s="1631"/>
      <c r="Q304" s="3"/>
      <c r="R304" s="688">
        <f>IF(I304&gt;0,I304,E304)</f>
        <v>0</v>
      </c>
      <c r="S304" s="776">
        <f>LARGE($R$290:$R$304,15)</f>
        <v>0</v>
      </c>
      <c r="T304" s="707"/>
      <c r="U304" s="688"/>
      <c r="V304" s="769">
        <f t="shared" si="39"/>
        <v>0</v>
      </c>
      <c r="W304" s="18"/>
      <c r="X304" s="18"/>
      <c r="Y304" s="1028">
        <f t="shared" si="43"/>
        <v>0</v>
      </c>
      <c r="Z304" s="85"/>
      <c r="AA304" s="18"/>
      <c r="AB304" s="18"/>
      <c r="AC304" s="18"/>
      <c r="AD304" s="18"/>
      <c r="AE304" s="18"/>
      <c r="AF304" s="18"/>
      <c r="AG304" s="18"/>
      <c r="AH304" s="18"/>
      <c r="AI304" s="18"/>
      <c r="AJ304" s="18"/>
      <c r="AK304" s="18"/>
      <c r="AL304" s="18"/>
      <c r="AM304" s="18"/>
      <c r="AN304" s="18"/>
      <c r="AO304" s="18"/>
      <c r="AP304" s="18"/>
      <c r="AQ304" s="18"/>
      <c r="AR304" s="18"/>
      <c r="AS304" s="18"/>
      <c r="AT304" s="18"/>
      <c r="AU304" s="18"/>
      <c r="BA304" s="3"/>
    </row>
    <row r="305" spans="2:84" ht="15" customHeight="1" x14ac:dyDescent="0.2">
      <c r="B305" s="1568" t="s">
        <v>1666</v>
      </c>
      <c r="C305" s="1568"/>
      <c r="D305" s="1568"/>
      <c r="E305" s="1568"/>
      <c r="F305" s="1568"/>
      <c r="G305" s="1568"/>
      <c r="H305" s="1568"/>
      <c r="I305" s="1568"/>
      <c r="J305" s="1568"/>
      <c r="K305" s="1568"/>
      <c r="L305" s="1568"/>
      <c r="M305" s="1568"/>
      <c r="N305" s="1568"/>
      <c r="O305" s="1568"/>
      <c r="P305" s="1623"/>
      <c r="R305" s="19"/>
      <c r="S305" s="177"/>
      <c r="T305" s="157"/>
      <c r="U305" s="18"/>
      <c r="V305" s="18"/>
      <c r="W305" s="18"/>
      <c r="X305" s="18"/>
      <c r="Y305" s="1025"/>
      <c r="Z305" s="85"/>
      <c r="AA305" s="18"/>
      <c r="AB305" s="18"/>
      <c r="AC305" s="18"/>
      <c r="AD305" s="18"/>
      <c r="AE305" s="18"/>
      <c r="AF305" s="18"/>
      <c r="AG305" s="18"/>
      <c r="AH305" s="18"/>
      <c r="AI305" s="18"/>
      <c r="AJ305" s="18"/>
      <c r="AK305" s="18"/>
      <c r="AL305" s="18"/>
      <c r="AM305" s="18"/>
      <c r="AN305" s="18"/>
      <c r="AO305" s="18"/>
      <c r="AP305" s="18"/>
      <c r="AQ305" s="18"/>
      <c r="AR305" s="18"/>
      <c r="AS305" s="18"/>
      <c r="AT305" s="18"/>
      <c r="AU305" s="18"/>
    </row>
    <row r="306" spans="2:84" x14ac:dyDescent="0.2">
      <c r="B306" s="226"/>
      <c r="C306" s="226"/>
      <c r="D306" s="226"/>
      <c r="E306" s="226"/>
      <c r="F306" s="226"/>
      <c r="G306" s="226"/>
      <c r="H306" s="226"/>
      <c r="I306" s="226"/>
      <c r="J306" s="226"/>
      <c r="K306" s="226"/>
      <c r="L306" s="226"/>
      <c r="M306" s="226"/>
      <c r="N306" s="226"/>
      <c r="O306" s="226"/>
      <c r="P306" s="226"/>
      <c r="R306" s="18"/>
      <c r="S306" s="18"/>
      <c r="T306" s="18"/>
      <c r="U306" s="18"/>
      <c r="V306" s="18"/>
      <c r="W306" s="18"/>
      <c r="X306" s="18"/>
      <c r="Y306" s="1068"/>
      <c r="Z306" s="1068"/>
      <c r="AA306" s="18"/>
      <c r="AB306" s="18"/>
      <c r="AC306" s="18"/>
      <c r="AD306" s="18"/>
      <c r="AE306" s="18"/>
      <c r="AF306" s="18"/>
      <c r="AG306" s="18"/>
      <c r="AH306" s="18"/>
      <c r="AI306" s="18"/>
      <c r="AJ306" s="18"/>
      <c r="AK306" s="18"/>
      <c r="AL306" s="18"/>
      <c r="AM306" s="18"/>
      <c r="AN306" s="18"/>
      <c r="AO306" s="18"/>
      <c r="AP306" s="18"/>
      <c r="AQ306" s="18"/>
      <c r="AR306" s="18"/>
      <c r="AS306" s="18"/>
      <c r="AT306" s="18"/>
      <c r="AU306" s="18"/>
    </row>
    <row r="307" spans="2:84" x14ac:dyDescent="0.2">
      <c r="B307" s="226"/>
      <c r="C307" s="226"/>
      <c r="D307" s="226"/>
      <c r="E307" s="226"/>
      <c r="F307" s="226"/>
      <c r="G307" s="226"/>
      <c r="H307" s="226"/>
      <c r="I307" s="226"/>
      <c r="J307" s="226"/>
      <c r="K307" s="226"/>
      <c r="L307" s="226"/>
      <c r="M307" s="226"/>
      <c r="N307" s="226"/>
      <c r="O307" s="226"/>
      <c r="P307" s="226"/>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row>
    <row r="308" spans="2:84" ht="18" customHeight="1" x14ac:dyDescent="0.2">
      <c r="B308" s="1516" t="s">
        <v>1667</v>
      </c>
      <c r="C308" s="1517"/>
      <c r="D308" s="1517"/>
      <c r="E308" s="1517"/>
      <c r="F308" s="1517"/>
      <c r="G308" s="1517"/>
      <c r="H308" s="1517"/>
      <c r="I308" s="1517"/>
      <c r="J308" s="1517"/>
      <c r="K308" s="1517"/>
      <c r="L308" s="1517"/>
      <c r="M308" s="1517"/>
      <c r="N308" s="1517"/>
      <c r="O308" s="1517"/>
      <c r="P308" s="15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row>
    <row r="309" spans="2:84" ht="18" customHeight="1" x14ac:dyDescent="0.2">
      <c r="B309" s="1394" t="s">
        <v>1668</v>
      </c>
      <c r="C309" s="1394"/>
      <c r="D309" s="1394"/>
      <c r="E309" s="1394"/>
      <c r="F309" s="1394"/>
      <c r="G309" s="1394"/>
      <c r="H309" s="1394"/>
      <c r="I309" s="1394"/>
      <c r="J309" s="1394"/>
      <c r="K309" s="1394"/>
      <c r="L309" s="1394"/>
      <c r="M309" s="1394"/>
      <c r="N309" s="1394"/>
      <c r="O309" s="1394"/>
      <c r="P309" s="1612">
        <f>SUMIF(S309:Y309,B310,S310:Y310)</f>
        <v>0</v>
      </c>
      <c r="R309" s="1379" t="s">
        <v>1325</v>
      </c>
      <c r="S309" s="769" t="s">
        <v>524</v>
      </c>
      <c r="T309" s="695" t="s">
        <v>1326</v>
      </c>
      <c r="U309" s="769" t="s">
        <v>526</v>
      </c>
      <c r="V309" s="769" t="s">
        <v>1077</v>
      </c>
      <c r="W309" s="769" t="s">
        <v>1080</v>
      </c>
      <c r="X309" s="769" t="s">
        <v>716</v>
      </c>
      <c r="Y309" s="769" t="s">
        <v>590</v>
      </c>
      <c r="Z309" s="18"/>
      <c r="AA309" s="18"/>
      <c r="AB309" s="18"/>
      <c r="AC309" s="18"/>
      <c r="AD309" s="18"/>
      <c r="AE309" s="18"/>
      <c r="AF309" s="18"/>
      <c r="AG309" s="18"/>
      <c r="AH309" s="18"/>
      <c r="AI309" s="18"/>
      <c r="AJ309" s="18"/>
      <c r="AK309" s="19"/>
      <c r="AL309" s="19"/>
      <c r="AM309" s="19"/>
      <c r="AN309" s="19"/>
      <c r="AO309" s="19"/>
      <c r="AP309" s="18"/>
      <c r="AQ309" s="18"/>
      <c r="AR309" s="18"/>
      <c r="AS309" s="18"/>
      <c r="AT309" s="18"/>
      <c r="AU309" s="3"/>
      <c r="AV309" s="3"/>
      <c r="AW309" s="3"/>
      <c r="AX309" s="3"/>
      <c r="AY309" s="3"/>
      <c r="AZ309" s="3"/>
      <c r="BA309" s="3"/>
      <c r="BB309" s="3"/>
      <c r="BC309" s="3"/>
      <c r="BD309" s="3"/>
      <c r="BE309" s="3"/>
      <c r="BF309" s="3"/>
      <c r="BG309" s="3"/>
      <c r="BH309" s="3"/>
      <c r="BI309" s="3"/>
      <c r="BJ309" s="3"/>
      <c r="BK309" s="3"/>
    </row>
    <row r="310" spans="2:84" ht="15" customHeight="1" x14ac:dyDescent="0.2">
      <c r="B310" s="1629"/>
      <c r="C310" s="1629"/>
      <c r="D310" s="1629"/>
      <c r="E310" s="1629"/>
      <c r="F310" s="1629"/>
      <c r="G310" s="1629"/>
      <c r="H310" s="1629"/>
      <c r="I310" s="1629"/>
      <c r="J310" s="1629"/>
      <c r="K310" s="1629"/>
      <c r="L310" s="1629"/>
      <c r="M310" s="1629"/>
      <c r="N310" s="1629"/>
      <c r="O310" s="1629"/>
      <c r="P310" s="1733"/>
      <c r="R310" s="1410"/>
      <c r="S310" s="688">
        <v>0</v>
      </c>
      <c r="T310" s="776">
        <v>0.1</v>
      </c>
      <c r="U310" s="776">
        <v>0.3</v>
      </c>
      <c r="V310" s="776">
        <v>0.5</v>
      </c>
      <c r="W310" s="776">
        <v>0.63</v>
      </c>
      <c r="X310" s="776">
        <v>0.75</v>
      </c>
      <c r="Y310" s="776">
        <v>1</v>
      </c>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3"/>
      <c r="AV310" s="3"/>
      <c r="AW310" s="3"/>
      <c r="AX310" s="3"/>
      <c r="AY310" s="3"/>
      <c r="AZ310" s="3"/>
      <c r="BA310" s="3"/>
      <c r="BB310" s="3"/>
      <c r="BC310" s="3"/>
      <c r="BD310" s="3"/>
      <c r="BE310" s="3"/>
      <c r="BF310" s="3"/>
      <c r="BG310" s="3"/>
      <c r="BH310" s="3"/>
      <c r="BI310" s="3"/>
      <c r="BJ310" s="3"/>
      <c r="BK310" s="3"/>
    </row>
    <row r="311" spans="2:84" ht="15" customHeight="1" x14ac:dyDescent="0.2">
      <c r="B311" s="1592" t="str">
        <f>IF(AND(P309&gt;0.1,B313=""),"Enter specific level of amputation or shortening below.","")</f>
        <v/>
      </c>
      <c r="C311" s="1592"/>
      <c r="D311" s="1592"/>
      <c r="E311" s="1592"/>
      <c r="F311" s="1592"/>
      <c r="G311" s="1592"/>
      <c r="H311" s="1592"/>
      <c r="I311" s="1592"/>
      <c r="J311" s="1592"/>
      <c r="K311" s="1592"/>
      <c r="L311" s="1592"/>
      <c r="M311" s="1592"/>
      <c r="N311" s="1592"/>
      <c r="O311" s="1592"/>
      <c r="P311" s="1592"/>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3"/>
      <c r="AV311" s="3"/>
      <c r="AW311" s="3"/>
      <c r="AX311" s="3"/>
      <c r="AY311" s="3"/>
      <c r="AZ311" s="3"/>
      <c r="BA311" s="3"/>
      <c r="BB311" s="3"/>
      <c r="BC311" s="3"/>
      <c r="BD311" s="3"/>
      <c r="BE311" s="3"/>
    </row>
    <row r="312" spans="2:84" ht="30" customHeight="1" x14ac:dyDescent="0.2">
      <c r="B312" s="1379" t="s">
        <v>798</v>
      </c>
      <c r="C312" s="1379"/>
      <c r="D312" s="1379"/>
      <c r="E312" s="1379"/>
      <c r="F312" s="1379"/>
      <c r="G312" s="1379"/>
      <c r="H312" s="1379"/>
      <c r="I312" s="1379"/>
      <c r="J312" s="1379"/>
      <c r="K312" s="1379"/>
      <c r="L312" s="1379"/>
      <c r="M312" s="1379"/>
      <c r="N312" s="1379"/>
      <c r="O312" s="1379"/>
      <c r="P312" s="1612">
        <f>IF(P309=1,0,U14)</f>
        <v>0</v>
      </c>
      <c r="R312" s="646">
        <f>SUMIF(S312:AD312,B313,S313:AD313)</f>
        <v>0</v>
      </c>
      <c r="S312" s="769" t="s">
        <v>1185</v>
      </c>
      <c r="T312" s="769" t="s">
        <v>1186</v>
      </c>
      <c r="U312" s="769" t="s">
        <v>1187</v>
      </c>
      <c r="V312" s="769" t="s">
        <v>1188</v>
      </c>
      <c r="W312" s="769" t="s">
        <v>1924</v>
      </c>
      <c r="X312" s="769" t="s">
        <v>1925</v>
      </c>
      <c r="Y312" s="769" t="s">
        <v>673</v>
      </c>
      <c r="Z312" s="769" t="s">
        <v>674</v>
      </c>
      <c r="AA312" s="769" t="s">
        <v>675</v>
      </c>
      <c r="AB312" s="769" t="s">
        <v>676</v>
      </c>
      <c r="AC312" s="769" t="s">
        <v>677</v>
      </c>
      <c r="AD312" s="769" t="s">
        <v>678</v>
      </c>
      <c r="AE312" s="18"/>
      <c r="AF312" s="18"/>
      <c r="AG312" s="18"/>
      <c r="AH312" s="18"/>
      <c r="AI312" s="18"/>
      <c r="AJ312" s="18"/>
      <c r="AK312" s="18"/>
      <c r="AL312" s="18"/>
      <c r="AM312" s="18"/>
      <c r="AN312" s="18"/>
      <c r="AO312" s="18"/>
      <c r="AP312" s="18"/>
      <c r="AQ312" s="18"/>
      <c r="AR312" s="18"/>
      <c r="AS312" s="18"/>
      <c r="AT312" s="18"/>
    </row>
    <row r="313" spans="2:84" ht="15" customHeight="1" x14ac:dyDescent="0.2">
      <c r="B313" s="1629"/>
      <c r="C313" s="1629"/>
      <c r="D313" s="1629"/>
      <c r="E313" s="1629"/>
      <c r="F313" s="1629"/>
      <c r="G313" s="1629"/>
      <c r="H313" s="1629"/>
      <c r="I313" s="1629"/>
      <c r="J313" s="1629"/>
      <c r="K313" s="1629"/>
      <c r="L313" s="1629"/>
      <c r="M313" s="1629"/>
      <c r="N313" s="1629"/>
      <c r="O313" s="1629"/>
      <c r="P313" s="1732"/>
      <c r="R313" s="1379" t="s">
        <v>679</v>
      </c>
      <c r="S313" s="776">
        <v>0</v>
      </c>
      <c r="T313" s="776">
        <v>0</v>
      </c>
      <c r="U313" s="776">
        <v>0</v>
      </c>
      <c r="V313" s="776">
        <v>0.05</v>
      </c>
      <c r="W313" s="776">
        <v>0.05</v>
      </c>
      <c r="X313" s="776">
        <v>0.05</v>
      </c>
      <c r="Y313" s="776">
        <v>0.05</v>
      </c>
      <c r="Z313" s="776">
        <v>0.1</v>
      </c>
      <c r="AA313" s="776">
        <v>0.15</v>
      </c>
      <c r="AB313" s="776">
        <v>0.15</v>
      </c>
      <c r="AC313" s="776">
        <v>0.15</v>
      </c>
      <c r="AD313" s="776">
        <v>0.2</v>
      </c>
      <c r="AE313" s="18"/>
      <c r="AF313" s="18"/>
      <c r="AG313" s="18"/>
      <c r="AH313" s="18"/>
      <c r="AI313" s="18"/>
      <c r="AJ313" s="18"/>
      <c r="AK313" s="18"/>
      <c r="AL313" s="18"/>
      <c r="AM313" s="18"/>
      <c r="AN313" s="18"/>
      <c r="AO313" s="18"/>
      <c r="AP313" s="18"/>
      <c r="AQ313" s="18"/>
      <c r="AR313" s="18"/>
      <c r="AS313" s="18"/>
      <c r="AT313" s="18"/>
    </row>
    <row r="314" spans="2:84" ht="18" customHeight="1" x14ac:dyDescent="0.2">
      <c r="B314" s="1653" t="s">
        <v>680</v>
      </c>
      <c r="C314" s="1654"/>
      <c r="D314" s="1654"/>
      <c r="E314" s="1654"/>
      <c r="F314" s="1654"/>
      <c r="G314" s="1654"/>
      <c r="H314" s="1654"/>
      <c r="I314" s="1654"/>
      <c r="J314" s="1654"/>
      <c r="K314" s="1654"/>
      <c r="L314" s="1654"/>
      <c r="M314" s="1654"/>
      <c r="N314" s="1654"/>
      <c r="O314" s="1655"/>
      <c r="P314" s="1733"/>
      <c r="R314" s="1379"/>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row>
    <row r="315" spans="2:84" ht="12" customHeight="1" x14ac:dyDescent="0.2">
      <c r="B315" s="1395"/>
      <c r="C315" s="1395"/>
      <c r="D315" s="1395"/>
      <c r="E315" s="1395"/>
      <c r="F315" s="1395"/>
      <c r="G315" s="1395"/>
      <c r="H315" s="1395"/>
      <c r="I315" s="1395"/>
      <c r="J315" s="1395"/>
      <c r="K315" s="1395"/>
      <c r="L315" s="1395"/>
      <c r="M315" s="1395"/>
      <c r="N315" s="1395"/>
      <c r="O315" s="1395"/>
      <c r="P315" s="182"/>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row>
    <row r="316" spans="2:84" ht="15" customHeight="1" x14ac:dyDescent="0.2">
      <c r="B316" s="1555" t="s">
        <v>1595</v>
      </c>
      <c r="C316" s="1555"/>
      <c r="D316" s="1555"/>
      <c r="E316" s="1555"/>
      <c r="F316" s="1555"/>
      <c r="G316" s="1555"/>
      <c r="H316" s="1555"/>
      <c r="I316" s="1555"/>
      <c r="J316" s="1555"/>
      <c r="K316" s="1555"/>
      <c r="L316" s="1555"/>
      <c r="M316" s="1555"/>
      <c r="N316" s="1555"/>
      <c r="O316" s="1555"/>
      <c r="P316" s="1373">
        <f>IF(R329=1,"ERROR",IF(AND(AD320&gt;0,AD320&lt;0.01),0.01,ROUND(AD320,2)))</f>
        <v>0</v>
      </c>
      <c r="R316" s="18"/>
      <c r="S316" s="18"/>
      <c r="T316" s="1379" t="s">
        <v>1258</v>
      </c>
      <c r="U316" s="1379" t="s">
        <v>1258</v>
      </c>
      <c r="V316" s="18"/>
      <c r="W316" s="18"/>
      <c r="X316" s="18"/>
      <c r="Y316" s="18"/>
      <c r="Z316" s="18">
        <v>2</v>
      </c>
      <c r="AA316" s="18"/>
      <c r="AB316" s="18"/>
      <c r="AC316" s="784"/>
      <c r="AD316" s="784"/>
      <c r="AE316" s="18"/>
      <c r="AF316" s="18"/>
      <c r="AG316" s="18"/>
      <c r="AH316" s="18"/>
      <c r="AI316" s="18"/>
      <c r="AJ316" s="18"/>
      <c r="AK316" s="18"/>
      <c r="AL316" s="18"/>
      <c r="AM316" s="18"/>
      <c r="AN316" s="18"/>
      <c r="AO316" s="18"/>
      <c r="AP316" s="18"/>
      <c r="AQ316" s="18"/>
      <c r="AR316" s="18"/>
      <c r="AS316" s="18"/>
      <c r="AT316" s="18"/>
    </row>
    <row r="317" spans="2:84" ht="27" customHeight="1" x14ac:dyDescent="0.2">
      <c r="B317" s="23" t="s">
        <v>1667</v>
      </c>
      <c r="C317" s="1555" t="s">
        <v>1596</v>
      </c>
      <c r="D317" s="1555"/>
      <c r="E317" s="1555"/>
      <c r="F317" s="1555"/>
      <c r="G317" s="1536" t="s">
        <v>1081</v>
      </c>
      <c r="H317" s="1536"/>
      <c r="I317" s="1536"/>
      <c r="J317" s="1536"/>
      <c r="K317" s="1555"/>
      <c r="L317" s="1555"/>
      <c r="M317" s="1555"/>
      <c r="N317" s="1555"/>
      <c r="O317" s="1555"/>
      <c r="P317" s="1373"/>
      <c r="R317" s="18"/>
      <c r="S317" s="18"/>
      <c r="T317" s="1560"/>
      <c r="U317" s="1560"/>
      <c r="V317" s="18"/>
      <c r="W317" s="18"/>
      <c r="X317" s="18"/>
      <c r="Y317" s="18"/>
      <c r="Z317" s="18"/>
      <c r="AA317" s="1598" t="s">
        <v>2262</v>
      </c>
      <c r="AB317" s="1599"/>
      <c r="AC317" s="1599"/>
      <c r="AD317" s="1600"/>
      <c r="AE317" s="1068"/>
      <c r="AF317" s="18"/>
      <c r="AG317" s="18"/>
      <c r="AH317" s="18"/>
      <c r="AI317" s="18"/>
      <c r="AJ317" s="18"/>
      <c r="AK317" s="18"/>
      <c r="AL317" s="18"/>
      <c r="AM317" s="18"/>
      <c r="AN317" s="18"/>
      <c r="AO317" s="18"/>
      <c r="AP317" s="18"/>
      <c r="AQ317" s="18"/>
      <c r="AR317" s="18"/>
      <c r="AS317" s="18"/>
      <c r="AT317" s="18"/>
    </row>
    <row r="318" spans="2:84" ht="18" customHeight="1" x14ac:dyDescent="0.2">
      <c r="B318" s="23"/>
      <c r="C318" s="1555" t="s">
        <v>365</v>
      </c>
      <c r="D318" s="1555"/>
      <c r="E318" s="1555" t="s">
        <v>1796</v>
      </c>
      <c r="F318" s="1555"/>
      <c r="G318" s="1555" t="s">
        <v>365</v>
      </c>
      <c r="H318" s="1555"/>
      <c r="I318" s="1555" t="s">
        <v>1796</v>
      </c>
      <c r="J318" s="1555"/>
      <c r="K318" s="1555"/>
      <c r="L318" s="1555"/>
      <c r="M318" s="1555"/>
      <c r="N318" s="1555"/>
      <c r="O318" s="1555"/>
      <c r="P318" s="1373"/>
      <c r="R318" s="1025"/>
      <c r="S318" s="1024" t="s">
        <v>1655</v>
      </c>
      <c r="T318" s="1022" t="s">
        <v>1596</v>
      </c>
      <c r="U318" s="774" t="s">
        <v>1597</v>
      </c>
      <c r="V318" s="1555" t="s">
        <v>1083</v>
      </c>
      <c r="W318" s="1555"/>
      <c r="X318" s="1555"/>
      <c r="Y318" s="1555"/>
      <c r="Z318" s="784"/>
      <c r="AA318" s="1601"/>
      <c r="AB318" s="1602"/>
      <c r="AC318" s="1602"/>
      <c r="AD318" s="1603"/>
      <c r="AE318" s="1068"/>
      <c r="AF318" s="18"/>
      <c r="AG318" s="18"/>
      <c r="AH318" s="18"/>
      <c r="AI318" s="18"/>
      <c r="AJ318" s="18"/>
      <c r="AK318" s="18"/>
      <c r="AL318" s="18"/>
      <c r="AM318" s="18"/>
      <c r="AN318" s="18"/>
      <c r="AO318" s="18"/>
      <c r="AP318" s="18"/>
      <c r="AQ318" s="18"/>
      <c r="AR318" s="18"/>
      <c r="AS318" s="18"/>
      <c r="AT318" s="18"/>
    </row>
    <row r="319" spans="2:84" ht="13.5" customHeight="1" x14ac:dyDescent="0.2">
      <c r="B319" s="185" t="s">
        <v>681</v>
      </c>
      <c r="C319" s="1308"/>
      <c r="D319" s="1308"/>
      <c r="E319" s="1558">
        <f>UETable!BF51</f>
        <v>0</v>
      </c>
      <c r="F319" s="1558"/>
      <c r="G319" s="1308"/>
      <c r="H319" s="1308"/>
      <c r="I319" s="1538">
        <f>IF(C319="",0,IF(OR(C319&lt;=0,G319&lt;=0),E319,IF(G319&lt;C319,0,UETable!BK51)))</f>
        <v>0</v>
      </c>
      <c r="J319" s="1538"/>
      <c r="K319" s="1556" t="str">
        <f>IF(OR(C319="NA",G319="NA"),"",IF(AND(C319&lt;&gt;"",G319=""),"Enter contralateral or NA.",IF(AND(C319="",G319&lt;&gt;""),"Need data","")))</f>
        <v/>
      </c>
      <c r="L319" s="1556"/>
      <c r="M319" s="1556"/>
      <c r="N319" s="1556"/>
      <c r="O319" s="1556"/>
      <c r="P319" s="1373"/>
      <c r="R319" s="160"/>
      <c r="S319" s="1024">
        <v>70</v>
      </c>
      <c r="T319" s="1021" t="str">
        <f>IF(OR(C319="",C319="NA"),"",IF(C319&gt;S319,S319,IF(C319&lt;0,0,C319)))</f>
        <v/>
      </c>
      <c r="U319" s="769" t="str">
        <f>IF(OR(G319="",G319="NA"),"",IF(G319&gt;S319,S319,IF(G319&lt;0,0,G319)))</f>
        <v/>
      </c>
      <c r="V319" s="696" t="str">
        <f>IF(Y319="","",ROUND(Y319,0))</f>
        <v/>
      </c>
      <c r="W319" s="1555" t="s">
        <v>1203</v>
      </c>
      <c r="X319" s="1555"/>
      <c r="Y319" s="697" t="str">
        <f>IF(T319="","",IF(OR(U319="",U319=0,U319&lt;T319),T319,(T319*70)/U319))</f>
        <v/>
      </c>
      <c r="Z319" s="18"/>
      <c r="AA319" s="1604"/>
      <c r="AB319" s="1605"/>
      <c r="AC319" s="1605"/>
      <c r="AD319" s="1606"/>
      <c r="AE319" s="1066">
        <f>IF(OR(E321&gt;0,E325&gt;0,E329&gt;0),1,0)</f>
        <v>0</v>
      </c>
      <c r="AF319" s="18"/>
      <c r="AG319" s="18"/>
      <c r="AH319" s="18"/>
      <c r="AI319" s="18"/>
      <c r="AJ319" s="18"/>
      <c r="AK319" s="18"/>
      <c r="AL319" s="18"/>
      <c r="AM319" s="18"/>
      <c r="AN319" s="18"/>
      <c r="AO319" s="18"/>
      <c r="AP319" s="18"/>
      <c r="AQ319" s="18"/>
      <c r="AR319" s="18"/>
      <c r="AS319" s="18"/>
      <c r="AT319" s="18"/>
    </row>
    <row r="320" spans="2:84" ht="13.5" customHeight="1" x14ac:dyDescent="0.2">
      <c r="B320" s="185" t="s">
        <v>682</v>
      </c>
      <c r="C320" s="1308"/>
      <c r="D320" s="1308"/>
      <c r="E320" s="1558">
        <f>UETable!BF52</f>
        <v>0</v>
      </c>
      <c r="F320" s="1558"/>
      <c r="G320" s="1308"/>
      <c r="H320" s="1308"/>
      <c r="I320" s="1538">
        <f>IF(C320="",0,IF(OR(C320&gt;=70,G320&gt;=70),E320,IF(G320&gt;C320,0,UETable!BK52)))</f>
        <v>0</v>
      </c>
      <c r="J320" s="1538"/>
      <c r="K320" s="1556" t="str">
        <f>IF(OR(C320="NA",G320="NA"),"",IF(AND(C320&lt;&gt;"",G320=""),"Enter contralateral or NA.",IF(AND(C320="",G320&lt;&gt;""),"Need data","")))</f>
        <v/>
      </c>
      <c r="L320" s="1556"/>
      <c r="M320" s="1556"/>
      <c r="N320" s="1556"/>
      <c r="O320" s="1556"/>
      <c r="P320" s="1373"/>
      <c r="R320" s="1029"/>
      <c r="S320" s="1024">
        <v>70</v>
      </c>
      <c r="T320" s="1021" t="str">
        <f>IF(OR(C320="",C320="NA"),"",IF(C320&gt;S320,S320,IF(C320&lt;0,0,C320)))</f>
        <v/>
      </c>
      <c r="U320" s="769" t="str">
        <f>IF(OR(G320="",G320="NA"),"",IF(G320&gt;S320,S320,IF(G320&lt;0,0,G320)))</f>
        <v/>
      </c>
      <c r="V320" s="696" t="str">
        <f>IF(Y320="","",ROUND(Y320,0))</f>
        <v/>
      </c>
      <c r="W320" s="769">
        <f>IF(T320="",0,70-T320)</f>
        <v>0</v>
      </c>
      <c r="X320" s="769">
        <f>IF(U320="",0,70-U320)</f>
        <v>0</v>
      </c>
      <c r="Y320" s="697" t="str">
        <f>IF(T320="","",IF(OR(U320="",U320=0,U320&gt;T320),T320,70-(W320*70)/X320))</f>
        <v/>
      </c>
      <c r="Z320" s="18"/>
      <c r="AA320" s="243">
        <f>IF(E321&gt;0,O322,IF(AND(E321=0,AE319=1,O322&gt;0,C331&gt;0),C331*O322,O322))</f>
        <v>0</v>
      </c>
      <c r="AB320" s="243">
        <f>IF(E325&gt;0,O326,IF(AND(E325=0,AE319=1,O326&gt;0,C331&gt;0),C331*O326,O326))</f>
        <v>0</v>
      </c>
      <c r="AC320" s="1055">
        <f>IF(E329&gt;0,O330,IF(AND(E329=0,AE319=1,O330&gt;0,C331&gt;0),C331*O330,O330))</f>
        <v>0</v>
      </c>
      <c r="AD320" s="243">
        <f>IF(AND(AE319=0,C331&gt;0),C331*AD328,AD328)</f>
        <v>0</v>
      </c>
      <c r="AE320" s="1066">
        <f>IF(AD323=AD324,1,0)</f>
        <v>1</v>
      </c>
      <c r="AF320" s="18"/>
      <c r="AG320" s="18"/>
      <c r="AH320" s="18"/>
      <c r="AI320" s="18"/>
      <c r="AJ320" s="18"/>
      <c r="AK320" s="18"/>
      <c r="AL320" s="18"/>
      <c r="AM320" s="18"/>
      <c r="AN320" s="18"/>
      <c r="AO320" s="18"/>
      <c r="AP320" s="18"/>
      <c r="AQ320" s="18"/>
      <c r="AR320" s="18"/>
      <c r="AS320" s="18"/>
      <c r="AT320" s="18"/>
    </row>
    <row r="321" spans="1:109" ht="15" customHeight="1" x14ac:dyDescent="0.2">
      <c r="B321" s="185" t="s">
        <v>683</v>
      </c>
      <c r="C321" s="1308"/>
      <c r="D321" s="1308"/>
      <c r="E321" s="1558">
        <f>IF(AND(C321&lt;&gt;"",C321&lt;&gt;"NA",C320&lt;&gt;"NA",C320&lt;&gt;""),"ERROR",IF(AND(C321&lt;&gt;"",C321&lt;&gt;"NA",C319&lt;&gt;"",C319&lt;&gt;"NA"),"ERROR",UETable!BF53))</f>
        <v>0</v>
      </c>
      <c r="F321" s="1558"/>
      <c r="G321" s="1556" t="str">
        <f>IF(AND(C321&lt;&gt;"",C321&lt;&gt;"NA",C320&lt;&gt;"NA",C320&lt;&gt;""),"ERROR: Cannot rate ROM and ankylosis.",IF(AND(C321&lt;&gt;"",C321&lt;&gt;"NA",C319&lt;&gt;"",C319&lt;&gt;"NA"),"ERROR: Cannot rate ROM and ankylosis.",""))</f>
        <v/>
      </c>
      <c r="H321" s="1556"/>
      <c r="I321" s="1556"/>
      <c r="J321" s="1556"/>
      <c r="K321" s="1556"/>
      <c r="L321" s="1556"/>
      <c r="M321" s="1556"/>
      <c r="N321" s="1556"/>
      <c r="O321" s="1556"/>
      <c r="P321" s="1373"/>
      <c r="R321" s="160"/>
      <c r="S321" s="1024">
        <v>70</v>
      </c>
      <c r="T321" s="1021" t="str">
        <f>IF(OR(C321="",C321="NA"),"",IF(C321&gt;S321,S321,IF(C321&lt;0,0,C321)))</f>
        <v/>
      </c>
      <c r="U321" s="775"/>
      <c r="V321" s="775"/>
      <c r="W321" s="775"/>
      <c r="X321" s="775"/>
      <c r="Y321" s="775"/>
      <c r="Z321" s="18"/>
      <c r="AA321" s="1063"/>
      <c r="AB321" s="1063"/>
      <c r="AC321" s="1063"/>
      <c r="AD321" s="1063"/>
      <c r="AE321" s="1068"/>
      <c r="AF321" s="18"/>
      <c r="AG321" s="18"/>
      <c r="AH321" s="18"/>
      <c r="AI321" s="18"/>
      <c r="AJ321" s="18"/>
      <c r="AK321" s="18"/>
      <c r="AL321" s="18"/>
      <c r="AM321" s="18"/>
      <c r="AN321" s="18"/>
      <c r="AO321" s="18"/>
      <c r="AP321" s="18"/>
      <c r="AQ321" s="18"/>
      <c r="AR321" s="18"/>
      <c r="AS321" s="18"/>
      <c r="AT321" s="18"/>
    </row>
    <row r="322" spans="1:109" x14ac:dyDescent="0.2">
      <c r="B322" s="1613"/>
      <c r="C322" s="1614"/>
      <c r="D322" s="1614"/>
      <c r="E322" s="1614"/>
      <c r="F322" s="1614"/>
      <c r="G322" s="1614"/>
      <c r="H322" s="1614"/>
      <c r="I322" s="1614"/>
      <c r="J322" s="1615"/>
      <c r="K322" s="1568" t="s">
        <v>1842</v>
      </c>
      <c r="L322" s="1568"/>
      <c r="M322" s="1568"/>
      <c r="N322" s="1568"/>
      <c r="O322" s="77">
        <f>IF(E321="ERROR","ERROR",IF(R322&gt;1,1,R322))</f>
        <v>0</v>
      </c>
      <c r="P322" s="1373"/>
      <c r="R322" s="243">
        <f>SUM(I319,I320,E321)</f>
        <v>0</v>
      </c>
      <c r="S322" s="1024"/>
      <c r="T322" s="18"/>
      <c r="U322" s="18"/>
      <c r="V322" s="18"/>
      <c r="W322" s="18"/>
      <c r="X322" s="18"/>
      <c r="Y322" s="18"/>
      <c r="Z322" s="18"/>
      <c r="AA322" s="1068"/>
      <c r="AB322" s="1068"/>
      <c r="AC322" s="1068"/>
      <c r="AD322" s="1068"/>
      <c r="AE322" s="1068"/>
      <c r="AF322" s="18"/>
      <c r="AG322" s="18"/>
      <c r="AH322" s="18"/>
      <c r="AI322" s="18"/>
      <c r="AJ322" s="18"/>
      <c r="AK322" s="18"/>
      <c r="AL322" s="18"/>
      <c r="AM322" s="18"/>
      <c r="AN322" s="18"/>
      <c r="AO322" s="18"/>
      <c r="AP322" s="18"/>
      <c r="AQ322" s="18"/>
      <c r="AR322" s="18"/>
      <c r="AS322" s="18"/>
      <c r="AT322" s="18"/>
    </row>
    <row r="323" spans="1:109" ht="13.5" customHeight="1" x14ac:dyDescent="0.2">
      <c r="B323" s="185" t="s">
        <v>684</v>
      </c>
      <c r="C323" s="1308"/>
      <c r="D323" s="1308"/>
      <c r="E323" s="1558">
        <f>UETable!BF55</f>
        <v>0</v>
      </c>
      <c r="F323" s="1558"/>
      <c r="G323" s="1308"/>
      <c r="H323" s="1308"/>
      <c r="I323" s="1538">
        <f>IF(C323="",0,IF(OR(C323&lt;=0,G323&lt;=0),E323,IF(G323&lt;C323,0,UETable!BK55)))</f>
        <v>0</v>
      </c>
      <c r="J323" s="1538"/>
      <c r="K323" s="1556" t="str">
        <f>IF(OR(C323="NA",G323="NA"),"",IF(AND(C323&lt;&gt;"",G323=""),"Enter contralateral or NA.",IF(AND(C323="",G323&lt;&gt;""),"Need data","")))</f>
        <v/>
      </c>
      <c r="L323" s="1556"/>
      <c r="M323" s="1556"/>
      <c r="N323" s="1556"/>
      <c r="O323" s="1556"/>
      <c r="P323" s="1373"/>
      <c r="R323" s="160"/>
      <c r="S323" s="1024">
        <v>100</v>
      </c>
      <c r="T323" s="1021" t="str">
        <f>IF(OR(C323="",C323="NA"),"",IF(C323&gt;S323,S323,IF(C323&lt;0,0,C323)))</f>
        <v/>
      </c>
      <c r="U323" s="769" t="str">
        <f>IF(OR(G323="",G323="NA"),"",IF(G323&gt;S323,S323,IF(G323&lt;0,0,G323)))</f>
        <v/>
      </c>
      <c r="V323" s="696" t="str">
        <f>IF(Y323="","",ROUND(Y323,0))</f>
        <v/>
      </c>
      <c r="W323" s="1410" t="s">
        <v>1203</v>
      </c>
      <c r="X323" s="1410"/>
      <c r="Y323" s="697" t="str">
        <f>IF(T323="","",IF(OR(U323="",U323=0,U323&lt;T323),T323,(T323*100)/U323))</f>
        <v/>
      </c>
      <c r="Z323" s="18"/>
      <c r="AA323" s="242">
        <f>E321</f>
        <v>0</v>
      </c>
      <c r="AB323" s="242">
        <f>E325</f>
        <v>0</v>
      </c>
      <c r="AC323" s="242">
        <f>E329</f>
        <v>0</v>
      </c>
      <c r="AD323" s="1066">
        <f>COUNTIF(AA323:AC323,"&gt;0")</f>
        <v>0</v>
      </c>
      <c r="AE323" s="1068"/>
      <c r="AF323" s="18"/>
      <c r="AG323" s="18"/>
      <c r="AH323" s="18"/>
      <c r="AI323" s="18"/>
      <c r="AJ323" s="18"/>
      <c r="AK323" s="18"/>
      <c r="AL323" s="18"/>
      <c r="AM323" s="18"/>
      <c r="AN323" s="18"/>
      <c r="AO323" s="18"/>
      <c r="AP323" s="18"/>
      <c r="AQ323" s="18"/>
      <c r="AR323" s="18"/>
      <c r="AS323" s="18"/>
      <c r="AT323" s="18"/>
    </row>
    <row r="324" spans="1:109" ht="13.5" customHeight="1" x14ac:dyDescent="0.2">
      <c r="B324" s="185" t="s">
        <v>685</v>
      </c>
      <c r="C324" s="1308"/>
      <c r="D324" s="1308"/>
      <c r="E324" s="1558">
        <f>UETable!BF56</f>
        <v>0</v>
      </c>
      <c r="F324" s="1558"/>
      <c r="G324" s="1308"/>
      <c r="H324" s="1308"/>
      <c r="I324" s="1538">
        <f>IF(C324="",0,IF(OR(C324&gt;=100,G324&gt;=100),E324,IF(G324&gt;C324,0,UETable!BK56)))</f>
        <v>0</v>
      </c>
      <c r="J324" s="1538"/>
      <c r="K324" s="1556" t="str">
        <f>IF(OR(C324="NA",G324="NA"),"",IF(AND(C324&lt;&gt;"",G324=""),"Enter contralateral or NA.",IF(AND(C324="",G324&lt;&gt;""),"Need data","")))</f>
        <v/>
      </c>
      <c r="L324" s="1556"/>
      <c r="M324" s="1556"/>
      <c r="N324" s="1556"/>
      <c r="O324" s="1556"/>
      <c r="P324" s="1373"/>
      <c r="R324" s="1029"/>
      <c r="S324" s="1024">
        <v>100</v>
      </c>
      <c r="T324" s="1021" t="str">
        <f>IF(OR(C324="",C324="NA"),"",IF(C324&gt;S324,S324,IF(C324&lt;0,0,C324)))</f>
        <v/>
      </c>
      <c r="U324" s="769" t="str">
        <f>IF(OR(G324="",G324="NA"),"",IF(G324&gt;S324,S324,IF(G324&lt;0,0,G324)))</f>
        <v/>
      </c>
      <c r="V324" s="696" t="str">
        <f>IF(Y324="","",ROUND(Y324,0))</f>
        <v/>
      </c>
      <c r="W324" s="769">
        <f>IF(T324="",0,100-T324)</f>
        <v>0</v>
      </c>
      <c r="X324" s="769">
        <f>IF(U324="",0,100-U324)</f>
        <v>0</v>
      </c>
      <c r="Y324" s="697" t="str">
        <f>IF(T324="","",IF(OR(U324="",U324=0,U324&gt;T324),T324,100-(W324*100)/X324))</f>
        <v/>
      </c>
      <c r="Z324" s="18"/>
      <c r="AA324" s="242">
        <f>O322</f>
        <v>0</v>
      </c>
      <c r="AB324" s="242">
        <f>O326</f>
        <v>0</v>
      </c>
      <c r="AC324" s="242">
        <f>O330</f>
        <v>0</v>
      </c>
      <c r="AD324" s="1066">
        <f>COUNTIF(AA324:AC324,"&gt;0")</f>
        <v>0</v>
      </c>
      <c r="AE324" s="1068"/>
      <c r="AF324" s="18"/>
      <c r="AG324" s="18"/>
      <c r="AH324" s="18"/>
      <c r="AI324" s="18"/>
      <c r="AJ324" s="18"/>
      <c r="AK324" s="18"/>
      <c r="AL324" s="18"/>
      <c r="AM324" s="18"/>
      <c r="AN324" s="18"/>
      <c r="AO324" s="18"/>
      <c r="AP324" s="18"/>
      <c r="AQ324" s="18"/>
      <c r="AR324" s="18"/>
      <c r="AS324" s="18"/>
      <c r="AT324" s="18"/>
    </row>
    <row r="325" spans="1:109" ht="15" customHeight="1" x14ac:dyDescent="0.2">
      <c r="B325" s="185" t="s">
        <v>686</v>
      </c>
      <c r="C325" s="1308"/>
      <c r="D325" s="1308"/>
      <c r="E325" s="1558">
        <f>IF(AND(C325&lt;&gt;"",C325&lt;&gt;"NA",C324&lt;&gt;"NA",C324&lt;&gt;""),"ERROR",IF(AND(C325&lt;&gt;"",C325&lt;&gt;"NA",C323&lt;&gt;"",C323&lt;&gt;"NA"),"ERROR",UETable!BF57))</f>
        <v>0</v>
      </c>
      <c r="F325" s="1558"/>
      <c r="G325" s="1556" t="str">
        <f>IF(AND(C325&lt;&gt;"",C325&lt;&gt;"NA",C324&lt;&gt;"NA",C324&lt;&gt;""),"ERROR: Cannot rate ROM and ankylosis.",IF(AND(C325&lt;&gt;"",C325&lt;&gt;"NA",C323&lt;&gt;"",C323&lt;&gt;"NA"),"ERROR: Cannot rate ROM and ankylosis.",""))</f>
        <v/>
      </c>
      <c r="H325" s="1556"/>
      <c r="I325" s="1556"/>
      <c r="J325" s="1556"/>
      <c r="K325" s="1556"/>
      <c r="L325" s="1556"/>
      <c r="M325" s="1556"/>
      <c r="N325" s="1556"/>
      <c r="O325" s="1556"/>
      <c r="P325" s="1373"/>
      <c r="R325" s="1025"/>
      <c r="S325" s="1024">
        <v>100</v>
      </c>
      <c r="T325" s="1021" t="str">
        <f>IF(OR(C325="",C325="NA"),"",IF(C325&gt;S325,S325,IF(C325&lt;0,0,C325)))</f>
        <v/>
      </c>
      <c r="U325" s="18"/>
      <c r="V325" s="18"/>
      <c r="W325" s="18"/>
      <c r="X325" s="18"/>
      <c r="Y325" s="18"/>
      <c r="Z325" s="18"/>
      <c r="AA325" s="1068"/>
      <c r="AB325" s="1068"/>
      <c r="AC325" s="1068"/>
      <c r="AD325" s="1068"/>
      <c r="AE325" s="1068"/>
      <c r="AF325" s="18"/>
      <c r="AG325" s="18"/>
      <c r="AH325" s="18"/>
      <c r="AI325" s="18"/>
      <c r="AJ325" s="18"/>
      <c r="AK325" s="18"/>
      <c r="AL325" s="18"/>
      <c r="AM325" s="18"/>
      <c r="AN325" s="18"/>
      <c r="AO325" s="18"/>
      <c r="AP325" s="18"/>
      <c r="AQ325" s="18"/>
      <c r="AR325" s="18"/>
      <c r="AS325" s="18"/>
      <c r="AT325" s="18"/>
    </row>
    <row r="326" spans="1:109" x14ac:dyDescent="0.2">
      <c r="B326" s="1613"/>
      <c r="C326" s="1614"/>
      <c r="D326" s="1614"/>
      <c r="E326" s="1614"/>
      <c r="F326" s="1614"/>
      <c r="G326" s="1614"/>
      <c r="H326" s="1614"/>
      <c r="I326" s="1614"/>
      <c r="J326" s="1615"/>
      <c r="K326" s="1568" t="s">
        <v>1842</v>
      </c>
      <c r="L326" s="1568"/>
      <c r="M326" s="1568"/>
      <c r="N326" s="1568"/>
      <c r="O326" s="77">
        <f>IF(E325="ERROR","ERROR",IF(R326&gt;1,1,R326))</f>
        <v>0</v>
      </c>
      <c r="P326" s="1373"/>
      <c r="R326" s="243">
        <f>SUM(I323,I324,E325)</f>
        <v>0</v>
      </c>
      <c r="S326" s="1024"/>
      <c r="T326" s="18"/>
      <c r="U326" s="18"/>
      <c r="V326" s="18"/>
      <c r="W326" s="18"/>
      <c r="X326" s="18"/>
      <c r="Y326" s="18"/>
      <c r="Z326" s="18"/>
      <c r="AA326" s="1071" t="s">
        <v>1307</v>
      </c>
      <c r="AB326" s="1071" t="s">
        <v>1305</v>
      </c>
      <c r="AC326" s="1064" t="s">
        <v>1306</v>
      </c>
      <c r="AD326" s="1064" t="s">
        <v>1307</v>
      </c>
      <c r="AE326" s="1068"/>
      <c r="AF326" s="18"/>
      <c r="AG326" s="18"/>
      <c r="AH326" s="18"/>
      <c r="AI326" s="18"/>
      <c r="AJ326" s="18"/>
      <c r="AK326" s="18"/>
      <c r="AL326" s="18"/>
      <c r="AM326" s="18"/>
      <c r="AN326" s="18"/>
      <c r="AO326" s="18"/>
      <c r="AP326" s="18"/>
      <c r="AQ326" s="18"/>
      <c r="AR326" s="18"/>
      <c r="AS326" s="18"/>
      <c r="AT326" s="18"/>
    </row>
    <row r="327" spans="1:109" ht="13.5" customHeight="1" x14ac:dyDescent="0.2">
      <c r="B327" s="185" t="s">
        <v>1578</v>
      </c>
      <c r="C327" s="1308"/>
      <c r="D327" s="1308"/>
      <c r="E327" s="1558">
        <f>UETable!BF59</f>
        <v>0</v>
      </c>
      <c r="F327" s="1558"/>
      <c r="G327" s="1308"/>
      <c r="H327" s="1308"/>
      <c r="I327" s="1538">
        <f>IF(C327="",0,IF(OR(C327&lt;=0,G327&lt;=0),E327,IF(G327&lt;C327,0,UETable!BK59)))</f>
        <v>0</v>
      </c>
      <c r="J327" s="1538"/>
      <c r="K327" s="1556" t="str">
        <f>IF(OR(C327="NA",G327="NA"),"",IF(AND(C327&lt;&gt;"",G327=""),"Enter contralateral or NA.",IF(AND(C327="",G327&lt;&gt;""),"Need data","")))</f>
        <v/>
      </c>
      <c r="L327" s="1556"/>
      <c r="M327" s="1556"/>
      <c r="N327" s="1556"/>
      <c r="O327" s="1556"/>
      <c r="P327" s="1373"/>
      <c r="R327" s="1025"/>
      <c r="S327" s="1024">
        <v>90</v>
      </c>
      <c r="T327" s="1021" t="str">
        <f>IF(OR(C327="",C327="NA"),"",IF(C327&gt;S327,S327,IF(C327&lt;0,0,C327)))</f>
        <v/>
      </c>
      <c r="U327" s="769" t="str">
        <f>IF(OR(G327="",G327="NA"),"",IF(G327&gt;S327,S327,IF(G327&lt;0,0,G327)))</f>
        <v/>
      </c>
      <c r="V327" s="696" t="str">
        <f>IF(Y327="","",ROUND(Y327,0))</f>
        <v/>
      </c>
      <c r="W327" s="1410" t="s">
        <v>1203</v>
      </c>
      <c r="X327" s="1410"/>
      <c r="Y327" s="697" t="str">
        <f>IF(T327="","",IF(OR(U327="",U327=0,U327&lt;T327),T327,(T327*90)/U327))</f>
        <v/>
      </c>
      <c r="Z327" s="18"/>
      <c r="AA327" s="1070">
        <f>IF(AND(AA320&gt;0,AA320&lt;0.01),0.01,ROUND(AA320,2))</f>
        <v>0</v>
      </c>
      <c r="AB327" s="1069">
        <f>LARGE(AA327:AA329,1)</f>
        <v>0</v>
      </c>
      <c r="AC327" s="1070">
        <f>AB327+AB328*(1-AB327)</f>
        <v>0</v>
      </c>
      <c r="AD327" s="1070">
        <f>ROUND(AC327,2)</f>
        <v>0</v>
      </c>
      <c r="AE327" s="1068"/>
      <c r="AF327" s="18"/>
      <c r="AG327" s="18"/>
      <c r="AH327" s="18"/>
      <c r="AI327" s="18"/>
      <c r="AJ327" s="18"/>
      <c r="AK327" s="18"/>
      <c r="AL327" s="18"/>
      <c r="AM327" s="18"/>
      <c r="AN327" s="18"/>
      <c r="AO327" s="18"/>
      <c r="AP327" s="18"/>
      <c r="AQ327" s="18"/>
      <c r="AR327" s="18"/>
      <c r="AS327" s="18"/>
      <c r="AT327" s="18"/>
    </row>
    <row r="328" spans="1:109" ht="13.5" customHeight="1" x14ac:dyDescent="0.2">
      <c r="B328" s="185" t="s">
        <v>1579</v>
      </c>
      <c r="C328" s="1308"/>
      <c r="D328" s="1308"/>
      <c r="E328" s="1558">
        <f>UETable!BF60</f>
        <v>0</v>
      </c>
      <c r="F328" s="1558"/>
      <c r="G328" s="1308"/>
      <c r="H328" s="1308"/>
      <c r="I328" s="1538">
        <f>IF(C328="",0,IF(OR(C328&gt;=90,G328&gt;=90),E328,IF(G328&gt;C328,0,UETable!BK60)))</f>
        <v>0</v>
      </c>
      <c r="J328" s="1538"/>
      <c r="K328" s="1556" t="str">
        <f>IF(OR(C328="NA",G328="NA"),"",IF(AND(C328&lt;&gt;"",G328=""),"Enter contralateral or NA.",IF(AND(C328="",G328&lt;&gt;""),"Need data","")))</f>
        <v/>
      </c>
      <c r="L328" s="1556"/>
      <c r="M328" s="1556"/>
      <c r="N328" s="1556"/>
      <c r="O328" s="1556"/>
      <c r="P328" s="1373"/>
      <c r="R328" s="1025"/>
      <c r="S328" s="1024">
        <v>90</v>
      </c>
      <c r="T328" s="1021" t="str">
        <f>IF(OR(C328="",C328="NA"),"",IF(C328&gt;S328,S328,IF(C328&lt;0,0,C328)))</f>
        <v/>
      </c>
      <c r="U328" s="769" t="str">
        <f>IF(OR(G328="",G328="NA"),"",IF(G328&gt;S328,S328,IF(G328&lt;0,0,G328)))</f>
        <v/>
      </c>
      <c r="V328" s="696" t="str">
        <f>IF(Y328="","",ROUND(Y328,0))</f>
        <v/>
      </c>
      <c r="W328" s="769">
        <f>IF(T328="",0,90-T328)</f>
        <v>0</v>
      </c>
      <c r="X328" s="769">
        <f>IF(U328="",0,90-U328)</f>
        <v>0</v>
      </c>
      <c r="Y328" s="697" t="str">
        <f>IF(T328="","",IF(OR(U328="",U328=0,U328&gt;T328),T328,90-(W328*90)/X328))</f>
        <v/>
      </c>
      <c r="Z328" s="18"/>
      <c r="AA328" s="1070">
        <f>IF(AND(AB320&gt;0,AB320&lt;0.01),0.01,ROUND(AB320,2))</f>
        <v>0</v>
      </c>
      <c r="AB328" s="1069">
        <f>LARGE(AA327:AA329,2)</f>
        <v>0</v>
      </c>
      <c r="AC328" s="684">
        <f>AD327+AB329*(1-AD327)</f>
        <v>0</v>
      </c>
      <c r="AD328" s="1070">
        <f>ROUND(AC328,2)</f>
        <v>0</v>
      </c>
      <c r="AE328" s="1068"/>
      <c r="AF328" s="18"/>
      <c r="AG328" s="18"/>
      <c r="AH328" s="18"/>
      <c r="AI328" s="18"/>
      <c r="AJ328" s="18"/>
      <c r="AK328" s="18"/>
      <c r="AL328" s="18"/>
      <c r="AM328" s="18"/>
      <c r="AN328" s="18"/>
      <c r="AO328" s="18"/>
      <c r="AP328" s="18"/>
      <c r="AQ328" s="18"/>
      <c r="AR328" s="18"/>
      <c r="AS328" s="18"/>
      <c r="AT328" s="18"/>
    </row>
    <row r="329" spans="1:109" ht="15" customHeight="1" x14ac:dyDescent="0.2">
      <c r="B329" s="185" t="s">
        <v>643</v>
      </c>
      <c r="C329" s="1308"/>
      <c r="D329" s="1308"/>
      <c r="E329" s="1558">
        <f>IF(AND(C329&lt;&gt;"",C329&lt;&gt;"NA",C328&lt;&gt;"NA",C328&lt;&gt;""),"ERROR",IF(AND(C329&lt;&gt;"",C329&lt;&gt;"NA",C327&lt;&gt;"",C327&lt;&gt;"NA"),"ERROR",UETable!BF61))</f>
        <v>0</v>
      </c>
      <c r="F329" s="1558"/>
      <c r="G329" s="1556" t="str">
        <f>IF(AND(C329&lt;&gt;"",C329&lt;&gt;"NA",C328&lt;&gt;"NA",C328&lt;&gt;""),"ERROR: Cannot rate ROM and ankylosis.",IF(AND(C329&lt;&gt;"",C329&lt;&gt;"NA",C327&lt;&gt;"",C327&lt;&gt;"NA"),"ERROR: Cannot rate ROM and ankylosis.",""))</f>
        <v/>
      </c>
      <c r="H329" s="1556"/>
      <c r="I329" s="1556"/>
      <c r="J329" s="1556"/>
      <c r="K329" s="1556"/>
      <c r="L329" s="1556"/>
      <c r="M329" s="1556"/>
      <c r="N329" s="1556"/>
      <c r="O329" s="1556"/>
      <c r="P329" s="1373"/>
      <c r="R329" s="1024">
        <f>IF(OR(O322="ERROR",O326="ERROR",O330="ERROR"),1,0)</f>
        <v>0</v>
      </c>
      <c r="S329" s="1021">
        <v>90</v>
      </c>
      <c r="T329" s="1021" t="str">
        <f>IF(OR(C329="",C329="NA"),"",IF(C329&gt;S329,S329,IF(C329&lt;0,0,C329)))</f>
        <v/>
      </c>
      <c r="U329" s="18"/>
      <c r="V329" s="18"/>
      <c r="W329" s="18"/>
      <c r="X329" s="18"/>
      <c r="Y329" s="18"/>
      <c r="Z329" s="18"/>
      <c r="AA329" s="1070">
        <f>IF(AND(AC320&gt;0,AC320&lt;0.01),0.01,ROUND(AC320,2))</f>
        <v>0</v>
      </c>
      <c r="AB329" s="1069">
        <f>LARGE(AA327:AA329,3)</f>
        <v>0</v>
      </c>
      <c r="AC329" s="1063"/>
      <c r="AD329" s="1063"/>
      <c r="AE329" s="1068"/>
      <c r="AF329" s="18"/>
      <c r="AG329" s="18"/>
      <c r="AH329" s="18"/>
      <c r="AI329" s="18"/>
      <c r="AJ329" s="18"/>
      <c r="AK329" s="18"/>
      <c r="AL329" s="18"/>
      <c r="AM329" s="18"/>
      <c r="AN329" s="18"/>
      <c r="AO329" s="18"/>
      <c r="AP329" s="18"/>
      <c r="AQ329" s="18"/>
      <c r="AR329" s="18"/>
      <c r="AS329" s="18"/>
      <c r="AT329" s="18"/>
    </row>
    <row r="330" spans="1:109" ht="12.75" customHeight="1" x14ac:dyDescent="0.2">
      <c r="B330" s="1045"/>
      <c r="C330" s="1046"/>
      <c r="D330" s="1046"/>
      <c r="E330" s="1796" t="str">
        <f>IF(AND(OR(E321&gt;0,E325&gt;0,E329&gt;0),C331&gt;0),"Note: Ankylosis is not apportioned.","")</f>
        <v/>
      </c>
      <c r="F330" s="1796"/>
      <c r="G330" s="1796"/>
      <c r="H330" s="1796"/>
      <c r="I330" s="1796"/>
      <c r="J330" s="1568" t="s">
        <v>1842</v>
      </c>
      <c r="K330" s="1568"/>
      <c r="L330" s="1568"/>
      <c r="M330" s="1568"/>
      <c r="N330" s="1568"/>
      <c r="O330" s="77">
        <f>IF(E329="ERROR","ERROR",IF(R330&gt;1,1,R330))</f>
        <v>0</v>
      </c>
      <c r="P330" s="1373"/>
      <c r="R330" s="243">
        <f>SUM(I327,I328,E329)</f>
        <v>0</v>
      </c>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row>
    <row r="331" spans="1:109" ht="18" customHeight="1" x14ac:dyDescent="0.2">
      <c r="B331" s="1067" t="s">
        <v>2259</v>
      </c>
      <c r="C331" s="1544"/>
      <c r="D331" s="1577"/>
      <c r="E331" s="1796"/>
      <c r="F331" s="1796"/>
      <c r="G331" s="1796"/>
      <c r="H331" s="1796"/>
      <c r="I331" s="1796"/>
      <c r="J331" s="1568" t="s">
        <v>200</v>
      </c>
      <c r="K331" s="1568"/>
      <c r="L331" s="1568"/>
      <c r="M331" s="1568"/>
      <c r="N331" s="1568"/>
      <c r="O331" s="1568"/>
      <c r="P331" s="1373"/>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row>
    <row r="332" spans="1:109" ht="12" customHeight="1" x14ac:dyDescent="0.2">
      <c r="B332" s="1395"/>
      <c r="C332" s="1395"/>
      <c r="D332" s="1395"/>
      <c r="E332" s="1395"/>
      <c r="F332" s="1395"/>
      <c r="G332" s="1395"/>
      <c r="H332" s="1395"/>
      <c r="I332" s="1395"/>
      <c r="J332" s="1395"/>
      <c r="K332" s="1395"/>
      <c r="L332" s="1395"/>
      <c r="M332" s="1395"/>
      <c r="N332" s="1395"/>
      <c r="O332" s="1395"/>
      <c r="P332" s="182"/>
      <c r="R332" s="18"/>
      <c r="S332" s="1487" t="s">
        <v>2197</v>
      </c>
      <c r="T332" s="1487"/>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row>
    <row r="333" spans="1:109" ht="14.25" customHeight="1" x14ac:dyDescent="0.2">
      <c r="A333" s="189"/>
      <c r="B333" s="1581" t="s">
        <v>971</v>
      </c>
      <c r="C333" s="1582"/>
      <c r="D333" s="1543"/>
      <c r="E333" s="1543"/>
      <c r="F333" s="1587" t="s">
        <v>1229</v>
      </c>
      <c r="G333" s="1587"/>
      <c r="H333" s="1587"/>
      <c r="I333" s="1587"/>
      <c r="J333" s="1587"/>
      <c r="K333" s="1587"/>
      <c r="L333" s="1587"/>
      <c r="M333" s="1587"/>
      <c r="N333" s="1587"/>
      <c r="O333" s="1587"/>
      <c r="P333" s="95">
        <f>IF(T333=1,0.1,0)</f>
        <v>0</v>
      </c>
      <c r="R333" s="18"/>
      <c r="S333" s="686" t="b">
        <v>0</v>
      </c>
      <c r="T333" s="769">
        <f>IF(S333=TRUE,1,0)</f>
        <v>0</v>
      </c>
      <c r="W333" s="18"/>
      <c r="X333" s="18"/>
      <c r="Y333" s="18"/>
      <c r="Z333" s="18"/>
      <c r="AA333" s="18"/>
      <c r="AB333" s="18"/>
      <c r="AC333" s="18"/>
      <c r="AD333" s="18"/>
      <c r="AE333" s="18"/>
      <c r="AF333" s="18"/>
      <c r="AG333" s="18">
        <v>1E-4</v>
      </c>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row>
    <row r="334" spans="1:109" x14ac:dyDescent="0.2">
      <c r="B334" s="1583"/>
      <c r="C334" s="1584"/>
      <c r="D334" s="1543"/>
      <c r="E334" s="1543"/>
      <c r="F334" s="1587" t="s">
        <v>1231</v>
      </c>
      <c r="G334" s="1587"/>
      <c r="H334" s="1587"/>
      <c r="I334" s="1587"/>
      <c r="J334" s="1587"/>
      <c r="K334" s="1587"/>
      <c r="L334" s="1587"/>
      <c r="M334" s="1587"/>
      <c r="N334" s="1587"/>
      <c r="O334" s="1587"/>
      <c r="P334" s="95">
        <f>IF(T334=1,0.1,0)</f>
        <v>0</v>
      </c>
      <c r="R334" s="18"/>
      <c r="S334" s="686" t="b">
        <v>0</v>
      </c>
      <c r="T334" s="769">
        <f>IF(S334=TRUE,1,0)</f>
        <v>0</v>
      </c>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row>
    <row r="335" spans="1:109" x14ac:dyDescent="0.2">
      <c r="B335" s="1583"/>
      <c r="C335" s="1584"/>
      <c r="D335" s="1543"/>
      <c r="E335" s="1543"/>
      <c r="F335" s="1587" t="s">
        <v>1230</v>
      </c>
      <c r="G335" s="1587"/>
      <c r="H335" s="1587"/>
      <c r="I335" s="1587"/>
      <c r="J335" s="1587"/>
      <c r="K335" s="1587"/>
      <c r="L335" s="1587"/>
      <c r="M335" s="1587"/>
      <c r="N335" s="1587"/>
      <c r="O335" s="1587"/>
      <c r="P335" s="95">
        <f>IF(T335=1,0.1,0)</f>
        <v>0</v>
      </c>
      <c r="R335" s="18"/>
      <c r="S335" s="686" t="b">
        <v>0</v>
      </c>
      <c r="T335" s="769">
        <f>IF(S335=TRUE,1,0)</f>
        <v>0</v>
      </c>
      <c r="U335" s="164"/>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row>
    <row r="336" spans="1:109" x14ac:dyDescent="0.2">
      <c r="B336" s="1585"/>
      <c r="C336" s="1586"/>
      <c r="D336" s="1543"/>
      <c r="E336" s="1543"/>
      <c r="F336" s="1587" t="s">
        <v>1232</v>
      </c>
      <c r="G336" s="1587"/>
      <c r="H336" s="1587"/>
      <c r="I336" s="1587"/>
      <c r="J336" s="1587"/>
      <c r="K336" s="1587"/>
      <c r="L336" s="1587"/>
      <c r="M336" s="1587"/>
      <c r="N336" s="1587"/>
      <c r="O336" s="1587"/>
      <c r="P336" s="95">
        <f>IF(T336=1,0.1,0)</f>
        <v>0</v>
      </c>
      <c r="R336" s="18"/>
      <c r="S336" s="686" t="b">
        <v>0</v>
      </c>
      <c r="T336" s="769">
        <f>IF(S336=TRUE,1,0)</f>
        <v>0</v>
      </c>
      <c r="U336" s="164"/>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row>
    <row r="337" spans="2:79" ht="12" customHeight="1" x14ac:dyDescent="0.2">
      <c r="B337" s="1395"/>
      <c r="C337" s="1395"/>
      <c r="D337" s="1395"/>
      <c r="E337" s="1395"/>
      <c r="F337" s="1395"/>
      <c r="G337" s="1395"/>
      <c r="H337" s="1395"/>
      <c r="I337" s="1395"/>
      <c r="J337" s="1395"/>
      <c r="K337" s="1395"/>
      <c r="L337" s="1395"/>
      <c r="M337" s="1395"/>
      <c r="N337" s="1395"/>
      <c r="O337" s="1395"/>
      <c r="P337" s="182"/>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row>
    <row r="338" spans="2:79" ht="12" customHeight="1" x14ac:dyDescent="0.2">
      <c r="B338" s="604"/>
      <c r="C338" s="1607" t="s">
        <v>248</v>
      </c>
      <c r="D338" s="1597"/>
      <c r="E338" s="1596" t="s">
        <v>249</v>
      </c>
      <c r="F338" s="1597"/>
      <c r="G338" s="434"/>
      <c r="H338" s="436"/>
      <c r="I338" s="1625" t="s">
        <v>250</v>
      </c>
      <c r="J338" s="1597"/>
      <c r="K338" s="595"/>
      <c r="L338" s="436"/>
      <c r="M338" s="1596" t="s">
        <v>249</v>
      </c>
      <c r="N338" s="1597"/>
      <c r="O338" s="435"/>
      <c r="P338" s="611"/>
      <c r="Z338" s="601"/>
      <c r="AE338" s="600"/>
      <c r="AF338" s="600"/>
      <c r="AG338" s="600"/>
      <c r="AH338" s="600"/>
      <c r="AI338" s="600"/>
      <c r="AJ338" s="600"/>
      <c r="AK338" s="600"/>
      <c r="AL338" s="600"/>
      <c r="AM338" s="600"/>
      <c r="AN338" s="600"/>
    </row>
    <row r="339" spans="2:79" ht="12" customHeight="1" x14ac:dyDescent="0.2">
      <c r="B339" s="605"/>
      <c r="C339" s="1610" t="s">
        <v>251</v>
      </c>
      <c r="D339" s="1580"/>
      <c r="E339" s="1610" t="s">
        <v>252</v>
      </c>
      <c r="F339" s="1580"/>
      <c r="G339" s="1610" t="s">
        <v>253</v>
      </c>
      <c r="H339" s="1580"/>
      <c r="I339" s="1579" t="s">
        <v>254</v>
      </c>
      <c r="J339" s="1580"/>
      <c r="K339" s="1610" t="s">
        <v>255</v>
      </c>
      <c r="L339" s="1580"/>
      <c r="M339" s="1610" t="s">
        <v>256</v>
      </c>
      <c r="N339" s="1580"/>
      <c r="O339" s="3"/>
      <c r="P339" s="612"/>
      <c r="Z339" s="418"/>
      <c r="AE339" s="600"/>
      <c r="AF339" s="600"/>
      <c r="AG339" s="600"/>
      <c r="AH339" s="600"/>
      <c r="AI339" s="600"/>
      <c r="AJ339" s="600"/>
      <c r="AK339" s="600"/>
      <c r="AL339" s="600"/>
      <c r="AM339" s="600"/>
      <c r="AN339" s="600"/>
    </row>
    <row r="340" spans="2:79" ht="12" customHeight="1" x14ac:dyDescent="0.2">
      <c r="B340" s="605"/>
      <c r="C340" s="1552" t="s">
        <v>257</v>
      </c>
      <c r="D340" s="1553"/>
      <c r="E340" s="1552" t="s">
        <v>258</v>
      </c>
      <c r="F340" s="1553"/>
      <c r="G340" s="1552" t="s">
        <v>259</v>
      </c>
      <c r="H340" s="1553"/>
      <c r="I340" s="1635" t="s">
        <v>260</v>
      </c>
      <c r="J340" s="1553"/>
      <c r="K340" s="1552" t="s">
        <v>259</v>
      </c>
      <c r="L340" s="1553"/>
      <c r="M340" s="1552" t="s">
        <v>258</v>
      </c>
      <c r="N340" s="1553"/>
      <c r="O340" s="3"/>
      <c r="P340" s="612"/>
      <c r="AH340" s="783">
        <v>1</v>
      </c>
      <c r="AI340" s="783">
        <v>2</v>
      </c>
      <c r="AJ340" s="783">
        <v>3</v>
      </c>
      <c r="AK340" s="783">
        <v>4</v>
      </c>
      <c r="AM340" s="600"/>
      <c r="AN340" s="600"/>
      <c r="AO340" s="600"/>
      <c r="AP340" s="600"/>
      <c r="AQ340" s="600"/>
      <c r="AR340" s="600"/>
      <c r="AS340" s="600"/>
      <c r="AT340" s="600"/>
      <c r="AU340" s="600"/>
      <c r="AV340" s="600"/>
    </row>
    <row r="341" spans="2:79" ht="12" customHeight="1" x14ac:dyDescent="0.2">
      <c r="B341" s="679" t="s">
        <v>1986</v>
      </c>
      <c r="C341" s="1608" t="s">
        <v>261</v>
      </c>
      <c r="D341" s="1609"/>
      <c r="E341" s="1608" t="s">
        <v>261</v>
      </c>
      <c r="F341" s="1609"/>
      <c r="G341" s="1608" t="s">
        <v>261</v>
      </c>
      <c r="H341" s="1609"/>
      <c r="I341" s="1608" t="s">
        <v>261</v>
      </c>
      <c r="J341" s="1609"/>
      <c r="K341" s="1608" t="s">
        <v>261</v>
      </c>
      <c r="L341" s="1609"/>
      <c r="M341" s="1608" t="s">
        <v>261</v>
      </c>
      <c r="N341" s="1609"/>
      <c r="O341" s="3"/>
      <c r="P341" s="612"/>
      <c r="S341" s="1516" t="s">
        <v>2197</v>
      </c>
      <c r="T341" s="1517"/>
      <c r="U341" s="1517"/>
      <c r="V341" s="1517"/>
      <c r="W341" s="1517"/>
      <c r="X341" s="1518"/>
      <c r="Y341" s="599"/>
      <c r="Z341" s="599"/>
      <c r="AA341" s="1562" t="s">
        <v>2197</v>
      </c>
      <c r="AB341" s="1563"/>
      <c r="AC341" s="1563"/>
      <c r="AD341" s="1563"/>
      <c r="AE341" s="1563"/>
      <c r="AF341" s="1564"/>
      <c r="AG341" s="599"/>
      <c r="AH341" s="1519" t="s">
        <v>2197</v>
      </c>
      <c r="AI341" s="1520"/>
      <c r="AJ341" s="1520"/>
      <c r="AK341" s="1520"/>
      <c r="AL341" s="1520"/>
      <c r="AM341" s="1521"/>
      <c r="AN341" s="772"/>
      <c r="AO341" s="1516" t="s">
        <v>2197</v>
      </c>
      <c r="AP341" s="1517"/>
      <c r="AQ341" s="1517"/>
      <c r="AR341" s="1517"/>
      <c r="AS341" s="1518"/>
      <c r="AT341" s="772"/>
      <c r="AU341" s="1516" t="s">
        <v>2197</v>
      </c>
      <c r="AV341" s="1517"/>
      <c r="AW341" s="1517"/>
      <c r="AX341" s="1518"/>
      <c r="AY341" s="772"/>
      <c r="AZ341" s="1516" t="s">
        <v>2197</v>
      </c>
      <c r="BA341" s="1517"/>
      <c r="BB341" s="1517"/>
      <c r="BC341" s="1517"/>
      <c r="BD341" s="1517"/>
      <c r="BE341" s="1517"/>
      <c r="BF341" s="1517"/>
      <c r="BG341" s="1518"/>
      <c r="BH341" s="772"/>
      <c r="BI341" s="1516" t="s">
        <v>2197</v>
      </c>
      <c r="BJ341" s="1517"/>
      <c r="BK341" s="1517"/>
      <c r="BL341" s="1517"/>
      <c r="BM341" s="1517"/>
      <c r="BN341" s="1518"/>
    </row>
    <row r="342" spans="2:79" s="419" customFormat="1" ht="15" customHeight="1" x14ac:dyDescent="0.2">
      <c r="B342" s="185" t="s">
        <v>1603</v>
      </c>
      <c r="C342" s="1554"/>
      <c r="D342" s="1554"/>
      <c r="E342" s="1554"/>
      <c r="F342" s="1554"/>
      <c r="G342" s="1554"/>
      <c r="H342" s="1554"/>
      <c r="I342" s="1554"/>
      <c r="J342" s="1554"/>
      <c r="K342" s="1554"/>
      <c r="L342" s="1554"/>
      <c r="M342" s="1554"/>
      <c r="N342" s="1554"/>
      <c r="O342" s="613"/>
      <c r="P342" s="614"/>
      <c r="S342" s="369">
        <f>IF(C342="",0,C342)</f>
        <v>0</v>
      </c>
      <c r="T342" s="369">
        <f>IF(AND(E342&lt;&gt;C342,E342&lt;&gt;""),E342,IF(OR(E343&lt;&gt;"",E344&lt;&gt;""),0,S342))</f>
        <v>0</v>
      </c>
      <c r="U342" s="369">
        <f>IF(AND(G342&lt;&gt;E342,G342&lt;&gt;""),G342,IF(OR(G343&lt;&gt;"",G344&lt;&gt;""),0,T342))</f>
        <v>0</v>
      </c>
      <c r="V342" s="369">
        <f>IF(AND(I342&lt;&gt;G342,I342&lt;&gt;""),I342,IF(OR(I343&lt;&gt;"",I344&lt;&gt;""),0,U342))</f>
        <v>0</v>
      </c>
      <c r="W342" s="369">
        <f>IF(AND(K342&lt;&gt;I342,K342&lt;&gt;""),K342,IF(OR(K343&lt;&gt;"",K344&lt;&gt;""),0,V342))</f>
        <v>0</v>
      </c>
      <c r="X342" s="369">
        <f>IF(AND(M342&lt;&gt;K342,M342&lt;&gt;""),M342,IF(OR(M343&lt;&gt;"",M344&lt;&gt;""),0,W342))</f>
        <v>0</v>
      </c>
      <c r="Z342" s="599"/>
      <c r="AA342" s="607">
        <f>IF(C342&gt;1,1,0)</f>
        <v>0</v>
      </c>
      <c r="AB342" s="369">
        <f t="shared" ref="AB342:AF344" si="44">IF(AND(S342&lt;&gt;T342,T342&gt;0),1,0)</f>
        <v>0</v>
      </c>
      <c r="AC342" s="369">
        <f t="shared" si="44"/>
        <v>0</v>
      </c>
      <c r="AD342" s="369">
        <f t="shared" si="44"/>
        <v>0</v>
      </c>
      <c r="AE342" s="369">
        <f t="shared" si="44"/>
        <v>0</v>
      </c>
      <c r="AF342" s="369">
        <f t="shared" si="44"/>
        <v>0</v>
      </c>
      <c r="AH342" s="602">
        <f>IF(S342=1,0,IF(S342=2,0.25,IF(S342=3,0.38,IF(S342=4,0.5,0))))</f>
        <v>0</v>
      </c>
      <c r="AI342" s="602">
        <f>IF(T342=1,0,IF(T342=2,0.23,IF(T342=3,0.35,IF(T342=4,0.45,0))))</f>
        <v>0</v>
      </c>
      <c r="AJ342" s="602">
        <f>IF(U342=1,0,IF(U342=2,0.2,IF(U342=3,0.3,IF(U342=4,0.39,0))))</f>
        <v>0</v>
      </c>
      <c r="AK342" s="602">
        <f>IF(V342=1,0,IF(V342=2,0.17,IF(V342=3,0.25,IF(V342=4,0.33,0))))</f>
        <v>0</v>
      </c>
      <c r="AL342" s="602">
        <f>IF(W342=1,0,IF(W342=2,0.13,IF(W342=3,0.19,IF(W342=4,0.24,0))))</f>
        <v>0</v>
      </c>
      <c r="AM342" s="602">
        <f>IF(X342=1,0,IF(X342=2,0.08,IF(X342=3,0.12,IF(X342=4,0.15,0))))</f>
        <v>0</v>
      </c>
      <c r="AN342" s="603"/>
      <c r="AO342" s="602">
        <f>IF(S342=1,0,IF(S342=2,0.23,IF(S342=3,0.35,IF(S342=4,0.45,0))))</f>
        <v>0</v>
      </c>
      <c r="AP342" s="602">
        <f>IF(T342=1,0,IF(T342=2,0.2,IF(T342=3,0.3,IF(T342=4,0.39,0))))</f>
        <v>0</v>
      </c>
      <c r="AQ342" s="602">
        <f>IF(U342=1,0,IF(U342=2,0.17,IF(U342=3,0.25,IF(U342=4,0.33,0))))</f>
        <v>0</v>
      </c>
      <c r="AR342" s="602">
        <f>IF(V342=1,0,IF(V342=2,0.13,IF(V342=3,0.19,IF(V342=4,0.24,0))))</f>
        <v>0</v>
      </c>
      <c r="AS342" s="602">
        <f>IF(W342=1,0,IF(W342=2,0.08,IF(W342=3,0.12,IF(W342=4,0.15,0))))</f>
        <v>0</v>
      </c>
      <c r="AU342" s="602">
        <f>IF(S342=1,0,IF(S342=2,0.2,IF(S342=3,0.3,IF(S342=4,0.39,0))))</f>
        <v>0</v>
      </c>
      <c r="AV342" s="602">
        <f>IF(T342=1,0,IF(T342=2,0.17,IF(T342=3,0.25,IF(T342=4,0.33,0))))</f>
        <v>0</v>
      </c>
      <c r="AW342" s="602">
        <f>IF(U342=1,0,IF(U342=2,0.13,IF(U342=3,0.19,IF(U342=4,0.24,0))))</f>
        <v>0</v>
      </c>
      <c r="AX342" s="602">
        <f>IF(V342=1,0,IF(V342=2,0.08,IF(V342=3,0.12,IF(V342=4,0.15,0))))</f>
        <v>0</v>
      </c>
      <c r="AZ342" s="602">
        <f>IF(S342=1,0,IF(S342=2,0.17,IF(S342=3,0.25,IF(S342=4,0.33,0))))</f>
        <v>0</v>
      </c>
      <c r="BA342" s="602">
        <f>IF(T342=1,0,IF(T342=2,0.13,IF(T342=3,0.19,IF(T342=4,0.24,0))))</f>
        <v>0</v>
      </c>
      <c r="BB342" s="602">
        <f>IF(U342=1,0,IF(U342=2,0.08,IF(U342=3,0.12,IF(U342=4,0.15,0))))</f>
        <v>0</v>
      </c>
      <c r="BD342" s="602">
        <f>IF(S342=1,0,IF(S342=2,0.13,IF(S342=3,0.19,IF(S342=4,0.24,0))))</f>
        <v>0</v>
      </c>
      <c r="BE342" s="602">
        <f>IF(T342=1,0,IF(T342=2,0.08,IF(T342=3,0.12,IF(T342=4,0.15,0))))</f>
        <v>0</v>
      </c>
      <c r="BG342" s="602">
        <f>IF(S342=1,0,IF(S342=2,0.08,IF(S342=3,0.12,IF(S342=4,0.15,0))))</f>
        <v>0</v>
      </c>
      <c r="BI342" s="602">
        <f>IF(AA342=0,0,IF(OR(AB342=1,AB343=1,AB344=1),AH342-AO342,IF(OR(AC342=1,AC343=1,AC344=1),AH342-AU342,IF(OR(AD342=1,AD343=1,AD344=1),AH342-AZ342,IF(OR(AE342=1,AE343=1,AE344=1),AH342-BD342,IF(OR(AF342=1,AF343=1,AF344=1),AH342-BG342,AH342))))))</f>
        <v>0</v>
      </c>
      <c r="BJ342" s="602">
        <f>IF(AB342=0,0,IF(OR(AC342=1,AC343=1,AC344=1),AI342-AP342,IF(OR(AD342=1,AD343=1,AD344=1),AI342-AV342,IF(OR(AE342=1,AE343=1,AE344=1),AI342-BA342,IF(OR(AF342=1,AF343=1,AF344=1),AI342-BE342,AI342)))))</f>
        <v>0</v>
      </c>
      <c r="BK342" s="602">
        <f>IF(AC342=0,0,IF(OR(AD342=1,AD343=1,AD344=1),AJ342-AQ342,IF(OR(AE342=1,AE343=1,AE344=1),AJ342-AW342,IF(OR(AF342=1,AF343=1,AF344=1),AJ342-BB342,AJ342))))</f>
        <v>0</v>
      </c>
      <c r="BL342" s="602">
        <f>IF(AD342=0,0,IF(OR(AE342=1,AE343=1,AE344=1),AK342-AR342,IF(OR(AF342=1,AF343=1,AF344=1),AK342-AX342,AK342)))</f>
        <v>0</v>
      </c>
      <c r="BM342" s="602">
        <f>IF(AE342=0,0,IF(OR(AF342=1,AF343=1,AF344=1),AL342-AS342,AL342))</f>
        <v>0</v>
      </c>
      <c r="BN342" s="602">
        <f>IF(AF342=0,0,AM342)</f>
        <v>0</v>
      </c>
      <c r="BP342" s="419" t="s">
        <v>262</v>
      </c>
      <c r="BR342" s="1516" t="s">
        <v>2197</v>
      </c>
      <c r="BS342" s="1517"/>
      <c r="BT342" s="1517"/>
      <c r="BU342" s="1517"/>
      <c r="BV342" s="1517"/>
      <c r="BW342" s="1517"/>
      <c r="BX342" s="1517"/>
      <c r="BY342" s="1517"/>
      <c r="BZ342" s="1517"/>
      <c r="CA342" s="1518"/>
    </row>
    <row r="343" spans="2:79" s="419" customFormat="1" ht="15" customHeight="1" x14ac:dyDescent="0.2">
      <c r="B343" s="369" t="s">
        <v>1604</v>
      </c>
      <c r="C343" s="1554"/>
      <c r="D343" s="1554"/>
      <c r="E343" s="1554"/>
      <c r="F343" s="1554"/>
      <c r="G343" s="1554"/>
      <c r="H343" s="1554"/>
      <c r="I343" s="1554"/>
      <c r="J343" s="1554"/>
      <c r="K343" s="1554"/>
      <c r="L343" s="1554"/>
      <c r="M343" s="1554"/>
      <c r="N343" s="1554"/>
      <c r="O343" s="613"/>
      <c r="P343" s="614"/>
      <c r="S343" s="369">
        <f>IF(C343="",0,C343)</f>
        <v>0</v>
      </c>
      <c r="T343" s="369">
        <f>IF(E343&lt;&gt;C343,E343,IF(AND(E344&lt;&gt;C344,S342&gt;1),S342,0))</f>
        <v>0</v>
      </c>
      <c r="U343" s="369">
        <f>IF(G343&lt;&gt;E343,G343,IF(AND(G344&lt;&gt;E344,T342&gt;1),T342,0))</f>
        <v>0</v>
      </c>
      <c r="V343" s="369">
        <f>IF(I343&lt;&gt;G343,I343,IF(AND(I344&lt;&gt;G344,U342&gt;1),U342,0))</f>
        <v>0</v>
      </c>
      <c r="W343" s="369">
        <f>IF(K343&lt;&gt;I343,K343,IF(AND(K344&lt;&gt;I344,V342&gt;1),V342,0))</f>
        <v>0</v>
      </c>
      <c r="X343" s="369">
        <f>IF(M343&lt;&gt;K343,M343,IF(AND(M344&lt;&gt;K344,W342&gt;1),W342,0))</f>
        <v>0</v>
      </c>
      <c r="Z343" s="599"/>
      <c r="AA343" s="607">
        <f>IF(C343&gt;1,1,0)</f>
        <v>0</v>
      </c>
      <c r="AB343" s="369">
        <f t="shared" si="44"/>
        <v>0</v>
      </c>
      <c r="AC343" s="369">
        <f t="shared" si="44"/>
        <v>0</v>
      </c>
      <c r="AD343" s="369">
        <f t="shared" si="44"/>
        <v>0</v>
      </c>
      <c r="AE343" s="369">
        <f t="shared" si="44"/>
        <v>0</v>
      </c>
      <c r="AF343" s="369">
        <f t="shared" si="44"/>
        <v>0</v>
      </c>
      <c r="AH343" s="602">
        <f>IF(S343=1,0,IF(S343=2,0.1,IF(S343=3,0.17,IF(S343=4,0.23,0))))</f>
        <v>0</v>
      </c>
      <c r="AI343" s="602">
        <f>IF(T343=1,0,IF(T343=2,0.09,IF(T343=3,0.15,IF(T343=4,0.2,0))))</f>
        <v>0</v>
      </c>
      <c r="AJ343" s="602">
        <f>IF(U343=1,0,IF(U343=2,0.08,IF(U343=3,0.13,IF(U343=4,0.17,0))))</f>
        <v>0</v>
      </c>
      <c r="AK343" s="602">
        <f>IF(V343=1,0,IF(V343=2,0.07,IF(V343=3,0.1,IF(V343=4,0.14,0))))</f>
        <v>0</v>
      </c>
      <c r="AL343" s="602">
        <f>IF(W343=1,0,IF(W343=2,0.05,IF(W343=3,0.08,IF(W343=4,0.1,0))))</f>
        <v>0</v>
      </c>
      <c r="AM343" s="602">
        <f>IF(X343=1,0,IF(X343=2,0.03,IF(X343=3,0.05,IF(X343=4,0.06,0))))</f>
        <v>0</v>
      </c>
      <c r="AN343" s="603"/>
      <c r="AO343" s="602">
        <f>IF(S343=1,0,IF(S343=2,0.09,IF(S343=3,0.15,IF(S343=4,0.2,0))))</f>
        <v>0</v>
      </c>
      <c r="AP343" s="602">
        <f>IF(T343=1,0,IF(T343=2,0.08,IF(T343=3,0.13,IF(T343=4,0.17,0))))</f>
        <v>0</v>
      </c>
      <c r="AQ343" s="602">
        <f>IF(U343=1,0,IF(U343=2,0.07,IF(U343=3,0.1,IF(U343=4,0.14,0))))</f>
        <v>0</v>
      </c>
      <c r="AR343" s="602">
        <f>IF(V343=1,0,IF(V343=2,0.05,IF(V343=3,0.08,IF(V343=4,0.1,0))))</f>
        <v>0</v>
      </c>
      <c r="AS343" s="602">
        <f>IF(W343=1,0,IF(W343=2,0.03,IF(W343=3,0.05,IF(W343=4,0.06,0))))</f>
        <v>0</v>
      </c>
      <c r="AU343" s="602">
        <f>IF(S343=1,0,IF(S343=2,0.08,IF(S343=3,0.13,IF(S343=4,0.17,0))))</f>
        <v>0</v>
      </c>
      <c r="AV343" s="602">
        <f>IF(T343=1,0,IF(T343=2,0.07,IF(T343=3,0.1,IF(T343=4,0.14,0))))</f>
        <v>0</v>
      </c>
      <c r="AW343" s="602">
        <f>IF(U343=1,0,IF(U343=2,0.05,IF(U343=3,0.08,IF(U343=4,0.1,0))))</f>
        <v>0</v>
      </c>
      <c r="AX343" s="602">
        <f>IF(V343=1,0,IF(V343=2,0.03,IF(V343=3,0.05,IF(V343=4,0.06,0))))</f>
        <v>0</v>
      </c>
      <c r="AZ343" s="602">
        <f>IF(S343=1,0,IF(S343=2,0.07,IF(S343=3,0.1,IF(S343=4,0.14,0))))</f>
        <v>0</v>
      </c>
      <c r="BA343" s="602">
        <f>IF(T343=1,0,IF(T343=2,0.05,IF(T343=3,0.08,IF(T343=4,0.1,0))))</f>
        <v>0</v>
      </c>
      <c r="BB343" s="602">
        <f>IF(U343=1,0,IF(U343=2,0.03,IF(U343=3,0.05,IF(U343=4,0.06,0))))</f>
        <v>0</v>
      </c>
      <c r="BD343" s="602">
        <f>IF(S343=1,0,IF(S343=2,0.05,IF(S343=3,0.08,IF(S343=4,0.1,0))))</f>
        <v>0</v>
      </c>
      <c r="BE343" s="602">
        <f>IF(T343=1,0,IF(T343=2,0.03,IF(T343=3,0.05,IF(T343=4,0.06,0))))</f>
        <v>0</v>
      </c>
      <c r="BG343" s="602">
        <f>IF(S343=1,0,IF(S343=2,0.03,IF(S343=3,0.05,IF(S343=4,0.06,0))))</f>
        <v>0</v>
      </c>
      <c r="BI343" s="602">
        <f>IF(AA343=0,0,IF(OR(AB342=1,AB343=1),AH343-AO343,IF(OR(AC342=1,AC343=1),AH343-AU343,IF(OR(AD342=1,AD343=1),AH343-AZ343,IF(OR(AE342=1,AE343=1),AH343-BD343,IF(OR(AF342=1,AF343=1),AH343-BG343,AH343))))))</f>
        <v>0</v>
      </c>
      <c r="BJ343" s="602">
        <f>IF(AB343=0,0,IF(OR(AC342=1,AC343=1),AI343-AP343,IF(OR(AD342=1,AD343=1),AI343-AV343,IF(OR(AE342=1,AE343=1),AI343-BA343,IF(OR(AF342=1,AF343=1),AI343-BE343,AI343)))))</f>
        <v>0</v>
      </c>
      <c r="BK343" s="602">
        <f>IF(AC343=0,0,IF(OR(AD342=1,AD343=1),AJ343-AQ343,IF(OR(AE342=1,AE343=1),AJ343-AW343,IF(OR(AF342=1,AF343=1),AJ343-BB343,AJ343))))</f>
        <v>0</v>
      </c>
      <c r="BL343" s="602">
        <f>IF(AD343=0,0,IF(OR(AE342=1,AE343=1),AK343-AR343,IF(OR(AF342=1,AF343=1),AK343-AX343,AK343)))</f>
        <v>0</v>
      </c>
      <c r="BM343" s="602">
        <f>IF(AE343=0,0,IF(OR(AF342=1,AF343=1),AL343-AS343,AL343))</f>
        <v>0</v>
      </c>
      <c r="BN343" s="602">
        <f>IF(AF343=0,0,AM343)</f>
        <v>0</v>
      </c>
      <c r="BP343" s="608">
        <f>LARGE((BI342,BJ342,BK342,BL342,BM342,BN342,BI343,BJ343,BK343,BL343,BM343,BN343,BI344,BJ344,BK344,BL344,BM344,BN344),1)</f>
        <v>0</v>
      </c>
      <c r="BQ343" s="609">
        <f>LARGE((BI342,BJ342,BK342,BL342,BM342,BN342,BI343,BJ343,BK343,BL343,BM343,BN343,BI344,BJ344,BK344,BL344,BM344,BN344),2)</f>
        <v>0</v>
      </c>
      <c r="BR343" s="609">
        <f>LARGE((BI342,BJ342,BK342,BL342,BM342,BN342,BI343,BJ343,BK343,BL343,BM343,BN343,BI344,BJ344,BK344,BL344,BM344,BN344),3)</f>
        <v>0</v>
      </c>
      <c r="BS343" s="609">
        <f>LARGE((BI342,BJ342,BK342,BL342,BM342,BN342,BI343,BJ343,BK343,BL343,BM343,BN343,BI344,BJ344,BK344,BL344,BM344,BN344),4)</f>
        <v>0</v>
      </c>
      <c r="BT343" s="609">
        <f>LARGE((BI342,BJ342,BK342,BL342,BM342,BN342,BI343,BJ343,BK343,BL343,BM343,BN343,BI344,BJ344,BK344,BL344,BM344,BN344),5)</f>
        <v>0</v>
      </c>
      <c r="BU343" s="609">
        <f>LARGE((BI342,BJ342,BK342,BL342,BM342,BN342,BI343,BJ343,BK343,BL343,BM343,BN343,BI344,BJ344,BK344,BL344,BM344,BN344),6)</f>
        <v>0</v>
      </c>
      <c r="BV343" s="609">
        <f>LARGE((BI342,BJ342,BK342,BL342,BM342,BN342,BI343,BJ343,BK343,BL343,BM343,BN343,BI344,BJ344,BK344,BL344,BM344,BN344),7)</f>
        <v>0</v>
      </c>
      <c r="BW343" s="609">
        <f>LARGE((BI342,BJ342,BK342,BL342,BM342,BN342,BI343,BJ343,BK343,BL343,BM343,BN343,BI344,BJ344,BK344,BL344,BM344,BN344),8)</f>
        <v>0</v>
      </c>
      <c r="BX343" s="609">
        <f>LARGE((BI342,BJ342,BK342,BL342,BM342,BN342,BI343,BJ343,BK343,BL343,BM343,BN343,BI344,BJ344,BK344,BL344,BM344,BN344),9)</f>
        <v>0</v>
      </c>
      <c r="BY343" s="609">
        <f>LARGE((BI342,BJ342,BK342,BL342,BM342,BN342,BI343,BJ343,BK343,BL343,BM343,BN343,BI344,BJ344,BK344,BL344,BM344,BN344),10)</f>
        <v>0</v>
      </c>
      <c r="BZ343" s="609">
        <f>LARGE((BI342,BJ342,BK342,BL342,BM342,BN342,BI343,BJ343,BK343,BL343,BM343,BN343,BI344,BJ344,BK344,BL344,BM344,BN344),11)</f>
        <v>0</v>
      </c>
      <c r="CA343" s="609">
        <f>LARGE((BI342,BJ342,BK342,BL342,BM342,BN342,BI343,BJ343,BK343,BL343,BM343,BN343,BI344,BJ344,BK344,BL344,BM344,BN344),12)</f>
        <v>0</v>
      </c>
    </row>
    <row r="344" spans="2:79" s="419" customFormat="1" ht="15" customHeight="1" x14ac:dyDescent="0.2">
      <c r="B344" s="606" t="s">
        <v>1605</v>
      </c>
      <c r="C344" s="1636"/>
      <c r="D344" s="1636"/>
      <c r="E344" s="1636"/>
      <c r="F344" s="1636"/>
      <c r="G344" s="1636"/>
      <c r="H344" s="1636"/>
      <c r="I344" s="1636"/>
      <c r="J344" s="1636"/>
      <c r="K344" s="1636"/>
      <c r="L344" s="1636"/>
      <c r="M344" s="1636"/>
      <c r="N344" s="1636"/>
      <c r="O344" s="613"/>
      <c r="P344" s="622"/>
      <c r="S344" s="369">
        <f>IF(C344="",0,C344)</f>
        <v>0</v>
      </c>
      <c r="T344" s="369">
        <f>IF(E344&lt;&gt;C344,E344,IF(AND(E343&lt;&gt;C343,S342&gt;1),S342,0))</f>
        <v>0</v>
      </c>
      <c r="U344" s="369">
        <f>IF(G344&lt;&gt;E344,G344,IF(AND(G343&lt;&gt;E343,T342&gt;1),T342,0))</f>
        <v>0</v>
      </c>
      <c r="V344" s="369">
        <f>IF(I344&lt;&gt;G344,I344,IF(AND(I343&lt;&gt;G343,U342&gt;1),U342,0))</f>
        <v>0</v>
      </c>
      <c r="W344" s="369">
        <f>IF(K344&lt;&gt;I344,K344,IF(AND(K343&lt;&gt;I343,V342&gt;1),V342,0))</f>
        <v>0</v>
      </c>
      <c r="X344" s="369">
        <f>IF(M344&lt;&gt;K344,M344,IF(AND(M343&lt;&gt;K343,W342&gt;1),W342,0))</f>
        <v>0</v>
      </c>
      <c r="AA344" s="607">
        <f>IF(C344&gt;1,1,0)</f>
        <v>0</v>
      </c>
      <c r="AB344" s="369">
        <f t="shared" si="44"/>
        <v>0</v>
      </c>
      <c r="AC344" s="369">
        <f t="shared" si="44"/>
        <v>0</v>
      </c>
      <c r="AD344" s="369">
        <f t="shared" si="44"/>
        <v>0</v>
      </c>
      <c r="AE344" s="369">
        <f t="shared" si="44"/>
        <v>0</v>
      </c>
      <c r="AF344" s="369">
        <f t="shared" si="44"/>
        <v>0</v>
      </c>
      <c r="AH344" s="602">
        <f>IF(S344=1,0,IF(S344=2,0.17,IF(S344=3,0.25,IF(S344=4,0.35,0))))</f>
        <v>0</v>
      </c>
      <c r="AI344" s="602">
        <f>IF(T344=1,0,IF(T344=2,0.15,IF(T344=3,0.23,IF(T344=4,0.31,0))))</f>
        <v>0</v>
      </c>
      <c r="AJ344" s="602">
        <f>IF(U344=1,0,IF(U344=2,0.13,IF(U344=3,0.2,IF(U344=4,0.27,0))))</f>
        <v>0</v>
      </c>
      <c r="AK344" s="602">
        <f>IF(V344=1,0,IF(V344=2,0.11,IF(V344=3,0.17,IF(V344=4,0.22,0))))</f>
        <v>0</v>
      </c>
      <c r="AL344" s="602">
        <f>IF(W344=1,0,IF(W344=2,0.08,IF(W344=3,0.12,IF(W344=4,0.16,0))))</f>
        <v>0</v>
      </c>
      <c r="AM344" s="602">
        <f>IF(X344=1,0,IF(X344=2,0.05,IF(X344=3,0.07,IF(X344=4,0.1,0))))</f>
        <v>0</v>
      </c>
      <c r="AN344" s="603"/>
      <c r="AO344" s="602">
        <f>IF(S344=1,0,IF(S344=2,0.15,IF(S344=3,0.23,IF(S344=4,0.31,0))))</f>
        <v>0</v>
      </c>
      <c r="AP344" s="602">
        <f>IF(T344=1,0,IF(T344=2,0.13,IF(T344=3,0.2,IF(T344=4,0.27,0))))</f>
        <v>0</v>
      </c>
      <c r="AQ344" s="602">
        <f>IF(U344=1,0,IF(U344=2,0.11,IF(U344=3,0.17,IF(U344=4,0.22,0))))</f>
        <v>0</v>
      </c>
      <c r="AR344" s="602">
        <f>IF(V344=1,0,IF(V344=2,0.08,IF(V344=3,0.12,IF(V344=4,0.16,0))))</f>
        <v>0</v>
      </c>
      <c r="AS344" s="602">
        <f>IF(W344=1,0,IF(W344=2,0.05,IF(W344=3,0.07,IF(W344=4,0.1,0))))</f>
        <v>0</v>
      </c>
      <c r="AU344" s="602">
        <f>IF(S344=1,0,IF(S344=2,0.13,IF(S344=3,0.2,IF(S344=4,0.27,0))))</f>
        <v>0</v>
      </c>
      <c r="AV344" s="602">
        <f>IF(T344=1,0,IF(T344=2,0.11,IF(T344=3,0.17,IF(T344=4,0.22,0))))</f>
        <v>0</v>
      </c>
      <c r="AW344" s="602">
        <f>IF(U344=1,0,IF(U344=2,0.08,IF(U344=3,0.12,IF(U344=4,0.16,0))))</f>
        <v>0</v>
      </c>
      <c r="AX344" s="602">
        <f>IF(V344=1,0,IF(V344=2,0.05,IF(V344=3,0.07,IF(V344=4,0.1,0))))</f>
        <v>0</v>
      </c>
      <c r="AZ344" s="602">
        <f>IF(S344=1,0,IF(S344=2,0.11,IF(S344=3,0.17,IF(S344=4,0.22,0))))</f>
        <v>0</v>
      </c>
      <c r="BA344" s="602">
        <f>IF(T344=1,0,IF(T344=2,0.08,IF(T344=3,0.12,IF(T344=4,0.16,0))))</f>
        <v>0</v>
      </c>
      <c r="BB344" s="602">
        <f>IF(U344=1,0,IF(U344=2,0.05,IF(U344=3,0.07,IF(U344=4,0.1,0))))</f>
        <v>0</v>
      </c>
      <c r="BD344" s="602">
        <f>IF(S344=1,0,IF(S344=2,0.08,IF(S344=3,0.12,IF(S344=4,0.16,0))))</f>
        <v>0</v>
      </c>
      <c r="BE344" s="602">
        <f>IF(T344=1,0,IF(T344=2,0.05,IF(T344=3,0.07,IF(T344=4,0.1,0))))</f>
        <v>0</v>
      </c>
      <c r="BG344" s="602">
        <f>IF(S344=1,0,IF(S344=2,0.05,IF(S344=3,0.07,IF(S344=4,0.1,0))))</f>
        <v>0</v>
      </c>
      <c r="BI344" s="602">
        <f>IF(AA344=0,0,IF(OR(AB342=1,AB344=1),AH344-AO344,IF(OR(AC342=1,AC344=1),AH344-AU344,IF(OR(AD342=1,AD344=1),AH344-AZ344,IF(OR(AE342=1,AE344=1),AH344-BD344,IF(OR(AF342=1,AF344=1),AH344-BG344,AH344))))))</f>
        <v>0</v>
      </c>
      <c r="BJ344" s="602">
        <f>IF(AB344=0,0,IF(OR(AC342=1,AC344=1),AI344-AP344,IF(OR(AD342=1,AD344=1),AI344-AV344,IF(OR(AE342=1,AE344=1),AI344-BA344,IF(OR(AF342=1,AF344=1),AI344-BE344,AI344)))))</f>
        <v>0</v>
      </c>
      <c r="BK344" s="602">
        <f>IF(AC344=0,0,IF(OR(AD342=1,AD344=1),AJ344-AQ344,IF(OR(AE342=1,AE344=1),AJ344-AW344,IF(OR(AF342=1,AF344=1),AJ344-BB344,AJ344))))</f>
        <v>0</v>
      </c>
      <c r="BL344" s="602">
        <f>IF(AD344=0,0,IF(OR(AE342=1,AE344=1),AK344-AR344,IF(OR(AF342=1,AF344=1),AK344-AX344,AK344)))</f>
        <v>0</v>
      </c>
      <c r="BM344" s="602">
        <f>IF(AE344=0,0,IF(OR(AF342=1,AF344=1),AL344-AS344,AL344))</f>
        <v>0</v>
      </c>
      <c r="BN344" s="602">
        <f>IF(AF344=0,0,AM344)</f>
        <v>0</v>
      </c>
      <c r="BP344" s="610">
        <f>ROUND(BP343+BQ343*(1-BP343),2)</f>
        <v>0</v>
      </c>
      <c r="BQ344" s="610">
        <f t="shared" ref="BQ344:BZ344" si="45">ROUND(BP344+BR343*(1-BP344),2)</f>
        <v>0</v>
      </c>
      <c r="BR344" s="610">
        <f t="shared" si="45"/>
        <v>0</v>
      </c>
      <c r="BS344" s="610">
        <f t="shared" si="45"/>
        <v>0</v>
      </c>
      <c r="BT344" s="610">
        <f t="shared" si="45"/>
        <v>0</v>
      </c>
      <c r="BU344" s="610">
        <f t="shared" si="45"/>
        <v>0</v>
      </c>
      <c r="BV344" s="610">
        <f t="shared" si="45"/>
        <v>0</v>
      </c>
      <c r="BW344" s="610">
        <f t="shared" si="45"/>
        <v>0</v>
      </c>
      <c r="BX344" s="610">
        <f t="shared" si="45"/>
        <v>0</v>
      </c>
      <c r="BY344" s="610">
        <f t="shared" si="45"/>
        <v>0</v>
      </c>
      <c r="BZ344" s="610">
        <f t="shared" si="45"/>
        <v>0</v>
      </c>
      <c r="CA344" s="607"/>
    </row>
    <row r="345" spans="2:79" s="419" customFormat="1" ht="15" customHeight="1" x14ac:dyDescent="0.2">
      <c r="B345" s="1699" t="str">
        <f>IF(AD345=1,"ERROR: If radial or ulnar impairment is recorded, do not enter losses for 'both sides.'","")</f>
        <v/>
      </c>
      <c r="C345" s="1700"/>
      <c r="D345" s="1700"/>
      <c r="E345" s="1700"/>
      <c r="F345" s="1700"/>
      <c r="G345" s="1700"/>
      <c r="H345" s="1700"/>
      <c r="I345" s="1700"/>
      <c r="J345" s="1700"/>
      <c r="K345" s="1700"/>
      <c r="L345" s="1700"/>
      <c r="M345" s="1700"/>
      <c r="N345" s="1700"/>
      <c r="O345" s="1701"/>
      <c r="P345" s="596">
        <f>IF(B345&lt;&gt;"","ERROR",BZ344)</f>
        <v>0</v>
      </c>
      <c r="S345" s="599"/>
      <c r="T345" s="599"/>
      <c r="U345" s="599"/>
      <c r="V345" s="599"/>
      <c r="W345" s="599"/>
      <c r="AA345" s="369">
        <f>SUM(AA342:AF342)</f>
        <v>0</v>
      </c>
      <c r="AB345" s="369">
        <f>SUM(AA343:AF343)</f>
        <v>0</v>
      </c>
      <c r="AC345" s="369">
        <f>SUM(AA344:AF344)</f>
        <v>0</v>
      </c>
      <c r="AD345" s="369">
        <f>IF(AND(AA345&gt;0,AB345&gt;0),1,IF(AND(AA345&gt;0,AC345&gt;0),1,0))</f>
        <v>0</v>
      </c>
      <c r="AE345" s="599"/>
      <c r="AF345" s="599"/>
    </row>
    <row r="346" spans="2:79" s="419" customFormat="1" ht="15" customHeight="1" x14ac:dyDescent="0.2">
      <c r="B346" s="434" t="s">
        <v>1227</v>
      </c>
      <c r="C346" s="615"/>
      <c r="D346" s="615"/>
      <c r="E346" s="615"/>
      <c r="F346" s="615"/>
      <c r="G346" s="615"/>
      <c r="H346" s="615"/>
      <c r="I346" s="623"/>
      <c r="J346" s="615"/>
      <c r="K346" s="624"/>
      <c r="L346" s="624"/>
      <c r="M346" s="624"/>
      <c r="N346" s="624"/>
      <c r="O346" s="624"/>
      <c r="P346" s="611"/>
      <c r="S346" s="599"/>
      <c r="T346" s="599"/>
      <c r="U346" s="599"/>
      <c r="V346" s="599"/>
      <c r="W346" s="599"/>
      <c r="X346" s="621"/>
    </row>
    <row r="347" spans="2:79" s="419" customFormat="1" ht="15" customHeight="1" x14ac:dyDescent="0.2">
      <c r="B347" s="185" t="s">
        <v>1603</v>
      </c>
      <c r="C347" s="1554"/>
      <c r="D347" s="1554"/>
      <c r="E347" s="1554"/>
      <c r="F347" s="1554"/>
      <c r="G347" s="1554"/>
      <c r="H347" s="1554"/>
      <c r="I347" s="1554"/>
      <c r="J347" s="1554"/>
      <c r="K347" s="1554"/>
      <c r="L347" s="1554"/>
      <c r="M347" s="1554"/>
      <c r="N347" s="1554"/>
      <c r="O347" s="615"/>
      <c r="P347" s="618"/>
      <c r="S347" s="369">
        <f>IF(C347="",0,C347)</f>
        <v>0</v>
      </c>
      <c r="T347" s="369">
        <f>IF(AND(E347&lt;&gt;C347,E347&lt;&gt;""),E347,IF(OR(E348&lt;&gt;"",E349&lt;&gt;""),0,S347))</f>
        <v>0</v>
      </c>
      <c r="U347" s="369">
        <f>IF(AND(G347&lt;&gt;E347,G347&lt;&gt;""),G347,IF(OR(G348&lt;&gt;"",G349&lt;&gt;""),0,T347))</f>
        <v>0</v>
      </c>
      <c r="V347" s="369">
        <f>IF(AND(I347&lt;&gt;G347,I347&lt;&gt;""),I347,IF(OR(I348&lt;&gt;"",I349&lt;&gt;""),0,U347))</f>
        <v>0</v>
      </c>
      <c r="W347" s="369">
        <f>IF(AND(K347&lt;&gt;I347,K347&lt;&gt;""),K347,IF(OR(K348&lt;&gt;"",K349&lt;&gt;""),0,V347))</f>
        <v>0</v>
      </c>
      <c r="X347" s="369">
        <f>IF(AND(M347&lt;&gt;K347,M347&lt;&gt;""),M347,IF(OR(M348&lt;&gt;"",M349&lt;&gt;""),0,W347))</f>
        <v>0</v>
      </c>
      <c r="Z347" s="599"/>
      <c r="AA347" s="607">
        <f>IF(C347&gt;1,1,0)</f>
        <v>0</v>
      </c>
      <c r="AB347" s="369">
        <f t="shared" ref="AB347:AF349" si="46">IF(AND(S347&lt;&gt;T347,T347&gt;0),1,0)</f>
        <v>0</v>
      </c>
      <c r="AC347" s="369">
        <f t="shared" si="46"/>
        <v>0</v>
      </c>
      <c r="AD347" s="369">
        <f t="shared" si="46"/>
        <v>0</v>
      </c>
      <c r="AE347" s="369">
        <f t="shared" si="46"/>
        <v>0</v>
      </c>
      <c r="AF347" s="369">
        <f t="shared" si="46"/>
        <v>0</v>
      </c>
      <c r="AH347" s="602">
        <f>IF(S347=1,0,IF(S347=2,0.25,IF(S347=3,0.38,IF(S347=4,0.5,0))))</f>
        <v>0</v>
      </c>
      <c r="AI347" s="602">
        <f>IF(T347=1,0,IF(T347=2,0.23,IF(T347=3,0.35,IF(T347=4,0.45,0))))</f>
        <v>0</v>
      </c>
      <c r="AJ347" s="602">
        <f>IF(U347=1,0,IF(U347=2,0.2,IF(U347=3,0.3,IF(U347=4,0.39,0))))</f>
        <v>0</v>
      </c>
      <c r="AK347" s="602">
        <f>IF(V347=1,0,IF(V347=2,0.17,IF(V347=3,0.25,IF(V347=4,0.33,0))))</f>
        <v>0</v>
      </c>
      <c r="AL347" s="602">
        <f>IF(W347=1,0,IF(W347=2,0.13,IF(W347=3,0.19,IF(W347=4,0.24,0))))</f>
        <v>0</v>
      </c>
      <c r="AM347" s="602">
        <f>IF(X347=1,0,IF(X347=2,0.08,IF(X347=3,0.12,IF(X347=4,0.15,0))))</f>
        <v>0</v>
      </c>
      <c r="AN347" s="603"/>
      <c r="AO347" s="602">
        <f>IF(S347=1,0,IF(S347=2,0.23,IF(S347=3,0.35,IF(S347=4,0.45,0))))</f>
        <v>0</v>
      </c>
      <c r="AP347" s="602">
        <f>IF(T347=1,0,IF(T347=2,0.2,IF(T347=3,0.3,IF(T347=4,0.39,0))))</f>
        <v>0</v>
      </c>
      <c r="AQ347" s="602">
        <f>IF(U347=1,0,IF(U347=2,0.17,IF(U347=3,0.25,IF(U347=4,0.33,0))))</f>
        <v>0</v>
      </c>
      <c r="AR347" s="602">
        <f>IF(V347=1,0,IF(V347=2,0.13,IF(V347=3,0.19,IF(V347=4,0.24,0))))</f>
        <v>0</v>
      </c>
      <c r="AS347" s="602">
        <f>IF(W347=1,0,IF(W347=2,0.08,IF(W347=3,0.12,IF(W347=4,0.15,0))))</f>
        <v>0</v>
      </c>
      <c r="AU347" s="602">
        <f>IF(S347=1,0,IF(S347=2,0.2,IF(S347=3,0.3,IF(S347=4,0.39,0))))</f>
        <v>0</v>
      </c>
      <c r="AV347" s="602">
        <f>IF(T347=1,0,IF(T347=2,0.17,IF(T347=3,0.25,IF(T347=4,0.33,0))))</f>
        <v>0</v>
      </c>
      <c r="AW347" s="602">
        <f>IF(U347=1,0,IF(U347=2,0.13,IF(U347=3,0.19,IF(U347=4,0.24,0))))</f>
        <v>0</v>
      </c>
      <c r="AX347" s="602">
        <f>IF(V347=1,0,IF(V347=2,0.08,IF(V347=3,0.12,IF(V347=4,0.15,0))))</f>
        <v>0</v>
      </c>
      <c r="AZ347" s="602">
        <f>IF(S347=1,0,IF(S347=2,0.17,IF(S347=3,0.25,IF(S347=4,0.33,0))))</f>
        <v>0</v>
      </c>
      <c r="BA347" s="602">
        <f>IF(T347=1,0,IF(T347=2,0.13,IF(T347=3,0.19,IF(T347=4,0.24,0))))</f>
        <v>0</v>
      </c>
      <c r="BB347" s="602">
        <f>IF(U347=1,0,IF(U347=2,0.08,IF(U347=3,0.12,IF(U347=4,0.15,0))))</f>
        <v>0</v>
      </c>
      <c r="BD347" s="602">
        <f>IF(S347=1,0,IF(S347=2,0.13,IF(S347=3,0.19,IF(S347=4,0.24,0))))</f>
        <v>0</v>
      </c>
      <c r="BE347" s="602">
        <f>IF(T347=1,0,IF(T347=2,0.08,IF(T347=3,0.12,IF(T347=4,0.15,0))))</f>
        <v>0</v>
      </c>
      <c r="BG347" s="602">
        <f>IF(S347=1,0,IF(S347=2,0.08,IF(S347=3,0.12,IF(S347=4,0.15,0))))</f>
        <v>0</v>
      </c>
      <c r="BI347" s="602">
        <f>IF(AA347=0,0,IF(OR(AB347=1,AB348=1,AB349=1),AH347-AO347,IF(OR(AC347=1,AC348=1,AC349=1),AH347-AU347,IF(OR(AD347=1,AD348=1,AD349=1),AH347-AZ347,IF(OR(AE347=1,AE348=1,AE349=1),AH347-BD347,IF(OR(AF347=1,AF348=1,AF349=1),AH347-BG347,AH347))))))</f>
        <v>0</v>
      </c>
      <c r="BJ347" s="602">
        <f>IF(AB347=0,0,IF(OR(AC347=1,AC348=1,AC349=1),AI347-AP347,IF(OR(AD347=1,AD348=1,AD349=1),AI347-AV347,IF(OR(AE347=1,AE348=1,AE349=1),AI347-BA347,IF(OR(AF347=1,AF348=1,AF349=1),AI347-BE347,AI347)))))</f>
        <v>0</v>
      </c>
      <c r="BK347" s="602">
        <f>IF(AC347=0,0,IF(OR(AD347=1,AD348=1,AD349=1),AJ347-AQ347,IF(OR(AE347=1,AE348=1,AE349=1),AJ347-AW347,IF(OR(AF347=1,AF348=1,AF349=1),AJ347-BB347,AJ347))))</f>
        <v>0</v>
      </c>
      <c r="BL347" s="602">
        <f>IF(AD347=0,0,IF(OR(AE347=1,AE348=1,AE349=1),AK347-AR347,IF(OR(AF347=1,AF348=1,AF349=1),AK347-AX347,AK347)))</f>
        <v>0</v>
      </c>
      <c r="BM347" s="602">
        <f>IF(AE347=0,0,IF(OR(AF347=1,AF348=1,AF349=1),AL347-AS347,AL347))</f>
        <v>0</v>
      </c>
      <c r="BN347" s="602">
        <f>IF(AF347=0,0,AM347)</f>
        <v>0</v>
      </c>
      <c r="BP347" s="419" t="s">
        <v>262</v>
      </c>
    </row>
    <row r="348" spans="2:79" s="419" customFormat="1" ht="15" customHeight="1" x14ac:dyDescent="0.2">
      <c r="B348" s="369" t="s">
        <v>1604</v>
      </c>
      <c r="C348" s="1554"/>
      <c r="D348" s="1554"/>
      <c r="E348" s="1554"/>
      <c r="F348" s="1554"/>
      <c r="G348" s="1554"/>
      <c r="H348" s="1554"/>
      <c r="I348" s="1554"/>
      <c r="J348" s="1554"/>
      <c r="K348" s="1554"/>
      <c r="L348" s="1554"/>
      <c r="M348" s="1554"/>
      <c r="N348" s="1554"/>
      <c r="O348" s="613"/>
      <c r="P348" s="619"/>
      <c r="S348" s="369">
        <f>IF(C348="",0,C348)</f>
        <v>0</v>
      </c>
      <c r="T348" s="369">
        <f>IF(E348&lt;&gt;C348,E348,IF(AND(E349&lt;&gt;C349,S347&gt;1),S347,0))</f>
        <v>0</v>
      </c>
      <c r="U348" s="369">
        <f>IF(G348&lt;&gt;E348,G348,IF(AND(G349&lt;&gt;E349,T347&gt;1),T347,0))</f>
        <v>0</v>
      </c>
      <c r="V348" s="369">
        <f>IF(I348&lt;&gt;G348,I348,IF(AND(I349&lt;&gt;G349,U347&gt;1),U347,0))</f>
        <v>0</v>
      </c>
      <c r="W348" s="369">
        <f>IF(K348&lt;&gt;I348,K348,IF(AND(K349&lt;&gt;I349,V347&gt;1),V347,0))</f>
        <v>0</v>
      </c>
      <c r="X348" s="369">
        <f>IF(M348&lt;&gt;K348,M348,IF(AND(M349&lt;&gt;K349,W347&gt;1),W347,0))</f>
        <v>0</v>
      </c>
      <c r="Z348" s="599"/>
      <c r="AA348" s="607">
        <f>IF(C348&gt;1,1,0)</f>
        <v>0</v>
      </c>
      <c r="AB348" s="369">
        <f t="shared" si="46"/>
        <v>0</v>
      </c>
      <c r="AC348" s="369">
        <f t="shared" si="46"/>
        <v>0</v>
      </c>
      <c r="AD348" s="369">
        <f t="shared" si="46"/>
        <v>0</v>
      </c>
      <c r="AE348" s="369">
        <f t="shared" si="46"/>
        <v>0</v>
      </c>
      <c r="AF348" s="369">
        <f t="shared" si="46"/>
        <v>0</v>
      </c>
      <c r="AH348" s="602">
        <f>IF(S348=1,0,IF(S348=2,0.1,IF(S348=3,0.17,IF(S348=4,0.23,0))))</f>
        <v>0</v>
      </c>
      <c r="AI348" s="602">
        <f>IF(T348=1,0,IF(T348=2,0.09,IF(T348=3,0.15,IF(T348=4,0.2,0))))</f>
        <v>0</v>
      </c>
      <c r="AJ348" s="602">
        <f>IF(U348=1,0,IF(U348=2,0.08,IF(U348=3,0.13,IF(U348=4,0.17,0))))</f>
        <v>0</v>
      </c>
      <c r="AK348" s="602">
        <f>IF(V348=1,0,IF(V348=2,0.07,IF(V348=3,0.1,IF(V348=4,0.14,0))))</f>
        <v>0</v>
      </c>
      <c r="AL348" s="602">
        <f>IF(W348=1,0,IF(W348=2,0.05,IF(W348=3,0.08,IF(W348=4,0.1,0))))</f>
        <v>0</v>
      </c>
      <c r="AM348" s="602">
        <f>IF(X348=1,0,IF(X348=2,0.03,IF(X348=3,0.05,IF(X348=4,0.06,0))))</f>
        <v>0</v>
      </c>
      <c r="AN348" s="603"/>
      <c r="AO348" s="602">
        <f>IF(S348=1,0,IF(S348=2,0.09,IF(S348=3,0.15,IF(S348=4,0.2,0))))</f>
        <v>0</v>
      </c>
      <c r="AP348" s="602">
        <f>IF(T348=1,0,IF(T348=2,0.08,IF(T348=3,0.13,IF(T348=4,0.17,0))))</f>
        <v>0</v>
      </c>
      <c r="AQ348" s="602">
        <f>IF(U348=1,0,IF(U348=2,0.07,IF(U348=3,0.1,IF(U348=4,0.14,0))))</f>
        <v>0</v>
      </c>
      <c r="AR348" s="602">
        <f>IF(V348=1,0,IF(V348=2,0.05,IF(V348=3,0.08,IF(V348=4,0.1,0))))</f>
        <v>0</v>
      </c>
      <c r="AS348" s="602">
        <f>IF(W348=1,0,IF(W348=2,0.03,IF(W348=3,0.05,IF(W348=4,0.06,0))))</f>
        <v>0</v>
      </c>
      <c r="AU348" s="602">
        <f>IF(S348=1,0,IF(S348=2,0.08,IF(S348=3,0.13,IF(S348=4,0.17,0))))</f>
        <v>0</v>
      </c>
      <c r="AV348" s="602">
        <f>IF(T348=1,0,IF(T348=2,0.07,IF(T348=3,0.1,IF(T348=4,0.14,0))))</f>
        <v>0</v>
      </c>
      <c r="AW348" s="602">
        <f>IF(U348=1,0,IF(U348=2,0.05,IF(U348=3,0.08,IF(U348=4,0.1,0))))</f>
        <v>0</v>
      </c>
      <c r="AX348" s="602">
        <f>IF(V348=1,0,IF(V348=2,0.03,IF(V348=3,0.05,IF(V348=4,0.06,0))))</f>
        <v>0</v>
      </c>
      <c r="AZ348" s="602">
        <f>IF(S348=1,0,IF(S348=2,0.07,IF(S348=3,0.1,IF(S348=4,0.14,0))))</f>
        <v>0</v>
      </c>
      <c r="BA348" s="602">
        <f>IF(T348=1,0,IF(T348=2,0.05,IF(T348=3,0.08,IF(T348=4,0.1,0))))</f>
        <v>0</v>
      </c>
      <c r="BB348" s="602">
        <f>IF(U348=1,0,IF(U348=2,0.03,IF(U348=3,0.05,IF(U348=4,0.06,0))))</f>
        <v>0</v>
      </c>
      <c r="BD348" s="602">
        <f>IF(S348=1,0,IF(S348=2,0.05,IF(S348=3,0.08,IF(S348=4,0.1,0))))</f>
        <v>0</v>
      </c>
      <c r="BE348" s="602">
        <f>IF(T348=1,0,IF(T348=2,0.03,IF(T348=3,0.05,IF(T348=4,0.06,0))))</f>
        <v>0</v>
      </c>
      <c r="BG348" s="602">
        <f>IF(S348=1,0,IF(S348=2,0.03,IF(S348=3,0.05,IF(S348=4,0.06,0))))</f>
        <v>0</v>
      </c>
      <c r="BI348" s="602">
        <f>IF(AA348=0,0,IF(OR(AB347=1,AB348=1),AH348-AO348,IF(OR(AC347=1,AC348=1),AH348-AU348,IF(OR(AD347=1,AD348=1),AH348-AZ348,IF(OR(AE347=1,AE348=1),AH348-BD348,IF(OR(AF347=1,AF348=1),AH348-BG348,AH348))))))</f>
        <v>0</v>
      </c>
      <c r="BJ348" s="602">
        <f>IF(AB348=0,0,IF(OR(AC347=1,AC348=1),AI348-AP348,IF(OR(AD347=1,AD348=1),AI348-AV348,IF(OR(AE347=1,AE348=1),AI348-BA348,IF(OR(AF347=1,AF348=1),AI348-BE348,AI348)))))</f>
        <v>0</v>
      </c>
      <c r="BK348" s="602">
        <f>IF(AC348=0,0,IF(OR(AD347=1,AD348=1),AJ348-AQ348,IF(OR(AE347=1,AE348=1),AJ348-AW348,IF(OR(AF347=1,AF348=1),AJ348-BB348,AJ348))))</f>
        <v>0</v>
      </c>
      <c r="BL348" s="602">
        <f>IF(AD348=0,0,IF(OR(AE347=1,AE348=1),AK348-AR348,IF(OR(AF347=1,AF348=1),AK348-AX348,AK348)))</f>
        <v>0</v>
      </c>
      <c r="BM348" s="602">
        <f>IF(AE348=0,0,IF(OR(AF347=1,AF348=1),AL348-AS348,AL348))</f>
        <v>0</v>
      </c>
      <c r="BN348" s="602">
        <f>IF(AF348=0,0,AM348)</f>
        <v>0</v>
      </c>
      <c r="BP348" s="608">
        <f>LARGE((BI347,BJ347,BK347,BL347,BM347,BN347,BI348,BJ348,BK348,BL348,BM348,BN348,BI349,BJ349,BK349,BL349,BM349,BN349),1)</f>
        <v>0</v>
      </c>
      <c r="BQ348" s="609">
        <f>LARGE((BI347,BJ347,BK347,BL347,BM347,BN347,BI348,BJ348,BK348,BL348,BM348,BN348,BI349,BJ349,BK349,BL349,BM349,BN349),2)</f>
        <v>0</v>
      </c>
      <c r="BR348" s="609">
        <f>LARGE((BI347,BJ347,BK347,BL347,BM347,BN347,BI348,BJ348,BK348,BL348,BM348,BN348,BI349,BJ349,BK349,BL349,BM349,BN349),3)</f>
        <v>0</v>
      </c>
      <c r="BS348" s="609">
        <f>LARGE((BI347,BJ347,BK347,BL347,BM347,BN347,BI348,BJ348,BK348,BL348,BM348,BN348,BI349,BJ349,BK349,BL349,BM349,BN349),4)</f>
        <v>0</v>
      </c>
      <c r="BT348" s="609">
        <f>LARGE((BI347,BJ347,BK347,BL347,BM347,BN347,BI348,BJ348,BK348,BL348,BM348,BN348,BI349,BJ349,BK349,BL349,BM349,BN349),5)</f>
        <v>0</v>
      </c>
      <c r="BU348" s="609">
        <f>LARGE((BI347,BJ347,BK347,BL347,BM347,BN347,BI348,BJ348,BK348,BL348,BM348,BN348,BI349,BJ349,BK349,BL349,BM349,BN349),6)</f>
        <v>0</v>
      </c>
      <c r="BV348" s="609">
        <f>LARGE((BI347,BJ347,BK347,BL347,BM347,BN347,BI348,BJ348,BK348,BL348,BM348,BN348,BI349,BJ349,BK349,BL349,BM349,BN349),7)</f>
        <v>0</v>
      </c>
      <c r="BW348" s="609">
        <f>LARGE((BI347,BJ347,BK347,BL347,BM347,BN347,BI348,BJ348,BK348,BL348,BM348,BN348,BI349,BJ349,BK349,BL349,BM349,BN349),8)</f>
        <v>0</v>
      </c>
      <c r="BX348" s="609">
        <f>LARGE((BI347,BJ347,BK347,BL347,BM347,BN347,BI348,BJ348,BK348,BL348,BM348,BN348,BI349,BJ349,BK349,BL349,BM349,BN349),9)</f>
        <v>0</v>
      </c>
      <c r="BY348" s="609">
        <f>LARGE((BI347,BJ347,BK347,BL347,BM347,BN347,BI348,BJ348,BK348,BL348,BM348,BN348,BI349,BJ349,BK349,BL349,BM349,BN349),10)</f>
        <v>0</v>
      </c>
      <c r="BZ348" s="609">
        <f>LARGE((BI347,BJ347,BK347,BL347,BM347,BN347,BI348,BJ348,BK348,BL348,BM348,BN348,BI349,BJ349,BK349,BL349,BM349,BN349),11)</f>
        <v>0</v>
      </c>
      <c r="CA348" s="609">
        <f>LARGE((BI347,BJ347,BK347,BL347,BM347,BN347,BI348,BJ348,BK348,BL348,BM348,BN348,BI349,BJ349,BK349,BL349,BM349,BN349),12)</f>
        <v>0</v>
      </c>
    </row>
    <row r="349" spans="2:79" s="419" customFormat="1" ht="15" customHeight="1" x14ac:dyDescent="0.2">
      <c r="B349" s="606" t="s">
        <v>1605</v>
      </c>
      <c r="C349" s="1636"/>
      <c r="D349" s="1636"/>
      <c r="E349" s="1636"/>
      <c r="F349" s="1636"/>
      <c r="G349" s="1636"/>
      <c r="H349" s="1636"/>
      <c r="I349" s="1636"/>
      <c r="J349" s="1636"/>
      <c r="K349" s="1636"/>
      <c r="L349" s="1636"/>
      <c r="M349" s="1636"/>
      <c r="N349" s="1636"/>
      <c r="O349" s="613"/>
      <c r="P349" s="619"/>
      <c r="S349" s="369">
        <f>IF(C349="",0,C349)</f>
        <v>0</v>
      </c>
      <c r="T349" s="369">
        <f>IF(E349&lt;&gt;C349,E349,IF(AND(E348&lt;&gt;C348,S347&gt;1),S347,0))</f>
        <v>0</v>
      </c>
      <c r="U349" s="369">
        <f>IF(G349&lt;&gt;E349,G349,IF(AND(G348&lt;&gt;E348,T347&gt;1),T347,0))</f>
        <v>0</v>
      </c>
      <c r="V349" s="369">
        <f>IF(I349&lt;&gt;G349,I349,IF(AND(I348&lt;&gt;G348,U347&gt;1),U347,0))</f>
        <v>0</v>
      </c>
      <c r="W349" s="369">
        <f>IF(K349&lt;&gt;I349,K349,IF(AND(K348&lt;&gt;I348,V347&gt;1),V347,0))</f>
        <v>0</v>
      </c>
      <c r="X349" s="369">
        <f>IF(M349&lt;&gt;K349,M349,IF(AND(M348&lt;&gt;K348,W347&gt;1),W347,0))</f>
        <v>0</v>
      </c>
      <c r="AA349" s="607">
        <f>IF(C349&gt;1,1,0)</f>
        <v>0</v>
      </c>
      <c r="AB349" s="369">
        <f t="shared" si="46"/>
        <v>0</v>
      </c>
      <c r="AC349" s="369">
        <f t="shared" si="46"/>
        <v>0</v>
      </c>
      <c r="AD349" s="369">
        <f t="shared" si="46"/>
        <v>0</v>
      </c>
      <c r="AE349" s="369">
        <f t="shared" si="46"/>
        <v>0</v>
      </c>
      <c r="AF349" s="369">
        <f t="shared" si="46"/>
        <v>0</v>
      </c>
      <c r="AH349" s="602">
        <f>IF(S349=1,0,IF(S349=2,0.17,IF(S349=3,0.25,IF(S349=4,0.35,0))))</f>
        <v>0</v>
      </c>
      <c r="AI349" s="602">
        <f>IF(T349=1,0,IF(T349=2,0.15,IF(T349=3,0.23,IF(T349=4,0.31,0))))</f>
        <v>0</v>
      </c>
      <c r="AJ349" s="602">
        <f>IF(U349=1,0,IF(U349=2,0.13,IF(U349=3,0.2,IF(U349=4,0.27,0))))</f>
        <v>0</v>
      </c>
      <c r="AK349" s="602">
        <f>IF(V349=1,0,IF(V349=2,0.11,IF(V349=3,0.17,IF(V349=4,0.22,0))))</f>
        <v>0</v>
      </c>
      <c r="AL349" s="602">
        <f>IF(W349=1,0,IF(W349=2,0.08,IF(W349=3,0.12,IF(W349=4,0.16,0))))</f>
        <v>0</v>
      </c>
      <c r="AM349" s="602">
        <f>IF(X349=1,0,IF(X349=2,0.05,IF(X349=3,0.07,IF(X349=4,0.1,0))))</f>
        <v>0</v>
      </c>
      <c r="AN349" s="603"/>
      <c r="AO349" s="602">
        <f>IF(S349=1,0,IF(S349=2,0.15,IF(S349=3,0.23,IF(S349=4,0.31,0))))</f>
        <v>0</v>
      </c>
      <c r="AP349" s="602">
        <f>IF(T349=1,0,IF(T349=2,0.13,IF(T349=3,0.2,IF(T349=4,0.27,0))))</f>
        <v>0</v>
      </c>
      <c r="AQ349" s="602">
        <f>IF(U349=1,0,IF(U349=2,0.11,IF(U349=3,0.17,IF(U349=4,0.22,0))))</f>
        <v>0</v>
      </c>
      <c r="AR349" s="602">
        <f>IF(V349=1,0,IF(V349=2,0.08,IF(V349=3,0.12,IF(V349=4,0.16,0))))</f>
        <v>0</v>
      </c>
      <c r="AS349" s="602">
        <f>IF(W349=1,0,IF(W349=2,0.05,IF(W349=3,0.07,IF(W349=4,0.1,0))))</f>
        <v>0</v>
      </c>
      <c r="AU349" s="602">
        <f>IF(S349=1,0,IF(S349=2,0.13,IF(S349=3,0.2,IF(S349=4,0.27,0))))</f>
        <v>0</v>
      </c>
      <c r="AV349" s="602">
        <f>IF(T349=1,0,IF(T349=2,0.11,IF(T349=3,0.17,IF(T349=4,0.22,0))))</f>
        <v>0</v>
      </c>
      <c r="AW349" s="602">
        <f>IF(U349=1,0,IF(U349=2,0.08,IF(U349=3,0.12,IF(U349=4,0.16,0))))</f>
        <v>0</v>
      </c>
      <c r="AX349" s="602">
        <f>IF(V349=1,0,IF(V349=2,0.05,IF(V349=3,0.07,IF(V349=4,0.1,0))))</f>
        <v>0</v>
      </c>
      <c r="AZ349" s="602">
        <f>IF(S349=1,0,IF(S349=2,0.11,IF(S349=3,0.17,IF(S349=4,0.22,0))))</f>
        <v>0</v>
      </c>
      <c r="BA349" s="602">
        <f>IF(T349=1,0,IF(T349=2,0.08,IF(T349=3,0.12,IF(T349=4,0.16,0))))</f>
        <v>0</v>
      </c>
      <c r="BB349" s="602">
        <f>IF(U349=1,0,IF(U349=2,0.05,IF(U349=3,0.07,IF(U349=4,0.1,0))))</f>
        <v>0</v>
      </c>
      <c r="BD349" s="602">
        <f>IF(S349=1,0,IF(S349=2,0.08,IF(S349=3,0.12,IF(S349=4,0.16,0))))</f>
        <v>0</v>
      </c>
      <c r="BE349" s="602">
        <f>IF(T349=1,0,IF(T349=2,0.05,IF(T349=3,0.07,IF(T349=4,0.1,0))))</f>
        <v>0</v>
      </c>
      <c r="BG349" s="602">
        <f>IF(S349=1,0,IF(S349=2,0.05,IF(S349=3,0.07,IF(S349=4,0.1,0))))</f>
        <v>0</v>
      </c>
      <c r="BI349" s="602">
        <f>IF(AA349=0,0,IF(OR(AB347=1,AB349=1),AH349-AO349,IF(OR(AC347=1,AC349=1),AH349-AU349,IF(OR(AD347=1,AD349=1),AH349-AZ349,IF(OR(AE347=1,AE349=1),AH349-BD349,IF(OR(AF347=1,AF349=1),AH349-BG349,AH349))))))</f>
        <v>0</v>
      </c>
      <c r="BJ349" s="602">
        <f>IF(AB349=0,0,IF(OR(AC347=1,AC349=1),AI349-AP349,IF(OR(AD347=1,AD349=1),AI349-AV349,IF(OR(AE347=1,AE349=1),AI349-BA349,IF(OR(AF347=1,AF349=1),AI349-BE349,AI349)))))</f>
        <v>0</v>
      </c>
      <c r="BK349" s="602">
        <f>IF(AC349=0,0,IF(OR(AD347=1,AD349=1),AJ349-AQ349,IF(OR(AE347=1,AE349=1),AJ349-AW349,IF(OR(AF347=1,AF349=1),AJ349-BB349,AJ349))))</f>
        <v>0</v>
      </c>
      <c r="BL349" s="602">
        <f>IF(AD349=0,0,IF(OR(AE347=1,AE349=1),AK349-AR349,IF(OR(AF347=1,AF349=1),AK349-AX349,AK349)))</f>
        <v>0</v>
      </c>
      <c r="BM349" s="602">
        <f>IF(AE349=0,0,IF(OR(AF347=1,AF349=1),AL349-AS349,AL349))</f>
        <v>0</v>
      </c>
      <c r="BN349" s="602">
        <f>IF(AF349=0,0,AM349)</f>
        <v>0</v>
      </c>
      <c r="BP349" s="610">
        <f>ROUND(BP348+BQ348*(1-BP348),2)</f>
        <v>0</v>
      </c>
      <c r="BQ349" s="610">
        <f t="shared" ref="BQ349:BZ349" si="47">ROUND(BP349+BR348*(1-BP349),2)</f>
        <v>0</v>
      </c>
      <c r="BR349" s="610">
        <f t="shared" si="47"/>
        <v>0</v>
      </c>
      <c r="BS349" s="610">
        <f t="shared" si="47"/>
        <v>0</v>
      </c>
      <c r="BT349" s="610">
        <f t="shared" si="47"/>
        <v>0</v>
      </c>
      <c r="BU349" s="610">
        <f t="shared" si="47"/>
        <v>0</v>
      </c>
      <c r="BV349" s="610">
        <f t="shared" si="47"/>
        <v>0</v>
      </c>
      <c r="BW349" s="610">
        <f t="shared" si="47"/>
        <v>0</v>
      </c>
      <c r="BX349" s="610">
        <f t="shared" si="47"/>
        <v>0</v>
      </c>
      <c r="BY349" s="610">
        <f t="shared" si="47"/>
        <v>0</v>
      </c>
      <c r="BZ349" s="610">
        <f t="shared" si="47"/>
        <v>0</v>
      </c>
      <c r="CA349" s="607"/>
    </row>
    <row r="350" spans="2:79" s="419" customFormat="1" ht="15" customHeight="1" x14ac:dyDescent="0.2">
      <c r="B350" s="1593" t="str">
        <f>IF(AD350=1,"ERROR: If radial or ulnar impairment is recorded, do not enter losses for 'both sides.'","")</f>
        <v/>
      </c>
      <c r="C350" s="1594"/>
      <c r="D350" s="1594"/>
      <c r="E350" s="1594"/>
      <c r="F350" s="1594"/>
      <c r="G350" s="1594"/>
      <c r="H350" s="1594"/>
      <c r="I350" s="1594"/>
      <c r="J350" s="1594"/>
      <c r="K350" s="1594"/>
      <c r="L350" s="1594"/>
      <c r="M350" s="1594"/>
      <c r="N350" s="1594"/>
      <c r="O350" s="1595"/>
      <c r="P350" s="303">
        <f>IF(B350&lt;&gt;"","ERROR",BZ349)</f>
        <v>0</v>
      </c>
      <c r="S350" s="599"/>
      <c r="T350" s="599"/>
      <c r="U350" s="599"/>
      <c r="V350" s="599"/>
      <c r="W350" s="599"/>
      <c r="AA350" s="369">
        <f>SUM(AA347:AF347)</f>
        <v>0</v>
      </c>
      <c r="AB350" s="369">
        <f>SUM(AA348:AF348)</f>
        <v>0</v>
      </c>
      <c r="AC350" s="369">
        <f>SUM(AA349:AF349)</f>
        <v>0</v>
      </c>
      <c r="AD350" s="369">
        <f>IF(AND(AA350&gt;0,AB350&gt;0),1,IF(AND(AA350&gt;0,AC350&gt;0),1,0))</f>
        <v>0</v>
      </c>
      <c r="AE350" s="599"/>
      <c r="AF350" s="599"/>
    </row>
    <row r="351" spans="2:79" ht="12" customHeight="1" x14ac:dyDescent="0.2">
      <c r="B351" s="1"/>
      <c r="C351" s="1"/>
      <c r="D351" s="1"/>
      <c r="E351" s="1"/>
      <c r="F351" s="1"/>
      <c r="G351" s="1"/>
      <c r="H351" s="1"/>
      <c r="I351" s="1"/>
      <c r="J351" s="1"/>
      <c r="K351" s="1"/>
      <c r="L351" s="1"/>
      <c r="M351" s="1"/>
      <c r="N351" s="1"/>
      <c r="O351" s="1"/>
      <c r="P351" s="182"/>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row>
    <row r="352" spans="2:79" x14ac:dyDescent="0.2">
      <c r="B352" s="256" t="s">
        <v>1233</v>
      </c>
      <c r="C352" s="1555" t="s">
        <v>1371</v>
      </c>
      <c r="D352" s="1555"/>
      <c r="E352" s="1555"/>
      <c r="F352" s="1555"/>
      <c r="G352" s="1555"/>
      <c r="H352" s="1534" t="s">
        <v>1796</v>
      </c>
      <c r="I352" s="1534"/>
      <c r="J352" s="1534"/>
      <c r="K352" s="42"/>
      <c r="L352" s="1534" t="s">
        <v>1234</v>
      </c>
      <c r="M352" s="1534"/>
      <c r="N352" s="1534"/>
      <c r="O352" s="1534"/>
      <c r="P352" s="1373">
        <f>V354</f>
        <v>0</v>
      </c>
      <c r="R352" s="18"/>
      <c r="S352" s="704" t="s">
        <v>1597</v>
      </c>
      <c r="T352" s="704" t="s">
        <v>1305</v>
      </c>
      <c r="U352" s="704" t="s">
        <v>1306</v>
      </c>
      <c r="V352" s="704" t="s">
        <v>1307</v>
      </c>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row>
    <row r="353" spans="1:109" ht="15" customHeight="1" x14ac:dyDescent="0.2">
      <c r="B353" s="185" t="s">
        <v>1246</v>
      </c>
      <c r="C353" s="1542"/>
      <c r="D353" s="1542"/>
      <c r="E353" s="1542"/>
      <c r="F353" s="1542"/>
      <c r="G353" s="1542"/>
      <c r="H353" s="1545">
        <f>IF(C353=$X$127,0.09,IF(C353=$Y$127,0.18,IF(C353=$Z$127,0.27,0)))</f>
        <v>0</v>
      </c>
      <c r="I353" s="1545"/>
      <c r="J353" s="1545"/>
      <c r="K353" s="185"/>
      <c r="L353" s="1542"/>
      <c r="M353" s="1542"/>
      <c r="N353" s="1542"/>
      <c r="O353" s="26">
        <f>IF(H353&gt;=S353,H353-S353,0)</f>
        <v>0</v>
      </c>
      <c r="P353" s="1373"/>
      <c r="R353" s="18"/>
      <c r="S353" s="776">
        <f>IF(L353=$Y$128,0.09,IF(L353=$Z$128,0.18,IF(L353=$AA$128,0.27,0)))</f>
        <v>0</v>
      </c>
      <c r="T353" s="776">
        <f>LARGE(O353:O355,1)</f>
        <v>0</v>
      </c>
      <c r="U353" s="684">
        <f>T353+T354*(1-T353)</f>
        <v>0</v>
      </c>
      <c r="V353" s="684">
        <f>ROUND(U353,2)</f>
        <v>0</v>
      </c>
      <c r="W353" s="1487" t="s">
        <v>2197</v>
      </c>
      <c r="X353" s="1487"/>
      <c r="Y353" s="1487"/>
      <c r="Z353" s="1487"/>
      <c r="AA353" s="18"/>
      <c r="AB353" s="18"/>
      <c r="AC353" s="18"/>
      <c r="AD353" s="18"/>
      <c r="AE353" s="18"/>
      <c r="AF353" s="18"/>
      <c r="AG353" s="18"/>
      <c r="AH353" s="18"/>
      <c r="AI353" s="18"/>
      <c r="AJ353" s="18"/>
      <c r="AK353" s="18"/>
      <c r="AL353" s="18"/>
      <c r="AM353" s="18"/>
      <c r="AN353" s="18"/>
      <c r="AO353" s="18"/>
      <c r="AP353" s="18"/>
      <c r="AQ353" s="18"/>
      <c r="AR353" s="18"/>
      <c r="AS353" s="18"/>
      <c r="AT353" s="18"/>
    </row>
    <row r="354" spans="1:109" ht="15" customHeight="1" x14ac:dyDescent="0.2">
      <c r="B354" s="256" t="s">
        <v>1247</v>
      </c>
      <c r="C354" s="1542"/>
      <c r="D354" s="1542"/>
      <c r="E354" s="1542"/>
      <c r="F354" s="1542"/>
      <c r="G354" s="1542"/>
      <c r="H354" s="1545">
        <f>IF(C354=$X$127,0.16,IF(C354=$Y$127,0.32,IF(C354=$Z$127,0.48,0)))</f>
        <v>0</v>
      </c>
      <c r="I354" s="1545"/>
      <c r="J354" s="1545"/>
      <c r="K354" s="185"/>
      <c r="L354" s="1542"/>
      <c r="M354" s="1542"/>
      <c r="N354" s="1542"/>
      <c r="O354" s="26">
        <f>IF(H354&gt;=S354,H354-S354,0)</f>
        <v>0</v>
      </c>
      <c r="P354" s="1373"/>
      <c r="R354" s="18"/>
      <c r="S354" s="776">
        <f>IF(L354=$Y$128,0.16,IF(L354=$Z$128,0.32,IF(L354=$AA$128,0.48,0)))</f>
        <v>0</v>
      </c>
      <c r="T354" s="776">
        <f>LARGE(O353:O355,2)</f>
        <v>0</v>
      </c>
      <c r="U354" s="684">
        <f>V353+T355*(1-V353)</f>
        <v>0</v>
      </c>
      <c r="V354" s="684">
        <f>ROUND(U354,2)</f>
        <v>0</v>
      </c>
      <c r="W354" s="769"/>
      <c r="X354" s="769" t="s">
        <v>1237</v>
      </c>
      <c r="Y354" s="769" t="s">
        <v>1238</v>
      </c>
      <c r="Z354" s="769" t="s">
        <v>1239</v>
      </c>
      <c r="AA354" s="769"/>
      <c r="AB354" s="18"/>
      <c r="AC354" s="18"/>
      <c r="AD354" s="18"/>
      <c r="AE354" s="18"/>
      <c r="AF354" s="18"/>
      <c r="AG354" s="18"/>
      <c r="AH354" s="18"/>
      <c r="AI354" s="18"/>
      <c r="AJ354" s="18"/>
      <c r="AK354" s="18"/>
      <c r="AL354" s="18"/>
      <c r="AM354" s="18"/>
      <c r="AN354" s="18"/>
      <c r="AO354" s="18"/>
      <c r="AP354" s="18"/>
      <c r="AQ354" s="18"/>
      <c r="AR354" s="18"/>
      <c r="AS354" s="18"/>
      <c r="AT354" s="18"/>
    </row>
    <row r="355" spans="1:109" ht="15" customHeight="1" x14ac:dyDescent="0.2">
      <c r="B355" s="256" t="s">
        <v>1248</v>
      </c>
      <c r="C355" s="1542"/>
      <c r="D355" s="1542"/>
      <c r="E355" s="1542"/>
      <c r="F355" s="1542"/>
      <c r="G355" s="1542"/>
      <c r="H355" s="1545">
        <f>IF(C355=$X$127,0.2,IF(C355=$Y$127,0.4,IF(C355=$Z$127,0.6,0)))</f>
        <v>0</v>
      </c>
      <c r="I355" s="1545"/>
      <c r="J355" s="1545"/>
      <c r="K355" s="185"/>
      <c r="L355" s="1542"/>
      <c r="M355" s="1542"/>
      <c r="N355" s="1542"/>
      <c r="O355" s="26">
        <f>IF(H355&gt;=S355,H355-S355,0)</f>
        <v>0</v>
      </c>
      <c r="P355" s="1373"/>
      <c r="R355" s="18"/>
      <c r="S355" s="776">
        <f>IF(L355=$Y$128,0.2,IF(L355=$Z$128,0.4,IF(L355=$AA$128,0.6,0)))</f>
        <v>0</v>
      </c>
      <c r="T355" s="776">
        <f>LARGE(O353:O355,3)</f>
        <v>0</v>
      </c>
      <c r="U355" s="769"/>
      <c r="V355" s="769"/>
      <c r="W355" s="769"/>
      <c r="X355" s="769" t="s">
        <v>523</v>
      </c>
      <c r="Y355" s="769" t="s">
        <v>915</v>
      </c>
      <c r="Z355" s="776" t="s">
        <v>1803</v>
      </c>
      <c r="AA355" s="769" t="s">
        <v>1672</v>
      </c>
      <c r="AB355" s="18"/>
      <c r="AC355" s="18"/>
      <c r="AD355" s="18"/>
      <c r="AE355" s="18"/>
      <c r="AF355" s="18"/>
      <c r="AG355" s="18"/>
      <c r="AH355" s="18"/>
      <c r="AI355" s="18"/>
      <c r="AJ355" s="18"/>
      <c r="AK355" s="18"/>
      <c r="AL355" s="18"/>
      <c r="AM355" s="18"/>
      <c r="AN355" s="18"/>
      <c r="AO355" s="18"/>
      <c r="AP355" s="18"/>
      <c r="AQ355" s="18"/>
      <c r="AR355" s="18"/>
      <c r="AS355" s="18"/>
      <c r="AT355" s="18"/>
    </row>
    <row r="356" spans="1:109" ht="12" customHeight="1" x14ac:dyDescent="0.2">
      <c r="B356" s="1578"/>
      <c r="C356" s="1578"/>
      <c r="D356" s="1578"/>
      <c r="E356" s="1578"/>
      <c r="F356" s="1578"/>
      <c r="G356" s="1578"/>
      <c r="H356" s="1578"/>
      <c r="I356" s="1578"/>
      <c r="J356" s="1578"/>
      <c r="K356" s="1578"/>
      <c r="L356" s="1578"/>
      <c r="M356" s="1578"/>
      <c r="N356" s="1578"/>
      <c r="O356" s="1578"/>
      <c r="P356" s="191"/>
      <c r="R356" s="18"/>
      <c r="S356" s="19"/>
      <c r="T356" s="19"/>
      <c r="U356" s="18"/>
      <c r="V356" s="18"/>
      <c r="W356" s="18"/>
      <c r="X356" s="18"/>
      <c r="Y356" s="18"/>
      <c r="Z356" s="19"/>
      <c r="AA356" s="18"/>
      <c r="AB356" s="18"/>
      <c r="AC356" s="18"/>
      <c r="AD356" s="18"/>
      <c r="AE356" s="18"/>
      <c r="AF356" s="18"/>
      <c r="AG356" s="18"/>
      <c r="AH356" s="18"/>
      <c r="AI356" s="18"/>
      <c r="AJ356" s="18"/>
      <c r="AK356" s="18"/>
      <c r="AL356" s="18"/>
      <c r="AM356" s="18"/>
      <c r="AN356" s="18"/>
      <c r="AO356" s="18"/>
      <c r="AP356" s="18"/>
      <c r="AQ356" s="18"/>
      <c r="AR356" s="18"/>
      <c r="AS356" s="18"/>
      <c r="AT356" s="18"/>
    </row>
    <row r="357" spans="1:109" ht="15" customHeight="1" x14ac:dyDescent="0.2">
      <c r="A357" s="189"/>
      <c r="B357" s="1591" t="s">
        <v>968</v>
      </c>
      <c r="C357" s="1539"/>
      <c r="D357" s="1540"/>
      <c r="E357" s="1357" t="s">
        <v>573</v>
      </c>
      <c r="F357" s="1358"/>
      <c r="G357" s="1358"/>
      <c r="H357" s="1358"/>
      <c r="I357" s="1358"/>
      <c r="J357" s="1358"/>
      <c r="K357" s="1358"/>
      <c r="L357" s="1358"/>
      <c r="M357" s="1358"/>
      <c r="N357" s="1358"/>
      <c r="O357" s="1359"/>
      <c r="P357" s="303">
        <f>IF(T357=1,0.15,0)</f>
        <v>0</v>
      </c>
      <c r="R357" s="1557" t="s">
        <v>2197</v>
      </c>
      <c r="S357" s="706" t="b">
        <v>0</v>
      </c>
      <c r="T357" s="769">
        <f>IF(S357=TRUE,1,0)</f>
        <v>0</v>
      </c>
      <c r="U357" s="18"/>
      <c r="V357" s="18"/>
      <c r="W357" s="18"/>
      <c r="X357" s="18"/>
      <c r="Y357" s="18"/>
      <c r="Z357" s="18"/>
      <c r="AA357" s="18"/>
      <c r="AB357" s="18"/>
      <c r="AC357" s="18"/>
      <c r="AD357" s="18"/>
      <c r="AE357" s="18"/>
      <c r="AF357" s="18"/>
      <c r="AG357" s="18">
        <v>1E-4</v>
      </c>
      <c r="AH357" s="18"/>
      <c r="AI357" s="18"/>
      <c r="AJ357" s="18"/>
      <c r="AK357" s="18"/>
      <c r="AL357" s="18"/>
      <c r="AM357" s="18"/>
      <c r="AN357" s="18"/>
      <c r="AO357" s="18"/>
      <c r="AP357" s="18"/>
      <c r="AQ357" s="18"/>
      <c r="AR357" s="18"/>
      <c r="AS357" s="18"/>
      <c r="AT357" s="18"/>
    </row>
    <row r="358" spans="1:109" ht="15" customHeight="1" x14ac:dyDescent="0.2">
      <c r="B358" s="1591"/>
      <c r="C358" s="1539"/>
      <c r="D358" s="1540"/>
      <c r="E358" s="1357" t="s">
        <v>574</v>
      </c>
      <c r="F358" s="1358"/>
      <c r="G358" s="1358"/>
      <c r="H358" s="1358"/>
      <c r="I358" s="1358"/>
      <c r="J358" s="1358"/>
      <c r="K358" s="1358"/>
      <c r="L358" s="1358"/>
      <c r="M358" s="1358"/>
      <c r="N358" s="1358"/>
      <c r="O358" s="1359"/>
      <c r="P358" s="303">
        <f>IF(T358=1,0.25,0)</f>
        <v>0</v>
      </c>
      <c r="R358" s="1557"/>
      <c r="S358" s="706" t="b">
        <v>0</v>
      </c>
      <c r="T358" s="769">
        <f>IF(S358=TRUE,1,0)</f>
        <v>0</v>
      </c>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row>
    <row r="359" spans="1:109" ht="15" customHeight="1" x14ac:dyDescent="0.2">
      <c r="B359" s="1591"/>
      <c r="C359" s="1539"/>
      <c r="D359" s="1540"/>
      <c r="E359" s="1357" t="s">
        <v>788</v>
      </c>
      <c r="F359" s="1358"/>
      <c r="G359" s="1358"/>
      <c r="H359" s="1358"/>
      <c r="I359" s="1358"/>
      <c r="J359" s="1358"/>
      <c r="K359" s="1358"/>
      <c r="L359" s="1358"/>
      <c r="M359" s="1358"/>
      <c r="N359" s="1358"/>
      <c r="O359" s="1359"/>
      <c r="P359" s="303">
        <f>IF(T359=1,0.23,0)</f>
        <v>0</v>
      </c>
      <c r="R359" s="1557"/>
      <c r="S359" s="706" t="b">
        <v>0</v>
      </c>
      <c r="T359" s="769">
        <f>IF(S359=TRUE,1,0)</f>
        <v>0</v>
      </c>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row>
    <row r="360" spans="1:109" ht="12" customHeight="1" x14ac:dyDescent="0.2">
      <c r="B360" s="1395"/>
      <c r="C360" s="1395"/>
      <c r="D360" s="1395"/>
      <c r="E360" s="1395"/>
      <c r="F360" s="1395"/>
      <c r="G360" s="1395"/>
      <c r="H360" s="1395"/>
      <c r="I360" s="1395"/>
      <c r="J360" s="1395"/>
      <c r="K360" s="1395"/>
      <c r="L360" s="1395"/>
      <c r="M360" s="1395"/>
      <c r="N360" s="1395"/>
      <c r="O360" s="1395"/>
      <c r="P360" s="2"/>
      <c r="R360" s="18"/>
      <c r="S360" s="163"/>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row>
    <row r="361" spans="1:109" ht="15" customHeight="1" x14ac:dyDescent="0.2">
      <c r="B361" s="1541" t="s">
        <v>1249</v>
      </c>
      <c r="C361" s="1541"/>
      <c r="D361" s="1541"/>
      <c r="E361" s="1541"/>
      <c r="F361" s="1541"/>
      <c r="G361" s="1541"/>
      <c r="H361" s="1541"/>
      <c r="I361" s="1541"/>
      <c r="J361" s="1541"/>
      <c r="K361" s="1541"/>
      <c r="L361" s="1541"/>
      <c r="M361" s="1541"/>
      <c r="N361" s="1541"/>
      <c r="O361" s="388"/>
      <c r="P361" s="26">
        <f>SUMIF(T361:X361,O361,T362:X362)</f>
        <v>0</v>
      </c>
      <c r="R361" s="1561" t="s">
        <v>2197</v>
      </c>
      <c r="S361" s="1561"/>
      <c r="T361" s="769" t="s">
        <v>1969</v>
      </c>
      <c r="U361" s="769" t="s">
        <v>1970</v>
      </c>
      <c r="V361" s="776" t="s">
        <v>1972</v>
      </c>
      <c r="W361" s="769" t="s">
        <v>945</v>
      </c>
      <c r="X361" s="776" t="s">
        <v>558</v>
      </c>
      <c r="Y361" s="18"/>
      <c r="Z361" s="769" t="s">
        <v>1969</v>
      </c>
      <c r="AA361" s="769" t="s">
        <v>1970</v>
      </c>
      <c r="AB361" s="776" t="s">
        <v>1972</v>
      </c>
      <c r="AC361" s="769" t="s">
        <v>945</v>
      </c>
      <c r="AD361" s="776" t="s">
        <v>558</v>
      </c>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row>
    <row r="362" spans="1:109" ht="15" customHeight="1" x14ac:dyDescent="0.2">
      <c r="B362" s="1541" t="s">
        <v>1499</v>
      </c>
      <c r="C362" s="1541"/>
      <c r="D362" s="1541"/>
      <c r="E362" s="1541"/>
      <c r="F362" s="1541"/>
      <c r="G362" s="1541"/>
      <c r="H362" s="1541"/>
      <c r="I362" s="1541"/>
      <c r="J362" s="1541"/>
      <c r="K362" s="1541"/>
      <c r="L362" s="1541"/>
      <c r="M362" s="1541"/>
      <c r="N362" s="1541"/>
      <c r="O362" s="388"/>
      <c r="P362" s="26">
        <f>SUMIF(Z361:AD361,O362,Z362:AD362)</f>
        <v>0</v>
      </c>
      <c r="R362" s="1561"/>
      <c r="S362" s="1561"/>
      <c r="T362" s="776">
        <v>0.03</v>
      </c>
      <c r="U362" s="776">
        <v>0.15</v>
      </c>
      <c r="V362" s="776">
        <v>0.38</v>
      </c>
      <c r="W362" s="776">
        <v>0.68</v>
      </c>
      <c r="X362" s="776">
        <v>0.9</v>
      </c>
      <c r="Y362" s="18"/>
      <c r="Z362" s="776">
        <v>0.03</v>
      </c>
      <c r="AA362" s="776">
        <v>0.15</v>
      </c>
      <c r="AB362" s="776">
        <v>0.35</v>
      </c>
      <c r="AC362" s="776">
        <v>0.63</v>
      </c>
      <c r="AD362" s="776">
        <v>0.88</v>
      </c>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row>
    <row r="363" spans="1:109" ht="12" customHeight="1" x14ac:dyDescent="0.2">
      <c r="B363" s="1395"/>
      <c r="C363" s="1395"/>
      <c r="D363" s="1395"/>
      <c r="E363" s="1395"/>
      <c r="F363" s="1395"/>
      <c r="G363" s="1395"/>
      <c r="H363" s="1395"/>
      <c r="I363" s="1395"/>
      <c r="J363" s="1395"/>
      <c r="K363" s="1395"/>
      <c r="L363" s="1395"/>
      <c r="M363" s="1395"/>
      <c r="N363" s="1395"/>
      <c r="O363" s="1395"/>
      <c r="P363" s="182"/>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row>
    <row r="364" spans="1:109" ht="27" customHeight="1" x14ac:dyDescent="0.2">
      <c r="B364" s="1632" t="s">
        <v>1250</v>
      </c>
      <c r="C364" s="1633"/>
      <c r="D364" s="1633"/>
      <c r="E364" s="1633"/>
      <c r="F364" s="1634"/>
      <c r="G364" s="1626" t="s">
        <v>1525</v>
      </c>
      <c r="H364" s="1627"/>
      <c r="I364" s="1627"/>
      <c r="J364" s="1628"/>
      <c r="K364" s="1616"/>
      <c r="L364" s="1617"/>
      <c r="M364" s="1617"/>
      <c r="N364" s="1617"/>
      <c r="O364" s="1618"/>
      <c r="P364" s="1373">
        <f>U378</f>
        <v>0</v>
      </c>
      <c r="R364" s="783" t="s">
        <v>1865</v>
      </c>
      <c r="S364" s="769" t="s">
        <v>1305</v>
      </c>
      <c r="T364" s="769" t="s">
        <v>1306</v>
      </c>
      <c r="U364" s="769" t="s">
        <v>1307</v>
      </c>
      <c r="V364" s="1549" t="s">
        <v>801</v>
      </c>
      <c r="W364" s="1550"/>
      <c r="X364" s="1551"/>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row>
    <row r="365" spans="1:109" ht="15" customHeight="1" x14ac:dyDescent="0.2">
      <c r="B365" s="1410" t="s">
        <v>628</v>
      </c>
      <c r="C365" s="1410"/>
      <c r="D365" s="1410"/>
      <c r="E365" s="1373">
        <f>P309</f>
        <v>0</v>
      </c>
      <c r="F365" s="1373"/>
      <c r="G365" s="1534" t="s">
        <v>1942</v>
      </c>
      <c r="H365" s="1534"/>
      <c r="I365" s="1559"/>
      <c r="J365" s="1559"/>
      <c r="K365" s="1619"/>
      <c r="L365" s="1620"/>
      <c r="M365" s="1620"/>
      <c r="N365" s="1620"/>
      <c r="O365" s="1621"/>
      <c r="P365" s="1373"/>
      <c r="R365" s="688">
        <f>E365</f>
        <v>0</v>
      </c>
      <c r="S365" s="776">
        <f>LARGE($R$365:$R$379,1)</f>
        <v>0</v>
      </c>
      <c r="T365" s="684">
        <f>S365+S366*(1-S365)</f>
        <v>0</v>
      </c>
      <c r="U365" s="688">
        <f t="shared" ref="U365:U378" si="48">ROUND(T365,2)</f>
        <v>0</v>
      </c>
      <c r="V365" s="769">
        <f>IF(E365&gt;0,1,0)</f>
        <v>0</v>
      </c>
      <c r="W365" s="769">
        <f>COUNTIF(V365:V379,1)</f>
        <v>0</v>
      </c>
      <c r="X365" s="769">
        <f>IF(AND(W365=0,W366&gt;0),1,IF(W365&gt;0,2,0))</f>
        <v>0</v>
      </c>
      <c r="AA365" s="18"/>
      <c r="AC365" s="18"/>
      <c r="AD365" s="18"/>
      <c r="AG365" s="18"/>
      <c r="AH365" s="18"/>
      <c r="AI365" s="18"/>
      <c r="AJ365" s="18"/>
      <c r="AK365" s="18"/>
      <c r="AL365" s="18"/>
      <c r="AM365" s="18"/>
      <c r="AN365" s="18"/>
      <c r="AO365" s="18"/>
      <c r="AP365" s="18"/>
      <c r="AQ365" s="18"/>
      <c r="AR365" s="18"/>
      <c r="AS365" s="18"/>
      <c r="AT365" s="18"/>
    </row>
    <row r="366" spans="1:109" ht="15" customHeight="1" x14ac:dyDescent="0.2">
      <c r="B366" s="1410" t="s">
        <v>382</v>
      </c>
      <c r="C366" s="1410"/>
      <c r="D366" s="1410"/>
      <c r="E366" s="1373">
        <f>P312</f>
        <v>0</v>
      </c>
      <c r="F366" s="1373"/>
      <c r="G366" s="1534" t="s">
        <v>1942</v>
      </c>
      <c r="H366" s="1534"/>
      <c r="I366" s="1559"/>
      <c r="J366" s="1559"/>
      <c r="K366" s="1619"/>
      <c r="L366" s="1620"/>
      <c r="M366" s="1620"/>
      <c r="N366" s="1620"/>
      <c r="O366" s="1621"/>
      <c r="P366" s="1373"/>
      <c r="R366" s="688">
        <f>E366</f>
        <v>0</v>
      </c>
      <c r="S366" s="776">
        <f>LARGE($R$365:$R$379,2)</f>
        <v>0</v>
      </c>
      <c r="T366" s="684">
        <f>U365+S367*(1-U365)</f>
        <v>0</v>
      </c>
      <c r="U366" s="688">
        <f t="shared" si="48"/>
        <v>0</v>
      </c>
      <c r="V366" s="769">
        <f>IF(E366&gt;0,2,0)</f>
        <v>0</v>
      </c>
      <c r="W366" s="770">
        <f>COUNTIF(V365:V379,2)</f>
        <v>0</v>
      </c>
      <c r="X366" s="18"/>
      <c r="Y366" s="18" t="s">
        <v>511</v>
      </c>
      <c r="AA366" s="1395"/>
      <c r="AB366" s="1395"/>
      <c r="AC366" s="1395"/>
      <c r="AD366" s="18"/>
      <c r="AG366" s="18"/>
      <c r="AH366" s="18"/>
      <c r="AI366" s="18"/>
      <c r="AJ366" s="18"/>
      <c r="AK366" s="18"/>
      <c r="AL366" s="18"/>
      <c r="AM366" s="18"/>
      <c r="AN366" s="18"/>
      <c r="AO366" s="18"/>
      <c r="AP366" s="18"/>
      <c r="AQ366" s="18"/>
      <c r="AR366" s="18"/>
      <c r="AS366" s="18"/>
      <c r="AT366" s="18"/>
    </row>
    <row r="367" spans="1:109" ht="15" customHeight="1" x14ac:dyDescent="0.2">
      <c r="B367" s="1410" t="s">
        <v>1959</v>
      </c>
      <c r="C367" s="1410"/>
      <c r="D367" s="1410"/>
      <c r="E367" s="1373">
        <f>IF(E607&gt;0,0,P316)</f>
        <v>0</v>
      </c>
      <c r="F367" s="1373"/>
      <c r="G367" s="1729" t="s">
        <v>2260</v>
      </c>
      <c r="H367" s="1729"/>
      <c r="I367" s="1559"/>
      <c r="J367" s="1559"/>
      <c r="K367" s="1619"/>
      <c r="L367" s="1620"/>
      <c r="M367" s="1620"/>
      <c r="N367" s="1620"/>
      <c r="O367" s="1621"/>
      <c r="P367" s="1373"/>
      <c r="R367" s="688">
        <f t="shared" ref="R367:R374" si="49">IF(I367&gt;0,I367,E367)</f>
        <v>0</v>
      </c>
      <c r="S367" s="776">
        <f>LARGE($R$365:$R$379,3)</f>
        <v>0</v>
      </c>
      <c r="T367" s="684">
        <f>U366+S368*(1-U366)</f>
        <v>0</v>
      </c>
      <c r="U367" s="688">
        <f t="shared" si="48"/>
        <v>0</v>
      </c>
      <c r="V367" s="769">
        <f t="shared" ref="V367:V379" si="50">IF(E367&gt;0,1,0)</f>
        <v>0</v>
      </c>
      <c r="W367" s="18"/>
      <c r="X367" s="18"/>
      <c r="Y367" s="1087"/>
      <c r="Z367" s="18"/>
      <c r="AA367" s="1395"/>
      <c r="AB367" s="1395"/>
      <c r="AC367" s="1395"/>
      <c r="AD367" s="18"/>
      <c r="AG367" s="18"/>
      <c r="AH367" s="18"/>
      <c r="AI367" s="18"/>
      <c r="AJ367" s="18"/>
      <c r="AK367" s="18"/>
      <c r="AL367" s="18"/>
      <c r="AM367" s="18"/>
      <c r="AN367" s="18"/>
      <c r="AO367" s="18"/>
      <c r="AP367" s="18"/>
      <c r="AQ367" s="18"/>
      <c r="AR367" s="18"/>
      <c r="AS367" s="18"/>
      <c r="AT367" s="18"/>
    </row>
    <row r="368" spans="1:109" ht="15" customHeight="1" x14ac:dyDescent="0.2">
      <c r="B368" s="1410" t="s">
        <v>1417</v>
      </c>
      <c r="C368" s="1410"/>
      <c r="D368" s="1410"/>
      <c r="E368" s="1373">
        <f>P333</f>
        <v>0</v>
      </c>
      <c r="F368" s="1373"/>
      <c r="G368" s="1544"/>
      <c r="H368" s="1544"/>
      <c r="I368" s="1545">
        <f t="shared" ref="I368:I374" si="51">IF(AND(Y368&lt;0.01,Y368&gt;0),0.01,ROUND(Y368,2))</f>
        <v>0</v>
      </c>
      <c r="J368" s="1545"/>
      <c r="K368" s="1619"/>
      <c r="L368" s="1620"/>
      <c r="M368" s="1620"/>
      <c r="N368" s="1620"/>
      <c r="O368" s="1621"/>
      <c r="P368" s="1373"/>
      <c r="R368" s="688">
        <f t="shared" si="49"/>
        <v>0</v>
      </c>
      <c r="S368" s="776">
        <f>LARGE($R$365:$R$379,4)</f>
        <v>0</v>
      </c>
      <c r="T368" s="684">
        <f t="shared" ref="T368:T378" si="52">U367+S369*(1-U367)</f>
        <v>0</v>
      </c>
      <c r="U368" s="688">
        <f t="shared" si="48"/>
        <v>0</v>
      </c>
      <c r="V368" s="769">
        <f t="shared" si="50"/>
        <v>0</v>
      </c>
      <c r="W368" s="18"/>
      <c r="X368" s="18"/>
      <c r="Y368" s="355">
        <f>E368*G368</f>
        <v>0</v>
      </c>
      <c r="Z368" s="860"/>
      <c r="AA368" s="1395"/>
      <c r="AB368" s="1395"/>
      <c r="AC368" s="1395"/>
      <c r="AD368" s="18"/>
      <c r="AG368" s="18"/>
      <c r="AH368" s="18"/>
      <c r="AI368" s="18"/>
      <c r="AJ368" s="18"/>
      <c r="AK368" s="18"/>
      <c r="AL368" s="18"/>
      <c r="AM368" s="18"/>
      <c r="AN368" s="18"/>
      <c r="AO368" s="18"/>
      <c r="AP368" s="18"/>
      <c r="AQ368" s="18"/>
      <c r="AR368" s="18"/>
      <c r="AS368" s="18"/>
      <c r="AT368" s="18"/>
    </row>
    <row r="369" spans="2:76" ht="15" customHeight="1" x14ac:dyDescent="0.2">
      <c r="B369" s="1362" t="s">
        <v>1418</v>
      </c>
      <c r="C369" s="1363"/>
      <c r="D369" s="1364"/>
      <c r="E369" s="1373">
        <f>P334</f>
        <v>0</v>
      </c>
      <c r="F369" s="1373"/>
      <c r="G369" s="1544"/>
      <c r="H369" s="1544"/>
      <c r="I369" s="1545">
        <f t="shared" si="51"/>
        <v>0</v>
      </c>
      <c r="J369" s="1545"/>
      <c r="K369" s="1619"/>
      <c r="L369" s="1620"/>
      <c r="M369" s="1620"/>
      <c r="N369" s="1620"/>
      <c r="O369" s="1621"/>
      <c r="P369" s="1373"/>
      <c r="R369" s="688">
        <f t="shared" si="49"/>
        <v>0</v>
      </c>
      <c r="S369" s="776">
        <f>LARGE($R$365:$R$379,5)</f>
        <v>0</v>
      </c>
      <c r="T369" s="684">
        <f t="shared" si="52"/>
        <v>0</v>
      </c>
      <c r="U369" s="688">
        <f t="shared" si="48"/>
        <v>0</v>
      </c>
      <c r="V369" s="769">
        <f t="shared" si="50"/>
        <v>0</v>
      </c>
      <c r="W369" s="18"/>
      <c r="X369" s="18"/>
      <c r="Y369" s="1028">
        <f t="shared" ref="Y369:Y374" si="53">E369*G369</f>
        <v>0</v>
      </c>
      <c r="Z369" s="860"/>
      <c r="AA369" s="1395"/>
      <c r="AB369" s="1395"/>
      <c r="AC369" s="1395"/>
      <c r="AD369" s="18"/>
      <c r="AE369" s="18"/>
      <c r="AF369" s="18"/>
      <c r="AG369" s="18"/>
      <c r="AH369" s="18"/>
      <c r="AI369" s="18"/>
      <c r="AJ369" s="18"/>
      <c r="AK369" s="18"/>
      <c r="AL369" s="18"/>
      <c r="AM369" s="18"/>
      <c r="AN369" s="18"/>
      <c r="AO369" s="18"/>
      <c r="AP369" s="18"/>
      <c r="AQ369" s="18"/>
      <c r="AR369" s="18"/>
      <c r="AS369" s="18"/>
      <c r="AT369" s="18"/>
    </row>
    <row r="370" spans="2:76" ht="15" customHeight="1" x14ac:dyDescent="0.2">
      <c r="B370" s="1362" t="s">
        <v>1419</v>
      </c>
      <c r="C370" s="1363"/>
      <c r="D370" s="1364"/>
      <c r="E370" s="1373">
        <f>P335</f>
        <v>0</v>
      </c>
      <c r="F370" s="1373"/>
      <c r="G370" s="1544"/>
      <c r="H370" s="1544"/>
      <c r="I370" s="1545">
        <f t="shared" si="51"/>
        <v>0</v>
      </c>
      <c r="J370" s="1545"/>
      <c r="K370" s="1619"/>
      <c r="L370" s="1620"/>
      <c r="M370" s="1620"/>
      <c r="N370" s="1620"/>
      <c r="O370" s="1621"/>
      <c r="P370" s="1373"/>
      <c r="R370" s="688">
        <f t="shared" si="49"/>
        <v>0</v>
      </c>
      <c r="S370" s="776">
        <f>LARGE($R$365:$R$379,6)</f>
        <v>0</v>
      </c>
      <c r="T370" s="684">
        <f t="shared" si="52"/>
        <v>0</v>
      </c>
      <c r="U370" s="688">
        <f t="shared" si="48"/>
        <v>0</v>
      </c>
      <c r="V370" s="769">
        <f t="shared" si="50"/>
        <v>0</v>
      </c>
      <c r="W370" s="18"/>
      <c r="X370" s="18"/>
      <c r="Y370" s="1028">
        <f t="shared" si="53"/>
        <v>0</v>
      </c>
      <c r="Z370" s="860"/>
      <c r="AC370" s="18"/>
      <c r="AD370" s="18"/>
      <c r="AE370" s="18"/>
      <c r="AF370" s="18"/>
      <c r="AG370" s="18"/>
      <c r="AH370" s="18"/>
      <c r="AI370" s="18"/>
      <c r="AJ370" s="18"/>
      <c r="AK370" s="18"/>
      <c r="AL370" s="18"/>
      <c r="AM370" s="18"/>
      <c r="AN370" s="18"/>
      <c r="AO370" s="18"/>
      <c r="AP370" s="18"/>
      <c r="AQ370" s="18"/>
      <c r="AR370" s="18"/>
      <c r="AS370" s="18"/>
      <c r="AT370" s="18"/>
    </row>
    <row r="371" spans="2:76" ht="15" customHeight="1" x14ac:dyDescent="0.2">
      <c r="B371" s="1362" t="s">
        <v>1420</v>
      </c>
      <c r="C371" s="1363"/>
      <c r="D371" s="1364"/>
      <c r="E371" s="1373">
        <f>P336</f>
        <v>0</v>
      </c>
      <c r="F371" s="1373"/>
      <c r="G371" s="1544"/>
      <c r="H371" s="1544"/>
      <c r="I371" s="1545">
        <f t="shared" si="51"/>
        <v>0</v>
      </c>
      <c r="J371" s="1545"/>
      <c r="K371" s="1619"/>
      <c r="L371" s="1620"/>
      <c r="M371" s="1620"/>
      <c r="N371" s="1620"/>
      <c r="O371" s="1621"/>
      <c r="P371" s="1373"/>
      <c r="R371" s="688">
        <f t="shared" si="49"/>
        <v>0</v>
      </c>
      <c r="S371" s="776">
        <f>LARGE($R$365:$R$379,7)</f>
        <v>0</v>
      </c>
      <c r="T371" s="684">
        <f t="shared" si="52"/>
        <v>0</v>
      </c>
      <c r="U371" s="688">
        <f t="shared" si="48"/>
        <v>0</v>
      </c>
      <c r="V371" s="769">
        <f t="shared" si="50"/>
        <v>0</v>
      </c>
      <c r="W371" s="18"/>
      <c r="X371" s="18"/>
      <c r="Y371" s="1028">
        <f t="shared" si="53"/>
        <v>0</v>
      </c>
      <c r="Z371" s="860"/>
      <c r="AA371" s="1073"/>
      <c r="AB371" s="1073"/>
      <c r="AC371" s="18"/>
      <c r="AD371" s="18"/>
      <c r="AE371" s="18"/>
      <c r="AF371" s="18"/>
      <c r="AG371" s="18"/>
      <c r="AH371" s="18"/>
      <c r="AI371" s="18"/>
      <c r="AJ371" s="18"/>
      <c r="AK371" s="18"/>
      <c r="AL371" s="18"/>
      <c r="AM371" s="18"/>
      <c r="AN371" s="18"/>
      <c r="AO371" s="18"/>
      <c r="AP371" s="18"/>
      <c r="AQ371" s="18"/>
      <c r="AR371" s="18"/>
      <c r="AS371" s="18"/>
      <c r="AT371" s="18"/>
    </row>
    <row r="372" spans="2:76" ht="15" customHeight="1" x14ac:dyDescent="0.2">
      <c r="B372" s="1410" t="s">
        <v>1986</v>
      </c>
      <c r="C372" s="1410"/>
      <c r="D372" s="1410"/>
      <c r="E372" s="1373">
        <f>P345</f>
        <v>0</v>
      </c>
      <c r="F372" s="1373"/>
      <c r="G372" s="1544"/>
      <c r="H372" s="1544"/>
      <c r="I372" s="1545">
        <f t="shared" si="51"/>
        <v>0</v>
      </c>
      <c r="J372" s="1545"/>
      <c r="K372" s="1619"/>
      <c r="L372" s="1620"/>
      <c r="M372" s="1620"/>
      <c r="N372" s="1620"/>
      <c r="O372" s="1621"/>
      <c r="P372" s="1373"/>
      <c r="R372" s="688">
        <f t="shared" si="49"/>
        <v>0</v>
      </c>
      <c r="S372" s="776">
        <f>LARGE($R$365:$R$379,8)</f>
        <v>0</v>
      </c>
      <c r="T372" s="684">
        <f t="shared" si="52"/>
        <v>0</v>
      </c>
      <c r="U372" s="688">
        <f t="shared" si="48"/>
        <v>0</v>
      </c>
      <c r="V372" s="769">
        <f t="shared" si="50"/>
        <v>0</v>
      </c>
      <c r="W372" s="18"/>
      <c r="X372" s="18"/>
      <c r="Y372" s="1028">
        <f t="shared" si="53"/>
        <v>0</v>
      </c>
      <c r="Z372" s="860"/>
      <c r="AA372" s="1073"/>
      <c r="AB372" s="1073"/>
      <c r="AC372" s="18"/>
      <c r="AD372" s="18"/>
      <c r="AE372" s="18"/>
      <c r="AF372" s="18"/>
      <c r="AG372" s="18"/>
      <c r="AH372" s="18"/>
      <c r="AI372" s="18"/>
      <c r="AJ372" s="18"/>
      <c r="AK372" s="18"/>
      <c r="AL372" s="18"/>
      <c r="AM372" s="18"/>
      <c r="AN372" s="18"/>
      <c r="AO372" s="18"/>
      <c r="AP372" s="18"/>
      <c r="AQ372" s="18"/>
      <c r="AR372" s="18"/>
      <c r="AS372" s="18"/>
      <c r="AT372" s="18"/>
    </row>
    <row r="373" spans="2:76" ht="15" customHeight="1" x14ac:dyDescent="0.2">
      <c r="B373" s="1410" t="s">
        <v>1227</v>
      </c>
      <c r="C373" s="1410"/>
      <c r="D373" s="1410"/>
      <c r="E373" s="1373">
        <f>P350</f>
        <v>0</v>
      </c>
      <c r="F373" s="1373"/>
      <c r="G373" s="1544"/>
      <c r="H373" s="1544"/>
      <c r="I373" s="1545">
        <f t="shared" si="51"/>
        <v>0</v>
      </c>
      <c r="J373" s="1545"/>
      <c r="K373" s="1030"/>
      <c r="L373" s="1031"/>
      <c r="M373" s="1031"/>
      <c r="N373" s="1031"/>
      <c r="O373" s="1032"/>
      <c r="P373" s="1373"/>
      <c r="R373" s="688">
        <f t="shared" si="49"/>
        <v>0</v>
      </c>
      <c r="S373" s="776">
        <f>LARGE($R$365:$R$379,9)</f>
        <v>0</v>
      </c>
      <c r="T373" s="684">
        <f t="shared" si="52"/>
        <v>0</v>
      </c>
      <c r="U373" s="688">
        <f t="shared" si="48"/>
        <v>0</v>
      </c>
      <c r="V373" s="769">
        <f t="shared" si="50"/>
        <v>0</v>
      </c>
      <c r="W373" s="18"/>
      <c r="X373" s="18"/>
      <c r="Y373" s="1028">
        <f t="shared" si="53"/>
        <v>0</v>
      </c>
      <c r="Z373" s="373"/>
      <c r="AA373" s="1073"/>
      <c r="AB373" s="1073"/>
      <c r="AC373" s="18"/>
      <c r="AD373" s="18"/>
      <c r="AE373" s="18"/>
      <c r="AF373" s="18"/>
      <c r="AG373" s="18"/>
      <c r="AH373" s="18"/>
      <c r="AI373" s="18"/>
      <c r="AJ373" s="18"/>
      <c r="AK373" s="18"/>
      <c r="AL373" s="18"/>
      <c r="AM373" s="18"/>
      <c r="AN373" s="18"/>
      <c r="AO373" s="18"/>
      <c r="AP373" s="18"/>
      <c r="AQ373" s="18"/>
      <c r="AR373" s="18"/>
      <c r="AS373" s="18"/>
      <c r="AT373" s="18"/>
    </row>
    <row r="374" spans="2:76" ht="15" customHeight="1" x14ac:dyDescent="0.2">
      <c r="B374" s="1410" t="s">
        <v>1233</v>
      </c>
      <c r="C374" s="1410"/>
      <c r="D374" s="1410"/>
      <c r="E374" s="1373">
        <f>P352</f>
        <v>0</v>
      </c>
      <c r="F374" s="1373"/>
      <c r="G374" s="1544"/>
      <c r="H374" s="1544"/>
      <c r="I374" s="1545">
        <f t="shared" si="51"/>
        <v>0</v>
      </c>
      <c r="J374" s="1545"/>
      <c r="K374" s="1030"/>
      <c r="L374" s="1031"/>
      <c r="M374" s="1031"/>
      <c r="N374" s="1031"/>
      <c r="O374" s="1032"/>
      <c r="P374" s="1373"/>
      <c r="R374" s="688">
        <f t="shared" si="49"/>
        <v>0</v>
      </c>
      <c r="S374" s="776">
        <f>LARGE($R$365:$R$379,10)</f>
        <v>0</v>
      </c>
      <c r="T374" s="684">
        <f t="shared" si="52"/>
        <v>0</v>
      </c>
      <c r="U374" s="688">
        <f t="shared" si="48"/>
        <v>0</v>
      </c>
      <c r="V374" s="769">
        <f t="shared" si="50"/>
        <v>0</v>
      </c>
      <c r="W374" s="18"/>
      <c r="X374" s="18"/>
      <c r="Y374" s="1028">
        <f t="shared" si="53"/>
        <v>0</v>
      </c>
      <c r="Z374" s="373"/>
      <c r="AA374" s="1073"/>
      <c r="AB374" s="1073"/>
      <c r="AC374" s="18"/>
      <c r="AD374" s="18"/>
      <c r="AE374" s="18"/>
      <c r="AF374" s="18"/>
      <c r="AG374" s="18"/>
      <c r="AH374" s="18"/>
      <c r="AI374" s="18"/>
      <c r="AJ374" s="18"/>
      <c r="AK374" s="18"/>
      <c r="AL374" s="18"/>
      <c r="AM374" s="18"/>
      <c r="AN374" s="18"/>
      <c r="AO374" s="18"/>
      <c r="AP374" s="18"/>
      <c r="AQ374" s="18"/>
      <c r="AR374" s="18"/>
      <c r="AS374" s="18"/>
      <c r="AT374" s="18"/>
    </row>
    <row r="375" spans="2:76" ht="15" customHeight="1" x14ac:dyDescent="0.2">
      <c r="B375" s="1410" t="s">
        <v>383</v>
      </c>
      <c r="C375" s="1410"/>
      <c r="D375" s="1410"/>
      <c r="E375" s="1373">
        <f>P357</f>
        <v>0</v>
      </c>
      <c r="F375" s="1373"/>
      <c r="G375" s="1534" t="s">
        <v>1942</v>
      </c>
      <c r="H375" s="1534"/>
      <c r="I375" s="1559"/>
      <c r="J375" s="1559"/>
      <c r="K375" s="1588" t="str">
        <f>IF(AND(P316&gt;0,E607&gt;0),"A value has been granted for motor loss. Additional impairment value is not allowed for reduced ROM in the same extremity.","")</f>
        <v/>
      </c>
      <c r="L375" s="1589"/>
      <c r="M375" s="1589"/>
      <c r="N375" s="1589"/>
      <c r="O375" s="1590"/>
      <c r="P375" s="1373"/>
      <c r="R375" s="688">
        <f>E375</f>
        <v>0</v>
      </c>
      <c r="S375" s="776">
        <f>LARGE($R$365:$R$379,11)</f>
        <v>0</v>
      </c>
      <c r="T375" s="684">
        <f t="shared" si="52"/>
        <v>0</v>
      </c>
      <c r="U375" s="688">
        <f t="shared" si="48"/>
        <v>0</v>
      </c>
      <c r="V375" s="769">
        <f t="shared" si="50"/>
        <v>0</v>
      </c>
      <c r="W375" s="18"/>
      <c r="X375" s="18"/>
      <c r="Y375" s="370"/>
      <c r="Z375" s="373"/>
      <c r="AC375" s="18"/>
      <c r="AD375" s="18"/>
      <c r="AE375" s="18"/>
      <c r="AF375" s="18"/>
      <c r="AG375" s="18"/>
      <c r="AH375" s="18"/>
      <c r="AI375" s="18"/>
      <c r="AJ375" s="18"/>
      <c r="AK375" s="18"/>
      <c r="AL375" s="18"/>
      <c r="AM375" s="18"/>
      <c r="AN375" s="18"/>
      <c r="AO375" s="18"/>
      <c r="AP375" s="18"/>
      <c r="AQ375" s="18"/>
      <c r="AR375" s="18"/>
      <c r="AS375" s="18"/>
      <c r="AT375" s="18"/>
    </row>
    <row r="376" spans="2:76" ht="15" customHeight="1" x14ac:dyDescent="0.2">
      <c r="B376" s="1410" t="s">
        <v>384</v>
      </c>
      <c r="C376" s="1410"/>
      <c r="D376" s="1410"/>
      <c r="E376" s="1373">
        <f>P358</f>
        <v>0</v>
      </c>
      <c r="F376" s="1373"/>
      <c r="G376" s="1534" t="s">
        <v>1942</v>
      </c>
      <c r="H376" s="1534"/>
      <c r="I376" s="1559"/>
      <c r="J376" s="1559"/>
      <c r="K376" s="1588"/>
      <c r="L376" s="1589"/>
      <c r="M376" s="1589"/>
      <c r="N376" s="1589"/>
      <c r="O376" s="1590"/>
      <c r="P376" s="1373"/>
      <c r="R376" s="688">
        <f>E376</f>
        <v>0</v>
      </c>
      <c r="S376" s="776">
        <f>LARGE($R$365:$R$379,12)</f>
        <v>0</v>
      </c>
      <c r="T376" s="684">
        <f t="shared" si="52"/>
        <v>0</v>
      </c>
      <c r="U376" s="688">
        <f t="shared" si="48"/>
        <v>0</v>
      </c>
      <c r="V376" s="769">
        <f t="shared" si="50"/>
        <v>0</v>
      </c>
      <c r="W376" s="18"/>
      <c r="X376" s="18"/>
      <c r="Y376" s="370"/>
      <c r="Z376" s="315"/>
      <c r="AC376" s="18"/>
      <c r="AD376" s="18"/>
      <c r="AE376" s="18"/>
      <c r="AF376" s="18"/>
      <c r="AG376" s="18"/>
      <c r="AH376" s="18"/>
      <c r="AI376" s="18"/>
      <c r="AJ376" s="18"/>
      <c r="AK376" s="18"/>
      <c r="AL376" s="18"/>
      <c r="AM376" s="18"/>
      <c r="AN376" s="18"/>
      <c r="AO376" s="18"/>
      <c r="AP376" s="18"/>
      <c r="AQ376" s="18"/>
      <c r="AR376" s="18"/>
      <c r="AS376" s="18"/>
      <c r="AT376" s="18"/>
    </row>
    <row r="377" spans="2:76" ht="15" customHeight="1" x14ac:dyDescent="0.2">
      <c r="B377" s="1410" t="s">
        <v>807</v>
      </c>
      <c r="C377" s="1410"/>
      <c r="D377" s="1410"/>
      <c r="E377" s="1373">
        <f>P359</f>
        <v>0</v>
      </c>
      <c r="F377" s="1373"/>
      <c r="G377" s="1534" t="s">
        <v>1942</v>
      </c>
      <c r="H377" s="1534"/>
      <c r="I377" s="1559"/>
      <c r="J377" s="1559"/>
      <c r="K377" s="1588"/>
      <c r="L377" s="1589"/>
      <c r="M377" s="1589"/>
      <c r="N377" s="1589"/>
      <c r="O377" s="1590"/>
      <c r="P377" s="1373"/>
      <c r="R377" s="688">
        <f>E377</f>
        <v>0</v>
      </c>
      <c r="S377" s="776">
        <f>LARGE($R$365:$R$379,13)</f>
        <v>0</v>
      </c>
      <c r="T377" s="684">
        <f t="shared" si="52"/>
        <v>0</v>
      </c>
      <c r="U377" s="688">
        <f t="shared" si="48"/>
        <v>0</v>
      </c>
      <c r="V377" s="769">
        <f t="shared" si="50"/>
        <v>0</v>
      </c>
      <c r="W377" s="18"/>
      <c r="X377" s="18"/>
      <c r="Y377" s="370"/>
      <c r="Z377" s="315"/>
      <c r="AC377" s="18"/>
      <c r="AD377" s="18"/>
      <c r="AE377" s="18"/>
      <c r="AF377" s="18"/>
      <c r="AG377" s="18"/>
      <c r="AH377" s="18"/>
      <c r="AI377" s="18"/>
      <c r="AJ377" s="18"/>
      <c r="AK377" s="18"/>
      <c r="AL377" s="18"/>
      <c r="AM377" s="18"/>
      <c r="AN377" s="18"/>
      <c r="AO377" s="18"/>
      <c r="AP377" s="18"/>
      <c r="AQ377" s="18"/>
      <c r="AR377" s="18"/>
      <c r="AS377" s="18"/>
      <c r="AT377" s="18"/>
    </row>
    <row r="378" spans="2:76" ht="15" customHeight="1" x14ac:dyDescent="0.2">
      <c r="B378" s="1410" t="s">
        <v>1447</v>
      </c>
      <c r="C378" s="1410"/>
      <c r="D378" s="1410"/>
      <c r="E378" s="1373">
        <f>P361</f>
        <v>0</v>
      </c>
      <c r="F378" s="1373"/>
      <c r="G378" s="1544"/>
      <c r="H378" s="1544"/>
      <c r="I378" s="1545">
        <f>IF(AND(Y378&lt;0.01,Y378&gt;0),0.01,ROUND(Y378,2))</f>
        <v>0</v>
      </c>
      <c r="J378" s="1545"/>
      <c r="K378" s="1588"/>
      <c r="L378" s="1589"/>
      <c r="M378" s="1589"/>
      <c r="N378" s="1589"/>
      <c r="O378" s="1590"/>
      <c r="P378" s="1373"/>
      <c r="R378" s="688">
        <f>IF(I378&gt;0,I378,E378)</f>
        <v>0</v>
      </c>
      <c r="S378" s="776">
        <f>LARGE($R$365:$R$379,14)</f>
        <v>0</v>
      </c>
      <c r="T378" s="684">
        <f t="shared" si="52"/>
        <v>0</v>
      </c>
      <c r="U378" s="688">
        <f t="shared" si="48"/>
        <v>0</v>
      </c>
      <c r="V378" s="769">
        <f t="shared" si="50"/>
        <v>0</v>
      </c>
      <c r="W378" s="18"/>
      <c r="X378" s="18"/>
      <c r="Y378" s="1028">
        <f t="shared" ref="Y378:Y379" si="54">E378*G378</f>
        <v>0</v>
      </c>
      <c r="Z378" s="85"/>
      <c r="AA378" s="18"/>
      <c r="AB378" s="18"/>
      <c r="AC378" s="18"/>
      <c r="AD378" s="18"/>
      <c r="AE378" s="18"/>
      <c r="AF378" s="18"/>
      <c r="AG378" s="18"/>
      <c r="AH378" s="18"/>
      <c r="AI378" s="18"/>
      <c r="AJ378" s="18"/>
      <c r="AK378" s="18"/>
      <c r="AL378" s="18"/>
      <c r="AM378" s="18"/>
      <c r="AN378" s="18"/>
      <c r="AO378" s="18"/>
      <c r="AP378" s="18"/>
      <c r="AQ378" s="18"/>
      <c r="AR378" s="18"/>
      <c r="AS378" s="18"/>
      <c r="AT378" s="18"/>
    </row>
    <row r="379" spans="2:76" ht="15" customHeight="1" x14ac:dyDescent="0.2">
      <c r="B379" s="1408" t="s">
        <v>1254</v>
      </c>
      <c r="C379" s="1408"/>
      <c r="D379" s="1408"/>
      <c r="E379" s="1481">
        <f>P362</f>
        <v>0</v>
      </c>
      <c r="F379" s="1481"/>
      <c r="G379" s="1622"/>
      <c r="H379" s="1622"/>
      <c r="I379" s="1612">
        <f>IF(AND(Y379&lt;0.01,Y379&gt;0),0.01,ROUND(Y379,2))</f>
        <v>0</v>
      </c>
      <c r="J379" s="1612"/>
      <c r="K379" s="1574"/>
      <c r="L379" s="1575"/>
      <c r="M379" s="1575"/>
      <c r="N379" s="1575"/>
      <c r="O379" s="1576"/>
      <c r="P379" s="1373"/>
      <c r="Q379" s="3"/>
      <c r="R379" s="688">
        <f>IF(I379&gt;0,I379,E379)</f>
        <v>0</v>
      </c>
      <c r="S379" s="776">
        <f>LARGE($R$365:$R$379,15)</f>
        <v>0</v>
      </c>
      <c r="T379" s="707"/>
      <c r="U379" s="688"/>
      <c r="V379" s="769">
        <f t="shared" si="50"/>
        <v>0</v>
      </c>
      <c r="W379" s="18"/>
      <c r="X379" s="18"/>
      <c r="Y379" s="1028">
        <f t="shared" si="54"/>
        <v>0</v>
      </c>
      <c r="Z379" s="85"/>
      <c r="AA379" s="18"/>
      <c r="AB379" s="18"/>
      <c r="AC379" s="18"/>
      <c r="AD379" s="18"/>
      <c r="AE379" s="18"/>
      <c r="AF379" s="18"/>
      <c r="AG379" s="18"/>
      <c r="AH379" s="18"/>
      <c r="AI379" s="18"/>
      <c r="AJ379" s="18"/>
      <c r="AK379" s="18"/>
      <c r="AL379" s="18"/>
      <c r="AM379" s="18"/>
      <c r="AN379" s="18"/>
      <c r="AO379" s="18"/>
      <c r="AP379" s="18"/>
      <c r="AQ379" s="18"/>
      <c r="AR379" s="18"/>
      <c r="AS379" s="18"/>
      <c r="AT379" s="18"/>
      <c r="BA379" s="3"/>
    </row>
    <row r="380" spans="2:76" ht="15" customHeight="1" x14ac:dyDescent="0.2">
      <c r="B380" s="1568" t="s">
        <v>1251</v>
      </c>
      <c r="C380" s="1568"/>
      <c r="D380" s="1568"/>
      <c r="E380" s="1568"/>
      <c r="F380" s="1568"/>
      <c r="G380" s="1568"/>
      <c r="H380" s="1568"/>
      <c r="I380" s="1568"/>
      <c r="J380" s="1568"/>
      <c r="K380" s="1568"/>
      <c r="L380" s="1568"/>
      <c r="M380" s="1568"/>
      <c r="N380" s="1568"/>
      <c r="O380" s="1568"/>
      <c r="P380" s="1373"/>
      <c r="R380" s="19"/>
      <c r="S380" s="177"/>
      <c r="T380" s="157"/>
      <c r="U380" s="18"/>
      <c r="V380" s="18"/>
      <c r="W380" s="18"/>
      <c r="X380" s="18"/>
      <c r="Y380" s="1025"/>
      <c r="Z380" s="85"/>
      <c r="AA380" s="18"/>
      <c r="AB380" s="18"/>
      <c r="AC380" s="18"/>
      <c r="AD380" s="18"/>
      <c r="AE380" s="18"/>
      <c r="AF380" s="18"/>
      <c r="AG380" s="18"/>
      <c r="AH380" s="18"/>
      <c r="AI380" s="18"/>
      <c r="AJ380" s="18"/>
      <c r="AK380" s="18"/>
      <c r="AL380" s="18"/>
      <c r="AM380" s="18"/>
      <c r="AN380" s="18"/>
      <c r="AO380" s="18"/>
      <c r="AP380" s="18"/>
      <c r="AQ380" s="18"/>
      <c r="AR380" s="18"/>
      <c r="AS380" s="18"/>
      <c r="AT380" s="18"/>
    </row>
    <row r="381" spans="2:76" ht="15" customHeight="1" x14ac:dyDescent="0.2">
      <c r="B381" s="10"/>
      <c r="C381" s="10"/>
      <c r="D381" s="10"/>
      <c r="E381" s="10"/>
      <c r="F381" s="10"/>
      <c r="G381" s="10"/>
      <c r="H381" s="10"/>
      <c r="I381" s="10"/>
      <c r="J381" s="10"/>
      <c r="K381" s="10"/>
      <c r="L381" s="10"/>
      <c r="M381" s="10"/>
      <c r="N381" s="10"/>
      <c r="O381" s="10"/>
      <c r="P381" s="10"/>
      <c r="R381" s="18"/>
      <c r="S381" s="18"/>
      <c r="T381" s="18"/>
      <c r="U381" s="18"/>
      <c r="V381" s="18"/>
      <c r="W381" s="18"/>
      <c r="X381" s="18"/>
      <c r="Y381" s="1068"/>
      <c r="Z381" s="1068"/>
      <c r="AA381" s="18"/>
      <c r="AB381" s="18"/>
      <c r="AC381" s="18"/>
      <c r="AD381" s="18"/>
      <c r="AE381" s="18"/>
      <c r="AF381" s="18"/>
      <c r="AG381" s="18"/>
      <c r="AH381" s="18"/>
      <c r="AI381" s="18"/>
      <c r="AJ381" s="18"/>
      <c r="AK381" s="18"/>
      <c r="AL381" s="18"/>
      <c r="AM381" s="18"/>
      <c r="AN381" s="18"/>
      <c r="AO381" s="18"/>
      <c r="AP381" s="18"/>
      <c r="AQ381" s="18"/>
      <c r="AR381" s="18"/>
      <c r="AS381" s="18"/>
      <c r="AT381" s="18"/>
    </row>
    <row r="382" spans="2:76" ht="15" customHeight="1" x14ac:dyDescent="0.2">
      <c r="B382" s="10"/>
      <c r="C382" s="10"/>
      <c r="D382" s="10"/>
      <c r="E382" s="10"/>
      <c r="F382" s="10"/>
      <c r="G382" s="10"/>
      <c r="H382" s="10"/>
      <c r="I382" s="10"/>
      <c r="J382" s="10"/>
      <c r="K382" s="10"/>
      <c r="L382" s="10"/>
      <c r="M382" s="10"/>
      <c r="N382" s="10"/>
      <c r="O382" s="10"/>
      <c r="P382" s="10"/>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row>
    <row r="383" spans="2:76" ht="18" customHeight="1" x14ac:dyDescent="0.2">
      <c r="B383" s="1679" t="s">
        <v>1252</v>
      </c>
      <c r="C383" s="1779"/>
      <c r="D383" s="1779"/>
      <c r="E383" s="1779"/>
      <c r="F383" s="1779"/>
      <c r="G383" s="1779"/>
      <c r="H383" s="1779"/>
      <c r="I383" s="1779"/>
      <c r="J383" s="1779"/>
      <c r="K383" s="1779"/>
      <c r="L383" s="1779"/>
      <c r="M383" s="1779"/>
      <c r="N383" s="1779"/>
      <c r="O383" s="1779"/>
      <c r="P383" s="1780"/>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row>
    <row r="384" spans="2:76" ht="18" customHeight="1" x14ac:dyDescent="0.2">
      <c r="B384" s="1410" t="s">
        <v>1485</v>
      </c>
      <c r="C384" s="1410"/>
      <c r="D384" s="1410"/>
      <c r="E384" s="1410"/>
      <c r="F384" s="1410"/>
      <c r="G384" s="1410"/>
      <c r="H384" s="1410"/>
      <c r="I384" s="1410"/>
      <c r="J384" s="1410"/>
      <c r="K384" s="1410"/>
      <c r="L384" s="1410"/>
      <c r="M384" s="1410"/>
      <c r="N384" s="1410"/>
      <c r="O384" s="1410"/>
      <c r="P384" s="269"/>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row>
    <row r="385" spans="1:76" ht="21" customHeight="1" x14ac:dyDescent="0.2">
      <c r="A385" s="189"/>
      <c r="B385" s="1639"/>
      <c r="C385" s="1639"/>
      <c r="D385" s="1639"/>
      <c r="E385" s="1639"/>
      <c r="F385" s="1639"/>
      <c r="G385" s="1639"/>
      <c r="H385" s="1639"/>
      <c r="I385" s="1639"/>
      <c r="J385" s="1639"/>
      <c r="K385" s="1639"/>
      <c r="L385" s="1639"/>
      <c r="M385" s="1639"/>
      <c r="N385" s="1639"/>
      <c r="O385" s="1639"/>
      <c r="P385" s="26">
        <f>IF(R385&gt;1,1,0)</f>
        <v>0</v>
      </c>
      <c r="R385" s="792">
        <v>1</v>
      </c>
      <c r="S385" s="776"/>
      <c r="T385" s="19"/>
      <c r="U385" s="18"/>
      <c r="V385" s="19"/>
      <c r="W385" s="178">
        <v>1E-4</v>
      </c>
      <c r="X385" s="19"/>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row>
    <row r="386" spans="1:76" ht="18" customHeight="1" x14ac:dyDescent="0.2">
      <c r="A386" s="189"/>
      <c r="B386" s="1410" t="s">
        <v>1623</v>
      </c>
      <c r="C386" s="1410"/>
      <c r="D386" s="1410"/>
      <c r="E386" s="1410"/>
      <c r="F386" s="1639"/>
      <c r="G386" s="1639"/>
      <c r="H386" s="1410" t="s">
        <v>715</v>
      </c>
      <c r="I386" s="1410"/>
      <c r="J386" s="1410"/>
      <c r="K386" s="1410"/>
      <c r="L386" s="1410"/>
      <c r="M386" s="1410"/>
      <c r="N386" s="1410"/>
      <c r="O386" s="1410"/>
      <c r="P386" s="26">
        <f>IF($P$385&gt;0,0,IF(S386=1,0.1,0))</f>
        <v>0</v>
      </c>
      <c r="R386" s="686" t="b">
        <v>0</v>
      </c>
      <c r="S386" s="736">
        <f>IF(R386=TRUE,1,0)</f>
        <v>0</v>
      </c>
      <c r="T386" s="18"/>
      <c r="U386" s="18"/>
      <c r="V386" s="18"/>
      <c r="W386" s="18">
        <v>1E-4</v>
      </c>
      <c r="X386" s="18"/>
      <c r="Y386" s="165"/>
      <c r="Z386" s="1569"/>
      <c r="AA386" s="1569"/>
      <c r="AB386" s="1569"/>
      <c r="AC386" s="18"/>
      <c r="AD386" s="18"/>
      <c r="AE386" s="18"/>
      <c r="AF386" s="18"/>
      <c r="AG386" s="18"/>
      <c r="AH386" s="18"/>
      <c r="AI386" s="111"/>
      <c r="AJ386" s="18"/>
      <c r="AK386" s="18"/>
      <c r="AL386" s="18"/>
      <c r="AM386" s="18"/>
      <c r="AN386" s="18"/>
      <c r="AO386" s="18"/>
      <c r="AP386" s="18"/>
      <c r="AQ386" s="18"/>
      <c r="AR386" s="18"/>
      <c r="AS386" s="18"/>
      <c r="AT386" s="18"/>
    </row>
    <row r="387" spans="1:76" ht="18" customHeight="1" x14ac:dyDescent="0.2">
      <c r="B387" s="1765" t="str">
        <f>IF(AND(P385=1,T389&gt;0),"ERROR: Hand loss has occurred proximal to the metacarpals. Uncheck boxes at left.","")</f>
        <v/>
      </c>
      <c r="C387" s="1765"/>
      <c r="D387" s="1765"/>
      <c r="E387" s="1765"/>
      <c r="F387" s="1639"/>
      <c r="G387" s="1639"/>
      <c r="H387" s="1410" t="s">
        <v>1259</v>
      </c>
      <c r="I387" s="1410"/>
      <c r="J387" s="1410"/>
      <c r="K387" s="1410"/>
      <c r="L387" s="1410"/>
      <c r="M387" s="1410"/>
      <c r="N387" s="1410"/>
      <c r="O387" s="1410"/>
      <c r="P387" s="26">
        <f>IF($P$385&gt;0,0,IF(S387=1,0.1,0))</f>
        <v>0</v>
      </c>
      <c r="R387" s="686" t="b">
        <v>0</v>
      </c>
      <c r="S387" s="736">
        <f>IF(R387=TRUE,1,0)</f>
        <v>0</v>
      </c>
      <c r="T387" s="769" t="s">
        <v>1260</v>
      </c>
      <c r="U387" s="18"/>
      <c r="V387" s="18"/>
      <c r="W387" s="18"/>
      <c r="X387" s="18"/>
      <c r="Y387" s="165"/>
      <c r="Z387" s="18"/>
      <c r="AA387" s="18"/>
      <c r="AB387" s="18"/>
      <c r="AC387" s="18"/>
      <c r="AD387" s="18"/>
      <c r="AE387" s="18"/>
      <c r="AF387" s="18"/>
      <c r="AG387" s="18"/>
      <c r="AH387" s="18"/>
      <c r="AI387" s="111"/>
      <c r="AJ387" s="18"/>
      <c r="AK387" s="18"/>
      <c r="AL387" s="18"/>
      <c r="AM387" s="18"/>
      <c r="AN387" s="18"/>
      <c r="AO387" s="18"/>
      <c r="AP387" s="18"/>
      <c r="AQ387" s="18"/>
      <c r="AR387" s="18"/>
      <c r="AS387" s="18"/>
      <c r="AT387" s="18"/>
    </row>
    <row r="388" spans="1:76" ht="18" customHeight="1" x14ac:dyDescent="0.2">
      <c r="B388" s="1765"/>
      <c r="C388" s="1765"/>
      <c r="D388" s="1765"/>
      <c r="E388" s="1765"/>
      <c r="F388" s="1639"/>
      <c r="G388" s="1639"/>
      <c r="H388" s="1410" t="s">
        <v>1261</v>
      </c>
      <c r="I388" s="1410"/>
      <c r="J388" s="1410"/>
      <c r="K388" s="1410"/>
      <c r="L388" s="1410"/>
      <c r="M388" s="1410"/>
      <c r="N388" s="1410"/>
      <c r="O388" s="1410"/>
      <c r="P388" s="26">
        <f>IF($P$385&gt;0,0,IF(S388=1,0.1,0))</f>
        <v>0</v>
      </c>
      <c r="R388" s="686" t="b">
        <v>0</v>
      </c>
      <c r="S388" s="736">
        <f>IF(R388=TRUE,1,0)</f>
        <v>0</v>
      </c>
      <c r="T388" s="769" t="s">
        <v>1262</v>
      </c>
      <c r="U388" s="18"/>
      <c r="V388" s="18"/>
      <c r="W388" s="18"/>
      <c r="X388" s="18"/>
      <c r="Y388" s="165"/>
      <c r="Z388" s="18"/>
      <c r="AA388" s="18"/>
      <c r="AB388" s="18"/>
      <c r="AC388" s="18"/>
      <c r="AD388" s="18"/>
      <c r="AE388" s="18"/>
      <c r="AF388" s="18"/>
      <c r="AG388" s="18"/>
      <c r="AH388" s="18"/>
      <c r="AI388" s="111"/>
      <c r="AJ388" s="18"/>
      <c r="AK388" s="18"/>
      <c r="AL388" s="18"/>
      <c r="AM388" s="18"/>
      <c r="AN388" s="18"/>
      <c r="AO388" s="18"/>
      <c r="AP388" s="18"/>
      <c r="AQ388" s="18"/>
      <c r="AR388" s="18"/>
      <c r="AS388" s="18"/>
      <c r="AT388" s="18"/>
    </row>
    <row r="389" spans="1:76" ht="18" customHeight="1" x14ac:dyDescent="0.2">
      <c r="B389" s="1765"/>
      <c r="C389" s="1765"/>
      <c r="D389" s="1765"/>
      <c r="E389" s="1765"/>
      <c r="F389" s="1639"/>
      <c r="G389" s="1639"/>
      <c r="H389" s="1410" t="s">
        <v>1263</v>
      </c>
      <c r="I389" s="1410"/>
      <c r="J389" s="1410"/>
      <c r="K389" s="1410"/>
      <c r="L389" s="1410"/>
      <c r="M389" s="1410"/>
      <c r="N389" s="1410"/>
      <c r="O389" s="1410"/>
      <c r="P389" s="26">
        <f>IF($P$385&gt;0,0,IF(S389=1,0.1,0))</f>
        <v>0</v>
      </c>
      <c r="R389" s="686" t="b">
        <v>0</v>
      </c>
      <c r="S389" s="736">
        <f>IF(R389=TRUE,1,0)</f>
        <v>0</v>
      </c>
      <c r="T389" s="769">
        <f>IF(OR(S386=1,S387=1,S388=1,S389=1,S390=1),1,0)</f>
        <v>0</v>
      </c>
      <c r="U389" s="18"/>
      <c r="V389" s="18"/>
      <c r="W389" s="18"/>
      <c r="X389" s="18"/>
      <c r="Y389" s="165"/>
      <c r="Z389" s="18"/>
      <c r="AA389" s="18"/>
      <c r="AB389" s="18"/>
      <c r="AC389" s="18"/>
      <c r="AD389" s="18"/>
      <c r="AE389" s="18"/>
      <c r="AF389" s="18"/>
      <c r="AG389" s="18"/>
      <c r="AH389" s="18"/>
      <c r="AI389" s="111"/>
      <c r="AJ389" s="18"/>
      <c r="AK389" s="18"/>
      <c r="AL389" s="18"/>
      <c r="AM389" s="18"/>
      <c r="AN389" s="18"/>
      <c r="AO389" s="18"/>
      <c r="AP389" s="18"/>
      <c r="AQ389" s="18"/>
      <c r="AR389" s="18"/>
      <c r="AS389" s="18"/>
      <c r="AT389" s="18"/>
    </row>
    <row r="390" spans="1:76" ht="18" customHeight="1" x14ac:dyDescent="0.2">
      <c r="B390" s="1765"/>
      <c r="C390" s="1765"/>
      <c r="D390" s="1765"/>
      <c r="E390" s="1765"/>
      <c r="F390" s="1639"/>
      <c r="G390" s="1639"/>
      <c r="H390" s="1410" t="s">
        <v>894</v>
      </c>
      <c r="I390" s="1410"/>
      <c r="J390" s="1410"/>
      <c r="K390" s="1410"/>
      <c r="L390" s="1410"/>
      <c r="M390" s="1410"/>
      <c r="N390" s="1410"/>
      <c r="O390" s="1410"/>
      <c r="P390" s="26">
        <f>IF($P$385&gt;0,0,IF(S390=1,0.1,0))</f>
        <v>0</v>
      </c>
      <c r="R390" s="686" t="b">
        <v>0</v>
      </c>
      <c r="S390" s="736">
        <f>IF(R390=TRUE,1,0)</f>
        <v>0</v>
      </c>
      <c r="T390" s="18"/>
      <c r="U390" s="18"/>
      <c r="V390" s="18"/>
      <c r="W390" s="18"/>
      <c r="X390" s="18"/>
      <c r="Y390" s="165"/>
      <c r="Z390" s="18"/>
      <c r="AA390" s="18"/>
      <c r="AB390" s="18"/>
      <c r="AC390" s="18"/>
      <c r="AD390" s="18"/>
      <c r="AE390" s="18"/>
      <c r="AF390" s="18"/>
      <c r="AG390" s="18"/>
      <c r="AH390" s="18"/>
      <c r="AI390" s="111"/>
      <c r="AJ390" s="18"/>
      <c r="AK390" s="18"/>
      <c r="AL390" s="18"/>
      <c r="AM390" s="18"/>
      <c r="AN390" s="18"/>
      <c r="AO390" s="18"/>
      <c r="AP390" s="18"/>
      <c r="AQ390" s="18"/>
      <c r="AR390" s="18"/>
      <c r="AS390" s="18"/>
      <c r="AT390" s="18"/>
    </row>
    <row r="391" spans="1:76" ht="12" customHeight="1" x14ac:dyDescent="0.2">
      <c r="B391" s="1395"/>
      <c r="C391" s="1395"/>
      <c r="D391" s="1395"/>
      <c r="E391" s="1395"/>
      <c r="F391" s="1395"/>
      <c r="G391" s="1395"/>
      <c r="H391" s="1395"/>
      <c r="I391" s="1395"/>
      <c r="J391" s="1395"/>
      <c r="K391" s="1395"/>
      <c r="L391" s="1395"/>
      <c r="M391" s="1395"/>
      <c r="N391" s="1395"/>
      <c r="O391" s="1395"/>
      <c r="P391" s="1"/>
      <c r="R391" s="18"/>
      <c r="S391" s="18"/>
      <c r="T391" s="18"/>
      <c r="U391" s="18"/>
      <c r="V391" s="18"/>
      <c r="W391" s="18"/>
      <c r="X391" s="18"/>
      <c r="Y391" s="18"/>
      <c r="Z391" s="18"/>
      <c r="AA391" s="18"/>
      <c r="AB391" s="18"/>
      <c r="AC391" s="18"/>
      <c r="AD391" s="18"/>
      <c r="AE391" s="18"/>
      <c r="AF391" s="18"/>
      <c r="AG391" s="18"/>
      <c r="AH391" s="18"/>
      <c r="AI391" s="111"/>
      <c r="AJ391" s="18"/>
      <c r="AK391" s="18"/>
      <c r="AL391" s="18"/>
      <c r="AM391" s="18"/>
      <c r="AN391" s="18"/>
      <c r="AO391" s="18"/>
      <c r="AP391" s="18"/>
      <c r="AQ391" s="18"/>
      <c r="AR391" s="18"/>
      <c r="AS391" s="18"/>
      <c r="AT391" s="18"/>
    </row>
    <row r="392" spans="1:76" ht="18" customHeight="1" x14ac:dyDescent="0.2">
      <c r="B392" s="1555" t="s">
        <v>1595</v>
      </c>
      <c r="C392" s="1555"/>
      <c r="D392" s="1555"/>
      <c r="E392" s="1555"/>
      <c r="F392" s="1555"/>
      <c r="G392" s="1555"/>
      <c r="H392" s="1555"/>
      <c r="I392" s="1555"/>
      <c r="J392" s="1555"/>
      <c r="K392" s="1555"/>
      <c r="L392" s="1555"/>
      <c r="M392" s="1555"/>
      <c r="N392" s="1555"/>
      <c r="O392" s="1555"/>
      <c r="P392" s="1645"/>
      <c r="R392" s="18"/>
      <c r="S392" s="775"/>
      <c r="T392" s="1531" t="s">
        <v>2189</v>
      </c>
      <c r="U392" s="1532"/>
      <c r="V392" s="775"/>
      <c r="W392" s="775"/>
      <c r="X392" s="775"/>
      <c r="Y392" s="775"/>
      <c r="Z392" s="18"/>
      <c r="AA392" s="18"/>
      <c r="AB392" s="18"/>
      <c r="AC392" s="18"/>
      <c r="AD392" s="18"/>
      <c r="AE392" s="18"/>
      <c r="AF392" s="18"/>
      <c r="AG392" s="18"/>
      <c r="AH392" s="18"/>
      <c r="AI392" s="18"/>
      <c r="AJ392" s="1379" t="s">
        <v>692</v>
      </c>
      <c r="AK392" s="1379" t="s">
        <v>693</v>
      </c>
      <c r="AL392" s="1379" t="s">
        <v>895</v>
      </c>
      <c r="AM392" s="1379" t="s">
        <v>896</v>
      </c>
      <c r="AN392" s="18"/>
      <c r="AO392" s="18"/>
      <c r="AP392" s="18"/>
      <c r="AQ392" s="18"/>
      <c r="AR392" s="18"/>
      <c r="AS392" s="18"/>
      <c r="AT392" s="18"/>
    </row>
    <row r="393" spans="1:76" ht="27" customHeight="1" x14ac:dyDescent="0.2">
      <c r="B393" s="23" t="s">
        <v>897</v>
      </c>
      <c r="C393" s="1555" t="s">
        <v>1596</v>
      </c>
      <c r="D393" s="1555"/>
      <c r="E393" s="1555"/>
      <c r="F393" s="1555"/>
      <c r="G393" s="1536" t="s">
        <v>898</v>
      </c>
      <c r="H393" s="1536"/>
      <c r="I393" s="1536"/>
      <c r="J393" s="1536"/>
      <c r="K393" s="1555"/>
      <c r="L393" s="1555"/>
      <c r="M393" s="1555"/>
      <c r="N393" s="1555"/>
      <c r="O393" s="1555"/>
      <c r="P393" s="1745"/>
      <c r="R393" s="18"/>
      <c r="S393" s="769" t="s">
        <v>1655</v>
      </c>
      <c r="T393" s="778" t="s">
        <v>1596</v>
      </c>
      <c r="U393" s="778" t="s">
        <v>1597</v>
      </c>
      <c r="V393" s="1549" t="s">
        <v>1083</v>
      </c>
      <c r="W393" s="1550"/>
      <c r="X393" s="1550"/>
      <c r="Y393" s="1551"/>
      <c r="Z393" s="18"/>
      <c r="AA393" s="18"/>
      <c r="AB393" s="18"/>
      <c r="AC393" s="18"/>
      <c r="AD393" s="18"/>
      <c r="AE393" s="18"/>
      <c r="AF393" s="18"/>
      <c r="AG393" s="18"/>
      <c r="AH393" s="18"/>
      <c r="AI393" s="18"/>
      <c r="AJ393" s="1379"/>
      <c r="AK393" s="1379"/>
      <c r="AL393" s="1379"/>
      <c r="AM393" s="1379"/>
      <c r="AN393" s="18"/>
      <c r="AO393" s="18"/>
      <c r="AP393" s="18"/>
      <c r="AQ393" s="18"/>
      <c r="AR393" s="18"/>
      <c r="AS393" s="18"/>
      <c r="AT393" s="18"/>
    </row>
    <row r="394" spans="1:76" ht="13.5" customHeight="1" x14ac:dyDescent="0.2">
      <c r="B394" s="185" t="s">
        <v>899</v>
      </c>
      <c r="C394" s="1345"/>
      <c r="D394" s="1440"/>
      <c r="E394" s="1558">
        <f>UETable!BF64</f>
        <v>0</v>
      </c>
      <c r="F394" s="1558"/>
      <c r="G394" s="1345"/>
      <c r="H394" s="1440"/>
      <c r="I394" s="1538">
        <f>IF(C394="",0,IF(OR(C394&lt;=0,G394&lt;=0),E394,IF(G394&lt;C394,0,UETable!BK64)))</f>
        <v>0</v>
      </c>
      <c r="J394" s="1538"/>
      <c r="K394" s="1556" t="str">
        <f>IF(OR(C394="NA",G394="NA"),"",IF(AND(C394&lt;&gt;"",G394=""),"Enter contralateral or NA.",IF(AND(C394="",G394&lt;&gt;""),"Need data","")))</f>
        <v/>
      </c>
      <c r="L394" s="1556"/>
      <c r="M394" s="1556"/>
      <c r="N394" s="1556"/>
      <c r="O394" s="1556"/>
      <c r="P394" s="1745"/>
      <c r="R394" s="18"/>
      <c r="S394" s="769">
        <v>15</v>
      </c>
      <c r="T394" s="769" t="str">
        <f>IF(OR(C394="",C394="NA"),"",IF(C394&gt;S394,S394,IF(C394&lt;0,0,C394)))</f>
        <v/>
      </c>
      <c r="U394" s="769" t="str">
        <f>IF(OR(G394="",G394="NA"),"",IF(G394&gt;S394,S394,IF(G394&lt;0,0,G394)))</f>
        <v/>
      </c>
      <c r="V394" s="696" t="str">
        <f>IF(Y394="","",ROUND(Y394,0))</f>
        <v/>
      </c>
      <c r="W394" s="1822"/>
      <c r="X394" s="1823"/>
      <c r="Y394" s="697" t="str">
        <f>IF(T394="","",IF(OR(U394="",U394=0,U394&lt;T394),T394,(T394*15)/U394))</f>
        <v/>
      </c>
      <c r="Z394" s="18"/>
      <c r="AA394" s="18"/>
      <c r="AB394" s="18"/>
      <c r="AC394" s="18"/>
      <c r="AD394" s="18"/>
      <c r="AE394" s="18"/>
      <c r="AF394" s="18"/>
      <c r="AG394" s="18"/>
      <c r="AH394" s="18"/>
      <c r="AI394" s="18"/>
      <c r="AJ394" s="1379"/>
      <c r="AK394" s="1379"/>
      <c r="AL394" s="1379"/>
      <c r="AM394" s="1379"/>
      <c r="AN394" s="18"/>
      <c r="AO394" s="18"/>
      <c r="AP394" s="18"/>
      <c r="AQ394" s="18"/>
      <c r="AR394" s="18"/>
      <c r="AS394" s="18"/>
      <c r="AT394" s="18"/>
    </row>
    <row r="395" spans="1:76" ht="13.5" customHeight="1" x14ac:dyDescent="0.2">
      <c r="B395" s="185" t="s">
        <v>900</v>
      </c>
      <c r="C395" s="1345"/>
      <c r="D395" s="1440"/>
      <c r="E395" s="1558">
        <f>UETable!BF65</f>
        <v>0</v>
      </c>
      <c r="F395" s="1558"/>
      <c r="G395" s="1345"/>
      <c r="H395" s="1440"/>
      <c r="I395" s="1538">
        <f>IF(C395="",0,IF(OR(C395&lt;=0,G395&lt;=0),E395,IF(G395&lt;C395,0,UETable!BK65)))</f>
        <v>0</v>
      </c>
      <c r="J395" s="1538"/>
      <c r="K395" s="1556" t="str">
        <f>IF(OR(C395="NA",G395="NA"),"",IF(AND(C395&lt;&gt;"",G395=""),"Enter contralateral or NA.",IF(AND(C395="",G395&lt;&gt;""),"Need data","")))</f>
        <v/>
      </c>
      <c r="L395" s="1556"/>
      <c r="M395" s="1556"/>
      <c r="N395" s="1556"/>
      <c r="O395" s="1556"/>
      <c r="P395" s="1745"/>
      <c r="R395" s="18"/>
      <c r="S395" s="769">
        <v>30</v>
      </c>
      <c r="T395" s="769" t="str">
        <f>IF(OR(C395="",C395="NA"),"",IF(C395&gt;S395,S395,IF(C395&lt;0,0,C395)))</f>
        <v/>
      </c>
      <c r="U395" s="769" t="str">
        <f>IF(OR(G395="",G395="NA"),"",IF(G395&gt;S395,S395,IF(G395&lt;0,0,G395)))</f>
        <v/>
      </c>
      <c r="V395" s="696" t="str">
        <f>IF(Y395="","",ROUND(Y395,0))</f>
        <v/>
      </c>
      <c r="W395" s="1739"/>
      <c r="X395" s="1824"/>
      <c r="Y395" s="697" t="str">
        <f>IF(T395="","",IF(OR(U395="",U395=0,U395&lt;T395),T395,(T395*30)/U395))</f>
        <v/>
      </c>
      <c r="Z395" s="18"/>
      <c r="AA395" s="18"/>
      <c r="AB395" s="73"/>
      <c r="AC395" s="242">
        <f>MAX(E396,E397)</f>
        <v>0</v>
      </c>
      <c r="AD395" s="1410" t="s">
        <v>1943</v>
      </c>
      <c r="AE395" s="1410"/>
      <c r="AF395" s="1410"/>
      <c r="AG395" s="1410"/>
      <c r="AH395" s="18"/>
      <c r="AI395" s="18"/>
      <c r="AJ395" s="1379"/>
      <c r="AK395" s="1379"/>
      <c r="AL395" s="1379"/>
      <c r="AM395" s="1379"/>
      <c r="AN395" s="18"/>
      <c r="AO395" s="18"/>
      <c r="AP395" s="18"/>
      <c r="AQ395" s="18"/>
      <c r="AR395" s="18"/>
      <c r="AS395" s="18"/>
      <c r="AT395" s="18"/>
    </row>
    <row r="396" spans="1:76" ht="13.5" customHeight="1" x14ac:dyDescent="0.2">
      <c r="B396" s="185" t="s">
        <v>901</v>
      </c>
      <c r="C396" s="1345"/>
      <c r="D396" s="1440"/>
      <c r="E396" s="1558">
        <f>IF(AND($AJ$396=1,$AK$396=1),"ERROR",UETable!BF66)</f>
        <v>0</v>
      </c>
      <c r="F396" s="1558"/>
      <c r="G396" s="1785" t="str">
        <f>IF(AND($AK$396=1,$AJ$396=1),"Cannot rate ROM and ankylosis.","")</f>
        <v/>
      </c>
      <c r="H396" s="1785"/>
      <c r="I396" s="1785"/>
      <c r="J396" s="1785"/>
      <c r="K396" s="1785"/>
      <c r="L396" s="1785"/>
      <c r="M396" s="1785"/>
      <c r="N396" s="1785"/>
      <c r="O396" s="1785"/>
      <c r="P396" s="1745"/>
      <c r="R396" s="18"/>
      <c r="S396" s="769">
        <v>15</v>
      </c>
      <c r="T396" s="769" t="str">
        <f>IF(OR(C396="",C396="NA"),"",IF(C396&gt;S396,S396,IF(C396&lt;0,0,C396)))</f>
        <v/>
      </c>
      <c r="U396" s="775"/>
      <c r="V396" s="1549" t="s">
        <v>2190</v>
      </c>
      <c r="W396" s="1550"/>
      <c r="X396" s="1550"/>
      <c r="Y396" s="1551"/>
      <c r="AB396" s="18"/>
      <c r="AC396" s="243">
        <f>IF(AND(AJ396=1,AK396=1),"ERROR",I394+I395+AC395)</f>
        <v>0</v>
      </c>
      <c r="AD396" s="769" t="s">
        <v>902</v>
      </c>
      <c r="AE396" s="769"/>
      <c r="AF396" s="769"/>
      <c r="AG396" s="769"/>
      <c r="AH396" s="18"/>
      <c r="AI396" s="18"/>
      <c r="AJ396" s="769">
        <f>IF(OR(V397=1,W397=1),1,0)</f>
        <v>0</v>
      </c>
      <c r="AK396" s="769">
        <f>IF(OR(X397=1,Y397=1),1,0)</f>
        <v>0</v>
      </c>
      <c r="AL396" s="769">
        <f>SUM(V397,W397)</f>
        <v>0</v>
      </c>
      <c r="AM396" s="769">
        <f>IF(AL396=1,1,0)</f>
        <v>0</v>
      </c>
      <c r="AN396" s="18"/>
      <c r="AO396" s="18"/>
      <c r="AP396" s="18"/>
      <c r="AQ396" s="18"/>
      <c r="AR396" s="18"/>
      <c r="AS396" s="18"/>
      <c r="AT396" s="18"/>
    </row>
    <row r="397" spans="1:76" ht="13.5" customHeight="1" x14ac:dyDescent="0.2">
      <c r="B397" s="185" t="s">
        <v>903</v>
      </c>
      <c r="C397" s="1345"/>
      <c r="D397" s="1440"/>
      <c r="E397" s="1558">
        <f>IF(AND($AJ$396=1,$AK$396=1),"ERROR",UETable!BF67)</f>
        <v>0</v>
      </c>
      <c r="F397" s="1558"/>
      <c r="G397" s="1785" t="str">
        <f>IF(AND($AK$396=1,$AJ$396=1),"Cannot rate ROM and ankylosis.",IF(AND(E396&gt;0,E397&gt;0),"Multiple ankylosis values; use higher value only.",""))</f>
        <v/>
      </c>
      <c r="H397" s="1785"/>
      <c r="I397" s="1785"/>
      <c r="J397" s="1785"/>
      <c r="K397" s="1785"/>
      <c r="L397" s="1785"/>
      <c r="M397" s="1785"/>
      <c r="N397" s="1785"/>
      <c r="O397" s="1785"/>
      <c r="P397" s="1746"/>
      <c r="R397" s="18"/>
      <c r="S397" s="769">
        <v>30</v>
      </c>
      <c r="T397" s="769" t="str">
        <f>IF(OR(C397="",C397="NA"),"",IF(C397&gt;S397,S397,IF(C397&lt;0,0,C397)))</f>
        <v/>
      </c>
      <c r="U397" s="775"/>
      <c r="V397" s="769">
        <f>IF(AND(C394&lt;&gt;"",C394&lt;&gt;"NA"),1,0)</f>
        <v>0</v>
      </c>
      <c r="W397" s="769">
        <f>IF(AND(C395&lt;&gt;"",C395&lt;&gt;"NA"),1,0)</f>
        <v>0</v>
      </c>
      <c r="X397" s="769">
        <f>IF(AND(C396&lt;&gt;"",C396&lt;&gt;"NA"),1,0)</f>
        <v>0</v>
      </c>
      <c r="Y397" s="769">
        <f>IF(AND(C397&lt;&gt;"",C397&lt;&gt;"NA"),1,0)</f>
        <v>0</v>
      </c>
      <c r="Z397" s="18"/>
      <c r="AA397" s="18"/>
      <c r="AB397" s="18"/>
      <c r="AC397" s="18"/>
      <c r="AD397" s="18"/>
      <c r="AE397" s="18"/>
      <c r="AF397" s="18"/>
      <c r="AG397" s="18"/>
      <c r="AH397" s="18"/>
      <c r="AI397" s="18"/>
      <c r="AJ397" s="18"/>
      <c r="AK397" s="18"/>
      <c r="AL397" s="18"/>
      <c r="AM397" s="18"/>
      <c r="AN397" s="18"/>
      <c r="AO397" s="18"/>
      <c r="AP397" s="18"/>
      <c r="AQ397" s="18"/>
      <c r="AR397" s="18"/>
      <c r="AS397" s="18"/>
      <c r="AT397" s="18"/>
    </row>
    <row r="398" spans="1:76" ht="13.5" customHeight="1" x14ac:dyDescent="0.2">
      <c r="B398" s="1740" t="s">
        <v>904</v>
      </c>
      <c r="C398" s="1741"/>
      <c r="D398" s="1741"/>
      <c r="E398" s="1741"/>
      <c r="F398" s="1741"/>
      <c r="G398" s="1741"/>
      <c r="H398" s="1741"/>
      <c r="I398" s="1741"/>
      <c r="J398" s="1741"/>
      <c r="K398" s="1741"/>
      <c r="L398" s="1741"/>
      <c r="M398" s="1741"/>
      <c r="N398" s="1741"/>
      <c r="O398" s="1742"/>
      <c r="P398" s="360">
        <f>IF(AND(AJ396=1,AK396=1),"ERROR",IF(AND(AC396&gt;0,AC396&lt;0.01),0.01,ROUND(AC396,2)))</f>
        <v>0</v>
      </c>
      <c r="R398" s="166"/>
      <c r="S398" s="742"/>
      <c r="T398" s="775"/>
      <c r="U398" s="775"/>
      <c r="V398" s="775"/>
      <c r="W398" s="775"/>
      <c r="X398" s="775"/>
      <c r="Y398" s="771"/>
      <c r="Z398" s="18"/>
      <c r="AA398" s="18"/>
      <c r="AB398" s="18"/>
      <c r="AC398" s="18"/>
      <c r="AD398" s="18"/>
      <c r="AE398" s="18"/>
      <c r="AF398" s="18"/>
      <c r="AG398" s="18"/>
      <c r="AH398" s="18"/>
      <c r="AI398" s="18"/>
      <c r="AJ398" s="18"/>
      <c r="AK398" s="18"/>
      <c r="AL398" s="18"/>
      <c r="AM398" s="18"/>
      <c r="AN398" s="18"/>
      <c r="AO398" s="18"/>
      <c r="AP398" s="18"/>
      <c r="AQ398" s="18"/>
      <c r="AR398" s="18"/>
      <c r="AS398" s="18"/>
      <c r="AT398" s="18"/>
    </row>
    <row r="399" spans="1:76" ht="27" customHeight="1" x14ac:dyDescent="0.2">
      <c r="B399" s="23" t="s">
        <v>905</v>
      </c>
      <c r="C399" s="1555" t="s">
        <v>1596</v>
      </c>
      <c r="D399" s="1555"/>
      <c r="E399" s="1555"/>
      <c r="F399" s="1555"/>
      <c r="G399" s="1536" t="s">
        <v>898</v>
      </c>
      <c r="H399" s="1536"/>
      <c r="I399" s="1536"/>
      <c r="J399" s="1536"/>
      <c r="K399" s="1555"/>
      <c r="L399" s="1555"/>
      <c r="M399" s="1555"/>
      <c r="N399" s="1555"/>
      <c r="O399" s="1555"/>
      <c r="P399" s="1645"/>
      <c r="R399" s="18"/>
      <c r="S399" s="782"/>
      <c r="T399" s="775"/>
      <c r="U399" s="775"/>
      <c r="V399" s="775"/>
      <c r="W399" s="775"/>
      <c r="X399" s="775"/>
      <c r="Y399" s="771"/>
      <c r="Z399" s="18"/>
      <c r="AA399" s="18"/>
      <c r="AB399" s="18"/>
      <c r="AC399" s="18"/>
      <c r="AD399" s="18"/>
      <c r="AE399" s="18"/>
      <c r="AF399" s="18"/>
      <c r="AG399" s="18"/>
      <c r="AH399" s="18"/>
      <c r="AI399" s="18"/>
      <c r="AJ399" s="18"/>
      <c r="AK399" s="18"/>
      <c r="AL399" s="18"/>
      <c r="AM399" s="18"/>
      <c r="AN399" s="18"/>
      <c r="AO399" s="18"/>
      <c r="AP399" s="18"/>
      <c r="AQ399" s="18"/>
      <c r="AR399" s="18"/>
      <c r="AS399" s="18"/>
      <c r="AT399" s="18"/>
    </row>
    <row r="400" spans="1:76" ht="13.5" customHeight="1" x14ac:dyDescent="0.2">
      <c r="B400" s="186" t="s">
        <v>906</v>
      </c>
      <c r="C400" s="1308"/>
      <c r="D400" s="1308"/>
      <c r="E400" s="1558">
        <f>UETable!BF70</f>
        <v>0</v>
      </c>
      <c r="F400" s="1558"/>
      <c r="G400" s="1308"/>
      <c r="H400" s="1308"/>
      <c r="I400" s="1538">
        <f>IF(C400="",0,IF(OR(C400&lt;=0,G400&lt;=0),E400,IF(G400&lt;C400,0,UETable!BK70)))</f>
        <v>0</v>
      </c>
      <c r="J400" s="1538"/>
      <c r="K400" s="1556" t="str">
        <f>IF(OR(C400="NA",G400="NA"),"",IF(AND(C400&lt;&gt;"",G400=""),"Enter contralateral or NA.",IF(AND(C400="",G400&lt;&gt;""),"Need data","")))</f>
        <v/>
      </c>
      <c r="L400" s="1556"/>
      <c r="M400" s="1556"/>
      <c r="N400" s="1556"/>
      <c r="O400" s="1556"/>
      <c r="P400" s="1745"/>
      <c r="R400" s="18"/>
      <c r="S400" s="769">
        <v>60</v>
      </c>
      <c r="T400" s="769" t="str">
        <f t="shared" ref="T400:T407" si="55">IF(OR(C400="",C400="NA"),"",IF(C400&gt;S400,S400,IF(C400&lt;0,0,C400)))</f>
        <v/>
      </c>
      <c r="U400" s="769" t="str">
        <f>IF(OR(G400="",G400="NA"),"",IF(G400&gt;S400,S400,IF(G400&lt;0,0,G400)))</f>
        <v/>
      </c>
      <c r="V400" s="696" t="str">
        <f>IF(Y400="","",ROUND(Y400,0))</f>
        <v/>
      </c>
      <c r="W400" s="1463"/>
      <c r="X400" s="1463"/>
      <c r="Y400" s="697" t="str">
        <f>IF(T400="","",IF(OR(U400="",U400=0,U400&lt;T400),T400,(T400*60)/U400))</f>
        <v/>
      </c>
      <c r="Z400" s="18"/>
      <c r="AA400" s="18"/>
      <c r="AB400" s="18"/>
      <c r="AC400" s="18"/>
      <c r="AD400" s="18"/>
      <c r="AE400" s="18"/>
      <c r="AF400" s="18"/>
      <c r="AG400" s="18"/>
      <c r="AH400" s="18"/>
      <c r="AN400" s="18"/>
      <c r="AO400" s="18"/>
      <c r="AP400" s="18"/>
      <c r="AQ400" s="18"/>
      <c r="AR400" s="18"/>
      <c r="AS400" s="18"/>
      <c r="AT400" s="18"/>
    </row>
    <row r="401" spans="1:46" ht="13.5" customHeight="1" x14ac:dyDescent="0.2">
      <c r="B401" s="186" t="s">
        <v>1206</v>
      </c>
      <c r="C401" s="1308"/>
      <c r="D401" s="1308"/>
      <c r="E401" s="1558">
        <f>IF(AND($AJ$407=1,$AK$407=1),"ERROR",UETable!BF71)</f>
        <v>0</v>
      </c>
      <c r="F401" s="1558"/>
      <c r="G401" s="1556" t="str">
        <f>IF(AND($AK$407=1,$AJ$407=1),"Cannot rate ROM and ankylosis.","")</f>
        <v/>
      </c>
      <c r="H401" s="1556"/>
      <c r="I401" s="1556"/>
      <c r="J401" s="1556"/>
      <c r="K401" s="1556"/>
      <c r="L401" s="1556"/>
      <c r="M401" s="1556"/>
      <c r="N401" s="1556"/>
      <c r="O401" s="1556"/>
      <c r="P401" s="1745"/>
      <c r="R401" s="18"/>
      <c r="S401" s="769">
        <v>60</v>
      </c>
      <c r="T401" s="769" t="str">
        <f t="shared" si="55"/>
        <v/>
      </c>
      <c r="U401" s="775"/>
      <c r="V401" s="73"/>
      <c r="W401" s="775"/>
      <c r="X401" s="775"/>
      <c r="Y401" s="743"/>
      <c r="Z401" s="18"/>
      <c r="AA401" s="18"/>
      <c r="AB401" s="73"/>
      <c r="AC401" s="18"/>
      <c r="AD401" s="18"/>
      <c r="AE401" s="18"/>
      <c r="AF401" s="18"/>
      <c r="AG401" s="18"/>
      <c r="AH401" s="18"/>
      <c r="AI401" s="18"/>
      <c r="AJ401" s="18"/>
      <c r="AK401" s="18"/>
      <c r="AL401" s="18"/>
      <c r="AM401" s="18"/>
      <c r="AN401" s="18"/>
      <c r="AO401" s="18"/>
      <c r="AP401" s="18"/>
      <c r="AQ401" s="18"/>
      <c r="AR401" s="18"/>
      <c r="AS401" s="18"/>
      <c r="AT401" s="18"/>
    </row>
    <row r="402" spans="1:46" ht="13.5" customHeight="1" x14ac:dyDescent="0.2">
      <c r="B402" s="186" t="s">
        <v>908</v>
      </c>
      <c r="C402" s="1308"/>
      <c r="D402" s="1308"/>
      <c r="E402" s="1558">
        <f>UETable!BF72</f>
        <v>0</v>
      </c>
      <c r="F402" s="1558"/>
      <c r="G402" s="1308"/>
      <c r="H402" s="1308"/>
      <c r="I402" s="1538">
        <f>IF(C402="",0,IF(OR(C402&lt;=0,G402&lt;=0),E402,IF(G402&lt;C402,0,UETable!BK72)))</f>
        <v>0</v>
      </c>
      <c r="J402" s="1538"/>
      <c r="K402" s="1556" t="str">
        <f>IF(OR(C402="NA",G402="NA"),"",IF(AND(C402&lt;&gt;"",G402=""),"Enter contralateral or NA.",IF(AND(C402="",G402&lt;&gt;""),"Need data","")))</f>
        <v/>
      </c>
      <c r="L402" s="1556"/>
      <c r="M402" s="1556"/>
      <c r="N402" s="1556"/>
      <c r="O402" s="1556"/>
      <c r="P402" s="1745"/>
      <c r="R402" s="18"/>
      <c r="S402" s="769">
        <v>70</v>
      </c>
      <c r="T402" s="769" t="str">
        <f t="shared" si="55"/>
        <v/>
      </c>
      <c r="U402" s="769" t="str">
        <f>IF(OR(G402="",G402="NA"),"",IF(G402&gt;S402,S402,IF(G402&lt;0,0,G402)))</f>
        <v/>
      </c>
      <c r="V402" s="696" t="str">
        <f>IF(Y402="","",ROUND(Y402,0))</f>
        <v/>
      </c>
      <c r="W402" s="775"/>
      <c r="X402" s="775"/>
      <c r="Y402" s="697" t="str">
        <f>IF(T402="","",IF(OR(U402="",U402=0,U402&lt;T402),T402,(T402*70)/U402))</f>
        <v/>
      </c>
      <c r="Z402" s="18"/>
      <c r="AA402" s="18"/>
      <c r="AB402" s="18"/>
      <c r="AC402" s="18"/>
      <c r="AD402" s="18"/>
      <c r="AE402" s="18"/>
      <c r="AF402" s="18"/>
      <c r="AG402" s="18"/>
      <c r="AH402" s="18"/>
      <c r="AI402" s="18"/>
      <c r="AJ402" s="18"/>
      <c r="AK402" s="18"/>
      <c r="AL402" s="18"/>
      <c r="AM402" s="18"/>
      <c r="AN402" s="18"/>
      <c r="AO402" s="18"/>
      <c r="AP402" s="18"/>
      <c r="AQ402" s="18"/>
      <c r="AR402" s="18"/>
      <c r="AS402" s="18"/>
      <c r="AT402" s="18"/>
    </row>
    <row r="403" spans="1:46" ht="13.5" customHeight="1" x14ac:dyDescent="0.2">
      <c r="B403" s="186" t="s">
        <v>1204</v>
      </c>
      <c r="C403" s="1308"/>
      <c r="D403" s="1308"/>
      <c r="E403" s="1558">
        <f>IF(AND($AJ$407=1,$AK$407=1),"ERROR",UETable!BF73)</f>
        <v>0</v>
      </c>
      <c r="F403" s="1558"/>
      <c r="G403" s="1556" t="str">
        <f>IF(AND($AK$407=1,$AJ$407=1),"Cannot rate ROM and ankylosis.","")</f>
        <v/>
      </c>
      <c r="H403" s="1556"/>
      <c r="I403" s="1556"/>
      <c r="J403" s="1556"/>
      <c r="K403" s="1556"/>
      <c r="L403" s="1556"/>
      <c r="M403" s="1556"/>
      <c r="N403" s="1556"/>
      <c r="O403" s="1556"/>
      <c r="P403" s="1745"/>
      <c r="R403" s="18"/>
      <c r="S403" s="769">
        <v>70</v>
      </c>
      <c r="T403" s="769" t="str">
        <f t="shared" si="55"/>
        <v/>
      </c>
      <c r="U403" s="775"/>
      <c r="V403" s="775"/>
      <c r="W403" s="775"/>
      <c r="X403" s="775"/>
      <c r="Y403" s="771"/>
      <c r="Z403" s="18"/>
      <c r="AA403" s="18"/>
      <c r="AB403" s="18"/>
      <c r="AC403" s="242">
        <f>MAX(E401,E403,E405,E407)</f>
        <v>0</v>
      </c>
      <c r="AD403" s="1410" t="s">
        <v>1943</v>
      </c>
      <c r="AE403" s="1410"/>
      <c r="AF403" s="1410"/>
      <c r="AG403" s="1410"/>
      <c r="AH403" s="18"/>
      <c r="AI403" s="18"/>
      <c r="AJ403" s="1379" t="s">
        <v>692</v>
      </c>
      <c r="AK403" s="1379" t="s">
        <v>693</v>
      </c>
      <c r="AL403" s="1379" t="s">
        <v>895</v>
      </c>
      <c r="AM403" s="1379" t="s">
        <v>896</v>
      </c>
      <c r="AN403" s="18"/>
      <c r="AO403" s="18"/>
      <c r="AP403" s="18"/>
      <c r="AQ403" s="18"/>
      <c r="AR403" s="18"/>
      <c r="AS403" s="18"/>
      <c r="AT403" s="18"/>
    </row>
    <row r="404" spans="1:46" ht="13.5" customHeight="1" x14ac:dyDescent="0.2">
      <c r="B404" s="185" t="s">
        <v>909</v>
      </c>
      <c r="C404" s="1308"/>
      <c r="D404" s="1308"/>
      <c r="E404" s="1558">
        <f>UETable!BF74</f>
        <v>0</v>
      </c>
      <c r="F404" s="1558"/>
      <c r="G404" s="1308"/>
      <c r="H404" s="1308"/>
      <c r="I404" s="1538">
        <f>IF(C404="",0,IF(OR(C404&lt;=0,G404&lt;=0),E404,IF(G404&lt;C404,0,UETable!BK74)))</f>
        <v>0</v>
      </c>
      <c r="J404" s="1538"/>
      <c r="K404" s="1556" t="str">
        <f>IF(OR(C404="NA",G404="NA"),"",IF(AND(C404&lt;&gt;"",G404=""),"Enter contralateral or NA.",IF(AND(C404="",G404&lt;&gt;""),"Need data","")))</f>
        <v/>
      </c>
      <c r="L404" s="1556"/>
      <c r="M404" s="1556"/>
      <c r="N404" s="1556"/>
      <c r="O404" s="1556"/>
      <c r="P404" s="1745"/>
      <c r="R404" s="18"/>
      <c r="S404" s="769">
        <v>20</v>
      </c>
      <c r="T404" s="769" t="str">
        <f t="shared" si="55"/>
        <v/>
      </c>
      <c r="U404" s="769" t="str">
        <f>IF(OR(G404="",G404="NA"),"",IF(G404&gt;S404,S404,IF(G404&lt;0,0,G404)))</f>
        <v/>
      </c>
      <c r="V404" s="696" t="str">
        <f>IF(Y404="","",ROUND(Y404,0))</f>
        <v/>
      </c>
      <c r="W404" s="775"/>
      <c r="X404" s="775"/>
      <c r="Y404" s="697" t="str">
        <f>IF(T404="","",IF(OR(U404="",U404=0,U404&lt;T404),T404,(T404*20)/U404))</f>
        <v/>
      </c>
      <c r="Z404" s="18"/>
      <c r="AA404" s="18"/>
      <c r="AB404" s="18"/>
      <c r="AC404" s="747">
        <f>IF(AND(AJ407=1,AK407=1),"ERROR",SUM(I400,I402,I404,I406,AC403))</f>
        <v>0</v>
      </c>
      <c r="AD404" s="1410" t="s">
        <v>907</v>
      </c>
      <c r="AE404" s="1410"/>
      <c r="AF404" s="1410"/>
      <c r="AG404" s="1410"/>
      <c r="AH404" s="47"/>
      <c r="AI404" s="18"/>
      <c r="AJ404" s="1379"/>
      <c r="AK404" s="1379"/>
      <c r="AL404" s="1379"/>
      <c r="AM404" s="1379"/>
      <c r="AN404" s="18"/>
      <c r="AO404" s="18"/>
      <c r="AP404" s="18"/>
      <c r="AQ404" s="18"/>
      <c r="AR404" s="18"/>
      <c r="AS404" s="18"/>
      <c r="AT404" s="18"/>
    </row>
    <row r="405" spans="1:46" ht="13.5" customHeight="1" x14ac:dyDescent="0.2">
      <c r="B405" s="185" t="s">
        <v>910</v>
      </c>
      <c r="C405" s="1308"/>
      <c r="D405" s="1308"/>
      <c r="E405" s="1558">
        <f>IF(AND($AJ$407=1,$AK$407=1),"ERROR",UETable!BF75)</f>
        <v>0</v>
      </c>
      <c r="F405" s="1558"/>
      <c r="G405" s="1556" t="str">
        <f>IF(AND($AK$407=1,$AJ$407=1),"Cannot rate ROM and ankylosis.","")</f>
        <v/>
      </c>
      <c r="H405" s="1556"/>
      <c r="I405" s="1556"/>
      <c r="J405" s="1556"/>
      <c r="K405" s="1556"/>
      <c r="L405" s="1556"/>
      <c r="M405" s="1556"/>
      <c r="N405" s="1556"/>
      <c r="O405" s="1556"/>
      <c r="P405" s="1745"/>
      <c r="R405" s="18"/>
      <c r="S405" s="769">
        <v>20</v>
      </c>
      <c r="T405" s="769" t="str">
        <f t="shared" si="55"/>
        <v/>
      </c>
      <c r="U405" s="775"/>
      <c r="V405" s="775"/>
      <c r="W405" s="775"/>
      <c r="X405" s="775"/>
      <c r="Y405" s="771"/>
      <c r="Z405" s="18"/>
      <c r="AA405" s="18"/>
      <c r="AB405" s="18"/>
      <c r="AC405" s="18"/>
      <c r="AD405" s="18"/>
      <c r="AE405" s="18"/>
      <c r="AF405" s="18"/>
      <c r="AG405" s="18"/>
      <c r="AH405" s="47"/>
      <c r="AI405" s="18"/>
      <c r="AJ405" s="1379"/>
      <c r="AK405" s="1379"/>
      <c r="AL405" s="1379"/>
      <c r="AM405" s="1379"/>
      <c r="AN405" s="18"/>
      <c r="AO405" s="18"/>
      <c r="AP405" s="18"/>
      <c r="AQ405" s="18"/>
      <c r="AR405" s="18"/>
      <c r="AS405" s="18"/>
      <c r="AT405" s="18"/>
    </row>
    <row r="406" spans="1:46" ht="13.5" customHeight="1" x14ac:dyDescent="0.2">
      <c r="B406" s="185" t="s">
        <v>911</v>
      </c>
      <c r="C406" s="1308"/>
      <c r="D406" s="1308"/>
      <c r="E406" s="1558">
        <f>UETable!BF76</f>
        <v>0</v>
      </c>
      <c r="F406" s="1558"/>
      <c r="G406" s="1308"/>
      <c r="H406" s="1308"/>
      <c r="I406" s="1538">
        <f>IF(C406="",0,IF(OR(C406&lt;=0,G406&lt;=0),E406,IF(G406&lt;C406,0,UETable!BK76)))</f>
        <v>0</v>
      </c>
      <c r="J406" s="1538"/>
      <c r="K406" s="1556" t="str">
        <f>IF(OR(C406="NA",G406="NA"),"",IF(AND(C406&lt;&gt;"",G406=""),"Enter contralateral or NA.",IF(AND(C406="",G406&lt;&gt;""),"Need data","")))</f>
        <v/>
      </c>
      <c r="L406" s="1556"/>
      <c r="M406" s="1556"/>
      <c r="N406" s="1556"/>
      <c r="O406" s="1556"/>
      <c r="P406" s="1745"/>
      <c r="R406" s="18"/>
      <c r="S406" s="769">
        <v>30</v>
      </c>
      <c r="T406" s="769" t="str">
        <f t="shared" si="55"/>
        <v/>
      </c>
      <c r="U406" s="769" t="str">
        <f>IF(OR(G406="",G406="NA"),"",IF(G406&gt;S406,S406,IF(G406&lt;0,0,G406)))</f>
        <v/>
      </c>
      <c r="V406" s="696" t="str">
        <f>IF(Y406="","",ROUND(Y406,0))</f>
        <v/>
      </c>
      <c r="W406" s="781"/>
      <c r="X406" s="781"/>
      <c r="Y406" s="697" t="str">
        <f>IF(T406="","",IF(OR(U406="",U406=0,U406&lt;T406),T406,(T406*30)/U406))</f>
        <v/>
      </c>
      <c r="Z406" s="18"/>
      <c r="AA406" s="18"/>
      <c r="AB406" s="18"/>
      <c r="AC406" s="18"/>
      <c r="AD406" s="18"/>
      <c r="AE406" s="18"/>
      <c r="AF406" s="18"/>
      <c r="AG406" s="18"/>
      <c r="AH406" s="47"/>
      <c r="AI406" s="18"/>
      <c r="AJ406" s="1379"/>
      <c r="AK406" s="1379"/>
      <c r="AL406" s="1379"/>
      <c r="AM406" s="1379"/>
      <c r="AN406" s="18"/>
      <c r="AO406" s="18"/>
      <c r="AP406" s="18"/>
      <c r="AQ406" s="18"/>
      <c r="AR406" s="18"/>
      <c r="AS406" s="18"/>
      <c r="AT406" s="18"/>
    </row>
    <row r="407" spans="1:46" ht="13.5" customHeight="1" x14ac:dyDescent="0.2">
      <c r="B407" s="185" t="s">
        <v>912</v>
      </c>
      <c r="C407" s="1308"/>
      <c r="D407" s="1308"/>
      <c r="E407" s="1558">
        <f>IF(AND($AJ$407=1,$AK$407=1),"ERROR",UETable!BF77)</f>
        <v>0</v>
      </c>
      <c r="F407" s="1558"/>
      <c r="G407" s="1556" t="str">
        <f>IF(AND($AK$407=1,$AJ$407=1),"Cannot rate ROM and ankylosis.","")</f>
        <v/>
      </c>
      <c r="H407" s="1556"/>
      <c r="I407" s="1556"/>
      <c r="J407" s="1556"/>
      <c r="K407" s="1556"/>
      <c r="L407" s="1556"/>
      <c r="M407" s="1556"/>
      <c r="N407" s="1556"/>
      <c r="O407" s="1556"/>
      <c r="P407" s="1746"/>
      <c r="R407" s="18"/>
      <c r="S407" s="769">
        <v>30</v>
      </c>
      <c r="T407" s="769" t="str">
        <f t="shared" si="55"/>
        <v/>
      </c>
      <c r="U407" s="18"/>
      <c r="V407" s="1549" t="s">
        <v>2190</v>
      </c>
      <c r="W407" s="1550"/>
      <c r="X407" s="1550"/>
      <c r="Y407" s="1550"/>
      <c r="Z407" s="1550"/>
      <c r="AA407" s="1550"/>
      <c r="AB407" s="1550"/>
      <c r="AC407" s="1551"/>
      <c r="AF407" s="18"/>
      <c r="AH407" s="18"/>
      <c r="AI407" s="18"/>
      <c r="AJ407" s="769">
        <f>IF(OR(V408=1,X408=1,Z408=1,AB408=1),1,0)</f>
        <v>0</v>
      </c>
      <c r="AK407" s="769">
        <f>IF(OR(W408=1,Y408=1,AA408=1,AC408=1),1,0)</f>
        <v>0</v>
      </c>
      <c r="AL407" s="769">
        <f>SUM(V408,X408,Z408,AB408)</f>
        <v>0</v>
      </c>
      <c r="AM407" s="769">
        <f>IF(OR(AL407=1,AL407=2,AL407=3),1,0)</f>
        <v>0</v>
      </c>
      <c r="AN407" s="18"/>
      <c r="AO407" s="18"/>
      <c r="AP407" s="18"/>
      <c r="AQ407" s="18"/>
      <c r="AR407" s="18"/>
      <c r="AS407" s="18"/>
      <c r="AT407" s="18"/>
    </row>
    <row r="408" spans="1:46" ht="13.5" customHeight="1" x14ac:dyDescent="0.2">
      <c r="B408" s="1740" t="s">
        <v>512</v>
      </c>
      <c r="C408" s="1741"/>
      <c r="D408" s="1741"/>
      <c r="E408" s="1741"/>
      <c r="F408" s="1741"/>
      <c r="G408" s="1741"/>
      <c r="H408" s="1741"/>
      <c r="I408" s="1741"/>
      <c r="J408" s="1741"/>
      <c r="K408" s="1741"/>
      <c r="L408" s="1741"/>
      <c r="M408" s="1741"/>
      <c r="N408" s="1741"/>
      <c r="O408" s="1742"/>
      <c r="P408" s="360">
        <f>IF(AND(AJ407=1,AK407=1),"ERROR",IF(AND(AC404&gt;0,AC404&lt;0.01),0.01,ROUND(AC404,2)))</f>
        <v>0</v>
      </c>
      <c r="R408" s="166"/>
      <c r="S408" s="157"/>
      <c r="T408" s="18"/>
      <c r="U408" s="18"/>
      <c r="V408" s="769">
        <f>IF(AND(C400&lt;&gt;"",C400&lt;&gt;"NA"),1,0)</f>
        <v>0</v>
      </c>
      <c r="W408" s="769">
        <f>IF(AND(C401&lt;&gt;"",C401&lt;&gt;"NA"),1,0)</f>
        <v>0</v>
      </c>
      <c r="X408" s="769">
        <f>IF(AND(C402&lt;&gt;"",C402&lt;&gt;"NA"),1,0)</f>
        <v>0</v>
      </c>
      <c r="Y408" s="769">
        <f>IF(AND(C403&lt;&gt;"",C403&lt;&gt;"NA"),1,0)</f>
        <v>0</v>
      </c>
      <c r="Z408" s="769">
        <f>IF(AND(C404&lt;&gt;"",C404&lt;&gt;"NA"),1,0)</f>
        <v>0</v>
      </c>
      <c r="AA408" s="769">
        <f>IF(AND(C405&lt;&gt;"",C405&lt;&gt;"NA"),1,0)</f>
        <v>0</v>
      </c>
      <c r="AB408" s="769">
        <f>IF(AND(C406&lt;&gt;"",C406&lt;&gt;"NA"),1,0)</f>
        <v>0</v>
      </c>
      <c r="AC408" s="769">
        <f>IF(AND(C407&lt;&gt;"",C407&lt;&gt;"NA"),1,0)</f>
        <v>0</v>
      </c>
      <c r="AD408" s="18"/>
      <c r="AE408" s="18"/>
      <c r="AF408" s="18"/>
      <c r="AG408" s="18"/>
      <c r="AH408" s="18"/>
      <c r="AI408" s="18"/>
      <c r="AJ408" s="18"/>
      <c r="AK408" s="18"/>
      <c r="AL408" s="18"/>
      <c r="AM408" s="18"/>
      <c r="AN408" s="18"/>
      <c r="AO408" s="18"/>
      <c r="AP408" s="18"/>
      <c r="AQ408" s="18"/>
      <c r="AR408" s="18"/>
      <c r="AS408" s="18"/>
      <c r="AT408" s="18"/>
    </row>
    <row r="409" spans="1:46" ht="12" customHeight="1" x14ac:dyDescent="0.2">
      <c r="B409" s="1395"/>
      <c r="C409" s="1395"/>
      <c r="D409" s="1395"/>
      <c r="E409" s="1395"/>
      <c r="F409" s="1395"/>
      <c r="G409" s="1395"/>
      <c r="H409" s="1395"/>
      <c r="I409" s="1395"/>
      <c r="J409" s="1395"/>
      <c r="K409" s="1395"/>
      <c r="L409" s="1395"/>
      <c r="M409" s="1395"/>
      <c r="N409" s="1395"/>
      <c r="O409" s="1395"/>
      <c r="P409" s="3"/>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row>
    <row r="410" spans="1:46" ht="12" customHeight="1" x14ac:dyDescent="0.2">
      <c r="B410" s="1395"/>
      <c r="C410" s="1395"/>
      <c r="D410" s="1395"/>
      <c r="E410" s="1395"/>
      <c r="F410" s="1395"/>
      <c r="G410" s="1395"/>
      <c r="H410" s="1395"/>
      <c r="I410" s="1395"/>
      <c r="J410" s="1395"/>
      <c r="K410" s="1395"/>
      <c r="L410" s="1395"/>
      <c r="M410" s="1395"/>
      <c r="N410" s="1395"/>
      <c r="O410" s="1395"/>
      <c r="P410" s="3"/>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row>
    <row r="411" spans="1:46" s="8" customFormat="1" ht="18" customHeight="1" x14ac:dyDescent="0.2">
      <c r="B411" s="1534" t="s">
        <v>1987</v>
      </c>
      <c r="C411" s="1534"/>
      <c r="D411" s="1534"/>
      <c r="E411" s="1534"/>
      <c r="F411" s="1534"/>
      <c r="G411" s="1534"/>
      <c r="H411" s="1534"/>
      <c r="I411" s="1534"/>
      <c r="J411" s="1534"/>
      <c r="K411" s="1534"/>
      <c r="L411" s="1534"/>
      <c r="M411" s="1534"/>
      <c r="N411" s="1534"/>
      <c r="O411" s="1534"/>
      <c r="P411" s="1689"/>
      <c r="R411" s="168"/>
      <c r="S411" s="1657" t="s">
        <v>2191</v>
      </c>
      <c r="T411" s="1657"/>
      <c r="U411" s="989" t="s">
        <v>1305</v>
      </c>
      <c r="V411" s="989" t="s">
        <v>1306</v>
      </c>
      <c r="W411" s="989" t="s">
        <v>1307</v>
      </c>
      <c r="X411" s="60"/>
      <c r="Y411" s="60"/>
      <c r="Z411" s="60"/>
      <c r="AA411" s="60"/>
      <c r="AB411" s="60"/>
      <c r="AC411" s="60"/>
      <c r="AD411" s="60"/>
      <c r="AE411" s="60"/>
      <c r="AF411" s="60"/>
      <c r="AG411" s="60"/>
      <c r="AH411" s="60"/>
      <c r="AI411" s="60"/>
      <c r="AJ411" s="60"/>
      <c r="AK411" s="60"/>
      <c r="AL411" s="60"/>
      <c r="AM411" s="60"/>
      <c r="AN411" s="60"/>
      <c r="AO411" s="60"/>
      <c r="AP411" s="60"/>
      <c r="AQ411" s="60"/>
      <c r="AR411" s="60"/>
      <c r="AS411" s="60"/>
      <c r="AT411" s="60"/>
    </row>
    <row r="412" spans="1:46" s="8" customFormat="1" ht="19.5" customHeight="1" x14ac:dyDescent="0.2">
      <c r="A412" s="20"/>
      <c r="B412" s="256" t="s">
        <v>1557</v>
      </c>
      <c r="C412" s="1639"/>
      <c r="D412" s="1639"/>
      <c r="E412" s="1639"/>
      <c r="F412" s="1639"/>
      <c r="G412" s="1639"/>
      <c r="H412" s="1639"/>
      <c r="I412" s="1639"/>
      <c r="J412" s="1639"/>
      <c r="K412" s="1639"/>
      <c r="L412" s="1639"/>
      <c r="M412" s="1639"/>
      <c r="N412" s="1639"/>
      <c r="O412" s="1639"/>
      <c r="P412" s="1690"/>
      <c r="R412" s="60"/>
      <c r="S412" s="739">
        <v>1</v>
      </c>
      <c r="T412" s="646">
        <f>IF(S412=2,0.11,IF(S412=3,0.15,0))</f>
        <v>0</v>
      </c>
      <c r="U412" s="646">
        <f>LARGE(T412:T413,1)</f>
        <v>0</v>
      </c>
      <c r="V412" s="684">
        <f>U412+U413*(1-U412)</f>
        <v>0</v>
      </c>
      <c r="W412" s="740">
        <f>ROUND(V412,2)</f>
        <v>0</v>
      </c>
      <c r="X412" s="60"/>
      <c r="Y412" s="60"/>
      <c r="Z412" s="60">
        <v>1E-4</v>
      </c>
      <c r="AA412" s="60"/>
      <c r="AB412" s="60"/>
      <c r="AC412" s="60"/>
      <c r="AD412" s="60"/>
      <c r="AE412" s="60"/>
      <c r="AF412" s="60"/>
      <c r="AG412" s="60"/>
      <c r="AH412" s="60"/>
      <c r="AI412" s="60"/>
      <c r="AJ412" s="60"/>
      <c r="AK412" s="60"/>
      <c r="AL412" s="60"/>
      <c r="AM412" s="60"/>
      <c r="AN412" s="60"/>
      <c r="AO412" s="60"/>
      <c r="AP412" s="60"/>
      <c r="AQ412" s="60"/>
      <c r="AR412" s="60"/>
      <c r="AS412" s="60"/>
      <c r="AT412" s="60"/>
    </row>
    <row r="413" spans="1:46" s="8" customFormat="1" ht="19.5" customHeight="1" x14ac:dyDescent="0.2">
      <c r="B413" s="256" t="s">
        <v>1558</v>
      </c>
      <c r="C413" s="1639"/>
      <c r="D413" s="1639"/>
      <c r="E413" s="1639"/>
      <c r="F413" s="1639"/>
      <c r="G413" s="1639"/>
      <c r="H413" s="1639"/>
      <c r="I413" s="1639"/>
      <c r="J413" s="1639"/>
      <c r="K413" s="1639"/>
      <c r="L413" s="1639"/>
      <c r="M413" s="1639"/>
      <c r="N413" s="1639"/>
      <c r="O413" s="1639"/>
      <c r="P413" s="303">
        <f>W412</f>
        <v>0</v>
      </c>
      <c r="R413" s="60"/>
      <c r="S413" s="739">
        <v>1</v>
      </c>
      <c r="T413" s="646">
        <f>IF(S413=2,0.05,IF(S413=3,0.07,0))</f>
        <v>0</v>
      </c>
      <c r="U413" s="646">
        <f>LARGE(T412:T413,2)</f>
        <v>0</v>
      </c>
      <c r="V413" s="60"/>
      <c r="W413" s="60"/>
      <c r="X413" s="60"/>
      <c r="Y413" s="60"/>
      <c r="Z413" s="60"/>
      <c r="AA413" s="60"/>
      <c r="AB413" s="60"/>
      <c r="AC413" s="60"/>
      <c r="AD413" s="60"/>
      <c r="AE413" s="60"/>
      <c r="AF413" s="60"/>
      <c r="AG413" s="60"/>
      <c r="AH413" s="60"/>
      <c r="AI413" s="60"/>
      <c r="AJ413" s="60"/>
      <c r="AK413" s="60"/>
      <c r="AL413" s="60"/>
      <c r="AM413" s="60"/>
      <c r="AN413" s="60"/>
      <c r="AO413" s="60"/>
      <c r="AP413" s="60"/>
      <c r="AQ413" s="60"/>
      <c r="AR413" s="60"/>
      <c r="AS413" s="60"/>
      <c r="AT413" s="60"/>
    </row>
    <row r="414" spans="1:46" s="8" customFormat="1" ht="18" customHeight="1" x14ac:dyDescent="0.2">
      <c r="B414" s="1534" t="s">
        <v>1559</v>
      </c>
      <c r="C414" s="1534"/>
      <c r="D414" s="1534"/>
      <c r="E414" s="1534"/>
      <c r="F414" s="1534"/>
      <c r="G414" s="1534"/>
      <c r="H414" s="1534"/>
      <c r="I414" s="1534"/>
      <c r="J414" s="1534"/>
      <c r="K414" s="1534"/>
      <c r="L414" s="1534"/>
      <c r="M414" s="1534"/>
      <c r="N414" s="1534"/>
      <c r="O414" s="1534"/>
      <c r="P414" s="1689"/>
      <c r="R414" s="168"/>
      <c r="S414" s="1657" t="s">
        <v>2191</v>
      </c>
      <c r="T414" s="1657"/>
      <c r="U414" s="779" t="s">
        <v>1305</v>
      </c>
      <c r="V414" s="779" t="s">
        <v>1306</v>
      </c>
      <c r="W414" s="779" t="s">
        <v>1307</v>
      </c>
      <c r="X414" s="60"/>
      <c r="Y414" s="60"/>
      <c r="Z414" s="60"/>
      <c r="AA414" s="60"/>
      <c r="AB414" s="60"/>
      <c r="AC414" s="60"/>
      <c r="AD414" s="60"/>
      <c r="AE414" s="60"/>
      <c r="AF414" s="60"/>
      <c r="AG414" s="60"/>
      <c r="AH414" s="60"/>
      <c r="AI414" s="60"/>
      <c r="AJ414" s="60"/>
      <c r="AK414" s="60"/>
      <c r="AL414" s="60"/>
      <c r="AM414" s="60"/>
      <c r="AN414" s="60"/>
      <c r="AO414" s="60"/>
      <c r="AP414" s="60"/>
      <c r="AQ414" s="60"/>
      <c r="AR414" s="60"/>
      <c r="AS414" s="60"/>
      <c r="AT414" s="60"/>
    </row>
    <row r="415" spans="1:46" s="8" customFormat="1" ht="19.5" customHeight="1" x14ac:dyDescent="0.2">
      <c r="A415" s="20"/>
      <c r="B415" s="256" t="s">
        <v>1557</v>
      </c>
      <c r="C415" s="1639"/>
      <c r="D415" s="1639"/>
      <c r="E415" s="1639"/>
      <c r="F415" s="1639"/>
      <c r="G415" s="1639"/>
      <c r="H415" s="1639"/>
      <c r="I415" s="1639"/>
      <c r="J415" s="1639"/>
      <c r="K415" s="1639"/>
      <c r="L415" s="1639"/>
      <c r="M415" s="1639"/>
      <c r="N415" s="1639"/>
      <c r="O415" s="1639"/>
      <c r="P415" s="1690"/>
      <c r="R415" s="60"/>
      <c r="S415" s="739">
        <v>1</v>
      </c>
      <c r="T415" s="646">
        <f>IF(S415=2,0.11,IF(S415=3,0.15,0))</f>
        <v>0</v>
      </c>
      <c r="U415" s="646">
        <f>LARGE(T415:T416,1)</f>
        <v>0</v>
      </c>
      <c r="V415" s="684">
        <f>U415+U416*(1-U415)</f>
        <v>0</v>
      </c>
      <c r="W415" s="740">
        <f>ROUND(V415,2)</f>
        <v>0</v>
      </c>
      <c r="X415" s="60"/>
      <c r="Y415" s="60"/>
      <c r="Z415" s="60">
        <v>1E-4</v>
      </c>
      <c r="AA415" s="60"/>
      <c r="AB415" s="60"/>
      <c r="AC415" s="60"/>
      <c r="AD415" s="60"/>
      <c r="AE415" s="60"/>
      <c r="AF415" s="60"/>
      <c r="AG415" s="60"/>
      <c r="AH415" s="60"/>
      <c r="AI415" s="60"/>
      <c r="AJ415" s="60"/>
      <c r="AK415" s="60"/>
      <c r="AL415" s="60"/>
      <c r="AM415" s="60"/>
      <c r="AN415" s="60"/>
      <c r="AO415" s="60"/>
      <c r="AP415" s="60"/>
      <c r="AQ415" s="60"/>
      <c r="AR415" s="60"/>
      <c r="AS415" s="60"/>
      <c r="AT415" s="60"/>
    </row>
    <row r="416" spans="1:46" s="8" customFormat="1" ht="19.5" customHeight="1" x14ac:dyDescent="0.2">
      <c r="B416" s="256" t="s">
        <v>1558</v>
      </c>
      <c r="C416" s="1639"/>
      <c r="D416" s="1639"/>
      <c r="E416" s="1639"/>
      <c r="F416" s="1639"/>
      <c r="G416" s="1639"/>
      <c r="H416" s="1639"/>
      <c r="I416" s="1639"/>
      <c r="J416" s="1639"/>
      <c r="K416" s="1639"/>
      <c r="L416" s="1639"/>
      <c r="M416" s="1639"/>
      <c r="N416" s="1639"/>
      <c r="O416" s="1639"/>
      <c r="P416" s="303">
        <f>W415</f>
        <v>0</v>
      </c>
      <c r="R416" s="60"/>
      <c r="S416" s="739">
        <v>1</v>
      </c>
      <c r="T416" s="646">
        <f>IF(S416=2,0.05,IF(S416=3,0.07,0))</f>
        <v>0</v>
      </c>
      <c r="U416" s="646">
        <f>LARGE(T415:T416,2)</f>
        <v>0</v>
      </c>
      <c r="V416" s="60"/>
      <c r="W416" s="60"/>
      <c r="X416" s="60"/>
      <c r="Y416" s="60"/>
      <c r="Z416" s="60"/>
      <c r="AA416" s="60"/>
      <c r="AB416" s="60"/>
      <c r="AC416" s="60"/>
      <c r="AD416" s="60"/>
      <c r="AE416" s="60"/>
      <c r="AF416" s="60"/>
      <c r="AG416" s="60"/>
      <c r="AH416" s="60"/>
      <c r="AI416" s="60"/>
      <c r="AJ416" s="60"/>
      <c r="AK416" s="60"/>
      <c r="AL416" s="60"/>
      <c r="AM416" s="60"/>
      <c r="AN416" s="60"/>
      <c r="AO416" s="60"/>
      <c r="AP416" s="60"/>
      <c r="AQ416" s="60"/>
      <c r="AR416" s="60"/>
      <c r="AS416" s="60"/>
      <c r="AT416" s="60"/>
    </row>
    <row r="417" spans="1:46" ht="12" customHeight="1" x14ac:dyDescent="0.2">
      <c r="B417" s="1395"/>
      <c r="C417" s="1395"/>
      <c r="D417" s="1395"/>
      <c r="E417" s="1395"/>
      <c r="F417" s="1395"/>
      <c r="G417" s="1395"/>
      <c r="H417" s="1395"/>
      <c r="I417" s="1395"/>
      <c r="J417" s="1395"/>
      <c r="K417" s="1395"/>
      <c r="L417" s="1395"/>
      <c r="M417" s="1395"/>
      <c r="N417" s="1395"/>
      <c r="O417" s="1395"/>
      <c r="P417" s="11"/>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row>
    <row r="418" spans="1:46" x14ac:dyDescent="0.2">
      <c r="B418" s="256" t="s">
        <v>1233</v>
      </c>
      <c r="C418" s="1555" t="s">
        <v>1371</v>
      </c>
      <c r="D418" s="1555"/>
      <c r="E418" s="1555"/>
      <c r="F418" s="1555"/>
      <c r="G418" s="1555"/>
      <c r="H418" s="1534" t="s">
        <v>1796</v>
      </c>
      <c r="I418" s="1534"/>
      <c r="J418" s="1534"/>
      <c r="K418" s="42"/>
      <c r="L418" s="1534" t="s">
        <v>1234</v>
      </c>
      <c r="M418" s="1534"/>
      <c r="N418" s="1534"/>
      <c r="O418" s="1534"/>
      <c r="P418" s="185"/>
      <c r="R418" s="18"/>
      <c r="S418" s="1555" t="s">
        <v>2192</v>
      </c>
      <c r="T418" s="1555"/>
      <c r="U418" s="1487" t="s">
        <v>2197</v>
      </c>
      <c r="V418" s="1487"/>
      <c r="W418" s="1487"/>
      <c r="X418" s="1487"/>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row>
    <row r="419" spans="1:46" x14ac:dyDescent="0.2">
      <c r="B419" s="185" t="s">
        <v>204</v>
      </c>
      <c r="C419" s="1542"/>
      <c r="D419" s="1542"/>
      <c r="E419" s="1542"/>
      <c r="F419" s="1542"/>
      <c r="G419" s="1542"/>
      <c r="H419" s="1545">
        <f>IF(C419=$U$419,0.15,IF(C419=$V$419,0.3,IF(C419=$W$419,0.45,0)))</f>
        <v>0</v>
      </c>
      <c r="I419" s="1545"/>
      <c r="J419" s="1545"/>
      <c r="K419" s="185"/>
      <c r="L419" s="1308"/>
      <c r="M419" s="1308"/>
      <c r="N419" s="1308"/>
      <c r="O419" s="26">
        <f>IF(H419&gt;=S419,H419-S419,0)</f>
        <v>0</v>
      </c>
      <c r="P419" s="303">
        <f>O419</f>
        <v>0</v>
      </c>
      <c r="R419" s="18"/>
      <c r="S419" s="776">
        <f>IF(L419=$V$420,0.15,IF(L419=$W$420,0.3,IF(L419=$X$420,0.45,0)))</f>
        <v>0</v>
      </c>
      <c r="T419" s="18"/>
      <c r="U419" s="769" t="s">
        <v>1237</v>
      </c>
      <c r="V419" s="769" t="s">
        <v>1238</v>
      </c>
      <c r="W419" s="769" t="s">
        <v>1239</v>
      </c>
      <c r="X419" s="769"/>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row>
    <row r="420" spans="1:46" x14ac:dyDescent="0.2">
      <c r="B420" s="185" t="s">
        <v>905</v>
      </c>
      <c r="C420" s="1542"/>
      <c r="D420" s="1542"/>
      <c r="E420" s="1542"/>
      <c r="F420" s="1542"/>
      <c r="G420" s="1542"/>
      <c r="H420" s="1545">
        <f>IF(C420=$U$419,0.15,IF(C420=$V$419,0.3,IF(C420=$W$419,0.45,0)))</f>
        <v>0</v>
      </c>
      <c r="I420" s="1545"/>
      <c r="J420" s="1545"/>
      <c r="K420" s="185"/>
      <c r="L420" s="1308"/>
      <c r="M420" s="1308"/>
      <c r="N420" s="1308"/>
      <c r="O420" s="26">
        <f>IF(H420&gt;=S420,H420-S420,0)</f>
        <v>0</v>
      </c>
      <c r="P420" s="303">
        <f>O420</f>
        <v>0</v>
      </c>
      <c r="R420" s="18"/>
      <c r="S420" s="776">
        <f>IF(L420=$V$420,0.15,IF(L420=$W$420,0.3,IF(L420=$X$420,0.45,0)))</f>
        <v>0</v>
      </c>
      <c r="T420" s="18"/>
      <c r="U420" s="769" t="s">
        <v>523</v>
      </c>
      <c r="V420" s="769" t="s">
        <v>915</v>
      </c>
      <c r="W420" s="776" t="s">
        <v>1803</v>
      </c>
      <c r="X420" s="769" t="s">
        <v>1672</v>
      </c>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row>
    <row r="421" spans="1:46" ht="12" customHeight="1" x14ac:dyDescent="0.2">
      <c r="B421" s="1395"/>
      <c r="C421" s="1395"/>
      <c r="D421" s="1395"/>
      <c r="E421" s="1395"/>
      <c r="F421" s="1395"/>
      <c r="G421" s="1395"/>
      <c r="H421" s="1395"/>
      <c r="I421" s="1395"/>
      <c r="J421" s="1395"/>
      <c r="K421" s="1395"/>
      <c r="L421" s="1395"/>
      <c r="M421" s="1395"/>
      <c r="N421" s="1395"/>
      <c r="O421" s="1395"/>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row>
    <row r="422" spans="1:46" ht="18" customHeight="1" x14ac:dyDescent="0.2">
      <c r="A422" s="20"/>
      <c r="B422" s="1374" t="s">
        <v>791</v>
      </c>
      <c r="C422" s="1375"/>
      <c r="D422" s="1375"/>
      <c r="E422" s="1375"/>
      <c r="F422" s="1376"/>
      <c r="G422" s="1639"/>
      <c r="H422" s="1639"/>
      <c r="I422" s="1656" t="s">
        <v>792</v>
      </c>
      <c r="J422" s="1656"/>
      <c r="K422" s="1656"/>
      <c r="L422" s="1656"/>
      <c r="M422" s="1656"/>
      <c r="N422" s="1656"/>
      <c r="O422" s="1656"/>
      <c r="P422" s="303">
        <f>IF(T422=1,0.1,0)</f>
        <v>0</v>
      </c>
      <c r="R422" s="1792" t="s">
        <v>2197</v>
      </c>
      <c r="S422" s="686" t="b">
        <v>0</v>
      </c>
      <c r="T422" s="769">
        <f>IF(S422=TRUE,1,0)</f>
        <v>0</v>
      </c>
      <c r="U422" s="18"/>
      <c r="V422" s="18"/>
      <c r="W422" s="18"/>
      <c r="X422" s="18"/>
      <c r="Y422" s="18"/>
      <c r="Z422" s="60">
        <v>1E-4</v>
      </c>
      <c r="AA422" s="18"/>
      <c r="AB422" s="18"/>
      <c r="AC422" s="18"/>
      <c r="AD422" s="18"/>
      <c r="AE422" s="18"/>
      <c r="AF422" s="18"/>
      <c r="AG422" s="18"/>
      <c r="AH422" s="18"/>
      <c r="AI422" s="18"/>
      <c r="AJ422" s="18"/>
      <c r="AK422" s="18"/>
      <c r="AL422" s="18"/>
      <c r="AM422" s="18"/>
      <c r="AN422" s="18"/>
      <c r="AO422" s="18"/>
      <c r="AP422" s="18"/>
      <c r="AQ422" s="18"/>
      <c r="AR422" s="18"/>
      <c r="AS422" s="18"/>
      <c r="AT422" s="18"/>
    </row>
    <row r="423" spans="1:46" ht="18" customHeight="1" x14ac:dyDescent="0.2">
      <c r="B423" s="1374" t="s">
        <v>791</v>
      </c>
      <c r="C423" s="1375"/>
      <c r="D423" s="1375"/>
      <c r="E423" s="1375"/>
      <c r="F423" s="1376"/>
      <c r="G423" s="1639"/>
      <c r="H423" s="1639"/>
      <c r="I423" s="1656" t="s">
        <v>793</v>
      </c>
      <c r="J423" s="1656"/>
      <c r="K423" s="1656"/>
      <c r="L423" s="1656"/>
      <c r="M423" s="1656"/>
      <c r="N423" s="1656"/>
      <c r="O423" s="1656"/>
      <c r="P423" s="303">
        <f>IF(T423=1,0.1,0)</f>
        <v>0</v>
      </c>
      <c r="R423" s="1792"/>
      <c r="S423" s="793" t="b">
        <v>0</v>
      </c>
      <c r="T423" s="769">
        <f>IF(S423=TRUE,1,0)</f>
        <v>0</v>
      </c>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row>
    <row r="424" spans="1:46" ht="11.25" customHeight="1" x14ac:dyDescent="0.2">
      <c r="B424" s="1638"/>
      <c r="C424" s="1638"/>
      <c r="D424" s="1638"/>
      <c r="E424" s="1638"/>
      <c r="F424" s="1638"/>
      <c r="G424" s="1638"/>
      <c r="H424" s="1638"/>
      <c r="I424" s="1638"/>
      <c r="J424" s="1638"/>
      <c r="K424" s="1638"/>
      <c r="L424" s="1638"/>
      <c r="M424" s="1638"/>
      <c r="N424" s="1638"/>
      <c r="O424" s="1638"/>
      <c r="P424" s="11"/>
      <c r="R424" s="18"/>
      <c r="S424" s="19"/>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row>
    <row r="425" spans="1:46" ht="18" customHeight="1" x14ac:dyDescent="0.2">
      <c r="B425" s="1534" t="s">
        <v>206</v>
      </c>
      <c r="C425" s="1534"/>
      <c r="D425" s="1534"/>
      <c r="E425" s="1534"/>
      <c r="F425" s="1534"/>
      <c r="G425" s="1534"/>
      <c r="H425" s="1534"/>
      <c r="I425" s="1534"/>
      <c r="J425" s="1534"/>
      <c r="K425" s="1534"/>
      <c r="L425" s="1534"/>
      <c r="M425" s="1534"/>
      <c r="N425" s="1534"/>
      <c r="O425" s="1702"/>
      <c r="P425" s="185"/>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row>
    <row r="426" spans="1:46" x14ac:dyDescent="0.2">
      <c r="B426" s="1656" t="s">
        <v>207</v>
      </c>
      <c r="C426" s="1656"/>
      <c r="D426" s="1656"/>
      <c r="E426" s="1656"/>
      <c r="F426" s="1656"/>
      <c r="G426" s="388"/>
      <c r="H426" s="1549" t="s">
        <v>222</v>
      </c>
      <c r="I426" s="1550"/>
      <c r="J426" s="1550"/>
      <c r="K426" s="1550"/>
      <c r="L426" s="1550"/>
      <c r="M426" s="1550"/>
      <c r="N426" s="1550"/>
      <c r="O426" s="1551"/>
      <c r="P426" s="26">
        <f>IF(G426=1,0.05,IF(G426=2,0.1,IF(G426=3,0.15,IF(G426=4,0.2,IF(G426=5,0.25,IF(G426&gt;5,0.3,0))))))</f>
        <v>0</v>
      </c>
      <c r="R426" s="18"/>
      <c r="S426" s="769" t="s">
        <v>1728</v>
      </c>
      <c r="T426" s="696">
        <v>1</v>
      </c>
      <c r="U426" s="696">
        <v>2</v>
      </c>
      <c r="V426" s="744">
        <v>3</v>
      </c>
      <c r="W426" s="696">
        <v>4</v>
      </c>
      <c r="X426" s="744">
        <v>5</v>
      </c>
      <c r="Y426" s="696">
        <v>6</v>
      </c>
      <c r="Z426" s="696">
        <v>7</v>
      </c>
      <c r="AA426" s="696">
        <v>8</v>
      </c>
      <c r="AH426" s="18"/>
      <c r="AI426" s="18"/>
      <c r="AR426" s="18"/>
      <c r="AS426" s="18"/>
      <c r="AT426" s="18"/>
    </row>
    <row r="427" spans="1:46" x14ac:dyDescent="0.2">
      <c r="B427" s="1656" t="s">
        <v>474</v>
      </c>
      <c r="C427" s="1656"/>
      <c r="D427" s="1656"/>
      <c r="E427" s="1656"/>
      <c r="F427" s="1656"/>
      <c r="G427" s="388"/>
      <c r="H427" s="1353">
        <f>IF(G427&gt;=1,0.05,0)</f>
        <v>0</v>
      </c>
      <c r="I427" s="1354"/>
      <c r="J427" s="1355"/>
      <c r="K427" s="1353">
        <f>IF(G427&gt;1,0.05,0)</f>
        <v>0</v>
      </c>
      <c r="L427" s="1355"/>
      <c r="M427" s="1353">
        <f>IF(G427&gt;2,0.05,0)</f>
        <v>0</v>
      </c>
      <c r="N427" s="1355"/>
      <c r="O427" s="26">
        <f>IF(G427&gt;3,0.05,0)</f>
        <v>0</v>
      </c>
      <c r="P427" s="1695" t="str">
        <f>IF(SUM(G426,G427,G429)&gt;8,"Check data: More than 8 carpal bones affected.","")</f>
        <v/>
      </c>
      <c r="R427" s="18"/>
      <c r="S427" s="769" t="s">
        <v>2193</v>
      </c>
      <c r="T427" s="696">
        <v>1</v>
      </c>
      <c r="U427" s="696">
        <v>2</v>
      </c>
      <c r="V427" s="744">
        <v>3</v>
      </c>
      <c r="W427" s="696">
        <v>4</v>
      </c>
      <c r="X427" s="744">
        <v>5</v>
      </c>
      <c r="Y427" s="696">
        <v>6</v>
      </c>
      <c r="Z427" s="744">
        <v>7</v>
      </c>
      <c r="AA427" s="696">
        <v>8</v>
      </c>
      <c r="AH427" s="18"/>
      <c r="AI427" s="18"/>
      <c r="AJ427" s="19"/>
      <c r="AK427" s="19"/>
      <c r="AL427" s="19"/>
      <c r="AM427" s="19"/>
      <c r="AN427" s="19"/>
      <c r="AO427" s="19"/>
      <c r="AP427" s="157"/>
      <c r="AQ427" s="157"/>
      <c r="AR427" s="18"/>
      <c r="AS427" s="18"/>
      <c r="AT427" s="18"/>
    </row>
    <row r="428" spans="1:46" x14ac:dyDescent="0.2">
      <c r="B428" s="1702"/>
      <c r="C428" s="1627"/>
      <c r="D428" s="1627"/>
      <c r="E428" s="1627"/>
      <c r="F428" s="1627"/>
      <c r="G428" s="1628"/>
      <c r="H428" s="1353">
        <f>IF(G427&gt;4,0.05,0)</f>
        <v>0</v>
      </c>
      <c r="I428" s="1354"/>
      <c r="J428" s="1355"/>
      <c r="K428" s="1353">
        <f>IF(G427&gt;5,0.05,0)</f>
        <v>0</v>
      </c>
      <c r="L428" s="1355"/>
      <c r="M428" s="1353">
        <f>IF(G427&gt;6,0.05,0)</f>
        <v>0</v>
      </c>
      <c r="N428" s="1355"/>
      <c r="O428" s="26">
        <f>IF(G427&gt;7,0.05,0)</f>
        <v>0</v>
      </c>
      <c r="P428" s="1696"/>
      <c r="R428" s="18"/>
      <c r="S428" s="769" t="s">
        <v>2194</v>
      </c>
      <c r="T428" s="696">
        <v>1</v>
      </c>
      <c r="U428" s="696">
        <v>2</v>
      </c>
      <c r="V428" s="744">
        <v>3</v>
      </c>
      <c r="W428" s="696">
        <v>4</v>
      </c>
      <c r="X428" s="744">
        <v>5</v>
      </c>
      <c r="Y428" s="696">
        <v>6</v>
      </c>
      <c r="Z428" s="744">
        <v>7</v>
      </c>
      <c r="AA428" s="696">
        <v>8</v>
      </c>
      <c r="AH428" s="18"/>
      <c r="AI428" s="18"/>
      <c r="AL428" s="18"/>
      <c r="AM428" s="18"/>
      <c r="AN428" s="18"/>
      <c r="AO428" s="18"/>
      <c r="AP428" s="18"/>
      <c r="AQ428" s="18"/>
      <c r="AR428" s="18"/>
      <c r="AS428" s="18"/>
      <c r="AT428" s="18"/>
    </row>
    <row r="429" spans="1:46" x14ac:dyDescent="0.2">
      <c r="B429" s="1656" t="s">
        <v>1550</v>
      </c>
      <c r="C429" s="1656"/>
      <c r="D429" s="1656"/>
      <c r="E429" s="1656"/>
      <c r="F429" s="1656"/>
      <c r="G429" s="388"/>
      <c r="H429" s="1353">
        <f>IF(G429&gt;=1,0.05,0)</f>
        <v>0</v>
      </c>
      <c r="I429" s="1354"/>
      <c r="J429" s="1355"/>
      <c r="K429" s="1353">
        <f>IF(G429&gt;1,0.05,0)</f>
        <v>0</v>
      </c>
      <c r="L429" s="1355"/>
      <c r="M429" s="1353">
        <f>IF(G429&gt;2,0.05,0)</f>
        <v>0</v>
      </c>
      <c r="N429" s="1355"/>
      <c r="O429" s="26">
        <f>IF(G429&gt;3,0.05,0)</f>
        <v>0</v>
      </c>
      <c r="P429" s="1696"/>
      <c r="R429" s="18"/>
      <c r="S429" s="18"/>
      <c r="T429" s="18"/>
      <c r="U429" s="18"/>
      <c r="V429" s="18"/>
      <c r="W429" s="18"/>
      <c r="X429" s="18"/>
      <c r="Y429" s="18"/>
      <c r="Z429" s="18"/>
      <c r="AA429" s="18"/>
      <c r="AB429" s="19"/>
      <c r="AC429" s="18"/>
      <c r="AD429" s="19"/>
      <c r="AE429" s="18"/>
      <c r="AF429" s="19"/>
      <c r="AG429" s="18"/>
      <c r="AH429" s="18"/>
      <c r="AI429" s="18"/>
      <c r="AJ429" s="18"/>
      <c r="AK429" s="18"/>
      <c r="AL429" s="18"/>
      <c r="AM429" s="18"/>
      <c r="AN429" s="18"/>
      <c r="AO429" s="18"/>
      <c r="AP429" s="18"/>
      <c r="AQ429" s="18"/>
      <c r="AR429" s="18"/>
      <c r="AS429" s="18"/>
      <c r="AT429" s="18"/>
    </row>
    <row r="430" spans="1:46" x14ac:dyDescent="0.2">
      <c r="B430" s="1702"/>
      <c r="C430" s="1627"/>
      <c r="D430" s="1627"/>
      <c r="E430" s="1627"/>
      <c r="F430" s="1627"/>
      <c r="G430" s="1628"/>
      <c r="H430" s="1353">
        <f>IF(G429&gt;4,0.05,0)</f>
        <v>0</v>
      </c>
      <c r="I430" s="1354"/>
      <c r="J430" s="1355"/>
      <c r="K430" s="1353">
        <f>IF(G429&gt;5,0.05,0)</f>
        <v>0</v>
      </c>
      <c r="L430" s="1355"/>
      <c r="M430" s="1353">
        <f>IF(G429&gt;6,0.05,0)</f>
        <v>0</v>
      </c>
      <c r="N430" s="1355"/>
      <c r="O430" s="26">
        <f>IF(G429&gt;7,0.05,0)</f>
        <v>0</v>
      </c>
      <c r="P430" s="1697"/>
      <c r="R430" s="18"/>
      <c r="S430" s="18"/>
      <c r="T430" s="18"/>
      <c r="U430" s="18"/>
      <c r="V430" s="18"/>
      <c r="W430" s="18"/>
      <c r="X430" s="18"/>
      <c r="Y430" s="18"/>
      <c r="Z430" s="18"/>
      <c r="AA430" s="18"/>
      <c r="AB430" s="19"/>
      <c r="AC430" s="18"/>
      <c r="AD430" s="19"/>
      <c r="AE430" s="18"/>
      <c r="AF430" s="19"/>
      <c r="AG430" s="18"/>
      <c r="AH430" s="18"/>
      <c r="AI430" s="18"/>
      <c r="AJ430" s="18"/>
      <c r="AK430" s="18"/>
      <c r="AL430" s="18"/>
      <c r="AM430" s="18"/>
      <c r="AN430" s="18"/>
      <c r="AO430" s="18"/>
      <c r="AP430" s="18"/>
      <c r="AQ430" s="18"/>
      <c r="AR430" s="18"/>
      <c r="AS430" s="18"/>
      <c r="AT430" s="18"/>
    </row>
    <row r="431" spans="1:46" x14ac:dyDescent="0.2">
      <c r="B431" s="1656" t="s">
        <v>1535</v>
      </c>
      <c r="C431" s="1656"/>
      <c r="D431" s="1656"/>
      <c r="E431" s="1656"/>
      <c r="F431" s="1656"/>
      <c r="G431" s="1308"/>
      <c r="H431" s="1308"/>
      <c r="I431" s="1308"/>
      <c r="J431" s="1308"/>
      <c r="K431" s="1308"/>
      <c r="L431" s="1308"/>
      <c r="M431" s="1308"/>
      <c r="N431" s="1308"/>
      <c r="O431" s="376"/>
      <c r="P431" s="26">
        <f>IF(G431="Resection with replacement",0.05,IF(G431="Resection without replacement",0.1,0))</f>
        <v>0</v>
      </c>
      <c r="R431" s="1565" t="s">
        <v>2197</v>
      </c>
      <c r="S431" s="769" t="s">
        <v>1551</v>
      </c>
      <c r="T431" s="769" t="s">
        <v>1534</v>
      </c>
      <c r="U431" s="18"/>
      <c r="V431" s="18"/>
      <c r="W431" s="18"/>
      <c r="X431" s="18"/>
      <c r="Y431" s="18"/>
      <c r="Z431" s="19"/>
      <c r="AA431" s="19"/>
      <c r="AB431" s="19"/>
      <c r="AC431" s="19"/>
      <c r="AD431" s="19"/>
      <c r="AE431" s="19"/>
      <c r="AF431" s="19"/>
      <c r="AG431" s="19"/>
      <c r="AH431" s="18"/>
      <c r="AI431" s="18"/>
      <c r="AJ431" s="19"/>
      <c r="AK431" s="19"/>
      <c r="AL431" s="18"/>
      <c r="AM431" s="18"/>
      <c r="AN431" s="18"/>
      <c r="AO431" s="18"/>
      <c r="AP431" s="18"/>
      <c r="AQ431" s="18"/>
      <c r="AR431" s="18"/>
      <c r="AS431" s="18"/>
      <c r="AT431" s="18"/>
    </row>
    <row r="432" spans="1:46" x14ac:dyDescent="0.2">
      <c r="B432" s="1357" t="s">
        <v>1140</v>
      </c>
      <c r="C432" s="1358"/>
      <c r="D432" s="1358"/>
      <c r="E432" s="1358"/>
      <c r="F432" s="1359"/>
      <c r="G432" s="1345"/>
      <c r="H432" s="1501"/>
      <c r="I432" s="1501"/>
      <c r="J432" s="1501"/>
      <c r="K432" s="1501"/>
      <c r="L432" s="1501"/>
      <c r="M432" s="1501"/>
      <c r="N432" s="1440"/>
      <c r="O432" s="185"/>
      <c r="P432" s="26">
        <f>IF(G432="Yes",0.06,0)</f>
        <v>0</v>
      </c>
      <c r="R432" s="1565"/>
      <c r="S432" s="769" t="s">
        <v>1141</v>
      </c>
      <c r="T432" s="769" t="s">
        <v>1142</v>
      </c>
      <c r="U432" s="18"/>
      <c r="V432" s="18"/>
      <c r="W432" s="18"/>
      <c r="X432" s="18"/>
      <c r="Y432" s="18"/>
      <c r="Z432" s="19"/>
      <c r="AA432" s="19"/>
      <c r="AB432" s="19"/>
      <c r="AC432" s="19"/>
      <c r="AD432" s="19"/>
      <c r="AE432" s="19"/>
      <c r="AF432" s="19"/>
      <c r="AG432" s="19"/>
      <c r="AH432" s="18"/>
      <c r="AI432" s="18"/>
      <c r="AJ432" s="19"/>
      <c r="AK432" s="19"/>
      <c r="AL432" s="18"/>
      <c r="AM432" s="18"/>
      <c r="AN432" s="18"/>
      <c r="AO432" s="18"/>
      <c r="AP432" s="18"/>
      <c r="AQ432" s="18"/>
      <c r="AR432" s="18"/>
      <c r="AS432" s="18"/>
      <c r="AT432" s="18"/>
    </row>
    <row r="433" spans="1:46" ht="12" customHeight="1" x14ac:dyDescent="0.2">
      <c r="B433" s="1469"/>
      <c r="C433" s="1469"/>
      <c r="D433" s="1469"/>
      <c r="E433" s="1469"/>
      <c r="F433" s="1469"/>
      <c r="G433" s="1469"/>
      <c r="H433" s="1469"/>
      <c r="I433" s="1469"/>
      <c r="J433" s="1469"/>
      <c r="K433" s="1469"/>
      <c r="L433" s="1469"/>
      <c r="M433" s="1469"/>
      <c r="N433" s="1469"/>
      <c r="O433" s="1469"/>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row>
    <row r="434" spans="1:46" ht="15" customHeight="1" x14ac:dyDescent="0.2">
      <c r="B434" s="547" t="s">
        <v>812</v>
      </c>
      <c r="C434" s="435"/>
      <c r="D434" s="435"/>
      <c r="E434" s="435"/>
      <c r="F434" s="436"/>
      <c r="G434" s="1379" t="s">
        <v>1536</v>
      </c>
      <c r="H434" s="1379"/>
      <c r="I434" s="1379"/>
      <c r="J434" s="1379"/>
      <c r="K434" s="1379"/>
      <c r="L434" s="1345"/>
      <c r="M434" s="1501"/>
      <c r="N434" s="1440"/>
      <c r="O434" s="26">
        <f>SUMIF(T434:X434,L434,T435:X435)</f>
        <v>0</v>
      </c>
      <c r="P434" s="1692"/>
      <c r="R434" s="1566" t="s">
        <v>2195</v>
      </c>
      <c r="S434" s="1566"/>
      <c r="T434" s="769" t="s">
        <v>1969</v>
      </c>
      <c r="U434" s="769" t="s">
        <v>1970</v>
      </c>
      <c r="V434" s="776" t="s">
        <v>1972</v>
      </c>
      <c r="W434" s="769" t="s">
        <v>945</v>
      </c>
      <c r="X434" s="776" t="s">
        <v>558</v>
      </c>
      <c r="Y434" s="784"/>
      <c r="Z434" s="784"/>
      <c r="AA434" s="784"/>
      <c r="AB434" s="784"/>
      <c r="AC434" s="18"/>
      <c r="AD434" s="18"/>
      <c r="AE434" s="18"/>
      <c r="AF434" s="18"/>
      <c r="AG434" s="18"/>
      <c r="AH434" s="18"/>
      <c r="AI434" s="18"/>
      <c r="AJ434" s="18"/>
      <c r="AK434" s="18"/>
      <c r="AL434" s="18"/>
      <c r="AM434" s="18"/>
      <c r="AN434" s="18"/>
      <c r="AO434" s="18"/>
      <c r="AP434" s="18"/>
      <c r="AQ434" s="18"/>
      <c r="AR434" s="18"/>
      <c r="AS434" s="18"/>
      <c r="AT434" s="18"/>
    </row>
    <row r="435" spans="1:46" ht="18" customHeight="1" x14ac:dyDescent="0.2">
      <c r="B435" s="548"/>
      <c r="C435" s="549"/>
      <c r="D435" s="549"/>
      <c r="E435" s="549"/>
      <c r="F435" s="555"/>
      <c r="G435" s="1379" t="s">
        <v>1537</v>
      </c>
      <c r="H435" s="1379"/>
      <c r="I435" s="1379"/>
      <c r="J435" s="1379"/>
      <c r="K435" s="1379"/>
      <c r="L435" s="1345"/>
      <c r="M435" s="1501"/>
      <c r="N435" s="1440"/>
      <c r="O435" s="26">
        <f>SUMIF(T434:X434,L435,T435:X435)</f>
        <v>0</v>
      </c>
      <c r="P435" s="1693"/>
      <c r="R435" s="1566"/>
      <c r="S435" s="1566"/>
      <c r="T435" s="776">
        <v>0.03</v>
      </c>
      <c r="U435" s="776">
        <v>0.15</v>
      </c>
      <c r="V435" s="776">
        <v>0.38</v>
      </c>
      <c r="W435" s="776">
        <v>0.68</v>
      </c>
      <c r="X435" s="776">
        <v>0.9</v>
      </c>
      <c r="Y435" s="784"/>
      <c r="Z435" s="784"/>
      <c r="AA435" s="784"/>
      <c r="AB435" s="784"/>
      <c r="AC435" s="18"/>
      <c r="AD435" s="18"/>
      <c r="AE435" s="18"/>
      <c r="AF435" s="18"/>
      <c r="AG435" s="18"/>
      <c r="AH435" s="18"/>
      <c r="AI435" s="18"/>
      <c r="AJ435" s="18"/>
      <c r="AK435" s="18"/>
      <c r="AL435" s="18"/>
      <c r="AM435" s="18"/>
      <c r="AN435" s="18"/>
      <c r="AO435" s="18"/>
      <c r="AP435" s="18"/>
      <c r="AQ435" s="18"/>
      <c r="AR435" s="18"/>
      <c r="AS435" s="18"/>
      <c r="AT435" s="18"/>
    </row>
    <row r="436" spans="1:46" ht="18" customHeight="1" x14ac:dyDescent="0.2">
      <c r="B436" s="1379" t="s">
        <v>1654</v>
      </c>
      <c r="C436" s="1379"/>
      <c r="D436" s="1379"/>
      <c r="E436" s="1379"/>
      <c r="F436" s="1379"/>
      <c r="G436" s="1379"/>
      <c r="H436" s="1379"/>
      <c r="I436" s="1379"/>
      <c r="J436" s="1379"/>
      <c r="K436" s="1379"/>
      <c r="L436" s="1379"/>
      <c r="M436" s="1379"/>
      <c r="N436" s="1379"/>
      <c r="O436" s="1379"/>
      <c r="P436" s="303">
        <f>MAX(O434,O435)</f>
        <v>0</v>
      </c>
      <c r="R436" s="1566"/>
      <c r="S436" s="1566"/>
      <c r="T436" s="775"/>
      <c r="U436" s="775"/>
      <c r="V436" s="775"/>
      <c r="W436" s="775"/>
      <c r="X436" s="771"/>
      <c r="Y436" s="784"/>
      <c r="Z436" s="784"/>
      <c r="AA436" s="784"/>
      <c r="AB436" s="784"/>
      <c r="AC436" s="18"/>
      <c r="AD436" s="18"/>
      <c r="AE436" s="18"/>
      <c r="AF436" s="18"/>
      <c r="AG436" s="18"/>
      <c r="AH436" s="18"/>
      <c r="AI436" s="18"/>
      <c r="AJ436" s="18"/>
      <c r="AK436" s="18"/>
      <c r="AL436" s="18"/>
      <c r="AM436" s="18"/>
      <c r="AN436" s="18"/>
      <c r="AO436" s="18"/>
      <c r="AP436" s="18"/>
      <c r="AQ436" s="18"/>
      <c r="AR436" s="18"/>
      <c r="AS436" s="18"/>
      <c r="AT436" s="18"/>
    </row>
    <row r="437" spans="1:46" ht="10.5" customHeight="1" x14ac:dyDescent="0.2">
      <c r="B437" s="1395"/>
      <c r="C437" s="1395"/>
      <c r="D437" s="1395"/>
      <c r="E437" s="1395"/>
      <c r="F437" s="1395"/>
      <c r="G437" s="1395"/>
      <c r="H437" s="1395"/>
      <c r="I437" s="1395"/>
      <c r="J437" s="1395"/>
      <c r="K437" s="1395"/>
      <c r="L437" s="1395"/>
      <c r="M437" s="1395"/>
      <c r="N437" s="1395"/>
      <c r="O437" s="1395"/>
      <c r="P437" s="1"/>
      <c r="R437" s="1566"/>
      <c r="S437" s="1566"/>
      <c r="T437" s="775"/>
      <c r="U437" s="775"/>
      <c r="V437" s="775"/>
      <c r="W437" s="775"/>
      <c r="X437" s="771"/>
      <c r="Y437" s="784"/>
      <c r="Z437" s="775"/>
      <c r="AA437" s="775"/>
      <c r="AB437" s="775"/>
      <c r="AC437" s="18"/>
      <c r="AD437" s="18"/>
      <c r="AE437" s="18"/>
      <c r="AF437" s="18"/>
      <c r="AG437" s="18"/>
      <c r="AH437" s="18"/>
      <c r="AI437" s="18"/>
      <c r="AJ437" s="18"/>
      <c r="AK437" s="18"/>
      <c r="AL437" s="18"/>
      <c r="AM437" s="18"/>
      <c r="AN437" s="18"/>
      <c r="AO437" s="18"/>
      <c r="AP437" s="18"/>
      <c r="AQ437" s="18"/>
      <c r="AR437" s="18"/>
      <c r="AS437" s="18"/>
      <c r="AT437" s="18"/>
    </row>
    <row r="438" spans="1:46" ht="15" customHeight="1" x14ac:dyDescent="0.2">
      <c r="B438" s="1751" t="s">
        <v>1255</v>
      </c>
      <c r="C438" s="1752"/>
      <c r="D438" s="1752"/>
      <c r="E438" s="1752"/>
      <c r="F438" s="1753"/>
      <c r="G438" s="1379" t="s">
        <v>1656</v>
      </c>
      <c r="H438" s="1379"/>
      <c r="I438" s="1379"/>
      <c r="J438" s="1379"/>
      <c r="K438" s="1379"/>
      <c r="L438" s="1345"/>
      <c r="M438" s="1501"/>
      <c r="N438" s="1440"/>
      <c r="O438" s="26">
        <f>SUMIF(T438:X438,L438,T439:X439)</f>
        <v>0</v>
      </c>
      <c r="P438" s="1692"/>
      <c r="R438" s="1566"/>
      <c r="S438" s="1566"/>
      <c r="T438" s="769" t="s">
        <v>1969</v>
      </c>
      <c r="U438" s="769" t="s">
        <v>1970</v>
      </c>
      <c r="V438" s="776" t="s">
        <v>1972</v>
      </c>
      <c r="W438" s="769" t="s">
        <v>945</v>
      </c>
      <c r="X438" s="776" t="s">
        <v>558</v>
      </c>
      <c r="Y438" s="784"/>
      <c r="Z438" s="784"/>
      <c r="AA438" s="784"/>
      <c r="AB438" s="784"/>
      <c r="AC438" s="18"/>
      <c r="AD438" s="18"/>
      <c r="AE438" s="18"/>
      <c r="AF438" s="18"/>
      <c r="AG438" s="18"/>
      <c r="AH438" s="18"/>
      <c r="AI438" s="18"/>
      <c r="AJ438" s="18"/>
      <c r="AK438" s="18"/>
      <c r="AL438" s="18"/>
      <c r="AM438" s="18"/>
      <c r="AN438" s="18"/>
      <c r="AO438" s="18"/>
      <c r="AP438" s="18"/>
      <c r="AQ438" s="18"/>
      <c r="AR438" s="18"/>
      <c r="AS438" s="18"/>
      <c r="AT438" s="18"/>
    </row>
    <row r="439" spans="1:46" ht="15" customHeight="1" x14ac:dyDescent="0.2">
      <c r="B439" s="1754"/>
      <c r="C439" s="1755"/>
      <c r="D439" s="1755"/>
      <c r="E439" s="1755"/>
      <c r="F439" s="1756"/>
      <c r="G439" s="1379" t="s">
        <v>1657</v>
      </c>
      <c r="H439" s="1379"/>
      <c r="I439" s="1379"/>
      <c r="J439" s="1379"/>
      <c r="K439" s="1379"/>
      <c r="L439" s="1345"/>
      <c r="M439" s="1501"/>
      <c r="N439" s="1440"/>
      <c r="O439" s="26">
        <f>SUMIF(T438:X438,L439,T439:X439)</f>
        <v>0</v>
      </c>
      <c r="P439" s="1693"/>
      <c r="R439" s="1566"/>
      <c r="S439" s="1566"/>
      <c r="T439" s="776">
        <v>0.03</v>
      </c>
      <c r="U439" s="776">
        <v>0.15</v>
      </c>
      <c r="V439" s="776">
        <v>0.35</v>
      </c>
      <c r="W439" s="776">
        <v>0.63</v>
      </c>
      <c r="X439" s="776">
        <v>0.88</v>
      </c>
      <c r="Y439" s="784"/>
      <c r="Z439" s="784"/>
      <c r="AA439" s="784"/>
      <c r="AB439" s="784"/>
      <c r="AC439" s="18"/>
      <c r="AD439" s="18"/>
      <c r="AE439" s="18"/>
      <c r="AF439" s="18"/>
      <c r="AG439" s="18"/>
      <c r="AH439" s="18"/>
      <c r="AI439" s="18"/>
      <c r="AJ439" s="18"/>
      <c r="AK439" s="18"/>
      <c r="AL439" s="18"/>
      <c r="AM439" s="18"/>
      <c r="AN439" s="18"/>
      <c r="AO439" s="18"/>
      <c r="AP439" s="18"/>
      <c r="AQ439" s="18"/>
      <c r="AR439" s="18"/>
      <c r="AS439" s="18"/>
      <c r="AT439" s="18"/>
    </row>
    <row r="440" spans="1:46" ht="18" customHeight="1" x14ac:dyDescent="0.2">
      <c r="B440" s="1374" t="s">
        <v>1654</v>
      </c>
      <c r="C440" s="1375"/>
      <c r="D440" s="1375"/>
      <c r="E440" s="1375"/>
      <c r="F440" s="1375"/>
      <c r="G440" s="1375"/>
      <c r="H440" s="1375"/>
      <c r="I440" s="1375"/>
      <c r="J440" s="1375"/>
      <c r="K440" s="1375"/>
      <c r="L440" s="1375"/>
      <c r="M440" s="1375"/>
      <c r="N440" s="1375"/>
      <c r="O440" s="1376"/>
      <c r="P440" s="303">
        <f>MAX(O438,O439)</f>
        <v>0</v>
      </c>
      <c r="R440" s="18"/>
      <c r="S440" s="18"/>
      <c r="T440" s="18"/>
      <c r="U440" s="18"/>
      <c r="V440" s="18"/>
      <c r="W440" s="18"/>
      <c r="X440" s="18"/>
      <c r="Y440" s="784"/>
      <c r="Z440" s="784"/>
      <c r="AA440" s="784"/>
      <c r="AB440" s="784"/>
      <c r="AC440" s="18"/>
      <c r="AD440" s="18"/>
      <c r="AE440" s="18"/>
      <c r="AF440" s="18"/>
      <c r="AG440" s="18"/>
      <c r="AH440" s="18"/>
      <c r="AI440" s="18"/>
      <c r="AJ440" s="18"/>
      <c r="AK440" s="18"/>
      <c r="AL440" s="18"/>
      <c r="AM440" s="18"/>
      <c r="AN440" s="18"/>
      <c r="AO440" s="18"/>
      <c r="AP440" s="18"/>
      <c r="AQ440" s="18"/>
      <c r="AR440" s="18"/>
      <c r="AS440" s="18"/>
      <c r="AT440" s="18"/>
    </row>
    <row r="441" spans="1:46" ht="12" customHeight="1" x14ac:dyDescent="0.2">
      <c r="B441" s="1602"/>
      <c r="C441" s="1602"/>
      <c r="D441" s="1602"/>
      <c r="E441" s="1602"/>
      <c r="F441" s="1602"/>
      <c r="G441" s="1602"/>
      <c r="H441" s="1602"/>
      <c r="I441" s="1602"/>
      <c r="J441" s="1602"/>
      <c r="K441" s="1602"/>
      <c r="L441" s="1602"/>
      <c r="M441" s="1602"/>
      <c r="N441" s="1602"/>
      <c r="O441" s="1602"/>
      <c r="P441" s="11"/>
      <c r="R441" s="18"/>
      <c r="S441" s="18"/>
      <c r="T441" s="18"/>
      <c r="U441" s="18"/>
      <c r="V441" s="18"/>
      <c r="W441" s="18"/>
      <c r="X441" s="18"/>
      <c r="Y441" s="784"/>
      <c r="Z441" s="775"/>
      <c r="AA441" s="775"/>
      <c r="AB441" s="775"/>
      <c r="AC441" s="18"/>
      <c r="AD441" s="18"/>
      <c r="AE441" s="18"/>
      <c r="AF441" s="18"/>
      <c r="AG441" s="18"/>
      <c r="AH441" s="18"/>
      <c r="AI441" s="18"/>
      <c r="AJ441" s="18"/>
      <c r="AK441" s="18"/>
      <c r="AL441" s="18"/>
      <c r="AM441" s="18"/>
      <c r="AN441" s="18"/>
      <c r="AO441" s="18"/>
      <c r="AP441" s="18"/>
      <c r="AQ441" s="18"/>
      <c r="AR441" s="18"/>
      <c r="AS441" s="18"/>
      <c r="AT441" s="18"/>
    </row>
    <row r="442" spans="1:46" ht="18" customHeight="1" x14ac:dyDescent="0.2">
      <c r="B442" s="1687" t="s">
        <v>1506</v>
      </c>
      <c r="C442" s="1687"/>
      <c r="D442" s="1687"/>
      <c r="E442" s="1687"/>
      <c r="F442" s="1687"/>
      <c r="G442" s="1687"/>
      <c r="H442" s="1687"/>
      <c r="I442" s="1687"/>
      <c r="J442" s="1687"/>
      <c r="K442" s="1687"/>
      <c r="L442" s="1687"/>
      <c r="M442" s="1687"/>
      <c r="N442" s="1687"/>
      <c r="O442" s="1687"/>
      <c r="P442" s="1687"/>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row>
    <row r="443" spans="1:46" ht="114" customHeight="1" x14ac:dyDescent="0.2">
      <c r="B443" s="1379" t="s">
        <v>1776</v>
      </c>
      <c r="C443" s="1379"/>
      <c r="D443" s="1379"/>
      <c r="E443" s="1379"/>
      <c r="F443" s="1379"/>
      <c r="G443" s="1379"/>
      <c r="H443" s="1379"/>
      <c r="I443" s="1379"/>
      <c r="J443" s="1379"/>
      <c r="K443" s="1379"/>
      <c r="L443" s="1379"/>
      <c r="M443" s="1379"/>
      <c r="N443" s="1379"/>
      <c r="O443" s="1379"/>
      <c r="P443" s="1379"/>
      <c r="R443" s="778" t="s">
        <v>2196</v>
      </c>
      <c r="S443" s="769" t="s">
        <v>1942</v>
      </c>
      <c r="T443" s="695" t="s">
        <v>827</v>
      </c>
      <c r="U443" s="695" t="s">
        <v>828</v>
      </c>
      <c r="V443" s="695" t="s">
        <v>829</v>
      </c>
      <c r="W443" s="695" t="s">
        <v>830</v>
      </c>
      <c r="X443" s="769" t="s">
        <v>831</v>
      </c>
      <c r="Y443" s="695" t="s">
        <v>832</v>
      </c>
      <c r="Z443" s="695" t="s">
        <v>833</v>
      </c>
      <c r="AA443" s="695" t="s">
        <v>834</v>
      </c>
      <c r="AB443" s="695" t="s">
        <v>835</v>
      </c>
      <c r="AC443" s="695" t="s">
        <v>836</v>
      </c>
      <c r="AD443" s="695" t="s">
        <v>1681</v>
      </c>
      <c r="AE443" s="695" t="s">
        <v>1682</v>
      </c>
      <c r="AF443" s="695" t="s">
        <v>1683</v>
      </c>
      <c r="AG443" s="695" t="s">
        <v>1684</v>
      </c>
      <c r="AH443" s="695" t="s">
        <v>1685</v>
      </c>
      <c r="AI443" s="18"/>
      <c r="AJ443" s="18"/>
      <c r="AK443" s="18"/>
      <c r="AL443" s="18"/>
      <c r="AM443" s="18"/>
      <c r="AN443" s="18"/>
      <c r="AO443" s="18"/>
      <c r="AP443" s="18"/>
      <c r="AQ443" s="18"/>
      <c r="AR443" s="18"/>
      <c r="AS443" s="18"/>
      <c r="AT443" s="18"/>
    </row>
    <row r="444" spans="1:46" ht="15" customHeight="1" x14ac:dyDescent="0.2">
      <c r="B444" s="1555"/>
      <c r="C444" s="1555"/>
      <c r="D444" s="1555"/>
      <c r="E444" s="1555"/>
      <c r="F444" s="1555"/>
      <c r="G444" s="1555"/>
      <c r="H444" s="1555"/>
      <c r="I444" s="1555"/>
      <c r="J444" s="1555"/>
      <c r="K444" s="1555"/>
      <c r="L444" s="1536" t="s">
        <v>1686</v>
      </c>
      <c r="M444" s="1640" t="s">
        <v>1687</v>
      </c>
      <c r="N444" s="1640"/>
      <c r="O444" s="1640"/>
      <c r="P444" s="1640"/>
      <c r="R444" s="783" t="s">
        <v>2197</v>
      </c>
      <c r="S444" s="688">
        <v>0</v>
      </c>
      <c r="T444" s="776">
        <v>0</v>
      </c>
      <c r="U444" s="776">
        <v>0.05</v>
      </c>
      <c r="V444" s="776">
        <v>0.1</v>
      </c>
      <c r="W444" s="776">
        <v>0.2</v>
      </c>
      <c r="X444" s="776">
        <v>0.3</v>
      </c>
      <c r="Y444" s="776">
        <v>0.4</v>
      </c>
      <c r="Z444" s="776">
        <v>0.5</v>
      </c>
      <c r="AA444" s="776">
        <v>0.6</v>
      </c>
      <c r="AB444" s="776">
        <v>0.7</v>
      </c>
      <c r="AC444" s="776">
        <v>0.75</v>
      </c>
      <c r="AD444" s="776">
        <v>0.8</v>
      </c>
      <c r="AE444" s="776">
        <v>0.85</v>
      </c>
      <c r="AF444" s="776">
        <v>0.9</v>
      </c>
      <c r="AG444" s="776">
        <v>0.95</v>
      </c>
      <c r="AH444" s="776">
        <v>1</v>
      </c>
      <c r="AI444" s="18"/>
      <c r="AJ444" s="18"/>
      <c r="AK444" s="18"/>
      <c r="AL444" s="18"/>
      <c r="AM444" s="18"/>
      <c r="AN444" s="18"/>
      <c r="AO444" s="18"/>
      <c r="AP444" s="18"/>
      <c r="AQ444" s="18"/>
      <c r="AR444" s="18"/>
      <c r="AS444" s="18"/>
      <c r="AT444" s="18"/>
    </row>
    <row r="445" spans="1:46" ht="15" customHeight="1" x14ac:dyDescent="0.2">
      <c r="B445" s="316" t="s">
        <v>1688</v>
      </c>
      <c r="C445" s="1687" t="s">
        <v>1507</v>
      </c>
      <c r="D445" s="1687"/>
      <c r="E445" s="1687"/>
      <c r="F445" s="1687"/>
      <c r="G445" s="1687"/>
      <c r="H445" s="1687"/>
      <c r="I445" s="1687"/>
      <c r="J445" s="1687"/>
      <c r="K445" s="1687"/>
      <c r="L445" s="1536"/>
      <c r="M445" s="1536" t="s">
        <v>1689</v>
      </c>
      <c r="N445" s="1536"/>
      <c r="O445" s="24" t="s">
        <v>1690</v>
      </c>
      <c r="P445" s="24" t="s">
        <v>1691</v>
      </c>
      <c r="R445" s="1790" t="s">
        <v>2199</v>
      </c>
      <c r="S445" s="1790"/>
      <c r="T445" s="776" t="s">
        <v>1689</v>
      </c>
      <c r="U445" s="776" t="s">
        <v>1597</v>
      </c>
      <c r="V445" s="776" t="s">
        <v>1692</v>
      </c>
      <c r="W445" s="776" t="s">
        <v>1693</v>
      </c>
      <c r="X445" s="776" t="s">
        <v>1694</v>
      </c>
      <c r="Y445" s="19"/>
      <c r="Z445" s="776" t="s">
        <v>1508</v>
      </c>
      <c r="AA445" s="776" t="s">
        <v>1305</v>
      </c>
      <c r="AB445" s="776" t="s">
        <v>1307</v>
      </c>
      <c r="AC445" s="776" t="s">
        <v>1306</v>
      </c>
      <c r="AD445" s="776" t="s">
        <v>1307</v>
      </c>
      <c r="AE445" s="452" t="s">
        <v>1509</v>
      </c>
      <c r="AF445" s="452" t="s">
        <v>1307</v>
      </c>
      <c r="AG445" s="769" t="s">
        <v>1305</v>
      </c>
      <c r="AH445" s="769" t="s">
        <v>1306</v>
      </c>
      <c r="AI445" s="769" t="s">
        <v>1307</v>
      </c>
      <c r="AJ445" s="18"/>
      <c r="AK445" s="18"/>
      <c r="AL445" s="18"/>
      <c r="AM445" s="18"/>
      <c r="AN445" s="18"/>
      <c r="AO445" s="18"/>
      <c r="AP445" s="18"/>
      <c r="AQ445" s="18"/>
      <c r="AR445" s="18"/>
      <c r="AS445" s="18"/>
      <c r="AT445" s="18"/>
    </row>
    <row r="446" spans="1:46" ht="15" customHeight="1" x14ac:dyDescent="0.2">
      <c r="A446" s="20"/>
      <c r="B446" s="1536"/>
      <c r="C446" s="1536"/>
      <c r="D446" s="1536"/>
      <c r="E446" s="453"/>
      <c r="F446" s="1536" t="s">
        <v>1510</v>
      </c>
      <c r="G446" s="1536"/>
      <c r="H446" s="1536"/>
      <c r="I446" s="1536"/>
      <c r="J446" s="1536"/>
      <c r="K446" s="1536"/>
      <c r="L446" s="95">
        <f>IF(S446=0,0,0.3)</f>
        <v>0</v>
      </c>
      <c r="M446" s="1658"/>
      <c r="N446" s="1658"/>
      <c r="O446" s="99"/>
      <c r="P446" s="355">
        <f>IF(OR(L446=0,M446=""),0,X446)</f>
        <v>0</v>
      </c>
      <c r="R446" s="745" t="b">
        <v>0</v>
      </c>
      <c r="S446" s="736">
        <f>IF(R446=TRUE,1,0)</f>
        <v>0</v>
      </c>
      <c r="T446" s="747">
        <f>SUMIF($T$443:$AH$443,M446,$T$444:$AH$444)</f>
        <v>0</v>
      </c>
      <c r="U446" s="747">
        <f>SUMIF($S$443:$AH$443,O446,$S$444:$AH$444)</f>
        <v>0</v>
      </c>
      <c r="V446" s="747">
        <f>L446*T446</f>
        <v>0</v>
      </c>
      <c r="W446" s="747">
        <f>L446*U446</f>
        <v>0</v>
      </c>
      <c r="X446" s="747">
        <f>(IF(V446-W446&lt;=0,0,V446-W446))</f>
        <v>0</v>
      </c>
      <c r="Y446" s="19"/>
      <c r="Z446" s="747">
        <f>P477</f>
        <v>0</v>
      </c>
      <c r="AA446" s="747">
        <f>LARGE($Z$446:$Z$448,1)</f>
        <v>0</v>
      </c>
      <c r="AB446" s="747">
        <f>ROUND(AA446,2)</f>
        <v>0</v>
      </c>
      <c r="AC446" s="684">
        <f>AB446+AB447*(1-AB446)</f>
        <v>0</v>
      </c>
      <c r="AD446" s="748">
        <f>ROUND(AC446,2)</f>
        <v>0</v>
      </c>
      <c r="AE446" s="747">
        <f>P446</f>
        <v>0</v>
      </c>
      <c r="AF446" s="749">
        <f>ROUND(AE446,2)</f>
        <v>0</v>
      </c>
      <c r="AG446" s="776">
        <f>LARGE($AF$446:$AF$454,1)</f>
        <v>0</v>
      </c>
      <c r="AH446" s="684">
        <f>AG446+AG447*(1-AG446)</f>
        <v>0</v>
      </c>
      <c r="AI446" s="747">
        <f>ROUND(AH446,2)</f>
        <v>0</v>
      </c>
      <c r="AJ446" s="18"/>
      <c r="AK446" s="18"/>
      <c r="AL446" s="18"/>
      <c r="AM446" s="18"/>
      <c r="AN446" s="18"/>
      <c r="AO446" s="18"/>
      <c r="AP446" s="18"/>
      <c r="AQ446" s="18"/>
      <c r="AR446" s="18"/>
      <c r="AS446" s="18"/>
      <c r="AT446" s="18"/>
    </row>
    <row r="447" spans="1:46" ht="15" customHeight="1" x14ac:dyDescent="0.2">
      <c r="B447" s="1536"/>
      <c r="C447" s="1536"/>
      <c r="D447" s="1536"/>
      <c r="E447" s="453"/>
      <c r="F447" s="1536" t="s">
        <v>1511</v>
      </c>
      <c r="G447" s="1536"/>
      <c r="H447" s="1536"/>
      <c r="I447" s="1536"/>
      <c r="J447" s="1536"/>
      <c r="K447" s="1536"/>
      <c r="L447" s="95">
        <f>IF(S447=0,0,0.35)</f>
        <v>0</v>
      </c>
      <c r="M447" s="1658"/>
      <c r="N447" s="1658"/>
      <c r="O447" s="99"/>
      <c r="P447" s="355">
        <f>IF(OR(L447=0,M447=""),0,X447)</f>
        <v>0</v>
      </c>
      <c r="R447" s="745" t="b">
        <v>0</v>
      </c>
      <c r="S447" s="736">
        <f>IF(R447=TRUE,1,0)</f>
        <v>0</v>
      </c>
      <c r="T447" s="747">
        <f>SUMIF($T$443:$AH$443,M447,$T$444:$AH$444)</f>
        <v>0</v>
      </c>
      <c r="U447" s="747">
        <f>SUMIF($S$443:$AH$443,O447,$S$444:$AH$444)</f>
        <v>0</v>
      </c>
      <c r="V447" s="747">
        <f>L447*T447</f>
        <v>0</v>
      </c>
      <c r="W447" s="747">
        <f>L447*U447</f>
        <v>0</v>
      </c>
      <c r="X447" s="747">
        <f>(IF(V447-W447&lt;=0,0,V447-W447))</f>
        <v>0</v>
      </c>
      <c r="Y447" s="19"/>
      <c r="Z447" s="747">
        <f>P492</f>
        <v>0</v>
      </c>
      <c r="AA447" s="747">
        <f>LARGE($Z$446:$Z$448,2)</f>
        <v>0</v>
      </c>
      <c r="AB447" s="747">
        <f>ROUND(AA447,2)</f>
        <v>0</v>
      </c>
      <c r="AC447" s="684">
        <f>AD446+AB448*(1-AD446)</f>
        <v>0</v>
      </c>
      <c r="AD447" s="748">
        <f>ROUND(AC447,2)</f>
        <v>0</v>
      </c>
      <c r="AE447" s="747">
        <f>P447</f>
        <v>0</v>
      </c>
      <c r="AF447" s="749">
        <f>ROUND(AE447,2)</f>
        <v>0</v>
      </c>
      <c r="AG447" s="776">
        <f>LARGE($AF$446:$AF$454,2)</f>
        <v>0</v>
      </c>
      <c r="AH447" s="684">
        <f>AI446+AG448*(1-AI446)</f>
        <v>0</v>
      </c>
      <c r="AI447" s="747">
        <f>ROUND(AH447,2)</f>
        <v>0</v>
      </c>
      <c r="AJ447" s="18"/>
      <c r="AK447" s="18"/>
      <c r="AL447" s="18"/>
      <c r="AM447" s="18"/>
      <c r="AN447" s="18"/>
      <c r="AO447" s="18"/>
      <c r="AP447" s="18"/>
      <c r="AQ447" s="18"/>
      <c r="AR447" s="18"/>
      <c r="AS447" s="18"/>
      <c r="AT447" s="18"/>
    </row>
    <row r="448" spans="1:46" ht="15" customHeight="1" x14ac:dyDescent="0.2">
      <c r="B448" s="1536"/>
      <c r="C448" s="1536"/>
      <c r="D448" s="1536"/>
      <c r="E448" s="453"/>
      <c r="F448" s="1536" t="s">
        <v>1512</v>
      </c>
      <c r="G448" s="1536"/>
      <c r="H448" s="1536"/>
      <c r="I448" s="1536"/>
      <c r="J448" s="1536"/>
      <c r="K448" s="1536"/>
      <c r="L448" s="95">
        <f>IF(S448=0,0,0.35)</f>
        <v>0</v>
      </c>
      <c r="M448" s="1658"/>
      <c r="N448" s="1658"/>
      <c r="O448" s="99"/>
      <c r="P448" s="355">
        <f>IF(OR(L448=0,M448=""),0,X448)</f>
        <v>0</v>
      </c>
      <c r="R448" s="745" t="b">
        <v>0</v>
      </c>
      <c r="S448" s="736">
        <f>IF(R448=TRUE,1,0)</f>
        <v>0</v>
      </c>
      <c r="T448" s="747">
        <f>SUMIF($T$443:$AH$443,M448,$T$444:$AH$444)</f>
        <v>0</v>
      </c>
      <c r="U448" s="747">
        <f>SUMIF($S$443:$AH$443,O448,$S$444:$AH$444)</f>
        <v>0</v>
      </c>
      <c r="V448" s="747">
        <f>L448*T448</f>
        <v>0</v>
      </c>
      <c r="W448" s="747">
        <f>L448*U448</f>
        <v>0</v>
      </c>
      <c r="X448" s="747">
        <f>(IF(V448-W448&lt;=0,0,V448-W448))</f>
        <v>0</v>
      </c>
      <c r="Y448" s="19"/>
      <c r="Z448" s="747">
        <f>P506</f>
        <v>0</v>
      </c>
      <c r="AA448" s="747">
        <f>LARGE($Z$446:$Z$448,3)</f>
        <v>0</v>
      </c>
      <c r="AB448" s="747">
        <f>ROUND(AA448,2)</f>
        <v>0</v>
      </c>
      <c r="AC448" s="114"/>
      <c r="AD448" s="111"/>
      <c r="AE448" s="747">
        <f>P448</f>
        <v>0</v>
      </c>
      <c r="AF448" s="749">
        <f>ROUND(AE448,2)</f>
        <v>0</v>
      </c>
      <c r="AG448" s="776">
        <f>LARGE($AF$446:$AF$454,3)</f>
        <v>0</v>
      </c>
      <c r="AH448" s="684">
        <f>AI447+AG449*(1-AI447)</f>
        <v>0</v>
      </c>
      <c r="AI448" s="747">
        <f>ROUND(AH448,2)</f>
        <v>0</v>
      </c>
      <c r="AJ448" s="18"/>
      <c r="AK448" s="18">
        <v>1E-4</v>
      </c>
      <c r="AL448" s="18"/>
      <c r="AM448" s="18"/>
      <c r="AN448" s="18"/>
      <c r="AO448" s="18"/>
      <c r="AP448" s="18"/>
      <c r="AQ448" s="18"/>
      <c r="AR448" s="18"/>
      <c r="AS448" s="18"/>
      <c r="AT448" s="18"/>
    </row>
    <row r="449" spans="1:109" ht="15" customHeight="1" x14ac:dyDescent="0.2">
      <c r="B449" s="1536"/>
      <c r="C449" s="1536"/>
      <c r="D449" s="1536"/>
      <c r="E449" s="453"/>
      <c r="F449" s="1536" t="s">
        <v>1209</v>
      </c>
      <c r="G449" s="1536"/>
      <c r="H449" s="1536"/>
      <c r="I449" s="1536"/>
      <c r="J449" s="1536"/>
      <c r="K449" s="1536"/>
      <c r="L449" s="95">
        <f>IF(S449=0,0,0.45)</f>
        <v>0</v>
      </c>
      <c r="M449" s="1658"/>
      <c r="N449" s="1658"/>
      <c r="O449" s="99"/>
      <c r="P449" s="355">
        <f>IF(OR(L449=0,M449=""),0,X449)</f>
        <v>0</v>
      </c>
      <c r="R449" s="745" t="b">
        <v>0</v>
      </c>
      <c r="S449" s="736">
        <f>IF(R449=TRUE,1,0)</f>
        <v>0</v>
      </c>
      <c r="T449" s="747">
        <f>SUMIF($T$443:$AH$443,M449,$T$444:$AH$444)</f>
        <v>0</v>
      </c>
      <c r="U449" s="747">
        <f>SUMIF($S$443:$AH$443,O449,$S$444:$AH$444)</f>
        <v>0</v>
      </c>
      <c r="V449" s="747">
        <f>L449*T449</f>
        <v>0</v>
      </c>
      <c r="W449" s="747">
        <f>L449*U449</f>
        <v>0</v>
      </c>
      <c r="X449" s="747">
        <f>(IF(V449-W449&lt;=0,0,V449-W449))</f>
        <v>0</v>
      </c>
      <c r="Y449" s="19"/>
      <c r="Z449" s="111"/>
      <c r="AA449" s="111"/>
      <c r="AB449" s="111"/>
      <c r="AC449" s="19"/>
      <c r="AD449" s="19"/>
      <c r="AE449" s="747">
        <f>P449</f>
        <v>0</v>
      </c>
      <c r="AF449" s="749">
        <f>ROUND(AE449,2)</f>
        <v>0</v>
      </c>
      <c r="AG449" s="776">
        <f>LARGE($AF$446:$AF$454,4)</f>
        <v>0</v>
      </c>
      <c r="AH449" s="684">
        <f>AI448+AG450*(1-AI448)</f>
        <v>0</v>
      </c>
      <c r="AI449" s="747">
        <f>ROUND(AH449,2)</f>
        <v>0</v>
      </c>
      <c r="AJ449" s="18"/>
      <c r="AK449" s="18"/>
      <c r="AL449" s="18"/>
      <c r="AM449" s="18"/>
      <c r="AN449" s="18"/>
      <c r="AO449" s="18"/>
      <c r="AP449" s="18"/>
      <c r="AQ449" s="18"/>
      <c r="AR449" s="18"/>
      <c r="AS449" s="18"/>
      <c r="AT449" s="18"/>
    </row>
    <row r="450" spans="1:109" ht="15" customHeight="1" x14ac:dyDescent="0.2">
      <c r="B450" s="1536"/>
      <c r="C450" s="1536"/>
      <c r="D450" s="1536"/>
      <c r="E450" s="453"/>
      <c r="F450" s="1536" t="s">
        <v>1210</v>
      </c>
      <c r="G450" s="1536"/>
      <c r="H450" s="1536"/>
      <c r="I450" s="1536"/>
      <c r="J450" s="1536"/>
      <c r="K450" s="1536"/>
      <c r="L450" s="95">
        <f>IF(S450=0,0,0.2)</f>
        <v>0</v>
      </c>
      <c r="M450" s="1658"/>
      <c r="N450" s="1658"/>
      <c r="O450" s="99"/>
      <c r="P450" s="355">
        <f>IF(OR(L450=0,M450=""),0,X450)</f>
        <v>0</v>
      </c>
      <c r="R450" s="745" t="b">
        <v>0</v>
      </c>
      <c r="S450" s="736">
        <f>IF(R450=TRUE,1,0)</f>
        <v>0</v>
      </c>
      <c r="T450" s="747">
        <f>SUMIF($T$443:$AH$443,M450,$T$444:$AH$444)</f>
        <v>0</v>
      </c>
      <c r="U450" s="747">
        <f>SUMIF($S$443:$AH$443,O450,$S$444:$AH$444)</f>
        <v>0</v>
      </c>
      <c r="V450" s="747">
        <f>L450*T450</f>
        <v>0</v>
      </c>
      <c r="W450" s="747">
        <f>L450*U450</f>
        <v>0</v>
      </c>
      <c r="X450" s="747">
        <f>(IF(V450-W450&lt;=0,0,V450-W450))</f>
        <v>0</v>
      </c>
      <c r="Y450" s="19"/>
      <c r="Z450" s="18"/>
      <c r="AA450" s="19"/>
      <c r="AB450" s="19"/>
      <c r="AC450" s="19"/>
      <c r="AD450" s="19"/>
      <c r="AE450" s="747">
        <f>P450</f>
        <v>0</v>
      </c>
      <c r="AF450" s="749">
        <f>ROUND(AE450,2)</f>
        <v>0</v>
      </c>
      <c r="AG450" s="776">
        <f>LARGE($AF$446:$AF$454,5)</f>
        <v>0</v>
      </c>
      <c r="AH450" s="684">
        <f>AI449+AG453*(1-AI449)</f>
        <v>0</v>
      </c>
      <c r="AI450" s="747">
        <f>ROUND(AH450,2)</f>
        <v>0</v>
      </c>
      <c r="AJ450" s="18"/>
      <c r="AK450" s="18"/>
      <c r="AL450" s="18"/>
      <c r="AM450" s="18"/>
      <c r="AN450" s="18"/>
      <c r="AO450" s="18"/>
      <c r="AP450" s="18"/>
      <c r="AQ450" s="18"/>
      <c r="AR450" s="18"/>
      <c r="AS450" s="18"/>
      <c r="AT450" s="18"/>
    </row>
    <row r="451" spans="1:109" ht="6" customHeight="1" x14ac:dyDescent="0.2">
      <c r="B451" s="1638"/>
      <c r="C451" s="1638"/>
      <c r="D451" s="1638"/>
      <c r="E451" s="1638"/>
      <c r="F451" s="1638"/>
      <c r="G451" s="1638"/>
      <c r="H451" s="1638"/>
      <c r="I451" s="1638"/>
      <c r="J451" s="1638"/>
      <c r="K451" s="1638"/>
      <c r="L451" s="1638"/>
      <c r="M451" s="1638"/>
      <c r="N451" s="1638"/>
      <c r="O451" s="1638"/>
      <c r="P451" s="103"/>
      <c r="R451" s="170"/>
      <c r="S451" s="116"/>
      <c r="T451" s="111"/>
      <c r="U451" s="111"/>
      <c r="V451" s="111"/>
      <c r="W451" s="111"/>
      <c r="X451" s="111"/>
      <c r="Y451" s="19"/>
      <c r="Z451" s="18"/>
      <c r="AA451" s="19"/>
      <c r="AB451" s="19"/>
      <c r="AC451" s="19"/>
      <c r="AD451" s="19"/>
      <c r="AE451" s="111"/>
      <c r="AF451" s="112"/>
      <c r="AG451" s="19"/>
      <c r="AH451" s="114"/>
      <c r="AI451" s="111"/>
      <c r="AJ451" s="18"/>
      <c r="AK451" s="18"/>
      <c r="AL451" s="18"/>
      <c r="AM451" s="18"/>
      <c r="AN451" s="18"/>
      <c r="AO451" s="18"/>
      <c r="AP451" s="18"/>
      <c r="AQ451" s="18"/>
      <c r="AR451" s="18"/>
      <c r="AS451" s="18"/>
      <c r="AT451" s="18"/>
    </row>
    <row r="452" spans="1:109" ht="6" customHeight="1" x14ac:dyDescent="0.2">
      <c r="B452" s="1691"/>
      <c r="C452" s="1691"/>
      <c r="D452" s="1691"/>
      <c r="E452" s="1691"/>
      <c r="F452" s="1691"/>
      <c r="G452" s="1691"/>
      <c r="H452" s="1691"/>
      <c r="I452" s="1691"/>
      <c r="J452" s="1691"/>
      <c r="K452" s="1691"/>
      <c r="L452" s="1691"/>
      <c r="M452" s="1691"/>
      <c r="N452" s="1691"/>
      <c r="O452" s="1691"/>
      <c r="P452" s="104"/>
      <c r="R452" s="170"/>
      <c r="S452" s="116"/>
      <c r="T452" s="111"/>
      <c r="U452" s="111"/>
      <c r="V452" s="111"/>
      <c r="W452" s="111"/>
      <c r="X452" s="111"/>
      <c r="Y452" s="19"/>
      <c r="Z452" s="18"/>
      <c r="AA452" s="19"/>
      <c r="AB452" s="19"/>
      <c r="AC452" s="19"/>
      <c r="AD452" s="19"/>
      <c r="AE452" s="111"/>
      <c r="AF452" s="112"/>
      <c r="AG452" s="19"/>
      <c r="AH452" s="114"/>
      <c r="AI452" s="111"/>
      <c r="AJ452" s="18"/>
      <c r="AK452" s="18"/>
      <c r="AL452" s="18"/>
      <c r="AM452" s="18"/>
      <c r="AN452" s="18"/>
      <c r="AO452" s="18"/>
      <c r="AP452" s="18"/>
      <c r="AQ452" s="18"/>
      <c r="AR452" s="18"/>
      <c r="AS452" s="18"/>
      <c r="AT452" s="18"/>
    </row>
    <row r="453" spans="1:109" ht="15" customHeight="1" x14ac:dyDescent="0.2">
      <c r="B453" s="1710" t="s">
        <v>1702</v>
      </c>
      <c r="C453" s="1744"/>
      <c r="D453" s="1744"/>
      <c r="E453" s="1677"/>
      <c r="F453" s="1677"/>
      <c r="G453" s="1677"/>
      <c r="H453" s="1677"/>
      <c r="I453" s="1677"/>
      <c r="J453" s="1677"/>
      <c r="K453" s="1677"/>
      <c r="L453" s="1677"/>
      <c r="M453" s="1677"/>
      <c r="N453" s="1677"/>
      <c r="O453" s="1677"/>
      <c r="P453" s="1678"/>
      <c r="Q453" s="3"/>
      <c r="R453" s="157"/>
      <c r="S453" s="116"/>
      <c r="T453" s="754" t="s">
        <v>1689</v>
      </c>
      <c r="U453" s="754" t="s">
        <v>1597</v>
      </c>
      <c r="V453" s="754" t="s">
        <v>1692</v>
      </c>
      <c r="W453" s="754" t="s">
        <v>1693</v>
      </c>
      <c r="X453" s="754" t="s">
        <v>1694</v>
      </c>
      <c r="Y453" s="19"/>
      <c r="Z453" s="18"/>
      <c r="AA453" s="19"/>
      <c r="AB453" s="19"/>
      <c r="AC453" s="19"/>
      <c r="AD453" s="19"/>
      <c r="AE453" s="747">
        <f>P458</f>
        <v>0</v>
      </c>
      <c r="AF453" s="749">
        <f>ROUND(AE453,2)</f>
        <v>0</v>
      </c>
      <c r="AG453" s="776">
        <f>LARGE($AF$446:$AF$454,6)</f>
        <v>0</v>
      </c>
      <c r="AH453" s="684">
        <f>AI450+AG454*(1-AI450)</f>
        <v>0</v>
      </c>
      <c r="AI453" s="747">
        <f>ROUND(AH453,2)</f>
        <v>0</v>
      </c>
      <c r="AJ453" s="18"/>
      <c r="AK453" s="18"/>
      <c r="AL453" s="18"/>
      <c r="AM453" s="18"/>
      <c r="AN453" s="18"/>
      <c r="AO453" s="18"/>
      <c r="AP453" s="18"/>
      <c r="AQ453" s="18"/>
      <c r="AR453" s="18"/>
      <c r="AS453" s="18"/>
      <c r="AT453" s="18"/>
    </row>
    <row r="454" spans="1:109" ht="27" customHeight="1" x14ac:dyDescent="0.2">
      <c r="A454" s="3"/>
      <c r="B454" s="551" t="s">
        <v>1211</v>
      </c>
      <c r="C454" s="568"/>
      <c r="D454" s="552"/>
      <c r="E454" s="323"/>
      <c r="F454" s="1667" t="s">
        <v>1552</v>
      </c>
      <c r="G454" s="1668"/>
      <c r="H454" s="1668"/>
      <c r="I454" s="1668"/>
      <c r="J454" s="1668"/>
      <c r="K454" s="1669"/>
      <c r="L454" s="95">
        <f>IF(OR(F454="",S454=0),0,IF(AND(S454=1,F454&lt;&gt;""),0.25))</f>
        <v>0</v>
      </c>
      <c r="M454" s="1658"/>
      <c r="N454" s="1658"/>
      <c r="O454" s="99"/>
      <c r="P454" s="355" t="str">
        <f>IF(OR(L454=0,M454=""),"",X454)</f>
        <v/>
      </c>
      <c r="R454" s="686" t="b">
        <v>0</v>
      </c>
      <c r="S454" s="736">
        <f>IF(R454=TRUE,1,0)</f>
        <v>0</v>
      </c>
      <c r="T454" s="747">
        <f>SUMIF($T$443:$AH$443,M454,$T$444:$AH$444)</f>
        <v>0</v>
      </c>
      <c r="U454" s="747">
        <f>SUMIF($S$443:$AH$443,O454,$S$444:$AH$444)</f>
        <v>0</v>
      </c>
      <c r="V454" s="747">
        <f>L454*T454</f>
        <v>0</v>
      </c>
      <c r="W454" s="747">
        <f>L454*U454</f>
        <v>0</v>
      </c>
      <c r="X454" s="747">
        <f>(IF(V454-W454&lt;=0,0,V454-W454))</f>
        <v>0</v>
      </c>
      <c r="Y454" s="18"/>
      <c r="Z454" s="18"/>
      <c r="AA454" s="18"/>
      <c r="AB454" s="18"/>
      <c r="AC454" s="18"/>
      <c r="AD454" s="18"/>
      <c r="AE454" s="750">
        <f>P465</f>
        <v>0</v>
      </c>
      <c r="AF454" s="749">
        <f>ROUND(AE454,2)</f>
        <v>0</v>
      </c>
      <c r="AG454" s="776">
        <f>LARGE($AF$446:$AF$454,7)</f>
        <v>0</v>
      </c>
      <c r="AH454" s="114"/>
      <c r="AI454" s="111"/>
      <c r="AJ454" s="18"/>
      <c r="AK454" s="18"/>
      <c r="AL454" s="18"/>
      <c r="AM454" s="18"/>
      <c r="AN454" s="18"/>
      <c r="AO454" s="18"/>
      <c r="AP454" s="18"/>
      <c r="AQ454" s="18"/>
      <c r="AR454" s="18"/>
      <c r="AS454" s="18"/>
      <c r="AT454" s="18"/>
    </row>
    <row r="455" spans="1:109" ht="15" customHeight="1" x14ac:dyDescent="0.2">
      <c r="A455" s="3"/>
      <c r="B455" s="566"/>
      <c r="C455" s="167"/>
      <c r="D455" s="569"/>
      <c r="E455" s="567"/>
      <c r="F455" s="1362" t="str">
        <f>IF(S454=1,"","Biceps brachii")</f>
        <v>Biceps brachii</v>
      </c>
      <c r="G455" s="1363"/>
      <c r="H455" s="1363"/>
      <c r="I455" s="1363"/>
      <c r="J455" s="1363"/>
      <c r="K455" s="1364"/>
      <c r="L455" s="95">
        <f>IF(OR(F455="",S455=0),0,IF(AND(S455=1,F455&lt;&gt;""),0.25))</f>
        <v>0</v>
      </c>
      <c r="M455" s="1658"/>
      <c r="N455" s="1658"/>
      <c r="O455" s="99"/>
      <c r="P455" s="355" t="str">
        <f>IF(OR(L455=0,M455="",X455=0),"",X455)</f>
        <v/>
      </c>
      <c r="R455" s="686" t="b">
        <v>0</v>
      </c>
      <c r="S455" s="736">
        <f>IF(R455=TRUE,1,0)</f>
        <v>0</v>
      </c>
      <c r="T455" s="747">
        <f>SUMIF($T$443:$AH$443,M455,$T$444:$AH$444)</f>
        <v>0</v>
      </c>
      <c r="U455" s="747">
        <f>SUMIF($S$443:$AH$443,O455,$S$444:$AH$444)</f>
        <v>0</v>
      </c>
      <c r="V455" s="747">
        <f>L455*T455</f>
        <v>0</v>
      </c>
      <c r="W455" s="747">
        <f>L455*U455</f>
        <v>0</v>
      </c>
      <c r="X455" s="747">
        <f>(IF(V455-W455&lt;=0,0,V455-W455))</f>
        <v>0</v>
      </c>
      <c r="Y455" s="158"/>
      <c r="Z455" s="18"/>
      <c r="AA455" s="158"/>
      <c r="AB455" s="158"/>
      <c r="AC455" s="18"/>
      <c r="AD455" s="158"/>
      <c r="AE455" s="171"/>
      <c r="AF455" s="112"/>
      <c r="AG455" s="19"/>
      <c r="AH455" s="114"/>
      <c r="AI455" s="111"/>
      <c r="AJ455" s="18"/>
      <c r="AK455" s="18"/>
      <c r="AL455" s="18"/>
      <c r="AM455" s="18"/>
      <c r="AN455" s="18"/>
      <c r="AO455" s="18"/>
      <c r="AP455" s="18"/>
      <c r="AQ455" s="18"/>
      <c r="AR455" s="18"/>
      <c r="AS455" s="18"/>
      <c r="AT455" s="18"/>
      <c r="AU455" s="14"/>
      <c r="AV455" s="14"/>
      <c r="AW455" s="14"/>
      <c r="AX455" s="14"/>
    </row>
    <row r="456" spans="1:109" ht="15" customHeight="1" x14ac:dyDescent="0.2">
      <c r="A456" s="3"/>
      <c r="B456" s="566"/>
      <c r="C456" s="167"/>
      <c r="D456" s="569"/>
      <c r="E456" s="567"/>
      <c r="F456" s="1362" t="str">
        <f>IF(S454=1,"","Coracobrachialis")</f>
        <v>Coracobrachialis</v>
      </c>
      <c r="G456" s="1363"/>
      <c r="H456" s="1363"/>
      <c r="I456" s="1363"/>
      <c r="J456" s="1363"/>
      <c r="K456" s="1364"/>
      <c r="L456" s="95">
        <f>IF(OR(F456="",S456=0),0,IF(AND(S456=1,F456&lt;&gt;""),0.25))</f>
        <v>0</v>
      </c>
      <c r="M456" s="1658"/>
      <c r="N456" s="1658"/>
      <c r="O456" s="99"/>
      <c r="P456" s="355" t="str">
        <f>IF(OR(L456=0,M456="",X456=0),"",X456)</f>
        <v/>
      </c>
      <c r="R456" s="686" t="b">
        <v>0</v>
      </c>
      <c r="S456" s="736">
        <f>IF(R456=TRUE,1,0)</f>
        <v>0</v>
      </c>
      <c r="T456" s="747">
        <f>SUMIF($T$443:$AH$443,M456,$T$444:$AH$444)</f>
        <v>0</v>
      </c>
      <c r="U456" s="747">
        <f>SUMIF($S$443:$AH$443,O456,$S$444:$AH$444)</f>
        <v>0</v>
      </c>
      <c r="V456" s="747">
        <f>L456*T456</f>
        <v>0</v>
      </c>
      <c r="W456" s="747">
        <f>L456*U456</f>
        <v>0</v>
      </c>
      <c r="X456" s="747">
        <f>(IF(V456-W456&lt;=0,0,V456-W456))</f>
        <v>0</v>
      </c>
      <c r="Y456" s="116"/>
      <c r="Z456" s="18"/>
      <c r="AA456" s="116"/>
      <c r="AB456" s="116"/>
      <c r="AC456" s="116"/>
      <c r="AD456" s="116"/>
      <c r="AE456" s="114"/>
      <c r="AF456" s="112"/>
      <c r="AG456" s="19"/>
      <c r="AH456" s="114"/>
      <c r="AI456" s="111"/>
      <c r="AJ456" s="172"/>
      <c r="AK456" s="172"/>
      <c r="AL456" s="116"/>
      <c r="AM456" s="18"/>
      <c r="AN456" s="18"/>
      <c r="AO456" s="18"/>
      <c r="AP456" s="18"/>
      <c r="AQ456" s="18"/>
      <c r="AR456" s="18"/>
      <c r="AS456" s="18"/>
      <c r="AT456" s="18"/>
    </row>
    <row r="457" spans="1:109" ht="15" customHeight="1" x14ac:dyDescent="0.2">
      <c r="A457" s="3"/>
      <c r="B457" s="553"/>
      <c r="C457" s="331"/>
      <c r="D457" s="554"/>
      <c r="E457" s="567"/>
      <c r="F457" s="1362" t="str">
        <f>IF(S454=1,"","Brachialis")</f>
        <v>Brachialis</v>
      </c>
      <c r="G457" s="1363"/>
      <c r="H457" s="1363"/>
      <c r="I457" s="1363"/>
      <c r="J457" s="1363"/>
      <c r="K457" s="1364"/>
      <c r="L457" s="95">
        <f>IF(OR(F457="",S457=0),0,IF(AND(S457=1,F457&lt;&gt;""),0.25))</f>
        <v>0</v>
      </c>
      <c r="M457" s="1658"/>
      <c r="N457" s="1658"/>
      <c r="O457" s="99"/>
      <c r="P457" s="355" t="str">
        <f>IF(OR(L457=0,M457="",X457=0),"",X457)</f>
        <v/>
      </c>
      <c r="R457" s="686" t="b">
        <v>0</v>
      </c>
      <c r="S457" s="736">
        <f>IF(R457=TRUE,1,0)</f>
        <v>0</v>
      </c>
      <c r="T457" s="747">
        <f>SUMIF($T$443:$AH$443,M457,$T$444:$AH$444)</f>
        <v>0</v>
      </c>
      <c r="U457" s="747">
        <f>SUMIF($S$443:$AH$443,O457,$S$444:$AH$444)</f>
        <v>0</v>
      </c>
      <c r="V457" s="747">
        <f>L457*T457</f>
        <v>0</v>
      </c>
      <c r="W457" s="747">
        <f>L457*U457</f>
        <v>0</v>
      </c>
      <c r="X457" s="747">
        <f>(IF(V457-W457&lt;=0,0,V457-W457))</f>
        <v>0</v>
      </c>
      <c r="Y457" s="19"/>
      <c r="Z457" s="18"/>
      <c r="AA457" s="19"/>
      <c r="AB457" s="19"/>
      <c r="AC457" s="19"/>
      <c r="AD457" s="19"/>
      <c r="AE457" s="111"/>
      <c r="AF457" s="112"/>
      <c r="AG457" s="19"/>
      <c r="AH457" s="114"/>
      <c r="AI457" s="111"/>
      <c r="AJ457" s="19"/>
      <c r="AK457" s="19"/>
      <c r="AL457" s="19"/>
      <c r="AM457" s="18"/>
      <c r="AN457" s="18"/>
      <c r="AO457" s="18"/>
      <c r="AP457" s="18"/>
      <c r="AQ457" s="18"/>
      <c r="AR457" s="18"/>
      <c r="AS457" s="18"/>
      <c r="AT457" s="18"/>
    </row>
    <row r="458" spans="1:109" ht="18" customHeight="1" x14ac:dyDescent="0.2">
      <c r="A458" s="3"/>
      <c r="B458" s="1743" t="s">
        <v>1554</v>
      </c>
      <c r="C458" s="1743"/>
      <c r="D458" s="1743"/>
      <c r="E458" s="1570"/>
      <c r="F458" s="1570"/>
      <c r="G458" s="1570"/>
      <c r="H458" s="1570"/>
      <c r="I458" s="1570"/>
      <c r="J458" s="1570"/>
      <c r="K458" s="1570"/>
      <c r="L458" s="1570"/>
      <c r="M458" s="1570"/>
      <c r="N458" s="1570"/>
      <c r="O458" s="1570"/>
      <c r="P458" s="240">
        <f>IF(AND(P454="",P455="",P456="",P457=""),0,AVERAGE(P454:P457))</f>
        <v>0</v>
      </c>
      <c r="R458" s="18"/>
      <c r="S458" s="116"/>
      <c r="T458" s="111"/>
      <c r="U458" s="111"/>
      <c r="V458" s="114"/>
      <c r="W458" s="114"/>
      <c r="X458" s="111"/>
      <c r="Y458" s="19"/>
      <c r="Z458" s="19"/>
      <c r="AA458" s="19"/>
      <c r="AB458" s="19"/>
      <c r="AC458" s="19"/>
      <c r="AD458" s="19"/>
      <c r="AE458" s="111"/>
      <c r="AF458" s="112"/>
      <c r="AG458" s="19"/>
      <c r="AH458" s="114"/>
      <c r="AI458" s="111"/>
      <c r="AJ458" s="19"/>
      <c r="AK458" s="18"/>
      <c r="AL458" s="19"/>
      <c r="AM458" s="18"/>
      <c r="AN458" s="18"/>
      <c r="AO458" s="18"/>
      <c r="AP458" s="18"/>
      <c r="AQ458" s="18"/>
      <c r="AR458" s="18"/>
      <c r="AS458" s="18"/>
      <c r="AT458" s="18"/>
    </row>
    <row r="459" spans="1:109" ht="12" customHeight="1" x14ac:dyDescent="0.2">
      <c r="A459" s="3"/>
      <c r="C459" s="35"/>
      <c r="D459" s="35"/>
      <c r="F459" s="35"/>
      <c r="H459" s="35"/>
      <c r="J459" s="35"/>
      <c r="L459" s="35"/>
      <c r="N459" s="35"/>
      <c r="R459" s="18"/>
      <c r="S459" s="116"/>
      <c r="T459" s="754" t="s">
        <v>1689</v>
      </c>
      <c r="U459" s="754" t="s">
        <v>1597</v>
      </c>
      <c r="V459" s="754" t="s">
        <v>1692</v>
      </c>
      <c r="W459" s="754" t="s">
        <v>1693</v>
      </c>
      <c r="X459" s="754" t="s">
        <v>1694</v>
      </c>
      <c r="Y459" s="19"/>
      <c r="Z459" s="19"/>
      <c r="AA459" s="19"/>
      <c r="AB459" s="19"/>
      <c r="AC459" s="19"/>
      <c r="AD459" s="19"/>
      <c r="AE459" s="111"/>
      <c r="AF459" s="112"/>
      <c r="AG459" s="19"/>
      <c r="AH459" s="114"/>
      <c r="AI459" s="111"/>
      <c r="AJ459" s="19"/>
      <c r="AK459" s="18"/>
      <c r="AL459" s="19"/>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row>
    <row r="460" spans="1:109" ht="18" customHeight="1" x14ac:dyDescent="0.2">
      <c r="A460" s="3"/>
      <c r="B460" s="571" t="s">
        <v>1820</v>
      </c>
      <c r="C460" s="572"/>
      <c r="D460" s="573"/>
      <c r="E460" s="567"/>
      <c r="F460" s="1667" t="str">
        <f>IF(Z460=1,"","Overall loss at level shown")</f>
        <v>Overall loss at level shown</v>
      </c>
      <c r="G460" s="1668"/>
      <c r="H460" s="1668"/>
      <c r="I460" s="1668"/>
      <c r="J460" s="1668"/>
      <c r="K460" s="1669"/>
      <c r="L460" s="95">
        <f>IF(OR(F460="",S460=0),0,IF(Z460=2,0.55,IF(Z460=3,0.25)))</f>
        <v>0</v>
      </c>
      <c r="M460" s="1658"/>
      <c r="N460" s="1658"/>
      <c r="O460" s="99"/>
      <c r="P460" s="355" t="str">
        <f>IF(OR(L460=0,M460=""),"",X460)</f>
        <v/>
      </c>
      <c r="R460" s="686" t="b">
        <v>0</v>
      </c>
      <c r="S460" s="736">
        <f t="shared" ref="S460:S476" si="56">IF(R460=TRUE,1,0)</f>
        <v>0</v>
      </c>
      <c r="T460" s="747">
        <f>SUMIF($T$443:$AH$443,M460,$T$444:$AH$444)</f>
        <v>0</v>
      </c>
      <c r="U460" s="747">
        <f>SUMIF($S$443:$AH$443,O460,$S$444:$AH$444)</f>
        <v>0</v>
      </c>
      <c r="V460" s="747">
        <f t="shared" ref="V460:V476" si="57">L460*T460</f>
        <v>0</v>
      </c>
      <c r="W460" s="747">
        <f t="shared" ref="W460:W476" si="58">L460*U460</f>
        <v>0</v>
      </c>
      <c r="X460" s="747">
        <f t="shared" ref="X460:X476" si="59">(IF(V460-W460&lt;=0,0,V460-W460))</f>
        <v>0</v>
      </c>
      <c r="Y460" s="19"/>
      <c r="Z460" s="686">
        <v>2</v>
      </c>
      <c r="AA460" s="1789" t="s">
        <v>513</v>
      </c>
      <c r="AB460" s="1789"/>
      <c r="AC460" s="1789"/>
      <c r="AD460" s="19"/>
      <c r="AE460" s="111"/>
      <c r="AF460" s="112"/>
      <c r="AG460" s="19"/>
      <c r="AH460" s="18"/>
      <c r="AI460" s="18"/>
      <c r="AJ460" s="19"/>
      <c r="AK460" s="18"/>
      <c r="AL460" s="19"/>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row>
    <row r="461" spans="1:109" ht="18" customHeight="1" x14ac:dyDescent="0.2">
      <c r="A461" s="3"/>
      <c r="B461" s="574"/>
      <c r="C461" s="570"/>
      <c r="D461" s="575"/>
      <c r="E461" s="567"/>
      <c r="F461" s="1671" t="str">
        <f>IF(AND(S460=0,Z460=2),"Triceps","")</f>
        <v>Triceps</v>
      </c>
      <c r="G461" s="1672"/>
      <c r="H461" s="1672"/>
      <c r="I461" s="1672"/>
      <c r="J461" s="1672"/>
      <c r="K461" s="1673"/>
      <c r="L461" s="95">
        <f>IF(OR(F461="",S461=0,$Z$460=3),0,IF($Z$460=2,0.55,0))</f>
        <v>0</v>
      </c>
      <c r="M461" s="1658"/>
      <c r="N461" s="1658"/>
      <c r="O461" s="99"/>
      <c r="P461" s="355" t="str">
        <f>IF(OR(L461=0,M461="",X461=0),"",IF(AND(S465=1,M461&lt;&gt;""),"ERROR",X461))</f>
        <v/>
      </c>
      <c r="R461" s="686" t="b">
        <v>0</v>
      </c>
      <c r="S461" s="736">
        <f t="shared" si="56"/>
        <v>0</v>
      </c>
      <c r="T461" s="747">
        <f>SUMIF($T$443:$AH$443,M461,$T$444:$AH$444)</f>
        <v>0</v>
      </c>
      <c r="U461" s="747">
        <f>SUMIF($S$443:$AH$443,O461,$S$444:$AH$444)</f>
        <v>0</v>
      </c>
      <c r="V461" s="747">
        <f t="shared" si="57"/>
        <v>0</v>
      </c>
      <c r="W461" s="747">
        <f t="shared" si="58"/>
        <v>0</v>
      </c>
      <c r="X461" s="747">
        <f t="shared" si="59"/>
        <v>0</v>
      </c>
      <c r="Y461" s="18"/>
      <c r="Z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row>
    <row r="462" spans="1:109" ht="18" customHeight="1" x14ac:dyDescent="0.2">
      <c r="A462" s="3"/>
      <c r="B462" s="574"/>
      <c r="C462" s="570"/>
      <c r="D462" s="575"/>
      <c r="E462" s="567"/>
      <c r="F462" s="1362" t="str">
        <f>IF(AND(S460=0,Z460=2),"Anconeus","")</f>
        <v>Anconeus</v>
      </c>
      <c r="G462" s="1363"/>
      <c r="H462" s="1363"/>
      <c r="I462" s="1363"/>
      <c r="J462" s="1363"/>
      <c r="K462" s="1364"/>
      <c r="L462" s="95">
        <f>IF(OR(F462="",S462=0,$Z$460=3),0,IF($Z$460=2,0.55,0))</f>
        <v>0</v>
      </c>
      <c r="M462" s="1658"/>
      <c r="N462" s="1658"/>
      <c r="O462" s="99"/>
      <c r="P462" s="355" t="str">
        <f>IF(OR(L462=0,M462="",X462=0),"",X462)</f>
        <v/>
      </c>
      <c r="R462" s="745" t="b">
        <v>0</v>
      </c>
      <c r="S462" s="736">
        <f t="shared" si="56"/>
        <v>0</v>
      </c>
      <c r="T462" s="747">
        <f>SUMIF($T$443:$AH$443,M462,$T$444:$AH$444)</f>
        <v>0</v>
      </c>
      <c r="U462" s="747">
        <f>SUMIF($S$443:$AH$443,O462,$S$444:$AH$444)</f>
        <v>0</v>
      </c>
      <c r="V462" s="747">
        <f t="shared" si="57"/>
        <v>0</v>
      </c>
      <c r="W462" s="747">
        <f t="shared" si="58"/>
        <v>0</v>
      </c>
      <c r="X462" s="747">
        <f t="shared" si="59"/>
        <v>0</v>
      </c>
      <c r="Y462" s="19"/>
      <c r="Z462" s="164"/>
      <c r="AA462" s="18"/>
      <c r="AB462" s="19"/>
      <c r="AC462" s="19"/>
      <c r="AD462" s="19"/>
      <c r="AE462" s="19"/>
      <c r="AF462" s="19"/>
      <c r="AG462" s="19"/>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row>
    <row r="463" spans="1:109" ht="18" customHeight="1" x14ac:dyDescent="0.2">
      <c r="A463" s="3"/>
      <c r="B463" s="574"/>
      <c r="C463" s="570"/>
      <c r="D463" s="575"/>
      <c r="E463" s="567"/>
      <c r="F463" s="1671" t="str">
        <f>IF(AND(S460=0,Z460=2),"Brachioradialis","")</f>
        <v>Brachioradialis</v>
      </c>
      <c r="G463" s="1672"/>
      <c r="H463" s="1672"/>
      <c r="I463" s="1672"/>
      <c r="J463" s="1672"/>
      <c r="K463" s="1673"/>
      <c r="L463" s="95">
        <f>IF(OR(F463="",S463=0,$Z$460=3),0,IF($Z$460=2,0.55,0))</f>
        <v>0</v>
      </c>
      <c r="M463" s="1658"/>
      <c r="N463" s="1658"/>
      <c r="O463" s="99"/>
      <c r="P463" s="355" t="str">
        <f>IF(OR(L463=0,M463="",X463=0),"",X463)</f>
        <v/>
      </c>
      <c r="R463" s="745" t="b">
        <v>0</v>
      </c>
      <c r="S463" s="736">
        <f t="shared" si="56"/>
        <v>0</v>
      </c>
      <c r="T463" s="747">
        <f>SUMIF($T$443:$AH$443,M463,$T$444:$AH$444)</f>
        <v>0</v>
      </c>
      <c r="U463" s="747">
        <f>SUMIF($S$443:$AH$443,O463,$S$444:$AH$444)</f>
        <v>0</v>
      </c>
      <c r="V463" s="747">
        <f t="shared" si="57"/>
        <v>0</v>
      </c>
      <c r="W463" s="747">
        <f t="shared" si="58"/>
        <v>0</v>
      </c>
      <c r="X463" s="747">
        <f t="shared" si="59"/>
        <v>0</v>
      </c>
      <c r="Y463" s="18"/>
      <c r="AB463" s="18"/>
      <c r="AC463" s="18"/>
      <c r="AD463" s="18"/>
      <c r="AE463" s="18"/>
      <c r="AF463" s="18"/>
      <c r="AG463" s="18"/>
      <c r="AH463" s="18"/>
      <c r="AI463" s="18"/>
      <c r="AJ463" s="18"/>
      <c r="AK463" s="18"/>
      <c r="AL463" s="18"/>
      <c r="AM463" s="19"/>
      <c r="AN463" s="18"/>
      <c r="AO463" s="19"/>
      <c r="AP463" s="18"/>
      <c r="AQ463" s="19"/>
      <c r="AR463" s="19"/>
      <c r="AS463" s="19"/>
      <c r="AT463" s="19"/>
      <c r="AU463" s="18"/>
      <c r="AV463" s="19"/>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row>
    <row r="464" spans="1:109" ht="18" customHeight="1" x14ac:dyDescent="0.2">
      <c r="A464" s="3"/>
      <c r="B464" s="574"/>
      <c r="C464" s="570"/>
      <c r="D464" s="575"/>
      <c r="E464" s="567"/>
      <c r="F464" s="1362" t="str">
        <f>IF(AND(S460=0,Z460=2),"Extensor carpi radialis longus","")</f>
        <v>Extensor carpi radialis longus</v>
      </c>
      <c r="G464" s="1363"/>
      <c r="H464" s="1363"/>
      <c r="I464" s="1363"/>
      <c r="J464" s="1363"/>
      <c r="K464" s="1364"/>
      <c r="L464" s="95">
        <f>IF(OR(F464="",S464=0,$Z$460=3),0,IF($Z$460=2,0.55,0))</f>
        <v>0</v>
      </c>
      <c r="M464" s="1658"/>
      <c r="N464" s="1658"/>
      <c r="O464" s="99"/>
      <c r="P464" s="355" t="str">
        <f>IF(OR(L464=0,M464="",X464=0),"",X464)</f>
        <v/>
      </c>
      <c r="R464" s="745" t="b">
        <v>0</v>
      </c>
      <c r="S464" s="736">
        <f t="shared" si="56"/>
        <v>0</v>
      </c>
      <c r="T464" s="747">
        <f>SUMIF($T$443:$AH$443,M464,$T$444:$AH$444)</f>
        <v>0</v>
      </c>
      <c r="U464" s="747">
        <f>SUMIF($S$443:$AH$443,O464,$S$444:$AH$444)</f>
        <v>0</v>
      </c>
      <c r="V464" s="747">
        <f t="shared" si="57"/>
        <v>0</v>
      </c>
      <c r="W464" s="747">
        <f t="shared" si="58"/>
        <v>0</v>
      </c>
      <c r="X464" s="747">
        <f t="shared" si="59"/>
        <v>0</v>
      </c>
      <c r="Y464" s="74"/>
      <c r="Z464" s="173"/>
      <c r="AA464" s="74"/>
      <c r="AB464" s="74"/>
      <c r="AC464" s="74"/>
      <c r="AD464" s="74"/>
      <c r="AE464" s="74"/>
      <c r="AF464" s="74"/>
      <c r="AG464" s="74"/>
      <c r="AH464" s="74"/>
      <c r="AI464" s="74"/>
      <c r="AJ464" s="74"/>
      <c r="AK464" s="74"/>
      <c r="AL464" s="74"/>
      <c r="AM464" s="74"/>
      <c r="AN464" s="74"/>
      <c r="AO464" s="74"/>
      <c r="AP464" s="74"/>
      <c r="AQ464" s="74"/>
      <c r="AR464" s="74"/>
      <c r="AS464" s="74"/>
      <c r="AT464" s="74"/>
      <c r="AU464" s="74"/>
      <c r="AV464" s="74"/>
      <c r="AW464" s="74"/>
      <c r="AX464" s="74"/>
      <c r="AY464" s="74"/>
      <c r="AZ464" s="74"/>
      <c r="BA464" s="74"/>
      <c r="BB464" s="74"/>
      <c r="BC464" s="74"/>
      <c r="BD464" s="74"/>
      <c r="BE464" s="74"/>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row>
    <row r="465" spans="1:109" ht="15" customHeight="1" x14ac:dyDescent="0.2">
      <c r="A465" s="3"/>
      <c r="B465" s="1748" t="str">
        <f>IF(P461="ERROR","ERROR: If triceps only, select 'Triceps only.'","")</f>
        <v/>
      </c>
      <c r="C465" s="1749"/>
      <c r="D465" s="1749"/>
      <c r="E465" s="1749"/>
      <c r="F465" s="1749"/>
      <c r="G465" s="1749"/>
      <c r="H465" s="1749"/>
      <c r="I465" s="1749"/>
      <c r="J465" s="1749"/>
      <c r="K465" s="1749"/>
      <c r="L465" s="1750"/>
      <c r="M465" s="1740" t="s">
        <v>1554</v>
      </c>
      <c r="N465" s="1741"/>
      <c r="O465" s="1742"/>
      <c r="P465" s="240">
        <f>IF(SUM(P460:P464)=0,0,AVERAGE(P460:P464))</f>
        <v>0</v>
      </c>
      <c r="R465" s="170"/>
      <c r="S465" s="736">
        <f>SUM(S460:S464)</f>
        <v>0</v>
      </c>
      <c r="T465" s="111"/>
      <c r="U465" s="111"/>
      <c r="V465" s="111"/>
      <c r="W465" s="111"/>
      <c r="X465" s="111"/>
      <c r="Y465" s="74"/>
      <c r="Z465" s="173"/>
      <c r="AA465" s="74"/>
      <c r="AB465" s="74"/>
      <c r="AC465" s="74"/>
      <c r="AD465" s="74"/>
      <c r="AE465" s="74"/>
      <c r="AF465" s="74"/>
      <c r="AG465" s="74"/>
      <c r="AH465" s="74"/>
      <c r="AI465" s="74"/>
      <c r="AJ465" s="74"/>
      <c r="AK465" s="74"/>
      <c r="AL465" s="74"/>
      <c r="AM465" s="74"/>
      <c r="AN465" s="74"/>
      <c r="AO465" s="74"/>
      <c r="AP465" s="74"/>
      <c r="AQ465" s="74"/>
      <c r="AR465" s="74"/>
      <c r="AS465" s="74"/>
      <c r="AT465" s="74"/>
      <c r="AU465" s="74"/>
      <c r="AV465" s="74"/>
      <c r="AW465" s="74"/>
      <c r="AX465" s="74"/>
      <c r="AY465" s="74"/>
      <c r="AZ465" s="74"/>
      <c r="BA465" s="74"/>
      <c r="BB465" s="74"/>
      <c r="BC465" s="74"/>
      <c r="BD465" s="74"/>
      <c r="BE465" s="74"/>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row>
    <row r="466" spans="1:109" ht="12" customHeight="1" x14ac:dyDescent="0.2">
      <c r="A466" s="3"/>
      <c r="C466" s="35"/>
      <c r="D466" s="35"/>
      <c r="F466" s="35"/>
      <c r="H466" s="35"/>
      <c r="J466" s="35"/>
      <c r="L466" s="35"/>
      <c r="N466" s="35"/>
      <c r="R466" s="170"/>
      <c r="S466" s="116"/>
      <c r="T466" s="754" t="s">
        <v>1689</v>
      </c>
      <c r="U466" s="754" t="s">
        <v>1597</v>
      </c>
      <c r="V466" s="754" t="s">
        <v>1692</v>
      </c>
      <c r="W466" s="754" t="s">
        <v>1693</v>
      </c>
      <c r="X466" s="754" t="s">
        <v>1694</v>
      </c>
      <c r="Y466" s="74"/>
      <c r="Z466" s="173"/>
      <c r="AA466" s="74"/>
      <c r="AB466" s="74"/>
      <c r="AC466" s="74"/>
      <c r="AD466" s="74"/>
      <c r="AE466" s="74"/>
      <c r="AF466" s="74"/>
      <c r="AG466" s="74"/>
      <c r="AH466" s="74"/>
      <c r="AI466" s="74"/>
      <c r="AJ466" s="74"/>
      <c r="AK466" s="74"/>
      <c r="AL466" s="74"/>
      <c r="AM466" s="74"/>
      <c r="AN466" s="74"/>
      <c r="AO466" s="74"/>
      <c r="AP466" s="74"/>
      <c r="AQ466" s="74"/>
      <c r="AR466" s="74"/>
      <c r="AS466" s="74"/>
      <c r="AT466" s="74"/>
      <c r="AU466" s="74"/>
      <c r="AV466" s="74"/>
      <c r="AW466" s="74"/>
      <c r="AX466" s="74"/>
      <c r="AY466" s="74"/>
      <c r="AZ466" s="74"/>
      <c r="BA466" s="74"/>
      <c r="BB466" s="74"/>
      <c r="BC466" s="74"/>
      <c r="BD466" s="74"/>
      <c r="BE466" s="74"/>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row>
    <row r="467" spans="1:109" ht="15" customHeight="1" x14ac:dyDescent="0.2">
      <c r="A467" s="3"/>
      <c r="B467" s="583" t="s">
        <v>1821</v>
      </c>
      <c r="C467" s="584"/>
      <c r="D467" s="585"/>
      <c r="E467" s="567"/>
      <c r="F467" s="1667" t="str">
        <f>IF(Z470=1,"","Overall loss at level shown")</f>
        <v>Overall loss at level shown</v>
      </c>
      <c r="G467" s="1668"/>
      <c r="H467" s="1668"/>
      <c r="I467" s="1668"/>
      <c r="J467" s="1668"/>
      <c r="K467" s="1669"/>
      <c r="L467" s="95">
        <f>IF(OR(F467="",S467=0),0,0.5)</f>
        <v>0</v>
      </c>
      <c r="M467" s="1658"/>
      <c r="N467" s="1658"/>
      <c r="O467" s="99"/>
      <c r="P467" s="355" t="str">
        <f>IF(OR(L467=0,M467=""),"",X467)</f>
        <v/>
      </c>
      <c r="R467" s="745" t="b">
        <v>0</v>
      </c>
      <c r="S467" s="736">
        <f t="shared" si="56"/>
        <v>0</v>
      </c>
      <c r="T467" s="747">
        <f t="shared" ref="T467:T476" si="60">SUMIF($T$443:$AH$443,M467,$T$444:$AH$444)</f>
        <v>0</v>
      </c>
      <c r="U467" s="747">
        <f t="shared" ref="U467:U476" si="61">SUMIF($S$443:$AH$443,O467,$S$444:$AH$444)</f>
        <v>0</v>
      </c>
      <c r="V467" s="747">
        <f>L467*T467</f>
        <v>0</v>
      </c>
      <c r="W467" s="747">
        <f>L467*U467</f>
        <v>0</v>
      </c>
      <c r="X467" s="747">
        <f>(IF(V467-W467&lt;=0,0,V467-W467))</f>
        <v>0</v>
      </c>
      <c r="Y467" s="74"/>
      <c r="Z467" s="173"/>
      <c r="AA467" s="74"/>
      <c r="AB467" s="74"/>
      <c r="AC467" s="74"/>
      <c r="AD467" s="74"/>
      <c r="AE467" s="74"/>
      <c r="AF467" s="74"/>
      <c r="AG467" s="74"/>
      <c r="AH467" s="74"/>
      <c r="AI467" s="74"/>
      <c r="AJ467" s="74"/>
      <c r="AK467" s="74"/>
      <c r="AL467" s="74"/>
      <c r="AM467" s="74"/>
      <c r="AN467" s="74"/>
      <c r="AO467" s="74"/>
      <c r="AP467" s="74"/>
      <c r="AQ467" s="74"/>
      <c r="AR467" s="74"/>
      <c r="AS467" s="74"/>
      <c r="AT467" s="74"/>
      <c r="AU467" s="74"/>
      <c r="AV467" s="74"/>
      <c r="AW467" s="74"/>
      <c r="AX467" s="74"/>
      <c r="AY467" s="74"/>
      <c r="AZ467" s="74"/>
      <c r="BA467" s="74"/>
      <c r="BB467" s="74"/>
      <c r="BC467" s="74"/>
      <c r="BD467" s="74"/>
      <c r="BE467" s="74"/>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row>
    <row r="468" spans="1:109" ht="15" customHeight="1" x14ac:dyDescent="0.2">
      <c r="A468" s="3"/>
      <c r="B468" s="586" t="s">
        <v>1822</v>
      </c>
      <c r="C468" s="582"/>
      <c r="D468" s="587"/>
      <c r="E468" s="567"/>
      <c r="F468" s="1671" t="str">
        <f>IF($S$467=1,"","Extensor carpi radialis brevis")</f>
        <v>Extensor carpi radialis brevis</v>
      </c>
      <c r="G468" s="1672"/>
      <c r="H468" s="1672"/>
      <c r="I468" s="1672"/>
      <c r="J468" s="1672"/>
      <c r="K468" s="1673"/>
      <c r="L468" s="95">
        <f>IF(OR(F468="",S468=0),0,0.5)</f>
        <v>0</v>
      </c>
      <c r="M468" s="1658"/>
      <c r="N468" s="1658"/>
      <c r="O468" s="99"/>
      <c r="P468" s="355" t="str">
        <f t="shared" ref="P468:P476" si="62">IF(OR(L468=0,M468="",X468=0),"",X468)</f>
        <v/>
      </c>
      <c r="R468" s="745" t="b">
        <v>0</v>
      </c>
      <c r="S468" s="736">
        <f t="shared" si="56"/>
        <v>0</v>
      </c>
      <c r="T468" s="747">
        <f t="shared" si="60"/>
        <v>0</v>
      </c>
      <c r="U468" s="747">
        <f t="shared" si="61"/>
        <v>0</v>
      </c>
      <c r="V468" s="747">
        <f t="shared" si="57"/>
        <v>0</v>
      </c>
      <c r="W468" s="747">
        <f t="shared" si="58"/>
        <v>0</v>
      </c>
      <c r="X468" s="747">
        <f t="shared" si="59"/>
        <v>0</v>
      </c>
      <c r="Y468" s="74"/>
      <c r="Z468" s="74"/>
      <c r="AA468" s="74"/>
      <c r="AB468" s="74"/>
      <c r="AC468" s="74"/>
      <c r="AD468" s="74"/>
      <c r="AE468" s="74"/>
      <c r="AF468" s="74"/>
      <c r="AG468" s="74"/>
      <c r="AH468" s="74"/>
      <c r="AI468" s="74"/>
      <c r="AJ468" s="74"/>
      <c r="AK468" s="74"/>
      <c r="AL468" s="74"/>
      <c r="AM468" s="74"/>
      <c r="AN468" s="74"/>
      <c r="AO468" s="74"/>
      <c r="AP468" s="74"/>
      <c r="AQ468" s="74"/>
      <c r="AR468" s="74"/>
      <c r="AS468" s="74"/>
      <c r="AT468" s="74"/>
      <c r="AU468" s="74"/>
      <c r="AV468" s="74"/>
      <c r="AW468" s="74"/>
      <c r="AX468" s="74"/>
      <c r="AY468" s="74"/>
      <c r="AZ468" s="74"/>
      <c r="BA468" s="74"/>
      <c r="BB468" s="74"/>
      <c r="BC468" s="74"/>
      <c r="BD468" s="74"/>
      <c r="BE468" s="74"/>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row>
    <row r="469" spans="1:109" ht="15" customHeight="1" x14ac:dyDescent="0.2">
      <c r="A469" s="3"/>
      <c r="B469" s="586" t="s">
        <v>1824</v>
      </c>
      <c r="C469" s="582"/>
      <c r="D469" s="587"/>
      <c r="E469" s="567"/>
      <c r="F469" s="1671" t="str">
        <f>IF($S$467=1,"","Supinator longus")</f>
        <v>Supinator longus</v>
      </c>
      <c r="G469" s="1672"/>
      <c r="H469" s="1672"/>
      <c r="I469" s="1672"/>
      <c r="J469" s="1672"/>
      <c r="K469" s="1673"/>
      <c r="L469" s="95">
        <f t="shared" ref="L469:L476" si="63">IF(OR(F469="",S469=0),0,0.5)</f>
        <v>0</v>
      </c>
      <c r="M469" s="1658"/>
      <c r="N469" s="1658"/>
      <c r="O469" s="99"/>
      <c r="P469" s="355" t="str">
        <f t="shared" si="62"/>
        <v/>
      </c>
      <c r="R469" s="745" t="b">
        <v>0</v>
      </c>
      <c r="S469" s="736">
        <f t="shared" si="56"/>
        <v>0</v>
      </c>
      <c r="T469" s="747">
        <f t="shared" si="60"/>
        <v>0</v>
      </c>
      <c r="U469" s="747">
        <f t="shared" si="61"/>
        <v>0</v>
      </c>
      <c r="V469" s="747">
        <f t="shared" si="57"/>
        <v>0</v>
      </c>
      <c r="W469" s="747">
        <f t="shared" si="58"/>
        <v>0</v>
      </c>
      <c r="X469" s="747">
        <f t="shared" si="59"/>
        <v>0</v>
      </c>
      <c r="Y469" s="74"/>
      <c r="Z469" s="74"/>
      <c r="AA469" s="74"/>
      <c r="AB469" s="74"/>
      <c r="AC469" s="74"/>
      <c r="AD469" s="74"/>
      <c r="AE469" s="74"/>
      <c r="AF469" s="74"/>
      <c r="AG469" s="74"/>
      <c r="AH469" s="74"/>
      <c r="AI469" s="74"/>
      <c r="AJ469" s="74"/>
      <c r="AK469" s="74"/>
      <c r="AL469" s="74"/>
      <c r="AM469" s="74"/>
      <c r="AN469" s="74"/>
      <c r="AO469" s="74"/>
      <c r="AP469" s="74"/>
      <c r="AQ469" s="74"/>
      <c r="AR469" s="74"/>
      <c r="AS469" s="74"/>
      <c r="AT469" s="74"/>
      <c r="AU469" s="74"/>
      <c r="AV469" s="74"/>
      <c r="AW469" s="74"/>
      <c r="AX469" s="74"/>
      <c r="AY469" s="74"/>
      <c r="AZ469" s="74"/>
      <c r="BA469" s="74"/>
      <c r="BB469" s="74"/>
      <c r="BC469" s="74"/>
      <c r="BD469" s="74"/>
      <c r="BE469" s="74"/>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row>
    <row r="470" spans="1:109" ht="15" customHeight="1" x14ac:dyDescent="0.2">
      <c r="A470" s="3"/>
      <c r="B470" s="586"/>
      <c r="C470" s="582"/>
      <c r="D470" s="587"/>
      <c r="E470" s="567"/>
      <c r="F470" s="1671" t="str">
        <f>IF($S$467=1,"","Extensor digitorum communis")</f>
        <v>Extensor digitorum communis</v>
      </c>
      <c r="G470" s="1672"/>
      <c r="H470" s="1672"/>
      <c r="I470" s="1672"/>
      <c r="J470" s="1672"/>
      <c r="K470" s="1673"/>
      <c r="L470" s="95">
        <f t="shared" si="63"/>
        <v>0</v>
      </c>
      <c r="M470" s="1658"/>
      <c r="N470" s="1658"/>
      <c r="O470" s="99"/>
      <c r="P470" s="355" t="str">
        <f t="shared" si="62"/>
        <v/>
      </c>
      <c r="R470" s="745" t="b">
        <v>0</v>
      </c>
      <c r="S470" s="736">
        <f t="shared" si="56"/>
        <v>0</v>
      </c>
      <c r="T470" s="747">
        <f t="shared" si="60"/>
        <v>0</v>
      </c>
      <c r="U470" s="747">
        <f t="shared" si="61"/>
        <v>0</v>
      </c>
      <c r="V470" s="747">
        <f t="shared" si="57"/>
        <v>0</v>
      </c>
      <c r="W470" s="747">
        <f t="shared" si="58"/>
        <v>0</v>
      </c>
      <c r="X470" s="747">
        <f t="shared" si="59"/>
        <v>0</v>
      </c>
      <c r="Y470" s="74"/>
      <c r="Z470" s="74"/>
      <c r="AA470" s="74"/>
      <c r="AB470" s="74"/>
      <c r="AC470" s="74"/>
      <c r="AD470" s="74"/>
      <c r="AE470" s="74"/>
      <c r="AF470" s="74"/>
      <c r="AG470" s="74"/>
      <c r="AH470" s="74"/>
      <c r="AI470" s="74"/>
      <c r="AJ470" s="74"/>
      <c r="AK470" s="74"/>
      <c r="AL470" s="74"/>
      <c r="AM470" s="74"/>
      <c r="AN470" s="74"/>
      <c r="AO470" s="74"/>
      <c r="AP470" s="74"/>
      <c r="AQ470" s="74"/>
      <c r="AR470" s="74"/>
      <c r="AS470" s="74"/>
      <c r="AT470" s="74"/>
      <c r="AU470" s="74"/>
      <c r="AV470" s="74"/>
      <c r="AW470" s="74"/>
      <c r="AX470" s="74"/>
      <c r="AY470" s="74"/>
      <c r="AZ470" s="74"/>
      <c r="BA470" s="74"/>
      <c r="BB470" s="74"/>
      <c r="BC470" s="74"/>
      <c r="BD470" s="74"/>
      <c r="BE470" s="74"/>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row>
    <row r="471" spans="1:109" ht="15" customHeight="1" x14ac:dyDescent="0.2">
      <c r="A471" s="3"/>
      <c r="B471" s="586"/>
      <c r="C471" s="582"/>
      <c r="D471" s="587"/>
      <c r="E471" s="567"/>
      <c r="F471" s="1671" t="str">
        <f>IF($S$467=1,"","Extensor digiti quinti")</f>
        <v>Extensor digiti quinti</v>
      </c>
      <c r="G471" s="1672"/>
      <c r="H471" s="1672"/>
      <c r="I471" s="1672"/>
      <c r="J471" s="1672"/>
      <c r="K471" s="1673"/>
      <c r="L471" s="95">
        <f t="shared" si="63"/>
        <v>0</v>
      </c>
      <c r="M471" s="1658"/>
      <c r="N471" s="1658"/>
      <c r="O471" s="99"/>
      <c r="P471" s="355" t="str">
        <f t="shared" si="62"/>
        <v/>
      </c>
      <c r="R471" s="745" t="b">
        <v>0</v>
      </c>
      <c r="S471" s="736">
        <f t="shared" si="56"/>
        <v>0</v>
      </c>
      <c r="T471" s="747">
        <f t="shared" si="60"/>
        <v>0</v>
      </c>
      <c r="U471" s="747">
        <f t="shared" si="61"/>
        <v>0</v>
      </c>
      <c r="V471" s="747">
        <f t="shared" si="57"/>
        <v>0</v>
      </c>
      <c r="W471" s="747">
        <f t="shared" si="58"/>
        <v>0</v>
      </c>
      <c r="X471" s="747">
        <f t="shared" si="59"/>
        <v>0</v>
      </c>
      <c r="Y471" s="74"/>
      <c r="Z471" s="74"/>
      <c r="AA471" s="74"/>
      <c r="AB471" s="74"/>
      <c r="AC471" s="74"/>
      <c r="AD471" s="74"/>
      <c r="AE471" s="74"/>
      <c r="AF471" s="74"/>
      <c r="AG471" s="74"/>
      <c r="AH471" s="74"/>
      <c r="AI471" s="74"/>
      <c r="AJ471" s="74"/>
      <c r="AK471" s="74"/>
      <c r="AL471" s="74"/>
      <c r="AM471" s="74"/>
      <c r="AN471" s="74"/>
      <c r="AO471" s="74"/>
      <c r="AP471" s="74"/>
      <c r="AQ471" s="74"/>
      <c r="AR471" s="74"/>
      <c r="AS471" s="74"/>
      <c r="AT471" s="74"/>
      <c r="AU471" s="74"/>
      <c r="AV471" s="74"/>
      <c r="AW471" s="74"/>
      <c r="AX471" s="74"/>
      <c r="AY471" s="74"/>
      <c r="AZ471" s="74"/>
      <c r="BA471" s="74"/>
      <c r="BB471" s="74"/>
      <c r="BC471" s="74"/>
      <c r="BD471" s="74"/>
      <c r="BE471" s="74"/>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row>
    <row r="472" spans="1:109" ht="15" customHeight="1" x14ac:dyDescent="0.2">
      <c r="A472" s="3"/>
      <c r="B472" s="586"/>
      <c r="C472" s="582"/>
      <c r="D472" s="587"/>
      <c r="E472" s="567"/>
      <c r="F472" s="1671" t="str">
        <f>IF($S$467=1,"","Extensor carpi ulnaris")</f>
        <v>Extensor carpi ulnaris</v>
      </c>
      <c r="G472" s="1672"/>
      <c r="H472" s="1672"/>
      <c r="I472" s="1672"/>
      <c r="J472" s="1672"/>
      <c r="K472" s="1673"/>
      <c r="L472" s="95">
        <f t="shared" si="63"/>
        <v>0</v>
      </c>
      <c r="M472" s="1658"/>
      <c r="N472" s="1658"/>
      <c r="O472" s="99"/>
      <c r="P472" s="355" t="str">
        <f t="shared" si="62"/>
        <v/>
      </c>
      <c r="R472" s="745" t="b">
        <v>0</v>
      </c>
      <c r="S472" s="736">
        <f t="shared" si="56"/>
        <v>0</v>
      </c>
      <c r="T472" s="747">
        <f t="shared" si="60"/>
        <v>0</v>
      </c>
      <c r="U472" s="747">
        <f t="shared" si="61"/>
        <v>0</v>
      </c>
      <c r="V472" s="747">
        <f t="shared" si="57"/>
        <v>0</v>
      </c>
      <c r="W472" s="747">
        <f t="shared" si="58"/>
        <v>0</v>
      </c>
      <c r="X472" s="747">
        <f t="shared" si="59"/>
        <v>0</v>
      </c>
      <c r="Y472" s="74"/>
      <c r="Z472" s="74"/>
      <c r="AA472" s="74"/>
      <c r="AB472" s="74"/>
      <c r="AC472" s="74"/>
      <c r="AD472" s="74"/>
      <c r="AE472" s="74"/>
      <c r="AF472" s="74"/>
      <c r="AG472" s="74"/>
      <c r="AH472" s="74"/>
      <c r="AI472" s="74"/>
      <c r="AJ472" s="74"/>
      <c r="AK472" s="74"/>
      <c r="AL472" s="74"/>
      <c r="AM472" s="74"/>
      <c r="AN472" s="74"/>
      <c r="AO472" s="74"/>
      <c r="AP472" s="74"/>
      <c r="AQ472" s="74"/>
      <c r="AR472" s="74"/>
      <c r="AS472" s="74"/>
      <c r="AT472" s="74"/>
      <c r="AU472" s="74"/>
      <c r="AV472" s="74"/>
      <c r="AW472" s="74"/>
      <c r="AX472" s="74"/>
      <c r="AY472" s="74"/>
      <c r="AZ472" s="74"/>
      <c r="BA472" s="74"/>
      <c r="BB472" s="74"/>
      <c r="BC472" s="74"/>
      <c r="BD472" s="74"/>
      <c r="BE472" s="74"/>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row>
    <row r="473" spans="1:109" ht="15" customHeight="1" x14ac:dyDescent="0.2">
      <c r="A473" s="3"/>
      <c r="B473" s="586"/>
      <c r="C473" s="582"/>
      <c r="D473" s="587"/>
      <c r="E473" s="567"/>
      <c r="F473" s="1671" t="str">
        <f>IF($S$467=1,"","Abductor pollicis longus")</f>
        <v>Abductor pollicis longus</v>
      </c>
      <c r="G473" s="1672"/>
      <c r="H473" s="1672"/>
      <c r="I473" s="1672"/>
      <c r="J473" s="1672"/>
      <c r="K473" s="1673"/>
      <c r="L473" s="95">
        <f t="shared" si="63"/>
        <v>0</v>
      </c>
      <c r="M473" s="1658"/>
      <c r="N473" s="1658"/>
      <c r="O473" s="99"/>
      <c r="P473" s="355" t="str">
        <f t="shared" si="62"/>
        <v/>
      </c>
      <c r="R473" s="745" t="b">
        <v>0</v>
      </c>
      <c r="S473" s="736">
        <f t="shared" si="56"/>
        <v>0</v>
      </c>
      <c r="T473" s="747">
        <f t="shared" si="60"/>
        <v>0</v>
      </c>
      <c r="U473" s="747">
        <f t="shared" si="61"/>
        <v>0</v>
      </c>
      <c r="V473" s="747">
        <f t="shared" si="57"/>
        <v>0</v>
      </c>
      <c r="W473" s="747">
        <f t="shared" si="58"/>
        <v>0</v>
      </c>
      <c r="X473" s="747">
        <f t="shared" si="59"/>
        <v>0</v>
      </c>
      <c r="Y473" s="74"/>
      <c r="Z473" s="74"/>
      <c r="AA473" s="74"/>
      <c r="AB473" s="74"/>
      <c r="AC473" s="74"/>
      <c r="AD473" s="74"/>
      <c r="AE473" s="74"/>
      <c r="AF473" s="74"/>
      <c r="AG473" s="74"/>
      <c r="AH473" s="74"/>
      <c r="AI473" s="74"/>
      <c r="AJ473" s="74"/>
      <c r="AK473" s="74"/>
      <c r="AL473" s="74"/>
      <c r="AM473" s="74"/>
      <c r="AN473" s="74"/>
      <c r="AO473" s="74"/>
      <c r="AP473" s="74"/>
      <c r="AQ473" s="74"/>
      <c r="AR473" s="74"/>
      <c r="AS473" s="74"/>
      <c r="AT473" s="74"/>
      <c r="AU473" s="74"/>
      <c r="AV473" s="74"/>
      <c r="AW473" s="74"/>
      <c r="AX473" s="74"/>
      <c r="AY473" s="74"/>
      <c r="AZ473" s="74"/>
      <c r="BA473" s="74"/>
      <c r="BB473" s="74"/>
      <c r="BC473" s="74"/>
      <c r="BD473" s="74"/>
      <c r="BE473" s="74"/>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row>
    <row r="474" spans="1:109" ht="15" customHeight="1" x14ac:dyDescent="0.2">
      <c r="A474" s="3"/>
      <c r="B474" s="586"/>
      <c r="C474" s="582"/>
      <c r="D474" s="587"/>
      <c r="E474" s="567"/>
      <c r="F474" s="1374" t="str">
        <f>IF($S$467=1,"","Extensor pollicis longus")</f>
        <v>Extensor pollicis longus</v>
      </c>
      <c r="G474" s="1375"/>
      <c r="H474" s="1375"/>
      <c r="I474" s="1375"/>
      <c r="J474" s="1375"/>
      <c r="K474" s="1376"/>
      <c r="L474" s="95">
        <f t="shared" si="63"/>
        <v>0</v>
      </c>
      <c r="M474" s="1658"/>
      <c r="N474" s="1658"/>
      <c r="O474" s="99"/>
      <c r="P474" s="355" t="str">
        <f t="shared" si="62"/>
        <v/>
      </c>
      <c r="R474" s="745" t="b">
        <v>0</v>
      </c>
      <c r="S474" s="736">
        <f t="shared" si="56"/>
        <v>0</v>
      </c>
      <c r="T474" s="747">
        <f t="shared" si="60"/>
        <v>0</v>
      </c>
      <c r="U474" s="747">
        <f t="shared" si="61"/>
        <v>0</v>
      </c>
      <c r="V474" s="747">
        <f t="shared" si="57"/>
        <v>0</v>
      </c>
      <c r="W474" s="747">
        <f t="shared" si="58"/>
        <v>0</v>
      </c>
      <c r="X474" s="747">
        <f t="shared" si="59"/>
        <v>0</v>
      </c>
      <c r="Y474" s="74"/>
      <c r="Z474" s="74"/>
      <c r="AA474" s="74"/>
      <c r="AB474" s="74"/>
      <c r="AC474" s="74"/>
      <c r="AD474" s="74"/>
      <c r="AE474" s="74"/>
      <c r="AF474" s="74"/>
      <c r="AG474" s="74"/>
      <c r="AH474" s="74"/>
      <c r="AI474" s="74"/>
      <c r="AJ474" s="74"/>
      <c r="AK474" s="74"/>
      <c r="AL474" s="74"/>
      <c r="AM474" s="74"/>
      <c r="AN474" s="74"/>
      <c r="AO474" s="74"/>
      <c r="AP474" s="74"/>
      <c r="AQ474" s="74"/>
      <c r="AR474" s="74"/>
      <c r="AS474" s="74"/>
      <c r="AT474" s="74"/>
      <c r="AU474" s="74"/>
      <c r="AV474" s="74"/>
      <c r="AW474" s="74"/>
      <c r="AX474" s="74"/>
      <c r="AY474" s="74"/>
      <c r="AZ474" s="74"/>
      <c r="BA474" s="74"/>
      <c r="BB474" s="74"/>
      <c r="BC474" s="74"/>
      <c r="BD474" s="74"/>
      <c r="BE474" s="74"/>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row>
    <row r="475" spans="1:109" ht="15" customHeight="1" x14ac:dyDescent="0.2">
      <c r="A475" s="3"/>
      <c r="B475" s="586"/>
      <c r="C475" s="582"/>
      <c r="D475" s="587"/>
      <c r="E475" s="567"/>
      <c r="F475" s="1362" t="str">
        <f>IF($S$467=1,"","Extensor pollicis brevis")</f>
        <v>Extensor pollicis brevis</v>
      </c>
      <c r="G475" s="1363"/>
      <c r="H475" s="1363"/>
      <c r="I475" s="1363"/>
      <c r="J475" s="1363"/>
      <c r="K475" s="1364"/>
      <c r="L475" s="95">
        <f t="shared" si="63"/>
        <v>0</v>
      </c>
      <c r="M475" s="1658"/>
      <c r="N475" s="1658"/>
      <c r="O475" s="99"/>
      <c r="P475" s="355" t="str">
        <f t="shared" si="62"/>
        <v/>
      </c>
      <c r="R475" s="745" t="b">
        <v>0</v>
      </c>
      <c r="S475" s="736">
        <f t="shared" si="56"/>
        <v>0</v>
      </c>
      <c r="T475" s="747">
        <f t="shared" si="60"/>
        <v>0</v>
      </c>
      <c r="U475" s="747">
        <f t="shared" si="61"/>
        <v>0</v>
      </c>
      <c r="V475" s="747">
        <f t="shared" si="57"/>
        <v>0</v>
      </c>
      <c r="W475" s="747">
        <f t="shared" si="58"/>
        <v>0</v>
      </c>
      <c r="X475" s="747">
        <f t="shared" si="59"/>
        <v>0</v>
      </c>
      <c r="Y475" s="19"/>
      <c r="Z475" s="19"/>
      <c r="AA475" s="19"/>
      <c r="AB475" s="19"/>
      <c r="AC475" s="19"/>
      <c r="AD475" s="19"/>
      <c r="AE475" s="19"/>
      <c r="AF475" s="19"/>
      <c r="AG475" s="19"/>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row>
    <row r="476" spans="1:109" ht="15" customHeight="1" x14ac:dyDescent="0.2">
      <c r="A476" s="3"/>
      <c r="B476" s="588"/>
      <c r="C476" s="589"/>
      <c r="D476" s="590"/>
      <c r="E476" s="567"/>
      <c r="F476" s="1671" t="str">
        <f>IF($S$467=1,"","Extensor indicis proprius")</f>
        <v>Extensor indicis proprius</v>
      </c>
      <c r="G476" s="1672"/>
      <c r="H476" s="1672"/>
      <c r="I476" s="1672"/>
      <c r="J476" s="1672"/>
      <c r="K476" s="1673"/>
      <c r="L476" s="95">
        <f t="shared" si="63"/>
        <v>0</v>
      </c>
      <c r="M476" s="1658"/>
      <c r="N476" s="1658"/>
      <c r="O476" s="99"/>
      <c r="P476" s="355" t="str">
        <f t="shared" si="62"/>
        <v/>
      </c>
      <c r="R476" s="745" t="b">
        <v>0</v>
      </c>
      <c r="S476" s="736">
        <f t="shared" si="56"/>
        <v>0</v>
      </c>
      <c r="T476" s="747">
        <f t="shared" si="60"/>
        <v>0</v>
      </c>
      <c r="U476" s="747">
        <f t="shared" si="61"/>
        <v>0</v>
      </c>
      <c r="V476" s="747">
        <f t="shared" si="57"/>
        <v>0</v>
      </c>
      <c r="W476" s="747">
        <f t="shared" si="58"/>
        <v>0</v>
      </c>
      <c r="X476" s="747">
        <f t="shared" si="59"/>
        <v>0</v>
      </c>
      <c r="Y476" s="19"/>
      <c r="Z476" s="19"/>
      <c r="AA476" s="19"/>
      <c r="AB476" s="19"/>
      <c r="AC476" s="19"/>
      <c r="AD476" s="19"/>
      <c r="AE476" s="19"/>
      <c r="AF476" s="19"/>
      <c r="AG476" s="19"/>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row>
    <row r="477" spans="1:109" ht="15" customHeight="1" x14ac:dyDescent="0.2">
      <c r="A477" s="3"/>
      <c r="B477" s="1694" t="s">
        <v>516</v>
      </c>
      <c r="C477" s="1694"/>
      <c r="D477" s="1694"/>
      <c r="E477" s="1568"/>
      <c r="F477" s="1568"/>
      <c r="G477" s="1568"/>
      <c r="H477" s="1568"/>
      <c r="I477" s="1568"/>
      <c r="J477" s="1568"/>
      <c r="K477" s="1568"/>
      <c r="L477" s="1568"/>
      <c r="M477" s="1568"/>
      <c r="N477" s="1568"/>
      <c r="O477" s="1568"/>
      <c r="P477" s="240">
        <f>IF(SUM(P467:P476)=0,0,AVERAGE(P467:P476))</f>
        <v>0</v>
      </c>
      <c r="R477" s="157"/>
      <c r="S477" s="116"/>
      <c r="T477" s="172"/>
      <c r="U477" s="111"/>
      <c r="V477" s="111"/>
      <c r="W477" s="111"/>
      <c r="X477" s="111"/>
      <c r="Y477" s="19"/>
      <c r="Z477" s="19"/>
      <c r="AA477" s="19"/>
      <c r="AB477" s="19"/>
      <c r="AC477" s="19"/>
      <c r="AD477" s="19"/>
      <c r="AE477" s="19"/>
      <c r="AF477" s="19"/>
      <c r="AG477" s="19"/>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row>
    <row r="478" spans="1:109" ht="15" customHeight="1" x14ac:dyDescent="0.2">
      <c r="A478" s="157"/>
      <c r="B478" s="157"/>
      <c r="C478" s="157"/>
      <c r="D478" s="157"/>
      <c r="E478" s="157"/>
      <c r="F478" s="157"/>
      <c r="G478" s="157"/>
      <c r="H478" s="157"/>
      <c r="I478" s="157"/>
      <c r="J478" s="157"/>
      <c r="K478" s="157"/>
      <c r="L478" s="157"/>
      <c r="M478" s="157"/>
      <c r="N478" s="157"/>
      <c r="O478" s="157"/>
      <c r="P478" s="157"/>
      <c r="Q478" s="157"/>
      <c r="R478" s="157"/>
      <c r="S478" s="116"/>
      <c r="T478" s="754" t="s">
        <v>1689</v>
      </c>
      <c r="U478" s="754" t="s">
        <v>1597</v>
      </c>
      <c r="V478" s="754" t="s">
        <v>1692</v>
      </c>
      <c r="W478" s="754" t="s">
        <v>1693</v>
      </c>
      <c r="X478" s="754" t="s">
        <v>1694</v>
      </c>
      <c r="Y478" s="19"/>
      <c r="Z478" s="19"/>
      <c r="AA478" s="19"/>
      <c r="AB478" s="19"/>
      <c r="AC478" s="19"/>
      <c r="AD478" s="19"/>
      <c r="AE478" s="19"/>
      <c r="AF478" s="19"/>
      <c r="AG478" s="19"/>
      <c r="AH478" s="18"/>
      <c r="AI478" s="18"/>
      <c r="AJ478" s="18"/>
      <c r="AK478" s="18"/>
      <c r="AL478" s="18"/>
      <c r="AM478" s="18"/>
      <c r="AN478" s="18"/>
      <c r="AO478" s="18"/>
      <c r="AP478" s="18"/>
      <c r="AQ478" s="18"/>
      <c r="AR478" s="18"/>
      <c r="AS478" s="18"/>
      <c r="AT478" s="18"/>
    </row>
    <row r="479" spans="1:109" ht="15" customHeight="1" x14ac:dyDescent="0.2">
      <c r="A479" s="3"/>
      <c r="B479" s="571" t="s">
        <v>514</v>
      </c>
      <c r="C479" s="572"/>
      <c r="D479" s="573"/>
      <c r="E479" s="567"/>
      <c r="F479" s="1667" t="str">
        <f>IF(Z482=1,"","Overall loss at level shown")</f>
        <v/>
      </c>
      <c r="G479" s="1668"/>
      <c r="H479" s="1668"/>
      <c r="I479" s="1668"/>
      <c r="J479" s="1668"/>
      <c r="K479" s="1669"/>
      <c r="L479" s="95">
        <f>IF(OR(F479="",$S$479=0),0,IF($Z$482=2,0.69,IF($Z$482=3,0.44,0)))</f>
        <v>0</v>
      </c>
      <c r="M479" s="1658"/>
      <c r="N479" s="1658"/>
      <c r="O479" s="99"/>
      <c r="P479" s="355" t="str">
        <f>IF(OR(L479=0,M479=""),"",X479)</f>
        <v/>
      </c>
      <c r="R479" s="686" t="b">
        <v>0</v>
      </c>
      <c r="S479" s="736">
        <f t="shared" ref="S479:S491" si="64">IF(R479=TRUE,1,0)</f>
        <v>0</v>
      </c>
      <c r="T479" s="747">
        <f t="shared" ref="T479:T491" si="65">SUMIF($T$443:$AH$443,M479,$T$444:$AH$444)</f>
        <v>0</v>
      </c>
      <c r="U479" s="747">
        <f t="shared" ref="U479:U491" si="66">SUMIF($S$443:$AH$443,O479,$S$444:$AH$444)</f>
        <v>0</v>
      </c>
      <c r="V479" s="747">
        <f t="shared" ref="V479:V491" si="67">L479*T479</f>
        <v>0</v>
      </c>
      <c r="W479" s="747">
        <f t="shared" ref="W479:W491" si="68">L479*U479</f>
        <v>0</v>
      </c>
      <c r="X479" s="747">
        <f t="shared" ref="X479:X491" si="69">(IF(V479-W479&lt;=0,0,V479-W479))</f>
        <v>0</v>
      </c>
      <c r="Y479" s="19"/>
      <c r="Z479" s="19"/>
      <c r="AA479" s="19"/>
      <c r="AB479" s="19"/>
      <c r="AC479" s="19"/>
      <c r="AD479" s="19"/>
      <c r="AE479" s="111"/>
      <c r="AF479" s="112"/>
      <c r="AG479" s="19"/>
      <c r="AH479" s="18"/>
      <c r="AI479" s="18"/>
      <c r="AJ479" s="19"/>
      <c r="AK479" s="18"/>
      <c r="AL479" s="19"/>
      <c r="AM479" s="18"/>
      <c r="AN479" s="18"/>
      <c r="AO479" s="18"/>
      <c r="AP479" s="18"/>
      <c r="AQ479" s="18"/>
      <c r="AR479" s="18"/>
      <c r="AS479" s="18"/>
      <c r="AT479" s="18"/>
    </row>
    <row r="480" spans="1:109" ht="15" customHeight="1" x14ac:dyDescent="0.2">
      <c r="A480" s="3"/>
      <c r="B480" s="574"/>
      <c r="C480" s="570"/>
      <c r="D480" s="575"/>
      <c r="E480" s="567"/>
      <c r="F480" s="1671" t="str">
        <f>IF(OR($Z$482=1,$S$479=1),"","Pronator teres")</f>
        <v/>
      </c>
      <c r="G480" s="1672"/>
      <c r="H480" s="1672"/>
      <c r="I480" s="1672"/>
      <c r="J480" s="1672"/>
      <c r="K480" s="1673"/>
      <c r="L480" s="95">
        <f t="shared" ref="L480:L491" si="70">IF(OR(F480="",S480=0,$S$479=1),0,IF($Z$482=2,0.69,IF($Z$482=3,0.44,0)))</f>
        <v>0</v>
      </c>
      <c r="M480" s="1658"/>
      <c r="N480" s="1658"/>
      <c r="O480" s="99"/>
      <c r="P480" s="355" t="str">
        <f t="shared" ref="P480:P491" si="71">IF(OR(L480=0,M480="",X480=0),"",X480)</f>
        <v/>
      </c>
      <c r="R480" s="686" t="b">
        <v>0</v>
      </c>
      <c r="S480" s="736">
        <f t="shared" si="64"/>
        <v>0</v>
      </c>
      <c r="T480" s="747">
        <f t="shared" si="65"/>
        <v>0</v>
      </c>
      <c r="U480" s="747">
        <f t="shared" si="66"/>
        <v>0</v>
      </c>
      <c r="V480" s="747">
        <f t="shared" si="67"/>
        <v>0</v>
      </c>
      <c r="W480" s="747">
        <f t="shared" si="68"/>
        <v>0</v>
      </c>
      <c r="X480" s="747">
        <f t="shared" si="69"/>
        <v>0</v>
      </c>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row>
    <row r="481" spans="1:57" ht="15" customHeight="1" x14ac:dyDescent="0.2">
      <c r="A481" s="3"/>
      <c r="B481" s="574"/>
      <c r="C481" s="570"/>
      <c r="D481" s="575"/>
      <c r="E481" s="567"/>
      <c r="F481" s="1362" t="str">
        <f>IF(OR($Z$482=1,$S$479=1),"","Flexor carpi radialis")</f>
        <v/>
      </c>
      <c r="G481" s="1363"/>
      <c r="H481" s="1363"/>
      <c r="I481" s="1363"/>
      <c r="J481" s="1363"/>
      <c r="K481" s="1364"/>
      <c r="L481" s="95">
        <f t="shared" si="70"/>
        <v>0</v>
      </c>
      <c r="M481" s="1658"/>
      <c r="N481" s="1658"/>
      <c r="O481" s="99"/>
      <c r="P481" s="355" t="str">
        <f t="shared" si="71"/>
        <v/>
      </c>
      <c r="R481" s="745" t="b">
        <v>0</v>
      </c>
      <c r="S481" s="736">
        <f t="shared" si="64"/>
        <v>0</v>
      </c>
      <c r="T481" s="747">
        <f t="shared" si="65"/>
        <v>0</v>
      </c>
      <c r="U481" s="747">
        <f t="shared" si="66"/>
        <v>0</v>
      </c>
      <c r="V481" s="747">
        <f t="shared" si="67"/>
        <v>0</v>
      </c>
      <c r="W481" s="747">
        <f t="shared" si="68"/>
        <v>0</v>
      </c>
      <c r="X481" s="747">
        <f t="shared" si="69"/>
        <v>0</v>
      </c>
      <c r="Y481" s="19"/>
      <c r="Z481" s="164"/>
      <c r="AA481" s="18"/>
      <c r="AB481" s="19"/>
      <c r="AC481" s="19"/>
      <c r="AD481" s="19"/>
      <c r="AE481" s="19"/>
      <c r="AF481" s="19"/>
      <c r="AG481" s="19"/>
      <c r="AH481" s="18"/>
      <c r="AI481" s="18"/>
      <c r="AJ481" s="18"/>
      <c r="AK481" s="18"/>
      <c r="AL481" s="18"/>
      <c r="AM481" s="18"/>
      <c r="AN481" s="18"/>
      <c r="AO481" s="18"/>
      <c r="AP481" s="18"/>
      <c r="AQ481" s="18"/>
      <c r="AR481" s="18"/>
      <c r="AS481" s="18"/>
      <c r="AT481" s="18"/>
    </row>
    <row r="482" spans="1:57" ht="15" customHeight="1" x14ac:dyDescent="0.2">
      <c r="A482" s="3"/>
      <c r="B482" s="574"/>
      <c r="C482" s="570"/>
      <c r="D482" s="575"/>
      <c r="E482" s="567"/>
      <c r="F482" s="1671" t="str">
        <f>IF(OR($Z$482=1,$S$479=1),"","Palmaris longus")</f>
        <v/>
      </c>
      <c r="G482" s="1672"/>
      <c r="H482" s="1672"/>
      <c r="I482" s="1672"/>
      <c r="J482" s="1672"/>
      <c r="K482" s="1673"/>
      <c r="L482" s="95">
        <f t="shared" si="70"/>
        <v>0</v>
      </c>
      <c r="M482" s="1658"/>
      <c r="N482" s="1658"/>
      <c r="O482" s="99"/>
      <c r="P482" s="355" t="str">
        <f t="shared" si="71"/>
        <v/>
      </c>
      <c r="R482" s="745" t="b">
        <v>0</v>
      </c>
      <c r="S482" s="736">
        <f t="shared" si="64"/>
        <v>0</v>
      </c>
      <c r="T482" s="747">
        <f t="shared" si="65"/>
        <v>0</v>
      </c>
      <c r="U482" s="747">
        <f t="shared" si="66"/>
        <v>0</v>
      </c>
      <c r="V482" s="747">
        <f t="shared" si="67"/>
        <v>0</v>
      </c>
      <c r="W482" s="747">
        <f t="shared" si="68"/>
        <v>0</v>
      </c>
      <c r="X482" s="747">
        <f t="shared" si="69"/>
        <v>0</v>
      </c>
      <c r="Y482" s="18"/>
      <c r="Z482" s="751">
        <v>1</v>
      </c>
      <c r="AA482" s="752" t="s">
        <v>515</v>
      </c>
      <c r="AB482" s="785"/>
      <c r="AC482" s="786"/>
      <c r="AD482" s="18"/>
      <c r="AE482" s="18"/>
      <c r="AF482" s="18"/>
      <c r="AG482" s="18"/>
      <c r="AH482" s="18"/>
      <c r="AI482" s="18"/>
      <c r="AJ482" s="18"/>
      <c r="AK482" s="18"/>
      <c r="AL482" s="18"/>
      <c r="AM482" s="19"/>
      <c r="AN482" s="18"/>
      <c r="AO482" s="19"/>
      <c r="AP482" s="18"/>
      <c r="AQ482" s="19"/>
      <c r="AR482" s="19"/>
      <c r="AS482" s="19"/>
      <c r="AT482" s="19"/>
      <c r="AV482" s="191"/>
    </row>
    <row r="483" spans="1:57" ht="15" customHeight="1" x14ac:dyDescent="0.2">
      <c r="A483" s="3"/>
      <c r="B483" s="574"/>
      <c r="C483" s="570"/>
      <c r="D483" s="575"/>
      <c r="E483" s="567"/>
      <c r="F483" s="1362" t="str">
        <f>IF(OR($Z$482=1,$S$479=1),"","Flexor digitorum sublimis")</f>
        <v/>
      </c>
      <c r="G483" s="1363"/>
      <c r="H483" s="1363"/>
      <c r="I483" s="1363"/>
      <c r="J483" s="1363"/>
      <c r="K483" s="1364"/>
      <c r="L483" s="95">
        <f t="shared" si="70"/>
        <v>0</v>
      </c>
      <c r="M483" s="1658"/>
      <c r="N483" s="1658"/>
      <c r="O483" s="99"/>
      <c r="P483" s="355" t="str">
        <f t="shared" si="71"/>
        <v/>
      </c>
      <c r="R483" s="745" t="b">
        <v>0</v>
      </c>
      <c r="S483" s="736">
        <f t="shared" si="64"/>
        <v>0</v>
      </c>
      <c r="T483" s="747">
        <f t="shared" si="65"/>
        <v>0</v>
      </c>
      <c r="U483" s="747">
        <f t="shared" si="66"/>
        <v>0</v>
      </c>
      <c r="V483" s="747">
        <f t="shared" si="67"/>
        <v>0</v>
      </c>
      <c r="W483" s="747">
        <f t="shared" si="68"/>
        <v>0</v>
      </c>
      <c r="X483" s="747">
        <f t="shared" si="69"/>
        <v>0</v>
      </c>
      <c r="Y483" s="74"/>
      <c r="Z483" s="173"/>
      <c r="AA483" s="74"/>
      <c r="AB483" s="74"/>
      <c r="AC483" s="74"/>
      <c r="AD483" s="74"/>
      <c r="AE483" s="74"/>
      <c r="AF483" s="74"/>
      <c r="AG483" s="74"/>
      <c r="AH483" s="74"/>
      <c r="AI483" s="74"/>
      <c r="AJ483" s="74"/>
      <c r="AK483" s="74"/>
      <c r="AL483" s="74"/>
      <c r="AM483" s="74"/>
      <c r="AN483" s="74"/>
      <c r="AO483" s="74"/>
      <c r="AP483" s="74"/>
      <c r="AQ483" s="74"/>
      <c r="AR483" s="74"/>
      <c r="AS483" s="74"/>
      <c r="AT483" s="74"/>
      <c r="AU483" s="461"/>
      <c r="AV483" s="461"/>
      <c r="AW483" s="461"/>
      <c r="AX483" s="461"/>
      <c r="AY483" s="461"/>
      <c r="AZ483" s="461"/>
      <c r="BA483" s="461"/>
      <c r="BB483" s="461"/>
      <c r="BC483" s="461"/>
      <c r="BD483" s="461"/>
      <c r="BE483" s="461"/>
    </row>
    <row r="484" spans="1:57" ht="15" customHeight="1" x14ac:dyDescent="0.2">
      <c r="A484" s="3"/>
      <c r="B484" s="574"/>
      <c r="C484" s="570"/>
      <c r="D484" s="575"/>
      <c r="E484" s="567"/>
      <c r="F484" s="1671" t="str">
        <f>IF(OR($Z$482=1,$S$479=1),"","Flexor digitorum profundus")</f>
        <v/>
      </c>
      <c r="G484" s="1672"/>
      <c r="H484" s="1672"/>
      <c r="I484" s="1672"/>
      <c r="J484" s="1672"/>
      <c r="K484" s="1673"/>
      <c r="L484" s="95">
        <f t="shared" si="70"/>
        <v>0</v>
      </c>
      <c r="M484" s="1658"/>
      <c r="N484" s="1658"/>
      <c r="O484" s="99"/>
      <c r="P484" s="355" t="str">
        <f t="shared" si="71"/>
        <v/>
      </c>
      <c r="R484" s="745" t="b">
        <v>0</v>
      </c>
      <c r="S484" s="736">
        <f t="shared" si="64"/>
        <v>0</v>
      </c>
      <c r="T484" s="747">
        <f t="shared" si="65"/>
        <v>0</v>
      </c>
      <c r="U484" s="747">
        <f t="shared" si="66"/>
        <v>0</v>
      </c>
      <c r="V484" s="747">
        <f t="shared" si="67"/>
        <v>0</v>
      </c>
      <c r="W484" s="747">
        <f t="shared" si="68"/>
        <v>0</v>
      </c>
      <c r="X484" s="747">
        <f t="shared" si="69"/>
        <v>0</v>
      </c>
      <c r="Y484" s="74"/>
      <c r="Z484" s="74"/>
      <c r="AA484" s="74"/>
      <c r="AB484" s="74"/>
      <c r="AC484" s="74"/>
      <c r="AD484" s="74"/>
      <c r="AE484" s="74"/>
      <c r="AF484" s="74"/>
      <c r="AG484" s="74"/>
      <c r="AH484" s="74"/>
      <c r="AI484" s="74"/>
      <c r="AJ484" s="74"/>
      <c r="AK484" s="74"/>
      <c r="AL484" s="74"/>
      <c r="AM484" s="74"/>
      <c r="AN484" s="74"/>
      <c r="AO484" s="74"/>
      <c r="AP484" s="74"/>
      <c r="AQ484" s="74"/>
      <c r="AR484" s="74"/>
      <c r="AS484" s="74"/>
      <c r="AT484" s="74"/>
      <c r="AU484" s="461"/>
      <c r="AV484" s="461"/>
      <c r="AW484" s="461"/>
      <c r="AX484" s="461"/>
      <c r="AY484" s="461"/>
      <c r="AZ484" s="461"/>
      <c r="BA484" s="461"/>
      <c r="BB484" s="461"/>
      <c r="BC484" s="461"/>
      <c r="BD484" s="461"/>
      <c r="BE484" s="461"/>
    </row>
    <row r="485" spans="1:57" ht="15" customHeight="1" x14ac:dyDescent="0.2">
      <c r="A485" s="3"/>
      <c r="B485" s="574"/>
      <c r="C485" s="570"/>
      <c r="D485" s="575"/>
      <c r="E485" s="567"/>
      <c r="F485" s="1671" t="str">
        <f>IF(OR($Z$482=1,$S$479=1),"","Flexor pollicis longus")</f>
        <v/>
      </c>
      <c r="G485" s="1672"/>
      <c r="H485" s="1672"/>
      <c r="I485" s="1672"/>
      <c r="J485" s="1672"/>
      <c r="K485" s="1673"/>
      <c r="L485" s="95">
        <f t="shared" si="70"/>
        <v>0</v>
      </c>
      <c r="M485" s="1658"/>
      <c r="N485" s="1658"/>
      <c r="O485" s="99"/>
      <c r="P485" s="355" t="str">
        <f t="shared" si="71"/>
        <v/>
      </c>
      <c r="R485" s="745" t="b">
        <v>0</v>
      </c>
      <c r="S485" s="736">
        <f t="shared" si="64"/>
        <v>0</v>
      </c>
      <c r="T485" s="747">
        <f t="shared" si="65"/>
        <v>0</v>
      </c>
      <c r="U485" s="747">
        <f t="shared" si="66"/>
        <v>0</v>
      </c>
      <c r="V485" s="747">
        <f t="shared" si="67"/>
        <v>0</v>
      </c>
      <c r="W485" s="747">
        <f t="shared" si="68"/>
        <v>0</v>
      </c>
      <c r="X485" s="747">
        <f t="shared" si="69"/>
        <v>0</v>
      </c>
      <c r="Y485" s="74"/>
      <c r="Z485" s="74"/>
      <c r="AA485" s="74"/>
      <c r="AB485" s="74"/>
      <c r="AC485" s="74"/>
      <c r="AD485" s="74"/>
      <c r="AE485" s="74"/>
      <c r="AF485" s="74"/>
      <c r="AG485" s="74"/>
      <c r="AH485" s="74"/>
      <c r="AI485" s="74"/>
      <c r="AJ485" s="74"/>
      <c r="AK485" s="74"/>
      <c r="AL485" s="74"/>
      <c r="AM485" s="74"/>
      <c r="AN485" s="74"/>
      <c r="AO485" s="74"/>
      <c r="AP485" s="74"/>
      <c r="AQ485" s="74"/>
      <c r="AR485" s="74"/>
      <c r="AS485" s="74"/>
      <c r="AT485" s="74"/>
      <c r="AU485" s="461"/>
      <c r="AV485" s="461"/>
      <c r="AW485" s="461"/>
      <c r="AX485" s="461"/>
      <c r="AY485" s="461"/>
      <c r="AZ485" s="461"/>
      <c r="BA485" s="461"/>
      <c r="BB485" s="461"/>
      <c r="BC485" s="461"/>
      <c r="BD485" s="461"/>
      <c r="BE485" s="461"/>
    </row>
    <row r="486" spans="1:57" ht="15" customHeight="1" x14ac:dyDescent="0.2">
      <c r="A486" s="3"/>
      <c r="B486" s="574"/>
      <c r="C486" s="570"/>
      <c r="D486" s="575"/>
      <c r="E486" s="567"/>
      <c r="F486" s="1671" t="str">
        <f>IF(OR($Z$482=1,$S$479=1),"","Pronator quadratus")</f>
        <v/>
      </c>
      <c r="G486" s="1672"/>
      <c r="H486" s="1672"/>
      <c r="I486" s="1672"/>
      <c r="J486" s="1672"/>
      <c r="K486" s="1673"/>
      <c r="L486" s="95">
        <f t="shared" si="70"/>
        <v>0</v>
      </c>
      <c r="M486" s="1658"/>
      <c r="N486" s="1658"/>
      <c r="O486" s="99"/>
      <c r="P486" s="355" t="str">
        <f t="shared" si="71"/>
        <v/>
      </c>
      <c r="R486" s="745" t="b">
        <v>0</v>
      </c>
      <c r="S486" s="736">
        <f t="shared" si="64"/>
        <v>0</v>
      </c>
      <c r="T486" s="747">
        <f t="shared" si="65"/>
        <v>0</v>
      </c>
      <c r="U486" s="747">
        <f t="shared" si="66"/>
        <v>0</v>
      </c>
      <c r="V486" s="747">
        <f t="shared" si="67"/>
        <v>0</v>
      </c>
      <c r="W486" s="747">
        <f t="shared" si="68"/>
        <v>0</v>
      </c>
      <c r="X486" s="747">
        <f t="shared" si="69"/>
        <v>0</v>
      </c>
      <c r="Y486" s="74"/>
      <c r="Z486" s="74"/>
      <c r="AA486" s="74"/>
      <c r="AB486" s="74"/>
      <c r="AC486" s="74"/>
      <c r="AD486" s="74"/>
      <c r="AE486" s="74"/>
      <c r="AF486" s="74"/>
      <c r="AG486" s="74"/>
      <c r="AH486" s="74"/>
      <c r="AI486" s="74"/>
      <c r="AJ486" s="74"/>
      <c r="AK486" s="74"/>
      <c r="AL486" s="74"/>
      <c r="AM486" s="74"/>
      <c r="AN486" s="74"/>
      <c r="AO486" s="74"/>
      <c r="AP486" s="74"/>
      <c r="AQ486" s="74"/>
      <c r="AR486" s="74"/>
      <c r="AS486" s="74"/>
      <c r="AT486" s="74"/>
      <c r="AU486" s="461"/>
      <c r="AV486" s="461"/>
      <c r="AW486" s="461"/>
      <c r="AX486" s="461"/>
      <c r="AY486" s="461"/>
      <c r="AZ486" s="461"/>
      <c r="BA486" s="461"/>
      <c r="BB486" s="461"/>
      <c r="BC486" s="461"/>
      <c r="BD486" s="461"/>
      <c r="BE486" s="461"/>
    </row>
    <row r="487" spans="1:57" ht="15" customHeight="1" x14ac:dyDescent="0.2">
      <c r="A487" s="3"/>
      <c r="B487" s="574"/>
      <c r="C487" s="570"/>
      <c r="D487" s="575"/>
      <c r="E487" s="567"/>
      <c r="F487" s="1671" t="str">
        <f>IF(OR($Z$482=1,$S$479=1),"","Abductor pollicis brevis")</f>
        <v/>
      </c>
      <c r="G487" s="1672"/>
      <c r="H487" s="1672"/>
      <c r="I487" s="1672"/>
      <c r="J487" s="1672"/>
      <c r="K487" s="1673"/>
      <c r="L487" s="95">
        <f t="shared" si="70"/>
        <v>0</v>
      </c>
      <c r="M487" s="1658"/>
      <c r="N487" s="1658"/>
      <c r="O487" s="99"/>
      <c r="P487" s="355" t="str">
        <f t="shared" si="71"/>
        <v/>
      </c>
      <c r="R487" s="745" t="b">
        <v>0</v>
      </c>
      <c r="S487" s="736">
        <f t="shared" si="64"/>
        <v>0</v>
      </c>
      <c r="T487" s="747">
        <f t="shared" si="65"/>
        <v>0</v>
      </c>
      <c r="U487" s="747">
        <f t="shared" si="66"/>
        <v>0</v>
      </c>
      <c r="V487" s="747">
        <f t="shared" si="67"/>
        <v>0</v>
      </c>
      <c r="W487" s="747">
        <f t="shared" si="68"/>
        <v>0</v>
      </c>
      <c r="X487" s="747">
        <f t="shared" si="69"/>
        <v>0</v>
      </c>
      <c r="Y487" s="74"/>
      <c r="Z487" s="74"/>
      <c r="AA487" s="74"/>
      <c r="AB487" s="74"/>
      <c r="AC487" s="74"/>
      <c r="AD487" s="74"/>
      <c r="AE487" s="74"/>
      <c r="AF487" s="74"/>
      <c r="AG487" s="74"/>
      <c r="AH487" s="74"/>
      <c r="AI487" s="74"/>
      <c r="AJ487" s="74"/>
      <c r="AK487" s="74"/>
      <c r="AL487" s="74"/>
      <c r="AM487" s="74"/>
      <c r="AN487" s="74"/>
      <c r="AO487" s="74"/>
      <c r="AP487" s="74"/>
      <c r="AQ487" s="74"/>
      <c r="AR487" s="74"/>
      <c r="AS487" s="74"/>
      <c r="AT487" s="74"/>
      <c r="AU487" s="461"/>
      <c r="AV487" s="461"/>
      <c r="AW487" s="461"/>
      <c r="AX487" s="461"/>
      <c r="AY487" s="461"/>
      <c r="AZ487" s="461"/>
      <c r="BA487" s="461"/>
      <c r="BB487" s="461"/>
      <c r="BC487" s="461"/>
      <c r="BD487" s="461"/>
      <c r="BE487" s="461"/>
    </row>
    <row r="488" spans="1:57" ht="15" customHeight="1" x14ac:dyDescent="0.2">
      <c r="A488" s="3"/>
      <c r="B488" s="574"/>
      <c r="C488" s="570"/>
      <c r="D488" s="575"/>
      <c r="E488" s="567"/>
      <c r="F488" s="1671" t="str">
        <f>IF(OR($Z$482=1,$S$479=1),"","Opponens pollicis")</f>
        <v/>
      </c>
      <c r="G488" s="1672"/>
      <c r="H488" s="1672"/>
      <c r="I488" s="1672"/>
      <c r="J488" s="1672"/>
      <c r="K488" s="1673"/>
      <c r="L488" s="95">
        <f t="shared" si="70"/>
        <v>0</v>
      </c>
      <c r="M488" s="1658"/>
      <c r="N488" s="1658"/>
      <c r="O488" s="99"/>
      <c r="P488" s="355" t="str">
        <f t="shared" si="71"/>
        <v/>
      </c>
      <c r="R488" s="745" t="b">
        <v>0</v>
      </c>
      <c r="S488" s="736">
        <f t="shared" si="64"/>
        <v>0</v>
      </c>
      <c r="T488" s="747">
        <f t="shared" si="65"/>
        <v>0</v>
      </c>
      <c r="U488" s="747">
        <f t="shared" si="66"/>
        <v>0</v>
      </c>
      <c r="V488" s="747">
        <f t="shared" si="67"/>
        <v>0</v>
      </c>
      <c r="W488" s="747">
        <f t="shared" si="68"/>
        <v>0</v>
      </c>
      <c r="X488" s="747">
        <f t="shared" si="69"/>
        <v>0</v>
      </c>
      <c r="Y488" s="74"/>
      <c r="Z488" s="74"/>
      <c r="AA488" s="74"/>
      <c r="AB488" s="74"/>
      <c r="AC488" s="74"/>
      <c r="AD488" s="74"/>
      <c r="AE488" s="74"/>
      <c r="AF488" s="74"/>
      <c r="AG488" s="74"/>
      <c r="AH488" s="74"/>
      <c r="AI488" s="74"/>
      <c r="AJ488" s="74"/>
      <c r="AK488" s="74"/>
      <c r="AL488" s="74"/>
      <c r="AM488" s="74"/>
      <c r="AN488" s="74"/>
      <c r="AO488" s="74"/>
      <c r="AP488" s="74"/>
      <c r="AQ488" s="74"/>
      <c r="AR488" s="74"/>
      <c r="AS488" s="74"/>
      <c r="AT488" s="74"/>
      <c r="AU488" s="461"/>
      <c r="AV488" s="461"/>
      <c r="AW488" s="461"/>
      <c r="AX488" s="461"/>
      <c r="AY488" s="461"/>
      <c r="AZ488" s="461"/>
      <c r="BA488" s="461"/>
      <c r="BB488" s="461"/>
      <c r="BC488" s="461"/>
      <c r="BD488" s="461"/>
      <c r="BE488" s="461"/>
    </row>
    <row r="489" spans="1:57" ht="15" customHeight="1" x14ac:dyDescent="0.2">
      <c r="A489" s="3"/>
      <c r="B489" s="574"/>
      <c r="C489" s="570"/>
      <c r="D489" s="575"/>
      <c r="E489" s="567"/>
      <c r="F489" s="1671" t="str">
        <f>IF(OR($Z$482=1,$S$479=1),"","Flexor pollicis brevis")</f>
        <v/>
      </c>
      <c r="G489" s="1672"/>
      <c r="H489" s="1672"/>
      <c r="I489" s="1672"/>
      <c r="J489" s="1672"/>
      <c r="K489" s="1673"/>
      <c r="L489" s="95">
        <f t="shared" si="70"/>
        <v>0</v>
      </c>
      <c r="M489" s="1658"/>
      <c r="N489" s="1658"/>
      <c r="O489" s="99"/>
      <c r="P489" s="355" t="str">
        <f t="shared" si="71"/>
        <v/>
      </c>
      <c r="R489" s="745" t="b">
        <v>0</v>
      </c>
      <c r="S489" s="736">
        <f t="shared" si="64"/>
        <v>0</v>
      </c>
      <c r="T489" s="747">
        <f t="shared" si="65"/>
        <v>0</v>
      </c>
      <c r="U489" s="747">
        <f t="shared" si="66"/>
        <v>0</v>
      </c>
      <c r="V489" s="747">
        <f t="shared" si="67"/>
        <v>0</v>
      </c>
      <c r="W489" s="747">
        <f t="shared" si="68"/>
        <v>0</v>
      </c>
      <c r="X489" s="747">
        <f t="shared" si="69"/>
        <v>0</v>
      </c>
      <c r="Y489" s="74"/>
      <c r="Z489" s="74"/>
      <c r="AA489" s="74"/>
      <c r="AB489" s="74"/>
      <c r="AC489" s="74"/>
      <c r="AD489" s="74"/>
      <c r="AE489" s="74"/>
      <c r="AF489" s="74"/>
      <c r="AG489" s="74"/>
      <c r="AH489" s="74"/>
      <c r="AI489" s="74"/>
      <c r="AJ489" s="74"/>
      <c r="AK489" s="74"/>
      <c r="AL489" s="74"/>
      <c r="AM489" s="74"/>
      <c r="AN489" s="74"/>
      <c r="AO489" s="74"/>
      <c r="AP489" s="74"/>
      <c r="AQ489" s="74"/>
      <c r="AR489" s="74"/>
      <c r="AS489" s="74"/>
      <c r="AT489" s="74"/>
      <c r="AU489" s="461"/>
      <c r="AV489" s="461"/>
      <c r="AW489" s="461"/>
      <c r="AX489" s="461"/>
      <c r="AY489" s="461"/>
      <c r="AZ489" s="461"/>
      <c r="BA489" s="461"/>
      <c r="BB489" s="461"/>
      <c r="BC489" s="461"/>
      <c r="BD489" s="461"/>
      <c r="BE489" s="461"/>
    </row>
    <row r="490" spans="1:57" ht="15" customHeight="1" x14ac:dyDescent="0.2">
      <c r="A490" s="3"/>
      <c r="B490" s="574"/>
      <c r="C490" s="570"/>
      <c r="D490" s="575"/>
      <c r="E490" s="567"/>
      <c r="F490" s="1374" t="str">
        <f>IF(OR($Z$482=1,$S$479=1),"","Lumbricales I")</f>
        <v/>
      </c>
      <c r="G490" s="1375"/>
      <c r="H490" s="1375"/>
      <c r="I490" s="1375"/>
      <c r="J490" s="1375"/>
      <c r="K490" s="1376"/>
      <c r="L490" s="95">
        <f t="shared" si="70"/>
        <v>0</v>
      </c>
      <c r="M490" s="1658"/>
      <c r="N490" s="1658"/>
      <c r="O490" s="99"/>
      <c r="P490" s="355" t="str">
        <f t="shared" si="71"/>
        <v/>
      </c>
      <c r="R490" s="745" t="b">
        <v>0</v>
      </c>
      <c r="S490" s="736">
        <f t="shared" si="64"/>
        <v>0</v>
      </c>
      <c r="T490" s="747">
        <f t="shared" si="65"/>
        <v>0</v>
      </c>
      <c r="U490" s="747">
        <f t="shared" si="66"/>
        <v>0</v>
      </c>
      <c r="V490" s="747">
        <f t="shared" si="67"/>
        <v>0</v>
      </c>
      <c r="W490" s="747">
        <f t="shared" si="68"/>
        <v>0</v>
      </c>
      <c r="X490" s="747">
        <f t="shared" si="69"/>
        <v>0</v>
      </c>
      <c r="Y490" s="74"/>
      <c r="Z490" s="74"/>
      <c r="AA490" s="74"/>
      <c r="AB490" s="74"/>
      <c r="AC490" s="74"/>
      <c r="AD490" s="74"/>
      <c r="AE490" s="74"/>
      <c r="AF490" s="74"/>
      <c r="AG490" s="74"/>
      <c r="AH490" s="74"/>
      <c r="AI490" s="74"/>
      <c r="AJ490" s="74"/>
      <c r="AK490" s="74"/>
      <c r="AL490" s="74"/>
      <c r="AM490" s="74"/>
      <c r="AN490" s="74"/>
      <c r="AO490" s="74"/>
      <c r="AP490" s="74"/>
      <c r="AQ490" s="74"/>
      <c r="AR490" s="74"/>
      <c r="AS490" s="74"/>
      <c r="AT490" s="74"/>
      <c r="AU490" s="461"/>
      <c r="AV490" s="461"/>
      <c r="AW490" s="461"/>
      <c r="AX490" s="461"/>
      <c r="AY490" s="461"/>
      <c r="AZ490" s="461"/>
      <c r="BA490" s="461"/>
      <c r="BB490" s="461"/>
      <c r="BC490" s="461"/>
      <c r="BD490" s="461"/>
      <c r="BE490" s="461"/>
    </row>
    <row r="491" spans="1:57" ht="15" customHeight="1" x14ac:dyDescent="0.2">
      <c r="A491" s="3"/>
      <c r="B491" s="576"/>
      <c r="C491" s="577"/>
      <c r="D491" s="578"/>
      <c r="E491" s="567"/>
      <c r="F491" s="1362" t="str">
        <f>IF(OR($Z$482=1,$S$479=1),"","Lumbricales II")</f>
        <v/>
      </c>
      <c r="G491" s="1363"/>
      <c r="H491" s="1363"/>
      <c r="I491" s="1363"/>
      <c r="J491" s="1363"/>
      <c r="K491" s="1364"/>
      <c r="L491" s="95">
        <f t="shared" si="70"/>
        <v>0</v>
      </c>
      <c r="M491" s="1658"/>
      <c r="N491" s="1658"/>
      <c r="O491" s="99"/>
      <c r="P491" s="355" t="str">
        <f t="shared" si="71"/>
        <v/>
      </c>
      <c r="R491" s="745" t="b">
        <v>0</v>
      </c>
      <c r="S491" s="736">
        <f t="shared" si="64"/>
        <v>0</v>
      </c>
      <c r="T491" s="747">
        <f t="shared" si="65"/>
        <v>0</v>
      </c>
      <c r="U491" s="747">
        <f t="shared" si="66"/>
        <v>0</v>
      </c>
      <c r="V491" s="747">
        <f t="shared" si="67"/>
        <v>0</v>
      </c>
      <c r="W491" s="747">
        <f t="shared" si="68"/>
        <v>0</v>
      </c>
      <c r="X491" s="747">
        <f t="shared" si="69"/>
        <v>0</v>
      </c>
      <c r="Y491" s="19"/>
      <c r="Z491" s="19"/>
      <c r="AA491" s="19"/>
      <c r="AB491" s="19"/>
      <c r="AC491" s="19"/>
      <c r="AD491" s="19"/>
      <c r="AE491" s="19"/>
      <c r="AF491" s="19"/>
      <c r="AG491" s="19"/>
      <c r="AH491" s="18"/>
      <c r="AI491" s="18"/>
      <c r="AJ491" s="18"/>
      <c r="AK491" s="18"/>
      <c r="AL491" s="18"/>
      <c r="AM491" s="18"/>
      <c r="AN491" s="18"/>
      <c r="AO491" s="18"/>
      <c r="AP491" s="18"/>
      <c r="AQ491" s="18"/>
      <c r="AR491" s="18"/>
      <c r="AS491" s="18"/>
      <c r="AT491" s="18"/>
    </row>
    <row r="492" spans="1:57" ht="15" customHeight="1" x14ac:dyDescent="0.2">
      <c r="A492" s="3"/>
      <c r="B492" s="1743" t="s">
        <v>516</v>
      </c>
      <c r="C492" s="1743"/>
      <c r="D492" s="1743"/>
      <c r="E492" s="1570"/>
      <c r="F492" s="1570"/>
      <c r="G492" s="1570"/>
      <c r="H492" s="1570"/>
      <c r="I492" s="1570"/>
      <c r="J492" s="1570"/>
      <c r="K492" s="1570"/>
      <c r="L492" s="1570"/>
      <c r="M492" s="1570"/>
      <c r="N492" s="1570"/>
      <c r="O492" s="1570"/>
      <c r="P492" s="355">
        <f>IF(SUM(P479:P491)=0,0,AVERAGE(P479:P491))</f>
        <v>0</v>
      </c>
      <c r="Q492" s="3"/>
      <c r="R492" s="775"/>
      <c r="S492" s="116"/>
      <c r="T492" s="116"/>
      <c r="U492" s="111"/>
      <c r="V492" s="114"/>
      <c r="W492" s="114"/>
      <c r="X492" s="114"/>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row>
    <row r="493" spans="1:57" ht="12" customHeight="1" x14ac:dyDescent="0.2">
      <c r="A493" s="3"/>
      <c r="B493" s="1469"/>
      <c r="C493" s="1469"/>
      <c r="D493" s="1469"/>
      <c r="E493" s="1469"/>
      <c r="F493" s="1469"/>
      <c r="G493" s="1469"/>
      <c r="H493" s="1469"/>
      <c r="I493" s="1469"/>
      <c r="J493" s="1469"/>
      <c r="K493" s="1469"/>
      <c r="L493" s="1469"/>
      <c r="M493" s="1469"/>
      <c r="N493" s="1469"/>
      <c r="O493" s="1469"/>
      <c r="P493" s="103"/>
      <c r="Q493" s="3"/>
      <c r="R493" s="18"/>
      <c r="S493" s="116"/>
      <c r="T493" s="116"/>
      <c r="U493" s="111"/>
      <c r="V493" s="114"/>
      <c r="W493" s="114"/>
      <c r="X493" s="114"/>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row>
    <row r="494" spans="1:57" ht="12" customHeight="1" x14ac:dyDescent="0.2">
      <c r="A494" s="3"/>
      <c r="B494" s="1469"/>
      <c r="C494" s="1469"/>
      <c r="D494" s="1469"/>
      <c r="E494" s="1747"/>
      <c r="F494" s="1747"/>
      <c r="G494" s="1747"/>
      <c r="H494" s="1747"/>
      <c r="I494" s="1747"/>
      <c r="J494" s="1747"/>
      <c r="K494" s="1747"/>
      <c r="L494" s="1747"/>
      <c r="M494" s="1747"/>
      <c r="N494" s="1747"/>
      <c r="O494" s="1747"/>
      <c r="P494" s="104"/>
      <c r="Q494" s="3"/>
      <c r="R494" s="18"/>
      <c r="S494" s="116"/>
      <c r="T494" s="116"/>
      <c r="U494" s="111"/>
      <c r="V494" s="114"/>
      <c r="W494" s="114"/>
      <c r="X494" s="114"/>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row>
    <row r="495" spans="1:57" ht="15" customHeight="1" x14ac:dyDescent="0.2">
      <c r="A495" s="3"/>
      <c r="B495" s="556" t="s">
        <v>81</v>
      </c>
      <c r="C495" s="557"/>
      <c r="D495" s="558"/>
      <c r="E495" s="565"/>
      <c r="F495" s="1410" t="str">
        <f>IF(Z497=1,"","Overall loss at level shown")</f>
        <v/>
      </c>
      <c r="G495" s="1410"/>
      <c r="H495" s="1410"/>
      <c r="I495" s="1410"/>
      <c r="J495" s="1410"/>
      <c r="K495" s="1410"/>
      <c r="L495" s="95">
        <f>IF(OR(F495="",S495=0),0,IF($Z$497=2,0.44,IF($Z$497=3,0.31,0)))</f>
        <v>0</v>
      </c>
      <c r="M495" s="1658"/>
      <c r="N495" s="1658"/>
      <c r="O495" s="99"/>
      <c r="P495" s="355" t="str">
        <f>IF(OR(L495=0,M495=""),"",X495)</f>
        <v/>
      </c>
      <c r="R495" s="686" t="b">
        <v>0</v>
      </c>
      <c r="S495" s="736">
        <f t="shared" ref="S495:S505" si="72">IF(R495=TRUE,1,0)</f>
        <v>0</v>
      </c>
      <c r="T495" s="747">
        <f t="shared" ref="T495:T505" si="73">SUMIF($T$443:$AH$443,M495,$T$444:$AH$444)</f>
        <v>0</v>
      </c>
      <c r="U495" s="747">
        <f t="shared" ref="U495:U505" si="74">SUMIF($S$443:$AH$443,O495,$S$444:$AH$444)</f>
        <v>0</v>
      </c>
      <c r="V495" s="747">
        <f t="shared" ref="V495:V505" si="75">L495*T495</f>
        <v>0</v>
      </c>
      <c r="W495" s="747">
        <f t="shared" ref="W495:W505" si="76">L495*U495</f>
        <v>0</v>
      </c>
      <c r="X495" s="747">
        <f t="shared" ref="X495:X505" si="77">(IF(V495-W495&lt;=0,0,V495-W495))</f>
        <v>0</v>
      </c>
      <c r="Y495" s="18"/>
      <c r="Z495" s="18"/>
      <c r="AA495" s="18"/>
      <c r="AB495" s="18"/>
      <c r="AC495" s="18"/>
      <c r="AD495" s="18"/>
      <c r="AE495" s="18"/>
      <c r="AF495" s="18"/>
      <c r="AG495" s="18"/>
      <c r="AH495" s="172"/>
      <c r="AI495" s="18"/>
      <c r="AJ495" s="18"/>
      <c r="AK495" s="18"/>
      <c r="AL495" s="18"/>
      <c r="AM495" s="18"/>
      <c r="AN495" s="18"/>
      <c r="AO495" s="18"/>
      <c r="AP495" s="18"/>
      <c r="AQ495" s="18"/>
      <c r="AR495" s="18"/>
      <c r="AS495" s="18"/>
      <c r="AT495" s="18"/>
    </row>
    <row r="496" spans="1:57" ht="15" customHeight="1" x14ac:dyDescent="0.2">
      <c r="A496" s="3"/>
      <c r="B496" s="559"/>
      <c r="C496" s="560"/>
      <c r="D496" s="561"/>
      <c r="E496" s="565"/>
      <c r="F496" s="1410" t="str">
        <f>IF(OR($Z$497=1,$S$495=1),"","Flexor carpi ulnaris")</f>
        <v/>
      </c>
      <c r="G496" s="1410"/>
      <c r="H496" s="1410"/>
      <c r="I496" s="1410"/>
      <c r="J496" s="1410"/>
      <c r="K496" s="1410"/>
      <c r="L496" s="95">
        <f t="shared" ref="L496:L505" si="78">IF(OR(F496="",S496=0,$S$495=1),0,IF($Z$497=2,0.44,IF($Z$497=3,0.31,0)))</f>
        <v>0</v>
      </c>
      <c r="M496" s="1658"/>
      <c r="N496" s="1658"/>
      <c r="O496" s="99"/>
      <c r="P496" s="355" t="str">
        <f t="shared" ref="P496:P505" si="79">IF(OR(L496=0,M496="",X496=0),"",X496)</f>
        <v/>
      </c>
      <c r="R496" s="686" t="b">
        <v>0</v>
      </c>
      <c r="S496" s="736">
        <f t="shared" si="72"/>
        <v>0</v>
      </c>
      <c r="T496" s="747">
        <f t="shared" si="73"/>
        <v>0</v>
      </c>
      <c r="U496" s="747">
        <f t="shared" si="74"/>
        <v>0</v>
      </c>
      <c r="V496" s="747">
        <f t="shared" si="75"/>
        <v>0</v>
      </c>
      <c r="W496" s="747">
        <f t="shared" si="76"/>
        <v>0</v>
      </c>
      <c r="X496" s="747">
        <f t="shared" si="77"/>
        <v>0</v>
      </c>
      <c r="Y496" s="18"/>
      <c r="Z496" s="18"/>
      <c r="AA496" s="18"/>
      <c r="AB496" s="18"/>
      <c r="AC496" s="18"/>
      <c r="AD496" s="18"/>
      <c r="AE496" s="18"/>
      <c r="AF496" s="18"/>
      <c r="AG496" s="18"/>
      <c r="AH496" s="172"/>
      <c r="AI496" s="18"/>
      <c r="AJ496" s="18"/>
      <c r="AK496" s="18"/>
      <c r="AL496" s="18"/>
      <c r="AM496" s="18"/>
      <c r="AN496" s="18"/>
      <c r="AO496" s="18"/>
      <c r="AP496" s="18"/>
      <c r="AQ496" s="18"/>
      <c r="AR496" s="18"/>
      <c r="AS496" s="18"/>
      <c r="AT496" s="18"/>
    </row>
    <row r="497" spans="1:46" ht="27" customHeight="1" x14ac:dyDescent="0.2">
      <c r="A497" s="3"/>
      <c r="B497" s="559"/>
      <c r="C497" s="560"/>
      <c r="D497" s="561"/>
      <c r="E497" s="565"/>
      <c r="F497" s="1379" t="str">
        <f>IF(OR($Z$497=1,$S$495=1),"","Flexor digitorum profundus (medial half)")</f>
        <v/>
      </c>
      <c r="G497" s="1379"/>
      <c r="H497" s="1379"/>
      <c r="I497" s="1379"/>
      <c r="J497" s="1379"/>
      <c r="K497" s="1379"/>
      <c r="L497" s="95">
        <f t="shared" si="78"/>
        <v>0</v>
      </c>
      <c r="M497" s="1658"/>
      <c r="N497" s="1658"/>
      <c r="O497" s="99"/>
      <c r="P497" s="355" t="str">
        <f t="shared" si="79"/>
        <v/>
      </c>
      <c r="R497" s="686" t="b">
        <v>0</v>
      </c>
      <c r="S497" s="736">
        <f t="shared" si="72"/>
        <v>0</v>
      </c>
      <c r="T497" s="747">
        <f t="shared" si="73"/>
        <v>0</v>
      </c>
      <c r="U497" s="747">
        <f t="shared" si="74"/>
        <v>0</v>
      </c>
      <c r="V497" s="747">
        <f t="shared" si="75"/>
        <v>0</v>
      </c>
      <c r="W497" s="747">
        <f t="shared" si="76"/>
        <v>0</v>
      </c>
      <c r="X497" s="747">
        <f t="shared" si="77"/>
        <v>0</v>
      </c>
      <c r="Y497" s="18"/>
      <c r="Z497" s="751">
        <v>1</v>
      </c>
      <c r="AA497" s="752" t="s">
        <v>82</v>
      </c>
      <c r="AB497" s="785"/>
      <c r="AC497" s="786"/>
      <c r="AD497" s="18"/>
      <c r="AE497" s="18"/>
      <c r="AF497" s="18"/>
      <c r="AG497" s="18"/>
      <c r="AH497" s="172"/>
      <c r="AI497" s="18"/>
      <c r="AJ497" s="18"/>
      <c r="AK497" s="18"/>
      <c r="AL497" s="18"/>
      <c r="AM497" s="18"/>
      <c r="AN497" s="18"/>
      <c r="AO497" s="18"/>
      <c r="AP497" s="18"/>
      <c r="AQ497" s="18"/>
      <c r="AR497" s="18"/>
      <c r="AS497" s="18"/>
      <c r="AT497" s="18"/>
    </row>
    <row r="498" spans="1:46" ht="15" customHeight="1" x14ac:dyDescent="0.2">
      <c r="A498" s="3"/>
      <c r="B498" s="559"/>
      <c r="C498" s="560"/>
      <c r="D498" s="561"/>
      <c r="E498" s="565"/>
      <c r="F498" s="1410" t="str">
        <f>IF(OR($Z$497=1,$S$495=1),"","Flexor digiti quinti brevis")</f>
        <v/>
      </c>
      <c r="G498" s="1410"/>
      <c r="H498" s="1410"/>
      <c r="I498" s="1410"/>
      <c r="J498" s="1410"/>
      <c r="K498" s="1410"/>
      <c r="L498" s="95">
        <f t="shared" si="78"/>
        <v>0</v>
      </c>
      <c r="M498" s="1658"/>
      <c r="N498" s="1658"/>
      <c r="O498" s="99"/>
      <c r="P498" s="355" t="str">
        <f t="shared" si="79"/>
        <v/>
      </c>
      <c r="R498" s="686" t="b">
        <v>0</v>
      </c>
      <c r="S498" s="736">
        <f t="shared" si="72"/>
        <v>0</v>
      </c>
      <c r="T498" s="747">
        <f t="shared" si="73"/>
        <v>0</v>
      </c>
      <c r="U498" s="747">
        <f t="shared" si="74"/>
        <v>0</v>
      </c>
      <c r="V498" s="747">
        <f t="shared" si="75"/>
        <v>0</v>
      </c>
      <c r="W498" s="747">
        <f t="shared" si="76"/>
        <v>0</v>
      </c>
      <c r="X498" s="747">
        <f t="shared" si="77"/>
        <v>0</v>
      </c>
      <c r="Y498" s="18"/>
      <c r="Z498" s="18"/>
      <c r="AA498" s="18"/>
      <c r="AB498" s="18"/>
      <c r="AC498" s="18"/>
      <c r="AD498" s="18"/>
      <c r="AE498" s="18"/>
      <c r="AF498" s="18"/>
      <c r="AG498" s="18"/>
      <c r="AH498" s="172"/>
      <c r="AI498" s="18"/>
      <c r="AJ498" s="18"/>
      <c r="AK498" s="18"/>
      <c r="AL498" s="18"/>
      <c r="AM498" s="18"/>
      <c r="AN498" s="18"/>
      <c r="AO498" s="18"/>
      <c r="AP498" s="18"/>
      <c r="AQ498" s="18"/>
      <c r="AR498" s="18"/>
      <c r="AS498" s="18"/>
      <c r="AT498" s="18"/>
    </row>
    <row r="499" spans="1:46" ht="15" customHeight="1" x14ac:dyDescent="0.2">
      <c r="A499" s="3"/>
      <c r="B499" s="559"/>
      <c r="C499" s="560"/>
      <c r="D499" s="561"/>
      <c r="E499" s="565"/>
      <c r="F499" s="1410" t="str">
        <f>IF(OR($Z$497=1,$S$495=1),"","Abductor digiti quinti")</f>
        <v/>
      </c>
      <c r="G499" s="1410"/>
      <c r="H499" s="1410"/>
      <c r="I499" s="1410"/>
      <c r="J499" s="1410"/>
      <c r="K499" s="1410"/>
      <c r="L499" s="95">
        <f t="shared" si="78"/>
        <v>0</v>
      </c>
      <c r="M499" s="1658"/>
      <c r="N499" s="1658"/>
      <c r="O499" s="99"/>
      <c r="P499" s="355" t="str">
        <f t="shared" si="79"/>
        <v/>
      </c>
      <c r="R499" s="686" t="b">
        <v>0</v>
      </c>
      <c r="S499" s="736">
        <f t="shared" si="72"/>
        <v>0</v>
      </c>
      <c r="T499" s="747">
        <f t="shared" si="73"/>
        <v>0</v>
      </c>
      <c r="U499" s="747">
        <f t="shared" si="74"/>
        <v>0</v>
      </c>
      <c r="V499" s="747">
        <f t="shared" si="75"/>
        <v>0</v>
      </c>
      <c r="W499" s="747">
        <f t="shared" si="76"/>
        <v>0</v>
      </c>
      <c r="X499" s="747">
        <f t="shared" si="77"/>
        <v>0</v>
      </c>
      <c r="Y499" s="18"/>
      <c r="Z499" s="18"/>
      <c r="AA499" s="18"/>
      <c r="AB499" s="18"/>
      <c r="AC499" s="18"/>
      <c r="AD499" s="18"/>
      <c r="AE499" s="18"/>
      <c r="AF499" s="18"/>
      <c r="AG499" s="18"/>
      <c r="AH499" s="172"/>
      <c r="AI499" s="18"/>
      <c r="AJ499" s="18"/>
      <c r="AK499" s="18"/>
      <c r="AL499" s="18"/>
      <c r="AM499" s="18"/>
      <c r="AN499" s="18"/>
      <c r="AO499" s="18"/>
      <c r="AP499" s="18"/>
      <c r="AQ499" s="18"/>
      <c r="AR499" s="18"/>
      <c r="AS499" s="18"/>
      <c r="AT499" s="18"/>
    </row>
    <row r="500" spans="1:46" ht="15" customHeight="1" x14ac:dyDescent="0.2">
      <c r="A500" s="3"/>
      <c r="B500" s="559"/>
      <c r="C500" s="560"/>
      <c r="D500" s="561"/>
      <c r="E500" s="565"/>
      <c r="F500" s="1410" t="str">
        <f>IF(OR($Z$497=1,$S$495=1),"","Opponens digiti quinti")</f>
        <v/>
      </c>
      <c r="G500" s="1410"/>
      <c r="H500" s="1410"/>
      <c r="I500" s="1410"/>
      <c r="J500" s="1410"/>
      <c r="K500" s="1410"/>
      <c r="L500" s="95">
        <f t="shared" si="78"/>
        <v>0</v>
      </c>
      <c r="M500" s="1658"/>
      <c r="N500" s="1658"/>
      <c r="O500" s="99"/>
      <c r="P500" s="355" t="str">
        <f t="shared" si="79"/>
        <v/>
      </c>
      <c r="R500" s="686" t="b">
        <v>0</v>
      </c>
      <c r="S500" s="736">
        <f t="shared" si="72"/>
        <v>0</v>
      </c>
      <c r="T500" s="747">
        <f t="shared" si="73"/>
        <v>0</v>
      </c>
      <c r="U500" s="747">
        <f t="shared" si="74"/>
        <v>0</v>
      </c>
      <c r="V500" s="747">
        <f t="shared" si="75"/>
        <v>0</v>
      </c>
      <c r="W500" s="747">
        <f t="shared" si="76"/>
        <v>0</v>
      </c>
      <c r="X500" s="747">
        <f t="shared" si="77"/>
        <v>0</v>
      </c>
      <c r="Y500" s="18"/>
      <c r="Z500" s="18"/>
      <c r="AA500" s="18"/>
      <c r="AB500" s="18"/>
      <c r="AC500" s="18"/>
      <c r="AD500" s="18"/>
      <c r="AE500" s="18"/>
      <c r="AF500" s="18"/>
      <c r="AG500" s="18"/>
      <c r="AH500" s="172"/>
      <c r="AI500" s="18"/>
      <c r="AJ500" s="18"/>
      <c r="AK500" s="18"/>
      <c r="AL500" s="18"/>
      <c r="AM500" s="18"/>
      <c r="AN500" s="18"/>
      <c r="AO500" s="18"/>
      <c r="AP500" s="18"/>
      <c r="AQ500" s="18"/>
      <c r="AR500" s="18"/>
      <c r="AS500" s="18"/>
      <c r="AT500" s="18"/>
    </row>
    <row r="501" spans="1:46" ht="15" customHeight="1" x14ac:dyDescent="0.2">
      <c r="A501" s="3"/>
      <c r="B501" s="559"/>
      <c r="C501" s="560"/>
      <c r="D501" s="561"/>
      <c r="E501" s="565"/>
      <c r="F501" s="1410" t="str">
        <f>IF(OR($Z$497=1,$S$495=1),"","Interossei")</f>
        <v/>
      </c>
      <c r="G501" s="1410"/>
      <c r="H501" s="1410"/>
      <c r="I501" s="1410"/>
      <c r="J501" s="1410"/>
      <c r="K501" s="1410"/>
      <c r="L501" s="95">
        <f t="shared" si="78"/>
        <v>0</v>
      </c>
      <c r="M501" s="1658"/>
      <c r="N501" s="1658"/>
      <c r="O501" s="99"/>
      <c r="P501" s="355" t="str">
        <f t="shared" si="79"/>
        <v/>
      </c>
      <c r="R501" s="686" t="b">
        <v>0</v>
      </c>
      <c r="S501" s="736">
        <f t="shared" si="72"/>
        <v>0</v>
      </c>
      <c r="T501" s="747">
        <f t="shared" si="73"/>
        <v>0</v>
      </c>
      <c r="U501" s="747">
        <f t="shared" si="74"/>
        <v>0</v>
      </c>
      <c r="V501" s="747">
        <f t="shared" si="75"/>
        <v>0</v>
      </c>
      <c r="W501" s="747">
        <f t="shared" si="76"/>
        <v>0</v>
      </c>
      <c r="X501" s="747">
        <f t="shared" si="77"/>
        <v>0</v>
      </c>
      <c r="Y501" s="18"/>
      <c r="Z501" s="18"/>
      <c r="AA501" s="18"/>
      <c r="AB501" s="18"/>
      <c r="AC501" s="18"/>
      <c r="AD501" s="18"/>
      <c r="AE501" s="18"/>
      <c r="AF501" s="18"/>
      <c r="AG501" s="18"/>
      <c r="AH501" s="172"/>
      <c r="AI501" s="18"/>
      <c r="AJ501" s="18"/>
      <c r="AK501" s="18"/>
      <c r="AL501" s="18"/>
      <c r="AM501" s="18"/>
      <c r="AN501" s="18"/>
      <c r="AO501" s="18"/>
      <c r="AP501" s="18"/>
      <c r="AQ501" s="18"/>
      <c r="AR501" s="18"/>
      <c r="AS501" s="18"/>
      <c r="AT501" s="18"/>
    </row>
    <row r="502" spans="1:46" ht="15" customHeight="1" x14ac:dyDescent="0.2">
      <c r="A502" s="3"/>
      <c r="B502" s="559"/>
      <c r="C502" s="560"/>
      <c r="D502" s="561"/>
      <c r="E502" s="579"/>
      <c r="F502" s="1410" t="str">
        <f>IF(OR($Z$497=1,$S$495=1),"","Lumbricales III")</f>
        <v/>
      </c>
      <c r="G502" s="1410"/>
      <c r="H502" s="1410"/>
      <c r="I502" s="1410"/>
      <c r="J502" s="1410"/>
      <c r="K502" s="1410"/>
      <c r="L502" s="95">
        <f t="shared" si="78"/>
        <v>0</v>
      </c>
      <c r="M502" s="1658"/>
      <c r="N502" s="1658"/>
      <c r="O502" s="99"/>
      <c r="P502" s="355" t="str">
        <f t="shared" si="79"/>
        <v/>
      </c>
      <c r="R502" s="686" t="b">
        <v>0</v>
      </c>
      <c r="S502" s="736">
        <f t="shared" si="72"/>
        <v>0</v>
      </c>
      <c r="T502" s="747">
        <f t="shared" si="73"/>
        <v>0</v>
      </c>
      <c r="U502" s="747">
        <f t="shared" si="74"/>
        <v>0</v>
      </c>
      <c r="V502" s="747">
        <f t="shared" si="75"/>
        <v>0</v>
      </c>
      <c r="W502" s="747">
        <f t="shared" si="76"/>
        <v>0</v>
      </c>
      <c r="X502" s="747">
        <f t="shared" si="77"/>
        <v>0</v>
      </c>
      <c r="Y502" s="18"/>
      <c r="Z502" s="18"/>
      <c r="AA502" s="18"/>
      <c r="AB502" s="18"/>
      <c r="AC502" s="18"/>
      <c r="AD502" s="18"/>
      <c r="AE502" s="18"/>
      <c r="AF502" s="18"/>
      <c r="AG502" s="18"/>
      <c r="AH502" s="172"/>
      <c r="AI502" s="18"/>
      <c r="AJ502" s="18"/>
      <c r="AK502" s="18"/>
      <c r="AL502" s="18"/>
      <c r="AM502" s="18"/>
      <c r="AN502" s="18"/>
      <c r="AO502" s="18"/>
      <c r="AP502" s="18"/>
      <c r="AQ502" s="18"/>
      <c r="AR502" s="18"/>
      <c r="AS502" s="18"/>
      <c r="AT502" s="18"/>
    </row>
    <row r="503" spans="1:46" ht="15" customHeight="1" x14ac:dyDescent="0.2">
      <c r="A503" s="3"/>
      <c r="B503" s="559"/>
      <c r="C503" s="560"/>
      <c r="D503" s="561"/>
      <c r="E503" s="565"/>
      <c r="F503" s="1410" t="str">
        <f>IF(OR($Z$497=1,$S$495=1),"","Lumbricales IV")</f>
        <v/>
      </c>
      <c r="G503" s="1410"/>
      <c r="H503" s="1410"/>
      <c r="I503" s="1410"/>
      <c r="J503" s="1410"/>
      <c r="K503" s="1410"/>
      <c r="L503" s="95">
        <f t="shared" si="78"/>
        <v>0</v>
      </c>
      <c r="M503" s="1658"/>
      <c r="N503" s="1658"/>
      <c r="O503" s="99"/>
      <c r="P503" s="355" t="str">
        <f t="shared" si="79"/>
        <v/>
      </c>
      <c r="R503" s="686" t="b">
        <v>0</v>
      </c>
      <c r="S503" s="736">
        <f t="shared" si="72"/>
        <v>0</v>
      </c>
      <c r="T503" s="747">
        <f t="shared" si="73"/>
        <v>0</v>
      </c>
      <c r="U503" s="747">
        <f t="shared" si="74"/>
        <v>0</v>
      </c>
      <c r="V503" s="747">
        <f t="shared" si="75"/>
        <v>0</v>
      </c>
      <c r="W503" s="747">
        <f t="shared" si="76"/>
        <v>0</v>
      </c>
      <c r="X503" s="747">
        <f t="shared" si="77"/>
        <v>0</v>
      </c>
      <c r="Y503" s="18"/>
      <c r="Z503" s="18"/>
      <c r="AA503" s="18"/>
      <c r="AB503" s="18"/>
      <c r="AC503" s="18"/>
      <c r="AD503" s="18"/>
      <c r="AE503" s="18"/>
      <c r="AF503" s="18"/>
      <c r="AG503" s="18"/>
      <c r="AH503" s="172"/>
      <c r="AI503" s="18"/>
      <c r="AJ503" s="18"/>
      <c r="AK503" s="18"/>
      <c r="AL503" s="18"/>
      <c r="AM503" s="18"/>
      <c r="AN503" s="18"/>
      <c r="AO503" s="18"/>
      <c r="AP503" s="18"/>
      <c r="AQ503" s="18"/>
      <c r="AR503" s="18"/>
      <c r="AS503" s="18"/>
      <c r="AT503" s="18"/>
    </row>
    <row r="504" spans="1:46" ht="15" customHeight="1" x14ac:dyDescent="0.2">
      <c r="A504" s="3"/>
      <c r="B504" s="559"/>
      <c r="C504" s="560"/>
      <c r="D504" s="561"/>
      <c r="E504" s="565"/>
      <c r="F504" s="1410" t="str">
        <f>IF(OR($Z$497=1,$S$495=1),"","Adductor pollicis")</f>
        <v/>
      </c>
      <c r="G504" s="1410"/>
      <c r="H504" s="1410"/>
      <c r="I504" s="1410"/>
      <c r="J504" s="1410"/>
      <c r="K504" s="1410"/>
      <c r="L504" s="95">
        <f t="shared" si="78"/>
        <v>0</v>
      </c>
      <c r="M504" s="1658"/>
      <c r="N504" s="1658"/>
      <c r="O504" s="99"/>
      <c r="P504" s="355" t="str">
        <f t="shared" si="79"/>
        <v/>
      </c>
      <c r="R504" s="686" t="b">
        <v>0</v>
      </c>
      <c r="S504" s="736">
        <f t="shared" si="72"/>
        <v>0</v>
      </c>
      <c r="T504" s="747">
        <f t="shared" si="73"/>
        <v>0</v>
      </c>
      <c r="U504" s="747">
        <f t="shared" si="74"/>
        <v>0</v>
      </c>
      <c r="V504" s="747">
        <f t="shared" si="75"/>
        <v>0</v>
      </c>
      <c r="W504" s="747">
        <f t="shared" si="76"/>
        <v>0</v>
      </c>
      <c r="X504" s="747">
        <f t="shared" si="77"/>
        <v>0</v>
      </c>
      <c r="Y504" s="18"/>
      <c r="Z504" s="18"/>
      <c r="AA504" s="18"/>
      <c r="AB504" s="18"/>
      <c r="AC504" s="18"/>
      <c r="AD504" s="18"/>
      <c r="AE504" s="18"/>
      <c r="AF504" s="18"/>
      <c r="AG504" s="18"/>
      <c r="AH504" s="172"/>
      <c r="AI504" s="18"/>
      <c r="AJ504" s="18"/>
      <c r="AK504" s="18"/>
      <c r="AL504" s="18"/>
      <c r="AM504" s="18"/>
      <c r="AN504" s="18"/>
      <c r="AO504" s="18"/>
      <c r="AP504" s="18"/>
      <c r="AQ504" s="18"/>
      <c r="AR504" s="18"/>
      <c r="AS504" s="18"/>
      <c r="AT504" s="18"/>
    </row>
    <row r="505" spans="1:46" ht="27" customHeight="1" x14ac:dyDescent="0.2">
      <c r="A505" s="3"/>
      <c r="B505" s="562"/>
      <c r="C505" s="563"/>
      <c r="D505" s="564"/>
      <c r="E505" s="565"/>
      <c r="F505" s="1379" t="str">
        <f>IF(OR($Z$497=1,$S$495=1),"","Flexor pollicis brevis 
(deep part)")</f>
        <v/>
      </c>
      <c r="G505" s="1379"/>
      <c r="H505" s="1379"/>
      <c r="I505" s="1379"/>
      <c r="J505" s="1379"/>
      <c r="K505" s="1379"/>
      <c r="L505" s="95">
        <f t="shared" si="78"/>
        <v>0</v>
      </c>
      <c r="M505" s="1658"/>
      <c r="N505" s="1658"/>
      <c r="O505" s="99"/>
      <c r="P505" s="355" t="str">
        <f t="shared" si="79"/>
        <v/>
      </c>
      <c r="R505" s="686" t="b">
        <v>0</v>
      </c>
      <c r="S505" s="736">
        <f t="shared" si="72"/>
        <v>0</v>
      </c>
      <c r="T505" s="747">
        <f t="shared" si="73"/>
        <v>0</v>
      </c>
      <c r="U505" s="747">
        <f t="shared" si="74"/>
        <v>0</v>
      </c>
      <c r="V505" s="747">
        <f t="shared" si="75"/>
        <v>0</v>
      </c>
      <c r="W505" s="747">
        <f t="shared" si="76"/>
        <v>0</v>
      </c>
      <c r="X505" s="747">
        <f t="shared" si="77"/>
        <v>0</v>
      </c>
      <c r="Y505" s="18"/>
      <c r="Z505" s="18"/>
      <c r="AA505" s="18"/>
      <c r="AB505" s="18"/>
      <c r="AC505" s="18"/>
      <c r="AD505" s="18"/>
      <c r="AE505" s="18"/>
      <c r="AF505" s="18"/>
      <c r="AG505" s="18"/>
      <c r="AH505" s="172"/>
      <c r="AI505" s="18"/>
      <c r="AJ505" s="18"/>
      <c r="AK505" s="18"/>
      <c r="AL505" s="18"/>
      <c r="AM505" s="18"/>
      <c r="AN505" s="18"/>
      <c r="AO505" s="18"/>
      <c r="AP505" s="18"/>
      <c r="AQ505" s="18"/>
      <c r="AR505" s="18"/>
      <c r="AS505" s="18"/>
      <c r="AT505" s="18"/>
    </row>
    <row r="506" spans="1:46" ht="15" customHeight="1" x14ac:dyDescent="0.2">
      <c r="A506" s="3"/>
      <c r="B506" s="1570" t="s">
        <v>516</v>
      </c>
      <c r="C506" s="1570"/>
      <c r="D506" s="1570"/>
      <c r="E506" s="1570"/>
      <c r="F506" s="1570"/>
      <c r="G506" s="1570"/>
      <c r="H506" s="1570"/>
      <c r="I506" s="1570"/>
      <c r="J506" s="1570"/>
      <c r="K506" s="1570"/>
      <c r="L506" s="1570"/>
      <c r="M506" s="1570"/>
      <c r="N506" s="1570"/>
      <c r="O506" s="1570"/>
      <c r="P506" s="240">
        <f>IF(SUM(P495:P505)=0,0,AVERAGE(P495:P505))</f>
        <v>0</v>
      </c>
      <c r="R506" s="18"/>
      <c r="S506" s="116"/>
      <c r="T506" s="116"/>
      <c r="U506" s="111"/>
      <c r="V506" s="111"/>
      <c r="W506" s="111"/>
      <c r="X506" s="111"/>
      <c r="Y506" s="18"/>
      <c r="Z506" s="18"/>
      <c r="AA506" s="18"/>
      <c r="AB506" s="18"/>
      <c r="AC506" s="18"/>
      <c r="AD506" s="18"/>
      <c r="AE506" s="18"/>
      <c r="AF506" s="18"/>
      <c r="AG506" s="18"/>
      <c r="AH506" s="172"/>
      <c r="AI506" s="18"/>
      <c r="AJ506" s="18"/>
      <c r="AK506" s="18"/>
      <c r="AL506" s="18"/>
      <c r="AM506" s="18"/>
      <c r="AN506" s="18"/>
      <c r="AO506" s="18"/>
      <c r="AP506" s="18"/>
      <c r="AQ506" s="18"/>
      <c r="AR506" s="18"/>
      <c r="AS506" s="18"/>
      <c r="AT506" s="18"/>
    </row>
    <row r="507" spans="1:46" ht="12" customHeight="1" x14ac:dyDescent="0.2">
      <c r="A507" s="3"/>
      <c r="B507" s="18"/>
      <c r="C507" s="18"/>
      <c r="D507" s="18"/>
      <c r="E507" s="18"/>
      <c r="F507" s="18"/>
      <c r="G507" s="18"/>
      <c r="H507" s="18"/>
      <c r="I507" s="18"/>
      <c r="J507" s="18"/>
      <c r="K507" s="18"/>
      <c r="L507" s="18"/>
      <c r="M507" s="18"/>
      <c r="N507" s="18"/>
      <c r="O507" s="18"/>
      <c r="P507" s="18"/>
      <c r="R507" s="18"/>
      <c r="S507" s="116"/>
      <c r="T507" s="116"/>
      <c r="U507" s="111"/>
      <c r="V507" s="111"/>
      <c r="W507" s="111"/>
      <c r="X507" s="111"/>
      <c r="Y507" s="18"/>
      <c r="Z507" s="18"/>
      <c r="AA507" s="18"/>
      <c r="AB507" s="18"/>
      <c r="AC507" s="18"/>
      <c r="AD507" s="18"/>
      <c r="AE507" s="18"/>
      <c r="AF507" s="18"/>
      <c r="AG507" s="18"/>
      <c r="AH507" s="172"/>
      <c r="AI507" s="18"/>
      <c r="AJ507" s="18"/>
      <c r="AK507" s="18"/>
      <c r="AL507" s="18"/>
      <c r="AM507" s="18"/>
      <c r="AN507" s="18"/>
      <c r="AO507" s="18"/>
      <c r="AP507" s="18"/>
      <c r="AQ507" s="18"/>
      <c r="AR507" s="18"/>
      <c r="AS507" s="18"/>
      <c r="AT507" s="18"/>
    </row>
    <row r="508" spans="1:46" ht="18" customHeight="1" x14ac:dyDescent="0.2">
      <c r="B508" s="1570" t="s">
        <v>83</v>
      </c>
      <c r="C508" s="1570"/>
      <c r="D508" s="1570"/>
      <c r="E508" s="1570"/>
      <c r="F508" s="1570"/>
      <c r="G508" s="1570"/>
      <c r="H508" s="1570"/>
      <c r="I508" s="1570"/>
      <c r="J508" s="1570"/>
      <c r="K508" s="1570"/>
      <c r="L508" s="1570"/>
      <c r="M508" s="1570"/>
      <c r="N508" s="1570"/>
      <c r="O508" s="1570"/>
      <c r="P508" s="344">
        <f>AD447</f>
        <v>0</v>
      </c>
      <c r="Q508" s="93"/>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row>
    <row r="509" spans="1:46" ht="12" customHeight="1" x14ac:dyDescent="0.2">
      <c r="B509" s="18"/>
      <c r="C509" s="18"/>
      <c r="D509" s="18"/>
      <c r="E509" s="18"/>
      <c r="F509" s="18"/>
      <c r="G509" s="18"/>
      <c r="H509" s="18"/>
      <c r="I509" s="18"/>
      <c r="J509" s="18"/>
      <c r="K509" s="18"/>
      <c r="L509" s="18"/>
      <c r="M509" s="18"/>
      <c r="N509" s="18"/>
      <c r="O509" s="18"/>
      <c r="P509" s="18"/>
      <c r="Q509" s="93"/>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row>
    <row r="510" spans="1:46" ht="18" customHeight="1" x14ac:dyDescent="0.2">
      <c r="B510" s="1570" t="s">
        <v>84</v>
      </c>
      <c r="C510" s="1570"/>
      <c r="D510" s="1570"/>
      <c r="E510" s="1570"/>
      <c r="F510" s="1570"/>
      <c r="G510" s="1570"/>
      <c r="H510" s="1570"/>
      <c r="I510" s="1570"/>
      <c r="J510" s="1570"/>
      <c r="K510" s="1570"/>
      <c r="L510" s="1570"/>
      <c r="M510" s="1570"/>
      <c r="N510" s="1570"/>
      <c r="O510" s="1570"/>
      <c r="P510" s="344">
        <f>AI453</f>
        <v>0</v>
      </c>
      <c r="Q510" s="93"/>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row>
    <row r="511" spans="1:46" ht="12" customHeight="1" x14ac:dyDescent="0.2">
      <c r="B511" s="1395"/>
      <c r="C511" s="1395"/>
      <c r="D511" s="1395"/>
      <c r="E511" s="1395"/>
      <c r="F511" s="1395"/>
      <c r="G511" s="1395"/>
      <c r="H511" s="1395"/>
      <c r="I511" s="1395"/>
      <c r="J511" s="1395"/>
      <c r="K511" s="1395"/>
      <c r="L511" s="1395"/>
      <c r="M511" s="1395"/>
      <c r="N511" s="1395"/>
      <c r="O511" s="1395"/>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row>
    <row r="512" spans="1:46" ht="18" customHeight="1" x14ac:dyDescent="0.2">
      <c r="B512" s="1687" t="s">
        <v>85</v>
      </c>
      <c r="C512" s="1534"/>
      <c r="D512" s="1534"/>
      <c r="E512" s="1534"/>
      <c r="F512" s="1534"/>
      <c r="G512" s="1534"/>
      <c r="H512" s="1534"/>
      <c r="I512" s="1534"/>
      <c r="J512" s="1534"/>
      <c r="K512" s="1534"/>
      <c r="L512" s="1534"/>
      <c r="M512" s="1534"/>
      <c r="N512" s="1534"/>
      <c r="O512" s="1534"/>
      <c r="P512" s="1450"/>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row>
    <row r="513" spans="1:46" ht="40.5" customHeight="1" x14ac:dyDescent="0.2">
      <c r="B513" s="1379" t="s">
        <v>773</v>
      </c>
      <c r="C513" s="1379"/>
      <c r="D513" s="1379"/>
      <c r="E513" s="1379"/>
      <c r="F513" s="1379"/>
      <c r="G513" s="1379"/>
      <c r="H513" s="1379"/>
      <c r="I513" s="1379"/>
      <c r="J513" s="1379"/>
      <c r="K513" s="1379"/>
      <c r="L513" s="1379"/>
      <c r="M513" s="1379"/>
      <c r="N513" s="1379"/>
      <c r="O513" s="1379"/>
      <c r="P513" s="1452"/>
      <c r="R513" s="787" t="s">
        <v>2198</v>
      </c>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row>
    <row r="514" spans="1:46" ht="19.5" customHeight="1" x14ac:dyDescent="0.2">
      <c r="A514" s="189"/>
      <c r="B514" s="1410" t="s">
        <v>948</v>
      </c>
      <c r="C514" s="1410"/>
      <c r="D514" s="1410"/>
      <c r="E514" s="1410"/>
      <c r="F514" s="1410"/>
      <c r="G514" s="1410"/>
      <c r="H514" s="1410"/>
      <c r="I514" s="1410"/>
      <c r="J514" s="1410"/>
      <c r="K514" s="1410"/>
      <c r="L514" s="1639"/>
      <c r="M514" s="1639"/>
      <c r="N514" s="1639"/>
      <c r="O514" s="1639"/>
      <c r="P514" s="26">
        <f>IF(R514=1,0.05,0)</f>
        <v>0</v>
      </c>
      <c r="R514" s="686">
        <v>2</v>
      </c>
      <c r="S514" s="18"/>
      <c r="T514" s="18"/>
      <c r="U514" s="18"/>
      <c r="V514" s="18"/>
      <c r="W514" s="18">
        <v>1E-4</v>
      </c>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row>
    <row r="515" spans="1:46" ht="12" customHeight="1" x14ac:dyDescent="0.2">
      <c r="B515" s="1395"/>
      <c r="C515" s="1395"/>
      <c r="D515" s="1395"/>
      <c r="E515" s="1395"/>
      <c r="F515" s="1395"/>
      <c r="G515" s="1395"/>
      <c r="H515" s="1395"/>
      <c r="I515" s="1395"/>
      <c r="J515" s="1395"/>
      <c r="K515" s="1395"/>
      <c r="L515" s="1395"/>
      <c r="M515" s="1395"/>
      <c r="N515" s="1395"/>
      <c r="O515" s="1395"/>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row>
    <row r="516" spans="1:46" ht="18" customHeight="1" x14ac:dyDescent="0.2">
      <c r="B516" s="1555" t="s">
        <v>86</v>
      </c>
      <c r="C516" s="1555"/>
      <c r="D516" s="1555"/>
      <c r="E516" s="1555"/>
      <c r="F516" s="1555"/>
      <c r="G516" s="1555"/>
      <c r="H516" s="1555"/>
      <c r="I516" s="1555"/>
      <c r="J516" s="1555"/>
      <c r="K516" s="1555"/>
      <c r="L516" s="1555"/>
      <c r="M516" s="1555"/>
      <c r="N516" s="1555"/>
      <c r="O516" s="1555"/>
      <c r="P516" s="1555"/>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row>
    <row r="517" spans="1:46" ht="67.5" customHeight="1" x14ac:dyDescent="0.2">
      <c r="B517" s="1379" t="s">
        <v>766</v>
      </c>
      <c r="C517" s="1379"/>
      <c r="D517" s="1379"/>
      <c r="E517" s="1379"/>
      <c r="F517" s="1379"/>
      <c r="G517" s="1379"/>
      <c r="H517" s="1379"/>
      <c r="I517" s="1379"/>
      <c r="J517" s="1379"/>
      <c r="K517" s="1379"/>
      <c r="L517" s="1379"/>
      <c r="M517" s="1379"/>
      <c r="N517" s="1379"/>
      <c r="O517" s="1379"/>
      <c r="P517" s="1555"/>
      <c r="R517" s="756" t="s">
        <v>87</v>
      </c>
      <c r="S517" s="756" t="s">
        <v>498</v>
      </c>
      <c r="T517" s="756" t="s">
        <v>2200</v>
      </c>
      <c r="U517" s="756" t="s">
        <v>2201</v>
      </c>
      <c r="V517" s="761" t="s">
        <v>2202</v>
      </c>
      <c r="W517" s="761" t="s">
        <v>2203</v>
      </c>
      <c r="X517" s="757"/>
      <c r="Y517" s="757" t="s">
        <v>736</v>
      </c>
      <c r="Z517" s="757" t="s">
        <v>1305</v>
      </c>
      <c r="AA517" s="757" t="s">
        <v>1306</v>
      </c>
      <c r="AB517" s="757" t="s">
        <v>1307</v>
      </c>
      <c r="AC517" s="18"/>
      <c r="AD517" s="18"/>
      <c r="AE517" s="18"/>
      <c r="AF517" s="18"/>
      <c r="AG517" s="18"/>
      <c r="AH517" s="18"/>
      <c r="AI517" s="18"/>
      <c r="AJ517" s="18"/>
      <c r="AK517" s="18"/>
      <c r="AL517" s="18"/>
      <c r="AM517" s="18"/>
      <c r="AN517" s="18"/>
      <c r="AO517" s="18"/>
      <c r="AP517" s="18"/>
      <c r="AQ517" s="18"/>
      <c r="AR517" s="18"/>
      <c r="AS517" s="18"/>
      <c r="AT517" s="18"/>
    </row>
    <row r="518" spans="1:46" ht="15" customHeight="1" x14ac:dyDescent="0.2">
      <c r="B518" s="256" t="s">
        <v>1574</v>
      </c>
      <c r="C518" s="1373">
        <f>P60</f>
        <v>0</v>
      </c>
      <c r="D518" s="1346"/>
      <c r="E518" s="1346"/>
      <c r="F518" s="1555" t="s">
        <v>1164</v>
      </c>
      <c r="G518" s="1555"/>
      <c r="H518" s="1555"/>
      <c r="I518" s="1555"/>
      <c r="J518" s="1555"/>
      <c r="K518" s="1555"/>
      <c r="L518" s="1545">
        <f>UETable!BF90</f>
        <v>0</v>
      </c>
      <c r="M518" s="1545"/>
      <c r="N518" s="1555" t="s">
        <v>1656</v>
      </c>
      <c r="O518" s="1555"/>
      <c r="P518" s="1373">
        <f>IF(OR(B524=Y518,B524=Y519,B524=Y520),0,SUM(L518:M522))</f>
        <v>0</v>
      </c>
      <c r="R518" s="757">
        <f>X61</f>
        <v>0</v>
      </c>
      <c r="S518" s="767">
        <f>IF(SUM(E528:F552)&gt;0,1,IF(SUM(E595:E607)&gt;0,1,0))</f>
        <v>0</v>
      </c>
      <c r="T518" s="757">
        <f>C518*48</f>
        <v>0</v>
      </c>
      <c r="U518" s="757">
        <f>L518*150</f>
        <v>0</v>
      </c>
      <c r="V518" s="452">
        <f>IF(AND(C518&gt;0,C518*0.15&lt;0.01),0.01,C518*0.15)</f>
        <v>0</v>
      </c>
      <c r="W518" s="758">
        <f>ROUND(SUM($L$518:$M$522)*0.47,2)</f>
        <v>0</v>
      </c>
      <c r="X518" s="757"/>
      <c r="Y518" s="757" t="s">
        <v>737</v>
      </c>
      <c r="Z518" s="760">
        <f>LARGE($V$518:$V$522,1)</f>
        <v>0</v>
      </c>
      <c r="AA518" s="684">
        <f>Z518+Z519*(1-Z518)</f>
        <v>0</v>
      </c>
      <c r="AB518" s="688">
        <f t="shared" ref="AB518:AB521" si="80">ROUND(AA518,2)</f>
        <v>0</v>
      </c>
      <c r="AC518" s="18"/>
      <c r="AD518" s="18"/>
      <c r="AE518" s="18"/>
      <c r="AF518" s="18"/>
      <c r="AG518" s="18"/>
      <c r="AH518" s="18"/>
      <c r="AI518" s="18"/>
      <c r="AJ518" s="18"/>
      <c r="AK518" s="18"/>
      <c r="AL518" s="18"/>
      <c r="AM518" s="18"/>
      <c r="AN518" s="18"/>
      <c r="AO518" s="18"/>
      <c r="AP518" s="18"/>
      <c r="AQ518" s="18"/>
      <c r="AR518" s="18"/>
      <c r="AS518" s="18"/>
      <c r="AT518" s="18"/>
    </row>
    <row r="519" spans="1:46" ht="15" customHeight="1" x14ac:dyDescent="0.2">
      <c r="B519" s="256" t="s">
        <v>146</v>
      </c>
      <c r="C519" s="1373">
        <f>P137</f>
        <v>0</v>
      </c>
      <c r="D519" s="1346"/>
      <c r="E519" s="1346"/>
      <c r="F519" s="1555" t="s">
        <v>1164</v>
      </c>
      <c r="G519" s="1555"/>
      <c r="H519" s="1555"/>
      <c r="I519" s="1555"/>
      <c r="J519" s="1555"/>
      <c r="K519" s="1555"/>
      <c r="L519" s="1545">
        <f>UETable!BF91</f>
        <v>0</v>
      </c>
      <c r="M519" s="1545"/>
      <c r="N519" s="1555" t="s">
        <v>1656</v>
      </c>
      <c r="O519" s="1555"/>
      <c r="P519" s="1346"/>
      <c r="R519" s="757">
        <f>X138</f>
        <v>0</v>
      </c>
      <c r="S519" s="757"/>
      <c r="T519" s="757">
        <f>C519*24</f>
        <v>0</v>
      </c>
      <c r="U519" s="757">
        <f>L519*150</f>
        <v>0</v>
      </c>
      <c r="V519" s="452">
        <f>IF(AND(C519&gt;0,C519*0.08&lt;0.01),0.01,C519*0.08)</f>
        <v>0</v>
      </c>
      <c r="W519" s="758"/>
      <c r="X519" s="757"/>
      <c r="Y519" s="757" t="s">
        <v>1772</v>
      </c>
      <c r="Z519" s="760">
        <f>LARGE($V$518:$V$522,2)</f>
        <v>0</v>
      </c>
      <c r="AA519" s="684">
        <f>AB518+Z520*(1-AB518)</f>
        <v>0</v>
      </c>
      <c r="AB519" s="688">
        <f t="shared" si="80"/>
        <v>0</v>
      </c>
      <c r="AC519" s="18"/>
      <c r="AD519" s="18"/>
      <c r="AE519" s="18"/>
      <c r="AF519" s="18"/>
      <c r="AG519" s="18"/>
      <c r="AH519" s="18"/>
      <c r="AI519" s="18"/>
      <c r="AJ519" s="18"/>
      <c r="AK519" s="18"/>
      <c r="AL519" s="18"/>
      <c r="AM519" s="18"/>
      <c r="AN519" s="18"/>
      <c r="AO519" s="18"/>
      <c r="AP519" s="18"/>
      <c r="AQ519" s="18"/>
      <c r="AR519" s="18"/>
      <c r="AS519" s="18"/>
      <c r="AT519" s="18"/>
    </row>
    <row r="520" spans="1:46" ht="15" customHeight="1" x14ac:dyDescent="0.2">
      <c r="B520" s="256" t="s">
        <v>1567</v>
      </c>
      <c r="C520" s="1373">
        <f>P214</f>
        <v>0</v>
      </c>
      <c r="D520" s="1346"/>
      <c r="E520" s="1346"/>
      <c r="F520" s="1555" t="s">
        <v>1164</v>
      </c>
      <c r="G520" s="1555"/>
      <c r="H520" s="1555"/>
      <c r="I520" s="1555"/>
      <c r="J520" s="1555"/>
      <c r="K520" s="1555"/>
      <c r="L520" s="1545">
        <f>UETable!BF92</f>
        <v>0</v>
      </c>
      <c r="M520" s="1545"/>
      <c r="N520" s="1555" t="s">
        <v>1656</v>
      </c>
      <c r="O520" s="1555"/>
      <c r="P520" s="1346"/>
      <c r="R520" s="757">
        <f>X215</f>
        <v>0</v>
      </c>
      <c r="S520" s="757"/>
      <c r="T520" s="757">
        <f>C520*22</f>
        <v>0</v>
      </c>
      <c r="U520" s="757">
        <f>L520*150</f>
        <v>0</v>
      </c>
      <c r="V520" s="452">
        <f>IF(AND(C520&gt;0,C520*0.07&lt;0.01),0.01,C520*0.07)</f>
        <v>0</v>
      </c>
      <c r="W520" s="758"/>
      <c r="X520" s="757"/>
      <c r="Y520" s="757" t="s">
        <v>2207</v>
      </c>
      <c r="Z520" s="760">
        <f>LARGE($V$518:$V$522,3)</f>
        <v>0</v>
      </c>
      <c r="AA520" s="684">
        <f t="shared" ref="AA520:AA521" si="81">AB519+Z521*(1-AB519)</f>
        <v>0</v>
      </c>
      <c r="AB520" s="688">
        <f t="shared" si="80"/>
        <v>0</v>
      </c>
      <c r="AC520" s="18"/>
      <c r="AD520" s="18"/>
      <c r="AE520" s="18"/>
      <c r="AF520" s="18"/>
      <c r="AG520" s="18"/>
      <c r="AH520" s="18"/>
      <c r="AI520" s="18"/>
      <c r="AJ520" s="18"/>
      <c r="AK520" s="18"/>
      <c r="AL520" s="18"/>
      <c r="AM520" s="18"/>
      <c r="AN520" s="18"/>
      <c r="AO520" s="18"/>
      <c r="AP520" s="18"/>
      <c r="AQ520" s="18"/>
      <c r="AR520" s="18"/>
      <c r="AS520" s="18"/>
      <c r="AT520" s="18"/>
    </row>
    <row r="521" spans="1:46" ht="15" customHeight="1" x14ac:dyDescent="0.2">
      <c r="B521" s="256" t="s">
        <v>1569</v>
      </c>
      <c r="C521" s="1373">
        <f>P289</f>
        <v>0</v>
      </c>
      <c r="D521" s="1346"/>
      <c r="E521" s="1346"/>
      <c r="F521" s="1555" t="s">
        <v>1164</v>
      </c>
      <c r="G521" s="1555"/>
      <c r="H521" s="1555"/>
      <c r="I521" s="1555"/>
      <c r="J521" s="1555"/>
      <c r="K521" s="1555"/>
      <c r="L521" s="1545">
        <f>UETable!BF93</f>
        <v>0</v>
      </c>
      <c r="M521" s="1545"/>
      <c r="N521" s="1555" t="s">
        <v>1656</v>
      </c>
      <c r="O521" s="1555"/>
      <c r="P521" s="1346"/>
      <c r="R521" s="757">
        <f>X290</f>
        <v>0</v>
      </c>
      <c r="S521" s="757"/>
      <c r="T521" s="757">
        <f>C521*10</f>
        <v>0</v>
      </c>
      <c r="U521" s="757">
        <f>L521*150</f>
        <v>0</v>
      </c>
      <c r="V521" s="452">
        <f>IF(AND(C521&gt;0,C521*0.03&lt;0.01),0.01,C521*0.03)</f>
        <v>0</v>
      </c>
      <c r="W521" s="758"/>
      <c r="X521" s="757"/>
      <c r="Y521" s="757" t="s">
        <v>1744</v>
      </c>
      <c r="Z521" s="760">
        <f>LARGE($V$518:$V$522,4)</f>
        <v>0</v>
      </c>
      <c r="AA521" s="684">
        <f t="shared" si="81"/>
        <v>0</v>
      </c>
      <c r="AB521" s="688">
        <f t="shared" si="80"/>
        <v>0</v>
      </c>
      <c r="AC521" s="18"/>
      <c r="AD521" s="18"/>
      <c r="AE521" s="18"/>
      <c r="AF521" s="18"/>
      <c r="AG521" s="18"/>
      <c r="AH521" s="18"/>
      <c r="AI521" s="18"/>
      <c r="AJ521" s="18"/>
      <c r="AK521" s="18"/>
      <c r="AL521" s="18"/>
      <c r="AM521" s="18"/>
      <c r="AN521" s="18"/>
      <c r="AO521" s="18"/>
      <c r="AP521" s="18"/>
      <c r="AQ521" s="18"/>
      <c r="AR521" s="18"/>
      <c r="AS521" s="18"/>
      <c r="AT521" s="18"/>
    </row>
    <row r="522" spans="1:46" ht="15" customHeight="1" x14ac:dyDescent="0.2">
      <c r="B522" s="256" t="s">
        <v>1571</v>
      </c>
      <c r="C522" s="1373">
        <f>P364</f>
        <v>0</v>
      </c>
      <c r="D522" s="1346"/>
      <c r="E522" s="1346"/>
      <c r="F522" s="1555" t="s">
        <v>1164</v>
      </c>
      <c r="G522" s="1555"/>
      <c r="H522" s="1555"/>
      <c r="I522" s="1555"/>
      <c r="J522" s="1555"/>
      <c r="K522" s="1555"/>
      <c r="L522" s="1545">
        <f>UETable!BF94</f>
        <v>0</v>
      </c>
      <c r="M522" s="1545"/>
      <c r="N522" s="1555" t="s">
        <v>1656</v>
      </c>
      <c r="O522" s="1555"/>
      <c r="P522" s="1346"/>
      <c r="R522" s="757">
        <f>X365</f>
        <v>0</v>
      </c>
      <c r="S522" s="757"/>
      <c r="T522" s="757">
        <f>C522*6</f>
        <v>0</v>
      </c>
      <c r="U522" s="757">
        <f>L522*150</f>
        <v>0</v>
      </c>
      <c r="V522" s="452">
        <f>IF(AND(C522&gt;0,C522*0.02&lt;0.01),0.01,C522*0.02)</f>
        <v>0</v>
      </c>
      <c r="W522" s="758"/>
      <c r="X522" s="757"/>
      <c r="Y522" s="757" t="s">
        <v>2206</v>
      </c>
      <c r="Z522" s="760">
        <f>LARGE($V$518:$V$522,5)</f>
        <v>0</v>
      </c>
      <c r="AA522" s="757"/>
      <c r="AB522" s="757"/>
      <c r="AC522" s="18"/>
      <c r="AD522" s="18"/>
      <c r="AE522" s="18"/>
      <c r="AF522" s="18"/>
      <c r="AG522" s="18"/>
      <c r="AH522" s="18"/>
      <c r="AI522" s="18"/>
      <c r="AJ522" s="18"/>
      <c r="AK522" s="18"/>
      <c r="AL522" s="18"/>
      <c r="AM522" s="18"/>
      <c r="AN522" s="18"/>
      <c r="AO522" s="18"/>
      <c r="AP522" s="18"/>
      <c r="AQ522" s="18"/>
      <c r="AR522" s="18"/>
      <c r="AS522" s="18"/>
      <c r="AT522" s="18"/>
    </row>
    <row r="523" spans="1:46" ht="18" customHeight="1" x14ac:dyDescent="0.2">
      <c r="B523" s="1681" t="s">
        <v>56</v>
      </c>
      <c r="C523" s="1681"/>
      <c r="D523" s="1681"/>
      <c r="E523" s="1681"/>
      <c r="F523" s="1681"/>
      <c r="G523" s="1681"/>
      <c r="H523" s="1681"/>
      <c r="I523" s="1681"/>
      <c r="J523" s="1681"/>
      <c r="K523" s="1681"/>
      <c r="L523" s="1681"/>
      <c r="M523" s="1681"/>
      <c r="N523" s="1681"/>
      <c r="O523" s="1681"/>
      <c r="P523" s="1346"/>
      <c r="R523" s="757">
        <f>COUNTIF(R518:R522,2)</f>
        <v>0</v>
      </c>
      <c r="S523" s="757" t="s">
        <v>1991</v>
      </c>
      <c r="T523" s="757">
        <f>SUM(T518:T522)</f>
        <v>0</v>
      </c>
      <c r="U523" s="757">
        <f>SUM(U518:U522)</f>
        <v>0</v>
      </c>
      <c r="V523" s="452">
        <f>AB521</f>
        <v>0</v>
      </c>
      <c r="W523" s="452" t="s">
        <v>2204</v>
      </c>
      <c r="X523" s="757"/>
      <c r="Y523" s="757"/>
      <c r="Z523" s="757"/>
      <c r="AA523" s="757"/>
      <c r="AB523" s="757"/>
      <c r="AC523" s="18"/>
      <c r="AD523" s="18"/>
      <c r="AE523" s="18"/>
      <c r="AF523" s="18"/>
      <c r="AG523" s="18"/>
      <c r="AH523" s="18"/>
      <c r="AI523" s="18"/>
      <c r="AJ523" s="18"/>
      <c r="AK523" s="18"/>
      <c r="AL523" s="18"/>
      <c r="AM523" s="18"/>
      <c r="AN523" s="18"/>
      <c r="AO523" s="18"/>
      <c r="AP523" s="18"/>
      <c r="AQ523" s="18"/>
      <c r="AR523" s="18"/>
      <c r="AS523" s="18"/>
      <c r="AT523" s="18"/>
    </row>
    <row r="524" spans="1:46" ht="30" customHeight="1" x14ac:dyDescent="0.2">
      <c r="B524" s="1698" t="str">
        <f>IF(T524=0,"",IF(S518=1,Y522,IF(AND(R523=1,R524=0),Y518,IF(AND(R523=1,R524&gt;0),Y519,IF(OR(U524=2,U524=4),Y520,IF(OR(U524=1,U524=3),Y521,""))))))</f>
        <v/>
      </c>
      <c r="C524" s="1698"/>
      <c r="D524" s="1698"/>
      <c r="E524" s="1698"/>
      <c r="F524" s="1698"/>
      <c r="G524" s="1698"/>
      <c r="H524" s="1698"/>
      <c r="I524" s="1698"/>
      <c r="J524" s="1698"/>
      <c r="K524" s="1698"/>
      <c r="L524" s="1698"/>
      <c r="M524" s="1698"/>
      <c r="N524" s="1698"/>
      <c r="O524" s="1698"/>
      <c r="P524" s="1698"/>
      <c r="R524" s="757">
        <f>COUNTIF(R518:R522,1)</f>
        <v>0</v>
      </c>
      <c r="S524" s="756" t="s">
        <v>1746</v>
      </c>
      <c r="T524" s="757">
        <f>IF(SUM(C518:E522)=0,0,1)</f>
        <v>0</v>
      </c>
      <c r="U524" s="757">
        <f>IF(T524=0,0,IF(AND(R2&lt;R1,U523&gt;T523),1,IF(AND(R2&lt;R1,U523&lt;=T523),2,IF(AND(R2&gt;=R1,W518&gt;V523),3,IF(AND(R2&gt;=R1,W518&lt;=V523),4,0)))))</f>
        <v>0</v>
      </c>
      <c r="V524" s="1379" t="s">
        <v>2205</v>
      </c>
      <c r="W524" s="1379"/>
      <c r="X524" s="1379"/>
      <c r="Y524" s="1379"/>
      <c r="Z524" s="1379"/>
      <c r="AA524" s="1379"/>
      <c r="AB524" s="1379"/>
      <c r="AC524" s="1379"/>
      <c r="AD524" s="1379"/>
      <c r="AE524" s="759"/>
      <c r="AF524" s="759"/>
      <c r="AG524" s="759"/>
      <c r="AH524" s="759"/>
      <c r="AI524" s="759"/>
      <c r="AJ524" s="759"/>
      <c r="AK524" s="759"/>
      <c r="AL524" s="759"/>
      <c r="AM524" s="759"/>
      <c r="AN524" s="759"/>
      <c r="AO524" s="759"/>
      <c r="AP524" s="759"/>
      <c r="AQ524" s="759"/>
      <c r="AR524" s="759"/>
      <c r="AS524" s="759"/>
      <c r="AT524" s="759"/>
    </row>
    <row r="525" spans="1:46" ht="6" customHeight="1" x14ac:dyDescent="0.2">
      <c r="B525" s="1638"/>
      <c r="C525" s="1638"/>
      <c r="D525" s="1638"/>
      <c r="E525" s="1638"/>
      <c r="F525" s="1638"/>
      <c r="G525" s="1638"/>
      <c r="H525" s="1638"/>
      <c r="I525" s="1638"/>
      <c r="J525" s="1638"/>
      <c r="K525" s="1638"/>
      <c r="L525" s="1638"/>
      <c r="M525" s="1638"/>
      <c r="N525" s="1638"/>
      <c r="O525" s="163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row>
    <row r="526" spans="1:46" ht="6.75" customHeight="1" x14ac:dyDescent="0.2">
      <c r="B526" s="1638"/>
      <c r="C526" s="1638"/>
      <c r="D526" s="1638"/>
      <c r="E526" s="1638"/>
      <c r="F526" s="1638"/>
      <c r="G526" s="1638"/>
      <c r="H526" s="1638"/>
      <c r="I526" s="1638"/>
      <c r="J526" s="1638"/>
      <c r="K526" s="1638"/>
      <c r="L526" s="1638"/>
      <c r="M526" s="1638"/>
      <c r="N526" s="1638"/>
      <c r="O526" s="163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row>
    <row r="527" spans="1:46" ht="27" customHeight="1" x14ac:dyDescent="0.2">
      <c r="B527" s="1659" t="s">
        <v>1747</v>
      </c>
      <c r="C527" s="1660"/>
      <c r="D527" s="1660"/>
      <c r="E527" s="1660"/>
      <c r="F527" s="1661"/>
      <c r="G527" s="1626" t="s">
        <v>1525</v>
      </c>
      <c r="H527" s="1627"/>
      <c r="I527" s="1627"/>
      <c r="J527" s="1628"/>
      <c r="K527" s="1616"/>
      <c r="L527" s="1617"/>
      <c r="M527" s="1617"/>
      <c r="N527" s="1617"/>
      <c r="O527" s="1618"/>
      <c r="P527" s="1481">
        <f>BV533</f>
        <v>0</v>
      </c>
      <c r="S527" s="18"/>
      <c r="T527" s="18"/>
      <c r="U527" s="18"/>
      <c r="V527" s="60"/>
      <c r="W527" s="60"/>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row>
    <row r="528" spans="1:46" ht="27" customHeight="1" x14ac:dyDescent="0.2">
      <c r="B528" s="1379" t="s">
        <v>1748</v>
      </c>
      <c r="C528" s="1410"/>
      <c r="D528" s="1410"/>
      <c r="E528" s="1373">
        <f t="shared" ref="E528:E533" si="82">P385</f>
        <v>0</v>
      </c>
      <c r="F528" s="1373"/>
      <c r="G528" s="1534" t="s">
        <v>1942</v>
      </c>
      <c r="H528" s="1534"/>
      <c r="I528" s="1555"/>
      <c r="J528" s="1555"/>
      <c r="K528" s="1619"/>
      <c r="L528" s="1620"/>
      <c r="M528" s="1620"/>
      <c r="N528" s="1620"/>
      <c r="O528" s="1621"/>
      <c r="P528" s="1631"/>
      <c r="R528" s="176"/>
      <c r="S528" s="19"/>
      <c r="T528" s="114"/>
      <c r="U528" s="157"/>
      <c r="Z528" s="18"/>
      <c r="AA528" s="18"/>
      <c r="AB528" s="18"/>
      <c r="AC528" s="18"/>
      <c r="AD528" s="18"/>
      <c r="AE528" s="18"/>
      <c r="AF528" s="18"/>
      <c r="AG528" s="18"/>
      <c r="AH528" s="18"/>
      <c r="AI528" s="18"/>
      <c r="AJ528" s="18"/>
      <c r="AK528" s="18"/>
      <c r="AL528" s="18"/>
      <c r="AM528" s="18"/>
      <c r="AN528" s="18"/>
      <c r="AO528" s="18"/>
      <c r="AP528" s="18"/>
      <c r="AQ528" s="18"/>
      <c r="AR528" s="18"/>
      <c r="AS528" s="18"/>
      <c r="AT528" s="18"/>
    </row>
    <row r="529" spans="2:75" ht="15.75" customHeight="1" x14ac:dyDescent="0.2">
      <c r="B529" s="1410" t="s">
        <v>1749</v>
      </c>
      <c r="C529" s="1410"/>
      <c r="D529" s="1410"/>
      <c r="E529" s="1373">
        <f t="shared" si="82"/>
        <v>0</v>
      </c>
      <c r="F529" s="1373"/>
      <c r="G529" s="1534" t="s">
        <v>1942</v>
      </c>
      <c r="H529" s="1534"/>
      <c r="I529" s="1555"/>
      <c r="J529" s="1555"/>
      <c r="K529" s="1619"/>
      <c r="L529" s="1620"/>
      <c r="M529" s="1620"/>
      <c r="N529" s="1620"/>
      <c r="O529" s="1621"/>
      <c r="P529" s="1631"/>
      <c r="R529" s="176"/>
      <c r="S529" s="19"/>
      <c r="T529" s="114"/>
      <c r="U529" s="157"/>
      <c r="Z529" s="18"/>
      <c r="AA529" s="18"/>
      <c r="AB529" s="18"/>
      <c r="AC529" s="18"/>
      <c r="AD529" s="18"/>
      <c r="AE529" s="18"/>
      <c r="AF529" s="18"/>
      <c r="AG529" s="18"/>
      <c r="AH529" s="18"/>
      <c r="AI529" s="18"/>
      <c r="AJ529" s="18"/>
      <c r="AK529" s="18"/>
      <c r="AL529" s="18"/>
      <c r="AM529" s="18"/>
      <c r="AN529" s="18"/>
      <c r="AO529" s="18"/>
      <c r="AP529" s="18"/>
      <c r="AQ529" s="18"/>
      <c r="AR529" s="18"/>
      <c r="AS529" s="18"/>
      <c r="AT529" s="18"/>
    </row>
    <row r="530" spans="2:75" ht="15.75" customHeight="1" x14ac:dyDescent="0.2">
      <c r="B530" s="1410" t="s">
        <v>1167</v>
      </c>
      <c r="C530" s="1410"/>
      <c r="D530" s="1410"/>
      <c r="E530" s="1373">
        <f t="shared" si="82"/>
        <v>0</v>
      </c>
      <c r="F530" s="1373"/>
      <c r="G530" s="1534" t="s">
        <v>1942</v>
      </c>
      <c r="H530" s="1534"/>
      <c r="I530" s="1555"/>
      <c r="J530" s="1555"/>
      <c r="K530" s="1619"/>
      <c r="L530" s="1620"/>
      <c r="M530" s="1620"/>
      <c r="N530" s="1620"/>
      <c r="O530" s="1621"/>
      <c r="P530" s="1631"/>
      <c r="R530" s="176"/>
      <c r="S530" s="19"/>
      <c r="T530" s="114"/>
      <c r="U530" s="157"/>
      <c r="Z530" s="18"/>
      <c r="AA530" s="18"/>
      <c r="AB530" s="18"/>
      <c r="AC530" s="18"/>
      <c r="AD530" s="18"/>
      <c r="AE530" s="18"/>
      <c r="AF530" s="18"/>
      <c r="AG530" s="18"/>
      <c r="AH530" s="18"/>
      <c r="AI530" s="18"/>
      <c r="AJ530" s="18"/>
      <c r="AK530" s="18" t="s">
        <v>1729</v>
      </c>
      <c r="AL530" s="656">
        <f>E528</f>
        <v>0</v>
      </c>
      <c r="AM530" s="656">
        <f>E529</f>
        <v>0</v>
      </c>
      <c r="AN530" s="656">
        <f>E530</f>
        <v>0</v>
      </c>
      <c r="AO530" s="656">
        <f>E531</f>
        <v>0</v>
      </c>
      <c r="AP530" s="656">
        <f>E532</f>
        <v>0</v>
      </c>
      <c r="AQ530" s="656">
        <f>E533</f>
        <v>0</v>
      </c>
      <c r="AR530" s="656">
        <f>IF(I534&gt;0,I534,E534)</f>
        <v>0</v>
      </c>
      <c r="AS530" s="656">
        <f>IF(I535&gt;0,I535,E535)</f>
        <v>0</v>
      </c>
      <c r="AT530" s="656">
        <f>IF(I536&gt;0,I536,E536)</f>
        <v>0</v>
      </c>
      <c r="AU530" s="656">
        <f>IF(I537&gt;0,I537,E537)</f>
        <v>0</v>
      </c>
      <c r="AV530" s="656">
        <f>IF(I538&gt;0,I538,E538)</f>
        <v>0</v>
      </c>
      <c r="AW530" s="656">
        <f>IF(I539&gt;0,I539,E539)</f>
        <v>0</v>
      </c>
      <c r="AX530" s="176">
        <f>E540</f>
        <v>0</v>
      </c>
      <c r="AY530" s="176">
        <f>E541</f>
        <v>0</v>
      </c>
      <c r="AZ530" s="176">
        <f>E542</f>
        <v>0</v>
      </c>
      <c r="BA530" s="157">
        <f>C543</f>
        <v>0</v>
      </c>
      <c r="BB530" s="157">
        <f>D543</f>
        <v>0</v>
      </c>
      <c r="BC530" s="157">
        <f>E543</f>
        <v>0</v>
      </c>
      <c r="BD530" s="157">
        <f>F543</f>
        <v>0</v>
      </c>
      <c r="BE530" s="157">
        <f>C544</f>
        <v>0</v>
      </c>
      <c r="BF530" s="157">
        <f>D544</f>
        <v>0</v>
      </c>
      <c r="BG530" s="157">
        <f>E544</f>
        <v>0</v>
      </c>
      <c r="BH530" s="157">
        <f>F544</f>
        <v>0</v>
      </c>
      <c r="BI530" s="157">
        <f>C545</f>
        <v>0</v>
      </c>
      <c r="BJ530" s="157">
        <f>D545</f>
        <v>0</v>
      </c>
      <c r="BK530" s="157">
        <f>E545</f>
        <v>0</v>
      </c>
      <c r="BL530" s="157">
        <f>F545</f>
        <v>0</v>
      </c>
      <c r="BM530" s="157">
        <f>C546</f>
        <v>0</v>
      </c>
      <c r="BN530" s="157">
        <f>D546</f>
        <v>0</v>
      </c>
      <c r="BO530" s="157">
        <f>E546</f>
        <v>0</v>
      </c>
      <c r="BP530" s="157">
        <f>F546</f>
        <v>0</v>
      </c>
      <c r="BQ530" s="176">
        <f>E547</f>
        <v>0</v>
      </c>
      <c r="BR530" s="176">
        <f>E548</f>
        <v>0</v>
      </c>
      <c r="BS530" s="176">
        <f>IF(I549&gt;0,I549,E549)</f>
        <v>0</v>
      </c>
      <c r="BT530" s="176">
        <f>IF(I550&gt;0,I550,E550)</f>
        <v>0</v>
      </c>
      <c r="BU530" s="176">
        <f>IF(I551&gt;0,I551,E551)</f>
        <v>0</v>
      </c>
      <c r="BV530" s="176">
        <f>IF(I552&gt;0,I552,E552)</f>
        <v>0</v>
      </c>
      <c r="BW530" s="176">
        <f>IF(I553&gt;0,I553,E553)</f>
        <v>0</v>
      </c>
    </row>
    <row r="531" spans="2:75" ht="15.75" customHeight="1" x14ac:dyDescent="0.2">
      <c r="B531" s="1410" t="s">
        <v>1168</v>
      </c>
      <c r="C531" s="1410"/>
      <c r="D531" s="1410"/>
      <c r="E531" s="1373">
        <f t="shared" si="82"/>
        <v>0</v>
      </c>
      <c r="F531" s="1373"/>
      <c r="G531" s="1534" t="s">
        <v>1942</v>
      </c>
      <c r="H531" s="1534"/>
      <c r="I531" s="1555"/>
      <c r="J531" s="1555"/>
      <c r="K531" s="1588" t="str">
        <f>IF(AND(G534&gt;0,AA534=1),"Ankylosis cannot be apportioned.",IF(AND(G535&gt;0,AA535=1),"Ankylosis cannot be apportioned.",""))</f>
        <v/>
      </c>
      <c r="L531" s="1589"/>
      <c r="M531" s="1589"/>
      <c r="N531" s="1589"/>
      <c r="O531" s="1590"/>
      <c r="P531" s="1631"/>
      <c r="R531" s="176"/>
      <c r="S531" s="19"/>
      <c r="T531" s="114"/>
      <c r="U531" s="157"/>
      <c r="Z531" s="18"/>
      <c r="AA531" s="18"/>
      <c r="AB531" s="18"/>
      <c r="AC531" s="18"/>
      <c r="AD531" s="18"/>
      <c r="AE531" s="18"/>
      <c r="AF531" s="18"/>
      <c r="AG531" s="18"/>
      <c r="AH531" s="18"/>
      <c r="AI531" s="18"/>
      <c r="AJ531" s="18"/>
      <c r="AK531" s="18" t="s">
        <v>1730</v>
      </c>
      <c r="AL531" s="19">
        <f>LARGE($AL$530:$BW$530,1)</f>
        <v>0</v>
      </c>
      <c r="AM531" s="19">
        <f>LARGE($AL$530:$BW$530,2)</f>
        <v>0</v>
      </c>
      <c r="AN531" s="19">
        <f>LARGE($AL$530:$BW$530,3)</f>
        <v>0</v>
      </c>
      <c r="AO531" s="19">
        <f>LARGE($AL$530:$BW$530,4)</f>
        <v>0</v>
      </c>
      <c r="AP531" s="19">
        <f>LARGE($AL$530:$BW$530,5)</f>
        <v>0</v>
      </c>
      <c r="AQ531" s="19">
        <f>LARGE($AL$530:$BW$530,6)</f>
        <v>0</v>
      </c>
      <c r="AR531" s="19">
        <f>LARGE($AL$530:$BW$530,7)</f>
        <v>0</v>
      </c>
      <c r="AS531" s="19">
        <f>LARGE($AL$530:$BW$530,8)</f>
        <v>0</v>
      </c>
      <c r="AT531" s="19">
        <f>LARGE($AL$530:$BW$530,9)</f>
        <v>0</v>
      </c>
      <c r="AU531" s="19">
        <f>LARGE($AL$530:$BW$530,10)</f>
        <v>0</v>
      </c>
      <c r="AV531" s="19">
        <f>LARGE($AL$530:$BW$530,11)</f>
        <v>0</v>
      </c>
      <c r="AW531" s="19">
        <f>LARGE($AL$530:$BW$530,12)</f>
        <v>0</v>
      </c>
      <c r="AX531" s="19">
        <f>LARGE($AL$530:$BW$530,13)</f>
        <v>0</v>
      </c>
      <c r="AY531" s="19">
        <f>LARGE($AL$530:$BW$530,14)</f>
        <v>0</v>
      </c>
      <c r="AZ531" s="19">
        <f>LARGE($AL$530:$BW$530,15)</f>
        <v>0</v>
      </c>
      <c r="BA531" s="19">
        <f>LARGE($AL$530:$BW$530,16)</f>
        <v>0</v>
      </c>
      <c r="BB531" s="19">
        <f>LARGE($AL$530:$BW$530,17)</f>
        <v>0</v>
      </c>
      <c r="BC531" s="19">
        <f>LARGE($AL$530:$BW$530,18)</f>
        <v>0</v>
      </c>
      <c r="BD531" s="19">
        <f>LARGE($AL$530:$BW$530,19)</f>
        <v>0</v>
      </c>
      <c r="BE531" s="19">
        <f>LARGE($AL$530:$BW$530,20)</f>
        <v>0</v>
      </c>
      <c r="BF531" s="19">
        <f>LARGE($AL$530:$BW$530,21)</f>
        <v>0</v>
      </c>
      <c r="BG531" s="19">
        <f>LARGE($AL$530:$BW$530,22)</f>
        <v>0</v>
      </c>
      <c r="BH531" s="19">
        <f>LARGE($AL$530:$BW$530,23)</f>
        <v>0</v>
      </c>
      <c r="BI531" s="19">
        <f>LARGE($AL$530:$BW$530,24)</f>
        <v>0</v>
      </c>
      <c r="BJ531" s="19">
        <f>LARGE($AL$530:$BW$530,25)</f>
        <v>0</v>
      </c>
      <c r="BK531" s="19">
        <f>LARGE($AL$530:$BW$530,26)</f>
        <v>0</v>
      </c>
      <c r="BL531" s="19">
        <f>LARGE($AL$530:$BW$530,27)</f>
        <v>0</v>
      </c>
      <c r="BM531" s="19">
        <f>LARGE($AL$530:$BW$530,28)</f>
        <v>0</v>
      </c>
      <c r="BN531" s="19">
        <f>LARGE($AL$530:$BW$530,29)</f>
        <v>0</v>
      </c>
      <c r="BO531" s="19">
        <f>LARGE($AL$530:$BW$530,30)</f>
        <v>0</v>
      </c>
      <c r="BP531" s="19">
        <f>LARGE($AL$530:$BW$530,31)</f>
        <v>0</v>
      </c>
      <c r="BQ531" s="19">
        <f>LARGE($AL$530:$BW$530,32)</f>
        <v>0</v>
      </c>
      <c r="BR531" s="19">
        <f>LARGE($AL$530:$BW$530,33)</f>
        <v>0</v>
      </c>
      <c r="BS531" s="19">
        <f>LARGE($AL$530:$BW$530,34)</f>
        <v>0</v>
      </c>
      <c r="BT531" s="19">
        <f>LARGE($AL$530:$BW$530,35)</f>
        <v>0</v>
      </c>
      <c r="BU531" s="19">
        <f>LARGE($AL$530:$BW$530,36)</f>
        <v>0</v>
      </c>
      <c r="BV531" s="19">
        <f>LARGE($AL$530:$BW$530,37)</f>
        <v>0</v>
      </c>
      <c r="BW531" s="19">
        <f>LARGE($AL$530:$BW$530,38)</f>
        <v>0</v>
      </c>
    </row>
    <row r="532" spans="2:75" ht="15.75" customHeight="1" x14ac:dyDescent="0.2">
      <c r="B532" s="1410" t="s">
        <v>1169</v>
      </c>
      <c r="C532" s="1410"/>
      <c r="D532" s="1410"/>
      <c r="E532" s="1373">
        <f t="shared" si="82"/>
        <v>0</v>
      </c>
      <c r="F532" s="1373"/>
      <c r="G532" s="1534" t="s">
        <v>1942</v>
      </c>
      <c r="H532" s="1534"/>
      <c r="I532" s="1555"/>
      <c r="J532" s="1555"/>
      <c r="K532" s="1588"/>
      <c r="L532" s="1589"/>
      <c r="M532" s="1589"/>
      <c r="N532" s="1589"/>
      <c r="O532" s="1590"/>
      <c r="P532" s="1631"/>
      <c r="R532" s="176"/>
      <c r="S532" s="19"/>
      <c r="T532" s="114"/>
      <c r="U532" s="157"/>
      <c r="Z532" s="18"/>
      <c r="AA532" s="18"/>
      <c r="AB532" s="18"/>
      <c r="AC532" s="18"/>
      <c r="AD532" s="18"/>
      <c r="AE532" s="18"/>
      <c r="AF532" s="18"/>
      <c r="AG532" s="18"/>
      <c r="AH532" s="18"/>
      <c r="AI532" s="18"/>
      <c r="AJ532" s="18"/>
      <c r="AK532" s="18" t="s">
        <v>1731</v>
      </c>
      <c r="AL532" s="131">
        <f>AL531+AM531*(1-AL531)</f>
        <v>0</v>
      </c>
      <c r="AM532" s="131">
        <f>AL533+AN531*(1-AL533)</f>
        <v>0</v>
      </c>
      <c r="AN532" s="131">
        <f t="shared" ref="AN532:BV532" si="83">AM533+AO531*(1-AM533)</f>
        <v>0</v>
      </c>
      <c r="AO532" s="131">
        <f t="shared" si="83"/>
        <v>0</v>
      </c>
      <c r="AP532" s="131">
        <f t="shared" si="83"/>
        <v>0</v>
      </c>
      <c r="AQ532" s="131">
        <f t="shared" si="83"/>
        <v>0</v>
      </c>
      <c r="AR532" s="131">
        <f t="shared" si="83"/>
        <v>0</v>
      </c>
      <c r="AS532" s="131">
        <f t="shared" si="83"/>
        <v>0</v>
      </c>
      <c r="AT532" s="131">
        <f t="shared" si="83"/>
        <v>0</v>
      </c>
      <c r="AU532" s="131">
        <f t="shared" si="83"/>
        <v>0</v>
      </c>
      <c r="AV532" s="131">
        <f t="shared" si="83"/>
        <v>0</v>
      </c>
      <c r="AW532" s="131">
        <f t="shared" si="83"/>
        <v>0</v>
      </c>
      <c r="AX532" s="131">
        <f t="shared" si="83"/>
        <v>0</v>
      </c>
      <c r="AY532" s="131">
        <f t="shared" si="83"/>
        <v>0</v>
      </c>
      <c r="AZ532" s="131">
        <f t="shared" si="83"/>
        <v>0</v>
      </c>
      <c r="BA532" s="131">
        <f t="shared" si="83"/>
        <v>0</v>
      </c>
      <c r="BB532" s="131">
        <f t="shared" si="83"/>
        <v>0</v>
      </c>
      <c r="BC532" s="131">
        <f t="shared" si="83"/>
        <v>0</v>
      </c>
      <c r="BD532" s="131">
        <f t="shared" si="83"/>
        <v>0</v>
      </c>
      <c r="BE532" s="131">
        <f t="shared" si="83"/>
        <v>0</v>
      </c>
      <c r="BF532" s="131">
        <f t="shared" si="83"/>
        <v>0</v>
      </c>
      <c r="BG532" s="131">
        <f t="shared" si="83"/>
        <v>0</v>
      </c>
      <c r="BH532" s="131">
        <f t="shared" si="83"/>
        <v>0</v>
      </c>
      <c r="BI532" s="131">
        <f t="shared" si="83"/>
        <v>0</v>
      </c>
      <c r="BJ532" s="131">
        <f t="shared" si="83"/>
        <v>0</v>
      </c>
      <c r="BK532" s="131">
        <f t="shared" si="83"/>
        <v>0</v>
      </c>
      <c r="BL532" s="131">
        <f t="shared" si="83"/>
        <v>0</v>
      </c>
      <c r="BM532" s="131">
        <f t="shared" si="83"/>
        <v>0</v>
      </c>
      <c r="BN532" s="131">
        <f t="shared" si="83"/>
        <v>0</v>
      </c>
      <c r="BO532" s="131">
        <f t="shared" si="83"/>
        <v>0</v>
      </c>
      <c r="BP532" s="131">
        <f t="shared" si="83"/>
        <v>0</v>
      </c>
      <c r="BQ532" s="131">
        <f t="shared" si="83"/>
        <v>0</v>
      </c>
      <c r="BR532" s="131">
        <f t="shared" si="83"/>
        <v>0</v>
      </c>
      <c r="BS532" s="131">
        <f t="shared" si="83"/>
        <v>0</v>
      </c>
      <c r="BT532" s="131">
        <f t="shared" si="83"/>
        <v>0</v>
      </c>
      <c r="BU532" s="131">
        <f t="shared" si="83"/>
        <v>0</v>
      </c>
      <c r="BV532" s="131">
        <f t="shared" si="83"/>
        <v>0</v>
      </c>
    </row>
    <row r="533" spans="2:75" ht="15.75" customHeight="1" x14ac:dyDescent="0.2">
      <c r="B533" s="1410" t="s">
        <v>1170</v>
      </c>
      <c r="C533" s="1410"/>
      <c r="D533" s="1410"/>
      <c r="E533" s="1373">
        <f t="shared" si="82"/>
        <v>0</v>
      </c>
      <c r="F533" s="1373"/>
      <c r="G533" s="1534" t="s">
        <v>1942</v>
      </c>
      <c r="H533" s="1534"/>
      <c r="I533" s="1555"/>
      <c r="J533" s="1555"/>
      <c r="K533" s="1588"/>
      <c r="L533" s="1589"/>
      <c r="M533" s="1589"/>
      <c r="N533" s="1589"/>
      <c r="O533" s="1590"/>
      <c r="P533" s="1631"/>
      <c r="R533" s="176"/>
      <c r="S533" s="19"/>
      <c r="T533" s="114"/>
      <c r="U533" s="157"/>
      <c r="V533" s="60"/>
      <c r="W533" s="60"/>
      <c r="X533" s="18"/>
      <c r="Y533" s="18" t="s">
        <v>511</v>
      </c>
      <c r="AA533" s="1094"/>
      <c r="AB533" s="1094"/>
      <c r="AC533" s="1094"/>
      <c r="AD533" s="1094"/>
      <c r="AE533" s="18"/>
      <c r="AF533" s="18"/>
      <c r="AG533" s="18"/>
      <c r="AH533" s="18"/>
      <c r="AI533" s="18"/>
      <c r="AJ533" s="18"/>
      <c r="AK533" s="18" t="s">
        <v>1873</v>
      </c>
      <c r="AL533" s="41">
        <f>ROUND(AL532,2)</f>
        <v>0</v>
      </c>
      <c r="AM533" s="41">
        <f>ROUND(AM532,2)</f>
        <v>0</v>
      </c>
      <c r="AN533" s="41">
        <f t="shared" ref="AN533:BV533" si="84">ROUND(AN532,2)</f>
        <v>0</v>
      </c>
      <c r="AO533" s="41">
        <f t="shared" si="84"/>
        <v>0</v>
      </c>
      <c r="AP533" s="41">
        <f t="shared" si="84"/>
        <v>0</v>
      </c>
      <c r="AQ533" s="41">
        <f t="shared" si="84"/>
        <v>0</v>
      </c>
      <c r="AR533" s="41">
        <f t="shared" si="84"/>
        <v>0</v>
      </c>
      <c r="AS533" s="41">
        <f t="shared" si="84"/>
        <v>0</v>
      </c>
      <c r="AT533" s="41">
        <f t="shared" si="84"/>
        <v>0</v>
      </c>
      <c r="AU533" s="41">
        <f t="shared" si="84"/>
        <v>0</v>
      </c>
      <c r="AV533" s="41">
        <f t="shared" si="84"/>
        <v>0</v>
      </c>
      <c r="AW533" s="41">
        <f t="shared" si="84"/>
        <v>0</v>
      </c>
      <c r="AX533" s="41">
        <f t="shared" si="84"/>
        <v>0</v>
      </c>
      <c r="AY533" s="41">
        <f t="shared" si="84"/>
        <v>0</v>
      </c>
      <c r="AZ533" s="41">
        <f t="shared" si="84"/>
        <v>0</v>
      </c>
      <c r="BA533" s="41">
        <f t="shared" si="84"/>
        <v>0</v>
      </c>
      <c r="BB533" s="41">
        <f t="shared" si="84"/>
        <v>0</v>
      </c>
      <c r="BC533" s="41">
        <f t="shared" si="84"/>
        <v>0</v>
      </c>
      <c r="BD533" s="41">
        <f t="shared" si="84"/>
        <v>0</v>
      </c>
      <c r="BE533" s="41">
        <f t="shared" si="84"/>
        <v>0</v>
      </c>
      <c r="BF533" s="41">
        <f t="shared" si="84"/>
        <v>0</v>
      </c>
      <c r="BG533" s="41">
        <f t="shared" si="84"/>
        <v>0</v>
      </c>
      <c r="BH533" s="41">
        <f t="shared" si="84"/>
        <v>0</v>
      </c>
      <c r="BI533" s="41">
        <f t="shared" si="84"/>
        <v>0</v>
      </c>
      <c r="BJ533" s="41">
        <f t="shared" si="84"/>
        <v>0</v>
      </c>
      <c r="BK533" s="41">
        <f t="shared" si="84"/>
        <v>0</v>
      </c>
      <c r="BL533" s="41">
        <f t="shared" si="84"/>
        <v>0</v>
      </c>
      <c r="BM533" s="41">
        <f t="shared" si="84"/>
        <v>0</v>
      </c>
      <c r="BN533" s="41">
        <f t="shared" si="84"/>
        <v>0</v>
      </c>
      <c r="BO533" s="41">
        <f t="shared" si="84"/>
        <v>0</v>
      </c>
      <c r="BP533" s="41">
        <f t="shared" si="84"/>
        <v>0</v>
      </c>
      <c r="BQ533" s="41">
        <f t="shared" si="84"/>
        <v>0</v>
      </c>
      <c r="BR533" s="41">
        <f t="shared" si="84"/>
        <v>0</v>
      </c>
      <c r="BS533" s="41">
        <f t="shared" si="84"/>
        <v>0</v>
      </c>
      <c r="BT533" s="41">
        <f t="shared" si="84"/>
        <v>0</v>
      </c>
      <c r="BU533" s="41">
        <f t="shared" si="84"/>
        <v>0</v>
      </c>
      <c r="BV533" s="41">
        <f t="shared" si="84"/>
        <v>0</v>
      </c>
    </row>
    <row r="534" spans="2:75" ht="15" customHeight="1" x14ac:dyDescent="0.2">
      <c r="B534" s="1379" t="s">
        <v>1171</v>
      </c>
      <c r="C534" s="1410"/>
      <c r="D534" s="1410"/>
      <c r="E534" s="1373">
        <f>IF(E607&gt;0,0,P398)</f>
        <v>0</v>
      </c>
      <c r="F534" s="1373"/>
      <c r="G534" s="1658"/>
      <c r="H534" s="1658"/>
      <c r="I534" s="1545">
        <f t="shared" ref="I534:I539" si="85">IF(AND(Y534&lt;0.01,Y534&gt;0),0.01,ROUND(Y534,2))</f>
        <v>0</v>
      </c>
      <c r="J534" s="1545"/>
      <c r="K534" s="1588"/>
      <c r="L534" s="1589"/>
      <c r="M534" s="1589"/>
      <c r="N534" s="1589"/>
      <c r="O534" s="1590"/>
      <c r="P534" s="1631"/>
      <c r="R534" s="176"/>
      <c r="S534" s="19"/>
      <c r="T534" s="114"/>
      <c r="U534" s="157"/>
      <c r="W534" s="60"/>
      <c r="X534" s="18"/>
      <c r="Y534" s="1072">
        <f>IF(AA534=1,0,E534*G534)</f>
        <v>0</v>
      </c>
      <c r="Z534" s="18"/>
      <c r="AA534" s="1091">
        <f>IF(P592&gt;0,0,IF(AC395&gt;0,1,0))</f>
        <v>0</v>
      </c>
      <c r="AB534" s="1410" t="s">
        <v>407</v>
      </c>
      <c r="AC534" s="1410"/>
      <c r="AD534" s="1410"/>
      <c r="AE534" s="18"/>
      <c r="AF534" s="18"/>
      <c r="AG534" s="18"/>
      <c r="AH534" s="18"/>
      <c r="AI534" s="18"/>
      <c r="AJ534" s="18"/>
      <c r="AK534" s="18"/>
      <c r="AL534" s="18"/>
      <c r="AM534" s="18"/>
      <c r="AN534" s="18"/>
      <c r="AO534" s="18"/>
      <c r="AP534" s="18"/>
      <c r="AQ534" s="18"/>
      <c r="AR534" s="18"/>
      <c r="AS534" s="18"/>
      <c r="AT534" s="18"/>
    </row>
    <row r="535" spans="2:75" ht="15" customHeight="1" x14ac:dyDescent="0.2">
      <c r="B535" s="1410" t="s">
        <v>1172</v>
      </c>
      <c r="C535" s="1410"/>
      <c r="D535" s="1410"/>
      <c r="E535" s="1373">
        <f>IF(E607&gt;0,0,P408)</f>
        <v>0</v>
      </c>
      <c r="F535" s="1373"/>
      <c r="G535" s="1658"/>
      <c r="H535" s="1658"/>
      <c r="I535" s="1545">
        <f t="shared" si="85"/>
        <v>0</v>
      </c>
      <c r="J535" s="1545"/>
      <c r="K535" s="1588"/>
      <c r="L535" s="1589"/>
      <c r="M535" s="1589"/>
      <c r="N535" s="1589"/>
      <c r="O535" s="1590"/>
      <c r="P535" s="1631"/>
      <c r="R535" s="176"/>
      <c r="S535" s="19"/>
      <c r="T535" s="114"/>
      <c r="U535" s="157"/>
      <c r="W535" s="167"/>
      <c r="X535" s="18"/>
      <c r="Y535" s="1072">
        <f>IF(AA535=1,0,E535*G535)</f>
        <v>0</v>
      </c>
      <c r="Z535" s="373"/>
      <c r="AA535" s="1091">
        <f>IF(P592&gt;0,0,IF(AC403&gt;0,1,0))</f>
        <v>0</v>
      </c>
      <c r="AB535" s="1410" t="s">
        <v>408</v>
      </c>
      <c r="AC535" s="1410"/>
      <c r="AD535" s="1410"/>
      <c r="AE535" s="18"/>
      <c r="AF535" s="18"/>
      <c r="AG535" s="18"/>
      <c r="AH535" s="18"/>
      <c r="AI535" s="18"/>
      <c r="AJ535" s="18"/>
      <c r="AK535" s="18"/>
      <c r="AL535" s="18"/>
      <c r="AM535" s="18"/>
      <c r="AN535" s="18"/>
      <c r="AO535" s="18"/>
      <c r="AP535" s="18"/>
      <c r="AQ535" s="18"/>
      <c r="AR535" s="18"/>
      <c r="AS535" s="18"/>
      <c r="AT535" s="18"/>
    </row>
    <row r="536" spans="2:75" ht="15" customHeight="1" x14ac:dyDescent="0.2">
      <c r="B536" s="1410" t="s">
        <v>1988</v>
      </c>
      <c r="C536" s="1410"/>
      <c r="D536" s="1410"/>
      <c r="E536" s="1373">
        <f>P413</f>
        <v>0</v>
      </c>
      <c r="F536" s="1373"/>
      <c r="G536" s="1658"/>
      <c r="H536" s="1658"/>
      <c r="I536" s="1545">
        <f t="shared" si="85"/>
        <v>0</v>
      </c>
      <c r="J536" s="1545"/>
      <c r="K536" s="1588"/>
      <c r="L536" s="1589"/>
      <c r="M536" s="1589"/>
      <c r="N536" s="1589"/>
      <c r="O536" s="1590"/>
      <c r="P536" s="1631"/>
      <c r="R536" s="176"/>
      <c r="S536" s="19"/>
      <c r="T536" s="114"/>
      <c r="U536" s="157"/>
      <c r="W536" s="167"/>
      <c r="X536" s="18"/>
      <c r="Y536" s="1072">
        <f>E536*G536</f>
        <v>0</v>
      </c>
      <c r="Z536" s="860"/>
      <c r="AE536" s="18"/>
      <c r="AF536" s="18"/>
      <c r="AG536" s="18"/>
      <c r="AH536" s="18"/>
      <c r="AI536" s="18"/>
      <c r="AJ536" s="18"/>
      <c r="AK536" s="18"/>
      <c r="AL536" s="18"/>
      <c r="AM536" s="18"/>
      <c r="AN536" s="18"/>
      <c r="AO536" s="18"/>
      <c r="AP536" s="18"/>
      <c r="AQ536" s="18"/>
      <c r="AR536" s="18"/>
      <c r="AS536" s="18"/>
      <c r="AT536" s="18"/>
    </row>
    <row r="537" spans="2:75" ht="15" customHeight="1" x14ac:dyDescent="0.2">
      <c r="B537" s="1410" t="s">
        <v>1173</v>
      </c>
      <c r="C537" s="1410"/>
      <c r="D537" s="1410"/>
      <c r="E537" s="1373">
        <f>P416</f>
        <v>0</v>
      </c>
      <c r="F537" s="1373"/>
      <c r="G537" s="1658"/>
      <c r="H537" s="1658"/>
      <c r="I537" s="1545">
        <f t="shared" si="85"/>
        <v>0</v>
      </c>
      <c r="J537" s="1545"/>
      <c r="K537" s="1588"/>
      <c r="L537" s="1589"/>
      <c r="M537" s="1589"/>
      <c r="N537" s="1589"/>
      <c r="O537" s="1590"/>
      <c r="P537" s="1631"/>
      <c r="R537" s="176"/>
      <c r="S537" s="19"/>
      <c r="T537" s="114"/>
      <c r="U537" s="157"/>
      <c r="W537" s="60"/>
      <c r="X537" s="18"/>
      <c r="Y537" s="1072">
        <f t="shared" ref="Y537:Y539" si="86">E537*G537</f>
        <v>0</v>
      </c>
      <c r="Z537" s="860"/>
      <c r="AA537" s="1102"/>
      <c r="AB537" s="1102"/>
      <c r="AC537" s="1102"/>
      <c r="AD537" s="1102"/>
      <c r="AE537" s="18"/>
      <c r="AF537" s="18"/>
      <c r="AG537" s="18"/>
      <c r="AH537" s="18"/>
      <c r="AI537" s="18"/>
      <c r="AJ537" s="18"/>
      <c r="AK537" s="18"/>
      <c r="AL537" s="18"/>
      <c r="AM537" s="18"/>
      <c r="AN537" s="18"/>
      <c r="AO537" s="18"/>
      <c r="AP537" s="18"/>
      <c r="AQ537" s="18"/>
      <c r="AR537" s="18"/>
      <c r="AS537" s="18"/>
      <c r="AT537" s="18"/>
    </row>
    <row r="538" spans="2:75" ht="15" customHeight="1" x14ac:dyDescent="0.2">
      <c r="B538" s="1410" t="s">
        <v>1174</v>
      </c>
      <c r="C538" s="1410"/>
      <c r="D538" s="1410"/>
      <c r="E538" s="1373">
        <f>P419</f>
        <v>0</v>
      </c>
      <c r="F538" s="1373"/>
      <c r="G538" s="1658"/>
      <c r="H538" s="1658"/>
      <c r="I538" s="1545">
        <f t="shared" si="85"/>
        <v>0</v>
      </c>
      <c r="J538" s="1545"/>
      <c r="K538" s="1619"/>
      <c r="L538" s="1620"/>
      <c r="M538" s="1620"/>
      <c r="N538" s="1620"/>
      <c r="O538" s="1621"/>
      <c r="P538" s="1631"/>
      <c r="R538" s="176"/>
      <c r="S538" s="19"/>
      <c r="T538" s="114"/>
      <c r="U538" s="157"/>
      <c r="W538" s="60"/>
      <c r="X538" s="18"/>
      <c r="Y538" s="1072">
        <f t="shared" si="86"/>
        <v>0</v>
      </c>
      <c r="Z538" s="860"/>
      <c r="AA538" s="408"/>
      <c r="AB538" s="18"/>
      <c r="AC538" s="18"/>
      <c r="AD538" s="18"/>
      <c r="AF538" s="18"/>
      <c r="AG538" s="18"/>
      <c r="AH538" s="18"/>
      <c r="AI538" s="18"/>
      <c r="AJ538" s="18"/>
      <c r="AK538" s="18"/>
      <c r="AL538" s="18"/>
      <c r="AM538" s="18"/>
      <c r="AN538" s="18"/>
      <c r="AO538" s="18"/>
      <c r="AP538" s="18"/>
      <c r="AQ538" s="18"/>
      <c r="AR538" s="18"/>
      <c r="AS538" s="18"/>
      <c r="AT538" s="18"/>
    </row>
    <row r="539" spans="2:75" ht="15" customHeight="1" x14ac:dyDescent="0.2">
      <c r="B539" s="1410" t="s">
        <v>1990</v>
      </c>
      <c r="C539" s="1410"/>
      <c r="D539" s="1410"/>
      <c r="E539" s="1373">
        <f>P420</f>
        <v>0</v>
      </c>
      <c r="F539" s="1373"/>
      <c r="G539" s="1805"/>
      <c r="H539" s="1806"/>
      <c r="I539" s="1545">
        <f t="shared" si="85"/>
        <v>0</v>
      </c>
      <c r="J539" s="1545"/>
      <c r="K539" s="1619"/>
      <c r="L539" s="1620"/>
      <c r="M539" s="1620"/>
      <c r="N539" s="1620"/>
      <c r="O539" s="1621"/>
      <c r="P539" s="1631"/>
      <c r="R539" s="176"/>
      <c r="S539" s="19"/>
      <c r="T539" s="114"/>
      <c r="U539" s="157"/>
      <c r="W539" s="60"/>
      <c r="X539" s="18"/>
      <c r="Y539" s="1072">
        <f t="shared" si="86"/>
        <v>0</v>
      </c>
      <c r="Z539" s="860"/>
      <c r="AA539" s="8"/>
      <c r="AB539" s="8"/>
      <c r="AC539" s="8"/>
      <c r="AD539" s="18"/>
      <c r="AF539" s="18"/>
      <c r="AG539" s="18"/>
      <c r="AH539" s="18"/>
      <c r="AI539" s="18"/>
      <c r="AJ539" s="18"/>
      <c r="AK539" s="18"/>
      <c r="AL539" s="18"/>
      <c r="AM539" s="18"/>
      <c r="AN539" s="18"/>
      <c r="AO539" s="18"/>
      <c r="AP539" s="18"/>
      <c r="AQ539" s="18"/>
      <c r="AR539" s="18"/>
      <c r="AS539" s="18"/>
      <c r="AT539" s="18"/>
    </row>
    <row r="540" spans="2:75" ht="15" customHeight="1" x14ac:dyDescent="0.2">
      <c r="B540" s="1379" t="s">
        <v>794</v>
      </c>
      <c r="C540" s="1410"/>
      <c r="D540" s="1410"/>
      <c r="E540" s="1373">
        <f>P422</f>
        <v>0</v>
      </c>
      <c r="F540" s="1373"/>
      <c r="G540" s="1534" t="s">
        <v>1942</v>
      </c>
      <c r="H540" s="1534"/>
      <c r="I540" s="1555"/>
      <c r="J540" s="1555"/>
      <c r="K540" s="1619"/>
      <c r="L540" s="1620"/>
      <c r="M540" s="1620"/>
      <c r="N540" s="1620"/>
      <c r="O540" s="1621"/>
      <c r="P540" s="1631"/>
      <c r="R540" s="176"/>
      <c r="S540" s="19"/>
      <c r="T540" s="114"/>
      <c r="U540" s="157"/>
      <c r="W540" s="60"/>
      <c r="X540" s="18"/>
      <c r="Y540" s="370"/>
      <c r="Z540" s="860"/>
      <c r="AA540" s="8"/>
      <c r="AB540" s="8"/>
      <c r="AC540" s="8"/>
      <c r="AD540" s="18"/>
      <c r="AE540" s="3"/>
      <c r="AF540" s="18"/>
      <c r="AG540" s="18"/>
      <c r="AH540" s="18"/>
      <c r="AI540" s="18"/>
      <c r="AJ540" s="18"/>
      <c r="AK540" s="18"/>
      <c r="AL540" s="18"/>
      <c r="AM540" s="18"/>
      <c r="AN540" s="18"/>
      <c r="AO540" s="18"/>
      <c r="AP540" s="18"/>
      <c r="AQ540" s="18"/>
      <c r="AR540" s="18"/>
      <c r="AS540" s="18"/>
      <c r="AT540" s="18"/>
    </row>
    <row r="541" spans="2:75" ht="15" customHeight="1" x14ac:dyDescent="0.2">
      <c r="B541" s="1379" t="s">
        <v>795</v>
      </c>
      <c r="C541" s="1410"/>
      <c r="D541" s="1410"/>
      <c r="E541" s="1373">
        <f>P423</f>
        <v>0</v>
      </c>
      <c r="F541" s="1373"/>
      <c r="G541" s="1534" t="s">
        <v>1942</v>
      </c>
      <c r="H541" s="1534"/>
      <c r="I541" s="1555"/>
      <c r="J541" s="1555"/>
      <c r="K541" s="1619"/>
      <c r="L541" s="1620"/>
      <c r="M541" s="1620"/>
      <c r="N541" s="1620"/>
      <c r="O541" s="1621"/>
      <c r="P541" s="1631"/>
      <c r="R541" s="176"/>
      <c r="S541" s="19"/>
      <c r="T541" s="114"/>
      <c r="U541" s="157"/>
      <c r="V541" s="60"/>
      <c r="W541" s="60"/>
      <c r="X541" s="18"/>
      <c r="Y541" s="370"/>
      <c r="Z541" s="373"/>
      <c r="AA541" s="8"/>
      <c r="AB541" s="8"/>
      <c r="AC541" s="8"/>
      <c r="AD541" s="18"/>
      <c r="AF541" s="18"/>
      <c r="AG541" s="18"/>
      <c r="AH541" s="18"/>
      <c r="AI541" s="18"/>
      <c r="AJ541" s="18"/>
      <c r="AK541" s="18"/>
      <c r="AL541" s="18"/>
      <c r="AM541" s="18"/>
      <c r="AN541" s="18"/>
      <c r="AO541" s="18"/>
      <c r="AP541" s="18"/>
      <c r="AQ541" s="18"/>
      <c r="AR541" s="18"/>
      <c r="AS541" s="18"/>
      <c r="AT541" s="18"/>
    </row>
    <row r="542" spans="2:75" ht="15" customHeight="1" x14ac:dyDescent="0.2">
      <c r="B542" s="1410" t="s">
        <v>632</v>
      </c>
      <c r="C542" s="1410"/>
      <c r="D542" s="1410"/>
      <c r="E542" s="1373">
        <f>P426</f>
        <v>0</v>
      </c>
      <c r="F542" s="1373"/>
      <c r="G542" s="1534" t="s">
        <v>1942</v>
      </c>
      <c r="H542" s="1534"/>
      <c r="I542" s="1555"/>
      <c r="J542" s="1555"/>
      <c r="K542" s="1619"/>
      <c r="L542" s="1620"/>
      <c r="M542" s="1620"/>
      <c r="N542" s="1620"/>
      <c r="O542" s="1621"/>
      <c r="P542" s="1631"/>
      <c r="R542" s="176"/>
      <c r="S542" s="19"/>
      <c r="T542" s="114"/>
      <c r="U542" s="157"/>
      <c r="V542" s="60"/>
      <c r="W542" s="60"/>
      <c r="X542" s="18"/>
      <c r="Y542" s="370"/>
      <c r="Z542" s="373"/>
      <c r="AA542" s="8"/>
      <c r="AB542" s="8"/>
      <c r="AC542" s="8"/>
      <c r="AD542" s="18"/>
      <c r="AE542" s="18"/>
      <c r="AF542" s="18"/>
      <c r="AG542" s="18"/>
      <c r="AH542" s="18"/>
      <c r="AI542" s="18"/>
      <c r="AJ542" s="18"/>
      <c r="AK542" s="18"/>
      <c r="AL542" s="18"/>
      <c r="AM542" s="18"/>
      <c r="AN542" s="18"/>
      <c r="AO542" s="18"/>
      <c r="AP542" s="18"/>
      <c r="AQ542" s="18"/>
      <c r="AR542" s="18"/>
      <c r="AS542" s="18"/>
      <c r="AT542" s="18"/>
    </row>
    <row r="543" spans="2:75" ht="15" customHeight="1" x14ac:dyDescent="0.2">
      <c r="B543" s="1560" t="s">
        <v>1476</v>
      </c>
      <c r="C543" s="637">
        <f>H427</f>
        <v>0</v>
      </c>
      <c r="D543" s="637">
        <f>K427</f>
        <v>0</v>
      </c>
      <c r="E543" s="303">
        <f>M427</f>
        <v>0</v>
      </c>
      <c r="F543" s="303">
        <f>O427</f>
        <v>0</v>
      </c>
      <c r="G543" s="1534" t="s">
        <v>1942</v>
      </c>
      <c r="H543" s="1534"/>
      <c r="I543" s="1555"/>
      <c r="J543" s="1555"/>
      <c r="K543" s="1619"/>
      <c r="L543" s="1620"/>
      <c r="M543" s="1620"/>
      <c r="N543" s="1620"/>
      <c r="O543" s="1621"/>
      <c r="P543" s="1631"/>
      <c r="R543" s="176"/>
      <c r="S543" s="19"/>
      <c r="T543" s="114"/>
      <c r="U543" s="157"/>
      <c r="V543" s="60"/>
      <c r="W543" s="60"/>
      <c r="X543" s="18"/>
      <c r="Y543" s="370"/>
      <c r="Z543" s="18"/>
      <c r="AA543" s="8"/>
      <c r="AB543" s="8"/>
      <c r="AC543" s="8"/>
      <c r="AD543" s="18"/>
      <c r="AE543" s="18"/>
      <c r="AF543" s="18"/>
      <c r="AG543" s="18"/>
      <c r="AH543" s="18"/>
      <c r="AI543" s="18"/>
      <c r="AJ543" s="18"/>
      <c r="AK543" s="18"/>
      <c r="AL543" s="18"/>
      <c r="AM543" s="18"/>
      <c r="AN543" s="18"/>
      <c r="AO543" s="18"/>
      <c r="AP543" s="18"/>
      <c r="AQ543" s="18"/>
      <c r="AR543" s="18"/>
      <c r="AS543" s="18"/>
      <c r="AT543" s="18"/>
    </row>
    <row r="544" spans="2:75" ht="15" customHeight="1" x14ac:dyDescent="0.2">
      <c r="B544" s="1778"/>
      <c r="C544" s="303">
        <f>H428</f>
        <v>0</v>
      </c>
      <c r="D544" s="303">
        <f>K428</f>
        <v>0</v>
      </c>
      <c r="E544" s="303">
        <f>M428</f>
        <v>0</v>
      </c>
      <c r="F544" s="303">
        <f>O428</f>
        <v>0</v>
      </c>
      <c r="G544" s="1534" t="s">
        <v>1942</v>
      </c>
      <c r="H544" s="1534"/>
      <c r="I544" s="1555"/>
      <c r="J544" s="1555"/>
      <c r="K544" s="633"/>
      <c r="L544" s="634"/>
      <c r="M544" s="634"/>
      <c r="N544" s="634"/>
      <c r="O544" s="635"/>
      <c r="P544" s="1631"/>
      <c r="R544" s="176"/>
      <c r="S544" s="19"/>
      <c r="T544" s="114"/>
      <c r="U544" s="157"/>
      <c r="V544" s="60"/>
      <c r="W544" s="60"/>
      <c r="X544" s="18"/>
      <c r="Y544" s="370"/>
      <c r="Z544" s="18"/>
      <c r="AA544" s="8"/>
      <c r="AB544" s="8"/>
      <c r="AC544" s="8"/>
      <c r="AD544" s="18"/>
      <c r="AE544" s="18"/>
      <c r="AF544" s="18"/>
      <c r="AG544" s="18"/>
      <c r="AH544" s="18"/>
      <c r="AI544" s="18"/>
      <c r="AJ544" s="18"/>
      <c r="AK544" s="18"/>
      <c r="AL544" s="18"/>
      <c r="AM544" s="18"/>
      <c r="AN544" s="18"/>
      <c r="AO544" s="18"/>
      <c r="AP544" s="18"/>
      <c r="AQ544" s="18"/>
      <c r="AR544" s="18"/>
      <c r="AS544" s="18"/>
      <c r="AT544" s="18"/>
    </row>
    <row r="545" spans="1:100" ht="15" customHeight="1" x14ac:dyDescent="0.2">
      <c r="B545" s="1560" t="s">
        <v>1477</v>
      </c>
      <c r="C545" s="637">
        <f>H429</f>
        <v>0</v>
      </c>
      <c r="D545" s="637">
        <f>K429</f>
        <v>0</v>
      </c>
      <c r="E545" s="303">
        <f>M429</f>
        <v>0</v>
      </c>
      <c r="F545" s="303">
        <f>O429</f>
        <v>0</v>
      </c>
      <c r="G545" s="1534" t="s">
        <v>1942</v>
      </c>
      <c r="H545" s="1534"/>
      <c r="I545" s="1555"/>
      <c r="J545" s="1555"/>
      <c r="K545" s="1030"/>
      <c r="L545" s="1031"/>
      <c r="M545" s="1031"/>
      <c r="N545" s="1031"/>
      <c r="O545" s="1032"/>
      <c r="P545" s="1631"/>
      <c r="R545" s="176"/>
      <c r="S545" s="19"/>
      <c r="T545" s="114"/>
      <c r="U545" s="157"/>
      <c r="V545" s="60"/>
      <c r="W545" s="60"/>
      <c r="X545" s="18"/>
      <c r="Y545" s="370"/>
      <c r="Z545" s="18"/>
      <c r="AA545" s="8"/>
      <c r="AB545" s="8"/>
      <c r="AC545" s="8"/>
      <c r="AD545" s="18"/>
      <c r="AE545" s="18"/>
      <c r="AF545" s="18"/>
      <c r="AG545" s="18"/>
      <c r="AH545" s="18"/>
      <c r="AI545" s="18"/>
      <c r="AJ545" s="18"/>
      <c r="AK545" s="18"/>
      <c r="AL545" s="18"/>
      <c r="AM545" s="18"/>
      <c r="AN545" s="18"/>
      <c r="AO545" s="18"/>
      <c r="AP545" s="18"/>
      <c r="AQ545" s="18"/>
      <c r="AR545" s="18"/>
      <c r="AS545" s="18"/>
      <c r="AT545" s="18"/>
    </row>
    <row r="546" spans="1:100" ht="15" customHeight="1" x14ac:dyDescent="0.2">
      <c r="B546" s="1778"/>
      <c r="C546" s="303">
        <f>H430</f>
        <v>0</v>
      </c>
      <c r="D546" s="303">
        <f>K430</f>
        <v>0</v>
      </c>
      <c r="E546" s="303">
        <f>M430</f>
        <v>0</v>
      </c>
      <c r="F546" s="303">
        <f>O430</f>
        <v>0</v>
      </c>
      <c r="G546" s="1534" t="s">
        <v>1942</v>
      </c>
      <c r="H546" s="1534"/>
      <c r="I546" s="1555"/>
      <c r="J546" s="1555"/>
      <c r="K546" s="1030"/>
      <c r="L546" s="1031"/>
      <c r="M546" s="1031"/>
      <c r="N546" s="1031"/>
      <c r="O546" s="1032"/>
      <c r="P546" s="1631"/>
      <c r="R546" s="176"/>
      <c r="S546" s="19"/>
      <c r="T546" s="114"/>
      <c r="U546" s="157"/>
      <c r="V546" s="60"/>
      <c r="W546" s="60"/>
      <c r="X546" s="18"/>
      <c r="Y546" s="370"/>
      <c r="Z546" s="18"/>
      <c r="AA546" s="8"/>
      <c r="AB546" s="8"/>
      <c r="AC546" s="8"/>
      <c r="AD546" s="18"/>
      <c r="AE546" s="18"/>
      <c r="AF546" s="18"/>
      <c r="AG546" s="18"/>
      <c r="AH546" s="18"/>
      <c r="AI546" s="18"/>
      <c r="AJ546" s="18"/>
      <c r="AK546" s="18"/>
      <c r="AL546" s="18"/>
      <c r="AM546" s="18"/>
      <c r="AN546" s="18"/>
      <c r="AO546" s="18"/>
      <c r="AP546" s="18"/>
      <c r="AQ546" s="18"/>
      <c r="AR546" s="18"/>
      <c r="AS546" s="18"/>
      <c r="AT546" s="18"/>
    </row>
    <row r="547" spans="1:100" ht="15.75" customHeight="1" x14ac:dyDescent="0.2">
      <c r="B547" s="1410" t="s">
        <v>1478</v>
      </c>
      <c r="C547" s="1410"/>
      <c r="D547" s="1410"/>
      <c r="E547" s="1373">
        <f>P431</f>
        <v>0</v>
      </c>
      <c r="F547" s="1373"/>
      <c r="G547" s="1534" t="s">
        <v>1942</v>
      </c>
      <c r="H547" s="1534"/>
      <c r="I547" s="1555"/>
      <c r="J547" s="1555"/>
      <c r="K547" s="1030"/>
      <c r="L547" s="1031"/>
      <c r="M547" s="1031"/>
      <c r="N547" s="1031"/>
      <c r="O547" s="1032"/>
      <c r="P547" s="1631"/>
      <c r="R547" s="176"/>
      <c r="S547" s="19"/>
      <c r="T547" s="114"/>
      <c r="U547" s="157"/>
      <c r="V547" s="60"/>
      <c r="W547" s="60"/>
      <c r="X547" s="18"/>
      <c r="Y547" s="370"/>
      <c r="Z547" s="18"/>
      <c r="AA547" s="8"/>
      <c r="AB547" s="8"/>
      <c r="AC547" s="8"/>
      <c r="AD547" s="18"/>
      <c r="AE547" s="18"/>
      <c r="AF547" s="18"/>
      <c r="AG547" s="18"/>
      <c r="AH547" s="18"/>
      <c r="AI547" s="18"/>
      <c r="AJ547" s="18"/>
      <c r="AK547" s="18"/>
      <c r="AL547" s="18"/>
      <c r="AM547" s="18"/>
      <c r="AN547" s="18"/>
      <c r="AO547" s="18"/>
      <c r="AP547" s="18"/>
      <c r="AQ547" s="18"/>
      <c r="AR547" s="18"/>
      <c r="AS547" s="18"/>
      <c r="AT547" s="18"/>
    </row>
    <row r="548" spans="1:100" ht="15.75" customHeight="1" x14ac:dyDescent="0.2">
      <c r="B548" s="1362" t="s">
        <v>982</v>
      </c>
      <c r="C548" s="1363"/>
      <c r="D548" s="1364"/>
      <c r="E548" s="1342">
        <f>P432</f>
        <v>0</v>
      </c>
      <c r="F548" s="1344"/>
      <c r="G548" s="1534" t="s">
        <v>1942</v>
      </c>
      <c r="H548" s="1534"/>
      <c r="I548" s="1555"/>
      <c r="J548" s="1555"/>
      <c r="K548" s="1781" t="str">
        <f>IF(AND(OR(P398&gt;0,P408&gt;0,P508&gt;0,P514&gt;0),E607&gt;0),"A value has been granted for motor loss. Additional impairment values are not allowed for weakness, chronic condition, or reduced ROM in the same extremity.","")</f>
        <v/>
      </c>
      <c r="L548" s="1782"/>
      <c r="M548" s="1782"/>
      <c r="N548" s="1782"/>
      <c r="O548" s="1783"/>
      <c r="P548" s="1631"/>
      <c r="R548" s="176"/>
      <c r="S548" s="19"/>
      <c r="T548" s="114"/>
      <c r="U548" s="157"/>
      <c r="V548" s="60"/>
      <c r="W548" s="60"/>
      <c r="X548" s="18"/>
      <c r="Y548" s="370"/>
      <c r="Z548" s="18"/>
      <c r="AD548" s="18"/>
      <c r="AE548" s="18"/>
      <c r="AF548" s="18"/>
      <c r="AG548" s="18"/>
      <c r="AH548" s="18"/>
      <c r="AI548" s="18"/>
      <c r="AJ548" s="18"/>
      <c r="AK548" s="18"/>
      <c r="AL548" s="18"/>
      <c r="AM548" s="18"/>
      <c r="AN548" s="18"/>
      <c r="AO548" s="18"/>
      <c r="AP548" s="18"/>
      <c r="AQ548" s="18"/>
      <c r="AR548" s="18"/>
      <c r="AS548" s="18"/>
      <c r="AT548" s="18"/>
    </row>
    <row r="549" spans="1:100" ht="15.75" customHeight="1" x14ac:dyDescent="0.2">
      <c r="B549" s="1410" t="s">
        <v>1447</v>
      </c>
      <c r="C549" s="1410"/>
      <c r="D549" s="1410"/>
      <c r="E549" s="1373">
        <f>P436</f>
        <v>0</v>
      </c>
      <c r="F549" s="1373"/>
      <c r="G549" s="1658"/>
      <c r="H549" s="1658"/>
      <c r="I549" s="1545">
        <f t="shared" ref="I549:I552" si="87">IF(AND(Y549&lt;0.01,Y549&gt;0),0.01,ROUND(Y549,2))</f>
        <v>0</v>
      </c>
      <c r="J549" s="1545"/>
      <c r="K549" s="1781"/>
      <c r="L549" s="1782"/>
      <c r="M549" s="1782"/>
      <c r="N549" s="1782"/>
      <c r="O549" s="1783"/>
      <c r="P549" s="1631"/>
      <c r="R549" s="176"/>
      <c r="S549" s="19"/>
      <c r="T549" s="114"/>
      <c r="U549" s="157"/>
      <c r="V549" s="60"/>
      <c r="W549" s="60"/>
      <c r="X549" s="18"/>
      <c r="Y549" s="1072">
        <f t="shared" ref="Y549:Y552" si="88">E549*G549</f>
        <v>0</v>
      </c>
      <c r="Z549" s="18"/>
      <c r="AC549" s="18"/>
      <c r="AD549" s="18"/>
      <c r="AE549" s="18"/>
      <c r="AF549" s="18"/>
      <c r="AG549" s="18"/>
      <c r="AH549" s="18"/>
      <c r="AI549" s="18"/>
      <c r="AJ549" s="18"/>
      <c r="AK549" s="18"/>
      <c r="AL549" s="18"/>
      <c r="AM549" s="18"/>
      <c r="AN549" s="18"/>
      <c r="AO549" s="18"/>
      <c r="AP549" s="18"/>
      <c r="AQ549" s="18"/>
      <c r="AR549" s="18"/>
      <c r="AS549" s="18"/>
      <c r="AT549" s="18"/>
    </row>
    <row r="550" spans="1:100" ht="15.75" customHeight="1" x14ac:dyDescent="0.2">
      <c r="B550" s="1410" t="s">
        <v>1254</v>
      </c>
      <c r="C550" s="1410"/>
      <c r="D550" s="1410"/>
      <c r="E550" s="1373">
        <f>P440</f>
        <v>0</v>
      </c>
      <c r="F550" s="1373"/>
      <c r="G550" s="1658"/>
      <c r="H550" s="1658"/>
      <c r="I550" s="1545">
        <f t="shared" si="87"/>
        <v>0</v>
      </c>
      <c r="J550" s="1545"/>
      <c r="K550" s="1781"/>
      <c r="L550" s="1782"/>
      <c r="M550" s="1782"/>
      <c r="N550" s="1782"/>
      <c r="O550" s="1783"/>
      <c r="P550" s="1631"/>
      <c r="R550" s="176"/>
      <c r="S550" s="19"/>
      <c r="T550" s="114"/>
      <c r="U550" s="157"/>
      <c r="V550" s="60"/>
      <c r="W550" s="60"/>
      <c r="X550" s="18"/>
      <c r="Y550" s="1072">
        <f t="shared" si="88"/>
        <v>0</v>
      </c>
      <c r="Z550" s="18"/>
      <c r="AC550" s="18"/>
      <c r="AD550" s="18"/>
      <c r="AE550" s="18"/>
      <c r="AF550" s="18"/>
      <c r="AG550" s="18"/>
      <c r="AH550" s="18"/>
      <c r="AI550" s="18"/>
      <c r="AJ550" s="18"/>
      <c r="AK550" s="18"/>
      <c r="AL550" s="18"/>
      <c r="AM550" s="18"/>
      <c r="AN550" s="18"/>
      <c r="AO550" s="18"/>
      <c r="AP550" s="18"/>
      <c r="AQ550" s="18"/>
      <c r="AR550" s="18"/>
      <c r="AS550" s="18"/>
      <c r="AT550" s="18"/>
    </row>
    <row r="551" spans="1:100" ht="15.75" customHeight="1" x14ac:dyDescent="0.2">
      <c r="B551" s="1410" t="s">
        <v>1639</v>
      </c>
      <c r="C551" s="1410"/>
      <c r="D551" s="1410"/>
      <c r="E551" s="1373">
        <f>IF(E607&gt;0,0,P508)</f>
        <v>0</v>
      </c>
      <c r="F551" s="1373"/>
      <c r="G551" s="1658"/>
      <c r="H551" s="1658"/>
      <c r="I551" s="1545">
        <f t="shared" si="87"/>
        <v>0</v>
      </c>
      <c r="J551" s="1545"/>
      <c r="K551" s="1781"/>
      <c r="L551" s="1782"/>
      <c r="M551" s="1782"/>
      <c r="N551" s="1782"/>
      <c r="O551" s="1783"/>
      <c r="P551" s="1631"/>
      <c r="R551" s="176"/>
      <c r="S551" s="19"/>
      <c r="T551" s="114"/>
      <c r="U551" s="157"/>
      <c r="V551" s="60"/>
      <c r="W551" s="60"/>
      <c r="X551" s="18"/>
      <c r="Y551" s="1072">
        <f t="shared" si="88"/>
        <v>0</v>
      </c>
      <c r="Z551" s="18"/>
      <c r="AC551" s="18"/>
      <c r="AD551" s="18"/>
      <c r="AE551" s="18"/>
      <c r="AF551" s="18"/>
      <c r="AG551" s="18"/>
      <c r="AH551" s="18"/>
      <c r="AI551" s="18"/>
      <c r="AJ551" s="18"/>
      <c r="AK551" s="18"/>
      <c r="AL551" s="18"/>
      <c r="AM551" s="18"/>
      <c r="AN551" s="18"/>
      <c r="AO551" s="18"/>
      <c r="AP551" s="18"/>
      <c r="AQ551" s="18"/>
      <c r="AR551" s="18"/>
      <c r="AS551" s="18"/>
      <c r="AT551" s="18"/>
    </row>
    <row r="552" spans="1:100" ht="15.75" customHeight="1" x14ac:dyDescent="0.2">
      <c r="B552" s="1410" t="s">
        <v>1479</v>
      </c>
      <c r="C552" s="1410"/>
      <c r="D552" s="1410"/>
      <c r="E552" s="1373">
        <f>IF(E607&gt;0,0,P514)</f>
        <v>0</v>
      </c>
      <c r="F552" s="1373"/>
      <c r="G552" s="1658"/>
      <c r="H552" s="1658"/>
      <c r="I552" s="1545">
        <f t="shared" si="87"/>
        <v>0</v>
      </c>
      <c r="J552" s="1545"/>
      <c r="K552" s="1781"/>
      <c r="L552" s="1782"/>
      <c r="M552" s="1782"/>
      <c r="N552" s="1782"/>
      <c r="O552" s="1783"/>
      <c r="P552" s="1631"/>
      <c r="R552" s="176"/>
      <c r="S552" s="19"/>
      <c r="T552" s="114"/>
      <c r="U552" s="157"/>
      <c r="V552" s="60"/>
      <c r="W552" s="60"/>
      <c r="X552" s="18"/>
      <c r="Y552" s="1072">
        <f t="shared" si="88"/>
        <v>0</v>
      </c>
      <c r="Z552" s="18"/>
      <c r="AA552" s="18"/>
      <c r="AB552" s="18"/>
      <c r="AC552" s="18"/>
      <c r="AD552" s="18"/>
      <c r="AE552" s="18"/>
      <c r="AF552" s="18"/>
      <c r="AG552" s="18"/>
      <c r="AH552" s="18"/>
      <c r="AI552" s="18"/>
      <c r="AJ552" s="18"/>
      <c r="AK552" s="18"/>
      <c r="AL552" s="18"/>
      <c r="AM552" s="18"/>
      <c r="AN552" s="18"/>
      <c r="AO552" s="18"/>
      <c r="AP552" s="18"/>
      <c r="AQ552" s="18"/>
      <c r="AR552" s="18"/>
      <c r="AS552" s="18"/>
      <c r="AT552" s="18"/>
    </row>
    <row r="553" spans="1:100" ht="15.75" customHeight="1" x14ac:dyDescent="0.2">
      <c r="B553" s="1408" t="s">
        <v>1480</v>
      </c>
      <c r="C553" s="1408"/>
      <c r="D553" s="1408"/>
      <c r="E553" s="1481">
        <f>P518</f>
        <v>0</v>
      </c>
      <c r="F553" s="1482"/>
      <c r="G553" s="1645" t="s">
        <v>1942</v>
      </c>
      <c r="H553" s="1645"/>
      <c r="I553" s="1450"/>
      <c r="J553" s="1450"/>
      <c r="K553" s="1802"/>
      <c r="L553" s="1803"/>
      <c r="M553" s="1803"/>
      <c r="N553" s="1803"/>
      <c r="O553" s="1804"/>
      <c r="P553" s="1631"/>
      <c r="R553" s="176"/>
      <c r="S553" s="19"/>
      <c r="T553" s="114"/>
      <c r="U553" s="157"/>
      <c r="V553" s="18"/>
      <c r="W553" s="18"/>
      <c r="X553" s="18"/>
      <c r="Y553" s="1068"/>
      <c r="Z553" s="18"/>
      <c r="AA553" s="18"/>
      <c r="AB553" s="18"/>
      <c r="AC553" s="18"/>
      <c r="AD553" s="18"/>
      <c r="AE553" s="18"/>
      <c r="AF553" s="18"/>
      <c r="AG553" s="18"/>
      <c r="AH553" s="18"/>
      <c r="AI553" s="18"/>
      <c r="AJ553" s="18"/>
      <c r="AK553" s="18"/>
      <c r="AL553" s="18"/>
      <c r="AM553" s="18"/>
      <c r="AN553" s="18"/>
      <c r="AO553" s="18"/>
      <c r="AP553" s="18"/>
      <c r="AQ553" s="18"/>
      <c r="AR553" s="18"/>
      <c r="AS553" s="18"/>
      <c r="AT553" s="18"/>
    </row>
    <row r="554" spans="1:100" ht="15" customHeight="1" x14ac:dyDescent="0.2">
      <c r="B554" s="1568" t="s">
        <v>1931</v>
      </c>
      <c r="C554" s="1568"/>
      <c r="D554" s="1568"/>
      <c r="E554" s="1568"/>
      <c r="F554" s="1568"/>
      <c r="G554" s="1568"/>
      <c r="H554" s="1568"/>
      <c r="I554" s="1568"/>
      <c r="J554" s="1568"/>
      <c r="K554" s="1568"/>
      <c r="L554" s="1568"/>
      <c r="M554" s="1568"/>
      <c r="N554" s="1568"/>
      <c r="O554" s="1568"/>
      <c r="P554" s="1623"/>
      <c r="R554" s="19"/>
      <c r="S554" s="114"/>
      <c r="T554" s="157"/>
      <c r="U554" s="18"/>
      <c r="V554" s="18"/>
      <c r="W554" s="18"/>
      <c r="X554" s="18"/>
      <c r="Y554" s="1068"/>
      <c r="Z554" s="18"/>
      <c r="AA554" s="18"/>
      <c r="AB554" s="18"/>
      <c r="AC554" s="18"/>
      <c r="AD554" s="18"/>
      <c r="AE554" s="18"/>
      <c r="AF554" s="18"/>
      <c r="AG554" s="18"/>
      <c r="AH554" s="18"/>
      <c r="AI554" s="18"/>
      <c r="AJ554" s="18"/>
      <c r="AK554" s="18"/>
      <c r="AL554" s="18"/>
      <c r="AM554" s="18"/>
      <c r="AN554" s="18"/>
      <c r="AO554" s="18"/>
      <c r="AP554" s="18"/>
      <c r="AQ554" s="18"/>
      <c r="AR554" s="18"/>
      <c r="AS554" s="18"/>
      <c r="AT554" s="18"/>
    </row>
    <row r="555" spans="1:100" ht="12" customHeight="1" x14ac:dyDescent="0.2">
      <c r="B555" s="1469"/>
      <c r="C555" s="1469"/>
      <c r="D555" s="1469"/>
      <c r="E555" s="1469"/>
      <c r="F555" s="1469"/>
      <c r="G555" s="1469"/>
      <c r="H555" s="1469"/>
      <c r="I555" s="1469"/>
      <c r="J555" s="1469"/>
      <c r="K555" s="1469"/>
      <c r="L555" s="1469"/>
      <c r="M555" s="1469"/>
      <c r="N555" s="1469"/>
      <c r="O555" s="1469"/>
      <c r="P555" s="10"/>
      <c r="R555" s="18"/>
      <c r="S555" s="18"/>
      <c r="T555" s="18"/>
      <c r="U555" s="18"/>
      <c r="V555" s="18"/>
      <c r="W555" s="18"/>
      <c r="X555" s="18"/>
      <c r="Y555" s="1068"/>
      <c r="Z555" s="18"/>
      <c r="AA555" s="18"/>
      <c r="AB555" s="18"/>
      <c r="AC555" s="18"/>
      <c r="AD555" s="18"/>
      <c r="AE555" s="18"/>
      <c r="AF555" s="18"/>
      <c r="AG555" s="18"/>
      <c r="AH555" s="18"/>
      <c r="AI555" s="18"/>
      <c r="AJ555" s="18"/>
      <c r="AK555" s="18"/>
      <c r="AL555" s="18"/>
      <c r="AM555" s="18"/>
      <c r="AN555" s="18"/>
      <c r="AO555" s="18"/>
      <c r="AP555" s="18"/>
      <c r="AQ555" s="18"/>
      <c r="AR555" s="18"/>
      <c r="AS555" s="18"/>
      <c r="AT555" s="18"/>
    </row>
    <row r="556" spans="1:100" ht="27" customHeight="1" thickBot="1" x14ac:dyDescent="0.25">
      <c r="B556" s="1814" t="s">
        <v>1119</v>
      </c>
      <c r="C556" s="1815"/>
      <c r="D556" s="1815"/>
      <c r="E556" s="1815"/>
      <c r="F556" s="1815"/>
      <c r="G556" s="1815"/>
      <c r="H556" s="1815"/>
      <c r="I556" s="1815"/>
      <c r="J556" s="1815"/>
      <c r="K556" s="1815"/>
      <c r="L556" s="1815"/>
      <c r="M556" s="1815"/>
      <c r="N556" s="1815"/>
      <c r="O556" s="1815"/>
      <c r="P556" s="372" t="s">
        <v>1065</v>
      </c>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row>
    <row r="557" spans="1:100" ht="15" customHeight="1" x14ac:dyDescent="0.2">
      <c r="B557" s="1807" t="s">
        <v>1933</v>
      </c>
      <c r="C557" s="1808"/>
      <c r="D557" s="1808"/>
      <c r="E557" s="1808"/>
      <c r="F557" s="1808"/>
      <c r="G557" s="1808"/>
      <c r="H557" s="1808"/>
      <c r="I557" s="1808"/>
      <c r="J557" s="1808"/>
      <c r="K557" s="1808"/>
      <c r="L557" s="1808"/>
      <c r="M557" s="1808"/>
      <c r="N557" s="1808"/>
      <c r="O557" s="1808"/>
      <c r="P557" s="463"/>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row>
    <row r="558" spans="1:100" ht="19.5" customHeight="1" x14ac:dyDescent="0.2">
      <c r="A558" s="189"/>
      <c r="B558" s="1650"/>
      <c r="C558" s="1651"/>
      <c r="D558" s="1651"/>
      <c r="E558" s="1651"/>
      <c r="F558" s="1651"/>
      <c r="G558" s="1651"/>
      <c r="H558" s="1651"/>
      <c r="I558" s="1651"/>
      <c r="J558" s="1651"/>
      <c r="K558" s="1651"/>
      <c r="L558" s="1651"/>
      <c r="M558" s="1651"/>
      <c r="N558" s="1651"/>
      <c r="O558" s="1651"/>
      <c r="P558" s="356">
        <f>IF(R558=2,1,0)</f>
        <v>0</v>
      </c>
      <c r="R558" s="686">
        <v>1</v>
      </c>
      <c r="S558" s="18"/>
      <c r="T558" s="18"/>
      <c r="U558" s="18"/>
      <c r="V558" s="18"/>
      <c r="W558" s="18">
        <v>1E-4</v>
      </c>
      <c r="X558" s="18"/>
      <c r="Y558" s="19"/>
      <c r="Z558" s="19"/>
      <c r="AA558" s="19"/>
      <c r="AB558" s="19"/>
      <c r="AC558" s="19"/>
      <c r="AD558" s="18"/>
      <c r="AE558" s="18"/>
      <c r="AF558" s="18"/>
      <c r="AG558" s="18"/>
      <c r="AH558" s="18"/>
      <c r="AI558" s="18"/>
      <c r="AJ558" s="18"/>
      <c r="AK558" s="18"/>
      <c r="AL558" s="18"/>
      <c r="AM558" s="18"/>
      <c r="AN558" s="18"/>
      <c r="AO558" s="18"/>
      <c r="AP558" s="18"/>
      <c r="AQ558" s="18"/>
      <c r="AR558" s="18"/>
      <c r="AS558" s="18"/>
      <c r="AT558" s="18"/>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row>
    <row r="559" spans="1:100" ht="9" customHeight="1" x14ac:dyDescent="0.2">
      <c r="B559" s="1395"/>
      <c r="C559" s="1395"/>
      <c r="D559" s="1395"/>
      <c r="E559" s="1395"/>
      <c r="F559" s="1395"/>
      <c r="G559" s="1395"/>
      <c r="H559" s="1395"/>
      <c r="I559" s="1395"/>
      <c r="J559" s="1395"/>
      <c r="K559" s="1395"/>
      <c r="L559" s="1395"/>
      <c r="M559" s="1395"/>
      <c r="N559" s="1395"/>
      <c r="O559" s="1395"/>
      <c r="P559" s="40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row>
    <row r="560" spans="1:100" ht="18" customHeight="1" x14ac:dyDescent="0.2">
      <c r="B560" s="1555" t="s">
        <v>1595</v>
      </c>
      <c r="C560" s="1555"/>
      <c r="D560" s="1555"/>
      <c r="E560" s="1555"/>
      <c r="F560" s="1555"/>
      <c r="G560" s="1555"/>
      <c r="H560" s="1555"/>
      <c r="I560" s="1555"/>
      <c r="J560" s="1555"/>
      <c r="K560" s="1555"/>
      <c r="L560" s="1555"/>
      <c r="M560" s="1555"/>
      <c r="N560" s="1555"/>
      <c r="O560" s="1549"/>
      <c r="P560" s="366"/>
      <c r="R560" s="18"/>
      <c r="S560" s="18"/>
      <c r="T560" s="1531" t="s">
        <v>2189</v>
      </c>
      <c r="U560" s="1532"/>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row>
    <row r="561" spans="2:46" ht="27" customHeight="1" x14ac:dyDescent="0.2">
      <c r="B561" s="23" t="s">
        <v>1932</v>
      </c>
      <c r="C561" s="1555" t="s">
        <v>1596</v>
      </c>
      <c r="D561" s="1555"/>
      <c r="E561" s="1555"/>
      <c r="F561" s="1555"/>
      <c r="G561" s="1536" t="s">
        <v>1081</v>
      </c>
      <c r="H561" s="1536"/>
      <c r="I561" s="1536"/>
      <c r="J561" s="1536"/>
      <c r="K561" s="1536"/>
      <c r="L561" s="1536"/>
      <c r="M561" s="1536"/>
      <c r="N561" s="1536"/>
      <c r="O561" s="1531"/>
      <c r="P561" s="365"/>
      <c r="R561" s="18"/>
      <c r="S561" s="807" t="s">
        <v>1655</v>
      </c>
      <c r="T561" s="814" t="s">
        <v>1596</v>
      </c>
      <c r="U561" s="814" t="s">
        <v>1597</v>
      </c>
      <c r="V561" s="1549" t="s">
        <v>1083</v>
      </c>
      <c r="W561" s="1550"/>
      <c r="X561" s="1550"/>
      <c r="Y561" s="1551"/>
      <c r="Z561" s="18"/>
      <c r="AA561" s="18"/>
      <c r="AB561" s="18"/>
      <c r="AC561" s="18"/>
      <c r="AD561" s="18"/>
      <c r="AE561" s="18"/>
      <c r="AF561" s="18"/>
      <c r="AG561" s="18"/>
      <c r="AH561" s="18"/>
      <c r="AI561" s="18"/>
      <c r="AJ561" s="18"/>
      <c r="AK561" s="18"/>
      <c r="AL561" s="18"/>
      <c r="AM561" s="18"/>
      <c r="AN561" s="18"/>
      <c r="AO561" s="18"/>
      <c r="AP561" s="18"/>
      <c r="AQ561" s="18"/>
      <c r="AR561" s="18"/>
      <c r="AS561" s="18"/>
      <c r="AT561" s="18"/>
    </row>
    <row r="562" spans="2:46" ht="15" customHeight="1" x14ac:dyDescent="0.2">
      <c r="B562" s="186" t="s">
        <v>1513</v>
      </c>
      <c r="C562" s="1652"/>
      <c r="D562" s="1652"/>
      <c r="E562" s="1558">
        <f>UETable!BF80</f>
        <v>0</v>
      </c>
      <c r="F562" s="1558"/>
      <c r="G562" s="1652"/>
      <c r="H562" s="1652"/>
      <c r="I562" s="1538">
        <f>IF(C562="",0,IF(OR(C562&lt;=0,G562&lt;=0),E562,IF(G562&lt;C562,0,UETable!BK80)))</f>
        <v>0</v>
      </c>
      <c r="J562" s="1538"/>
      <c r="K562" s="1556" t="str">
        <f>IF(OR(C562="NA",G562="NA"),"",IF(AND(C562&lt;&gt;"",G562=""),"Enter contralateral or NA.",IF(AND(C562="",G562&lt;&gt;""),"Need data","")))</f>
        <v/>
      </c>
      <c r="L562" s="1556"/>
      <c r="M562" s="1556"/>
      <c r="N562" s="1556"/>
      <c r="O562" s="1704"/>
      <c r="P562" s="365"/>
      <c r="R562" s="18"/>
      <c r="S562" s="807">
        <v>150</v>
      </c>
      <c r="T562" s="807" t="str">
        <f t="shared" ref="T562:T569" si="89">IF(OR(C562="",C562="NA"),"",IF(C562&gt;S562,S562,IF(C562&lt;0,0,C562)))</f>
        <v/>
      </c>
      <c r="U562" s="807" t="str">
        <f>IF(OR(G562="",G562="NA"),"",IF(G562&gt;S562,S562,IF(G562&lt;0,0,G562)))</f>
        <v/>
      </c>
      <c r="V562" s="696" t="str">
        <f>IF(Y562="","",ROUND(Y562,0))</f>
        <v/>
      </c>
      <c r="W562" s="1410" t="s">
        <v>1203</v>
      </c>
      <c r="X562" s="1410"/>
      <c r="Y562" s="697" t="str">
        <f>IF(T562="","",IF(OR(U562="",U562=0,U562&lt;T562),T562,(T562*150)/U562))</f>
        <v/>
      </c>
      <c r="Z562" s="18"/>
      <c r="AA562" s="18"/>
      <c r="AB562" s="18"/>
      <c r="AC562" s="18"/>
      <c r="AD562" s="18"/>
      <c r="AE562" s="18"/>
      <c r="AF562" s="18"/>
      <c r="AG562" s="18"/>
      <c r="AH562" s="18"/>
      <c r="AN562" s="18"/>
      <c r="AO562" s="18"/>
      <c r="AP562" s="18"/>
      <c r="AQ562" s="18"/>
      <c r="AR562" s="18"/>
      <c r="AS562" s="18"/>
      <c r="AT562" s="18"/>
    </row>
    <row r="563" spans="2:46" ht="15" customHeight="1" x14ac:dyDescent="0.2">
      <c r="B563" s="186" t="s">
        <v>1204</v>
      </c>
      <c r="C563" s="1652"/>
      <c r="D563" s="1652"/>
      <c r="E563" s="1558">
        <f>IF(AND(AJ569=1,AK569=1),"ERROR",UETable!BF81)</f>
        <v>0</v>
      </c>
      <c r="F563" s="1558"/>
      <c r="G563" s="1556" t="str">
        <f>IF(AND($AK$569=1,$AJ$569=1),"Cannot rate ROM and ankylosis.","")</f>
        <v/>
      </c>
      <c r="H563" s="1556"/>
      <c r="I563" s="1556"/>
      <c r="J563" s="1556"/>
      <c r="K563" s="1556"/>
      <c r="L563" s="1556"/>
      <c r="M563" s="1556"/>
      <c r="N563" s="1556"/>
      <c r="O563" s="1704"/>
      <c r="P563" s="365"/>
      <c r="R563" s="18"/>
      <c r="S563" s="807">
        <v>150</v>
      </c>
      <c r="T563" s="807" t="str">
        <f t="shared" si="89"/>
        <v/>
      </c>
      <c r="U563" s="18"/>
      <c r="V563" s="73"/>
      <c r="W563" s="18"/>
      <c r="X563" s="18"/>
      <c r="Y563" s="159"/>
      <c r="Z563" s="18"/>
      <c r="AA563" s="18"/>
      <c r="AB563" s="73"/>
      <c r="AC563" s="18"/>
      <c r="AD563" s="18"/>
      <c r="AE563" s="18"/>
      <c r="AF563" s="18"/>
      <c r="AG563" s="18"/>
      <c r="AH563" s="18"/>
      <c r="AI563" s="18"/>
      <c r="AJ563" s="18"/>
      <c r="AK563" s="18"/>
      <c r="AL563" s="18"/>
      <c r="AM563" s="18"/>
      <c r="AN563" s="18"/>
      <c r="AO563" s="18"/>
      <c r="AP563" s="18"/>
      <c r="AQ563" s="18"/>
      <c r="AR563" s="18"/>
      <c r="AS563" s="18"/>
      <c r="AT563" s="18"/>
    </row>
    <row r="564" spans="2:46" ht="15" customHeight="1" x14ac:dyDescent="0.2">
      <c r="B564" s="186" t="s">
        <v>1177</v>
      </c>
      <c r="C564" s="1652"/>
      <c r="D564" s="1652"/>
      <c r="E564" s="1558">
        <f>UETable!BF82</f>
        <v>0</v>
      </c>
      <c r="F564" s="1558"/>
      <c r="G564" s="1652"/>
      <c r="H564" s="1652"/>
      <c r="I564" s="1538">
        <f>IF(C564="",0,IF(OR(C564&gt;=150,G564&gt;=150),E564,IF(G564&gt;C564,0,UETable!BK82)))</f>
        <v>0</v>
      </c>
      <c r="J564" s="1538"/>
      <c r="K564" s="1556" t="str">
        <f>IF(OR(C564="NA",G564="NA"),"",IF(AND(C564&lt;&gt;"",G564=""),"Enter contralateral or NA.",IF(AND(C564="",G564&lt;&gt;""),"Need data","")))</f>
        <v/>
      </c>
      <c r="L564" s="1556"/>
      <c r="M564" s="1556"/>
      <c r="N564" s="1556"/>
      <c r="O564" s="1704"/>
      <c r="P564" s="365"/>
      <c r="R564" s="18"/>
      <c r="S564" s="807">
        <v>150</v>
      </c>
      <c r="T564" s="807" t="str">
        <f t="shared" si="89"/>
        <v/>
      </c>
      <c r="U564" s="807" t="str">
        <f>IF(OR(G564="",G564="NA"),"",IF(G564&gt;S564,S564,IF(G564&lt;0,0,G564)))</f>
        <v/>
      </c>
      <c r="V564" s="696" t="str">
        <f>IF(Y564="","",ROUND(Y564,0))</f>
        <v/>
      </c>
      <c r="W564" s="807">
        <f>IF(T564="",0,150-T564)</f>
        <v>0</v>
      </c>
      <c r="X564" s="807">
        <f>IF(U564="",0,150-U564)</f>
        <v>0</v>
      </c>
      <c r="Y564" s="697" t="str">
        <f>IF(T564="","",IF(OR(U564="",U564=0,U564&gt;T564),T564,150-(W564*150)/X564))</f>
        <v/>
      </c>
      <c r="Z564" s="18"/>
      <c r="AA564" s="18"/>
      <c r="AB564" s="18"/>
      <c r="AC564" s="18"/>
      <c r="AD564" s="18"/>
      <c r="AE564" s="18"/>
      <c r="AF564" s="18"/>
      <c r="AG564" s="18"/>
      <c r="AH564" s="18"/>
      <c r="AI564" s="18"/>
      <c r="AJ564" s="18"/>
      <c r="AK564" s="18"/>
      <c r="AL564" s="18"/>
      <c r="AM564" s="18"/>
      <c r="AN564" s="18"/>
      <c r="AO564" s="18"/>
      <c r="AP564" s="18"/>
      <c r="AQ564" s="18"/>
      <c r="AR564" s="18"/>
      <c r="AS564" s="18"/>
      <c r="AT564" s="18"/>
    </row>
    <row r="565" spans="2:46" ht="15" customHeight="1" x14ac:dyDescent="0.2">
      <c r="B565" s="186" t="s">
        <v>1206</v>
      </c>
      <c r="C565" s="1652"/>
      <c r="D565" s="1652"/>
      <c r="E565" s="1558">
        <f>IF(AND(AJ569=1,AK569=1),"ERROR",UETable!BF83)</f>
        <v>0</v>
      </c>
      <c r="F565" s="1558"/>
      <c r="G565" s="1556" t="str">
        <f>IF(AND($AK$569=1,$AJ$569=1),"Cannot rate ROM and ankylosis.","")</f>
        <v/>
      </c>
      <c r="H565" s="1556"/>
      <c r="I565" s="1556"/>
      <c r="J565" s="1556"/>
      <c r="K565" s="1556"/>
      <c r="L565" s="1556"/>
      <c r="M565" s="1556"/>
      <c r="N565" s="1556"/>
      <c r="O565" s="1704"/>
      <c r="P565" s="365"/>
      <c r="R565" s="18"/>
      <c r="S565" s="807">
        <v>150</v>
      </c>
      <c r="T565" s="807" t="str">
        <f t="shared" si="89"/>
        <v/>
      </c>
      <c r="U565" s="18"/>
      <c r="V565" s="18"/>
      <c r="W565" s="18"/>
      <c r="X565" s="18"/>
      <c r="Y565" s="18"/>
      <c r="Z565" s="18"/>
      <c r="AA565" s="18"/>
      <c r="AB565" s="18"/>
      <c r="AC565" s="242">
        <f>MAX(E563,E565,E567,E569)</f>
        <v>0</v>
      </c>
      <c r="AD565" s="1410" t="s">
        <v>1943</v>
      </c>
      <c r="AE565" s="1410"/>
      <c r="AF565" s="1410"/>
      <c r="AG565" s="1410"/>
      <c r="AH565" s="18"/>
      <c r="AI565" s="1379" t="s">
        <v>930</v>
      </c>
      <c r="AJ565" s="1379" t="s">
        <v>692</v>
      </c>
      <c r="AK565" s="1379" t="s">
        <v>693</v>
      </c>
      <c r="AL565" s="1379" t="s">
        <v>895</v>
      </c>
      <c r="AM565" s="1438"/>
      <c r="AN565" s="18"/>
      <c r="AO565" s="18"/>
      <c r="AP565" s="18"/>
      <c r="AQ565" s="18"/>
      <c r="AR565" s="18"/>
      <c r="AS565" s="18"/>
      <c r="AT565" s="18"/>
    </row>
    <row r="566" spans="2:46" ht="15" customHeight="1" x14ac:dyDescent="0.2">
      <c r="B566" s="185" t="s">
        <v>913</v>
      </c>
      <c r="C566" s="1308"/>
      <c r="D566" s="1308"/>
      <c r="E566" s="1558">
        <f>UETable!BF84</f>
        <v>0</v>
      </c>
      <c r="F566" s="1558"/>
      <c r="G566" s="1652"/>
      <c r="H566" s="1652"/>
      <c r="I566" s="1538">
        <f>IF(C566="",0,IF(OR(C566&lt;=0,G566&lt;=0),E566,IF(G566&lt;C566,0,UETable!BK84)))</f>
        <v>0</v>
      </c>
      <c r="J566" s="1538"/>
      <c r="K566" s="1556" t="str">
        <f>IF(OR(C566="NA",G566="NA"),"",IF(AND(C566&lt;&gt;"",G566=""),"Enter contralateral or NA.",IF(AND(C566="",G566&lt;&gt;""),"Need data","")))</f>
        <v/>
      </c>
      <c r="L566" s="1556"/>
      <c r="M566" s="1556"/>
      <c r="N566" s="1556"/>
      <c r="O566" s="1704"/>
      <c r="P566" s="365"/>
      <c r="R566" s="18"/>
      <c r="S566" s="807">
        <v>80</v>
      </c>
      <c r="T566" s="807" t="str">
        <f t="shared" si="89"/>
        <v/>
      </c>
      <c r="U566" s="807" t="str">
        <f>IF(OR(G566="",G566="NA"),"",IF(G566&gt;S566,S566,IF(G566&lt;0,0,G566)))</f>
        <v/>
      </c>
      <c r="V566" s="696" t="str">
        <f>IF(Y566="","",ROUND(Y566,0))</f>
        <v/>
      </c>
      <c r="W566" s="18"/>
      <c r="X566" s="18"/>
      <c r="Y566" s="697" t="str">
        <f>IF(T566="","",IF(OR(U566="",U566=0,U566&lt;T566),T566,(T566*80)/U566))</f>
        <v/>
      </c>
      <c r="Z566" s="18"/>
      <c r="AA566" s="18"/>
      <c r="AB566" s="18"/>
      <c r="AC566" s="747">
        <f>SUM(I562,I564,I566,I568,AC565)</f>
        <v>0</v>
      </c>
      <c r="AD566" s="1410" t="s">
        <v>1176</v>
      </c>
      <c r="AE566" s="1410"/>
      <c r="AF566" s="1410"/>
      <c r="AG566" s="1410"/>
      <c r="AH566" s="47"/>
      <c r="AI566" s="1379"/>
      <c r="AJ566" s="1379"/>
      <c r="AK566" s="1379"/>
      <c r="AL566" s="1379"/>
      <c r="AM566" s="1438"/>
      <c r="AN566" s="18"/>
      <c r="AO566" s="18"/>
      <c r="AP566" s="18"/>
      <c r="AQ566" s="18"/>
      <c r="AR566" s="18"/>
      <c r="AS566" s="18"/>
      <c r="AT566" s="18"/>
    </row>
    <row r="567" spans="2:46" ht="15" customHeight="1" x14ac:dyDescent="0.2">
      <c r="B567" s="185" t="s">
        <v>931</v>
      </c>
      <c r="C567" s="1308"/>
      <c r="D567" s="1308"/>
      <c r="E567" s="1558">
        <f>IF(AND(AJ569,AK569=1),"ERROR",UETable!BF85)</f>
        <v>0</v>
      </c>
      <c r="F567" s="1558"/>
      <c r="G567" s="1556" t="str">
        <f>IF(AND($AK$569=1,$AJ$569=1),"Cannot rate ROM and ankylosis.","")</f>
        <v/>
      </c>
      <c r="H567" s="1556"/>
      <c r="I567" s="1556"/>
      <c r="J567" s="1556"/>
      <c r="K567" s="1556"/>
      <c r="L567" s="1556"/>
      <c r="M567" s="1556"/>
      <c r="N567" s="1556"/>
      <c r="O567" s="1704"/>
      <c r="P567" s="365"/>
      <c r="R567" s="18"/>
      <c r="S567" s="807">
        <v>80</v>
      </c>
      <c r="T567" s="807" t="str">
        <f t="shared" si="89"/>
        <v/>
      </c>
      <c r="U567" s="18"/>
      <c r="V567" s="18"/>
      <c r="W567" s="18"/>
      <c r="X567" s="18"/>
      <c r="Y567" s="18"/>
      <c r="Z567" s="18"/>
      <c r="AA567" s="18"/>
      <c r="AB567" s="18"/>
      <c r="AC567" s="18"/>
      <c r="AD567" s="18"/>
      <c r="AE567" s="18"/>
      <c r="AF567" s="18"/>
      <c r="AG567" s="18"/>
      <c r="AH567" s="47"/>
      <c r="AI567" s="1379"/>
      <c r="AJ567" s="1379"/>
      <c r="AK567" s="1379"/>
      <c r="AL567" s="1379"/>
      <c r="AM567" s="1438"/>
      <c r="AN567" s="18"/>
      <c r="AO567" s="18"/>
      <c r="AP567" s="18"/>
      <c r="AQ567" s="18"/>
      <c r="AR567" s="18"/>
      <c r="AS567" s="18"/>
      <c r="AT567" s="18"/>
    </row>
    <row r="568" spans="2:46" ht="15" customHeight="1" x14ac:dyDescent="0.2">
      <c r="B568" s="185" t="s">
        <v>914</v>
      </c>
      <c r="C568" s="1308"/>
      <c r="D568" s="1308"/>
      <c r="E568" s="1558">
        <f>UETable!BF86</f>
        <v>0</v>
      </c>
      <c r="F568" s="1558"/>
      <c r="G568" s="1652"/>
      <c r="H568" s="1652"/>
      <c r="I568" s="1538">
        <f>IF(C568="",0,IF(OR(C568&lt;=0,G568&lt;=0),E568,IF(G568&lt;C568,0,UETable!BK86)))</f>
        <v>0</v>
      </c>
      <c r="J568" s="1538"/>
      <c r="K568" s="1556" t="str">
        <f>IF(OR(C568="NA",G568="NA"),"",IF(AND(C568&lt;&gt;"",G568=""),"Enter contralateral or NA.",IF(AND(C568="",G568&lt;&gt;""),"Need data","")))</f>
        <v/>
      </c>
      <c r="L568" s="1556"/>
      <c r="M568" s="1556"/>
      <c r="N568" s="1556"/>
      <c r="O568" s="1704"/>
      <c r="P568" s="365"/>
      <c r="R568" s="18"/>
      <c r="S568" s="807">
        <v>80</v>
      </c>
      <c r="T568" s="807" t="str">
        <f t="shared" si="89"/>
        <v/>
      </c>
      <c r="U568" s="807" t="str">
        <f>IF(OR(G568="",G568="NA"),"",IF(G568&gt;S568,S568,IF(G568&lt;0,0,G568)))</f>
        <v/>
      </c>
      <c r="V568" s="737" t="str">
        <f>IF(Y568="","",ROUND(Y568,0))</f>
        <v/>
      </c>
      <c r="W568" s="18"/>
      <c r="X568" s="18"/>
      <c r="Y568" s="738" t="str">
        <f>IF(T568="","",IF(OR(U568="",U568=0,U568&lt;T568),T568,(T568*80)/U568))</f>
        <v/>
      </c>
      <c r="Z568" s="18"/>
      <c r="AA568" s="18"/>
      <c r="AB568" s="18"/>
      <c r="AC568" s="18"/>
      <c r="AD568" s="18"/>
      <c r="AE568" s="18"/>
      <c r="AF568" s="18"/>
      <c r="AG568" s="18"/>
      <c r="AH568" s="47"/>
      <c r="AI568" s="1379"/>
      <c r="AJ568" s="1379"/>
      <c r="AK568" s="1379"/>
      <c r="AL568" s="1379"/>
      <c r="AM568" s="1438"/>
      <c r="AN568" s="18"/>
      <c r="AO568" s="18"/>
      <c r="AP568" s="18"/>
      <c r="AQ568" s="18"/>
      <c r="AR568" s="18"/>
      <c r="AS568" s="18"/>
      <c r="AT568" s="18"/>
    </row>
    <row r="569" spans="2:46" ht="15" customHeight="1" x14ac:dyDescent="0.2">
      <c r="B569" s="185" t="s">
        <v>932</v>
      </c>
      <c r="C569" s="1308"/>
      <c r="D569" s="1308"/>
      <c r="E569" s="1558">
        <f>IF(AND(AJ569,AK569=1),"ERROR",UETable!BF87)</f>
        <v>0</v>
      </c>
      <c r="F569" s="1558"/>
      <c r="G569" s="1556" t="str">
        <f>IF(AND($AK$569=1,$AJ$569=1),"Cannot rate ROM and ankylosis.","")</f>
        <v/>
      </c>
      <c r="H569" s="1556"/>
      <c r="I569" s="1556"/>
      <c r="J569" s="1556"/>
      <c r="K569" s="1556"/>
      <c r="L569" s="1556"/>
      <c r="M569" s="1556"/>
      <c r="N569" s="1556"/>
      <c r="O569" s="1704"/>
      <c r="P569" s="367"/>
      <c r="R569" s="18"/>
      <c r="S569" s="807">
        <v>80</v>
      </c>
      <c r="T569" s="807" t="str">
        <f t="shared" si="89"/>
        <v/>
      </c>
      <c r="U569" s="18"/>
      <c r="V569" s="1555" t="s">
        <v>2190</v>
      </c>
      <c r="W569" s="1555"/>
      <c r="X569" s="1555"/>
      <c r="Y569" s="1555"/>
      <c r="Z569" s="1555"/>
      <c r="AA569" s="1555"/>
      <c r="AB569" s="1555"/>
      <c r="AC569" s="1555"/>
      <c r="AF569" s="18"/>
      <c r="AH569" s="18"/>
      <c r="AI569" s="807">
        <f>SUM(W570,Y570,AA570,AC570)</f>
        <v>0</v>
      </c>
      <c r="AJ569" s="807">
        <f>IF(OR(V570=1,X570=1,Z570=1,AB570=1),1,0)</f>
        <v>0</v>
      </c>
      <c r="AK569" s="807">
        <f>IF(OR(W570=1,Y570=1,AA570=1,AC570=1),1,0)</f>
        <v>0</v>
      </c>
      <c r="AL569" s="807">
        <f>SUM(V570,X570,Z570,AB570)</f>
        <v>0</v>
      </c>
      <c r="AM569" s="812"/>
      <c r="AN569" s="18"/>
      <c r="AO569" s="18"/>
      <c r="AP569" s="18"/>
      <c r="AQ569" s="18"/>
      <c r="AR569" s="18"/>
      <c r="AS569" s="18"/>
      <c r="AT569" s="18"/>
    </row>
    <row r="570" spans="2:46" ht="15.75" customHeight="1" x14ac:dyDescent="0.2">
      <c r="B570" s="1813" t="str">
        <f>IF(AI569&gt;1,"Multiple ankylosis values; use highest value only.","")</f>
        <v/>
      </c>
      <c r="C570" s="1813"/>
      <c r="D570" s="1813"/>
      <c r="E570" s="1813"/>
      <c r="F570" s="1813"/>
      <c r="G570" s="1813"/>
      <c r="H570" s="1813"/>
      <c r="I570" s="1813"/>
      <c r="J570" s="1813"/>
      <c r="K570" s="1813"/>
      <c r="L570" s="1644" t="s">
        <v>201</v>
      </c>
      <c r="M570" s="1644"/>
      <c r="N570" s="1644"/>
      <c r="O570" s="1644"/>
      <c r="P570" s="360">
        <f>IF(AND(AJ569=1,AK569=1),"ERROR",IF(AND(AC566&gt;0,AC566&lt;0.01),0.01,ROUND(AC566,2)))</f>
        <v>0</v>
      </c>
      <c r="R570" s="166"/>
      <c r="S570" s="157"/>
      <c r="T570" s="18"/>
      <c r="U570" s="18"/>
      <c r="V570" s="807">
        <f>IF(AND(C562&lt;&gt;"",C562&lt;&gt;"NA"),1,0)</f>
        <v>0</v>
      </c>
      <c r="W570" s="807">
        <f>IF(AND(C563&lt;&gt;"",C563&lt;&gt;"NA"),1,0)</f>
        <v>0</v>
      </c>
      <c r="X570" s="807">
        <f>IF(AND(C564&lt;&gt;"",C564&lt;&gt;"NA"),1,0)</f>
        <v>0</v>
      </c>
      <c r="Y570" s="807">
        <f>IF(AND(C565&lt;&gt;"",C565&lt;&gt;"NA"),1,0)</f>
        <v>0</v>
      </c>
      <c r="Z570" s="807">
        <f>IF(AND(C566&lt;&gt;"",C566&lt;&gt;"NA"),1,0)</f>
        <v>0</v>
      </c>
      <c r="AA570" s="807">
        <f>IF(AND(C567&lt;&gt;"",C567&lt;&gt;"NA"),1,0)</f>
        <v>0</v>
      </c>
      <c r="AB570" s="807">
        <f>IF(AND(C568&lt;&gt;"",C568&lt;&gt;"NA"),1,0)</f>
        <v>0</v>
      </c>
      <c r="AC570" s="807">
        <f>IF(AND(C569&lt;&gt;"",C569&lt;&gt;"NA"),1,0)</f>
        <v>0</v>
      </c>
      <c r="AD570" s="18"/>
      <c r="AE570" s="18"/>
      <c r="AF570" s="18"/>
      <c r="AG570" s="18"/>
      <c r="AH570" s="18"/>
      <c r="AI570" s="18"/>
      <c r="AJ570" s="18"/>
      <c r="AK570" s="18"/>
      <c r="AL570" s="18"/>
      <c r="AM570" s="18"/>
      <c r="AN570" s="18"/>
      <c r="AO570" s="18"/>
      <c r="AP570" s="18"/>
      <c r="AQ570" s="18"/>
      <c r="AR570" s="18"/>
      <c r="AS570" s="18"/>
      <c r="AT570" s="18"/>
    </row>
    <row r="571" spans="2:46" ht="6" customHeight="1" x14ac:dyDescent="0.2">
      <c r="B571" s="1395"/>
      <c r="C571" s="1395"/>
      <c r="D571" s="1395"/>
      <c r="E571" s="1395"/>
      <c r="F571" s="1395"/>
      <c r="G571" s="1395"/>
      <c r="H571" s="1395"/>
      <c r="I571" s="1395"/>
      <c r="J571" s="1395"/>
      <c r="K571" s="1395"/>
      <c r="L571" s="1395"/>
      <c r="M571" s="1395"/>
      <c r="N571" s="1395"/>
      <c r="O571" s="1395"/>
      <c r="P571" s="3"/>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row>
    <row r="572" spans="2:46" ht="6" customHeight="1" x14ac:dyDescent="0.2">
      <c r="B572" s="1395"/>
      <c r="C572" s="1395"/>
      <c r="D572" s="1395"/>
      <c r="E572" s="1395"/>
      <c r="F572" s="1395"/>
      <c r="G572" s="1395"/>
      <c r="H572" s="1395"/>
      <c r="I572" s="1395"/>
      <c r="J572" s="1395"/>
      <c r="K572" s="1395"/>
      <c r="L572" s="1395"/>
      <c r="M572" s="1395"/>
      <c r="N572" s="1395"/>
      <c r="O572" s="1395"/>
      <c r="P572" s="3"/>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row>
    <row r="573" spans="2:46" ht="15" customHeight="1" x14ac:dyDescent="0.2">
      <c r="B573" s="1374" t="s">
        <v>718</v>
      </c>
      <c r="C573" s="1375"/>
      <c r="D573" s="1376"/>
      <c r="E573" s="1637"/>
      <c r="F573" s="1637"/>
      <c r="G573" s="1637"/>
      <c r="H573" s="1637"/>
      <c r="I573" s="1637"/>
      <c r="J573" s="1637"/>
      <c r="K573" s="1637"/>
      <c r="L573" s="1637"/>
      <c r="M573" s="1637"/>
      <c r="N573" s="1637"/>
      <c r="O573" s="1637"/>
      <c r="P573" s="303">
        <f>IF(E573=S573,0,IF(E573=T573,0.05,IF(E573=U573,0.1,IF(E573=V573,0.15,IF(E573=W573,0.2,0)))))</f>
        <v>0</v>
      </c>
      <c r="R573" s="19"/>
      <c r="S573" s="807" t="s">
        <v>719</v>
      </c>
      <c r="T573" s="807" t="s">
        <v>720</v>
      </c>
      <c r="U573" s="813" t="s">
        <v>721</v>
      </c>
      <c r="V573" s="807" t="s">
        <v>722</v>
      </c>
      <c r="W573" s="813" t="s">
        <v>723</v>
      </c>
      <c r="Z573" s="18"/>
      <c r="AA573" s="18"/>
      <c r="AB573" s="18"/>
      <c r="AC573" s="18"/>
      <c r="AD573" s="18"/>
      <c r="AE573" s="18"/>
      <c r="AF573" s="18"/>
      <c r="AG573" s="18"/>
      <c r="AH573" s="18"/>
      <c r="AI573" s="18"/>
      <c r="AJ573" s="18"/>
      <c r="AK573" s="18"/>
      <c r="AL573" s="18"/>
      <c r="AM573" s="18"/>
      <c r="AN573" s="18"/>
      <c r="AO573" s="18"/>
      <c r="AP573" s="18"/>
      <c r="AQ573" s="18"/>
      <c r="AR573" s="18"/>
      <c r="AS573" s="18"/>
      <c r="AT573" s="18"/>
    </row>
    <row r="574" spans="2:46" ht="12" customHeight="1" x14ac:dyDescent="0.2">
      <c r="B574" s="1395"/>
      <c r="C574" s="1395"/>
      <c r="D574" s="1395"/>
      <c r="E574" s="1395"/>
      <c r="F574" s="1395"/>
      <c r="G574" s="1395"/>
      <c r="H574" s="1395"/>
      <c r="I574" s="1395"/>
      <c r="J574" s="1395"/>
      <c r="K574" s="1395"/>
      <c r="L574" s="1395"/>
      <c r="M574" s="1395"/>
      <c r="N574" s="1395"/>
      <c r="O574" s="1395"/>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row>
    <row r="575" spans="2:46" ht="16.5" customHeight="1" x14ac:dyDescent="0.2">
      <c r="B575" s="1410" t="s">
        <v>724</v>
      </c>
      <c r="C575" s="1410"/>
      <c r="D575" s="1410"/>
      <c r="E575" s="1410"/>
      <c r="F575" s="1410"/>
      <c r="G575" s="1410"/>
      <c r="H575" s="1410"/>
      <c r="I575" s="1410"/>
      <c r="J575" s="1410"/>
      <c r="K575" s="1345"/>
      <c r="L575" s="1501"/>
      <c r="M575" s="1501"/>
      <c r="N575" s="1501"/>
      <c r="O575" s="1440"/>
      <c r="P575" s="303">
        <f>IF(K575=S575,0.07,IF(K575=T575,0.14,IF(K575=U575,0.21,0)))</f>
        <v>0</v>
      </c>
      <c r="R575" s="19"/>
      <c r="S575" s="807" t="s">
        <v>725</v>
      </c>
      <c r="T575" s="807" t="s">
        <v>726</v>
      </c>
      <c r="U575" s="813" t="s">
        <v>727</v>
      </c>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row>
    <row r="576" spans="2:46" x14ac:dyDescent="0.2">
      <c r="B576" s="18"/>
      <c r="C576" s="18"/>
      <c r="D576" s="18"/>
      <c r="E576" s="18"/>
      <c r="F576" s="18"/>
      <c r="G576" s="18"/>
      <c r="H576" s="18"/>
      <c r="I576" s="18"/>
      <c r="J576" s="18"/>
      <c r="K576" s="18"/>
      <c r="L576" s="18"/>
      <c r="M576" s="18"/>
      <c r="N576" s="18"/>
      <c r="O576" s="18"/>
      <c r="P576" s="18"/>
      <c r="Q576" s="18"/>
      <c r="R576" s="18"/>
      <c r="S576" s="18"/>
      <c r="T576" s="18"/>
      <c r="U576" s="18"/>
      <c r="V576" s="18"/>
      <c r="W576" s="19"/>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row>
    <row r="577" spans="1:109" ht="18" customHeight="1" x14ac:dyDescent="0.2">
      <c r="A577" s="189"/>
      <c r="B577" s="1374" t="s">
        <v>791</v>
      </c>
      <c r="C577" s="1375"/>
      <c r="D577" s="1375"/>
      <c r="E577" s="1375"/>
      <c r="F577" s="1376"/>
      <c r="G577" s="1639"/>
      <c r="H577" s="1639"/>
      <c r="I577" s="1656" t="s">
        <v>205</v>
      </c>
      <c r="J577" s="1656"/>
      <c r="K577" s="1656"/>
      <c r="L577" s="1656"/>
      <c r="M577" s="1656"/>
      <c r="N577" s="1656"/>
      <c r="O577" s="1656"/>
      <c r="P577" s="303">
        <f>IF(T577=1,0.25,0)</f>
        <v>0</v>
      </c>
      <c r="R577" s="809" t="s">
        <v>2218</v>
      </c>
      <c r="S577" s="793" t="b">
        <v>0</v>
      </c>
      <c r="T577" s="807">
        <f>IF(S577=TRUE,1,0)</f>
        <v>0</v>
      </c>
      <c r="U577" s="18"/>
      <c r="V577" s="18"/>
      <c r="W577" s="18"/>
      <c r="X577" s="18"/>
      <c r="Y577" s="18"/>
      <c r="Z577" s="18">
        <v>1E-4</v>
      </c>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row>
    <row r="578" spans="1:109" ht="12" customHeight="1" x14ac:dyDescent="0.2">
      <c r="B578" s="1395"/>
      <c r="C578" s="1395"/>
      <c r="D578" s="1395"/>
      <c r="E578" s="1395"/>
      <c r="F578" s="1395"/>
      <c r="G578" s="1395"/>
      <c r="H578" s="1395"/>
      <c r="I578" s="1395"/>
      <c r="J578" s="1395"/>
      <c r="K578" s="1395"/>
      <c r="L578" s="1395"/>
      <c r="M578" s="1395"/>
      <c r="N578" s="1395"/>
      <c r="O578" s="1395"/>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row>
    <row r="579" spans="1:109" ht="39" customHeight="1" x14ac:dyDescent="0.2">
      <c r="A579" s="189"/>
      <c r="B579" s="1656" t="s">
        <v>1632</v>
      </c>
      <c r="C579" s="1639"/>
      <c r="D579" s="1639"/>
      <c r="E579" s="1639"/>
      <c r="F579" s="1639"/>
      <c r="G579" s="1639"/>
      <c r="H579" s="1639"/>
      <c r="I579" s="1639"/>
      <c r="J579" s="1639"/>
      <c r="K579" s="1639"/>
      <c r="L579" s="1639"/>
      <c r="M579" s="1639"/>
      <c r="N579" s="1639"/>
      <c r="O579" s="1639"/>
      <c r="P579" s="26">
        <f>IF(R579=2,0.1,IF(R579=3,0.15,0))</f>
        <v>0</v>
      </c>
      <c r="R579" s="686">
        <v>1</v>
      </c>
      <c r="S579" s="18"/>
      <c r="T579" s="18"/>
      <c r="U579" s="18"/>
      <c r="V579" s="18"/>
      <c r="W579" s="18">
        <v>1E-4</v>
      </c>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row>
    <row r="580" spans="1:109" ht="19.5" customHeight="1" x14ac:dyDescent="0.2">
      <c r="B580" s="1656"/>
      <c r="C580" s="1639"/>
      <c r="D580" s="1639"/>
      <c r="E580" s="1639"/>
      <c r="F580" s="1639"/>
      <c r="G580" s="1639"/>
      <c r="H580" s="1639"/>
      <c r="I580" s="1639"/>
      <c r="J580" s="1639"/>
      <c r="K580" s="1639"/>
      <c r="L580" s="1639"/>
      <c r="M580" s="1639"/>
      <c r="N580" s="1639"/>
      <c r="O580" s="1639"/>
      <c r="P580" s="26">
        <f>IF(R580=2,0.35,0)</f>
        <v>0</v>
      </c>
      <c r="R580" s="686">
        <v>1</v>
      </c>
      <c r="S580" s="18"/>
      <c r="T580" s="18" t="s">
        <v>1633</v>
      </c>
      <c r="U580" s="18"/>
      <c r="V580" s="19"/>
      <c r="W580" s="19"/>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row>
    <row r="581" spans="1:109" ht="19.5" customHeight="1" x14ac:dyDescent="0.2">
      <c r="B581" s="1656"/>
      <c r="C581" s="1639"/>
      <c r="D581" s="1639"/>
      <c r="E581" s="1639"/>
      <c r="F581" s="1639"/>
      <c r="G581" s="1639"/>
      <c r="H581" s="1639"/>
      <c r="I581" s="1639"/>
      <c r="J581" s="1639"/>
      <c r="K581" s="1639"/>
      <c r="L581" s="1639"/>
      <c r="M581" s="1639"/>
      <c r="N581" s="1639"/>
      <c r="O581" s="1639"/>
      <c r="P581" s="26">
        <f>IF(R581=2,0.15,0)</f>
        <v>0</v>
      </c>
      <c r="R581" s="686">
        <v>1</v>
      </c>
      <c r="S581" s="18"/>
      <c r="T581" s="18" t="s">
        <v>1634</v>
      </c>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row>
    <row r="582" spans="1:109" ht="12" customHeight="1" x14ac:dyDescent="0.2">
      <c r="B582" s="1395"/>
      <c r="C582" s="1395"/>
      <c r="D582" s="1395"/>
      <c r="E582" s="1395"/>
      <c r="F582" s="1395"/>
      <c r="G582" s="1395"/>
      <c r="H582" s="1395"/>
      <c r="I582" s="1395"/>
      <c r="J582" s="1395"/>
      <c r="K582" s="1395"/>
      <c r="L582" s="1395"/>
      <c r="M582" s="1395"/>
      <c r="N582" s="1395"/>
      <c r="O582" s="1395"/>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row>
    <row r="583" spans="1:109" ht="15" customHeight="1" x14ac:dyDescent="0.2">
      <c r="B583" s="1541" t="s">
        <v>472</v>
      </c>
      <c r="C583" s="1541"/>
      <c r="D583" s="1541"/>
      <c r="E583" s="1541"/>
      <c r="F583" s="1541"/>
      <c r="G583" s="1541"/>
      <c r="H583" s="1541"/>
      <c r="I583" s="1541"/>
      <c r="J583" s="1541"/>
      <c r="K583" s="1541"/>
      <c r="L583" s="1541"/>
      <c r="M583" s="1541"/>
      <c r="N583" s="1541"/>
      <c r="O583" s="388"/>
      <c r="P583" s="26">
        <f>SUMIF(S583:W583,O583,S584:W584)</f>
        <v>0</v>
      </c>
      <c r="R583" s="1797" t="s">
        <v>2219</v>
      </c>
      <c r="S583" s="807" t="s">
        <v>1969</v>
      </c>
      <c r="T583" s="807" t="s">
        <v>1970</v>
      </c>
      <c r="U583" s="813" t="s">
        <v>1972</v>
      </c>
      <c r="V583" s="807" t="s">
        <v>945</v>
      </c>
      <c r="W583" s="813" t="s">
        <v>558</v>
      </c>
      <c r="X583" s="1791" t="s">
        <v>2220</v>
      </c>
      <c r="Y583" s="1791"/>
      <c r="Z583" s="807" t="s">
        <v>1969</v>
      </c>
      <c r="AA583" s="807" t="s">
        <v>1970</v>
      </c>
      <c r="AB583" s="813" t="s">
        <v>1972</v>
      </c>
      <c r="AC583" s="807" t="s">
        <v>945</v>
      </c>
      <c r="AD583" s="813" t="s">
        <v>558</v>
      </c>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row>
    <row r="584" spans="1:109" ht="15" customHeight="1" x14ac:dyDescent="0.2">
      <c r="B584" s="1541" t="s">
        <v>1499</v>
      </c>
      <c r="C584" s="1541"/>
      <c r="D584" s="1541"/>
      <c r="E584" s="1541"/>
      <c r="F584" s="1541"/>
      <c r="G584" s="1541"/>
      <c r="H584" s="1541"/>
      <c r="I584" s="1541"/>
      <c r="J584" s="1541"/>
      <c r="K584" s="1541"/>
      <c r="L584" s="1541"/>
      <c r="M584" s="1541"/>
      <c r="N584" s="1541"/>
      <c r="O584" s="388"/>
      <c r="P584" s="26">
        <f>SUMIF(Z583:AD583,O584,Z584:AD584)</f>
        <v>0</v>
      </c>
      <c r="R584" s="1797"/>
      <c r="S584" s="813">
        <v>0.03</v>
      </c>
      <c r="T584" s="813">
        <v>0.15</v>
      </c>
      <c r="U584" s="813">
        <v>0.38</v>
      </c>
      <c r="V584" s="813">
        <v>0.68</v>
      </c>
      <c r="W584" s="813">
        <v>0.9</v>
      </c>
      <c r="X584" s="1791"/>
      <c r="Y584" s="1791"/>
      <c r="Z584" s="813">
        <v>0.03</v>
      </c>
      <c r="AA584" s="813">
        <v>0.15</v>
      </c>
      <c r="AB584" s="813">
        <v>0.35</v>
      </c>
      <c r="AC584" s="813">
        <v>0.63</v>
      </c>
      <c r="AD584" s="813">
        <v>0.88</v>
      </c>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row>
    <row r="585" spans="1:109" ht="12" customHeight="1" x14ac:dyDescent="0.2">
      <c r="B585" s="1395"/>
      <c r="C585" s="1395"/>
      <c r="D585" s="1395"/>
      <c r="E585" s="1395"/>
      <c r="F585" s="1395"/>
      <c r="G585" s="1395"/>
      <c r="H585" s="1395"/>
      <c r="I585" s="1395"/>
      <c r="J585" s="1395"/>
      <c r="K585" s="1395"/>
      <c r="L585" s="1395"/>
      <c r="M585" s="1395"/>
      <c r="N585" s="1395"/>
      <c r="O585" s="1395"/>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row>
    <row r="586" spans="1:109" ht="18" customHeight="1" x14ac:dyDescent="0.2">
      <c r="B586" s="1687" t="s">
        <v>473</v>
      </c>
      <c r="C586" s="1534"/>
      <c r="D586" s="1534"/>
      <c r="E586" s="1534"/>
      <c r="F586" s="1534"/>
      <c r="G586" s="1534"/>
      <c r="H586" s="1534"/>
      <c r="I586" s="1534"/>
      <c r="J586" s="1534"/>
      <c r="K586" s="1534"/>
      <c r="L586" s="1534"/>
      <c r="M586" s="1534"/>
      <c r="N586" s="1534"/>
      <c r="O586" s="1534"/>
      <c r="P586" s="1555"/>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row>
    <row r="587" spans="1:109" ht="38.25" customHeight="1" x14ac:dyDescent="0.2">
      <c r="B587" s="1379" t="s">
        <v>1680</v>
      </c>
      <c r="C587" s="1379"/>
      <c r="D587" s="1379"/>
      <c r="E587" s="1379"/>
      <c r="F587" s="1379"/>
      <c r="G587" s="1379"/>
      <c r="H587" s="1379"/>
      <c r="I587" s="1379"/>
      <c r="J587" s="1379"/>
      <c r="K587" s="1379"/>
      <c r="L587" s="1379"/>
      <c r="M587" s="1379"/>
      <c r="N587" s="1379"/>
      <c r="O587" s="1379"/>
      <c r="P587" s="1555"/>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row>
    <row r="588" spans="1:109" ht="19.5" customHeight="1" x14ac:dyDescent="0.2">
      <c r="A588" s="189"/>
      <c r="B588" s="1410" t="s">
        <v>948</v>
      </c>
      <c r="C588" s="1410"/>
      <c r="D588" s="1410"/>
      <c r="E588" s="1410"/>
      <c r="F588" s="1410"/>
      <c r="G588" s="1410"/>
      <c r="H588" s="1410"/>
      <c r="I588" s="1410"/>
      <c r="J588" s="1410"/>
      <c r="K588" s="1410"/>
      <c r="L588" s="1639"/>
      <c r="M588" s="1639"/>
      <c r="N588" s="1639"/>
      <c r="O588" s="1639"/>
      <c r="P588" s="26">
        <f>IF(R588=1,0.05,0)</f>
        <v>0</v>
      </c>
      <c r="R588" s="686">
        <v>2</v>
      </c>
      <c r="S588" s="18"/>
      <c r="T588" s="18"/>
      <c r="U588" s="18"/>
      <c r="V588" s="18"/>
      <c r="W588" s="18">
        <v>1E-4</v>
      </c>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row>
    <row r="589" spans="1:109" ht="12" customHeight="1" x14ac:dyDescent="0.2">
      <c r="B589" s="1395"/>
      <c r="C589" s="1395"/>
      <c r="D589" s="1395"/>
      <c r="E589" s="1395"/>
      <c r="F589" s="1395"/>
      <c r="G589" s="1395"/>
      <c r="H589" s="1395"/>
      <c r="I589" s="1395"/>
      <c r="J589" s="1395"/>
      <c r="K589" s="1395"/>
      <c r="L589" s="1395"/>
      <c r="M589" s="1395"/>
      <c r="N589" s="1395"/>
      <c r="O589" s="1395"/>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row>
    <row r="590" spans="1:109" ht="18" customHeight="1" x14ac:dyDescent="0.2">
      <c r="B590" s="1687" t="s">
        <v>1113</v>
      </c>
      <c r="C590" s="1534"/>
      <c r="D590" s="1534"/>
      <c r="E590" s="1534"/>
      <c r="F590" s="1534"/>
      <c r="G590" s="1534"/>
      <c r="H590" s="1534"/>
      <c r="I590" s="1534"/>
      <c r="J590" s="1534"/>
      <c r="K590" s="1534"/>
      <c r="L590" s="1534"/>
      <c r="M590" s="1534"/>
      <c r="N590" s="1534"/>
      <c r="O590" s="1534"/>
      <c r="P590" s="1450"/>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row>
    <row r="591" spans="1:109" ht="30" customHeight="1" x14ac:dyDescent="0.2">
      <c r="B591" s="1379" t="s">
        <v>1646</v>
      </c>
      <c r="C591" s="1379"/>
      <c r="D591" s="1379"/>
      <c r="E591" s="1379"/>
      <c r="F591" s="1379"/>
      <c r="G591" s="1379"/>
      <c r="H591" s="1379"/>
      <c r="I591" s="1379"/>
      <c r="J591" s="1379"/>
      <c r="K591" s="1379"/>
      <c r="L591" s="1379"/>
      <c r="M591" s="1379"/>
      <c r="N591" s="1379"/>
      <c r="O591" s="1379"/>
      <c r="P591" s="1452"/>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row>
    <row r="592" spans="1:109" ht="28.5" customHeight="1" x14ac:dyDescent="0.2">
      <c r="B592" s="1629"/>
      <c r="C592" s="1629"/>
      <c r="D592" s="1629"/>
      <c r="E592" s="1629"/>
      <c r="F592" s="1629"/>
      <c r="G592" s="1629"/>
      <c r="H592" s="1629"/>
      <c r="I592" s="1629"/>
      <c r="J592" s="1629"/>
      <c r="K592" s="1629"/>
      <c r="L592" s="1629"/>
      <c r="M592" s="1629"/>
      <c r="N592" s="1629"/>
      <c r="O592" s="1629"/>
      <c r="P592" s="26">
        <f>IF(B592=R592,0.14,IF(B592=S592,0.34,IF(B592=T592,0.55,IF(B592=U592,1,0))))</f>
        <v>0</v>
      </c>
      <c r="R592" s="807" t="s">
        <v>1992</v>
      </c>
      <c r="S592" s="807" t="s">
        <v>1993</v>
      </c>
      <c r="T592" s="807" t="s">
        <v>1994</v>
      </c>
      <c r="U592" s="807" t="s">
        <v>1995</v>
      </c>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row>
    <row r="593" spans="2:46" ht="12" customHeight="1" x14ac:dyDescent="0.2">
      <c r="B593" s="1395"/>
      <c r="C593" s="1395"/>
      <c r="D593" s="1395"/>
      <c r="E593" s="1395"/>
      <c r="F593" s="1395"/>
      <c r="G593" s="1395"/>
      <c r="H593" s="1395"/>
      <c r="I593" s="1395"/>
      <c r="J593" s="1395"/>
      <c r="K593" s="1395"/>
      <c r="L593" s="1395"/>
      <c r="M593" s="1395"/>
      <c r="N593" s="1395"/>
      <c r="O593" s="1395"/>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row>
    <row r="594" spans="2:46" ht="27" customHeight="1" x14ac:dyDescent="0.2">
      <c r="B594" s="1659" t="s">
        <v>389</v>
      </c>
      <c r="C594" s="1660"/>
      <c r="D594" s="1660"/>
      <c r="E594" s="1660"/>
      <c r="F594" s="1661"/>
      <c r="G594" s="1626" t="s">
        <v>64</v>
      </c>
      <c r="H594" s="1764"/>
      <c r="I594" s="1764"/>
      <c r="J594" s="1798"/>
      <c r="K594" s="1757" t="str">
        <f>IF(AND(G596&gt;0,AA597=1),"Ankylosis cannot be apportioned.","")</f>
        <v/>
      </c>
      <c r="L594" s="1758"/>
      <c r="M594" s="1758"/>
      <c r="N594" s="1758"/>
      <c r="O594" s="1759"/>
      <c r="P594" s="1481">
        <f>IF(I609&gt;0,I609,U607)</f>
        <v>0</v>
      </c>
      <c r="R594" s="815" t="s">
        <v>1865</v>
      </c>
      <c r="S594" s="807" t="s">
        <v>1305</v>
      </c>
      <c r="T594" s="807" t="s">
        <v>1306</v>
      </c>
      <c r="U594" s="807" t="s">
        <v>1307</v>
      </c>
      <c r="AA594" s="18"/>
      <c r="AB594" s="18"/>
      <c r="AC594" s="18"/>
      <c r="AD594" s="18"/>
      <c r="AE594" s="18"/>
      <c r="AF594" s="18"/>
      <c r="AG594" s="18"/>
      <c r="AH594" s="18"/>
      <c r="AI594" s="18"/>
      <c r="AJ594" s="18"/>
      <c r="AK594" s="18"/>
      <c r="AL594" s="18"/>
      <c r="AM594" s="18"/>
      <c r="AN594" s="18"/>
      <c r="AO594" s="18"/>
      <c r="AP594" s="18"/>
      <c r="AQ594" s="18"/>
      <c r="AR594" s="18"/>
      <c r="AS594" s="18"/>
      <c r="AT594" s="18"/>
    </row>
    <row r="595" spans="2:46" ht="15.75" customHeight="1" x14ac:dyDescent="0.2">
      <c r="B595" s="1394" t="s">
        <v>628</v>
      </c>
      <c r="C595" s="1394"/>
      <c r="D595" s="1394"/>
      <c r="E595" s="1623">
        <f>P558</f>
        <v>0</v>
      </c>
      <c r="F595" s="1623"/>
      <c r="G595" s="1534" t="s">
        <v>1942</v>
      </c>
      <c r="H595" s="1534"/>
      <c r="I595" s="1641"/>
      <c r="J595" s="1641"/>
      <c r="K595" s="1760"/>
      <c r="L595" s="1761"/>
      <c r="M595" s="1761"/>
      <c r="N595" s="1761"/>
      <c r="O595" s="1762"/>
      <c r="P595" s="1631"/>
      <c r="R595" s="811">
        <f t="shared" ref="R595:R602" si="90">E595</f>
        <v>0</v>
      </c>
      <c r="S595" s="813">
        <f>LARGE($R$595:$R$608,1)</f>
        <v>0</v>
      </c>
      <c r="T595" s="684">
        <f>S595+S596*(1-S595)</f>
        <v>0</v>
      </c>
      <c r="U595" s="811">
        <f t="shared" ref="U595:U607" si="91">ROUND(T595,2)</f>
        <v>0</v>
      </c>
      <c r="Y595" s="18" t="s">
        <v>511</v>
      </c>
      <c r="AA595" s="1094"/>
      <c r="AB595" s="1094"/>
      <c r="AC595" s="1094"/>
      <c r="AD595" s="18"/>
      <c r="AE595" s="18"/>
      <c r="AF595" s="18"/>
      <c r="AG595" s="18"/>
      <c r="AH595" s="18"/>
      <c r="AI595" s="18"/>
      <c r="AJ595" s="18"/>
      <c r="AK595" s="18"/>
      <c r="AL595" s="18"/>
      <c r="AM595" s="18"/>
      <c r="AN595" s="18"/>
      <c r="AO595" s="18"/>
      <c r="AP595" s="18"/>
      <c r="AQ595" s="18"/>
      <c r="AR595" s="18"/>
      <c r="AS595" s="18"/>
      <c r="AT595" s="18"/>
    </row>
    <row r="596" spans="2:46" ht="15" customHeight="1" x14ac:dyDescent="0.2">
      <c r="B596" s="1410" t="s">
        <v>1959</v>
      </c>
      <c r="C596" s="1410"/>
      <c r="D596" s="1410"/>
      <c r="E596" s="1373">
        <f>IF(E607&gt;0,0,P570)</f>
        <v>0</v>
      </c>
      <c r="F596" s="1373"/>
      <c r="G596" s="1658"/>
      <c r="H596" s="1658"/>
      <c r="I596" s="1545">
        <f>IF(AND(Y596&lt;0.01,Y596&gt;0),0.01,ROUND(Y596,2))</f>
        <v>0</v>
      </c>
      <c r="J596" s="1545"/>
      <c r="K596" s="1760"/>
      <c r="L596" s="1761"/>
      <c r="M596" s="1761"/>
      <c r="N596" s="1761"/>
      <c r="O596" s="1762"/>
      <c r="P596" s="1631"/>
      <c r="R596" s="811">
        <f>IF(I596&gt;0,I596,E596)</f>
        <v>0</v>
      </c>
      <c r="S596" s="813">
        <f>LARGE($R$595:$R$608,2)</f>
        <v>0</v>
      </c>
      <c r="T596" s="684">
        <f>U595+S597*(1-U595)</f>
        <v>0</v>
      </c>
      <c r="U596" s="811">
        <f t="shared" si="91"/>
        <v>0</v>
      </c>
      <c r="Y596" s="1061">
        <f>IF(AA597&gt;0,0,E596*G596)</f>
        <v>0</v>
      </c>
      <c r="Z596" s="860"/>
      <c r="AA596" s="1094"/>
      <c r="AB596" s="1094"/>
      <c r="AC596" s="1094"/>
      <c r="AD596" s="18"/>
      <c r="AE596" s="18"/>
      <c r="AF596" s="18"/>
      <c r="AG596" s="18"/>
      <c r="AH596" s="18"/>
      <c r="AI596" s="18"/>
      <c r="AJ596" s="18"/>
      <c r="AK596" s="18"/>
      <c r="AL596" s="18"/>
      <c r="AM596" s="18"/>
      <c r="AN596" s="18"/>
      <c r="AO596" s="18"/>
      <c r="AP596" s="18"/>
      <c r="AQ596" s="18"/>
      <c r="AR596" s="18"/>
      <c r="AS596" s="18"/>
      <c r="AT596" s="18"/>
    </row>
    <row r="597" spans="2:46" ht="15" customHeight="1" x14ac:dyDescent="0.2">
      <c r="B597" s="1410" t="s">
        <v>718</v>
      </c>
      <c r="C597" s="1410"/>
      <c r="D597" s="1410"/>
      <c r="E597" s="1373">
        <f>P573</f>
        <v>0</v>
      </c>
      <c r="F597" s="1373"/>
      <c r="G597" s="1534" t="s">
        <v>1942</v>
      </c>
      <c r="H597" s="1534"/>
      <c r="I597" s="1641"/>
      <c r="J597" s="1641"/>
      <c r="K597" s="1766"/>
      <c r="L597" s="1767"/>
      <c r="M597" s="1767"/>
      <c r="N597" s="1767"/>
      <c r="O597" s="1768"/>
      <c r="P597" s="1631"/>
      <c r="R597" s="811">
        <f t="shared" si="90"/>
        <v>0</v>
      </c>
      <c r="S597" s="813">
        <f>LARGE($R$595:$R$608,3)</f>
        <v>0</v>
      </c>
      <c r="T597" s="684">
        <f>U596+S598*(1-U596)</f>
        <v>0</v>
      </c>
      <c r="U597" s="811">
        <f t="shared" si="91"/>
        <v>0</v>
      </c>
      <c r="Y597" s="241"/>
      <c r="Z597" s="860"/>
      <c r="AA597" s="1091">
        <f>IF(P592&gt;0,0,IF(AC565&gt;0,1,0))</f>
        <v>0</v>
      </c>
      <c r="AB597" s="1410" t="s">
        <v>814</v>
      </c>
      <c r="AC597" s="1410"/>
      <c r="AD597" s="18"/>
      <c r="AE597" s="18"/>
      <c r="AF597" s="18"/>
      <c r="AG597" s="18"/>
      <c r="AH597" s="18"/>
      <c r="AI597" s="18"/>
      <c r="AJ597" s="18"/>
      <c r="AK597" s="18"/>
      <c r="AL597" s="18"/>
      <c r="AM597" s="18"/>
      <c r="AN597" s="18"/>
      <c r="AO597" s="18"/>
      <c r="AP597" s="18"/>
      <c r="AQ597" s="18"/>
      <c r="AR597" s="18"/>
      <c r="AS597" s="18"/>
      <c r="AT597" s="18"/>
    </row>
    <row r="598" spans="2:46" ht="15" customHeight="1" x14ac:dyDescent="0.2">
      <c r="B598" s="1410" t="s">
        <v>390</v>
      </c>
      <c r="C598" s="1410"/>
      <c r="D598" s="1410"/>
      <c r="E598" s="1373">
        <f>P575</f>
        <v>0</v>
      </c>
      <c r="F598" s="1373"/>
      <c r="G598" s="1534" t="s">
        <v>1942</v>
      </c>
      <c r="H598" s="1534"/>
      <c r="I598" s="1763"/>
      <c r="J598" s="1763"/>
      <c r="K598" s="1766"/>
      <c r="L598" s="1767"/>
      <c r="M598" s="1767"/>
      <c r="N598" s="1767"/>
      <c r="O598" s="1768"/>
      <c r="P598" s="1631"/>
      <c r="R598" s="811">
        <f t="shared" si="90"/>
        <v>0</v>
      </c>
      <c r="S598" s="813">
        <f>LARGE($R$595:$R$608,4)</f>
        <v>0</v>
      </c>
      <c r="T598" s="684">
        <f t="shared" ref="T598:T607" si="92">U597+S599*(1-U597)</f>
        <v>0</v>
      </c>
      <c r="U598" s="811">
        <f t="shared" si="91"/>
        <v>0</v>
      </c>
      <c r="V598" s="18"/>
      <c r="W598" s="18"/>
      <c r="X598" s="18"/>
      <c r="Y598" s="241"/>
      <c r="Z598" s="860"/>
      <c r="AA598" s="8"/>
      <c r="AB598" s="8"/>
      <c r="AC598" s="8"/>
      <c r="AD598" s="18"/>
      <c r="AE598" s="18"/>
      <c r="AF598" s="18"/>
      <c r="AG598" s="18"/>
      <c r="AH598" s="18"/>
      <c r="AI598" s="18"/>
      <c r="AJ598" s="18"/>
      <c r="AK598" s="18"/>
      <c r="AL598" s="18"/>
      <c r="AM598" s="18"/>
      <c r="AN598" s="18"/>
      <c r="AO598" s="18"/>
      <c r="AP598" s="18"/>
      <c r="AQ598" s="18"/>
      <c r="AR598" s="18"/>
      <c r="AS598" s="18"/>
      <c r="AT598" s="18"/>
    </row>
    <row r="599" spans="2:46" ht="15" customHeight="1" x14ac:dyDescent="0.2">
      <c r="B599" s="1379" t="s">
        <v>796</v>
      </c>
      <c r="C599" s="1410"/>
      <c r="D599" s="1410"/>
      <c r="E599" s="1342">
        <f>P577</f>
        <v>0</v>
      </c>
      <c r="F599" s="1344"/>
      <c r="G599" s="1534" t="s">
        <v>1942</v>
      </c>
      <c r="H599" s="1534"/>
      <c r="I599" s="1763"/>
      <c r="J599" s="1763"/>
      <c r="K599" s="1766"/>
      <c r="L599" s="1767"/>
      <c r="M599" s="1767"/>
      <c r="N599" s="1767"/>
      <c r="O599" s="1768"/>
      <c r="P599" s="1631"/>
      <c r="R599" s="811">
        <f t="shared" si="90"/>
        <v>0</v>
      </c>
      <c r="S599" s="813">
        <f>LARGE($R$595:$R$608,5)</f>
        <v>0</v>
      </c>
      <c r="T599" s="684">
        <f t="shared" si="92"/>
        <v>0</v>
      </c>
      <c r="U599" s="811">
        <f t="shared" si="91"/>
        <v>0</v>
      </c>
      <c r="V599" s="18"/>
      <c r="W599" s="18"/>
      <c r="X599" s="18"/>
      <c r="Y599" s="241"/>
      <c r="Z599" s="860"/>
      <c r="AA599" s="60"/>
      <c r="AB599" s="18"/>
      <c r="AC599" s="18"/>
      <c r="AD599" s="18"/>
      <c r="AE599" s="18"/>
      <c r="AF599" s="18"/>
      <c r="AG599" s="18"/>
      <c r="AH599" s="18"/>
      <c r="AI599" s="18"/>
      <c r="AJ599" s="18"/>
      <c r="AK599" s="18"/>
      <c r="AL599" s="18"/>
      <c r="AM599" s="18"/>
      <c r="AN599" s="18"/>
      <c r="AO599" s="18"/>
      <c r="AP599" s="18"/>
      <c r="AQ599" s="18"/>
      <c r="AR599" s="18"/>
      <c r="AS599" s="18"/>
      <c r="AT599" s="18"/>
    </row>
    <row r="600" spans="2:46" ht="15" customHeight="1" x14ac:dyDescent="0.2">
      <c r="B600" s="1410" t="s">
        <v>391</v>
      </c>
      <c r="C600" s="1410"/>
      <c r="D600" s="1410"/>
      <c r="E600" s="1373">
        <f>P579</f>
        <v>0</v>
      </c>
      <c r="F600" s="1373"/>
      <c r="G600" s="1534" t="s">
        <v>1942</v>
      </c>
      <c r="H600" s="1534"/>
      <c r="I600" s="1641"/>
      <c r="J600" s="1641"/>
      <c r="K600" s="1766"/>
      <c r="L600" s="1767"/>
      <c r="M600" s="1767"/>
      <c r="N600" s="1767"/>
      <c r="O600" s="1768"/>
      <c r="P600" s="1631"/>
      <c r="R600" s="811">
        <f t="shared" si="90"/>
        <v>0</v>
      </c>
      <c r="S600" s="813">
        <f>LARGE($R$595:$R$608,6)</f>
        <v>0</v>
      </c>
      <c r="T600" s="684">
        <f t="shared" si="92"/>
        <v>0</v>
      </c>
      <c r="U600" s="811">
        <f t="shared" si="91"/>
        <v>0</v>
      </c>
      <c r="W600" s="18"/>
      <c r="X600" s="18"/>
      <c r="Y600" s="241"/>
      <c r="Z600" s="860"/>
      <c r="AA600" s="8"/>
      <c r="AB600" s="8"/>
      <c r="AC600" s="8"/>
      <c r="AD600" s="18"/>
      <c r="AE600" s="18"/>
      <c r="AF600" s="18"/>
      <c r="AG600" s="18"/>
      <c r="AH600" s="18"/>
      <c r="AI600" s="18"/>
      <c r="AJ600" s="18"/>
      <c r="AK600" s="18"/>
      <c r="AL600" s="18"/>
      <c r="AM600" s="18"/>
      <c r="AN600" s="18"/>
      <c r="AO600" s="18"/>
      <c r="AP600" s="18"/>
      <c r="AQ600" s="18"/>
      <c r="AR600" s="18"/>
      <c r="AS600" s="18"/>
      <c r="AT600" s="18"/>
    </row>
    <row r="601" spans="2:46" ht="15" customHeight="1" x14ac:dyDescent="0.2">
      <c r="B601" s="1410" t="s">
        <v>392</v>
      </c>
      <c r="C601" s="1410"/>
      <c r="D601" s="1410"/>
      <c r="E601" s="1373">
        <f>P580</f>
        <v>0</v>
      </c>
      <c r="F601" s="1373"/>
      <c r="G601" s="1534" t="s">
        <v>1942</v>
      </c>
      <c r="H601" s="1534"/>
      <c r="I601" s="1641"/>
      <c r="J601" s="1641"/>
      <c r="K601" s="1766"/>
      <c r="L601" s="1767"/>
      <c r="M601" s="1767"/>
      <c r="N601" s="1767"/>
      <c r="O601" s="1768"/>
      <c r="P601" s="1631"/>
      <c r="R601" s="811">
        <f t="shared" si="90"/>
        <v>0</v>
      </c>
      <c r="S601" s="813">
        <f>LARGE($R$595:$R$608,7)</f>
        <v>0</v>
      </c>
      <c r="T601" s="684">
        <f t="shared" si="92"/>
        <v>0</v>
      </c>
      <c r="U601" s="811">
        <f t="shared" si="91"/>
        <v>0</v>
      </c>
      <c r="W601" s="18"/>
      <c r="X601" s="18"/>
      <c r="Y601" s="241"/>
      <c r="Z601" s="18"/>
      <c r="AA601" s="8"/>
      <c r="AB601" s="8"/>
      <c r="AC601" s="8"/>
      <c r="AD601" s="18"/>
      <c r="AE601" s="18"/>
      <c r="AF601" s="18"/>
      <c r="AG601" s="18"/>
      <c r="AH601" s="18"/>
      <c r="AI601" s="18"/>
      <c r="AJ601" s="18"/>
      <c r="AK601" s="18"/>
      <c r="AL601" s="18"/>
      <c r="AM601" s="18"/>
      <c r="AN601" s="18"/>
      <c r="AO601" s="18"/>
      <c r="AP601" s="18"/>
      <c r="AQ601" s="18"/>
      <c r="AR601" s="18"/>
      <c r="AS601" s="18"/>
      <c r="AT601" s="18"/>
    </row>
    <row r="602" spans="2:46" ht="15" customHeight="1" x14ac:dyDescent="0.2">
      <c r="B602" s="1410" t="s">
        <v>393</v>
      </c>
      <c r="C602" s="1410"/>
      <c r="D602" s="1410"/>
      <c r="E602" s="1373">
        <f>P581</f>
        <v>0</v>
      </c>
      <c r="F602" s="1373"/>
      <c r="G602" s="1534" t="s">
        <v>1942</v>
      </c>
      <c r="H602" s="1534"/>
      <c r="I602" s="1641"/>
      <c r="J602" s="1641"/>
      <c r="K602" s="1030"/>
      <c r="L602" s="1031"/>
      <c r="M602" s="1031"/>
      <c r="N602" s="1031"/>
      <c r="O602" s="1032"/>
      <c r="P602" s="1631"/>
      <c r="R602" s="811">
        <f t="shared" si="90"/>
        <v>0</v>
      </c>
      <c r="S602" s="813">
        <f>LARGE($R$595:$R$608,8)</f>
        <v>0</v>
      </c>
      <c r="T602" s="684">
        <f t="shared" si="92"/>
        <v>0</v>
      </c>
      <c r="U602" s="811">
        <f t="shared" si="91"/>
        <v>0</v>
      </c>
      <c r="W602" s="18"/>
      <c r="X602" s="18"/>
      <c r="Y602" s="241"/>
      <c r="Z602" s="18"/>
      <c r="AA602" s="8"/>
      <c r="AB602" s="8"/>
      <c r="AC602" s="8"/>
      <c r="AD602" s="18"/>
      <c r="AE602" s="18"/>
      <c r="AF602" s="18"/>
      <c r="AG602" s="18"/>
      <c r="AH602" s="18"/>
      <c r="AI602" s="18"/>
      <c r="AJ602" s="18"/>
      <c r="AK602" s="18"/>
      <c r="AL602" s="18"/>
      <c r="AM602" s="18"/>
      <c r="AN602" s="18"/>
      <c r="AO602" s="18"/>
      <c r="AP602" s="18"/>
      <c r="AQ602" s="18"/>
      <c r="AR602" s="18"/>
      <c r="AS602" s="18"/>
      <c r="AT602" s="18"/>
    </row>
    <row r="603" spans="2:46" ht="15.75" customHeight="1" x14ac:dyDescent="0.2">
      <c r="B603" s="1410" t="s">
        <v>1029</v>
      </c>
      <c r="C603" s="1410"/>
      <c r="D603" s="1410"/>
      <c r="E603" s="1373">
        <f>P583</f>
        <v>0</v>
      </c>
      <c r="F603" s="1373"/>
      <c r="G603" s="1658"/>
      <c r="H603" s="1658"/>
      <c r="I603" s="1545">
        <f t="shared" ref="I603:I607" si="93">IF(AND(Y603&lt;0.01,Y603&gt;0),0.01,ROUND(Y603,2))</f>
        <v>0</v>
      </c>
      <c r="J603" s="1545"/>
      <c r="K603" s="1588" t="str">
        <f>IF(AND(OR(P570&gt;0,P510&gt;0,P588&gt;0),E607&gt;0),"A value has been granted for motor loss. Additional impairment values are not allowed for weakness, chronic condition, or reduced range of motion in the same extremity.","")</f>
        <v/>
      </c>
      <c r="L603" s="1589"/>
      <c r="M603" s="1589"/>
      <c r="N603" s="1589"/>
      <c r="O603" s="1590"/>
      <c r="P603" s="1631"/>
      <c r="R603" s="811">
        <f t="shared" ref="R603:R608" si="94">IF(I603&gt;0,I603,E603)</f>
        <v>0</v>
      </c>
      <c r="S603" s="813">
        <f>LARGE($R$595:$R$608,9)</f>
        <v>0</v>
      </c>
      <c r="T603" s="684">
        <f t="shared" si="92"/>
        <v>0</v>
      </c>
      <c r="U603" s="811">
        <f t="shared" si="91"/>
        <v>0</v>
      </c>
      <c r="V603" s="18"/>
      <c r="W603" s="18"/>
      <c r="X603" s="18"/>
      <c r="Y603" s="240">
        <f>E603*G603</f>
        <v>0</v>
      </c>
      <c r="Z603" s="18"/>
      <c r="AA603" s="8"/>
      <c r="AB603" s="8"/>
      <c r="AC603" s="8"/>
      <c r="AD603" s="18"/>
      <c r="AE603" s="18"/>
      <c r="AF603" s="18"/>
      <c r="AG603" s="18"/>
      <c r="AH603" s="18"/>
      <c r="AI603" s="18"/>
      <c r="AJ603" s="18"/>
      <c r="AK603" s="18"/>
      <c r="AL603" s="18"/>
      <c r="AM603" s="18"/>
      <c r="AN603" s="18"/>
      <c r="AO603" s="18"/>
      <c r="AP603" s="18"/>
      <c r="AQ603" s="18"/>
      <c r="AR603" s="18"/>
      <c r="AS603" s="18"/>
      <c r="AT603" s="18"/>
    </row>
    <row r="604" spans="2:46" ht="15.75" customHeight="1" x14ac:dyDescent="0.2">
      <c r="B604" s="1410" t="s">
        <v>1254</v>
      </c>
      <c r="C604" s="1410"/>
      <c r="D604" s="1410"/>
      <c r="E604" s="1373">
        <f>P584</f>
        <v>0</v>
      </c>
      <c r="F604" s="1373"/>
      <c r="G604" s="1658"/>
      <c r="H604" s="1658"/>
      <c r="I604" s="1545">
        <f t="shared" si="93"/>
        <v>0</v>
      </c>
      <c r="J604" s="1545"/>
      <c r="K604" s="1588"/>
      <c r="L604" s="1589"/>
      <c r="M604" s="1589"/>
      <c r="N604" s="1589"/>
      <c r="O604" s="1590"/>
      <c r="P604" s="1631"/>
      <c r="R604" s="811">
        <f t="shared" si="94"/>
        <v>0</v>
      </c>
      <c r="S604" s="813">
        <f>LARGE($R$595:$R$608,10)</f>
        <v>0</v>
      </c>
      <c r="T604" s="684">
        <f t="shared" si="92"/>
        <v>0</v>
      </c>
      <c r="U604" s="811">
        <f t="shared" si="91"/>
        <v>0</v>
      </c>
      <c r="V604" s="18"/>
      <c r="W604" s="18"/>
      <c r="X604" s="18"/>
      <c r="Y604" s="1061">
        <f t="shared" ref="Y604:Y607" si="95">E604*G604</f>
        <v>0</v>
      </c>
      <c r="Z604" s="18"/>
      <c r="AA604" s="8"/>
      <c r="AB604" s="8"/>
      <c r="AC604" s="8"/>
      <c r="AD604" s="18"/>
      <c r="AE604" s="18"/>
      <c r="AF604" s="18"/>
      <c r="AG604" s="18"/>
      <c r="AH604" s="18"/>
      <c r="AI604" s="18"/>
      <c r="AJ604" s="18"/>
      <c r="AK604" s="18"/>
      <c r="AL604" s="18"/>
      <c r="AM604" s="18"/>
      <c r="AN604" s="18"/>
      <c r="AO604" s="18"/>
      <c r="AP604" s="18"/>
      <c r="AQ604" s="18"/>
      <c r="AR604" s="18"/>
      <c r="AS604" s="18"/>
      <c r="AT604" s="18"/>
    </row>
    <row r="605" spans="2:46" ht="15.75" customHeight="1" x14ac:dyDescent="0.2">
      <c r="B605" s="1410" t="s">
        <v>1639</v>
      </c>
      <c r="C605" s="1410"/>
      <c r="D605" s="1410"/>
      <c r="E605" s="1373">
        <f>IF(E607&gt;0,0,P510)</f>
        <v>0</v>
      </c>
      <c r="F605" s="1373"/>
      <c r="G605" s="1658"/>
      <c r="H605" s="1658"/>
      <c r="I605" s="1545">
        <f t="shared" si="93"/>
        <v>0</v>
      </c>
      <c r="J605" s="1545"/>
      <c r="K605" s="1588"/>
      <c r="L605" s="1589"/>
      <c r="M605" s="1589"/>
      <c r="N605" s="1589"/>
      <c r="O605" s="1590"/>
      <c r="P605" s="1631"/>
      <c r="R605" s="811">
        <f t="shared" si="94"/>
        <v>0</v>
      </c>
      <c r="S605" s="813">
        <f>LARGE($R$595:$R$608,11)</f>
        <v>0</v>
      </c>
      <c r="T605" s="684">
        <f t="shared" si="92"/>
        <v>0</v>
      </c>
      <c r="U605" s="811">
        <f t="shared" si="91"/>
        <v>0</v>
      </c>
      <c r="V605" s="18"/>
      <c r="W605" s="18"/>
      <c r="X605" s="18"/>
      <c r="Y605" s="1061">
        <f t="shared" si="95"/>
        <v>0</v>
      </c>
      <c r="Z605" s="18"/>
      <c r="AA605" s="18"/>
      <c r="AB605" s="18"/>
      <c r="AC605" s="18"/>
      <c r="AD605" s="18"/>
      <c r="AE605" s="18"/>
      <c r="AF605" s="18"/>
      <c r="AG605" s="18"/>
      <c r="AH605" s="18"/>
      <c r="AI605" s="18"/>
      <c r="AJ605" s="18"/>
      <c r="AK605" s="18"/>
      <c r="AL605" s="18"/>
      <c r="AM605" s="18"/>
      <c r="AN605" s="18"/>
      <c r="AO605" s="18"/>
      <c r="AP605" s="18"/>
      <c r="AQ605" s="18"/>
      <c r="AR605" s="18"/>
      <c r="AS605" s="18"/>
      <c r="AT605" s="18"/>
    </row>
    <row r="606" spans="2:46" ht="15" customHeight="1" x14ac:dyDescent="0.2">
      <c r="B606" s="1410" t="s">
        <v>596</v>
      </c>
      <c r="C606" s="1410"/>
      <c r="D606" s="1410"/>
      <c r="E606" s="1373">
        <f>IF(E607&gt;0,0,P588)</f>
        <v>0</v>
      </c>
      <c r="F606" s="1373"/>
      <c r="G606" s="1658"/>
      <c r="H606" s="1658"/>
      <c r="I606" s="1545">
        <f t="shared" si="93"/>
        <v>0</v>
      </c>
      <c r="J606" s="1545"/>
      <c r="K606" s="1588"/>
      <c r="L606" s="1589"/>
      <c r="M606" s="1589"/>
      <c r="N606" s="1589"/>
      <c r="O606" s="1590"/>
      <c r="P606" s="1631"/>
      <c r="R606" s="811">
        <f t="shared" si="94"/>
        <v>0</v>
      </c>
      <c r="S606" s="813">
        <f>LARGE($R$595:$R$608,12)</f>
        <v>0</v>
      </c>
      <c r="T606" s="684">
        <f t="shared" si="92"/>
        <v>0</v>
      </c>
      <c r="U606" s="811">
        <f t="shared" si="91"/>
        <v>0</v>
      </c>
      <c r="V606" s="18"/>
      <c r="W606" s="18"/>
      <c r="X606" s="18"/>
      <c r="Y606" s="1061">
        <f t="shared" si="95"/>
        <v>0</v>
      </c>
      <c r="Z606" s="18"/>
      <c r="AA606" s="18"/>
      <c r="AB606" s="18"/>
      <c r="AC606" s="18"/>
      <c r="AD606" s="18"/>
      <c r="AE606" s="18"/>
      <c r="AF606" s="18"/>
      <c r="AG606" s="18"/>
      <c r="AH606" s="18"/>
      <c r="AI606" s="18"/>
      <c r="AJ606" s="18"/>
      <c r="AK606" s="18"/>
      <c r="AL606" s="18"/>
      <c r="AM606" s="18"/>
      <c r="AN606" s="18"/>
      <c r="AO606" s="18"/>
      <c r="AP606" s="18"/>
      <c r="AQ606" s="18"/>
      <c r="AR606" s="18"/>
      <c r="AS606" s="18"/>
      <c r="AT606" s="18"/>
    </row>
    <row r="607" spans="2:46" ht="15" customHeight="1" x14ac:dyDescent="0.2">
      <c r="B607" s="1410" t="s">
        <v>926</v>
      </c>
      <c r="C607" s="1410"/>
      <c r="D607" s="1410"/>
      <c r="E607" s="1373">
        <f>P592</f>
        <v>0</v>
      </c>
      <c r="F607" s="1346"/>
      <c r="G607" s="1658"/>
      <c r="H607" s="1658"/>
      <c r="I607" s="1545">
        <f t="shared" si="93"/>
        <v>0</v>
      </c>
      <c r="J607" s="1545"/>
      <c r="K607" s="1588"/>
      <c r="L607" s="1589"/>
      <c r="M607" s="1589"/>
      <c r="N607" s="1589"/>
      <c r="O607" s="1590"/>
      <c r="P607" s="1631"/>
      <c r="R607" s="811">
        <f t="shared" si="94"/>
        <v>0</v>
      </c>
      <c r="S607" s="813">
        <f>LARGE($R$595:$R$608,13)</f>
        <v>0</v>
      </c>
      <c r="T607" s="684">
        <f t="shared" si="92"/>
        <v>0</v>
      </c>
      <c r="U607" s="811">
        <f t="shared" si="91"/>
        <v>0</v>
      </c>
      <c r="V607" s="18"/>
      <c r="W607" s="18"/>
      <c r="X607" s="18"/>
      <c r="Y607" s="1061">
        <f t="shared" si="95"/>
        <v>0</v>
      </c>
      <c r="Z607" s="18"/>
      <c r="AA607" s="18"/>
      <c r="AB607" s="18"/>
      <c r="AC607" s="18"/>
      <c r="AD607" s="18"/>
      <c r="AE607" s="18"/>
      <c r="AF607" s="18"/>
      <c r="AG607" s="18"/>
      <c r="AH607" s="18"/>
      <c r="AI607" s="18"/>
      <c r="AJ607" s="18"/>
      <c r="AK607" s="18"/>
      <c r="AL607" s="18"/>
      <c r="AM607" s="18"/>
      <c r="AN607" s="18"/>
      <c r="AO607" s="18"/>
      <c r="AP607" s="18"/>
      <c r="AQ607" s="18"/>
      <c r="AR607" s="18"/>
      <c r="AS607" s="18"/>
      <c r="AT607" s="18"/>
    </row>
    <row r="608" spans="2:46" ht="15" customHeight="1" x14ac:dyDescent="0.2">
      <c r="B608" s="1643" t="s">
        <v>797</v>
      </c>
      <c r="C608" s="1643"/>
      <c r="D608" s="1643"/>
      <c r="E608" s="1481">
        <f>IF(SUM(E595:E607)&gt;0,UETable!BF97,0)</f>
        <v>0</v>
      </c>
      <c r="F608" s="1482"/>
      <c r="G608" s="1645" t="s">
        <v>1942</v>
      </c>
      <c r="H608" s="1645"/>
      <c r="I608" s="1816"/>
      <c r="J608" s="1816"/>
      <c r="K608" s="1588"/>
      <c r="L608" s="1589"/>
      <c r="M608" s="1589"/>
      <c r="N608" s="1589"/>
      <c r="O608" s="1590"/>
      <c r="P608" s="1631"/>
      <c r="R608" s="811">
        <f t="shared" si="94"/>
        <v>0</v>
      </c>
      <c r="S608" s="813">
        <f>LARGE($R$595:$R$608,14)</f>
        <v>0</v>
      </c>
      <c r="T608" s="18"/>
      <c r="U608" s="18"/>
      <c r="V608" s="18"/>
      <c r="W608" s="18"/>
      <c r="X608" s="18"/>
      <c r="Y608" s="1068"/>
      <c r="Z608" s="18"/>
      <c r="AA608" s="18"/>
      <c r="AB608" s="18"/>
      <c r="AC608" s="18"/>
      <c r="AD608" s="18"/>
      <c r="AE608" s="18"/>
      <c r="AF608" s="18"/>
      <c r="AG608" s="18"/>
      <c r="AH608" s="18"/>
      <c r="AI608" s="18"/>
      <c r="AJ608" s="18"/>
      <c r="AK608" s="18"/>
      <c r="AL608" s="18"/>
      <c r="AM608" s="18"/>
      <c r="AN608" s="18"/>
      <c r="AO608" s="18"/>
      <c r="AP608" s="18"/>
      <c r="AQ608" s="18"/>
      <c r="AR608" s="18"/>
      <c r="AS608" s="18"/>
      <c r="AT608" s="18"/>
    </row>
    <row r="609" spans="1:46" ht="15" customHeight="1" x14ac:dyDescent="0.2">
      <c r="B609" s="1568" t="s">
        <v>1030</v>
      </c>
      <c r="C609" s="1568"/>
      <c r="D609" s="1568"/>
      <c r="E609" s="1568"/>
      <c r="F609" s="1568"/>
      <c r="G609" s="1568"/>
      <c r="H609" s="1568"/>
      <c r="I609" s="1568"/>
      <c r="J609" s="1568"/>
      <c r="K609" s="1568"/>
      <c r="L609" s="1568"/>
      <c r="M609" s="1568"/>
      <c r="N609" s="1568"/>
      <c r="O609" s="1568"/>
      <c r="P609" s="1623"/>
      <c r="S609" s="18"/>
      <c r="T609" s="18"/>
      <c r="U609" s="18"/>
      <c r="V609" s="18"/>
      <c r="W609" s="18"/>
      <c r="X609" s="18"/>
      <c r="Y609" s="1068"/>
      <c r="Z609" s="18"/>
      <c r="AA609" s="18"/>
      <c r="AB609" s="18"/>
      <c r="AC609" s="18"/>
      <c r="AD609" s="18"/>
      <c r="AE609" s="18"/>
      <c r="AF609" s="18"/>
      <c r="AG609" s="18"/>
      <c r="AH609" s="18"/>
      <c r="AI609" s="18"/>
      <c r="AJ609" s="18"/>
      <c r="AK609" s="18"/>
      <c r="AL609" s="18"/>
      <c r="AM609" s="18"/>
      <c r="AN609" s="18"/>
      <c r="AO609" s="18"/>
      <c r="AP609" s="18"/>
      <c r="AQ609" s="18"/>
      <c r="AR609" s="18"/>
      <c r="AS609" s="18"/>
      <c r="AT609" s="18"/>
    </row>
    <row r="610" spans="1:46" ht="6" customHeight="1" x14ac:dyDescent="0.2">
      <c r="B610" s="1"/>
      <c r="C610" s="1"/>
      <c r="D610" s="1"/>
      <c r="E610" s="1"/>
      <c r="F610" s="1"/>
      <c r="G610" s="1"/>
      <c r="H610" s="1"/>
      <c r="I610" s="1"/>
      <c r="J610" s="1"/>
      <c r="K610" s="1"/>
      <c r="L610" s="1"/>
      <c r="M610" s="1"/>
      <c r="N610" s="1"/>
      <c r="O610" s="1"/>
      <c r="P610" s="1"/>
      <c r="R610" s="18"/>
      <c r="S610" s="18"/>
      <c r="T610" s="18"/>
      <c r="U610" s="18"/>
      <c r="V610" s="18"/>
      <c r="W610" s="18"/>
      <c r="X610" s="18"/>
      <c r="Y610" s="282"/>
      <c r="Z610" s="18"/>
      <c r="AA610" s="18"/>
      <c r="AB610" s="18"/>
      <c r="AC610" s="18"/>
      <c r="AD610" s="18"/>
      <c r="AE610" s="18"/>
      <c r="AF610" s="18"/>
      <c r="AG610" s="18"/>
      <c r="AH610" s="18"/>
      <c r="AI610" s="18"/>
      <c r="AJ610" s="18"/>
      <c r="AK610" s="18"/>
      <c r="AL610" s="18"/>
      <c r="AM610" s="18"/>
      <c r="AN610" s="18"/>
      <c r="AO610" s="18"/>
      <c r="AP610" s="18"/>
      <c r="AQ610" s="18"/>
      <c r="AR610" s="18"/>
      <c r="AS610" s="18"/>
      <c r="AT610" s="18"/>
    </row>
    <row r="611" spans="1:46" ht="6" customHeight="1" x14ac:dyDescent="0.2">
      <c r="B611" s="1"/>
      <c r="C611" s="1"/>
      <c r="D611" s="1"/>
      <c r="E611" s="1"/>
      <c r="F611" s="1"/>
      <c r="G611" s="1"/>
      <c r="H611" s="1"/>
      <c r="I611" s="1"/>
      <c r="J611" s="1"/>
      <c r="K611" s="1"/>
      <c r="L611" s="1"/>
      <c r="M611" s="1"/>
      <c r="N611" s="1"/>
      <c r="O611" s="1"/>
      <c r="P611" s="1"/>
      <c r="R611" s="18"/>
      <c r="S611" s="18"/>
      <c r="T611" s="18"/>
      <c r="U611" s="18"/>
      <c r="V611" s="18"/>
      <c r="W611" s="18"/>
      <c r="X611" s="18"/>
      <c r="Y611" s="282"/>
      <c r="Z611" s="18"/>
      <c r="AA611" s="18"/>
      <c r="AB611" s="18"/>
      <c r="AC611" s="18"/>
      <c r="AD611" s="18"/>
      <c r="AE611" s="18"/>
      <c r="AF611" s="18"/>
      <c r="AG611" s="18"/>
      <c r="AH611" s="18"/>
      <c r="AI611" s="18"/>
      <c r="AJ611" s="18"/>
      <c r="AK611" s="18"/>
      <c r="AL611" s="18"/>
      <c r="AM611" s="18"/>
      <c r="AN611" s="18"/>
      <c r="AO611" s="18"/>
      <c r="AP611" s="18"/>
      <c r="AQ611" s="18"/>
      <c r="AR611" s="18"/>
      <c r="AS611" s="18"/>
      <c r="AT611" s="18"/>
    </row>
    <row r="612" spans="1:46" ht="36" customHeight="1" x14ac:dyDescent="0.2">
      <c r="B612" s="1626" t="s">
        <v>576</v>
      </c>
      <c r="C612" s="1627"/>
      <c r="D612" s="1627"/>
      <c r="E612" s="1627"/>
      <c r="F612" s="1627"/>
      <c r="G612" s="1627"/>
      <c r="H612" s="1627"/>
      <c r="I612" s="1627"/>
      <c r="J612" s="1627"/>
      <c r="K612" s="1627"/>
      <c r="L612" s="1627"/>
      <c r="M612" s="1627"/>
      <c r="N612" s="1627"/>
      <c r="O612" s="1627"/>
      <c r="P612" s="162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row>
    <row r="613" spans="1:46" ht="12" customHeight="1" x14ac:dyDescent="0.2">
      <c r="B613" s="1638"/>
      <c r="C613" s="1638"/>
      <c r="D613" s="1638"/>
      <c r="E613" s="1638"/>
      <c r="F613" s="1638"/>
      <c r="G613" s="1638"/>
      <c r="H613" s="1638"/>
      <c r="I613" s="1638"/>
      <c r="J613" s="1638"/>
      <c r="K613" s="1638"/>
      <c r="L613" s="1638"/>
      <c r="M613" s="1638"/>
      <c r="N613" s="1638"/>
      <c r="O613" s="1638"/>
      <c r="P613" s="163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row>
    <row r="614" spans="1:46" ht="30.75" customHeight="1" x14ac:dyDescent="0.2">
      <c r="B614" s="1591" t="s">
        <v>409</v>
      </c>
      <c r="C614" s="1591"/>
      <c r="D614" s="1591"/>
      <c r="E614" s="1591"/>
      <c r="F614" s="1591"/>
      <c r="G614" s="1591"/>
      <c r="H614" s="1591"/>
      <c r="I614" s="1591"/>
      <c r="J614" s="1591"/>
      <c r="K614" s="1591"/>
      <c r="L614" s="1591"/>
      <c r="M614" s="1665"/>
      <c r="N614" s="1665"/>
      <c r="O614" s="1665"/>
      <c r="P614" s="1665"/>
      <c r="R614" s="812"/>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row>
    <row r="615" spans="1:46" ht="37.5" customHeight="1" x14ac:dyDescent="0.2">
      <c r="B615" s="185"/>
      <c r="C615" s="1536" t="s">
        <v>1796</v>
      </c>
      <c r="D615" s="1555"/>
      <c r="E615" s="185"/>
      <c r="F615" s="1531" t="s">
        <v>1277</v>
      </c>
      <c r="G615" s="1532"/>
      <c r="H615" s="37"/>
      <c r="I615" s="1555" t="s">
        <v>1796</v>
      </c>
      <c r="J615" s="1555"/>
      <c r="K615" s="1555"/>
      <c r="L615" s="1555"/>
      <c r="M615" s="1536" t="s">
        <v>1738</v>
      </c>
      <c r="N615" s="1536"/>
      <c r="O615" s="1536"/>
      <c r="P615" s="1536"/>
      <c r="R615" s="18"/>
      <c r="S615" s="807" t="s">
        <v>1737</v>
      </c>
      <c r="T615" s="807" t="s">
        <v>1307</v>
      </c>
      <c r="U615" s="809" t="s">
        <v>1877</v>
      </c>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row>
    <row r="616" spans="1:46" ht="18" customHeight="1" x14ac:dyDescent="0.2">
      <c r="B616" s="185" t="s">
        <v>942</v>
      </c>
      <c r="C616" s="1373">
        <f>P60</f>
        <v>0</v>
      </c>
      <c r="D616" s="1346"/>
      <c r="E616" s="42" t="s">
        <v>1791</v>
      </c>
      <c r="F616" s="1657">
        <v>0.15</v>
      </c>
      <c r="G616" s="1657"/>
      <c r="H616" s="42" t="s">
        <v>1793</v>
      </c>
      <c r="I616" s="1545">
        <f>IF(C626&lt;R1,"DOI&lt;2005",IF($P$518&gt;0,0,T616))</f>
        <v>0</v>
      </c>
      <c r="J616" s="1545"/>
      <c r="K616" s="1545"/>
      <c r="L616" s="1545"/>
      <c r="M616" s="1644" t="str">
        <f>IF(C616=0,"",IF($P$518&gt;0,"Converted",""))</f>
        <v/>
      </c>
      <c r="N616" s="1644"/>
      <c r="O616" s="1644"/>
      <c r="P616" s="1644"/>
      <c r="R616" s="18"/>
      <c r="S616" s="750">
        <f>IF(AND(C616*F616&gt;0,C616*F616&lt;0.01),0.01,C616*F616)</f>
        <v>0</v>
      </c>
      <c r="T616" s="749">
        <f t="shared" ref="T616:T622" si="96">ROUND(S616,2)</f>
        <v>0</v>
      </c>
      <c r="U616" s="749">
        <f>SUM(E528:F552)</f>
        <v>0</v>
      </c>
      <c r="V616" s="807" t="s">
        <v>2221</v>
      </c>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row>
    <row r="617" spans="1:46" ht="18" customHeight="1" x14ac:dyDescent="0.2">
      <c r="B617" s="185" t="s">
        <v>1416</v>
      </c>
      <c r="C617" s="1373">
        <f>P137</f>
        <v>0</v>
      </c>
      <c r="D617" s="1346"/>
      <c r="E617" s="42" t="s">
        <v>1791</v>
      </c>
      <c r="F617" s="1657">
        <v>0.08</v>
      </c>
      <c r="G617" s="1657"/>
      <c r="H617" s="42" t="s">
        <v>1793</v>
      </c>
      <c r="I617" s="1545">
        <f>IF(C626&lt;R1,"DOI&lt;2005",IF($P$518&gt;0,0,T617))</f>
        <v>0</v>
      </c>
      <c r="J617" s="1545"/>
      <c r="K617" s="1545"/>
      <c r="L617" s="1545"/>
      <c r="M617" s="1644" t="str">
        <f>IF(C617=0,"",IF($P$518&gt;0,"Converted",""))</f>
        <v/>
      </c>
      <c r="N617" s="1644"/>
      <c r="O617" s="1644"/>
      <c r="P617" s="1644"/>
      <c r="R617" s="18"/>
      <c r="S617" s="750">
        <f t="shared" ref="S617:S622" si="97">IF(AND(C617*F617&gt;0,C617*F617&lt;0.01),0.01,C617*F617)</f>
        <v>0</v>
      </c>
      <c r="T617" s="749">
        <f t="shared" si="96"/>
        <v>0</v>
      </c>
      <c r="U617" s="749">
        <f>SUM(E595:F607)</f>
        <v>0</v>
      </c>
      <c r="V617" s="807" t="s">
        <v>2222</v>
      </c>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row>
    <row r="618" spans="1:46" ht="18" customHeight="1" x14ac:dyDescent="0.2">
      <c r="B618" s="185" t="s">
        <v>584</v>
      </c>
      <c r="C618" s="1373">
        <f>P214</f>
        <v>0</v>
      </c>
      <c r="D618" s="1346"/>
      <c r="E618" s="42" t="s">
        <v>1791</v>
      </c>
      <c r="F618" s="1657">
        <v>7.0000000000000007E-2</v>
      </c>
      <c r="G618" s="1657"/>
      <c r="H618" s="42" t="s">
        <v>1793</v>
      </c>
      <c r="I618" s="1545">
        <f>IF(C626&lt;R1,"DOI&lt;2005",IF($P$518&gt;0,0,T618))</f>
        <v>0</v>
      </c>
      <c r="J618" s="1545"/>
      <c r="K618" s="1545"/>
      <c r="L618" s="1545"/>
      <c r="M618" s="1644" t="str">
        <f>IF(C618=0,"",IF($P$518&gt;0,"Converted",""))</f>
        <v/>
      </c>
      <c r="N618" s="1644"/>
      <c r="O618" s="1644"/>
      <c r="P618" s="1644"/>
      <c r="R618" s="18"/>
      <c r="S618" s="750">
        <f t="shared" si="97"/>
        <v>0</v>
      </c>
      <c r="T618" s="749">
        <f t="shared" si="96"/>
        <v>0</v>
      </c>
      <c r="U618" s="744">
        <f>IF(AND(U616&gt;0,U617&gt;0),1,0)</f>
        <v>0</v>
      </c>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row>
    <row r="619" spans="1:46" ht="18" customHeight="1" x14ac:dyDescent="0.2">
      <c r="B619" s="185" t="s">
        <v>1454</v>
      </c>
      <c r="C619" s="1373">
        <f>P289</f>
        <v>0</v>
      </c>
      <c r="D619" s="1346"/>
      <c r="E619" s="42" t="s">
        <v>1791</v>
      </c>
      <c r="F619" s="1657">
        <v>0.03</v>
      </c>
      <c r="G619" s="1657"/>
      <c r="H619" s="42" t="s">
        <v>1793</v>
      </c>
      <c r="I619" s="1545">
        <f>IF(C626&lt;R1,"DOI&lt;2005",IF($P$518&gt;0,0,T619))</f>
        <v>0</v>
      </c>
      <c r="J619" s="1545"/>
      <c r="K619" s="1545"/>
      <c r="L619" s="1545"/>
      <c r="M619" s="1644" t="str">
        <f>IF(C619=0,"",IF($P$518&gt;0,"Converted",""))</f>
        <v/>
      </c>
      <c r="N619" s="1644"/>
      <c r="O619" s="1644"/>
      <c r="P619" s="1644"/>
      <c r="R619" s="18"/>
      <c r="S619" s="750">
        <f t="shared" si="97"/>
        <v>0</v>
      </c>
      <c r="T619" s="749">
        <f t="shared" si="96"/>
        <v>0</v>
      </c>
      <c r="U619" s="112"/>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row>
    <row r="620" spans="1:46" ht="18" customHeight="1" x14ac:dyDescent="0.2">
      <c r="B620" s="185" t="s">
        <v>1667</v>
      </c>
      <c r="C620" s="1373">
        <f>P364</f>
        <v>0</v>
      </c>
      <c r="D620" s="1346"/>
      <c r="E620" s="42" t="s">
        <v>1791</v>
      </c>
      <c r="F620" s="1657">
        <v>0.02</v>
      </c>
      <c r="G620" s="1657"/>
      <c r="H620" s="42" t="s">
        <v>1793</v>
      </c>
      <c r="I620" s="1545">
        <f>IF(C626&lt;R1,"DOI&lt;2005",IF($P$518&gt;0,0,T620))</f>
        <v>0</v>
      </c>
      <c r="J620" s="1545"/>
      <c r="K620" s="1545"/>
      <c r="L620" s="1545"/>
      <c r="M620" s="1644" t="str">
        <f>IF(C620=0,"",IF($P$518&gt;0,"Converted",""))</f>
        <v/>
      </c>
      <c r="N620" s="1644"/>
      <c r="O620" s="1644"/>
      <c r="P620" s="1644"/>
      <c r="R620" s="18"/>
      <c r="S620" s="750">
        <f t="shared" si="97"/>
        <v>0</v>
      </c>
      <c r="T620" s="749">
        <f t="shared" si="96"/>
        <v>0</v>
      </c>
      <c r="U620" s="112"/>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row>
    <row r="621" spans="1:46" ht="18" customHeight="1" x14ac:dyDescent="0.2">
      <c r="B621" s="185" t="s">
        <v>1536</v>
      </c>
      <c r="C621" s="1373">
        <f>P527</f>
        <v>0</v>
      </c>
      <c r="D621" s="1346"/>
      <c r="E621" s="42" t="s">
        <v>1791</v>
      </c>
      <c r="F621" s="1657">
        <v>0.47</v>
      </c>
      <c r="G621" s="1657"/>
      <c r="H621" s="42" t="s">
        <v>1793</v>
      </c>
      <c r="I621" s="1545">
        <f>IF(C626&lt;R1,"DOI&lt;2005",IF(AND(C621&gt;0,C622&gt;0),0,T621))</f>
        <v>0</v>
      </c>
      <c r="J621" s="1545"/>
      <c r="K621" s="1545"/>
      <c r="L621" s="1545"/>
      <c r="M621" s="1644" t="str">
        <f>IF(C621=0,"",IF(U618=1,"Converted",""))</f>
        <v/>
      </c>
      <c r="N621" s="1644"/>
      <c r="O621" s="1644"/>
      <c r="P621" s="1644"/>
      <c r="R621" s="18"/>
      <c r="S621" s="750">
        <f t="shared" si="97"/>
        <v>0</v>
      </c>
      <c r="T621" s="749">
        <f t="shared" si="96"/>
        <v>0</v>
      </c>
      <c r="U621" s="112"/>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row>
    <row r="622" spans="1:46" ht="18" customHeight="1" x14ac:dyDescent="0.2">
      <c r="B622" s="185" t="s">
        <v>1932</v>
      </c>
      <c r="C622" s="1373">
        <f>P594</f>
        <v>0</v>
      </c>
      <c r="D622" s="1346"/>
      <c r="E622" s="42" t="s">
        <v>1791</v>
      </c>
      <c r="F622" s="1657">
        <v>0.6</v>
      </c>
      <c r="G622" s="1657"/>
      <c r="H622" s="42" t="s">
        <v>1793</v>
      </c>
      <c r="I622" s="1545">
        <f>IF(C626&lt;R1,"DOI&lt;2005",T622)</f>
        <v>0</v>
      </c>
      <c r="J622" s="1545"/>
      <c r="K622" s="1545"/>
      <c r="L622" s="1545"/>
      <c r="M622" s="1644"/>
      <c r="N622" s="1644"/>
      <c r="O622" s="1644"/>
      <c r="P622" s="1644"/>
      <c r="R622" s="18"/>
      <c r="S622" s="750">
        <f t="shared" si="97"/>
        <v>0</v>
      </c>
      <c r="T622" s="749">
        <f t="shared" si="96"/>
        <v>0</v>
      </c>
      <c r="U622" s="112"/>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row>
    <row r="623" spans="1:46" ht="18" customHeight="1" x14ac:dyDescent="0.2">
      <c r="A623" s="3"/>
      <c r="B623" s="1817"/>
      <c r="C623" s="1817"/>
      <c r="D623" s="1817"/>
      <c r="E623" s="1817"/>
      <c r="F623" s="1817"/>
      <c r="G623" s="1817"/>
      <c r="H623" s="1817"/>
      <c r="I623" s="1817"/>
      <c r="J623" s="1817"/>
      <c r="K623" s="1817"/>
      <c r="L623" s="1817"/>
      <c r="M623" s="1817"/>
      <c r="N623" s="1817"/>
      <c r="O623" s="1817"/>
      <c r="P623" s="1817"/>
      <c r="Q623" s="3"/>
      <c r="R623" s="18"/>
      <c r="S623" s="171"/>
      <c r="T623" s="112"/>
      <c r="U623" s="112"/>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row>
    <row r="624" spans="1:46" ht="36" customHeight="1" x14ac:dyDescent="0.2">
      <c r="B624" s="1626" t="s">
        <v>57</v>
      </c>
      <c r="C624" s="1627"/>
      <c r="D624" s="1627"/>
      <c r="E624" s="1627"/>
      <c r="F624" s="1627"/>
      <c r="G624" s="1627"/>
      <c r="H624" s="1627"/>
      <c r="I624" s="1627"/>
      <c r="J624" s="1627"/>
      <c r="K624" s="1627"/>
      <c r="L624" s="1627"/>
      <c r="M624" s="1627"/>
      <c r="N624" s="1627"/>
      <c r="O624" s="1627"/>
      <c r="P624" s="1628"/>
    </row>
    <row r="625" spans="2:109" ht="12" customHeight="1" x14ac:dyDescent="0.2">
      <c r="B625" s="1638"/>
      <c r="C625" s="1638"/>
      <c r="D625" s="1638"/>
      <c r="E625" s="1638"/>
      <c r="F625" s="1638"/>
      <c r="G625" s="1638"/>
      <c r="H625" s="1638"/>
      <c r="I625" s="1638"/>
      <c r="J625" s="1638"/>
      <c r="K625" s="1638"/>
      <c r="L625" s="1638"/>
      <c r="M625" s="1638"/>
      <c r="N625" s="1638"/>
      <c r="O625" s="1638"/>
      <c r="P625" s="1638"/>
    </row>
    <row r="626" spans="2:109" ht="19.5" customHeight="1" x14ac:dyDescent="0.2">
      <c r="B626" s="167" t="s">
        <v>1189</v>
      </c>
      <c r="C626" s="1378" t="str">
        <f>IF('Start here'!A8="","",'Start here'!A8)</f>
        <v/>
      </c>
      <c r="D626" s="1683"/>
      <c r="E626" s="1684"/>
      <c r="F626" s="1685" t="str">
        <f>IF(C626="","Enter date of injury on worksheet: Start here.","")</f>
        <v>Enter date of injury on worksheet: Start here.</v>
      </c>
      <c r="G626" s="1686"/>
      <c r="H626" s="1686"/>
      <c r="I626" s="1686"/>
      <c r="J626" s="1686"/>
      <c r="K626" s="1686"/>
      <c r="L626" s="1686"/>
      <c r="M626" s="1686"/>
      <c r="N626" s="1686"/>
      <c r="O626" s="1686"/>
      <c r="P626" s="1686"/>
    </row>
    <row r="627" spans="2:109" ht="12" customHeight="1" x14ac:dyDescent="0.2">
      <c r="B627" s="1638"/>
      <c r="C627" s="1638"/>
      <c r="D627" s="1638"/>
      <c r="E627" s="1638"/>
      <c r="F627" s="1638"/>
      <c r="G627" s="1638"/>
      <c r="H627" s="1638"/>
      <c r="I627" s="1638"/>
      <c r="J627" s="1638"/>
      <c r="K627" s="1638"/>
      <c r="L627" s="1638"/>
      <c r="M627" s="1638"/>
      <c r="N627" s="1638"/>
      <c r="O627" s="1638"/>
      <c r="P627" s="1638"/>
    </row>
    <row r="628" spans="2:109" ht="30.75" customHeight="1" x14ac:dyDescent="0.2">
      <c r="B628" s="1591" t="s">
        <v>409</v>
      </c>
      <c r="C628" s="1591"/>
      <c r="D628" s="1591"/>
      <c r="E628" s="1591"/>
      <c r="F628" s="1591"/>
      <c r="G628" s="1591"/>
      <c r="H628" s="1591"/>
      <c r="I628" s="1591"/>
      <c r="J628" s="1591"/>
      <c r="K628" s="1591"/>
      <c r="L628" s="1591"/>
      <c r="M628" s="1591"/>
      <c r="N628" s="1591"/>
      <c r="O628" s="1591"/>
      <c r="P628" s="1591"/>
      <c r="R628" s="1557" t="s">
        <v>2197</v>
      </c>
    </row>
    <row r="629" spans="2:109" ht="33.75" customHeight="1" x14ac:dyDescent="0.2">
      <c r="B629" s="185"/>
      <c r="C629" s="1536" t="s">
        <v>1796</v>
      </c>
      <c r="D629" s="1555"/>
      <c r="E629" s="185"/>
      <c r="F629" s="1536" t="s">
        <v>1190</v>
      </c>
      <c r="G629" s="1536"/>
      <c r="H629" s="1555" t="s">
        <v>365</v>
      </c>
      <c r="I629" s="1555"/>
      <c r="J629" s="1555"/>
      <c r="K629" s="23"/>
      <c r="L629" s="1536" t="s">
        <v>1191</v>
      </c>
      <c r="M629" s="1536"/>
      <c r="N629" s="23"/>
      <c r="O629" s="1549" t="s">
        <v>1192</v>
      </c>
      <c r="P629" s="1551"/>
      <c r="R629" s="1557"/>
    </row>
    <row r="630" spans="2:109" ht="18" customHeight="1" x14ac:dyDescent="0.2">
      <c r="B630" s="185" t="s">
        <v>942</v>
      </c>
      <c r="C630" s="1373">
        <f>P60</f>
        <v>0</v>
      </c>
      <c r="D630" s="1346"/>
      <c r="E630" s="42" t="s">
        <v>1791</v>
      </c>
      <c r="F630" s="42">
        <v>48</v>
      </c>
      <c r="G630" s="42" t="s">
        <v>1793</v>
      </c>
      <c r="H630" s="1675">
        <f t="shared" ref="H630:H636" si="98">C630*F630</f>
        <v>0</v>
      </c>
      <c r="I630" s="1675"/>
      <c r="J630" s="1675"/>
      <c r="K630" s="42" t="s">
        <v>1791</v>
      </c>
      <c r="L630" s="1674">
        <f>IF($C$626="",0,'Dol Per Deg'!$H$11)</f>
        <v>0</v>
      </c>
      <c r="M630" s="1674"/>
      <c r="N630" s="23" t="s">
        <v>1793</v>
      </c>
      <c r="O630" s="1674" t="str">
        <f>IF(C626&gt;=R1,"DOI&gt;2004",IF($P$518&gt;0,"Converted",H630*L630))</f>
        <v>DOI&gt;2004</v>
      </c>
      <c r="P630" s="1674"/>
      <c r="R630" s="452">
        <f t="shared" ref="R630:R635" si="99">IF(O630="Converted",0,C630)</f>
        <v>0</v>
      </c>
    </row>
    <row r="631" spans="2:109" ht="18" customHeight="1" x14ac:dyDescent="0.2">
      <c r="B631" s="185" t="s">
        <v>1416</v>
      </c>
      <c r="C631" s="1373">
        <f>P137</f>
        <v>0</v>
      </c>
      <c r="D631" s="1346"/>
      <c r="E631" s="42" t="s">
        <v>1791</v>
      </c>
      <c r="F631" s="42">
        <v>24</v>
      </c>
      <c r="G631" s="42" t="s">
        <v>1793</v>
      </c>
      <c r="H631" s="1675">
        <f t="shared" si="98"/>
        <v>0</v>
      </c>
      <c r="I631" s="1675"/>
      <c r="J631" s="1675"/>
      <c r="K631" s="42" t="s">
        <v>1791</v>
      </c>
      <c r="L631" s="1674">
        <f>IF($C$626="",0,'Dol Per Deg'!$H$11)</f>
        <v>0</v>
      </c>
      <c r="M631" s="1674"/>
      <c r="N631" s="23" t="s">
        <v>1793</v>
      </c>
      <c r="O631" s="1674" t="str">
        <f>IF(C626&gt;=R1,"DOI&gt;2004",IF($P$518&gt;0,"Converted",H631*L631))</f>
        <v>DOI&gt;2004</v>
      </c>
      <c r="P631" s="1674"/>
      <c r="R631" s="452">
        <f t="shared" si="99"/>
        <v>0</v>
      </c>
    </row>
    <row r="632" spans="2:109" ht="18" customHeight="1" x14ac:dyDescent="0.2">
      <c r="B632" s="185" t="s">
        <v>584</v>
      </c>
      <c r="C632" s="1373">
        <f>P214</f>
        <v>0</v>
      </c>
      <c r="D632" s="1346"/>
      <c r="E632" s="42" t="s">
        <v>1791</v>
      </c>
      <c r="F632" s="42">
        <v>22</v>
      </c>
      <c r="G632" s="42" t="s">
        <v>1793</v>
      </c>
      <c r="H632" s="1675">
        <f t="shared" si="98"/>
        <v>0</v>
      </c>
      <c r="I632" s="1675"/>
      <c r="J632" s="1675"/>
      <c r="K632" s="42" t="s">
        <v>1791</v>
      </c>
      <c r="L632" s="1674">
        <f>IF($C$626="",0,'Dol Per Deg'!$H$11)</f>
        <v>0</v>
      </c>
      <c r="M632" s="1674"/>
      <c r="N632" s="23" t="s">
        <v>1793</v>
      </c>
      <c r="O632" s="1674" t="str">
        <f>IF(C626&gt;=R1,"DOI&gt;2004",IF($P$518&gt;0,"Converted",H632*L632))</f>
        <v>DOI&gt;2004</v>
      </c>
      <c r="P632" s="1674"/>
      <c r="R632" s="452">
        <f t="shared" si="99"/>
        <v>0</v>
      </c>
    </row>
    <row r="633" spans="2:109" ht="18" customHeight="1" x14ac:dyDescent="0.2">
      <c r="B633" s="185" t="s">
        <v>1454</v>
      </c>
      <c r="C633" s="1373">
        <f>P289</f>
        <v>0</v>
      </c>
      <c r="D633" s="1346"/>
      <c r="E633" s="42" t="s">
        <v>1791</v>
      </c>
      <c r="F633" s="42">
        <v>10</v>
      </c>
      <c r="G633" s="42" t="s">
        <v>1793</v>
      </c>
      <c r="H633" s="1675">
        <f t="shared" si="98"/>
        <v>0</v>
      </c>
      <c r="I633" s="1675"/>
      <c r="J633" s="1675"/>
      <c r="K633" s="42" t="s">
        <v>1791</v>
      </c>
      <c r="L633" s="1674">
        <f>IF($C$626="",0,'Dol Per Deg'!$H$11)</f>
        <v>0</v>
      </c>
      <c r="M633" s="1674"/>
      <c r="N633" s="23" t="s">
        <v>1793</v>
      </c>
      <c r="O633" s="1674" t="str">
        <f>IF(C626&gt;=R1,"DOI&gt;2004",IF($P$518&gt;0,"Converted",H633*L633))</f>
        <v>DOI&gt;2004</v>
      </c>
      <c r="P633" s="1674"/>
      <c r="R633" s="452">
        <f t="shared" si="99"/>
        <v>0</v>
      </c>
    </row>
    <row r="634" spans="2:109" ht="18" customHeight="1" x14ac:dyDescent="0.2">
      <c r="B634" s="185" t="s">
        <v>1667</v>
      </c>
      <c r="C634" s="1373">
        <f>P364</f>
        <v>0</v>
      </c>
      <c r="D634" s="1346"/>
      <c r="E634" s="42" t="s">
        <v>1791</v>
      </c>
      <c r="F634" s="42">
        <v>6</v>
      </c>
      <c r="G634" s="42" t="s">
        <v>1793</v>
      </c>
      <c r="H634" s="1468">
        <f t="shared" si="98"/>
        <v>0</v>
      </c>
      <c r="I634" s="1468"/>
      <c r="J634" s="1468"/>
      <c r="K634" s="42" t="s">
        <v>1791</v>
      </c>
      <c r="L634" s="1674">
        <f>IF($C$626="",0,'Dol Per Deg'!$H$11)</f>
        <v>0</v>
      </c>
      <c r="M634" s="1674"/>
      <c r="N634" s="23" t="s">
        <v>1793</v>
      </c>
      <c r="O634" s="1674" t="str">
        <f>IF(C626&gt;=R1,"DOI&gt;2004",IF($P$518&gt;0,"Converted",H634*L634))</f>
        <v>DOI&gt;2004</v>
      </c>
      <c r="P634" s="1674"/>
      <c r="R634" s="452">
        <f t="shared" si="99"/>
        <v>0</v>
      </c>
    </row>
    <row r="635" spans="2:109" ht="18" customHeight="1" x14ac:dyDescent="0.2">
      <c r="B635" s="185" t="s">
        <v>1536</v>
      </c>
      <c r="C635" s="1373">
        <f>P527</f>
        <v>0</v>
      </c>
      <c r="D635" s="1346"/>
      <c r="E635" s="42" t="s">
        <v>1791</v>
      </c>
      <c r="F635" s="42">
        <v>150</v>
      </c>
      <c r="G635" s="42" t="s">
        <v>1793</v>
      </c>
      <c r="H635" s="1468">
        <f t="shared" si="98"/>
        <v>0</v>
      </c>
      <c r="I635" s="1468"/>
      <c r="J635" s="1468"/>
      <c r="K635" s="42" t="s">
        <v>1791</v>
      </c>
      <c r="L635" s="1674">
        <f>IF($C$626="",0,'Dol Per Deg'!$H$11)</f>
        <v>0</v>
      </c>
      <c r="M635" s="1674"/>
      <c r="N635" s="23" t="s">
        <v>1793</v>
      </c>
      <c r="O635" s="1674" t="str">
        <f>IF(C626&gt;=R1,"DOI&gt;2004",IF(AND(C635&gt;0,C636&gt;0),"Converted",H635*L635))</f>
        <v>DOI&gt;2004</v>
      </c>
      <c r="P635" s="1674"/>
      <c r="R635" s="452">
        <f t="shared" si="99"/>
        <v>0</v>
      </c>
    </row>
    <row r="636" spans="2:109" ht="18" customHeight="1" x14ac:dyDescent="0.2">
      <c r="B636" s="185" t="s">
        <v>1932</v>
      </c>
      <c r="C636" s="1545">
        <f>P594</f>
        <v>0</v>
      </c>
      <c r="D636" s="1545"/>
      <c r="E636" s="42" t="s">
        <v>1791</v>
      </c>
      <c r="F636" s="42">
        <v>192</v>
      </c>
      <c r="G636" s="42" t="s">
        <v>1793</v>
      </c>
      <c r="H636" s="1468">
        <f t="shared" si="98"/>
        <v>0</v>
      </c>
      <c r="I636" s="1468"/>
      <c r="J636" s="1468"/>
      <c r="K636" s="42" t="s">
        <v>1791</v>
      </c>
      <c r="L636" s="1674">
        <f>IF($C$626="",0,'Dol Per Deg'!$H$11)</f>
        <v>0</v>
      </c>
      <c r="M636" s="1674"/>
      <c r="N636" s="23" t="s">
        <v>1793</v>
      </c>
      <c r="O636" s="1674" t="str">
        <f>IF(C626&gt;=R1,"DOI&gt;2004",H636*L636)</f>
        <v>DOI&gt;2004</v>
      </c>
      <c r="P636" s="1674"/>
      <c r="R636" s="452">
        <f>C636</f>
        <v>0</v>
      </c>
    </row>
    <row r="637" spans="2:109" ht="36.75" customHeight="1" x14ac:dyDescent="0.25">
      <c r="B637" s="1682" t="s">
        <v>947</v>
      </c>
      <c r="C637" s="1682"/>
      <c r="D637" s="1682"/>
      <c r="E637" s="1682"/>
      <c r="F637" s="1682"/>
      <c r="G637" s="1682"/>
      <c r="H637" s="1682"/>
      <c r="I637" s="1682"/>
      <c r="J637" s="1682"/>
      <c r="K637" s="1682"/>
      <c r="L637" s="1682"/>
      <c r="M637" s="1682"/>
      <c r="N637" s="1682"/>
      <c r="O637" s="1682"/>
      <c r="P637" s="1682"/>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row>
    <row r="638" spans="2:109" x14ac:dyDescent="0.2">
      <c r="B638" s="301" t="s">
        <v>790</v>
      </c>
      <c r="C638" s="1776" t="str">
        <f>IF(S1&lt;&gt;"",S1,"")</f>
        <v>Go to PPD Worksheet</v>
      </c>
      <c r="D638" s="1776"/>
      <c r="E638" s="1776"/>
      <c r="F638" s="1776"/>
      <c r="G638" s="1776"/>
      <c r="H638" s="1776"/>
      <c r="I638" s="1776"/>
      <c r="J638" s="1777" t="str">
        <f>IF(S2&lt;&gt;"",S2,"")</f>
        <v/>
      </c>
      <c r="K638" s="1777"/>
      <c r="L638" s="1777"/>
      <c r="M638" s="1777"/>
      <c r="N638" s="1777"/>
      <c r="P638" s="189"/>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row>
    <row r="639" spans="2:109" x14ac:dyDescent="0.2">
      <c r="B639" s="182"/>
      <c r="C639" s="107"/>
      <c r="D639" s="464"/>
      <c r="E639" s="182"/>
      <c r="F639" s="464"/>
      <c r="G639" s="182"/>
      <c r="H639" s="464"/>
      <c r="I639" s="182"/>
      <c r="J639" s="464"/>
      <c r="K639" s="182"/>
      <c r="L639" s="464"/>
      <c r="M639" s="182"/>
      <c r="N639" s="464"/>
      <c r="O639" s="182"/>
      <c r="P639" s="182"/>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row>
    <row r="640" spans="2:109" x14ac:dyDescent="0.2">
      <c r="B640" s="182"/>
      <c r="C640" s="107"/>
      <c r="D640" s="464"/>
      <c r="E640" s="182"/>
      <c r="F640" s="464"/>
      <c r="G640" s="182"/>
      <c r="H640" s="464"/>
      <c r="I640" s="182"/>
      <c r="J640" s="464"/>
      <c r="K640" s="182"/>
      <c r="L640" s="464"/>
      <c r="M640" s="182"/>
      <c r="N640" s="464"/>
      <c r="O640" s="182"/>
      <c r="P640" s="182"/>
      <c r="R640" s="18"/>
      <c r="S640" s="177"/>
      <c r="T640" s="112"/>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row>
    <row r="641" spans="2:241" hidden="1" x14ac:dyDescent="0.2">
      <c r="B641" s="182"/>
      <c r="C641" s="107"/>
      <c r="D641" s="464"/>
      <c r="E641" s="182"/>
      <c r="F641" s="464"/>
      <c r="G641" s="182"/>
      <c r="H641" s="464"/>
      <c r="I641" s="182"/>
      <c r="J641" s="464"/>
      <c r="K641" s="182"/>
      <c r="L641" s="464"/>
      <c r="M641" s="182"/>
      <c r="N641" s="464"/>
      <c r="O641" s="182"/>
      <c r="P641" s="182"/>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row>
    <row r="642" spans="2:241" s="219" customFormat="1" hidden="1" x14ac:dyDescent="0.2">
      <c r="C642" s="13"/>
      <c r="D642" s="461"/>
      <c r="F642" s="13"/>
      <c r="G642" s="461"/>
      <c r="I642" s="13"/>
      <c r="J642" s="461"/>
      <c r="L642" s="13"/>
      <c r="M642" s="461"/>
      <c r="O642" s="13"/>
      <c r="P642" s="461"/>
      <c r="R642" s="73"/>
      <c r="S642" s="74"/>
      <c r="T642" s="73"/>
      <c r="U642" s="73"/>
      <c r="V642" s="74"/>
      <c r="W642" s="73"/>
      <c r="X642" s="73"/>
      <c r="Y642" s="74"/>
      <c r="Z642" s="73"/>
      <c r="AA642" s="73"/>
      <c r="AB642" s="74"/>
      <c r="AC642" s="73"/>
      <c r="AD642" s="73"/>
      <c r="AE642" s="74"/>
      <c r="AF642" s="73"/>
      <c r="AG642" s="73"/>
      <c r="AH642" s="74"/>
      <c r="AI642" s="73"/>
      <c r="AJ642" s="73"/>
      <c r="AK642" s="74"/>
      <c r="AL642" s="73"/>
      <c r="AM642" s="73"/>
      <c r="AN642" s="74"/>
      <c r="AO642" s="73"/>
      <c r="AP642" s="73"/>
      <c r="AQ642" s="74"/>
      <c r="AR642" s="73"/>
      <c r="AS642" s="73"/>
      <c r="AT642" s="74"/>
      <c r="AV642" s="13"/>
      <c r="AW642" s="461"/>
      <c r="AY642" s="13"/>
      <c r="AZ642" s="461"/>
      <c r="BB642" s="13"/>
      <c r="BC642" s="461"/>
      <c r="BE642" s="13"/>
      <c r="BF642" s="461"/>
      <c r="BH642" s="13"/>
      <c r="BI642" s="461"/>
      <c r="BK642" s="13"/>
      <c r="BL642" s="461"/>
      <c r="BN642" s="13"/>
      <c r="BO642" s="461"/>
      <c r="BQ642" s="13"/>
      <c r="BR642" s="461"/>
      <c r="BT642" s="13"/>
      <c r="BU642" s="461"/>
      <c r="BW642" s="13"/>
      <c r="BX642" s="461"/>
      <c r="BZ642" s="13"/>
      <c r="CA642" s="461"/>
      <c r="CC642" s="13"/>
      <c r="CD642" s="461"/>
      <c r="CF642" s="13"/>
      <c r="CG642" s="461"/>
      <c r="CI642" s="13"/>
      <c r="CJ642" s="461"/>
      <c r="CL642" s="13"/>
      <c r="CM642" s="461"/>
      <c r="CO642" s="13"/>
      <c r="CP642" s="461"/>
      <c r="CR642" s="13"/>
      <c r="CS642" s="461"/>
      <c r="CU642" s="13"/>
      <c r="CV642" s="461"/>
      <c r="CX642" s="13"/>
      <c r="CY642" s="461"/>
      <c r="DA642" s="13"/>
      <c r="DB642" s="461"/>
      <c r="DD642" s="13"/>
      <c r="DE642" s="461"/>
      <c r="DG642" s="13"/>
      <c r="DH642" s="461"/>
      <c r="DJ642" s="13"/>
      <c r="DK642" s="461"/>
      <c r="DM642" s="13"/>
      <c r="DN642" s="461"/>
      <c r="DP642" s="13"/>
      <c r="DQ642" s="461"/>
      <c r="DS642" s="13"/>
      <c r="DT642" s="461"/>
      <c r="DV642" s="13"/>
      <c r="DW642" s="461"/>
      <c r="DY642" s="13"/>
      <c r="DZ642" s="461"/>
      <c r="EB642" s="13"/>
      <c r="EC642" s="461"/>
      <c r="EE642" s="13"/>
      <c r="EF642" s="461"/>
      <c r="EH642" s="13"/>
      <c r="EI642" s="461"/>
      <c r="EK642" s="13"/>
      <c r="EL642" s="461"/>
      <c r="EN642" s="13"/>
      <c r="EO642" s="461"/>
      <c r="EQ642" s="13"/>
      <c r="ER642" s="461"/>
      <c r="ET642" s="13"/>
      <c r="EU642" s="461"/>
      <c r="EW642" s="13"/>
      <c r="EX642" s="461"/>
      <c r="EZ642" s="13"/>
      <c r="FA642" s="461"/>
      <c r="FC642" s="13"/>
      <c r="FD642" s="461"/>
      <c r="FF642" s="13"/>
      <c r="FG642" s="461"/>
      <c r="FI642" s="13"/>
      <c r="FJ642" s="461"/>
      <c r="FL642" s="13"/>
      <c r="FM642" s="461"/>
      <c r="FO642" s="13"/>
      <c r="FP642" s="461"/>
      <c r="FR642" s="13"/>
      <c r="FS642" s="461"/>
      <c r="FU642" s="13"/>
      <c r="FV642" s="461"/>
      <c r="FX642" s="13"/>
      <c r="FY642" s="461"/>
      <c r="GA642" s="13"/>
      <c r="GB642" s="461"/>
      <c r="GD642" s="13"/>
      <c r="GE642" s="461"/>
      <c r="GG642" s="13"/>
      <c r="GH642" s="461"/>
      <c r="GJ642" s="13"/>
      <c r="GK642" s="461"/>
      <c r="GM642" s="13"/>
      <c r="GN642" s="461"/>
      <c r="GP642" s="13"/>
      <c r="GQ642" s="461"/>
      <c r="GS642" s="13"/>
      <c r="GT642" s="461"/>
      <c r="GV642" s="13"/>
      <c r="GW642" s="461"/>
      <c r="GY642" s="13"/>
      <c r="GZ642" s="461"/>
      <c r="HB642" s="13"/>
      <c r="HC642" s="461"/>
      <c r="HE642" s="13"/>
      <c r="HF642" s="461"/>
      <c r="HH642" s="13"/>
      <c r="HI642" s="461"/>
      <c r="HK642" s="13"/>
      <c r="HL642" s="461"/>
      <c r="HN642" s="13"/>
      <c r="HO642" s="461"/>
      <c r="HQ642" s="13"/>
      <c r="HR642" s="461"/>
      <c r="HT642" s="13"/>
      <c r="HU642" s="461"/>
      <c r="HW642" s="13"/>
      <c r="HX642" s="461"/>
      <c r="HZ642" s="13"/>
      <c r="IA642" s="461"/>
      <c r="IC642" s="13"/>
      <c r="ID642" s="461"/>
      <c r="IF642" s="13"/>
      <c r="IG642" s="461"/>
    </row>
    <row r="643" spans="2:241" s="219" customFormat="1" hidden="1" x14ac:dyDescent="0.2">
      <c r="F643" s="13"/>
      <c r="G643" s="461"/>
      <c r="I643" s="13"/>
      <c r="J643" s="461"/>
      <c r="L643" s="13"/>
      <c r="M643" s="461"/>
      <c r="O643" s="13"/>
      <c r="P643" s="461"/>
      <c r="R643" s="73"/>
      <c r="S643" s="74"/>
      <c r="T643" s="73"/>
      <c r="U643" s="73"/>
      <c r="V643" s="74"/>
      <c r="W643" s="73"/>
      <c r="X643" s="73"/>
      <c r="Y643" s="74"/>
      <c r="Z643" s="73"/>
      <c r="AA643" s="73"/>
      <c r="AB643" s="74"/>
      <c r="AC643" s="73"/>
      <c r="AD643" s="73"/>
      <c r="AE643" s="74"/>
      <c r="AF643" s="73"/>
      <c r="AG643" s="73"/>
      <c r="AH643" s="74"/>
      <c r="AI643" s="73"/>
      <c r="AJ643" s="73"/>
      <c r="AK643" s="74"/>
      <c r="AL643" s="73"/>
      <c r="AM643" s="73"/>
      <c r="AN643" s="74"/>
      <c r="AO643" s="73"/>
      <c r="AP643" s="73"/>
      <c r="AQ643" s="74"/>
      <c r="AR643" s="73"/>
      <c r="AS643" s="73"/>
      <c r="AT643" s="74"/>
      <c r="AV643" s="13"/>
      <c r="AW643" s="461"/>
      <c r="AY643" s="13"/>
      <c r="AZ643" s="461"/>
      <c r="BB643" s="13"/>
      <c r="BC643" s="461"/>
      <c r="BE643" s="13"/>
      <c r="BF643" s="461"/>
      <c r="BH643" s="13"/>
      <c r="BI643" s="461"/>
      <c r="BK643" s="13"/>
      <c r="BL643" s="461"/>
      <c r="BN643" s="13"/>
      <c r="BO643" s="461"/>
      <c r="BQ643" s="13"/>
      <c r="BR643" s="461"/>
      <c r="BT643" s="13"/>
      <c r="BU643" s="461"/>
      <c r="BW643" s="13"/>
      <c r="BX643" s="461"/>
      <c r="BZ643" s="13"/>
      <c r="CA643" s="461"/>
      <c r="CC643" s="13"/>
      <c r="CD643" s="461"/>
      <c r="CF643" s="13"/>
      <c r="CG643" s="461"/>
      <c r="CI643" s="13"/>
      <c r="CJ643" s="461"/>
      <c r="CL643" s="13"/>
      <c r="CM643" s="461"/>
      <c r="CO643" s="13"/>
      <c r="CP643" s="461"/>
      <c r="CR643" s="13"/>
      <c r="CS643" s="461"/>
      <c r="CU643" s="13"/>
      <c r="CV643" s="461"/>
      <c r="CX643" s="13"/>
      <c r="CY643" s="461"/>
      <c r="DA643" s="13"/>
      <c r="DB643" s="461"/>
      <c r="DD643" s="13"/>
      <c r="DE643" s="461"/>
      <c r="DG643" s="13"/>
      <c r="DH643" s="461"/>
      <c r="DJ643" s="13"/>
      <c r="DK643" s="461"/>
      <c r="DM643" s="13"/>
      <c r="DN643" s="461"/>
      <c r="DP643" s="13"/>
      <c r="DQ643" s="461"/>
      <c r="DS643" s="13"/>
      <c r="DT643" s="461"/>
      <c r="DV643" s="13"/>
      <c r="DW643" s="461"/>
      <c r="DY643" s="13"/>
      <c r="DZ643" s="461"/>
      <c r="EB643" s="13"/>
      <c r="EC643" s="461"/>
      <c r="EE643" s="13"/>
      <c r="EF643" s="461"/>
      <c r="EH643" s="13"/>
      <c r="EI643" s="461"/>
      <c r="EK643" s="13"/>
      <c r="EL643" s="461"/>
      <c r="EN643" s="13"/>
      <c r="EO643" s="461"/>
      <c r="EQ643" s="13"/>
      <c r="ER643" s="461"/>
      <c r="ET643" s="13"/>
      <c r="EU643" s="461"/>
      <c r="EW643" s="13"/>
      <c r="EX643" s="461"/>
      <c r="EZ643" s="13"/>
      <c r="FA643" s="461"/>
      <c r="FC643" s="13"/>
      <c r="FD643" s="461"/>
      <c r="FF643" s="13"/>
      <c r="FG643" s="461"/>
      <c r="FI643" s="13"/>
      <c r="FJ643" s="461"/>
      <c r="FL643" s="13"/>
      <c r="FM643" s="461"/>
      <c r="FO643" s="13"/>
      <c r="FP643" s="461"/>
      <c r="FR643" s="13"/>
      <c r="FS643" s="461"/>
      <c r="FU643" s="13"/>
      <c r="FV643" s="461"/>
      <c r="FX643" s="13"/>
      <c r="FY643" s="461"/>
      <c r="GA643" s="13"/>
      <c r="GB643" s="461"/>
      <c r="GD643" s="13"/>
      <c r="GE643" s="461"/>
      <c r="GG643" s="13"/>
      <c r="GH643" s="461"/>
      <c r="GJ643" s="13"/>
      <c r="GK643" s="461"/>
      <c r="GM643" s="13"/>
      <c r="GN643" s="461"/>
      <c r="GP643" s="13"/>
      <c r="GQ643" s="461"/>
      <c r="GS643" s="13"/>
      <c r="GT643" s="461"/>
      <c r="GV643" s="13"/>
      <c r="GW643" s="461"/>
      <c r="GY643" s="13"/>
      <c r="GZ643" s="461"/>
      <c r="HB643" s="13"/>
      <c r="HC643" s="461"/>
      <c r="HE643" s="13"/>
      <c r="HF643" s="461"/>
      <c r="HH643" s="13"/>
      <c r="HI643" s="461"/>
      <c r="HK643" s="13"/>
      <c r="HL643" s="461"/>
      <c r="HN643" s="13"/>
      <c r="HO643" s="461"/>
      <c r="HQ643" s="13"/>
      <c r="HR643" s="461"/>
      <c r="HT643" s="13"/>
      <c r="HU643" s="461"/>
      <c r="HW643" s="13"/>
      <c r="HX643" s="461"/>
      <c r="HZ643" s="13"/>
      <c r="IA643" s="461"/>
      <c r="IC643" s="13"/>
      <c r="ID643" s="461"/>
      <c r="IF643" s="13"/>
      <c r="IG643" s="461"/>
    </row>
    <row r="644" spans="2:241" s="219" customFormat="1" hidden="1" x14ac:dyDescent="0.2">
      <c r="B644" s="452">
        <v>0.01</v>
      </c>
      <c r="C644" s="1410" t="s">
        <v>2223</v>
      </c>
      <c r="D644" s="1410"/>
      <c r="E644" s="1410"/>
      <c r="F644" s="1410"/>
      <c r="G644" s="1410"/>
      <c r="H644" s="1410"/>
      <c r="I644" s="13"/>
      <c r="M644" s="461"/>
      <c r="O644" s="13"/>
      <c r="P644" s="461"/>
      <c r="R644" s="73"/>
      <c r="S644" s="74"/>
      <c r="T644" s="73"/>
      <c r="U644" s="73"/>
      <c r="V644" s="74"/>
      <c r="W644" s="73"/>
      <c r="X644" s="73"/>
      <c r="Y644" s="74"/>
      <c r="Z644" s="73"/>
      <c r="AA644" s="73"/>
      <c r="AB644" s="74"/>
      <c r="AC644" s="73"/>
      <c r="AD644" s="73"/>
      <c r="AE644" s="74"/>
      <c r="AF644" s="73"/>
      <c r="AG644" s="73"/>
      <c r="AH644" s="74"/>
      <c r="AI644" s="73"/>
      <c r="AJ644" s="73"/>
      <c r="AK644" s="74"/>
      <c r="AL644" s="73"/>
      <c r="AM644" s="73"/>
      <c r="AN644" s="74"/>
      <c r="AO644" s="73"/>
      <c r="AP644" s="73"/>
      <c r="AQ644" s="74"/>
      <c r="AR644" s="73"/>
      <c r="AS644" s="73"/>
      <c r="AT644" s="74"/>
      <c r="AV644" s="13"/>
      <c r="AW644" s="461"/>
      <c r="AY644" s="13"/>
      <c r="AZ644" s="461"/>
      <c r="BB644" s="13"/>
      <c r="BC644" s="461"/>
      <c r="BE644" s="13"/>
      <c r="BF644" s="461"/>
      <c r="BH644" s="13"/>
      <c r="BI644" s="461"/>
      <c r="BK644" s="13"/>
      <c r="BL644" s="461"/>
      <c r="BN644" s="13"/>
      <c r="BO644" s="461"/>
      <c r="BQ644" s="13"/>
      <c r="BR644" s="461"/>
      <c r="BT644" s="13"/>
      <c r="BU644" s="461"/>
      <c r="BW644" s="13"/>
      <c r="BX644" s="461"/>
      <c r="BZ644" s="13"/>
      <c r="CA644" s="461"/>
      <c r="CC644" s="13"/>
      <c r="CD644" s="461"/>
      <c r="CF644" s="13"/>
      <c r="CG644" s="461"/>
      <c r="CI644" s="13"/>
      <c r="CJ644" s="461"/>
      <c r="CL644" s="13"/>
      <c r="CM644" s="461"/>
      <c r="CO644" s="13"/>
      <c r="CP644" s="461"/>
      <c r="CR644" s="13"/>
      <c r="CS644" s="461"/>
      <c r="CU644" s="13"/>
      <c r="CV644" s="461"/>
      <c r="CX644" s="13"/>
      <c r="CY644" s="461"/>
      <c r="DA644" s="13"/>
      <c r="DB644" s="461"/>
      <c r="DD644" s="13"/>
      <c r="DE644" s="461"/>
      <c r="DG644" s="13"/>
      <c r="DH644" s="461"/>
      <c r="DJ644" s="13"/>
      <c r="DK644" s="461"/>
      <c r="DM644" s="13"/>
      <c r="DN644" s="461"/>
      <c r="DP644" s="13"/>
      <c r="DQ644" s="461"/>
      <c r="DS644" s="13"/>
      <c r="DT644" s="461"/>
      <c r="DV644" s="13"/>
      <c r="DW644" s="461"/>
      <c r="DY644" s="13"/>
      <c r="DZ644" s="461"/>
      <c r="EB644" s="13"/>
      <c r="EC644" s="461"/>
      <c r="EE644" s="13"/>
      <c r="EF644" s="461"/>
      <c r="EH644" s="13"/>
      <c r="EI644" s="461"/>
      <c r="EK644" s="13"/>
      <c r="EL644" s="461"/>
      <c r="EN644" s="13"/>
      <c r="EO644" s="461"/>
      <c r="EQ644" s="13"/>
      <c r="ER644" s="461"/>
      <c r="ET644" s="13"/>
      <c r="EU644" s="461"/>
      <c r="EW644" s="13"/>
      <c r="EX644" s="461"/>
      <c r="EZ644" s="13"/>
      <c r="FA644" s="461"/>
      <c r="FC644" s="13"/>
      <c r="FD644" s="461"/>
      <c r="FF644" s="13"/>
      <c r="FG644" s="461"/>
      <c r="FI644" s="13"/>
      <c r="FJ644" s="461"/>
      <c r="FL644" s="13"/>
      <c r="FM644" s="461"/>
      <c r="FO644" s="13"/>
      <c r="FP644" s="461"/>
      <c r="FR644" s="13"/>
      <c r="FS644" s="461"/>
      <c r="FU644" s="13"/>
      <c r="FV644" s="461"/>
      <c r="FX644" s="13"/>
      <c r="FY644" s="461"/>
      <c r="GA644" s="13"/>
      <c r="GB644" s="461"/>
      <c r="GD644" s="13"/>
      <c r="GE644" s="461"/>
      <c r="GG644" s="13"/>
      <c r="GH644" s="461"/>
      <c r="GJ644" s="13"/>
      <c r="GK644" s="461"/>
      <c r="GM644" s="13"/>
      <c r="GN644" s="461"/>
      <c r="GP644" s="13"/>
      <c r="GQ644" s="461"/>
      <c r="GS644" s="13"/>
      <c r="GT644" s="461"/>
      <c r="GV644" s="13"/>
      <c r="GW644" s="461"/>
      <c r="GY644" s="13"/>
      <c r="GZ644" s="461"/>
      <c r="HB644" s="13"/>
      <c r="HC644" s="461"/>
      <c r="HE644" s="13"/>
      <c r="HF644" s="461"/>
      <c r="HH644" s="13"/>
      <c r="HI644" s="461"/>
      <c r="HK644" s="13"/>
      <c r="HL644" s="461"/>
      <c r="HN644" s="13"/>
      <c r="HO644" s="461"/>
      <c r="HQ644" s="13"/>
      <c r="HR644" s="461"/>
      <c r="HT644" s="13"/>
      <c r="HU644" s="461"/>
      <c r="HW644" s="13"/>
      <c r="HX644" s="461"/>
      <c r="HZ644" s="13"/>
      <c r="IA644" s="461"/>
      <c r="IC644" s="13"/>
      <c r="ID644" s="461"/>
      <c r="IF644" s="13"/>
      <c r="IG644" s="461"/>
    </row>
    <row r="645" spans="2:241" hidden="1" x14ac:dyDescent="0.2">
      <c r="B645" s="452">
        <v>0.99</v>
      </c>
      <c r="C645" s="1410" t="s">
        <v>2223</v>
      </c>
      <c r="D645" s="1410"/>
      <c r="E645" s="1410"/>
      <c r="F645" s="1410"/>
      <c r="G645" s="1410"/>
      <c r="H645" s="1410"/>
      <c r="I645" s="14"/>
      <c r="J645" s="15"/>
      <c r="K645" s="14"/>
      <c r="L645" s="15"/>
      <c r="M645" s="14"/>
      <c r="N645" s="15"/>
      <c r="O645" s="14"/>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row>
    <row r="646" spans="2:241" hidden="1" x14ac:dyDescent="0.2">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row>
    <row r="647" spans="2:241" hidden="1" x14ac:dyDescent="0.2">
      <c r="C647" s="35"/>
      <c r="D647" s="35"/>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row>
    <row r="648" spans="2:241" hidden="1" x14ac:dyDescent="0.2">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row>
    <row r="649" spans="2:241" hidden="1" x14ac:dyDescent="0.2">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row>
    <row r="650" spans="2:241" hidden="1" x14ac:dyDescent="0.2">
      <c r="B650" s="1379" t="s">
        <v>2224</v>
      </c>
      <c r="C650" s="35"/>
      <c r="D650" s="35"/>
      <c r="F650" s="35"/>
      <c r="G650" s="14"/>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row>
    <row r="651" spans="2:241" hidden="1" x14ac:dyDescent="0.2">
      <c r="B651" s="1379"/>
      <c r="C651" s="35"/>
      <c r="D651" s="35"/>
      <c r="F651" s="35"/>
      <c r="G651" s="191"/>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row>
    <row r="652" spans="2:241" hidden="1" x14ac:dyDescent="0.2">
      <c r="B652" s="1379"/>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row>
    <row r="653" spans="2:241" hidden="1" x14ac:dyDescent="0.2">
      <c r="B653" s="1379"/>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row>
    <row r="654" spans="2:241" hidden="1" x14ac:dyDescent="0.2">
      <c r="B654" s="830" t="s">
        <v>1942</v>
      </c>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row>
    <row r="655" spans="2:241" hidden="1" x14ac:dyDescent="0.2">
      <c r="B655" s="830">
        <v>0</v>
      </c>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row>
    <row r="656" spans="2:241" hidden="1" x14ac:dyDescent="0.2">
      <c r="B656" s="830">
        <v>1</v>
      </c>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row>
    <row r="657" spans="2:46" hidden="1" x14ac:dyDescent="0.2">
      <c r="B657" s="830">
        <v>2</v>
      </c>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row>
    <row r="658" spans="2:46" hidden="1" x14ac:dyDescent="0.2">
      <c r="B658" s="830">
        <v>3</v>
      </c>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row>
    <row r="659" spans="2:46" hidden="1" x14ac:dyDescent="0.2">
      <c r="B659" s="830">
        <v>4</v>
      </c>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row>
    <row r="660" spans="2:46" hidden="1" x14ac:dyDescent="0.2">
      <c r="B660" s="830">
        <v>5</v>
      </c>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row>
    <row r="661" spans="2:46" hidden="1" x14ac:dyDescent="0.2">
      <c r="B661" s="830">
        <v>6</v>
      </c>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row>
    <row r="662" spans="2:46" hidden="1" x14ac:dyDescent="0.2">
      <c r="B662" s="830">
        <v>7</v>
      </c>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row>
    <row r="663" spans="2:46" hidden="1" x14ac:dyDescent="0.2">
      <c r="B663" s="830">
        <v>8</v>
      </c>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row>
    <row r="664" spans="2:46" hidden="1" x14ac:dyDescent="0.2">
      <c r="B664" s="830">
        <v>9</v>
      </c>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row>
    <row r="665" spans="2:46" hidden="1" x14ac:dyDescent="0.2">
      <c r="B665" s="830">
        <v>10</v>
      </c>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row>
    <row r="666" spans="2:46" hidden="1" x14ac:dyDescent="0.2">
      <c r="B666" s="830">
        <v>11</v>
      </c>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row>
    <row r="667" spans="2:46" hidden="1" x14ac:dyDescent="0.2">
      <c r="B667" s="830">
        <v>12</v>
      </c>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row>
    <row r="668" spans="2:46" hidden="1" x14ac:dyDescent="0.2">
      <c r="B668" s="830">
        <v>13</v>
      </c>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row>
    <row r="669" spans="2:46" hidden="1" x14ac:dyDescent="0.2">
      <c r="B669" s="830">
        <v>14</v>
      </c>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row>
    <row r="670" spans="2:46" hidden="1" x14ac:dyDescent="0.2">
      <c r="B670" s="830">
        <v>15</v>
      </c>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row>
    <row r="671" spans="2:46" hidden="1" x14ac:dyDescent="0.2">
      <c r="B671" s="830">
        <v>16</v>
      </c>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row>
    <row r="672" spans="2:46" hidden="1" x14ac:dyDescent="0.2">
      <c r="B672" s="830">
        <v>17</v>
      </c>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row>
    <row r="673" spans="2:46" hidden="1" x14ac:dyDescent="0.2">
      <c r="B673" s="830">
        <v>18</v>
      </c>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row>
    <row r="674" spans="2:46" hidden="1" x14ac:dyDescent="0.2">
      <c r="B674" s="830">
        <v>19</v>
      </c>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row>
    <row r="675" spans="2:46" hidden="1" x14ac:dyDescent="0.2">
      <c r="B675" s="830">
        <v>20</v>
      </c>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row>
    <row r="676" spans="2:46" hidden="1" x14ac:dyDescent="0.2">
      <c r="B676" s="830">
        <v>21</v>
      </c>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row>
    <row r="677" spans="2:46" hidden="1" x14ac:dyDescent="0.2">
      <c r="B677" s="830">
        <v>22</v>
      </c>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row>
    <row r="678" spans="2:46" hidden="1" x14ac:dyDescent="0.2">
      <c r="B678" s="830">
        <v>23</v>
      </c>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row>
    <row r="679" spans="2:46" hidden="1" x14ac:dyDescent="0.2">
      <c r="B679" s="830">
        <v>24</v>
      </c>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row>
    <row r="680" spans="2:46" hidden="1" x14ac:dyDescent="0.2">
      <c r="B680" s="830">
        <v>25</v>
      </c>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row>
    <row r="681" spans="2:46" hidden="1" x14ac:dyDescent="0.2">
      <c r="B681" s="830">
        <v>26</v>
      </c>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row>
    <row r="682" spans="2:46" hidden="1" x14ac:dyDescent="0.2">
      <c r="B682" s="830">
        <v>27</v>
      </c>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row>
    <row r="683" spans="2:46" hidden="1" x14ac:dyDescent="0.2">
      <c r="B683" s="830">
        <v>28</v>
      </c>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row>
    <row r="684" spans="2:46" hidden="1" x14ac:dyDescent="0.2">
      <c r="B684" s="830">
        <v>29</v>
      </c>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row>
    <row r="685" spans="2:46" hidden="1" x14ac:dyDescent="0.2">
      <c r="B685" s="830">
        <v>30</v>
      </c>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row>
    <row r="686" spans="2:46" hidden="1" x14ac:dyDescent="0.2">
      <c r="B686" s="830">
        <v>31</v>
      </c>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row>
    <row r="687" spans="2:46" hidden="1" x14ac:dyDescent="0.2">
      <c r="B687" s="830">
        <v>32</v>
      </c>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row>
    <row r="688" spans="2:46" hidden="1" x14ac:dyDescent="0.2">
      <c r="B688" s="830">
        <v>33</v>
      </c>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row>
    <row r="689" spans="2:46" hidden="1" x14ac:dyDescent="0.2">
      <c r="B689" s="830">
        <v>34</v>
      </c>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row>
    <row r="690" spans="2:46" hidden="1" x14ac:dyDescent="0.2">
      <c r="B690" s="830">
        <v>35</v>
      </c>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row>
    <row r="691" spans="2:46" hidden="1" x14ac:dyDescent="0.2">
      <c r="B691" s="830">
        <v>36</v>
      </c>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row>
    <row r="692" spans="2:46" hidden="1" x14ac:dyDescent="0.2">
      <c r="B692" s="830">
        <v>37</v>
      </c>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row>
    <row r="693" spans="2:46" hidden="1" x14ac:dyDescent="0.2">
      <c r="B693" s="830">
        <v>38</v>
      </c>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row>
    <row r="694" spans="2:46" hidden="1" x14ac:dyDescent="0.2">
      <c r="B694" s="830">
        <v>39</v>
      </c>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row>
    <row r="695" spans="2:46" hidden="1" x14ac:dyDescent="0.2">
      <c r="B695" s="830">
        <v>40</v>
      </c>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row>
    <row r="696" spans="2:46" hidden="1" x14ac:dyDescent="0.2">
      <c r="B696" s="830">
        <v>41</v>
      </c>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row>
    <row r="697" spans="2:46" hidden="1" x14ac:dyDescent="0.2">
      <c r="B697" s="830">
        <v>42</v>
      </c>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row>
    <row r="698" spans="2:46" hidden="1" x14ac:dyDescent="0.2">
      <c r="B698" s="830">
        <v>43</v>
      </c>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row>
    <row r="699" spans="2:46" hidden="1" x14ac:dyDescent="0.2">
      <c r="B699" s="830">
        <v>44</v>
      </c>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row>
    <row r="700" spans="2:46" hidden="1" x14ac:dyDescent="0.2">
      <c r="B700" s="830">
        <v>45</v>
      </c>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row>
    <row r="701" spans="2:46" hidden="1" x14ac:dyDescent="0.2">
      <c r="B701" s="830">
        <v>46</v>
      </c>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row>
    <row r="702" spans="2:46" hidden="1" x14ac:dyDescent="0.2">
      <c r="B702" s="830">
        <v>47</v>
      </c>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row>
    <row r="703" spans="2:46" hidden="1" x14ac:dyDescent="0.2">
      <c r="B703" s="830">
        <v>48</v>
      </c>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row>
    <row r="704" spans="2:46" hidden="1" x14ac:dyDescent="0.2">
      <c r="B704" s="830">
        <v>49</v>
      </c>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row>
    <row r="705" spans="2:46" hidden="1" x14ac:dyDescent="0.2">
      <c r="B705" s="830">
        <v>50</v>
      </c>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row>
    <row r="706" spans="2:46" hidden="1" x14ac:dyDescent="0.2">
      <c r="B706" s="830">
        <v>51</v>
      </c>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row>
    <row r="707" spans="2:46" hidden="1" x14ac:dyDescent="0.2">
      <c r="B707" s="830">
        <v>52</v>
      </c>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row>
    <row r="708" spans="2:46" hidden="1" x14ac:dyDescent="0.2">
      <c r="B708" s="830">
        <v>53</v>
      </c>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row>
    <row r="709" spans="2:46" hidden="1" x14ac:dyDescent="0.2">
      <c r="B709" s="830">
        <v>54</v>
      </c>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row>
    <row r="710" spans="2:46" hidden="1" x14ac:dyDescent="0.2">
      <c r="B710" s="830">
        <v>55</v>
      </c>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row>
    <row r="711" spans="2:46" hidden="1" x14ac:dyDescent="0.2">
      <c r="B711" s="830">
        <v>56</v>
      </c>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row>
    <row r="712" spans="2:46" hidden="1" x14ac:dyDescent="0.2">
      <c r="B712" s="830">
        <v>57</v>
      </c>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row>
    <row r="713" spans="2:46" hidden="1" x14ac:dyDescent="0.2">
      <c r="B713" s="830">
        <v>58</v>
      </c>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row>
    <row r="714" spans="2:46" hidden="1" x14ac:dyDescent="0.2">
      <c r="B714" s="830">
        <v>59</v>
      </c>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row>
    <row r="715" spans="2:46" hidden="1" x14ac:dyDescent="0.2">
      <c r="B715" s="830">
        <v>60</v>
      </c>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row>
    <row r="716" spans="2:46" hidden="1" x14ac:dyDescent="0.2">
      <c r="B716" s="830">
        <v>61</v>
      </c>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row>
    <row r="717" spans="2:46" hidden="1" x14ac:dyDescent="0.2">
      <c r="B717" s="830">
        <v>62</v>
      </c>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row>
    <row r="718" spans="2:46" hidden="1" x14ac:dyDescent="0.2">
      <c r="B718" s="830">
        <v>63</v>
      </c>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row>
    <row r="719" spans="2:46" hidden="1" x14ac:dyDescent="0.2">
      <c r="B719" s="830">
        <v>64</v>
      </c>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row>
    <row r="720" spans="2:46" hidden="1" x14ac:dyDescent="0.2">
      <c r="B720" s="830">
        <v>65</v>
      </c>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row>
    <row r="721" spans="2:46" hidden="1" x14ac:dyDescent="0.2">
      <c r="B721" s="830">
        <v>66</v>
      </c>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row>
    <row r="722" spans="2:46" hidden="1" x14ac:dyDescent="0.2">
      <c r="B722" s="830">
        <v>67</v>
      </c>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row>
    <row r="723" spans="2:46" hidden="1" x14ac:dyDescent="0.2">
      <c r="B723" s="830">
        <v>68</v>
      </c>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row>
    <row r="724" spans="2:46" hidden="1" x14ac:dyDescent="0.2">
      <c r="B724" s="830">
        <v>69</v>
      </c>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row>
    <row r="725" spans="2:46" hidden="1" x14ac:dyDescent="0.2">
      <c r="B725" s="830">
        <v>70</v>
      </c>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row>
    <row r="726" spans="2:46" hidden="1" x14ac:dyDescent="0.2">
      <c r="B726" s="830">
        <v>71</v>
      </c>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row>
    <row r="727" spans="2:46" hidden="1" x14ac:dyDescent="0.2">
      <c r="B727" s="830">
        <v>72</v>
      </c>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row>
    <row r="728" spans="2:46" hidden="1" x14ac:dyDescent="0.2">
      <c r="B728" s="830">
        <v>73</v>
      </c>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row>
    <row r="729" spans="2:46" hidden="1" x14ac:dyDescent="0.2">
      <c r="B729" s="830">
        <v>74</v>
      </c>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row>
    <row r="730" spans="2:46" hidden="1" x14ac:dyDescent="0.2">
      <c r="B730" s="830">
        <v>75</v>
      </c>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row>
    <row r="731" spans="2:46" hidden="1" x14ac:dyDescent="0.2">
      <c r="B731" s="830">
        <v>76</v>
      </c>
    </row>
    <row r="732" spans="2:46" hidden="1" x14ac:dyDescent="0.2">
      <c r="B732" s="830">
        <v>77</v>
      </c>
    </row>
    <row r="733" spans="2:46" hidden="1" x14ac:dyDescent="0.2">
      <c r="B733" s="830">
        <v>78</v>
      </c>
    </row>
    <row r="734" spans="2:46" hidden="1" x14ac:dyDescent="0.2">
      <c r="B734" s="830">
        <v>79</v>
      </c>
    </row>
    <row r="735" spans="2:46" hidden="1" x14ac:dyDescent="0.2">
      <c r="B735" s="830">
        <v>80</v>
      </c>
    </row>
    <row r="736" spans="2:46" hidden="1" x14ac:dyDescent="0.2">
      <c r="B736" s="830">
        <v>81</v>
      </c>
    </row>
    <row r="737" spans="2:2" hidden="1" x14ac:dyDescent="0.2">
      <c r="B737" s="830">
        <v>82</v>
      </c>
    </row>
    <row r="738" spans="2:2" hidden="1" x14ac:dyDescent="0.2">
      <c r="B738" s="830">
        <v>83</v>
      </c>
    </row>
    <row r="739" spans="2:2" hidden="1" x14ac:dyDescent="0.2">
      <c r="B739" s="830">
        <v>84</v>
      </c>
    </row>
    <row r="740" spans="2:2" hidden="1" x14ac:dyDescent="0.2">
      <c r="B740" s="830">
        <v>85</v>
      </c>
    </row>
    <row r="741" spans="2:2" hidden="1" x14ac:dyDescent="0.2">
      <c r="B741" s="830">
        <v>86</v>
      </c>
    </row>
    <row r="742" spans="2:2" hidden="1" x14ac:dyDescent="0.2">
      <c r="B742" s="830">
        <v>87</v>
      </c>
    </row>
    <row r="743" spans="2:2" hidden="1" x14ac:dyDescent="0.2">
      <c r="B743" s="830">
        <v>88</v>
      </c>
    </row>
    <row r="744" spans="2:2" hidden="1" x14ac:dyDescent="0.2">
      <c r="B744" s="830">
        <v>89</v>
      </c>
    </row>
    <row r="745" spans="2:2" hidden="1" x14ac:dyDescent="0.2">
      <c r="B745" s="830">
        <v>90</v>
      </c>
    </row>
    <row r="746" spans="2:2" hidden="1" x14ac:dyDescent="0.2">
      <c r="B746" s="830">
        <v>91</v>
      </c>
    </row>
    <row r="747" spans="2:2" hidden="1" x14ac:dyDescent="0.2">
      <c r="B747" s="830">
        <v>92</v>
      </c>
    </row>
    <row r="748" spans="2:2" hidden="1" x14ac:dyDescent="0.2">
      <c r="B748" s="830">
        <v>93</v>
      </c>
    </row>
    <row r="749" spans="2:2" hidden="1" x14ac:dyDescent="0.2">
      <c r="B749" s="830">
        <v>94</v>
      </c>
    </row>
    <row r="750" spans="2:2" hidden="1" x14ac:dyDescent="0.2">
      <c r="B750" s="830">
        <v>95</v>
      </c>
    </row>
    <row r="751" spans="2:2" hidden="1" x14ac:dyDescent="0.2">
      <c r="B751" s="830">
        <v>96</v>
      </c>
    </row>
    <row r="752" spans="2:2" hidden="1" x14ac:dyDescent="0.2">
      <c r="B752" s="830">
        <v>97</v>
      </c>
    </row>
    <row r="753" spans="2:2" hidden="1" x14ac:dyDescent="0.2">
      <c r="B753" s="830">
        <v>98</v>
      </c>
    </row>
    <row r="754" spans="2:2" hidden="1" x14ac:dyDescent="0.2">
      <c r="B754" s="830">
        <v>99</v>
      </c>
    </row>
    <row r="755" spans="2:2" hidden="1" x14ac:dyDescent="0.2">
      <c r="B755" s="830">
        <v>100</v>
      </c>
    </row>
    <row r="756" spans="2:2" hidden="1" x14ac:dyDescent="0.2">
      <c r="B756" s="830">
        <v>101</v>
      </c>
    </row>
    <row r="757" spans="2:2" hidden="1" x14ac:dyDescent="0.2">
      <c r="B757" s="830">
        <v>102</v>
      </c>
    </row>
    <row r="758" spans="2:2" hidden="1" x14ac:dyDescent="0.2">
      <c r="B758" s="830">
        <v>103</v>
      </c>
    </row>
    <row r="759" spans="2:2" hidden="1" x14ac:dyDescent="0.2">
      <c r="B759" s="830">
        <v>104</v>
      </c>
    </row>
    <row r="760" spans="2:2" hidden="1" x14ac:dyDescent="0.2">
      <c r="B760" s="830">
        <v>105</v>
      </c>
    </row>
    <row r="761" spans="2:2" hidden="1" x14ac:dyDescent="0.2">
      <c r="B761" s="830">
        <v>106</v>
      </c>
    </row>
    <row r="762" spans="2:2" hidden="1" x14ac:dyDescent="0.2">
      <c r="B762" s="830">
        <v>107</v>
      </c>
    </row>
    <row r="763" spans="2:2" hidden="1" x14ac:dyDescent="0.2">
      <c r="B763" s="830">
        <v>108</v>
      </c>
    </row>
    <row r="764" spans="2:2" hidden="1" x14ac:dyDescent="0.2">
      <c r="B764" s="830">
        <v>109</v>
      </c>
    </row>
    <row r="765" spans="2:2" hidden="1" x14ac:dyDescent="0.2">
      <c r="B765" s="830">
        <v>110</v>
      </c>
    </row>
    <row r="766" spans="2:2" hidden="1" x14ac:dyDescent="0.2">
      <c r="B766" s="830">
        <v>111</v>
      </c>
    </row>
    <row r="767" spans="2:2" hidden="1" x14ac:dyDescent="0.2">
      <c r="B767" s="830">
        <v>112</v>
      </c>
    </row>
    <row r="768" spans="2:2" hidden="1" x14ac:dyDescent="0.2">
      <c r="B768" s="830">
        <v>113</v>
      </c>
    </row>
    <row r="769" spans="2:2" hidden="1" x14ac:dyDescent="0.2">
      <c r="B769" s="830">
        <v>114</v>
      </c>
    </row>
    <row r="770" spans="2:2" hidden="1" x14ac:dyDescent="0.2">
      <c r="B770" s="830">
        <v>115</v>
      </c>
    </row>
    <row r="771" spans="2:2" hidden="1" x14ac:dyDescent="0.2">
      <c r="B771" s="830">
        <v>116</v>
      </c>
    </row>
    <row r="772" spans="2:2" hidden="1" x14ac:dyDescent="0.2">
      <c r="B772" s="830">
        <v>117</v>
      </c>
    </row>
    <row r="773" spans="2:2" hidden="1" x14ac:dyDescent="0.2">
      <c r="B773" s="830">
        <v>118</v>
      </c>
    </row>
    <row r="774" spans="2:2" hidden="1" x14ac:dyDescent="0.2">
      <c r="B774" s="830">
        <v>119</v>
      </c>
    </row>
    <row r="775" spans="2:2" hidden="1" x14ac:dyDescent="0.2">
      <c r="B775" s="830">
        <v>120</v>
      </c>
    </row>
    <row r="776" spans="2:2" hidden="1" x14ac:dyDescent="0.2">
      <c r="B776" s="830">
        <v>121</v>
      </c>
    </row>
    <row r="777" spans="2:2" hidden="1" x14ac:dyDescent="0.2">
      <c r="B777" s="830">
        <v>122</v>
      </c>
    </row>
    <row r="778" spans="2:2" hidden="1" x14ac:dyDescent="0.2">
      <c r="B778" s="830">
        <v>123</v>
      </c>
    </row>
    <row r="779" spans="2:2" hidden="1" x14ac:dyDescent="0.2">
      <c r="B779" s="830">
        <v>124</v>
      </c>
    </row>
    <row r="780" spans="2:2" hidden="1" x14ac:dyDescent="0.2">
      <c r="B780" s="830">
        <v>125</v>
      </c>
    </row>
    <row r="781" spans="2:2" hidden="1" x14ac:dyDescent="0.2">
      <c r="B781" s="830">
        <v>126</v>
      </c>
    </row>
    <row r="782" spans="2:2" hidden="1" x14ac:dyDescent="0.2">
      <c r="B782" s="830">
        <v>127</v>
      </c>
    </row>
    <row r="783" spans="2:2" hidden="1" x14ac:dyDescent="0.2">
      <c r="B783" s="830">
        <v>128</v>
      </c>
    </row>
    <row r="784" spans="2:2" hidden="1" x14ac:dyDescent="0.2">
      <c r="B784" s="830">
        <v>129</v>
      </c>
    </row>
    <row r="785" spans="2:2" hidden="1" x14ac:dyDescent="0.2">
      <c r="B785" s="830">
        <v>130</v>
      </c>
    </row>
    <row r="786" spans="2:2" hidden="1" x14ac:dyDescent="0.2">
      <c r="B786" s="830">
        <v>131</v>
      </c>
    </row>
    <row r="787" spans="2:2" hidden="1" x14ac:dyDescent="0.2">
      <c r="B787" s="830">
        <v>132</v>
      </c>
    </row>
    <row r="788" spans="2:2" hidden="1" x14ac:dyDescent="0.2">
      <c r="B788" s="830">
        <v>133</v>
      </c>
    </row>
    <row r="789" spans="2:2" hidden="1" x14ac:dyDescent="0.2">
      <c r="B789" s="830">
        <v>134</v>
      </c>
    </row>
    <row r="790" spans="2:2" hidden="1" x14ac:dyDescent="0.2">
      <c r="B790" s="830">
        <v>135</v>
      </c>
    </row>
    <row r="791" spans="2:2" hidden="1" x14ac:dyDescent="0.2">
      <c r="B791" s="830">
        <v>136</v>
      </c>
    </row>
    <row r="792" spans="2:2" hidden="1" x14ac:dyDescent="0.2">
      <c r="B792" s="830">
        <v>137</v>
      </c>
    </row>
    <row r="793" spans="2:2" hidden="1" x14ac:dyDescent="0.2">
      <c r="B793" s="830">
        <v>138</v>
      </c>
    </row>
    <row r="794" spans="2:2" hidden="1" x14ac:dyDescent="0.2">
      <c r="B794" s="830">
        <v>139</v>
      </c>
    </row>
    <row r="795" spans="2:2" hidden="1" x14ac:dyDescent="0.2">
      <c r="B795" s="830">
        <v>140</v>
      </c>
    </row>
    <row r="796" spans="2:2" hidden="1" x14ac:dyDescent="0.2">
      <c r="B796" s="830">
        <v>141</v>
      </c>
    </row>
    <row r="797" spans="2:2" hidden="1" x14ac:dyDescent="0.2">
      <c r="B797" s="830">
        <v>142</v>
      </c>
    </row>
    <row r="798" spans="2:2" hidden="1" x14ac:dyDescent="0.2">
      <c r="B798" s="830">
        <v>143</v>
      </c>
    </row>
    <row r="799" spans="2:2" hidden="1" x14ac:dyDescent="0.2">
      <c r="B799" s="830">
        <v>144</v>
      </c>
    </row>
    <row r="800" spans="2:2" hidden="1" x14ac:dyDescent="0.2">
      <c r="B800" s="830">
        <v>145</v>
      </c>
    </row>
    <row r="801" spans="2:2" hidden="1" x14ac:dyDescent="0.2">
      <c r="B801" s="830">
        <v>146</v>
      </c>
    </row>
    <row r="802" spans="2:2" hidden="1" x14ac:dyDescent="0.2">
      <c r="B802" s="830">
        <v>147</v>
      </c>
    </row>
    <row r="803" spans="2:2" hidden="1" x14ac:dyDescent="0.2">
      <c r="B803" s="830">
        <v>148</v>
      </c>
    </row>
    <row r="804" spans="2:2" hidden="1" x14ac:dyDescent="0.2">
      <c r="B804" s="830">
        <v>149</v>
      </c>
    </row>
    <row r="805" spans="2:2" hidden="1" x14ac:dyDescent="0.2">
      <c r="B805" s="830">
        <v>150</v>
      </c>
    </row>
    <row r="806" spans="2:2" hidden="1" x14ac:dyDescent="0.2"/>
    <row r="807" spans="2:2" hidden="1" x14ac:dyDescent="0.2"/>
    <row r="808" spans="2:2" hidden="1" x14ac:dyDescent="0.2"/>
    <row r="809" spans="2:2" hidden="1" x14ac:dyDescent="0.2"/>
  </sheetData>
  <sheetProtection sheet="1" objects="1" scenarios="1"/>
  <mergeCells count="1935">
    <mergeCell ref="C644:H644"/>
    <mergeCell ref="C645:H645"/>
    <mergeCell ref="B650:B653"/>
    <mergeCell ref="V407:AC407"/>
    <mergeCell ref="S411:T411"/>
    <mergeCell ref="S414:T414"/>
    <mergeCell ref="S418:T418"/>
    <mergeCell ref="U418:X418"/>
    <mergeCell ref="R422:R423"/>
    <mergeCell ref="V569:AC569"/>
    <mergeCell ref="R583:R584"/>
    <mergeCell ref="X583:Y584"/>
    <mergeCell ref="AB597:AC597"/>
    <mergeCell ref="R628:R629"/>
    <mergeCell ref="AB534:AD534"/>
    <mergeCell ref="AB535:AD535"/>
    <mergeCell ref="R431:R432"/>
    <mergeCell ref="R434:S439"/>
    <mergeCell ref="R445:S445"/>
    <mergeCell ref="AA460:AC460"/>
    <mergeCell ref="B582:O582"/>
    <mergeCell ref="B579:B581"/>
    <mergeCell ref="B584:N584"/>
    <mergeCell ref="C638:I638"/>
    <mergeCell ref="C635:D635"/>
    <mergeCell ref="H635:J635"/>
    <mergeCell ref="V524:AD524"/>
    <mergeCell ref="J638:N638"/>
    <mergeCell ref="K597:O601"/>
    <mergeCell ref="G567:O567"/>
    <mergeCell ref="K568:O568"/>
    <mergeCell ref="B574:O574"/>
    <mergeCell ref="BR191:CA191"/>
    <mergeCell ref="AH190:AM190"/>
    <mergeCell ref="AO190:AS190"/>
    <mergeCell ref="AU190:AX190"/>
    <mergeCell ref="AZ190:BG190"/>
    <mergeCell ref="BI190:BN190"/>
    <mergeCell ref="BR342:CA342"/>
    <mergeCell ref="W202:Z202"/>
    <mergeCell ref="W319:X319"/>
    <mergeCell ref="V214:X214"/>
    <mergeCell ref="AH266:AM266"/>
    <mergeCell ref="AO266:AS266"/>
    <mergeCell ref="AU266:AX266"/>
    <mergeCell ref="AZ266:BG266"/>
    <mergeCell ref="BI266:BN266"/>
    <mergeCell ref="BR267:CA267"/>
    <mergeCell ref="S341:X341"/>
    <mergeCell ref="AA341:AF341"/>
    <mergeCell ref="AH341:AM341"/>
    <mergeCell ref="V243:Y243"/>
    <mergeCell ref="S257:T257"/>
    <mergeCell ref="W278:Z278"/>
    <mergeCell ref="R286:S287"/>
    <mergeCell ref="V289:X289"/>
    <mergeCell ref="V318:Y318"/>
    <mergeCell ref="S332:T332"/>
    <mergeCell ref="S266:X266"/>
    <mergeCell ref="AA266:AF266"/>
    <mergeCell ref="U241:U242"/>
    <mergeCell ref="AC241:AD241"/>
    <mergeCell ref="W244:X244"/>
    <mergeCell ref="AO341:AS341"/>
    <mergeCell ref="W394:X395"/>
    <mergeCell ref="V396:Y396"/>
    <mergeCell ref="W252:X252"/>
    <mergeCell ref="W248:X248"/>
    <mergeCell ref="T241:T242"/>
    <mergeCell ref="Z386:AB386"/>
    <mergeCell ref="U316:U317"/>
    <mergeCell ref="T392:U392"/>
    <mergeCell ref="AA317:AD319"/>
    <mergeCell ref="AA291:AC294"/>
    <mergeCell ref="AA366:AC369"/>
    <mergeCell ref="R282:R284"/>
    <mergeCell ref="R309:R310"/>
    <mergeCell ref="W353:Z353"/>
    <mergeCell ref="R357:R359"/>
    <mergeCell ref="R361:S362"/>
    <mergeCell ref="T316:T317"/>
    <mergeCell ref="R313:R314"/>
    <mergeCell ref="BI114:BN114"/>
    <mergeCell ref="BR115:CA115"/>
    <mergeCell ref="S190:X190"/>
    <mergeCell ref="AA190:AF190"/>
    <mergeCell ref="R57:S58"/>
    <mergeCell ref="V60:X60"/>
    <mergeCell ref="W80:X80"/>
    <mergeCell ref="V90:Y90"/>
    <mergeCell ref="S105:T105"/>
    <mergeCell ref="W126:Z126"/>
    <mergeCell ref="R130:R132"/>
    <mergeCell ref="R134:S135"/>
    <mergeCell ref="V137:X137"/>
    <mergeCell ref="V167:Y167"/>
    <mergeCell ref="S181:T181"/>
    <mergeCell ref="S43:T43"/>
    <mergeCell ref="W50:Z50"/>
    <mergeCell ref="R54:R55"/>
    <mergeCell ref="Y61:Z64"/>
    <mergeCell ref="W95:X95"/>
    <mergeCell ref="W99:X99"/>
    <mergeCell ref="U88:U89"/>
    <mergeCell ref="AC165:AD165"/>
    <mergeCell ref="W172:X172"/>
    <mergeCell ref="W168:X168"/>
    <mergeCell ref="T165:T166"/>
    <mergeCell ref="U165:U166"/>
    <mergeCell ref="W176:X176"/>
    <mergeCell ref="R85:R86"/>
    <mergeCell ref="R81:R82"/>
    <mergeCell ref="R161:R162"/>
    <mergeCell ref="AA139:AC142"/>
    <mergeCell ref="AL32:AO32"/>
    <mergeCell ref="AX33:BC33"/>
    <mergeCell ref="AQ32:AT32"/>
    <mergeCell ref="S114:X114"/>
    <mergeCell ref="AA114:AF114"/>
    <mergeCell ref="AH114:AM114"/>
    <mergeCell ref="AO114:AS114"/>
    <mergeCell ref="AU114:AX114"/>
    <mergeCell ref="AZ114:BG114"/>
    <mergeCell ref="S32:V32"/>
    <mergeCell ref="X32:AA32"/>
    <mergeCell ref="AC32:AF32"/>
    <mergeCell ref="AH32:AJ32"/>
    <mergeCell ref="B292:D292"/>
    <mergeCell ref="I264:J264"/>
    <mergeCell ref="H279:J279"/>
    <mergeCell ref="E300:F300"/>
    <mergeCell ref="I266:J266"/>
    <mergeCell ref="G299:H299"/>
    <mergeCell ref="K289:O292"/>
    <mergeCell ref="I300:J300"/>
    <mergeCell ref="B293:D293"/>
    <mergeCell ref="I290:J290"/>
    <mergeCell ref="G291:H291"/>
    <mergeCell ref="G292:H292"/>
    <mergeCell ref="B294:D294"/>
    <mergeCell ref="B295:D295"/>
    <mergeCell ref="B296:D296"/>
    <mergeCell ref="B291:D291"/>
    <mergeCell ref="E291:F291"/>
    <mergeCell ref="B83:P83"/>
    <mergeCell ref="P60:P78"/>
    <mergeCell ref="AZ341:BG341"/>
    <mergeCell ref="BI341:BN341"/>
    <mergeCell ref="B310:O310"/>
    <mergeCell ref="G323:H323"/>
    <mergeCell ref="I323:J323"/>
    <mergeCell ref="E320:F320"/>
    <mergeCell ref="W323:X323"/>
    <mergeCell ref="W327:X327"/>
    <mergeCell ref="C328:D328"/>
    <mergeCell ref="E328:F328"/>
    <mergeCell ref="G328:H328"/>
    <mergeCell ref="I328:J328"/>
    <mergeCell ref="K328:O328"/>
    <mergeCell ref="C327:D327"/>
    <mergeCell ref="M341:N341"/>
    <mergeCell ref="C338:D338"/>
    <mergeCell ref="E338:F338"/>
    <mergeCell ref="I338:J338"/>
    <mergeCell ref="M338:N338"/>
    <mergeCell ref="E341:F341"/>
    <mergeCell ref="G341:H341"/>
    <mergeCell ref="I341:J341"/>
    <mergeCell ref="E340:F340"/>
    <mergeCell ref="E321:F321"/>
    <mergeCell ref="B332:O332"/>
    <mergeCell ref="C339:D339"/>
    <mergeCell ref="B313:O313"/>
    <mergeCell ref="G324:H324"/>
    <mergeCell ref="I324:J324"/>
    <mergeCell ref="F334:O334"/>
    <mergeCell ref="K341:L341"/>
    <mergeCell ref="K320:O320"/>
    <mergeCell ref="E365:F365"/>
    <mergeCell ref="B368:D368"/>
    <mergeCell ref="E368:F368"/>
    <mergeCell ref="E366:F366"/>
    <mergeCell ref="B367:D367"/>
    <mergeCell ref="I365:J365"/>
    <mergeCell ref="B372:D372"/>
    <mergeCell ref="B356:O356"/>
    <mergeCell ref="M347:N347"/>
    <mergeCell ref="L354:N354"/>
    <mergeCell ref="K340:L340"/>
    <mergeCell ref="K348:L348"/>
    <mergeCell ref="AU341:AX341"/>
    <mergeCell ref="I265:J265"/>
    <mergeCell ref="K265:L265"/>
    <mergeCell ref="M265:N265"/>
    <mergeCell ref="AA216:AC219"/>
    <mergeCell ref="G264:H264"/>
    <mergeCell ref="B301:D301"/>
    <mergeCell ref="V364:X364"/>
    <mergeCell ref="B314:O314"/>
    <mergeCell ref="I327:J327"/>
    <mergeCell ref="K318:O318"/>
    <mergeCell ref="K339:L339"/>
    <mergeCell ref="J330:N330"/>
    <mergeCell ref="J331:O331"/>
    <mergeCell ref="K342:L342"/>
    <mergeCell ref="G343:H343"/>
    <mergeCell ref="I343:J343"/>
    <mergeCell ref="G327:H327"/>
    <mergeCell ref="G321:O321"/>
    <mergeCell ref="M344:N344"/>
    <mergeCell ref="K326:N326"/>
    <mergeCell ref="E319:F319"/>
    <mergeCell ref="G319:H319"/>
    <mergeCell ref="E339:F339"/>
    <mergeCell ref="D333:E333"/>
    <mergeCell ref="F336:O336"/>
    <mergeCell ref="I339:J339"/>
    <mergeCell ref="D334:E334"/>
    <mergeCell ref="E344:F344"/>
    <mergeCell ref="B375:D375"/>
    <mergeCell ref="E375:F375"/>
    <mergeCell ref="B373:D373"/>
    <mergeCell ref="G375:H375"/>
    <mergeCell ref="I370:J370"/>
    <mergeCell ref="I373:J373"/>
    <mergeCell ref="G373:H373"/>
    <mergeCell ref="I366:J366"/>
    <mergeCell ref="E367:F367"/>
    <mergeCell ref="I372:J372"/>
    <mergeCell ref="G368:H368"/>
    <mergeCell ref="E372:F372"/>
    <mergeCell ref="B369:D369"/>
    <mergeCell ref="B370:D370"/>
    <mergeCell ref="B371:D371"/>
    <mergeCell ref="E369:F369"/>
    <mergeCell ref="E371:F371"/>
    <mergeCell ref="B374:D374"/>
    <mergeCell ref="G367:H367"/>
    <mergeCell ref="I367:J367"/>
    <mergeCell ref="E370:F370"/>
    <mergeCell ref="G364:J364"/>
    <mergeCell ref="G365:H365"/>
    <mergeCell ref="G254:O254"/>
    <mergeCell ref="G137:J137"/>
    <mergeCell ref="K114:L114"/>
    <mergeCell ref="G167:H167"/>
    <mergeCell ref="B118:O118"/>
    <mergeCell ref="G120:H120"/>
    <mergeCell ref="I120:J120"/>
    <mergeCell ref="K120:L120"/>
    <mergeCell ref="B140:D140"/>
    <mergeCell ref="G138:H138"/>
    <mergeCell ref="M120:N120"/>
    <mergeCell ref="I121:J121"/>
    <mergeCell ref="K167:O167"/>
    <mergeCell ref="C166:F166"/>
    <mergeCell ref="B152:D152"/>
    <mergeCell ref="G166:J166"/>
    <mergeCell ref="C115:D115"/>
    <mergeCell ref="E115:F115"/>
    <mergeCell ref="G115:H115"/>
    <mergeCell ref="I116:J116"/>
    <mergeCell ref="C117:D117"/>
    <mergeCell ref="E117:F117"/>
    <mergeCell ref="G117:H117"/>
    <mergeCell ref="I188:J188"/>
    <mergeCell ref="B147:D147"/>
    <mergeCell ref="B146:D146"/>
    <mergeCell ref="M115:N115"/>
    <mergeCell ref="M114:N114"/>
    <mergeCell ref="E121:F121"/>
    <mergeCell ref="G121:H121"/>
    <mergeCell ref="E191:F191"/>
    <mergeCell ref="G191:H191"/>
    <mergeCell ref="I90:J90"/>
    <mergeCell ref="I91:J91"/>
    <mergeCell ref="I92:J92"/>
    <mergeCell ref="K91:O91"/>
    <mergeCell ref="E93:F93"/>
    <mergeCell ref="K100:O100"/>
    <mergeCell ref="J102:N102"/>
    <mergeCell ref="K112:L112"/>
    <mergeCell ref="B110:O110"/>
    <mergeCell ref="C99:D99"/>
    <mergeCell ref="E101:F101"/>
    <mergeCell ref="K99:O99"/>
    <mergeCell ref="C97:D97"/>
    <mergeCell ref="C95:D95"/>
    <mergeCell ref="I95:J95"/>
    <mergeCell ref="E97:F97"/>
    <mergeCell ref="E96:F96"/>
    <mergeCell ref="I96:J96"/>
    <mergeCell ref="C101:D101"/>
    <mergeCell ref="E113:F113"/>
    <mergeCell ref="G113:H113"/>
    <mergeCell ref="I113:J113"/>
    <mergeCell ref="I114:J114"/>
    <mergeCell ref="I115:J115"/>
    <mergeCell ref="C114:D114"/>
    <mergeCell ref="E114:F114"/>
    <mergeCell ref="G114:H114"/>
    <mergeCell ref="F107:O107"/>
    <mergeCell ref="F108:O108"/>
    <mergeCell ref="B98:J98"/>
    <mergeCell ref="E71:F71"/>
    <mergeCell ref="K65:O69"/>
    <mergeCell ref="I77:J77"/>
    <mergeCell ref="K60:O64"/>
    <mergeCell ref="B75:D75"/>
    <mergeCell ref="E73:F73"/>
    <mergeCell ref="F109:O109"/>
    <mergeCell ref="C111:D111"/>
    <mergeCell ref="E61:F61"/>
    <mergeCell ref="G64:H64"/>
    <mergeCell ref="B63:D63"/>
    <mergeCell ref="K90:O90"/>
    <mergeCell ref="C89:F89"/>
    <mergeCell ref="I65:J65"/>
    <mergeCell ref="E70:F70"/>
    <mergeCell ref="G60:J60"/>
    <mergeCell ref="I61:J61"/>
    <mergeCell ref="G62:H62"/>
    <mergeCell ref="B87:O87"/>
    <mergeCell ref="B104:P104"/>
    <mergeCell ref="C100:D100"/>
    <mergeCell ref="P88:P103"/>
    <mergeCell ref="B106:C109"/>
    <mergeCell ref="G97:O97"/>
    <mergeCell ref="B94:J94"/>
    <mergeCell ref="D45:E45"/>
    <mergeCell ref="F45:O45"/>
    <mergeCell ref="H52:J52"/>
    <mergeCell ref="B74:D74"/>
    <mergeCell ref="B73:D73"/>
    <mergeCell ref="B58:N58"/>
    <mergeCell ref="C96:D96"/>
    <mergeCell ref="G95:H95"/>
    <mergeCell ref="B81:O81"/>
    <mergeCell ref="B84:O84"/>
    <mergeCell ref="B86:O86"/>
    <mergeCell ref="B77:D77"/>
    <mergeCell ref="E74:F74"/>
    <mergeCell ref="B71:D71"/>
    <mergeCell ref="B85:O85"/>
    <mergeCell ref="E68:F68"/>
    <mergeCell ref="E62:F62"/>
    <mergeCell ref="G75:H75"/>
    <mergeCell ref="I75:J75"/>
    <mergeCell ref="G77:H77"/>
    <mergeCell ref="B68:D68"/>
    <mergeCell ref="E65:F65"/>
    <mergeCell ref="E66:F66"/>
    <mergeCell ref="E72:F72"/>
    <mergeCell ref="F46:O46"/>
    <mergeCell ref="B59:O59"/>
    <mergeCell ref="E90:F90"/>
    <mergeCell ref="G90:H90"/>
    <mergeCell ref="L50:O50"/>
    <mergeCell ref="L51:N51"/>
    <mergeCell ref="H50:J50"/>
    <mergeCell ref="C50:G50"/>
    <mergeCell ref="B48:O48"/>
    <mergeCell ref="G300:H300"/>
    <mergeCell ref="F388:G388"/>
    <mergeCell ref="E373:F373"/>
    <mergeCell ref="H125:J125"/>
    <mergeCell ref="C324:D324"/>
    <mergeCell ref="I117:J117"/>
    <mergeCell ref="K116:L116"/>
    <mergeCell ref="M116:N116"/>
    <mergeCell ref="K117:L117"/>
    <mergeCell ref="M117:N117"/>
    <mergeCell ref="E116:F116"/>
    <mergeCell ref="G116:H116"/>
    <mergeCell ref="C122:D122"/>
    <mergeCell ref="E122:F122"/>
    <mergeCell ref="G122:H122"/>
    <mergeCell ref="E188:F188"/>
    <mergeCell ref="G188:H188"/>
    <mergeCell ref="M112:N112"/>
    <mergeCell ref="G112:H112"/>
    <mergeCell ref="I112:J112"/>
    <mergeCell ref="E112:F112"/>
    <mergeCell ref="J103:O103"/>
    <mergeCell ref="M121:N121"/>
    <mergeCell ref="C121:D121"/>
    <mergeCell ref="G89:J89"/>
    <mergeCell ref="K89:O89"/>
    <mergeCell ref="C113:D113"/>
    <mergeCell ref="B36:O36"/>
    <mergeCell ref="C38:D38"/>
    <mergeCell ref="E38:F38"/>
    <mergeCell ref="G38:H38"/>
    <mergeCell ref="I38:J38"/>
    <mergeCell ref="K38:L38"/>
    <mergeCell ref="M38:N38"/>
    <mergeCell ref="B80:P80"/>
    <mergeCell ref="B54:C55"/>
    <mergeCell ref="B76:D76"/>
    <mergeCell ref="B65:D65"/>
    <mergeCell ref="B62:D62"/>
    <mergeCell ref="E63:F63"/>
    <mergeCell ref="P84:P86"/>
    <mergeCell ref="M40:N40"/>
    <mergeCell ref="I40:J40"/>
    <mergeCell ref="I39:J39"/>
    <mergeCell ref="K39:L39"/>
    <mergeCell ref="M39:N39"/>
    <mergeCell ref="B42:O42"/>
    <mergeCell ref="K40:L40"/>
    <mergeCell ref="E76:F76"/>
    <mergeCell ref="C39:D39"/>
    <mergeCell ref="E39:F39"/>
    <mergeCell ref="C40:D40"/>
    <mergeCell ref="E40:F40"/>
    <mergeCell ref="G40:H40"/>
    <mergeCell ref="B41:O41"/>
    <mergeCell ref="B44:C47"/>
    <mergeCell ref="D44:E44"/>
    <mergeCell ref="F44:O44"/>
    <mergeCell ref="D46:E46"/>
    <mergeCell ref="E294:F294"/>
    <mergeCell ref="B304:D304"/>
    <mergeCell ref="E304:F304"/>
    <mergeCell ref="G303:H303"/>
    <mergeCell ref="I303:J303"/>
    <mergeCell ref="F333:O333"/>
    <mergeCell ref="M339:N339"/>
    <mergeCell ref="C280:G280"/>
    <mergeCell ref="H280:J280"/>
    <mergeCell ref="L280:N280"/>
    <mergeCell ref="M268:N268"/>
    <mergeCell ref="G268:H268"/>
    <mergeCell ref="I268:J268"/>
    <mergeCell ref="C269:D269"/>
    <mergeCell ref="E168:F168"/>
    <mergeCell ref="G168:H168"/>
    <mergeCell ref="I168:J168"/>
    <mergeCell ref="C176:D176"/>
    <mergeCell ref="C197:D197"/>
    <mergeCell ref="E197:F197"/>
    <mergeCell ref="K197:L197"/>
    <mergeCell ref="I197:J197"/>
    <mergeCell ref="K249:O249"/>
    <mergeCell ref="C250:D250"/>
    <mergeCell ref="E250:F250"/>
    <mergeCell ref="G250:O250"/>
    <mergeCell ref="B251:J251"/>
    <mergeCell ref="K251:N251"/>
    <mergeCell ref="E178:F178"/>
    <mergeCell ref="E193:F193"/>
    <mergeCell ref="F183:O183"/>
    <mergeCell ref="I192:J192"/>
    <mergeCell ref="C340:D340"/>
    <mergeCell ref="G340:H340"/>
    <mergeCell ref="E295:F295"/>
    <mergeCell ref="E296:F296"/>
    <mergeCell ref="I299:J299"/>
    <mergeCell ref="G301:H301"/>
    <mergeCell ref="I301:J301"/>
    <mergeCell ref="K293:O297"/>
    <mergeCell ref="G290:H290"/>
    <mergeCell ref="I291:J291"/>
    <mergeCell ref="E292:F292"/>
    <mergeCell ref="B311:P311"/>
    <mergeCell ref="G296:H296"/>
    <mergeCell ref="P289:P305"/>
    <mergeCell ref="C320:D320"/>
    <mergeCell ref="C319:D319"/>
    <mergeCell ref="K327:O327"/>
    <mergeCell ref="P316:P331"/>
    <mergeCell ref="C321:D321"/>
    <mergeCell ref="C325:D325"/>
    <mergeCell ref="E325:F325"/>
    <mergeCell ref="G325:O325"/>
    <mergeCell ref="B322:J322"/>
    <mergeCell ref="K322:N322"/>
    <mergeCell ref="G302:H302"/>
    <mergeCell ref="I294:J294"/>
    <mergeCell ref="B289:F289"/>
    <mergeCell ref="I297:J297"/>
    <mergeCell ref="G294:H294"/>
    <mergeCell ref="E297:F297"/>
    <mergeCell ref="G293:H293"/>
    <mergeCell ref="I295:J295"/>
    <mergeCell ref="B637:P637"/>
    <mergeCell ref="B1:C1"/>
    <mergeCell ref="D1:K1"/>
    <mergeCell ref="M1:P1"/>
    <mergeCell ref="K594:O596"/>
    <mergeCell ref="B555:O555"/>
    <mergeCell ref="B494:O494"/>
    <mergeCell ref="B526:O526"/>
    <mergeCell ref="M29:N29"/>
    <mergeCell ref="E569:F569"/>
    <mergeCell ref="G569:O569"/>
    <mergeCell ref="K30:L30"/>
    <mergeCell ref="M30:N30"/>
    <mergeCell ref="P6:P7"/>
    <mergeCell ref="B5:P5"/>
    <mergeCell ref="P234:P235"/>
    <mergeCell ref="B233:P233"/>
    <mergeCell ref="B164:O164"/>
    <mergeCell ref="C29:D29"/>
    <mergeCell ref="P9:P10"/>
    <mergeCell ref="C127:G127"/>
    <mergeCell ref="L127:N127"/>
    <mergeCell ref="B56:P56"/>
    <mergeCell ref="G73:H73"/>
    <mergeCell ref="B623:P623"/>
    <mergeCell ref="C636:D636"/>
    <mergeCell ref="B591:O591"/>
    <mergeCell ref="C580:O580"/>
    <mergeCell ref="E298:F298"/>
    <mergeCell ref="B299:D299"/>
    <mergeCell ref="E299:F299"/>
    <mergeCell ref="B300:D300"/>
    <mergeCell ref="H636:J636"/>
    <mergeCell ref="L636:M636"/>
    <mergeCell ref="O636:P636"/>
    <mergeCell ref="O631:P631"/>
    <mergeCell ref="C632:D632"/>
    <mergeCell ref="H632:J632"/>
    <mergeCell ref="L632:M632"/>
    <mergeCell ref="P586:P587"/>
    <mergeCell ref="B577:F577"/>
    <mergeCell ref="C634:D634"/>
    <mergeCell ref="H634:J634"/>
    <mergeCell ref="L634:M634"/>
    <mergeCell ref="O634:P634"/>
    <mergeCell ref="O632:P632"/>
    <mergeCell ref="C633:D633"/>
    <mergeCell ref="H633:J633"/>
    <mergeCell ref="L633:M633"/>
    <mergeCell ref="O635:P635"/>
    <mergeCell ref="L635:M635"/>
    <mergeCell ref="C631:D631"/>
    <mergeCell ref="C626:E626"/>
    <mergeCell ref="F626:P626"/>
    <mergeCell ref="B627:P627"/>
    <mergeCell ref="B599:D599"/>
    <mergeCell ref="E599:F599"/>
    <mergeCell ref="G599:H599"/>
    <mergeCell ref="B625:P625"/>
    <mergeCell ref="B624:P624"/>
    <mergeCell ref="C622:D622"/>
    <mergeCell ref="E595:F595"/>
    <mergeCell ref="O629:P629"/>
    <mergeCell ref="C630:D630"/>
    <mergeCell ref="H630:J630"/>
    <mergeCell ref="C629:D629"/>
    <mergeCell ref="O633:P633"/>
    <mergeCell ref="F629:G629"/>
    <mergeCell ref="H629:J629"/>
    <mergeCell ref="L629:M629"/>
    <mergeCell ref="L630:M630"/>
    <mergeCell ref="O630:P630"/>
    <mergeCell ref="H631:J631"/>
    <mergeCell ref="L631:M631"/>
    <mergeCell ref="I599:J599"/>
    <mergeCell ref="B608:D608"/>
    <mergeCell ref="E608:F608"/>
    <mergeCell ref="F622:G622"/>
    <mergeCell ref="I622:L622"/>
    <mergeCell ref="M622:P622"/>
    <mergeCell ref="M616:P616"/>
    <mergeCell ref="I616:L616"/>
    <mergeCell ref="M618:P618"/>
    <mergeCell ref="I615:L615"/>
    <mergeCell ref="M615:P615"/>
    <mergeCell ref="C615:D615"/>
    <mergeCell ref="B605:D605"/>
    <mergeCell ref="K603:O608"/>
    <mergeCell ref="B602:D602"/>
    <mergeCell ref="E602:F602"/>
    <mergeCell ref="B603:D603"/>
    <mergeCell ref="C621:D621"/>
    <mergeCell ref="C620:D620"/>
    <mergeCell ref="F620:G620"/>
    <mergeCell ref="I620:L620"/>
    <mergeCell ref="M621:P621"/>
    <mergeCell ref="F621:G621"/>
    <mergeCell ref="I621:L621"/>
    <mergeCell ref="C618:D618"/>
    <mergeCell ref="F618:G618"/>
    <mergeCell ref="I618:L618"/>
    <mergeCell ref="B606:D606"/>
    <mergeCell ref="B607:D607"/>
    <mergeCell ref="E607:F607"/>
    <mergeCell ref="B601:D601"/>
    <mergeCell ref="E605:F605"/>
    <mergeCell ref="B628:P628"/>
    <mergeCell ref="P594:P609"/>
    <mergeCell ref="G608:H608"/>
    <mergeCell ref="I608:J608"/>
    <mergeCell ref="M620:P620"/>
    <mergeCell ref="I619:L619"/>
    <mergeCell ref="M619:P619"/>
    <mergeCell ref="C619:D619"/>
    <mergeCell ref="F619:G619"/>
    <mergeCell ref="C617:D617"/>
    <mergeCell ref="F617:G617"/>
    <mergeCell ref="I617:L617"/>
    <mergeCell ref="M617:P617"/>
    <mergeCell ref="C616:D616"/>
    <mergeCell ref="F616:G616"/>
    <mergeCell ref="I602:J602"/>
    <mergeCell ref="G603:H603"/>
    <mergeCell ref="B609:O609"/>
    <mergeCell ref="G607:H607"/>
    <mergeCell ref="E606:F606"/>
    <mergeCell ref="F615:G615"/>
    <mergeCell ref="I603:J603"/>
    <mergeCell ref="B593:O593"/>
    <mergeCell ref="E603:F603"/>
    <mergeCell ref="G600:H600"/>
    <mergeCell ref="I600:J600"/>
    <mergeCell ref="E568:F568"/>
    <mergeCell ref="C566:D566"/>
    <mergeCell ref="C567:D567"/>
    <mergeCell ref="E601:F601"/>
    <mergeCell ref="B596:D596"/>
    <mergeCell ref="E566:F566"/>
    <mergeCell ref="I568:J568"/>
    <mergeCell ref="I577:O577"/>
    <mergeCell ref="B578:O578"/>
    <mergeCell ref="B575:J575"/>
    <mergeCell ref="K566:O566"/>
    <mergeCell ref="B590:O590"/>
    <mergeCell ref="B585:O585"/>
    <mergeCell ref="B586:O586"/>
    <mergeCell ref="L588:O588"/>
    <mergeCell ref="B587:O587"/>
    <mergeCell ref="B583:N583"/>
    <mergeCell ref="C579:O579"/>
    <mergeCell ref="G601:H601"/>
    <mergeCell ref="I601:J601"/>
    <mergeCell ref="E600:F600"/>
    <mergeCell ref="E596:F596"/>
    <mergeCell ref="B597:D597"/>
    <mergeCell ref="E597:F597"/>
    <mergeCell ref="B598:D598"/>
    <mergeCell ref="E598:F598"/>
    <mergeCell ref="B600:D600"/>
    <mergeCell ref="I598:J598"/>
    <mergeCell ref="B614:P614"/>
    <mergeCell ref="I595:J595"/>
    <mergeCell ref="G596:H596"/>
    <mergeCell ref="I596:J596"/>
    <mergeCell ref="I607:J607"/>
    <mergeCell ref="B613:P613"/>
    <mergeCell ref="P590:P591"/>
    <mergeCell ref="B612:P612"/>
    <mergeCell ref="B604:D604"/>
    <mergeCell ref="E563:F563"/>
    <mergeCell ref="E565:F565"/>
    <mergeCell ref="G561:J561"/>
    <mergeCell ref="K561:O561"/>
    <mergeCell ref="L570:O570"/>
    <mergeCell ref="F454:K454"/>
    <mergeCell ref="B570:K570"/>
    <mergeCell ref="C569:D569"/>
    <mergeCell ref="G566:H566"/>
    <mergeCell ref="G568:H568"/>
    <mergeCell ref="M495:N495"/>
    <mergeCell ref="B493:O493"/>
    <mergeCell ref="I566:J566"/>
    <mergeCell ref="C568:D568"/>
    <mergeCell ref="E604:F604"/>
    <mergeCell ref="G563:O563"/>
    <mergeCell ref="E531:F531"/>
    <mergeCell ref="B556:O556"/>
    <mergeCell ref="B524:P524"/>
    <mergeCell ref="B525:O525"/>
    <mergeCell ref="C581:O581"/>
    <mergeCell ref="B588:K588"/>
    <mergeCell ref="B477:O477"/>
    <mergeCell ref="E394:F394"/>
    <mergeCell ref="B410:O410"/>
    <mergeCell ref="H418:J418"/>
    <mergeCell ref="I402:J402"/>
    <mergeCell ref="K402:O402"/>
    <mergeCell ref="I422:O422"/>
    <mergeCell ref="H389:O389"/>
    <mergeCell ref="F390:G390"/>
    <mergeCell ref="H390:O390"/>
    <mergeCell ref="F386:G386"/>
    <mergeCell ref="B384:O384"/>
    <mergeCell ref="G394:H394"/>
    <mergeCell ref="G551:H551"/>
    <mergeCell ref="I551:J551"/>
    <mergeCell ref="G549:H549"/>
    <mergeCell ref="I549:J549"/>
    <mergeCell ref="K393:O393"/>
    <mergeCell ref="C394:D394"/>
    <mergeCell ref="I394:J394"/>
    <mergeCell ref="C395:D395"/>
    <mergeCell ref="E401:F401"/>
    <mergeCell ref="G402:H402"/>
    <mergeCell ref="C418:G418"/>
    <mergeCell ref="L519:M519"/>
    <mergeCell ref="F519:K519"/>
    <mergeCell ref="C402:D402"/>
    <mergeCell ref="M505:N505"/>
    <mergeCell ref="M487:N487"/>
    <mergeCell ref="M498:N498"/>
    <mergeCell ref="M499:N499"/>
    <mergeCell ref="M500:N500"/>
    <mergeCell ref="E403:F403"/>
    <mergeCell ref="B363:O363"/>
    <mergeCell ref="H353:J353"/>
    <mergeCell ref="L353:N353"/>
    <mergeCell ref="C354:G354"/>
    <mergeCell ref="H354:J354"/>
    <mergeCell ref="B362:N362"/>
    <mergeCell ref="E377:F377"/>
    <mergeCell ref="E374:F374"/>
    <mergeCell ref="E379:F379"/>
    <mergeCell ref="B376:D376"/>
    <mergeCell ref="P518:P523"/>
    <mergeCell ref="P516:P517"/>
    <mergeCell ref="L520:M520"/>
    <mergeCell ref="F520:K520"/>
    <mergeCell ref="G397:O397"/>
    <mergeCell ref="P411:P412"/>
    <mergeCell ref="E405:F405"/>
    <mergeCell ref="L514:O514"/>
    <mergeCell ref="M457:N457"/>
    <mergeCell ref="B453:P453"/>
    <mergeCell ref="I423:O423"/>
    <mergeCell ref="E395:F395"/>
    <mergeCell ref="E397:F397"/>
    <mergeCell ref="I400:J400"/>
    <mergeCell ref="L420:N420"/>
    <mergeCell ref="B409:O409"/>
    <mergeCell ref="B383:P383"/>
    <mergeCell ref="B385:O385"/>
    <mergeCell ref="H388:O388"/>
    <mergeCell ref="P364:P380"/>
    <mergeCell ref="B391:O391"/>
    <mergeCell ref="F389:G389"/>
    <mergeCell ref="H387:O387"/>
    <mergeCell ref="G374:H374"/>
    <mergeCell ref="I374:J374"/>
    <mergeCell ref="B366:D366"/>
    <mergeCell ref="G377:H377"/>
    <mergeCell ref="I377:J377"/>
    <mergeCell ref="G378:H378"/>
    <mergeCell ref="I378:J378"/>
    <mergeCell ref="B377:D377"/>
    <mergeCell ref="C357:D357"/>
    <mergeCell ref="B361:N361"/>
    <mergeCell ref="B365:D365"/>
    <mergeCell ref="K364:O367"/>
    <mergeCell ref="E376:F376"/>
    <mergeCell ref="E378:F378"/>
    <mergeCell ref="I369:J369"/>
    <mergeCell ref="G370:H370"/>
    <mergeCell ref="K368:O372"/>
    <mergeCell ref="B386:E386"/>
    <mergeCell ref="E357:O357"/>
    <mergeCell ref="C358:D358"/>
    <mergeCell ref="E358:O358"/>
    <mergeCell ref="C359:D359"/>
    <mergeCell ref="E359:O359"/>
    <mergeCell ref="G372:H372"/>
    <mergeCell ref="B379:D379"/>
    <mergeCell ref="G371:H371"/>
    <mergeCell ref="I371:J371"/>
    <mergeCell ref="G379:H379"/>
    <mergeCell ref="I379:J379"/>
    <mergeCell ref="K375:O379"/>
    <mergeCell ref="B360:O360"/>
    <mergeCell ref="B392:O392"/>
    <mergeCell ref="G399:J399"/>
    <mergeCell ref="K399:O399"/>
    <mergeCell ref="H386:O386"/>
    <mergeCell ref="B387:E390"/>
    <mergeCell ref="F387:G387"/>
    <mergeCell ref="B378:D378"/>
    <mergeCell ref="B398:O398"/>
    <mergeCell ref="B357:B359"/>
    <mergeCell ref="C323:D323"/>
    <mergeCell ref="E323:F323"/>
    <mergeCell ref="K324:O324"/>
    <mergeCell ref="K323:O323"/>
    <mergeCell ref="M342:N342"/>
    <mergeCell ref="C342:D342"/>
    <mergeCell ref="E342:F342"/>
    <mergeCell ref="H352:J352"/>
    <mergeCell ref="L352:O352"/>
    <mergeCell ref="I348:J348"/>
    <mergeCell ref="I349:J349"/>
    <mergeCell ref="K349:L349"/>
    <mergeCell ref="B350:O350"/>
    <mergeCell ref="C352:G352"/>
    <mergeCell ref="I344:J344"/>
    <mergeCell ref="I347:J347"/>
    <mergeCell ref="G348:H348"/>
    <mergeCell ref="C393:F393"/>
    <mergeCell ref="G393:J393"/>
    <mergeCell ref="C355:G355"/>
    <mergeCell ref="H355:J355"/>
    <mergeCell ref="L355:N355"/>
    <mergeCell ref="G347:H347"/>
    <mergeCell ref="K347:L347"/>
    <mergeCell ref="C347:D347"/>
    <mergeCell ref="E347:F347"/>
    <mergeCell ref="M340:N340"/>
    <mergeCell ref="B337:O337"/>
    <mergeCell ref="G339:H339"/>
    <mergeCell ref="G344:H344"/>
    <mergeCell ref="E324:F324"/>
    <mergeCell ref="P309:P310"/>
    <mergeCell ref="E330:I331"/>
    <mergeCell ref="C331:D331"/>
    <mergeCell ref="P312:P314"/>
    <mergeCell ref="B316:O316"/>
    <mergeCell ref="C317:F317"/>
    <mergeCell ref="G317:J317"/>
    <mergeCell ref="K317:O317"/>
    <mergeCell ref="G342:H342"/>
    <mergeCell ref="I342:J342"/>
    <mergeCell ref="D335:E335"/>
    <mergeCell ref="B312:O312"/>
    <mergeCell ref="F335:O335"/>
    <mergeCell ref="D336:E336"/>
    <mergeCell ref="B345:O345"/>
    <mergeCell ref="K343:L343"/>
    <mergeCell ref="M343:N343"/>
    <mergeCell ref="C344:D344"/>
    <mergeCell ref="C343:D343"/>
    <mergeCell ref="E343:F343"/>
    <mergeCell ref="K344:L344"/>
    <mergeCell ref="E318:F318"/>
    <mergeCell ref="G318:H318"/>
    <mergeCell ref="K319:O319"/>
    <mergeCell ref="C349:D349"/>
    <mergeCell ref="E349:F349"/>
    <mergeCell ref="M348:N348"/>
    <mergeCell ref="M349:N349"/>
    <mergeCell ref="C348:D348"/>
    <mergeCell ref="E348:F348"/>
    <mergeCell ref="G349:H349"/>
    <mergeCell ref="C353:G353"/>
    <mergeCell ref="I340:J340"/>
    <mergeCell ref="C282:D282"/>
    <mergeCell ref="E282:O282"/>
    <mergeCell ref="C283:D283"/>
    <mergeCell ref="E283:O283"/>
    <mergeCell ref="C284:D284"/>
    <mergeCell ref="C266:D266"/>
    <mergeCell ref="E266:F266"/>
    <mergeCell ref="G266:H266"/>
    <mergeCell ref="L278:N278"/>
    <mergeCell ref="M267:N267"/>
    <mergeCell ref="E269:F269"/>
    <mergeCell ref="G269:H269"/>
    <mergeCell ref="I269:J269"/>
    <mergeCell ref="K268:L268"/>
    <mergeCell ref="I272:J272"/>
    <mergeCell ref="K272:L272"/>
    <mergeCell ref="K273:L273"/>
    <mergeCell ref="M272:N272"/>
    <mergeCell ref="I273:J273"/>
    <mergeCell ref="M273:N273"/>
    <mergeCell ref="E273:F273"/>
    <mergeCell ref="C272:D272"/>
    <mergeCell ref="L279:N279"/>
    <mergeCell ref="I191:J191"/>
    <mergeCell ref="K191:L191"/>
    <mergeCell ref="M193:N193"/>
    <mergeCell ref="M191:N191"/>
    <mergeCell ref="C191:D191"/>
    <mergeCell ref="M197:N197"/>
    <mergeCell ref="C189:D189"/>
    <mergeCell ref="E189:F189"/>
    <mergeCell ref="G189:H189"/>
    <mergeCell ref="B194:O194"/>
    <mergeCell ref="C196:D196"/>
    <mergeCell ref="E196:F196"/>
    <mergeCell ref="G196:H196"/>
    <mergeCell ref="I196:J196"/>
    <mergeCell ref="K196:L196"/>
    <mergeCell ref="M196:N196"/>
    <mergeCell ref="K198:L198"/>
    <mergeCell ref="C198:D198"/>
    <mergeCell ref="M198:N198"/>
    <mergeCell ref="B134:N134"/>
    <mergeCell ref="L126:N126"/>
    <mergeCell ref="E169:F169"/>
    <mergeCell ref="G169:H169"/>
    <mergeCell ref="I169:J169"/>
    <mergeCell ref="K168:O168"/>
    <mergeCell ref="C167:D167"/>
    <mergeCell ref="E167:F167"/>
    <mergeCell ref="L204:N204"/>
    <mergeCell ref="C168:D168"/>
    <mergeCell ref="E139:F139"/>
    <mergeCell ref="B136:O136"/>
    <mergeCell ref="K137:O140"/>
    <mergeCell ref="K188:L188"/>
    <mergeCell ref="G193:H193"/>
    <mergeCell ref="I193:J193"/>
    <mergeCell ref="E190:F190"/>
    <mergeCell ref="G190:H190"/>
    <mergeCell ref="E192:F192"/>
    <mergeCell ref="G192:H192"/>
    <mergeCell ref="M189:N189"/>
    <mergeCell ref="C126:G126"/>
    <mergeCell ref="B129:O129"/>
    <mergeCell ref="M188:N188"/>
    <mergeCell ref="G197:H197"/>
    <mergeCell ref="F185:O185"/>
    <mergeCell ref="D183:E183"/>
    <mergeCell ref="F182:O182"/>
    <mergeCell ref="C188:D188"/>
    <mergeCell ref="C177:D177"/>
    <mergeCell ref="E177:F177"/>
    <mergeCell ref="G177:H177"/>
    <mergeCell ref="T6:T7"/>
    <mergeCell ref="B8:P8"/>
    <mergeCell ref="C18:D18"/>
    <mergeCell ref="C23:D23"/>
    <mergeCell ref="C20:D20"/>
    <mergeCell ref="C21:D21"/>
    <mergeCell ref="B15:P15"/>
    <mergeCell ref="G25:O25"/>
    <mergeCell ref="E25:F25"/>
    <mergeCell ref="E21:F21"/>
    <mergeCell ref="T10:Y10"/>
    <mergeCell ref="T16:U16"/>
    <mergeCell ref="W23:X23"/>
    <mergeCell ref="G23:H23"/>
    <mergeCell ref="C52:G52"/>
    <mergeCell ref="B57:N57"/>
    <mergeCell ref="G32:H32"/>
    <mergeCell ref="I32:J32"/>
    <mergeCell ref="M34:N34"/>
    <mergeCell ref="C33:D33"/>
    <mergeCell ref="E33:F33"/>
    <mergeCell ref="G33:H33"/>
    <mergeCell ref="I33:J33"/>
    <mergeCell ref="C34:D34"/>
    <mergeCell ref="E34:F34"/>
    <mergeCell ref="K33:L33"/>
    <mergeCell ref="M33:N33"/>
    <mergeCell ref="G35:H35"/>
    <mergeCell ref="F47:O47"/>
    <mergeCell ref="M31:N31"/>
    <mergeCell ref="D47:E47"/>
    <mergeCell ref="G39:H39"/>
    <mergeCell ref="B2:P2"/>
    <mergeCell ref="B3:P3"/>
    <mergeCell ref="B6:O6"/>
    <mergeCell ref="B7:O7"/>
    <mergeCell ref="C4:D4"/>
    <mergeCell ref="E4:F4"/>
    <mergeCell ref="G4:H4"/>
    <mergeCell ref="I4:J4"/>
    <mergeCell ref="I18:J18"/>
    <mergeCell ref="C17:F17"/>
    <mergeCell ref="G17:J17"/>
    <mergeCell ref="K20:O20"/>
    <mergeCell ref="K18:O18"/>
    <mergeCell ref="G18:H18"/>
    <mergeCell ref="K19:O19"/>
    <mergeCell ref="B9:O9"/>
    <mergeCell ref="B10:O10"/>
    <mergeCell ref="B16:O16"/>
    <mergeCell ref="N13:O13"/>
    <mergeCell ref="N14:O14"/>
    <mergeCell ref="B11:M14"/>
    <mergeCell ref="N11:O11"/>
    <mergeCell ref="C19:D19"/>
    <mergeCell ref="K17:O17"/>
    <mergeCell ref="K4:L4"/>
    <mergeCell ref="M4:N4"/>
    <mergeCell ref="P16:P27"/>
    <mergeCell ref="C25:D25"/>
    <mergeCell ref="N12:O12"/>
    <mergeCell ref="E18:F18"/>
    <mergeCell ref="G19:H19"/>
    <mergeCell ref="G20:H20"/>
    <mergeCell ref="I35:J35"/>
    <mergeCell ref="G34:H34"/>
    <mergeCell ref="I34:J34"/>
    <mergeCell ref="K34:L34"/>
    <mergeCell ref="K35:L35"/>
    <mergeCell ref="M35:N35"/>
    <mergeCell ref="C24:D24"/>
    <mergeCell ref="C35:D35"/>
    <mergeCell ref="E35:F35"/>
    <mergeCell ref="C27:D27"/>
    <mergeCell ref="E26:J27"/>
    <mergeCell ref="K32:L32"/>
    <mergeCell ref="M32:N32"/>
    <mergeCell ref="E29:F29"/>
    <mergeCell ref="I29:J29"/>
    <mergeCell ref="C31:D31"/>
    <mergeCell ref="E31:F31"/>
    <mergeCell ref="B28:O28"/>
    <mergeCell ref="G31:H31"/>
    <mergeCell ref="I31:J31"/>
    <mergeCell ref="C30:D30"/>
    <mergeCell ref="K31:L31"/>
    <mergeCell ref="G24:H24"/>
    <mergeCell ref="E24:F24"/>
    <mergeCell ref="I23:J23"/>
    <mergeCell ref="B69:D69"/>
    <mergeCell ref="B66:D66"/>
    <mergeCell ref="B72:D72"/>
    <mergeCell ref="E77:F77"/>
    <mergeCell ref="E75:F75"/>
    <mergeCell ref="E30:F30"/>
    <mergeCell ref="G30:H30"/>
    <mergeCell ref="K23:O23"/>
    <mergeCell ref="G21:O21"/>
    <mergeCell ref="I19:J19"/>
    <mergeCell ref="I20:J20"/>
    <mergeCell ref="I30:J30"/>
    <mergeCell ref="K22:N22"/>
    <mergeCell ref="B22:J22"/>
    <mergeCell ref="E19:F19"/>
    <mergeCell ref="E20:F20"/>
    <mergeCell ref="K26:N26"/>
    <mergeCell ref="K27:O27"/>
    <mergeCell ref="I24:J24"/>
    <mergeCell ref="K24:O24"/>
    <mergeCell ref="G72:H72"/>
    <mergeCell ref="I73:J73"/>
    <mergeCell ref="G74:H74"/>
    <mergeCell ref="I74:J74"/>
    <mergeCell ref="G76:H76"/>
    <mergeCell ref="I76:J76"/>
    <mergeCell ref="I72:J72"/>
    <mergeCell ref="C32:D32"/>
    <mergeCell ref="E32:F32"/>
    <mergeCell ref="B67:D67"/>
    <mergeCell ref="B61:D61"/>
    <mergeCell ref="G69:H69"/>
    <mergeCell ref="I69:J69"/>
    <mergeCell ref="I70:J70"/>
    <mergeCell ref="I64:J64"/>
    <mergeCell ref="G65:H65"/>
    <mergeCell ref="D55:E55"/>
    <mergeCell ref="L52:N52"/>
    <mergeCell ref="C51:G51"/>
    <mergeCell ref="H51:J51"/>
    <mergeCell ref="G67:H67"/>
    <mergeCell ref="I68:J68"/>
    <mergeCell ref="G70:H70"/>
    <mergeCell ref="I67:J67"/>
    <mergeCell ref="B64:D64"/>
    <mergeCell ref="B70:D70"/>
    <mergeCell ref="G68:H68"/>
    <mergeCell ref="B88:O88"/>
    <mergeCell ref="E69:F69"/>
    <mergeCell ref="E67:F67"/>
    <mergeCell ref="G71:H71"/>
    <mergeCell ref="B60:F60"/>
    <mergeCell ref="G61:H61"/>
    <mergeCell ref="W18:X18"/>
    <mergeCell ref="E23:F23"/>
    <mergeCell ref="V17:Y17"/>
    <mergeCell ref="G96:H96"/>
    <mergeCell ref="K95:O95"/>
    <mergeCell ref="K96:O96"/>
    <mergeCell ref="K94:N94"/>
    <mergeCell ref="W91:X91"/>
    <mergeCell ref="C92:D92"/>
    <mergeCell ref="C91:D91"/>
    <mergeCell ref="G91:H91"/>
    <mergeCell ref="E91:F91"/>
    <mergeCell ref="E92:F92"/>
    <mergeCell ref="B82:O82"/>
    <mergeCell ref="P81:P82"/>
    <mergeCell ref="K92:O92"/>
    <mergeCell ref="G92:H92"/>
    <mergeCell ref="C90:D90"/>
    <mergeCell ref="G93:O93"/>
    <mergeCell ref="T88:T89"/>
    <mergeCell ref="I71:J71"/>
    <mergeCell ref="G66:H66"/>
    <mergeCell ref="I66:J66"/>
    <mergeCell ref="E64:F64"/>
    <mergeCell ref="P50:P52"/>
    <mergeCell ref="F54:O54"/>
    <mergeCell ref="F55:O55"/>
    <mergeCell ref="B53:O53"/>
    <mergeCell ref="D54:E54"/>
    <mergeCell ref="I62:J62"/>
    <mergeCell ref="G63:H63"/>
    <mergeCell ref="I63:J63"/>
    <mergeCell ref="I177:J177"/>
    <mergeCell ref="K177:O177"/>
    <mergeCell ref="K190:L190"/>
    <mergeCell ref="C190:D190"/>
    <mergeCell ref="B186:O186"/>
    <mergeCell ref="M192:N192"/>
    <mergeCell ref="K193:L193"/>
    <mergeCell ref="F184:O184"/>
    <mergeCell ref="K189:L189"/>
    <mergeCell ref="D185:E185"/>
    <mergeCell ref="B160:O160"/>
    <mergeCell ref="R206:R208"/>
    <mergeCell ref="R210:S211"/>
    <mergeCell ref="R238:R239"/>
    <mergeCell ref="B234:O234"/>
    <mergeCell ref="R234:R235"/>
    <mergeCell ref="P214:P230"/>
    <mergeCell ref="P165:P180"/>
    <mergeCell ref="C174:D174"/>
    <mergeCell ref="E174:F174"/>
    <mergeCell ref="G174:O174"/>
    <mergeCell ref="E172:F172"/>
    <mergeCell ref="G172:H172"/>
    <mergeCell ref="I172:J172"/>
    <mergeCell ref="E170:F170"/>
    <mergeCell ref="G170:O170"/>
    <mergeCell ref="C169:D169"/>
    <mergeCell ref="E198:F198"/>
    <mergeCell ref="G198:H198"/>
    <mergeCell ref="E206:O206"/>
    <mergeCell ref="B209:O209"/>
    <mergeCell ref="B212:O212"/>
    <mergeCell ref="I151:J151"/>
    <mergeCell ref="G148:H148"/>
    <mergeCell ref="I148:J148"/>
    <mergeCell ref="G149:H149"/>
    <mergeCell ref="I149:J149"/>
    <mergeCell ref="G146:H146"/>
    <mergeCell ref="I146:J146"/>
    <mergeCell ref="G147:H147"/>
    <mergeCell ref="B137:F137"/>
    <mergeCell ref="R157:R158"/>
    <mergeCell ref="B158:O158"/>
    <mergeCell ref="B159:P159"/>
    <mergeCell ref="P157:P158"/>
    <mergeCell ref="B145:D145"/>
    <mergeCell ref="E145:F145"/>
    <mergeCell ref="C173:D173"/>
    <mergeCell ref="E173:F173"/>
    <mergeCell ref="P160:P162"/>
    <mergeCell ref="B139:D139"/>
    <mergeCell ref="B138:D138"/>
    <mergeCell ref="E138:F138"/>
    <mergeCell ref="I142:J142"/>
    <mergeCell ref="K245:O245"/>
    <mergeCell ref="G249:H249"/>
    <mergeCell ref="I249:J249"/>
    <mergeCell ref="B239:O239"/>
    <mergeCell ref="B222:D222"/>
    <mergeCell ref="B235:O235"/>
    <mergeCell ref="B236:P236"/>
    <mergeCell ref="I243:J243"/>
    <mergeCell ref="G246:O246"/>
    <mergeCell ref="C245:D245"/>
    <mergeCell ref="P201:P204"/>
    <mergeCell ref="C207:D207"/>
    <mergeCell ref="B206:B208"/>
    <mergeCell ref="C206:D206"/>
    <mergeCell ref="B216:D216"/>
    <mergeCell ref="E207:O207"/>
    <mergeCell ref="E216:F216"/>
    <mergeCell ref="G229:H229"/>
    <mergeCell ref="G221:H221"/>
    <mergeCell ref="P237:P239"/>
    <mergeCell ref="C201:G201"/>
    <mergeCell ref="H201:J201"/>
    <mergeCell ref="G228:H228"/>
    <mergeCell ref="B210:N210"/>
    <mergeCell ref="H203:J203"/>
    <mergeCell ref="G217:H217"/>
    <mergeCell ref="I217:J217"/>
    <mergeCell ref="E223:F223"/>
    <mergeCell ref="E221:F221"/>
    <mergeCell ref="C203:G203"/>
    <mergeCell ref="L203:N203"/>
    <mergeCell ref="B227:D227"/>
    <mergeCell ref="C208:D208"/>
    <mergeCell ref="E208:O208"/>
    <mergeCell ref="P125:P128"/>
    <mergeCell ref="B156:P156"/>
    <mergeCell ref="L125:O125"/>
    <mergeCell ref="G152:H152"/>
    <mergeCell ref="B199:O199"/>
    <mergeCell ref="K166:O166"/>
    <mergeCell ref="B142:D142"/>
    <mergeCell ref="B143:D143"/>
    <mergeCell ref="E147:F147"/>
    <mergeCell ref="E142:F142"/>
    <mergeCell ref="E148:F148"/>
    <mergeCell ref="I138:J138"/>
    <mergeCell ref="G139:H139"/>
    <mergeCell ref="I139:J139"/>
    <mergeCell ref="G140:H140"/>
    <mergeCell ref="I140:J140"/>
    <mergeCell ref="G151:H151"/>
    <mergeCell ref="E143:F143"/>
    <mergeCell ref="K192:L192"/>
    <mergeCell ref="B150:D150"/>
    <mergeCell ref="B149:D149"/>
    <mergeCell ref="B148:D148"/>
    <mergeCell ref="P137:P153"/>
    <mergeCell ref="E152:F152"/>
    <mergeCell ref="E149:F149"/>
    <mergeCell ref="I150:J150"/>
    <mergeCell ref="G141:H141"/>
    <mergeCell ref="G144:H144"/>
    <mergeCell ref="I144:J144"/>
    <mergeCell ref="G142:H142"/>
    <mergeCell ref="B240:O240"/>
    <mergeCell ref="B213:O213"/>
    <mergeCell ref="G218:H218"/>
    <mergeCell ref="I218:J218"/>
    <mergeCell ref="G215:H215"/>
    <mergeCell ref="I215:J215"/>
    <mergeCell ref="G216:H216"/>
    <mergeCell ref="I229:J229"/>
    <mergeCell ref="I228:J228"/>
    <mergeCell ref="E220:F220"/>
    <mergeCell ref="E218:F218"/>
    <mergeCell ref="B218:D218"/>
    <mergeCell ref="B223:D223"/>
    <mergeCell ref="G245:H245"/>
    <mergeCell ref="E243:F243"/>
    <mergeCell ref="C246:D246"/>
    <mergeCell ref="E246:F246"/>
    <mergeCell ref="C244:D244"/>
    <mergeCell ref="I244:J244"/>
    <mergeCell ref="K244:O244"/>
    <mergeCell ref="G243:H243"/>
    <mergeCell ref="I225:J225"/>
    <mergeCell ref="E222:F222"/>
    <mergeCell ref="B219:D219"/>
    <mergeCell ref="E224:F224"/>
    <mergeCell ref="I216:J216"/>
    <mergeCell ref="I221:J221"/>
    <mergeCell ref="G222:H222"/>
    <mergeCell ref="I222:J222"/>
    <mergeCell ref="G223:H223"/>
    <mergeCell ref="I223:J223"/>
    <mergeCell ref="G224:H224"/>
    <mergeCell ref="C243:D243"/>
    <mergeCell ref="E265:F265"/>
    <mergeCell ref="K243:O243"/>
    <mergeCell ref="I245:J245"/>
    <mergeCell ref="I293:J293"/>
    <mergeCell ref="I267:J267"/>
    <mergeCell ref="C267:D267"/>
    <mergeCell ref="E272:F272"/>
    <mergeCell ref="K269:L269"/>
    <mergeCell ref="M269:N269"/>
    <mergeCell ref="E274:F274"/>
    <mergeCell ref="K267:L267"/>
    <mergeCell ref="E290:F290"/>
    <mergeCell ref="E244:F244"/>
    <mergeCell ref="C264:D264"/>
    <mergeCell ref="F261:O261"/>
    <mergeCell ref="I292:J292"/>
    <mergeCell ref="M266:N266"/>
    <mergeCell ref="C252:D252"/>
    <mergeCell ref="E252:F252"/>
    <mergeCell ref="G252:H252"/>
    <mergeCell ref="I252:J252"/>
    <mergeCell ref="K252:O252"/>
    <mergeCell ref="C248:D248"/>
    <mergeCell ref="G289:J289"/>
    <mergeCell ref="B281:O281"/>
    <mergeCell ref="B282:B284"/>
    <mergeCell ref="G244:H244"/>
    <mergeCell ref="B247:J247"/>
    <mergeCell ref="L277:O277"/>
    <mergeCell ref="B270:O270"/>
    <mergeCell ref="E268:F268"/>
    <mergeCell ref="B241:O241"/>
    <mergeCell ref="J255:N255"/>
    <mergeCell ref="J256:O256"/>
    <mergeCell ref="D258:E258"/>
    <mergeCell ref="C204:G204"/>
    <mergeCell ref="E217:F217"/>
    <mergeCell ref="B221:D221"/>
    <mergeCell ref="B237:O237"/>
    <mergeCell ref="B238:O238"/>
    <mergeCell ref="E228:F228"/>
    <mergeCell ref="B225:D225"/>
    <mergeCell ref="E225:F225"/>
    <mergeCell ref="B226:D226"/>
    <mergeCell ref="E226:F226"/>
    <mergeCell ref="B220:D220"/>
    <mergeCell ref="B228:D228"/>
    <mergeCell ref="B215:D215"/>
    <mergeCell ref="E215:F215"/>
    <mergeCell ref="B214:F214"/>
    <mergeCell ref="G214:J214"/>
    <mergeCell ref="G242:J242"/>
    <mergeCell ref="K242:O242"/>
    <mergeCell ref="B229:D229"/>
    <mergeCell ref="E229:F229"/>
    <mergeCell ref="B217:D217"/>
    <mergeCell ref="H204:J204"/>
    <mergeCell ref="B205:O205"/>
    <mergeCell ref="I227:J227"/>
    <mergeCell ref="G225:H225"/>
    <mergeCell ref="B257:O257"/>
    <mergeCell ref="B258:C261"/>
    <mergeCell ref="E227:F227"/>
    <mergeCell ref="P241:P256"/>
    <mergeCell ref="I248:J248"/>
    <mergeCell ref="C242:F242"/>
    <mergeCell ref="I368:J368"/>
    <mergeCell ref="P277:P280"/>
    <mergeCell ref="P352:P355"/>
    <mergeCell ref="G304:H304"/>
    <mergeCell ref="I304:J304"/>
    <mergeCell ref="G320:H320"/>
    <mergeCell ref="I320:J320"/>
    <mergeCell ref="C318:D318"/>
    <mergeCell ref="G329:O329"/>
    <mergeCell ref="B326:J326"/>
    <mergeCell ref="E293:F293"/>
    <mergeCell ref="B285:O285"/>
    <mergeCell ref="B288:O288"/>
    <mergeCell ref="B286:N286"/>
    <mergeCell ref="C265:D265"/>
    <mergeCell ref="B262:O262"/>
    <mergeCell ref="E284:O284"/>
    <mergeCell ref="C268:D268"/>
    <mergeCell ref="C253:D253"/>
    <mergeCell ref="E267:F267"/>
    <mergeCell ref="E248:F248"/>
    <mergeCell ref="B309:O309"/>
    <mergeCell ref="G295:H295"/>
    <mergeCell ref="B287:N287"/>
    <mergeCell ref="B290:D290"/>
    <mergeCell ref="B303:D303"/>
    <mergeCell ref="E303:F303"/>
    <mergeCell ref="E301:F301"/>
    <mergeCell ref="K274:L274"/>
    <mergeCell ref="AM392:AM395"/>
    <mergeCell ref="AL392:AL395"/>
    <mergeCell ref="AK392:AK395"/>
    <mergeCell ref="I395:J395"/>
    <mergeCell ref="K394:O394"/>
    <mergeCell ref="K395:O395"/>
    <mergeCell ref="AJ392:AJ395"/>
    <mergeCell ref="AD395:AG395"/>
    <mergeCell ref="P392:P397"/>
    <mergeCell ref="AL403:AL406"/>
    <mergeCell ref="P399:P407"/>
    <mergeCell ref="W400:X400"/>
    <mergeCell ref="AD404:AG404"/>
    <mergeCell ref="V393:Y393"/>
    <mergeCell ref="K400:O400"/>
    <mergeCell ref="C399:F399"/>
    <mergeCell ref="I406:J406"/>
    <mergeCell ref="G407:O407"/>
    <mergeCell ref="G401:O401"/>
    <mergeCell ref="C403:D403"/>
    <mergeCell ref="AD403:AG403"/>
    <mergeCell ref="G400:H400"/>
    <mergeCell ref="E402:F402"/>
    <mergeCell ref="C400:D400"/>
    <mergeCell ref="C407:D407"/>
    <mergeCell ref="G406:H406"/>
    <mergeCell ref="C401:D401"/>
    <mergeCell ref="C397:D397"/>
    <mergeCell ref="G395:H395"/>
    <mergeCell ref="AM403:AM406"/>
    <mergeCell ref="AJ403:AJ406"/>
    <mergeCell ref="AK403:AK406"/>
    <mergeCell ref="B414:O414"/>
    <mergeCell ref="C412:O412"/>
    <mergeCell ref="B527:F527"/>
    <mergeCell ref="K531:O537"/>
    <mergeCell ref="C518:E518"/>
    <mergeCell ref="E406:F406"/>
    <mergeCell ref="F483:K483"/>
    <mergeCell ref="F474:K474"/>
    <mergeCell ref="F446:K446"/>
    <mergeCell ref="M468:N468"/>
    <mergeCell ref="E535:F535"/>
    <mergeCell ref="M502:N502"/>
    <mergeCell ref="N522:O522"/>
    <mergeCell ref="C521:E521"/>
    <mergeCell ref="N520:O520"/>
    <mergeCell ref="N521:O521"/>
    <mergeCell ref="B512:O512"/>
    <mergeCell ref="B532:D532"/>
    <mergeCell ref="B514:K514"/>
    <mergeCell ref="I531:J531"/>
    <mergeCell ref="G532:H532"/>
    <mergeCell ref="F501:K501"/>
    <mergeCell ref="F495:K495"/>
    <mergeCell ref="G422:H422"/>
    <mergeCell ref="B444:K444"/>
    <mergeCell ref="H419:J419"/>
    <mergeCell ref="L419:N419"/>
    <mergeCell ref="M488:N488"/>
    <mergeCell ref="F464:K464"/>
    <mergeCell ref="M456:N456"/>
    <mergeCell ref="H427:J427"/>
    <mergeCell ref="K427:L427"/>
    <mergeCell ref="K428:L428"/>
    <mergeCell ref="H429:J429"/>
    <mergeCell ref="F462:K462"/>
    <mergeCell ref="M467:N467"/>
    <mergeCell ref="F461:K461"/>
    <mergeCell ref="M465:O465"/>
    <mergeCell ref="B429:F429"/>
    <mergeCell ref="B431:F431"/>
    <mergeCell ref="M472:N472"/>
    <mergeCell ref="B442:P442"/>
    <mergeCell ref="B437:O437"/>
    <mergeCell ref="B438:F439"/>
    <mergeCell ref="L438:N438"/>
    <mergeCell ref="L439:N439"/>
    <mergeCell ref="G439:K439"/>
    <mergeCell ref="G431:N431"/>
    <mergeCell ref="F467:K467"/>
    <mergeCell ref="F470:K470"/>
    <mergeCell ref="F463:K463"/>
    <mergeCell ref="W562:X562"/>
    <mergeCell ref="B557:O557"/>
    <mergeCell ref="I548:J548"/>
    <mergeCell ref="B559:O559"/>
    <mergeCell ref="E528:F528"/>
    <mergeCell ref="M470:N470"/>
    <mergeCell ref="M474:N474"/>
    <mergeCell ref="F475:K475"/>
    <mergeCell ref="M496:N496"/>
    <mergeCell ref="M497:N497"/>
    <mergeCell ref="F480:K480"/>
    <mergeCell ref="M445:N445"/>
    <mergeCell ref="F456:K456"/>
    <mergeCell ref="M450:N450"/>
    <mergeCell ref="F489:K489"/>
    <mergeCell ref="M489:N489"/>
    <mergeCell ref="F488:K488"/>
    <mergeCell ref="F521:K521"/>
    <mergeCell ref="B528:D528"/>
    <mergeCell ref="B451:O451"/>
    <mergeCell ref="F449:K449"/>
    <mergeCell ref="M461:N461"/>
    <mergeCell ref="M462:N462"/>
    <mergeCell ref="M463:N463"/>
    <mergeCell ref="F448:K448"/>
    <mergeCell ref="B517:O517"/>
    <mergeCell ref="B515:O515"/>
    <mergeCell ref="B446:D450"/>
    <mergeCell ref="B523:O523"/>
    <mergeCell ref="B558:O558"/>
    <mergeCell ref="M479:N479"/>
    <mergeCell ref="M469:N469"/>
    <mergeCell ref="K564:O564"/>
    <mergeCell ref="AL565:AL568"/>
    <mergeCell ref="AM565:AM568"/>
    <mergeCell ref="AJ565:AJ568"/>
    <mergeCell ref="AK565:AK568"/>
    <mergeCell ref="E550:F550"/>
    <mergeCell ref="B547:D547"/>
    <mergeCell ref="B550:D550"/>
    <mergeCell ref="E547:F547"/>
    <mergeCell ref="E548:F548"/>
    <mergeCell ref="B548:D548"/>
    <mergeCell ref="B553:D553"/>
    <mergeCell ref="E553:F553"/>
    <mergeCell ref="B551:D551"/>
    <mergeCell ref="B552:D552"/>
    <mergeCell ref="E551:F551"/>
    <mergeCell ref="E552:F552"/>
    <mergeCell ref="V561:Y561"/>
    <mergeCell ref="T560:U560"/>
    <mergeCell ref="AI565:AI568"/>
    <mergeCell ref="C563:D563"/>
    <mergeCell ref="C564:D564"/>
    <mergeCell ref="C565:D565"/>
    <mergeCell ref="AD565:AG565"/>
    <mergeCell ref="AD566:AG566"/>
    <mergeCell ref="B560:O560"/>
    <mergeCell ref="C562:D562"/>
    <mergeCell ref="G565:O565"/>
    <mergeCell ref="G562:H562"/>
    <mergeCell ref="C561:F561"/>
    <mergeCell ref="E549:F549"/>
    <mergeCell ref="G547:H547"/>
    <mergeCell ref="G530:H530"/>
    <mergeCell ref="I530:J530"/>
    <mergeCell ref="I547:J547"/>
    <mergeCell ref="G534:H534"/>
    <mergeCell ref="I533:J533"/>
    <mergeCell ref="G564:H564"/>
    <mergeCell ref="B536:D536"/>
    <mergeCell ref="B537:D537"/>
    <mergeCell ref="E537:F537"/>
    <mergeCell ref="B533:D533"/>
    <mergeCell ref="G577:H577"/>
    <mergeCell ref="G548:H548"/>
    <mergeCell ref="G538:H538"/>
    <mergeCell ref="I538:J538"/>
    <mergeCell ref="B538:D538"/>
    <mergeCell ref="B592:O592"/>
    <mergeCell ref="B572:O572"/>
    <mergeCell ref="B571:O571"/>
    <mergeCell ref="E562:F562"/>
    <mergeCell ref="K562:O562"/>
    <mergeCell ref="B541:D541"/>
    <mergeCell ref="E541:F541"/>
    <mergeCell ref="B539:D539"/>
    <mergeCell ref="E539:F539"/>
    <mergeCell ref="E538:F538"/>
    <mergeCell ref="B542:D542"/>
    <mergeCell ref="G553:H553"/>
    <mergeCell ref="I553:J553"/>
    <mergeCell ref="E542:F542"/>
    <mergeCell ref="B535:D535"/>
    <mergeCell ref="B545:B546"/>
    <mergeCell ref="G544:H544"/>
    <mergeCell ref="G595:H595"/>
    <mergeCell ref="B589:O589"/>
    <mergeCell ref="B595:D595"/>
    <mergeCell ref="L418:O418"/>
    <mergeCell ref="G396:O396"/>
    <mergeCell ref="H426:O426"/>
    <mergeCell ref="B428:G428"/>
    <mergeCell ref="C404:D404"/>
    <mergeCell ref="C405:D405"/>
    <mergeCell ref="C416:O416"/>
    <mergeCell ref="C406:D406"/>
    <mergeCell ref="C413:O413"/>
    <mergeCell ref="I404:J404"/>
    <mergeCell ref="C415:O415"/>
    <mergeCell ref="E404:F404"/>
    <mergeCell ref="B421:O421"/>
    <mergeCell ref="B422:F422"/>
    <mergeCell ref="E407:F407"/>
    <mergeCell ref="F450:K450"/>
    <mergeCell ref="B452:O452"/>
    <mergeCell ref="G423:H423"/>
    <mergeCell ref="B424:O424"/>
    <mergeCell ref="G404:H404"/>
    <mergeCell ref="C396:D396"/>
    <mergeCell ref="G403:O403"/>
    <mergeCell ref="G405:O405"/>
    <mergeCell ref="K404:O404"/>
    <mergeCell ref="K406:O406"/>
    <mergeCell ref="G434:K434"/>
    <mergeCell ref="L434:N434"/>
    <mergeCell ref="H430:J430"/>
    <mergeCell ref="K430:L430"/>
    <mergeCell ref="B426:F426"/>
    <mergeCell ref="C419:G419"/>
    <mergeCell ref="B411:O411"/>
    <mergeCell ref="E532:F532"/>
    <mergeCell ref="B531:D531"/>
    <mergeCell ref="G540:H540"/>
    <mergeCell ref="I550:J550"/>
    <mergeCell ref="G552:H552"/>
    <mergeCell ref="I552:J552"/>
    <mergeCell ref="M486:N486"/>
    <mergeCell ref="G438:K438"/>
    <mergeCell ref="P512:P513"/>
    <mergeCell ref="G541:H541"/>
    <mergeCell ref="I541:J541"/>
    <mergeCell ref="G542:H542"/>
    <mergeCell ref="B540:D540"/>
    <mergeCell ref="P427:P430"/>
    <mergeCell ref="I543:J543"/>
    <mergeCell ref="I535:J535"/>
    <mergeCell ref="G536:H536"/>
    <mergeCell ref="P438:P439"/>
    <mergeCell ref="B433:O433"/>
    <mergeCell ref="M449:N449"/>
    <mergeCell ref="B465:L465"/>
    <mergeCell ref="F497:K497"/>
    <mergeCell ref="F502:K502"/>
    <mergeCell ref="M471:N471"/>
    <mergeCell ref="E540:F540"/>
    <mergeCell ref="F476:K476"/>
    <mergeCell ref="M476:N476"/>
    <mergeCell ref="M473:N473"/>
    <mergeCell ref="F468:K468"/>
    <mergeCell ref="B543:B544"/>
    <mergeCell ref="B549:D549"/>
    <mergeCell ref="I536:J536"/>
    <mergeCell ref="G537:H537"/>
    <mergeCell ref="I542:J542"/>
    <mergeCell ref="G546:H546"/>
    <mergeCell ref="G543:H543"/>
    <mergeCell ref="I564:J564"/>
    <mergeCell ref="K575:O575"/>
    <mergeCell ref="E573:O573"/>
    <mergeCell ref="B573:D573"/>
    <mergeCell ref="E564:F564"/>
    <mergeCell ref="E567:F567"/>
    <mergeCell ref="G550:H550"/>
    <mergeCell ref="M491:N491"/>
    <mergeCell ref="K527:O530"/>
    <mergeCell ref="I534:J534"/>
    <mergeCell ref="E529:F529"/>
    <mergeCell ref="E530:F530"/>
    <mergeCell ref="L518:M518"/>
    <mergeCell ref="L521:M521"/>
    <mergeCell ref="L522:M522"/>
    <mergeCell ref="N518:O518"/>
    <mergeCell ref="N519:O519"/>
    <mergeCell ref="B506:O506"/>
    <mergeCell ref="B508:O508"/>
    <mergeCell ref="M501:N501"/>
    <mergeCell ref="C522:E522"/>
    <mergeCell ref="G533:H533"/>
    <mergeCell ref="C519:E519"/>
    <mergeCell ref="C520:E520"/>
    <mergeCell ref="G529:H529"/>
    <mergeCell ref="I529:J529"/>
    <mergeCell ref="I532:J532"/>
    <mergeCell ref="G527:J527"/>
    <mergeCell ref="I562:J562"/>
    <mergeCell ref="K538:O543"/>
    <mergeCell ref="I546:J546"/>
    <mergeCell ref="F491:K491"/>
    <mergeCell ref="I99:J99"/>
    <mergeCell ref="E99:F99"/>
    <mergeCell ref="K98:N98"/>
    <mergeCell ref="G101:O101"/>
    <mergeCell ref="L128:N128"/>
    <mergeCell ref="E130:O130"/>
    <mergeCell ref="E131:O131"/>
    <mergeCell ref="K141:O145"/>
    <mergeCell ref="K115:L115"/>
    <mergeCell ref="G99:H99"/>
    <mergeCell ref="I100:J100"/>
    <mergeCell ref="G100:H100"/>
    <mergeCell ref="D106:E106"/>
    <mergeCell ref="D107:E107"/>
    <mergeCell ref="D108:E108"/>
    <mergeCell ref="B105:O105"/>
    <mergeCell ref="C112:D112"/>
    <mergeCell ref="E141:F141"/>
    <mergeCell ref="I141:J141"/>
    <mergeCell ref="E111:F111"/>
    <mergeCell ref="I111:J111"/>
    <mergeCell ref="M111:N111"/>
    <mergeCell ref="E100:F100"/>
    <mergeCell ref="D109:E109"/>
    <mergeCell ref="C120:D120"/>
    <mergeCell ref="B135:N135"/>
    <mergeCell ref="B133:O133"/>
    <mergeCell ref="K121:L121"/>
    <mergeCell ref="I226:J226"/>
    <mergeCell ref="G227:H227"/>
    <mergeCell ref="E219:F219"/>
    <mergeCell ref="G173:H173"/>
    <mergeCell ref="I173:J173"/>
    <mergeCell ref="K173:O173"/>
    <mergeCell ref="E176:F176"/>
    <mergeCell ref="I176:J176"/>
    <mergeCell ref="C93:D93"/>
    <mergeCell ref="L201:O201"/>
    <mergeCell ref="C202:G202"/>
    <mergeCell ref="H202:J202"/>
    <mergeCell ref="L202:N202"/>
    <mergeCell ref="B211:N211"/>
    <mergeCell ref="K214:O217"/>
    <mergeCell ref="K218:O222"/>
    <mergeCell ref="K122:L122"/>
    <mergeCell ref="M122:N122"/>
    <mergeCell ref="I122:J122"/>
    <mergeCell ref="B123:O123"/>
    <mergeCell ref="B130:B132"/>
    <mergeCell ref="B157:O157"/>
    <mergeCell ref="C192:D192"/>
    <mergeCell ref="C128:G128"/>
    <mergeCell ref="F106:O106"/>
    <mergeCell ref="K113:L113"/>
    <mergeCell ref="M113:N113"/>
    <mergeCell ref="C116:D116"/>
    <mergeCell ref="E95:F95"/>
    <mergeCell ref="E120:F120"/>
    <mergeCell ref="E144:F144"/>
    <mergeCell ref="B141:D141"/>
    <mergeCell ref="B144:D144"/>
    <mergeCell ref="C130:D130"/>
    <mergeCell ref="C131:D131"/>
    <mergeCell ref="C125:G125"/>
    <mergeCell ref="H126:J126"/>
    <mergeCell ref="H127:J127"/>
    <mergeCell ref="H128:J128"/>
    <mergeCell ref="K247:N247"/>
    <mergeCell ref="E132:O132"/>
    <mergeCell ref="C132:D132"/>
    <mergeCell ref="E151:F151"/>
    <mergeCell ref="E140:F140"/>
    <mergeCell ref="D184:E184"/>
    <mergeCell ref="I152:J152"/>
    <mergeCell ref="B181:O181"/>
    <mergeCell ref="G176:H176"/>
    <mergeCell ref="K175:N175"/>
    <mergeCell ref="C178:D178"/>
    <mergeCell ref="G178:O178"/>
    <mergeCell ref="K176:O176"/>
    <mergeCell ref="K171:N171"/>
    <mergeCell ref="C172:D172"/>
    <mergeCell ref="M190:N190"/>
    <mergeCell ref="I219:J219"/>
    <mergeCell ref="G220:H220"/>
    <mergeCell ref="I220:J220"/>
    <mergeCell ref="B182:C185"/>
    <mergeCell ref="D182:E182"/>
    <mergeCell ref="I224:J224"/>
    <mergeCell ref="K248:O248"/>
    <mergeCell ref="E253:F253"/>
    <mergeCell ref="G253:H253"/>
    <mergeCell ref="M274:N274"/>
    <mergeCell ref="G248:H248"/>
    <mergeCell ref="I189:J189"/>
    <mergeCell ref="E245:F245"/>
    <mergeCell ref="I147:J147"/>
    <mergeCell ref="G145:H145"/>
    <mergeCell ref="I145:J145"/>
    <mergeCell ref="G143:H143"/>
    <mergeCell ref="I143:J143"/>
    <mergeCell ref="E146:F146"/>
    <mergeCell ref="G150:H150"/>
    <mergeCell ref="E150:F150"/>
    <mergeCell ref="B161:O161"/>
    <mergeCell ref="B162:O162"/>
    <mergeCell ref="I167:J167"/>
    <mergeCell ref="B163:O163"/>
    <mergeCell ref="B165:O165"/>
    <mergeCell ref="K172:O172"/>
    <mergeCell ref="K169:O169"/>
    <mergeCell ref="C170:D170"/>
    <mergeCell ref="I198:J198"/>
    <mergeCell ref="B175:J175"/>
    <mergeCell ref="B171:J171"/>
    <mergeCell ref="J179:N179"/>
    <mergeCell ref="B224:D224"/>
    <mergeCell ref="J180:O180"/>
    <mergeCell ref="B151:D151"/>
    <mergeCell ref="G219:H219"/>
    <mergeCell ref="G226:H226"/>
    <mergeCell ref="C278:G278"/>
    <mergeCell ref="H278:J278"/>
    <mergeCell ref="C249:D249"/>
    <mergeCell ref="E249:F249"/>
    <mergeCell ref="F258:O258"/>
    <mergeCell ref="E264:F264"/>
    <mergeCell ref="D261:E261"/>
    <mergeCell ref="K264:L264"/>
    <mergeCell ref="K266:L266"/>
    <mergeCell ref="M264:N264"/>
    <mergeCell ref="G265:H265"/>
    <mergeCell ref="C254:D254"/>
    <mergeCell ref="E254:F254"/>
    <mergeCell ref="C273:D273"/>
    <mergeCell ref="C274:D274"/>
    <mergeCell ref="D260:E260"/>
    <mergeCell ref="D259:E259"/>
    <mergeCell ref="F259:O259"/>
    <mergeCell ref="M263:N263"/>
    <mergeCell ref="I253:J253"/>
    <mergeCell ref="K253:O253"/>
    <mergeCell ref="F260:O260"/>
    <mergeCell ref="B275:O275"/>
    <mergeCell ref="C277:G277"/>
    <mergeCell ref="H277:J277"/>
    <mergeCell ref="G272:H272"/>
    <mergeCell ref="G273:H273"/>
    <mergeCell ref="G274:H274"/>
    <mergeCell ref="C263:D263"/>
    <mergeCell ref="E263:F263"/>
    <mergeCell ref="I263:J263"/>
    <mergeCell ref="G267:H267"/>
    <mergeCell ref="E400:F400"/>
    <mergeCell ref="M482:N482"/>
    <mergeCell ref="B408:O408"/>
    <mergeCell ref="B510:O510"/>
    <mergeCell ref="F479:K479"/>
    <mergeCell ref="M480:N480"/>
    <mergeCell ref="F469:K469"/>
    <mergeCell ref="E329:F329"/>
    <mergeCell ref="M429:N429"/>
    <mergeCell ref="B417:O417"/>
    <mergeCell ref="H420:J420"/>
    <mergeCell ref="M430:N430"/>
    <mergeCell ref="B423:F423"/>
    <mergeCell ref="C420:G420"/>
    <mergeCell ref="B425:O425"/>
    <mergeCell ref="L435:N435"/>
    <mergeCell ref="G435:K435"/>
    <mergeCell ref="F473:K473"/>
    <mergeCell ref="B492:O492"/>
    <mergeCell ref="M444:P444"/>
    <mergeCell ref="P434:P435"/>
    <mergeCell ref="M448:N448"/>
    <mergeCell ref="H428:J428"/>
    <mergeCell ref="L444:L445"/>
    <mergeCell ref="F447:K447"/>
    <mergeCell ref="B427:F427"/>
    <mergeCell ref="B443:P443"/>
    <mergeCell ref="K429:L429"/>
    <mergeCell ref="F505:K505"/>
    <mergeCell ref="M485:N485"/>
    <mergeCell ref="M446:N446"/>
    <mergeCell ref="F496:K496"/>
    <mergeCell ref="B530:D530"/>
    <mergeCell ref="M427:N427"/>
    <mergeCell ref="B554:O554"/>
    <mergeCell ref="K548:O553"/>
    <mergeCell ref="G539:H539"/>
    <mergeCell ref="I539:J539"/>
    <mergeCell ref="I537:J537"/>
    <mergeCell ref="E536:F536"/>
    <mergeCell ref="G545:H545"/>
    <mergeCell ref="F499:K499"/>
    <mergeCell ref="M475:N475"/>
    <mergeCell ref="M490:N490"/>
    <mergeCell ref="M481:N481"/>
    <mergeCell ref="F471:K471"/>
    <mergeCell ref="F481:K481"/>
    <mergeCell ref="F486:K486"/>
    <mergeCell ref="F485:K485"/>
    <mergeCell ref="G535:H535"/>
    <mergeCell ref="B534:D534"/>
    <mergeCell ref="M503:N503"/>
    <mergeCell ref="M504:N504"/>
    <mergeCell ref="B513:O513"/>
    <mergeCell ref="E534:F534"/>
    <mergeCell ref="E533:F533"/>
    <mergeCell ref="F518:K518"/>
    <mergeCell ref="F522:K522"/>
    <mergeCell ref="G531:H531"/>
    <mergeCell ref="F460:K460"/>
    <mergeCell ref="M428:N428"/>
    <mergeCell ref="G432:N432"/>
    <mergeCell ref="C445:K445"/>
    <mergeCell ref="F472:K472"/>
    <mergeCell ref="P527:P554"/>
    <mergeCell ref="M464:N464"/>
    <mergeCell ref="AA17:AD19"/>
    <mergeCell ref="B230:O230"/>
    <mergeCell ref="B305:O305"/>
    <mergeCell ref="B380:O380"/>
    <mergeCell ref="B153:O153"/>
    <mergeCell ref="B78:O78"/>
    <mergeCell ref="G369:H369"/>
    <mergeCell ref="I375:J375"/>
    <mergeCell ref="G376:H376"/>
    <mergeCell ref="I376:J376"/>
    <mergeCell ref="C329:D329"/>
    <mergeCell ref="G366:H366"/>
    <mergeCell ref="B302:D302"/>
    <mergeCell ref="E302:F302"/>
    <mergeCell ref="B298:D298"/>
    <mergeCell ref="B297:D297"/>
    <mergeCell ref="B315:O315"/>
    <mergeCell ref="C279:G279"/>
    <mergeCell ref="I302:J302"/>
    <mergeCell ref="G298:H298"/>
    <mergeCell ref="I298:J298"/>
    <mergeCell ref="C193:D193"/>
    <mergeCell ref="I190:J190"/>
    <mergeCell ref="I274:J274"/>
    <mergeCell ref="I319:J319"/>
    <mergeCell ref="K300:O304"/>
    <mergeCell ref="C187:D187"/>
    <mergeCell ref="E187:F187"/>
    <mergeCell ref="I187:J187"/>
    <mergeCell ref="M187:N187"/>
    <mergeCell ref="E327:F327"/>
    <mergeCell ref="K225:O229"/>
    <mergeCell ref="K148:O152"/>
    <mergeCell ref="K73:O77"/>
    <mergeCell ref="E102:I103"/>
    <mergeCell ref="C103:D103"/>
    <mergeCell ref="F498:K498"/>
    <mergeCell ref="F503:K503"/>
    <mergeCell ref="I544:J544"/>
    <mergeCell ref="F500:K500"/>
    <mergeCell ref="M454:N454"/>
    <mergeCell ref="M455:N455"/>
    <mergeCell ref="M460:N460"/>
    <mergeCell ref="B436:O436"/>
    <mergeCell ref="B440:O440"/>
    <mergeCell ref="F455:K455"/>
    <mergeCell ref="F457:K457"/>
    <mergeCell ref="B458:O458"/>
    <mergeCell ref="B430:G430"/>
    <mergeCell ref="M447:N447"/>
    <mergeCell ref="B441:O441"/>
    <mergeCell ref="M484:N484"/>
    <mergeCell ref="B516:O516"/>
    <mergeCell ref="F504:K504"/>
    <mergeCell ref="F487:K487"/>
    <mergeCell ref="M483:N483"/>
    <mergeCell ref="B529:D529"/>
    <mergeCell ref="G528:H528"/>
    <mergeCell ref="I528:J528"/>
    <mergeCell ref="I296:J296"/>
    <mergeCell ref="G297:H297"/>
    <mergeCell ref="B511:O511"/>
    <mergeCell ref="AA89:AD91"/>
    <mergeCell ref="E179:I180"/>
    <mergeCell ref="C180:D180"/>
    <mergeCell ref="AA166:AD168"/>
    <mergeCell ref="E255:I256"/>
    <mergeCell ref="C256:D256"/>
    <mergeCell ref="AA242:AD244"/>
    <mergeCell ref="B594:F594"/>
    <mergeCell ref="G594:J594"/>
    <mergeCell ref="G606:H606"/>
    <mergeCell ref="I606:J606"/>
    <mergeCell ref="G604:H604"/>
    <mergeCell ref="I604:J604"/>
    <mergeCell ref="G605:H605"/>
    <mergeCell ref="I605:J605"/>
    <mergeCell ref="G602:H602"/>
    <mergeCell ref="G597:H597"/>
    <mergeCell ref="I597:J597"/>
    <mergeCell ref="G598:H598"/>
    <mergeCell ref="I545:J545"/>
    <mergeCell ref="P414:P415"/>
    <mergeCell ref="E396:F396"/>
    <mergeCell ref="F490:K490"/>
    <mergeCell ref="F484:K484"/>
    <mergeCell ref="F482:K482"/>
    <mergeCell ref="I540:J540"/>
    <mergeCell ref="B432:F432"/>
    <mergeCell ref="B364:F364"/>
    <mergeCell ref="I318:J318"/>
    <mergeCell ref="C341:D341"/>
    <mergeCell ref="B333:C336"/>
    <mergeCell ref="B308:P308"/>
  </mergeCells>
  <phoneticPr fontId="0" type="noConversion"/>
  <conditionalFormatting sqref="I596:J596">
    <cfRule type="cellIs" dxfId="22" priority="47" stopIfTrue="1" operator="lessThan">
      <formula>$AA$597</formula>
    </cfRule>
  </conditionalFormatting>
  <conditionalFormatting sqref="G596:H596">
    <cfRule type="cellIs" dxfId="21" priority="48" stopIfTrue="1" operator="lessThan">
      <formula>$AA$597</formula>
    </cfRule>
  </conditionalFormatting>
  <conditionalFormatting sqref="G534:J534">
    <cfRule type="cellIs" dxfId="20" priority="148" stopIfTrue="1" operator="lessThan">
      <formula>$AA$534</formula>
    </cfRule>
  </conditionalFormatting>
  <conditionalFormatting sqref="G535:J535">
    <cfRule type="cellIs" dxfId="19" priority="149" stopIfTrue="1" operator="lessThan">
      <formula>$AA$535</formula>
    </cfRule>
  </conditionalFormatting>
  <dataValidations xWindow="997" yWindow="499" count="104">
    <dataValidation type="list" allowBlank="1" showInputMessage="1" showErrorMessage="1" promptTitle="Severity of joint instability" prompt="Mild, moderate, or severe" sqref="C51:G52" xr:uid="{B5DEDB95-538C-42E1-8A36-E4C5712DD99D}">
      <formula1>$W$52:$Z$52</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51:N52" xr:uid="{0EA9DDB8-EBAA-4FBE-9797-7037616AB7AA}">
      <formula1>$V$51:$Z$51</formula1>
    </dataValidation>
    <dataValidation type="list" allowBlank="1" showInputMessage="1" showErrorMessage="1" promptTitle="Thumb amputation" prompt="Select extent of loss." sqref="B7:O7" xr:uid="{67B57976-7441-4869-9732-972C0ACEEEAD}">
      <formula1>$U$6:$Z$6</formula1>
    </dataValidation>
    <dataValidation type="list" allowBlank="1" showInputMessage="1" showErrorMessage="1" promptTitle="Dermatological conditions" prompt="Select from classes 1-5. See OAR 436-035-0110." sqref="O57 O134 O210 O286 O361 O583" xr:uid="{3B151FA9-8B5E-4E16-A39F-723F7C7D6443}">
      <formula1>$T$57:$X$57</formula1>
    </dataValidation>
    <dataValidation type="list" allowBlank="1" showInputMessage="1" showErrorMessage="1" promptTitle="Loss of opposition" prompt="Ratings apply to the fingers." sqref="B10" xr:uid="{220177DC-C35B-49AF-879E-97BBB0B77166}">
      <formula1>$W$11:$AD$11</formula1>
    </dataValidation>
    <dataValidation type="list" allowBlank="1" showInputMessage="1" showErrorMessage="1" promptTitle="Vascular dysfunction" prompt="Select from classes 1-5. See OAR 436-035-0110." sqref="O58 O135 O211 O287 O362 O584" xr:uid="{66A61DB8-0403-427F-AD18-F5ECFA0205FD}">
      <formula1>$Z$57:$AD$57</formula1>
    </dataValidation>
    <dataValidation type="list" allowBlank="1" showInputMessage="1" showErrorMessage="1" promptTitle="Index finger amputation" prompt="Select extent of loss." sqref="B82:O82 B158:O158" xr:uid="{DA894052-302A-4418-82E2-B0E5752FF462}">
      <formula1>$S$81:$Y$81</formula1>
    </dataValidation>
    <dataValidation type="list" allowBlank="1" showInputMessage="1" showErrorMessage="1" promptTitle="Loss of opposition" prompt="Select extent of amputation or shortening of digit." sqref="B85:O85 B161:O161" xr:uid="{1813C893-E582-44A2-9DBA-7B6614F00EA5}">
      <formula1>$S$84:$AD$84</formula1>
    </dataValidation>
    <dataValidation type="list" allowBlank="1" showInputMessage="1" showErrorMessage="1" promptTitle="Severity of joint instability" prompt="Mild, moderate, or severe" sqref="C126:G128 C202:G204 C278:G280 C353:G355" xr:uid="{0563BF4C-CE90-4AAA-98C1-A1733B075CDF}">
      <formula1>$X$127:$Z$127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126:N128 L202:N204 L278:N280 L353:N355" xr:uid="{D016557B-F9BC-4CA2-B917-93EAE795E73C}">
      <formula1>$X$128:$AA$128</formula1>
    </dataValidation>
    <dataValidation type="list" allowBlank="1" showInputMessage="1" showErrorMessage="1" promptTitle="Loss of opposition" prompt="Select extent of amputation or shortening of digit." sqref="B238:O238" xr:uid="{AB828970-2A0C-4431-A193-E043F9CF8D0D}">
      <formula1>$S$237:$AD$237</formula1>
    </dataValidation>
    <dataValidation type="list" allowBlank="1" showInputMessage="1" showErrorMessage="1" promptTitle="Index finger amputation" prompt="Select extent of loss." sqref="B235:O235" xr:uid="{FB3BC520-4936-4194-99A3-60385105E224}">
      <formula1>$S$234:$Y$234</formula1>
    </dataValidation>
    <dataValidation type="list" allowBlank="1" showInputMessage="1" showErrorMessage="1" promptTitle="Index finger amputation" prompt="Select extent of loss." sqref="B310:O310" xr:uid="{FD3A18F8-91E4-43B8-BB98-8156C24D2DE1}">
      <formula1>$S$309:$Y$309</formula1>
    </dataValidation>
    <dataValidation type="list" allowBlank="1" showInputMessage="1" showErrorMessage="1" promptTitle="Loss of opposition" prompt="Select extent of amputation or shortening of digit." sqref="B313:O313" xr:uid="{1C55ECEC-A235-4F9C-A6B9-B7DE6B53D557}">
      <formula1>$S$312:$AD$312</formula1>
    </dataValidation>
    <dataValidation type="list" allowBlank="1" showInputMessage="1" showErrorMessage="1" promptTitle="Dermatological condition" prompt="Affecting wrist/forearm -- select from classes 1-5. See OAR 436-035-0110." sqref="L435:N435" xr:uid="{6243AC72-3E0B-416A-9E2D-7AE1EE64AFAE}">
      <formula1>$T$438:$X$438</formula1>
    </dataValidation>
    <dataValidation type="list" allowBlank="1" showInputMessage="1" showErrorMessage="1" promptTitle="Vascular dysfunction" prompt="Affecting wrist/forearm -- select from classes 1-5. See OAR 436-035-0110." sqref="L439:N439" xr:uid="{B18D81EE-3B6D-4C56-BFE4-0875E0556BEA}">
      <formula1>$T$438:$X$438</formula1>
    </dataValidation>
    <dataValidation type="list" allowBlank="1" showInputMessage="1" showErrorMessage="1" promptTitle="Dermatological condition" prompt="Affecting hand -- select from classes 1-5. See OAR 436-035-0110." sqref="L434:N434" xr:uid="{3FBD027D-4FFF-43EE-AAD9-F6B96A5FB648}">
      <formula1>$T$434:$X$434</formula1>
    </dataValidation>
    <dataValidation type="list" allowBlank="1" showInputMessage="1" showErrorMessage="1" promptTitle="Vascular dysfunction" prompt="Affecting hand -- select from classes 1-5. See OAR 436-035-0110." sqref="L438:N438" xr:uid="{3DB1B908-05A5-475A-89EB-7FC94E439080}">
      <formula1>$T$438:$X$438</formula1>
    </dataValidation>
    <dataValidation type="decimal" operator="equal" allowBlank="1" showInputMessage="1" showErrorMessage="1" promptTitle="Amputation - metatarsals" prompt="Check (click) the box next to amputated metatarsals, if any." sqref="A386" xr:uid="{09C26EC0-6BBE-4EFB-AB94-AE6D1BA4AE84}">
      <formula1>W386</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446" xr:uid="{3A9780A1-13A8-4445-8294-AA66B516E3ED}">
      <formula1>AK448</formula1>
    </dataValidation>
    <dataValidation type="decimal" operator="equal" allowBlank="1" showInputMessage="1" showErrorMessage="1" promptTitle="Deformity of movement" prompt="Mark the type of deformity, if any." sqref="A44 A106 A182 A258 A333" xr:uid="{4EF09B05-20EB-468D-A6EE-0FD0CF9AA9BB}">
      <formula1>AG44</formula1>
    </dataValidation>
    <dataValidation type="decimal" operator="equal" allowBlank="1" showInputMessage="1" showErrorMessage="1" promptTitle="Joint replacement" prompt="Mark the type of prosthetic joint replacement, if any." sqref="A54 A130 A206 A282 A357" xr:uid="{33997C89-2C84-4A3C-8EB8-765A772CB015}">
      <formula1>AG54</formula1>
    </dataValidation>
    <dataValidation type="decimal" operator="equal" allowBlank="1" showInputMessage="1" showErrorMessage="1" promptTitle="Amputation" prompt="Show the level of loss, if any." sqref="A385" xr:uid="{7B07810E-4596-4973-B34F-2B9F810C462A}">
      <formula1>W385</formula1>
    </dataValidation>
    <dataValidation type="decimal" operator="equal" allowBlank="1" showInputMessage="1" showErrorMessage="1" promptTitle="Sensation impairment" prompt="Show type and extent of sensation impairment, if any." sqref="A412" xr:uid="{C94746E7-68B3-4A3D-9BF4-C07D5FE99384}">
      <formula1>Z412</formula1>
    </dataValidation>
    <dataValidation type="decimal" operator="equal" allowBlank="1" showInputMessage="1" showErrorMessage="1" promptTitle="Hypersensitivity" prompt="Show type and extent of hypersensitivity, if any." sqref="A415" xr:uid="{232CACE8-BF79-414E-A76B-EAC375623B14}">
      <formula1>Z415</formula1>
    </dataValidation>
    <dataValidation type="decimal" operator="equal" allowBlank="1" showInputMessage="1" showErrorMessage="1" promptTitle="Angulation or malalignment" prompt="Radius or ulna" sqref="A422" xr:uid="{2B0F84F6-B931-464E-A0C9-61667882B1EB}">
      <formula1>Z422</formula1>
    </dataValidation>
    <dataValidation type="decimal" operator="equal" allowBlank="1" showInputMessage="1" showErrorMessage="1" promptTitle="Chronic condition" prompt="Check Yes or No." sqref="A514 A588" xr:uid="{C8E09074-F430-4D1A-9D89-19A407FA548B}">
      <formula1>W514</formula1>
    </dataValidation>
    <dataValidation type="decimal" operator="equal" allowBlank="1" showInputMessage="1" showErrorMessage="1" promptTitle="Amputation" prompt="Show the level of loss or select &quot;NA.&quot;" sqref="A558" xr:uid="{4DD5F108-7960-459C-9D62-D6C3F7090954}">
      <formula1>W558</formula1>
    </dataValidation>
    <dataValidation type="decimal" operator="equal" allowBlank="1" showInputMessage="1" showErrorMessage="1" promptTitle="Arm surgery" prompt="Show the type of surgery performed, if any." sqref="A579" xr:uid="{C4D5E55E-A6C7-405D-BBB2-2DE5CE350319}">
      <formula1>W579</formula1>
    </dataValidation>
    <dataValidation allowBlank="1" showInputMessage="1" showErrorMessage="1" promptTitle="Date of injury" prompt="The dollar value of each degree of disability depends on the date of injury, and the program cannot calculate the disability award without the date." sqref="C626" xr:uid="{51F1377D-2945-4E52-9B1F-DE2FFD3A1E6F}"/>
    <dataValidation allowBlank="1" showInputMessage="1" showErrorMessage="1" promptTitle="End of worksheet" prompt="Press TAB to return to top of sheet." sqref="P638" xr:uid="{F45E5B9F-1DE6-4AD6-92FB-2BF46824EAF7}"/>
    <dataValidation type="list" allowBlank="1" showInputMessage="1" showErrorMessage="1" promptTitle="Carpometacarpal arthroplasty" prompt="Impairment equals 1/2 the lowest ankylosis value for the carpometacarpal joint of the thumb." sqref="G432:N432" xr:uid="{DE501161-F864-45EB-A558-2697D62DF65A}">
      <formula1>$R$432:$T$432</formula1>
    </dataValidation>
    <dataValidation type="list" allowBlank="1" showInputMessage="1" showErrorMessage="1" promptTitle="Severity of loss" prompt="Grade 1 = Normal_x000a_Grade 2 = Less than normal_x000a_Grade 3 = Protective sensation_x000a_Grade 4 = Total loss" sqref="C33:F35 I33:J35 M33:N35 I38:J40 C38:F40 M38:N40" xr:uid="{1F45D32C-0F61-47DD-BA1B-BAFC5AEAA3C1}">
      <formula1>$AH$31:$AK$31</formula1>
    </dataValidation>
    <dataValidation type="list" allowBlank="1" showInputMessage="1" showErrorMessage="1" promptTitle="Severity of loss" prompt="Grade 1 = Normal_x000a_Grade 2 = Less than normal_x000a_Grade 3 = Protective sensation_x000a_Grade 4 = Total loss" sqref="C115:N117 C120:N122" xr:uid="{13B090A1-00CD-4B53-82A4-24AD52820716}">
      <formula1>$AH$113:$AK$113</formula1>
    </dataValidation>
    <dataValidation type="list" allowBlank="1" showInputMessage="1" showErrorMessage="1" promptTitle="Severity of loss" prompt="Grade 1 = Normal_x000a_Grade 2 = Less than normal_x000a_Grade 3 = Protective sensation_x000a_Grade 4 = Total loss" sqref="C196:N198 C191:N193" xr:uid="{771B40B4-C1D5-4BA7-AFB1-FD4AD1415505}">
      <formula1>$AH$189:$AK$189</formula1>
    </dataValidation>
    <dataValidation type="list" allowBlank="1" showInputMessage="1" showErrorMessage="1" promptTitle="Severity of loss" prompt="Grade 1 = Normal_x000a_Grade 2 = Less than normal_x000a_Grade 3 = Protective sensation_x000a_Grade 4 = Total loss" sqref="C272:N274 C267:N269" xr:uid="{1F590DFC-FF1A-4139-8707-8EB83757B2A7}">
      <formula1>$AH$265:$AK$265</formula1>
    </dataValidation>
    <dataValidation type="list" allowBlank="1" showInputMessage="1" showErrorMessage="1" promptTitle="Severity of loss" prompt="Grade 1 = Normal_x000a_Grade 2 = Less than normal_x000a_Grade 3 = Protective sensation_x000a_Grade 4 = Total loss" sqref="M342:M344 K342:K344 I342:I344 G342:G344 E342:E344 C342:D342 C343:C344 E347:E349 G347:G349 I347:I349 K347:K349 M347:M349 C347:C349" xr:uid="{BA232AE9-E358-4CC2-919B-BEFEF1C2EDDC}">
      <formula1>$AH$340:$AK$340</formula1>
    </dataValidation>
    <dataValidation type="decimal" operator="equal" allowBlank="1" showInputMessage="1" showErrorMessage="1" promptTitle="Angulation or malalignment" prompt="Humerus" sqref="A577" xr:uid="{2F7ED3B4-713C-4E73-8905-2948C9BA8937}">
      <formula1>Z577</formula1>
    </dataValidation>
    <dataValidation type="list" allowBlank="1" showInputMessage="1" showErrorMessage="1" promptTitle="Contralateral joint" prompt="If the contralateral joint is unstable, subtract the instability value for the contralateral joint from the injured joint, unless the contralateral joint has a history of injury or disease." sqref="L419:N420" xr:uid="{49802DFA-4E3C-4883-ABE7-55E4455AFFAE}">
      <formula1>$U$420:$X$420</formula1>
    </dataValidation>
    <dataValidation type="list" allowBlank="1" showInputMessage="1" showErrorMessage="1" promptTitle="Severity of joint instability" prompt="Mild, moderate, or severe" sqref="C419:G420" xr:uid="{510442EC-54ED-4188-9A23-1F204B47DF96}">
      <formula1>$U$419:$W$419</formula1>
    </dataValidation>
    <dataValidation type="list" allowBlank="1" showInputMessage="1" showErrorMessage="1" promptTitle="Carpal bone fusion" prompt="5% each (Add values up to 30% maximum.)" sqref="G426" xr:uid="{22C270F8-3180-45EA-B4BE-CFDD5B3A1BEE}">
      <formula1>$T426:$AA426</formula1>
    </dataValidation>
    <dataValidation type="list" allowBlank="1" showInputMessage="1" showErrorMessage="1" promptTitle="Prosthetic carpal bone" prompt="5% per replacement" sqref="G427" xr:uid="{48AD44CF-A0D8-4ABF-9204-4ABCB99069AB}">
      <formula1>$T$427:$AA$427</formula1>
    </dataValidation>
    <dataValidation type="list" allowBlank="1" showInputMessage="1" showErrorMessage="1" promptTitle="Carpal bone removal" prompt="Removal of any portion of a carpal bone, without replacement, 5% maximum for each carpal bone" sqref="G429" xr:uid="{58B23542-BA1B-478B-9880-27336E03E2F7}">
      <formula1>$T$428:$AA$428</formula1>
    </dataValidation>
    <dataValidation type="list" allowBlank="1" showInputMessage="1" showErrorMessage="1" promptTitle="Distal ulnar" prompt="Resection with prosthetic replacement = 5%; resection without replacement = 10% impairment." sqref="G431:N431" xr:uid="{134F81A6-B904-4C6D-A4C9-A118EFB309E1}">
      <formula1>$S$431:$T$431</formula1>
    </dataValidation>
    <dataValidation type="list" allowBlank="1" showInputMessage="1" showErrorMessage="1" promptTitle="Strength grade" prompt="Record strength using the 0 to 5  grading system as described in OAR 436-035-0011." sqref="M446:N450 M479:N491 M460:N464 M467:N476 M454:N457 M495:N505" xr:uid="{85AA4BCC-C3EF-4CCB-9908-3F01AF7BCE39}">
      <formula1>$T$443:$AH$443</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446:O450 O454:O457 O495:O505 O479:O491 O460:O464 O467:O476" xr:uid="{6B758B45-9AF2-48E6-974E-CD88E986736B}">
      <formula1>$S$443:$AH$443</formula1>
    </dataValidation>
    <dataValidation type="list" allowBlank="1" showInputMessage="1" showErrorMessage="1" promptTitle="Arm length discrepancy" prompt="Discrepancy in inches involving the injured arm and resulting from the injury/surgery" sqref="K573:O573" xr:uid="{8415C18A-03FB-465C-8BE2-0A7C9DF487D8}">
      <formula1>Z573:AE573</formula1>
    </dataValidation>
    <dataValidation type="list" allowBlank="1" showInputMessage="1" showErrorMessage="1" promptTitle="Arm length discrepancy" prompt="Discrepancy in inches involving the injured arm and resulting from the injury/surgery" sqref="E573" xr:uid="{5E1B5E5E-55E1-4D52-B9F7-3A3E0D0DFA3F}">
      <formula1>S573:W573</formula1>
    </dataValidation>
    <dataValidation type="list" allowBlank="1" showInputMessage="1" showErrorMessage="1" promptTitle="Arm length discrepancy" prompt="Discrepancy in inches involving the injured arm and resulting from the injury/surgery" sqref="F573:J573" xr:uid="{C13723E1-D9D0-4819-8632-5D45AE3CD0E5}">
      <formula1>S573:Z573</formula1>
    </dataValidation>
    <dataValidation type="list" allowBlank="1" showInputMessage="1" showErrorMessage="1" promptTitle="Lateral deviation" prompt="At or above elbow, mild, moderate, or severe" sqref="K575:O575" xr:uid="{171BA2D8-680A-41B6-80D2-0754CD3DC427}">
      <formula1>$S$575:$U$575</formula1>
    </dataValidation>
    <dataValidation type="list" allowBlank="1" showInputMessage="1" showErrorMessage="1" promptTitle="Motor loss, arm" prompt="Select the statement that best describes the severity of motor loss." sqref="B592:O592" xr:uid="{3D385D41-2BB8-4C94-BC45-34E3F6240321}">
      <formula1>$R$592:$U$592</formula1>
    </dataValidation>
    <dataValidation type="decimal" allowBlank="1" showInputMessage="1" showErrorMessage="1" promptTitle="Apportionment, if any" prompt="Enter percentage of impairment caused by the injury or illness. See OAR 436-035-0013." sqref="H534:H538 G534:G539 G549:H552 G596:H596 G368:H374 G303:H304 C331 G228:H229 C256 G151:H152 C180 G76:H77 C103 G378:H379 G603:H607 G67:H73 G141:H147 G218:H224 G293:H299 C27:D27" xr:uid="{E543F1B9-DCC5-465B-9789-66EC3A59A03C}">
      <formula1>$B$644</formula1>
      <formula2>$B$645</formula2>
    </dataValidation>
    <dataValidation type="list" showInputMessage="1" showErrorMessage="1" promptTitle="Thumb" prompt="Enter retained degrees of motion, interphalangeal joint, flexion. If joint was not affected by the injury, select &quot;NA&quot; or leave blank." sqref="C19:D19" xr:uid="{D74F18F0-3D8A-4559-8643-4BC39C3C7CE2}">
      <formula1>$B$654:$B$735</formula1>
    </dataValidation>
    <dataValidation type="list" showInputMessage="1" showErrorMessage="1" promptTitle="Thumb" prompt="Enter retained degrees of motion, metacarpophalangeal joint, flexion. If joint was not affected by the injury, select &quot;NA&quot; or leave blank." sqref="C23:D23" xr:uid="{0B0E1DCD-FF29-4B5C-AF20-B0D938509169}">
      <formula1>$B$654:$B$715</formula1>
    </dataValidation>
    <dataValidation type="list" showInputMessage="1" showErrorMessage="1" promptTitle="Hand" prompt="Enter retained degrees of motion, carpometacarpal joint of the thumb, flexion. If joint was not affected by the injury, select &quot;NA&quot; or leave blank." sqref="C394:D394" xr:uid="{5A2F1FEA-56E7-456E-B1A7-09D3A218C997}">
      <formula1>$B$654:$B$670</formula1>
    </dataValidation>
    <dataValidation type="list" showInputMessage="1" showErrorMessage="1" promptTitle="Wrist" prompt="Enter retained degrees of motion, extension. If joint was not affected by the injury, select &quot;NA&quot; or leave blank." sqref="C400:D400" xr:uid="{58436E93-3DB2-4CC8-935D-8BF635538FB2}">
      <formula1>$B$654:$B$715</formula1>
    </dataValidation>
    <dataValidation type="list" showInputMessage="1" showErrorMessage="1" promptTitle="Wrist" prompt="Radial deviation; enter retained degrees of motion.  If joint was not affected by the injury, select &quot;NA&quot; or leave blank." sqref="C404:D404" xr:uid="{9113B3C3-0F6D-42DB-BDF6-2BEE6EAEAC65}">
      <formula1>$B$654:$B$675</formula1>
    </dataValidation>
    <dataValidation type="list" showInputMessage="1" showErrorMessage="1" promptTitle="Elbow" prompt="Enter retained degrees of motion, flexion. If joint was not affected by the injury, select &quot;NA&quot; or leave blank." sqref="C562:D562" xr:uid="{A8B26966-6A14-4B78-BF66-8CAE17FA32DB}">
      <formula1>$B$654:$B$805</formula1>
    </dataValidation>
    <dataValidation type="list" showInputMessage="1" showErrorMessage="1" promptTitle="Arm" prompt="Supination; enter retained degrees of motion. If joint was not affected by the injury, select &quot;NA&quot; or leave blank." sqref="C566:D566" xr:uid="{FC7FB665-4D4E-41EF-A03C-4D02B5CF9FBF}">
      <formula1>$B$654:$B$735</formula1>
    </dataValidation>
    <dataValidation type="list" showInputMessage="1" showErrorMessage="1" promptTitle="Finger" prompt="Enter retained degrees of motion, distal interphalangeal joint, flexion.  If joint was not affected by the injury, select &quot;NA&quot; or leave blank." sqref="C91:D91 C319:D319 C168:D168 C244:D244" xr:uid="{C8CB86A9-4EB2-4818-AAD8-FB0B305A8F96}">
      <formula1>$B$654:$B$725</formula1>
    </dataValidation>
    <dataValidation type="list" showInputMessage="1" showErrorMessage="1" promptTitle="Finger" prompt="Enter retained degrees of motion, proximal interphalangeal joint, flexion.  If joint was not affected by the injury, select &quot;NA&quot; or leave blank." sqref="C95:D95 C323:D323 C172:D172 C248:D248" xr:uid="{93888465-500C-4237-B524-86C5B9F605A7}">
      <formula1>$B$654:$B$755</formula1>
    </dataValidation>
    <dataValidation type="list" showInputMessage="1" showErrorMessage="1" promptTitle="Finger" prompt="Enter retained degrees of motion, metacarpophalangeal joint, flexion.  If joint was not affected by the injury, select &quot;NA&quot; or leave blank." sqref="C99:D99 C327:D327 C176:D176 C252:D252" xr:uid="{E2DE04BE-13B2-4462-98FA-A7FFE4953AE5}">
      <formula1>$B$654:$B$745</formula1>
    </dataValidation>
    <dataValidation type="list" showInputMessage="1" showErrorMessage="1" promptTitle="Thumb" prompt="Enter degrees of interphalangeal joint, ankylosis. If joint was not affected by the injury, select &quot;NA&quot; or leave blank." sqref="C21:D21" xr:uid="{7A65F0D0-3BEE-46FD-B549-1F291F3EA158}">
      <formula1>$B$654:$B$735</formula1>
    </dataValidation>
    <dataValidation type="list" showInputMessage="1" showErrorMessage="1" promptTitle="Thumb" prompt="Enter retained degrees of motion, interphalangeal joint, extension. If joint was not affected by the injury, select &quot;NA&quot; or leave blank." sqref="C20:D20" xr:uid="{8DE4E04D-65AF-4B0C-A561-DC9E018FF3A7}">
      <formula1>$B$654:$B$735</formula1>
    </dataValidation>
    <dataValidation type="list" showInputMessage="1" showErrorMessage="1" promptTitle="Thumb" prompt="Enter retained degrees of motion or &quot;NA&quot; if contralateral joint has a history of injury or disease." sqref="G19:H20" xr:uid="{194A9B47-2CBC-4F0A-88FA-D63AA6EF7B53}">
      <formula1>$B$654:$B$735</formula1>
    </dataValidation>
    <dataValidation type="list" showInputMessage="1" showErrorMessage="1" promptTitle="Thumb" prompt="Enter degrees metacarpophalangeal joint, ankylosis. If joint was not affected by the injury, select &quot;NA&quot; or leave blank." sqref="C25:D25" xr:uid="{A5D65F87-7937-4F18-BADA-6C88288E8900}">
      <formula1>$B$654:$B$715</formula1>
    </dataValidation>
    <dataValidation type="list" showInputMessage="1" showErrorMessage="1" promptTitle="Thumb" prompt="Enter retained degrees of motion, metacarpophalangeal joint, extension. If joint was not affected by the injury, select &quot;NA&quot; or leave blank." sqref="C24:D24" xr:uid="{2C904505-A8BA-4C46-857A-11995432AADF}">
      <formula1>$B$654:$B$715</formula1>
    </dataValidation>
    <dataValidation type="list" showInputMessage="1" showErrorMessage="1" promptTitle="Thumb" prompt="Enter retained degrees of motion or &quot;NA&quot; if contralateral joint has a history of injury or disease." sqref="G23:H24" xr:uid="{14941370-FA87-47A1-8164-2E9199CCEB5E}">
      <formula1>$B$654:$B$715</formula1>
    </dataValidation>
    <dataValidation type="list" showInputMessage="1" showErrorMessage="1" promptTitle="Finger" prompt="Enter degrees distal interphalangeal joint, ankylosis  If joint was not affected by the injury, select &quot;NA&quot; or leave blank." sqref="C93:D93" xr:uid="{F5EADFFC-F3FF-46A6-B3D8-EDD250420342}">
      <formula1>$B$654:$B$725</formula1>
    </dataValidation>
    <dataValidation type="list" showInputMessage="1" showErrorMessage="1" promptTitle="Finger" prompt="Enter retained degrees of motion, distal interphalangeal joint, extension  If joint was not affected by the injury, select &quot;NA&quot; or leave blank." sqref="C92:D92" xr:uid="{5B063363-42F6-47F5-8046-7C49EA9B7B4E}">
      <formula1>$B$654:$B$725</formula1>
    </dataValidation>
    <dataValidation type="list" showInputMessage="1" showErrorMessage="1" promptTitle="Finger" prompt="Enter retained degrees of motion or &quot;NA&quot; if contralateral joint has a history of injury or disease." sqref="G91:H92 G168:H169 G244:H245 G319:H320" xr:uid="{FCDA1605-122C-49A0-A231-1D7681416ABF}">
      <formula1>$B$654:$B$725</formula1>
    </dataValidation>
    <dataValidation type="list" showInputMessage="1" showErrorMessage="1" promptTitle="Finger" prompt="Enter degrees of motion, proximal interphalangeal joint, ankylosis.  If joint was not affected by the injury, select &quot;NA&quot; or leave blank." sqref="C97:D97" xr:uid="{C596B2FF-0B8F-41D6-B69B-D051131A2F69}">
      <formula1>$B$654:$B$755</formula1>
    </dataValidation>
    <dataValidation type="list" showInputMessage="1" showErrorMessage="1" promptTitle="Finger" prompt="Enter retained degrees of motion, proximal interphalangeal joint, extension.  If joint was not affected by the injury, select &quot;NA&quot; or leave blank." sqref="C96:D96 C173:D173 C249:D249 C324:D324" xr:uid="{36CC2BD3-30E6-4BB5-914E-2F71D1F1F908}">
      <formula1>$B$654:$B$755</formula1>
    </dataValidation>
    <dataValidation type="list" showInputMessage="1" showErrorMessage="1" promptTitle="Finger" prompt="Enter retained degrees of motion or &quot;NA&quot; if contralateral joint has a history of injury or disease." sqref="G95:H96 G172:H173 G248:H249 G323:H324" xr:uid="{A0B311F1-1293-4652-BAA1-C7D846CD5285}">
      <formula1>$B$654:$B$755</formula1>
    </dataValidation>
    <dataValidation type="list" showInputMessage="1" showErrorMessage="1" promptTitle="Finger" prompt="Enter degrees of metacarpophalangeal joint, ankylosis.  If joint was not affected by the injury, select &quot;NA&quot; or leave blank." sqref="C101:D101 C329:D329" xr:uid="{197A5C04-EEE4-4932-9050-DC1F582A3DC0}">
      <formula1>$B$654:$B$745</formula1>
    </dataValidation>
    <dataValidation type="list" showInputMessage="1" showErrorMessage="1" promptTitle="Finger" prompt="Enter retained degrees of motion, metacarpophalangeal joint, extension.  If joint was not affected by the injury, select &quot;NA&quot; or leave blank." sqref="C100:D100 C177:D177 C253:D253 C328:D328" xr:uid="{9C18C83B-8D08-4A6C-A4E7-E65C0200D925}">
      <formula1>$B$654:$B$745</formula1>
    </dataValidation>
    <dataValidation type="list" showInputMessage="1" showErrorMessage="1" promptTitle="Finger" prompt="Enter retained degrees of motion or &quot;NA&quot; if contralateral joint has a history of injury or disease." sqref="G99:H100 G176:H177 G252:H253 G327:H328" xr:uid="{4F2F7C0B-DA63-4456-9E49-64846847C0FE}">
      <formula1>$B$654:$B$745</formula1>
    </dataValidation>
    <dataValidation type="list" showInputMessage="1" showErrorMessage="1" promptTitle="Finger" prompt="Enter degrees of distal interphalangeal joint, ankylosis.  If joint was not affected by the injury, select &quot;NA&quot; or leave blank." sqref="C170:D170" xr:uid="{D5E6E30E-270D-4AEB-87C9-C6059070B273}">
      <formula1>$B$654:$B$725</formula1>
    </dataValidation>
    <dataValidation type="list" showInputMessage="1" showErrorMessage="1" promptTitle="Finger" prompt="Enter retained degrees of motion, distal interphalangeal joint, extension.  If joint was not affected by the injury, select &quot;NA&quot; or leave blank." sqref="C169:D169 C245:D245 C320:D320" xr:uid="{377EC0A2-24AB-4F4C-A363-742F5785ED53}">
      <formula1>$B$654:$B$725</formula1>
    </dataValidation>
    <dataValidation type="list" showInputMessage="1" showErrorMessage="1" promptTitle="Finger" prompt="Enter retained degrees of proximal interphalangeal joint, ankylosis.  If joint was not affected by the injury, select &quot;NA&quot; or leave blank." sqref="C174:D174" xr:uid="{37DF7D12-2971-44E6-9797-91DC9773CB24}">
      <formula1>$B$654:$B$755</formula1>
    </dataValidation>
    <dataValidation type="list" showInputMessage="1" showErrorMessage="1" promptTitle="Finger" prompt="Enter degrees metacarpophalangeal joint, ankylosis.  If joint was not affected by the injury, select &quot;NA&quot; or leave blank." sqref="C178:D178" xr:uid="{4A2DB727-4061-4095-85DF-4A09EA11CE93}">
      <formula1>$B$654:$B$745</formula1>
    </dataValidation>
    <dataValidation type="list" showInputMessage="1" showErrorMessage="1" promptTitle="Finger" prompt="Enter degrees of distal interphalangeal joint ankylosis.  If joint was not affected by the injury, select &quot;NA&quot; or leave blank." sqref="C246:D246 C321:D321" xr:uid="{7E687ECB-658D-4EAC-AAAD-2DCBFD0B79C8}">
      <formula1>$B$654:$B$725</formula1>
    </dataValidation>
    <dataValidation type="list" showInputMessage="1" showErrorMessage="1" promptTitle="Finger" prompt="Enterdegrees of proximal interphalangeal joint ankylosis  If joint was not affected by the injury, select &quot;NA&quot; or leave blank." sqref="C250:D250" xr:uid="{5E208811-E84D-4449-AA90-512371AEA923}">
      <formula1>$B$654:$B$755</formula1>
    </dataValidation>
    <dataValidation type="list" showInputMessage="1" showErrorMessage="1" promptTitle="Finger" prompt="Enter degrees metacarpophalangeal joint ankylosis.  If joint was not affected by the injury, select &quot;NA&quot; or leave blank." sqref="C254:D254" xr:uid="{73F4186E-8D3E-47BD-958A-F4286F747F44}">
      <formula1>$B$654:$B$745</formula1>
    </dataValidation>
    <dataValidation type="list" showInputMessage="1" showErrorMessage="1" promptTitle="Finger" prompt="Enter degrees of proximal interphalangeal joint ankylosis  If joint was not affected by the injury, select &quot;NA&quot; or leave blank." sqref="C325:D325" xr:uid="{0E0DE573-F341-4830-8E07-4165EDC08F8B}">
      <formula1>$B$654:$B$755</formula1>
    </dataValidation>
    <dataValidation type="list" showInputMessage="1" showErrorMessage="1" promptTitle="Hand" prompt="Enter degrees of carpometacarpal joint ankylosis. If joint was not affected by the injury, select &quot;NA&quot; or leave blank." sqref="C396:D396" xr:uid="{C9441D4E-F7CE-4E83-960D-E5659C29850E}">
      <formula1>$B$654:$B$670</formula1>
    </dataValidation>
    <dataValidation type="list" showInputMessage="1" showErrorMessage="1" promptTitle="Hand" prompt="Enter retained degrees of motion, carpometacarpal joint of the thumb, extension. If joint was not affected by the injury, select &quot;NA&quot; or leave blank." sqref="C395:D395" xr:uid="{865184FD-707B-433F-BA9D-CDE2FC38BF55}">
      <formula1>$B$654:$B$685</formula1>
    </dataValidation>
    <dataValidation type="list" showInputMessage="1" showErrorMessage="1" promptTitle="Hand" prompt="Enter degrees of carpometacarpal joint ankylosis. If joint was not affected by the injury, select &quot;NA&quot; or leave blank." sqref="C397:D397" xr:uid="{CE48806F-C478-433B-8746-573E421B6B7C}">
      <formula1>$B$654:$B$685</formula1>
    </dataValidation>
    <dataValidation type="list" showInputMessage="1" showErrorMessage="1" promptTitle="Hand" prompt="Enter retained degrees of motion or &quot;NA&quot; if contralateral joint has a history of injury or disease." sqref="G395:H395" xr:uid="{EB1DD80F-7B09-45B5-8431-E8D5FB4F6BB2}">
      <formula1>$B$654:$B$685</formula1>
    </dataValidation>
    <dataValidation type="list" showInputMessage="1" showErrorMessage="1" promptTitle="Hand" prompt="Enter retained degrees of motion or &quot;NA&quot; if contralateral joint has a history of injury or disease." sqref="G394:H394" xr:uid="{BA55BA94-0672-4AFD-9EE8-5DF481994128}">
      <formula1>$B$654:$B$670</formula1>
    </dataValidation>
    <dataValidation type="list" showInputMessage="1" showErrorMessage="1" promptTitle="Wrist" prompt="Ulnar deviation; enter degrees of ankylosis.  If joint was not affected by the injury, select &quot;NA&quot; or leave blank." sqref="C407:D407" xr:uid="{B52CFCD2-8376-4547-8CD7-1842FCD4962D}">
      <formula1>$B$654:$B$685</formula1>
    </dataValidation>
    <dataValidation type="list" showInputMessage="1" showErrorMessage="1" promptTitle="Wrist" prompt="Radial deviation; enter degrees of radial deviation ankylosis.  If joint was not affected by the injury, select &quot;NA&quot; or leave blank." sqref="C405:D405" xr:uid="{15154D3C-4B1E-40EE-AA5F-EB3C9FF462B3}">
      <formula1>$B$654:$B$675</formula1>
    </dataValidation>
    <dataValidation type="list" showInputMessage="1" showErrorMessage="1" promptTitle="Wrist" prompt="Enter retained degrees of motion, flexion (palmar) flexion.  If joint was not affected by the injury, select &quot;NA&quot; or leave blank." sqref="C402:D402" xr:uid="{4D8E7CF9-5D59-4499-B0E1-BAB4B97930BC}">
      <formula1>$B$654:$B$725</formula1>
    </dataValidation>
    <dataValidation type="list" showInputMessage="1" showErrorMessage="1" promptTitle="Wrist" prompt="Enter degrees of extension ankylosis. If joint was not affected by the injury, select &quot;NA&quot; or leave blank." sqref="C401:D401" xr:uid="{793147F4-60B4-457F-A464-E607C76E594D}">
      <formula1>$B$654:$B$715</formula1>
    </dataValidation>
    <dataValidation type="list" showInputMessage="1" showErrorMessage="1" promptTitle="Wrist" prompt="Ulnar deviation; enter retained degrees of motion.  If joint was not affected by the injury, select &quot;NA&quot; or leave blank." sqref="C406:D406" xr:uid="{95FB334B-BB9E-4152-87FE-B66BC1EDCBBE}">
      <formula1>$B$654:$B$685</formula1>
    </dataValidation>
    <dataValidation type="list" showInputMessage="1" showErrorMessage="1" promptTitle="Wrist" prompt="Enter degrees of flexion ankylosis.  If joint was not affected by the injury, select &quot;NA&quot; or leave blank." sqref="C403:D403" xr:uid="{73CB26D1-FD45-48EC-B691-A578035445BD}">
      <formula1>$B$654:$B$725</formula1>
    </dataValidation>
    <dataValidation type="list" showInputMessage="1" showErrorMessage="1" promptTitle="Wrist" prompt="Enter retained degrees of motion or &quot;NA&quot; if contralateral joint has a history of injury or disease." sqref="G400:H400 G402:H402 G404:H404 G406:H406" xr:uid="{C2E10498-1D17-43AA-AD07-56B960BA09FF}">
      <formula1>$B$654:$B$715</formula1>
    </dataValidation>
    <dataValidation type="list" showInputMessage="1" showErrorMessage="1" promptTitle="Arm" prompt="Pronation; enter degrees of pronation ankylosis. If joint was not affected by the injury, select &quot;NA&quot; or leave blank." sqref="C569:D569" xr:uid="{F98D9604-14AD-4A30-AC93-4AD14597FCDA}">
      <formula1>$B$654:$B$735</formula1>
    </dataValidation>
    <dataValidation type="list" showInputMessage="1" showErrorMessage="1" promptTitle="Arm" prompt="Pronation; enter retained degrees of motion. If joint was not affected by the injury, select &quot;NA&quot; or leave blank." sqref="C568:D568" xr:uid="{5A9E506D-FBFD-4DA6-8FDE-AFEFCA24B6C3}">
      <formula1>$B$654:$B$735</formula1>
    </dataValidation>
    <dataValidation type="list" showInputMessage="1" showErrorMessage="1" promptTitle="Arm" prompt="Supination; enter degrees of supination ankylosis. If joint was not affected by the injury, select &quot;NA&quot; or leave blank." sqref="C567:D567" xr:uid="{3615A00D-7919-4441-88D2-138EDF5F672C}">
      <formula1>$B$654:$B$735</formula1>
    </dataValidation>
    <dataValidation type="list" showInputMessage="1" showErrorMessage="1" promptTitle="Elbow" prompt="Enter degrees of extension ankylosis. If joint was not affected by the injury, select &quot;NA&quot; or leave blank." sqref="C565:D565" xr:uid="{42D4B59E-54C2-473D-BE5D-E6162CC156F3}">
      <formula1>$B$654:$B$805</formula1>
    </dataValidation>
    <dataValidation type="list" showInputMessage="1" showErrorMessage="1" promptTitle="Elbow" prompt="Enter retained degrees of motion, extension. If joint was not affected by the injury, select &quot;NA&quot; or leave blank." sqref="C564:D564" xr:uid="{96A4F45E-6254-41F4-A094-6E4D64C7E2CB}">
      <formula1>$B$654:$B$805</formula1>
    </dataValidation>
    <dataValidation type="list" showInputMessage="1" showErrorMessage="1" promptTitle="Elbow" prompt="Enter degrees of flexion ankylosis. If joint was not affected by the injury, select &quot;NA&quot; or leave blank." sqref="C563:D563" xr:uid="{2C1968EE-4FB6-4C33-92D8-72D9723C7359}">
      <formula1>$B$654:$B$805</formula1>
    </dataValidation>
    <dataValidation type="list" showInputMessage="1" showErrorMessage="1" promptTitle="Elbow" prompt="Enter retained degrees of motion or &quot;NA&quot; if contralateral joint has a history of injury or disease." sqref="G562:H562 G564:H564 G566:H566 G568:H568" xr:uid="{70D6973B-8D81-4C51-AD14-3E7691394DB8}">
      <formula1>$B$654:$B$805</formula1>
    </dataValidation>
  </dataValidations>
  <hyperlinks>
    <hyperlink ref="B57:N57" location="Rules!A57" display="Dermatological conditions of the thumb, including burns" xr:uid="{00000000-0004-0000-0500-000000000000}"/>
    <hyperlink ref="B58:N58" location="Rules!A80" display="Vascular dysfunction - thumb; or neurological dysfunction resulting in cold intolerance " xr:uid="{00000000-0004-0000-0500-000001000000}"/>
    <hyperlink ref="B134:N134" location="Rules!A57" display="Dermatological conditions of the thumb, including burns" xr:uid="{00000000-0004-0000-0500-000002000000}"/>
    <hyperlink ref="B135:N135" location="Rules!A80" display="Vascular dysfunction - thumb; or neurological dysfunction resulting in cold intolerance " xr:uid="{00000000-0004-0000-0500-000003000000}"/>
    <hyperlink ref="B210:N210" location="Rules!A57" display="Dermatological conditions of the thumb, including burns" xr:uid="{00000000-0004-0000-0500-000004000000}"/>
    <hyperlink ref="B211:N211" location="Rules!A80" display="Vascular dysfunction - thumb; or neurological dysfunction resulting in cold intolerance " xr:uid="{00000000-0004-0000-0500-000005000000}"/>
    <hyperlink ref="B286:N286" location="Rules!A57" display="Dermatological conditions of the thumb, including burns" xr:uid="{00000000-0004-0000-0500-000006000000}"/>
    <hyperlink ref="B287:N287" location="Rules!A80" display="Vascular dysfunction - thumb; or neurological dysfunction resulting in cold intolerance " xr:uid="{00000000-0004-0000-0500-000007000000}"/>
    <hyperlink ref="B361:N361" location="Rules!A57" display="Dermatological conditions of the thumb, including burns" xr:uid="{00000000-0004-0000-0500-000008000000}"/>
    <hyperlink ref="B362:N362" location="Rules!A80" display="Vascular dysfunction - thumb; or neurological dysfunction resulting in cold intolerance " xr:uid="{00000000-0004-0000-0500-000009000000}"/>
    <hyperlink ref="B438:F439" location="Rules!A80" display="Vascular dysfunction; or neurological dysfunction resulting in cold intolerance:" xr:uid="{00000000-0004-0000-0500-00000A000000}"/>
    <hyperlink ref="B583:N583" location="Rules!A57" display="Dermatological conditions of the thumb, including burns" xr:uid="{00000000-0004-0000-0500-00000B000000}"/>
    <hyperlink ref="B584:N584" location="Rules!A80" display="Vascular dysfunction - thumb; or neurological dysfunction resulting in cold intolerance " xr:uid="{00000000-0004-0000-0500-00000C000000}"/>
    <hyperlink ref="M444:P444" location="Rules!A3" display="Strength grade &amp; loss " xr:uid="{00000000-0004-0000-0500-00000D000000}"/>
    <hyperlink ref="C4:D4" location="'Upper Extremity-Left'!B5" display="Thumb" xr:uid="{00000000-0004-0000-0500-00000E000000}"/>
    <hyperlink ref="E4:F4" location="'Upper Extremity-Left'!B80" display="Index finger" xr:uid="{00000000-0004-0000-0500-00000F000000}"/>
    <hyperlink ref="G4:H4" location="'Upper Extremity-Left'!B156" display="Middle finger" xr:uid="{00000000-0004-0000-0500-000010000000}"/>
    <hyperlink ref="I4:J4" location="'Upper Extremity-Left'!B233" display="Ring finger" xr:uid="{00000000-0004-0000-0500-000011000000}"/>
    <hyperlink ref="K4:L4" location="'Upper Extremity-Left'!B308" display="Little finger" xr:uid="{00000000-0004-0000-0500-000012000000}"/>
    <hyperlink ref="M4:N4" location="'Upper Extremity-Left'!B383" display="hand/ forearm" xr:uid="{00000000-0004-0000-0500-000013000000}"/>
    <hyperlink ref="O4" location="'Upper Extremity-Left'!B556" display="Arm" xr:uid="{00000000-0004-0000-0500-000014000000}"/>
    <hyperlink ref="P4" location="'Upper Extremity-Left'!B442" display="Strength" xr:uid="{00000000-0004-0000-0500-000015000000}"/>
    <hyperlink ref="P556" location="'Upper Extremity-Left'!A429" display="Arm" xr:uid="{00000000-0004-0000-0500-000016000000}"/>
    <hyperlink ref="B638" location="'Upper Extremity-Left'!A1" display="Return to top of sheet" xr:uid="{00000000-0004-0000-0500-000017000000}"/>
    <hyperlink ref="J638:N638" location="'PPD DOI on or after 2005'!A1" display="'PPD DOI on or after 2005'!A1" xr:uid="{00000000-0004-0000-0500-000018000000}"/>
    <hyperlink ref="C638:I638" location="'PPD DOI before 2005'!A1" display="'PPD DOI before 2005'!A1" xr:uid="{00000000-0004-0000-0500-000019000000}"/>
    <hyperlink ref="B434" location="Rules!A57" display="Dermatological conditions, " xr:uid="{00000000-0004-0000-0500-00001A000000}"/>
    <hyperlink ref="B32" location="Rules!A116" display="Loss of sensation" xr:uid="{00000000-0004-0000-0500-00001B000000}"/>
    <hyperlink ref="B114" location="Rules!A116" display="Loss of sensation" xr:uid="{00000000-0004-0000-0500-00001C000000}"/>
    <hyperlink ref="B190" location="Rules!A116" display="Loss of sensation" xr:uid="{00000000-0004-0000-0500-00001D000000}"/>
    <hyperlink ref="B266" location="Rules!A116" display="Loss of sensation" xr:uid="{00000000-0004-0000-0500-00001E000000}"/>
    <hyperlink ref="B341" location="Rules!A116" display="Loss of sensation" xr:uid="{00000000-0004-0000-0500-00001F000000}"/>
  </hyperlinks>
  <pageMargins left="0.66" right="0.55000000000000004" top="0.55000000000000004" bottom="0.86" header="0.44" footer="0.5"/>
  <pageSetup orientation="portrait" horizontalDpi="300" verticalDpi="300" r:id="rId1"/>
  <headerFooter alignWithMargins="0">
    <oddFooter>&amp;LUpper extremity, Left&amp;CPage &amp;P</oddFooter>
  </headerFooter>
  <rowBreaks count="17" manualBreakCount="17">
    <brk id="42" max="16383" man="1"/>
    <brk id="78" max="16383" man="1"/>
    <brk id="123" max="16383" man="1"/>
    <brk id="153" max="16383" man="1"/>
    <brk id="199" max="16383" man="1"/>
    <brk id="230" max="16383" man="1"/>
    <brk id="275" max="16383" man="1"/>
    <brk id="305" max="16383" man="1"/>
    <brk id="350" max="16383" man="1"/>
    <brk id="381" max="16383" man="1"/>
    <brk id="423" max="16383" man="1"/>
    <brk id="451" max="16383" man="1"/>
    <brk id="493" max="16383" man="1"/>
    <brk id="525" max="16383" man="1"/>
    <brk id="554" max="16383" man="1"/>
    <brk id="592" max="16383" man="1"/>
    <brk id="610" max="16383" man="1"/>
  </rowBreaks>
  <ignoredErrors>
    <ignoredError sqref="H428:H429 K428:K429 M428:M429 O428:O429 V291 R596"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7109" r:id="rId4" name="Check Box 5">
              <controlPr defaultSize="0" autoFill="0" autoLine="0" autoPict="0">
                <anchor moveWithCells="1">
                  <from>
                    <xdr:col>3</xdr:col>
                    <xdr:colOff>238125</xdr:colOff>
                    <xdr:row>52</xdr:row>
                    <xdr:rowOff>123825</xdr:rowOff>
                  </from>
                  <to>
                    <xdr:col>5</xdr:col>
                    <xdr:colOff>66675</xdr:colOff>
                    <xdr:row>54</xdr:row>
                    <xdr:rowOff>0</xdr:rowOff>
                  </to>
                </anchor>
              </controlPr>
            </control>
          </mc:Choice>
        </mc:AlternateContent>
        <mc:AlternateContent xmlns:mc="http://schemas.openxmlformats.org/markup-compatibility/2006">
          <mc:Choice Requires="x14">
            <control shapeId="47110" r:id="rId5" name="Check Box 6">
              <controlPr defaultSize="0" autoFill="0" autoLine="0" autoPict="0">
                <anchor moveWithCells="1">
                  <from>
                    <xdr:col>3</xdr:col>
                    <xdr:colOff>238125</xdr:colOff>
                    <xdr:row>53</xdr:row>
                    <xdr:rowOff>161925</xdr:rowOff>
                  </from>
                  <to>
                    <xdr:col>5</xdr:col>
                    <xdr:colOff>66675</xdr:colOff>
                    <xdr:row>55</xdr:row>
                    <xdr:rowOff>0</xdr:rowOff>
                  </to>
                </anchor>
              </controlPr>
            </control>
          </mc:Choice>
        </mc:AlternateContent>
        <mc:AlternateContent xmlns:mc="http://schemas.openxmlformats.org/markup-compatibility/2006">
          <mc:Choice Requires="x14">
            <control shapeId="47115" r:id="rId6" name="Check Box 11">
              <controlPr defaultSize="0" autoFill="0" autoLine="0" autoPict="0">
                <anchor moveWithCells="1">
                  <from>
                    <xdr:col>3</xdr:col>
                    <xdr:colOff>19050</xdr:colOff>
                    <xdr:row>128</xdr:row>
                    <xdr:rowOff>133350</xdr:rowOff>
                  </from>
                  <to>
                    <xdr:col>4</xdr:col>
                    <xdr:colOff>57150</xdr:colOff>
                    <xdr:row>130</xdr:row>
                    <xdr:rowOff>9525</xdr:rowOff>
                  </to>
                </anchor>
              </controlPr>
            </control>
          </mc:Choice>
        </mc:AlternateContent>
        <mc:AlternateContent xmlns:mc="http://schemas.openxmlformats.org/markup-compatibility/2006">
          <mc:Choice Requires="x14">
            <control shapeId="47116" r:id="rId7" name="Check Box 12">
              <controlPr defaultSize="0" autoFill="0" autoLine="0" autoPict="0">
                <anchor moveWithCells="1">
                  <from>
                    <xdr:col>3</xdr:col>
                    <xdr:colOff>19050</xdr:colOff>
                    <xdr:row>129</xdr:row>
                    <xdr:rowOff>161925</xdr:rowOff>
                  </from>
                  <to>
                    <xdr:col>4</xdr:col>
                    <xdr:colOff>57150</xdr:colOff>
                    <xdr:row>131</xdr:row>
                    <xdr:rowOff>0</xdr:rowOff>
                  </to>
                </anchor>
              </controlPr>
            </control>
          </mc:Choice>
        </mc:AlternateContent>
        <mc:AlternateContent xmlns:mc="http://schemas.openxmlformats.org/markup-compatibility/2006">
          <mc:Choice Requires="x14">
            <control shapeId="47117" r:id="rId8" name="Check Box 13">
              <controlPr defaultSize="0" autoFill="0" autoLine="0" autoPict="0">
                <anchor moveWithCells="1">
                  <from>
                    <xdr:col>3</xdr:col>
                    <xdr:colOff>19050</xdr:colOff>
                    <xdr:row>130</xdr:row>
                    <xdr:rowOff>171450</xdr:rowOff>
                  </from>
                  <to>
                    <xdr:col>4</xdr:col>
                    <xdr:colOff>57150</xdr:colOff>
                    <xdr:row>132</xdr:row>
                    <xdr:rowOff>9525</xdr:rowOff>
                  </to>
                </anchor>
              </controlPr>
            </control>
          </mc:Choice>
        </mc:AlternateContent>
        <mc:AlternateContent xmlns:mc="http://schemas.openxmlformats.org/markup-compatibility/2006">
          <mc:Choice Requires="x14">
            <control shapeId="47122" r:id="rId9" name="Check Box 18">
              <controlPr defaultSize="0" autoFill="0" autoLine="0" autoPict="0">
                <anchor moveWithCells="1">
                  <from>
                    <xdr:col>3</xdr:col>
                    <xdr:colOff>19050</xdr:colOff>
                    <xdr:row>204</xdr:row>
                    <xdr:rowOff>142875</xdr:rowOff>
                  </from>
                  <to>
                    <xdr:col>4</xdr:col>
                    <xdr:colOff>57150</xdr:colOff>
                    <xdr:row>206</xdr:row>
                    <xdr:rowOff>19050</xdr:rowOff>
                  </to>
                </anchor>
              </controlPr>
            </control>
          </mc:Choice>
        </mc:AlternateContent>
        <mc:AlternateContent xmlns:mc="http://schemas.openxmlformats.org/markup-compatibility/2006">
          <mc:Choice Requires="x14">
            <control shapeId="47123" r:id="rId10" name="Check Box 19">
              <controlPr defaultSize="0" autoFill="0" autoLine="0" autoPict="0">
                <anchor moveWithCells="1">
                  <from>
                    <xdr:col>3</xdr:col>
                    <xdr:colOff>19050</xdr:colOff>
                    <xdr:row>205</xdr:row>
                    <xdr:rowOff>171450</xdr:rowOff>
                  </from>
                  <to>
                    <xdr:col>4</xdr:col>
                    <xdr:colOff>57150</xdr:colOff>
                    <xdr:row>207</xdr:row>
                    <xdr:rowOff>9525</xdr:rowOff>
                  </to>
                </anchor>
              </controlPr>
            </control>
          </mc:Choice>
        </mc:AlternateContent>
        <mc:AlternateContent xmlns:mc="http://schemas.openxmlformats.org/markup-compatibility/2006">
          <mc:Choice Requires="x14">
            <control shapeId="47124" r:id="rId11" name="Check Box 20">
              <controlPr defaultSize="0" autoFill="0" autoLine="0" autoPict="0">
                <anchor moveWithCells="1">
                  <from>
                    <xdr:col>3</xdr:col>
                    <xdr:colOff>19050</xdr:colOff>
                    <xdr:row>206</xdr:row>
                    <xdr:rowOff>180975</xdr:rowOff>
                  </from>
                  <to>
                    <xdr:col>4</xdr:col>
                    <xdr:colOff>57150</xdr:colOff>
                    <xdr:row>208</xdr:row>
                    <xdr:rowOff>19050</xdr:rowOff>
                  </to>
                </anchor>
              </controlPr>
            </control>
          </mc:Choice>
        </mc:AlternateContent>
        <mc:AlternateContent xmlns:mc="http://schemas.openxmlformats.org/markup-compatibility/2006">
          <mc:Choice Requires="x14">
            <control shapeId="47129" r:id="rId12" name="Check Box 25">
              <controlPr defaultSize="0" autoFill="0" autoLine="0" autoPict="0">
                <anchor moveWithCells="1">
                  <from>
                    <xdr:col>3</xdr:col>
                    <xdr:colOff>28575</xdr:colOff>
                    <xdr:row>280</xdr:row>
                    <xdr:rowOff>133350</xdr:rowOff>
                  </from>
                  <to>
                    <xdr:col>4</xdr:col>
                    <xdr:colOff>66675</xdr:colOff>
                    <xdr:row>282</xdr:row>
                    <xdr:rowOff>9525</xdr:rowOff>
                  </to>
                </anchor>
              </controlPr>
            </control>
          </mc:Choice>
        </mc:AlternateContent>
        <mc:AlternateContent xmlns:mc="http://schemas.openxmlformats.org/markup-compatibility/2006">
          <mc:Choice Requires="x14">
            <control shapeId="47130" r:id="rId13" name="Check Box 26">
              <controlPr defaultSize="0" autoFill="0" autoLine="0" autoPict="0">
                <anchor moveWithCells="1">
                  <from>
                    <xdr:col>3</xdr:col>
                    <xdr:colOff>28575</xdr:colOff>
                    <xdr:row>281</xdr:row>
                    <xdr:rowOff>161925</xdr:rowOff>
                  </from>
                  <to>
                    <xdr:col>4</xdr:col>
                    <xdr:colOff>66675</xdr:colOff>
                    <xdr:row>283</xdr:row>
                    <xdr:rowOff>0</xdr:rowOff>
                  </to>
                </anchor>
              </controlPr>
            </control>
          </mc:Choice>
        </mc:AlternateContent>
        <mc:AlternateContent xmlns:mc="http://schemas.openxmlformats.org/markup-compatibility/2006">
          <mc:Choice Requires="x14">
            <control shapeId="47131" r:id="rId14" name="Check Box 27">
              <controlPr defaultSize="0" autoFill="0" autoLine="0" autoPict="0">
                <anchor moveWithCells="1">
                  <from>
                    <xdr:col>3</xdr:col>
                    <xdr:colOff>28575</xdr:colOff>
                    <xdr:row>282</xdr:row>
                    <xdr:rowOff>171450</xdr:rowOff>
                  </from>
                  <to>
                    <xdr:col>4</xdr:col>
                    <xdr:colOff>66675</xdr:colOff>
                    <xdr:row>284</xdr:row>
                    <xdr:rowOff>9525</xdr:rowOff>
                  </to>
                </anchor>
              </controlPr>
            </control>
          </mc:Choice>
        </mc:AlternateContent>
        <mc:AlternateContent xmlns:mc="http://schemas.openxmlformats.org/markup-compatibility/2006">
          <mc:Choice Requires="x14">
            <control shapeId="47136" r:id="rId15" name="Check Box 32">
              <controlPr defaultSize="0" autoFill="0" autoLine="0" autoPict="0">
                <anchor moveWithCells="1">
                  <from>
                    <xdr:col>3</xdr:col>
                    <xdr:colOff>38100</xdr:colOff>
                    <xdr:row>355</xdr:row>
                    <xdr:rowOff>133350</xdr:rowOff>
                  </from>
                  <to>
                    <xdr:col>4</xdr:col>
                    <xdr:colOff>76200</xdr:colOff>
                    <xdr:row>357</xdr:row>
                    <xdr:rowOff>9525</xdr:rowOff>
                  </to>
                </anchor>
              </controlPr>
            </control>
          </mc:Choice>
        </mc:AlternateContent>
        <mc:AlternateContent xmlns:mc="http://schemas.openxmlformats.org/markup-compatibility/2006">
          <mc:Choice Requires="x14">
            <control shapeId="47137" r:id="rId16" name="Check Box 33">
              <controlPr defaultSize="0" autoFill="0" autoLine="0" autoPict="0">
                <anchor moveWithCells="1">
                  <from>
                    <xdr:col>3</xdr:col>
                    <xdr:colOff>38100</xdr:colOff>
                    <xdr:row>356</xdr:row>
                    <xdr:rowOff>161925</xdr:rowOff>
                  </from>
                  <to>
                    <xdr:col>4</xdr:col>
                    <xdr:colOff>76200</xdr:colOff>
                    <xdr:row>358</xdr:row>
                    <xdr:rowOff>0</xdr:rowOff>
                  </to>
                </anchor>
              </controlPr>
            </control>
          </mc:Choice>
        </mc:AlternateContent>
        <mc:AlternateContent xmlns:mc="http://schemas.openxmlformats.org/markup-compatibility/2006">
          <mc:Choice Requires="x14">
            <control shapeId="47138" r:id="rId17" name="Check Box 34">
              <controlPr defaultSize="0" autoFill="0" autoLine="0" autoPict="0">
                <anchor moveWithCells="1">
                  <from>
                    <xdr:col>3</xdr:col>
                    <xdr:colOff>38100</xdr:colOff>
                    <xdr:row>357</xdr:row>
                    <xdr:rowOff>171450</xdr:rowOff>
                  </from>
                  <to>
                    <xdr:col>4</xdr:col>
                    <xdr:colOff>76200</xdr:colOff>
                    <xdr:row>359</xdr:row>
                    <xdr:rowOff>9525</xdr:rowOff>
                  </to>
                </anchor>
              </controlPr>
            </control>
          </mc:Choice>
        </mc:AlternateContent>
        <mc:AlternateContent xmlns:mc="http://schemas.openxmlformats.org/markup-compatibility/2006">
          <mc:Choice Requires="x14">
            <control shapeId="47139" r:id="rId18" name="Check Box 35">
              <controlPr defaultSize="0" autoFill="0" autoLine="0" autoPict="0">
                <anchor moveWithCells="1">
                  <from>
                    <xdr:col>5</xdr:col>
                    <xdr:colOff>247650</xdr:colOff>
                    <xdr:row>384</xdr:row>
                    <xdr:rowOff>266700</xdr:rowOff>
                  </from>
                  <to>
                    <xdr:col>7</xdr:col>
                    <xdr:colOff>238125</xdr:colOff>
                    <xdr:row>385</xdr:row>
                    <xdr:rowOff>219075</xdr:rowOff>
                  </to>
                </anchor>
              </controlPr>
            </control>
          </mc:Choice>
        </mc:AlternateContent>
        <mc:AlternateContent xmlns:mc="http://schemas.openxmlformats.org/markup-compatibility/2006">
          <mc:Choice Requires="x14">
            <control shapeId="47140" r:id="rId19" name="Check Box 36">
              <controlPr defaultSize="0" autoFill="0" autoLine="0" autoPict="0">
                <anchor moveWithCells="1">
                  <from>
                    <xdr:col>5</xdr:col>
                    <xdr:colOff>247650</xdr:colOff>
                    <xdr:row>385</xdr:row>
                    <xdr:rowOff>228600</xdr:rowOff>
                  </from>
                  <to>
                    <xdr:col>7</xdr:col>
                    <xdr:colOff>238125</xdr:colOff>
                    <xdr:row>387</xdr:row>
                    <xdr:rowOff>0</xdr:rowOff>
                  </to>
                </anchor>
              </controlPr>
            </control>
          </mc:Choice>
        </mc:AlternateContent>
        <mc:AlternateContent xmlns:mc="http://schemas.openxmlformats.org/markup-compatibility/2006">
          <mc:Choice Requires="x14">
            <control shapeId="47141" r:id="rId20" name="Check Box 37">
              <controlPr defaultSize="0" autoFill="0" autoLine="0" autoPict="0">
                <anchor moveWithCells="1">
                  <from>
                    <xdr:col>5</xdr:col>
                    <xdr:colOff>247650</xdr:colOff>
                    <xdr:row>387</xdr:row>
                    <xdr:rowOff>9525</xdr:rowOff>
                  </from>
                  <to>
                    <xdr:col>7</xdr:col>
                    <xdr:colOff>238125</xdr:colOff>
                    <xdr:row>388</xdr:row>
                    <xdr:rowOff>0</xdr:rowOff>
                  </to>
                </anchor>
              </controlPr>
            </control>
          </mc:Choice>
        </mc:AlternateContent>
        <mc:AlternateContent xmlns:mc="http://schemas.openxmlformats.org/markup-compatibility/2006">
          <mc:Choice Requires="x14">
            <control shapeId="47142" r:id="rId21" name="Check Box 38">
              <controlPr defaultSize="0" autoFill="0" autoLine="0" autoPict="0">
                <anchor moveWithCells="1">
                  <from>
                    <xdr:col>5</xdr:col>
                    <xdr:colOff>247650</xdr:colOff>
                    <xdr:row>388</xdr:row>
                    <xdr:rowOff>9525</xdr:rowOff>
                  </from>
                  <to>
                    <xdr:col>7</xdr:col>
                    <xdr:colOff>238125</xdr:colOff>
                    <xdr:row>389</xdr:row>
                    <xdr:rowOff>0</xdr:rowOff>
                  </to>
                </anchor>
              </controlPr>
            </control>
          </mc:Choice>
        </mc:AlternateContent>
        <mc:AlternateContent xmlns:mc="http://schemas.openxmlformats.org/markup-compatibility/2006">
          <mc:Choice Requires="x14">
            <control shapeId="47143" r:id="rId22" name="Check Box 39">
              <controlPr defaultSize="0" autoFill="0" autoLine="0" autoPict="0">
                <anchor moveWithCells="1">
                  <from>
                    <xdr:col>5</xdr:col>
                    <xdr:colOff>247650</xdr:colOff>
                    <xdr:row>389</xdr:row>
                    <xdr:rowOff>9525</xdr:rowOff>
                  </from>
                  <to>
                    <xdr:col>7</xdr:col>
                    <xdr:colOff>238125</xdr:colOff>
                    <xdr:row>390</xdr:row>
                    <xdr:rowOff>0</xdr:rowOff>
                  </to>
                </anchor>
              </controlPr>
            </control>
          </mc:Choice>
        </mc:AlternateContent>
        <mc:AlternateContent xmlns:mc="http://schemas.openxmlformats.org/markup-compatibility/2006">
          <mc:Choice Requires="x14">
            <control shapeId="47169" r:id="rId23" name="Check Box 65">
              <controlPr defaultSize="0" autoFill="0" autoLine="0" autoPict="0">
                <anchor moveWithCells="1">
                  <from>
                    <xdr:col>7</xdr:col>
                    <xdr:colOff>47625</xdr:colOff>
                    <xdr:row>420</xdr:row>
                    <xdr:rowOff>123825</xdr:rowOff>
                  </from>
                  <to>
                    <xdr:col>8</xdr:col>
                    <xdr:colOff>66675</xdr:colOff>
                    <xdr:row>421</xdr:row>
                    <xdr:rowOff>200025</xdr:rowOff>
                  </to>
                </anchor>
              </controlPr>
            </control>
          </mc:Choice>
        </mc:AlternateContent>
        <mc:AlternateContent xmlns:mc="http://schemas.openxmlformats.org/markup-compatibility/2006">
          <mc:Choice Requires="x14">
            <control shapeId="47170" r:id="rId24" name="Check Box 66">
              <controlPr defaultSize="0" autoFill="0" autoLine="0" autoPict="0">
                <anchor moveWithCells="1">
                  <from>
                    <xdr:col>7</xdr:col>
                    <xdr:colOff>47625</xdr:colOff>
                    <xdr:row>421</xdr:row>
                    <xdr:rowOff>209550</xdr:rowOff>
                  </from>
                  <to>
                    <xdr:col>8</xdr:col>
                    <xdr:colOff>66675</xdr:colOff>
                    <xdr:row>422</xdr:row>
                    <xdr:rowOff>200025</xdr:rowOff>
                  </to>
                </anchor>
              </controlPr>
            </control>
          </mc:Choice>
        </mc:AlternateContent>
        <mc:AlternateContent xmlns:mc="http://schemas.openxmlformats.org/markup-compatibility/2006">
          <mc:Choice Requires="x14">
            <control shapeId="47171" r:id="rId25" name="Check Box 67">
              <controlPr locked="0" defaultSize="0" autoFill="0" autoLine="0" autoPict="0">
                <anchor moveWithCells="1">
                  <from>
                    <xdr:col>4</xdr:col>
                    <xdr:colOff>9525</xdr:colOff>
                    <xdr:row>444</xdr:row>
                    <xdr:rowOff>190500</xdr:rowOff>
                  </from>
                  <to>
                    <xdr:col>5</xdr:col>
                    <xdr:colOff>104775</xdr:colOff>
                    <xdr:row>446</xdr:row>
                    <xdr:rowOff>28575</xdr:rowOff>
                  </to>
                </anchor>
              </controlPr>
            </control>
          </mc:Choice>
        </mc:AlternateContent>
        <mc:AlternateContent xmlns:mc="http://schemas.openxmlformats.org/markup-compatibility/2006">
          <mc:Choice Requires="x14">
            <control shapeId="47172" r:id="rId26" name="Check Box 68">
              <controlPr locked="0" defaultSize="0" autoFill="0" autoLine="0" autoPict="0">
                <anchor moveWithCells="1">
                  <from>
                    <xdr:col>4</xdr:col>
                    <xdr:colOff>9525</xdr:colOff>
                    <xdr:row>445</xdr:row>
                    <xdr:rowOff>180975</xdr:rowOff>
                  </from>
                  <to>
                    <xdr:col>5</xdr:col>
                    <xdr:colOff>104775</xdr:colOff>
                    <xdr:row>447</xdr:row>
                    <xdr:rowOff>19050</xdr:rowOff>
                  </to>
                </anchor>
              </controlPr>
            </control>
          </mc:Choice>
        </mc:AlternateContent>
        <mc:AlternateContent xmlns:mc="http://schemas.openxmlformats.org/markup-compatibility/2006">
          <mc:Choice Requires="x14">
            <control shapeId="47173" r:id="rId27" name="Check Box 69">
              <controlPr locked="0" defaultSize="0" autoFill="0" autoLine="0" autoPict="0">
                <anchor moveWithCells="1">
                  <from>
                    <xdr:col>4</xdr:col>
                    <xdr:colOff>9525</xdr:colOff>
                    <xdr:row>446</xdr:row>
                    <xdr:rowOff>171450</xdr:rowOff>
                  </from>
                  <to>
                    <xdr:col>5</xdr:col>
                    <xdr:colOff>104775</xdr:colOff>
                    <xdr:row>448</xdr:row>
                    <xdr:rowOff>9525</xdr:rowOff>
                  </to>
                </anchor>
              </controlPr>
            </control>
          </mc:Choice>
        </mc:AlternateContent>
        <mc:AlternateContent xmlns:mc="http://schemas.openxmlformats.org/markup-compatibility/2006">
          <mc:Choice Requires="x14">
            <control shapeId="47174" r:id="rId28" name="Check Box 70">
              <controlPr locked="0" defaultSize="0" autoFill="0" autoLine="0" autoPict="0">
                <anchor moveWithCells="1">
                  <from>
                    <xdr:col>4</xdr:col>
                    <xdr:colOff>9525</xdr:colOff>
                    <xdr:row>447</xdr:row>
                    <xdr:rowOff>161925</xdr:rowOff>
                  </from>
                  <to>
                    <xdr:col>5</xdr:col>
                    <xdr:colOff>104775</xdr:colOff>
                    <xdr:row>449</xdr:row>
                    <xdr:rowOff>0</xdr:rowOff>
                  </to>
                </anchor>
              </controlPr>
            </control>
          </mc:Choice>
        </mc:AlternateContent>
        <mc:AlternateContent xmlns:mc="http://schemas.openxmlformats.org/markup-compatibility/2006">
          <mc:Choice Requires="x14">
            <control shapeId="47175" r:id="rId29" name="Check Box 71">
              <controlPr locked="0" defaultSize="0" autoFill="0" autoLine="0" autoPict="0">
                <anchor moveWithCells="1">
                  <from>
                    <xdr:col>4</xdr:col>
                    <xdr:colOff>9525</xdr:colOff>
                    <xdr:row>448</xdr:row>
                    <xdr:rowOff>171450</xdr:rowOff>
                  </from>
                  <to>
                    <xdr:col>5</xdr:col>
                    <xdr:colOff>104775</xdr:colOff>
                    <xdr:row>450</xdr:row>
                    <xdr:rowOff>9525</xdr:rowOff>
                  </to>
                </anchor>
              </controlPr>
            </control>
          </mc:Choice>
        </mc:AlternateContent>
        <mc:AlternateContent xmlns:mc="http://schemas.openxmlformats.org/markup-compatibility/2006">
          <mc:Choice Requires="x14">
            <control shapeId="47176" r:id="rId30" name="Check Box 72">
              <controlPr locked="0" defaultSize="0" autoFill="0" autoLine="0" autoPict="0">
                <anchor moveWithCells="1">
                  <from>
                    <xdr:col>4</xdr:col>
                    <xdr:colOff>9525</xdr:colOff>
                    <xdr:row>452</xdr:row>
                    <xdr:rowOff>180975</xdr:rowOff>
                  </from>
                  <to>
                    <xdr:col>5</xdr:col>
                    <xdr:colOff>104775</xdr:colOff>
                    <xdr:row>453</xdr:row>
                    <xdr:rowOff>333375</xdr:rowOff>
                  </to>
                </anchor>
              </controlPr>
            </control>
          </mc:Choice>
        </mc:AlternateContent>
        <mc:AlternateContent xmlns:mc="http://schemas.openxmlformats.org/markup-compatibility/2006">
          <mc:Choice Requires="x14">
            <control shapeId="47177" r:id="rId31" name="Check Box 73">
              <controlPr locked="0" defaultSize="0" autoFill="0" autoLine="0" autoPict="0">
                <anchor moveWithCells="1">
                  <from>
                    <xdr:col>4</xdr:col>
                    <xdr:colOff>9525</xdr:colOff>
                    <xdr:row>453</xdr:row>
                    <xdr:rowOff>323850</xdr:rowOff>
                  </from>
                  <to>
                    <xdr:col>5</xdr:col>
                    <xdr:colOff>104775</xdr:colOff>
                    <xdr:row>455</xdr:row>
                    <xdr:rowOff>9525</xdr:rowOff>
                  </to>
                </anchor>
              </controlPr>
            </control>
          </mc:Choice>
        </mc:AlternateContent>
        <mc:AlternateContent xmlns:mc="http://schemas.openxmlformats.org/markup-compatibility/2006">
          <mc:Choice Requires="x14">
            <control shapeId="47178" r:id="rId32" name="Check Box 74">
              <controlPr locked="0" defaultSize="0" autoFill="0" autoLine="0" autoPict="0">
                <anchor moveWithCells="1">
                  <from>
                    <xdr:col>4</xdr:col>
                    <xdr:colOff>9525</xdr:colOff>
                    <xdr:row>454</xdr:row>
                    <xdr:rowOff>161925</xdr:rowOff>
                  </from>
                  <to>
                    <xdr:col>5</xdr:col>
                    <xdr:colOff>104775</xdr:colOff>
                    <xdr:row>456</xdr:row>
                    <xdr:rowOff>0</xdr:rowOff>
                  </to>
                </anchor>
              </controlPr>
            </control>
          </mc:Choice>
        </mc:AlternateContent>
        <mc:AlternateContent xmlns:mc="http://schemas.openxmlformats.org/markup-compatibility/2006">
          <mc:Choice Requires="x14">
            <control shapeId="47179" r:id="rId33" name="Check Box 75">
              <controlPr locked="0" defaultSize="0" autoFill="0" autoLine="0" autoPict="0">
                <anchor moveWithCells="1">
                  <from>
                    <xdr:col>4</xdr:col>
                    <xdr:colOff>9525</xdr:colOff>
                    <xdr:row>455</xdr:row>
                    <xdr:rowOff>152400</xdr:rowOff>
                  </from>
                  <to>
                    <xdr:col>5</xdr:col>
                    <xdr:colOff>104775</xdr:colOff>
                    <xdr:row>456</xdr:row>
                    <xdr:rowOff>180975</xdr:rowOff>
                  </to>
                </anchor>
              </controlPr>
            </control>
          </mc:Choice>
        </mc:AlternateContent>
        <mc:AlternateContent xmlns:mc="http://schemas.openxmlformats.org/markup-compatibility/2006">
          <mc:Choice Requires="x14">
            <control shapeId="47187" r:id="rId34" name="Check Box 83">
              <controlPr locked="0" defaultSize="0" autoFill="0" autoLine="0" autoPict="0">
                <anchor moveWithCells="1">
                  <from>
                    <xdr:col>4</xdr:col>
                    <xdr:colOff>9525</xdr:colOff>
                    <xdr:row>489</xdr:row>
                    <xdr:rowOff>161925</xdr:rowOff>
                  </from>
                  <to>
                    <xdr:col>5</xdr:col>
                    <xdr:colOff>104775</xdr:colOff>
                    <xdr:row>491</xdr:row>
                    <xdr:rowOff>0</xdr:rowOff>
                  </to>
                </anchor>
              </controlPr>
            </control>
          </mc:Choice>
        </mc:AlternateContent>
        <mc:AlternateContent xmlns:mc="http://schemas.openxmlformats.org/markup-compatibility/2006">
          <mc:Choice Requires="x14">
            <control shapeId="47189" r:id="rId35" name="Check Box 85">
              <controlPr locked="0" defaultSize="0" autoFill="0" autoLine="0" autoPict="0">
                <anchor moveWithCells="1">
                  <from>
                    <xdr:col>4</xdr:col>
                    <xdr:colOff>9525</xdr:colOff>
                    <xdr:row>488</xdr:row>
                    <xdr:rowOff>142875</xdr:rowOff>
                  </from>
                  <to>
                    <xdr:col>5</xdr:col>
                    <xdr:colOff>104775</xdr:colOff>
                    <xdr:row>489</xdr:row>
                    <xdr:rowOff>171450</xdr:rowOff>
                  </to>
                </anchor>
              </controlPr>
            </control>
          </mc:Choice>
        </mc:AlternateContent>
        <mc:AlternateContent xmlns:mc="http://schemas.openxmlformats.org/markup-compatibility/2006">
          <mc:Choice Requires="x14">
            <control shapeId="47203" r:id="rId36" name="Check Box 99">
              <controlPr locked="0" defaultSize="0" autoFill="0" autoLine="0" autoPict="0">
                <anchor moveWithCells="1">
                  <from>
                    <xdr:col>4</xdr:col>
                    <xdr:colOff>9525</xdr:colOff>
                    <xdr:row>477</xdr:row>
                    <xdr:rowOff>161925</xdr:rowOff>
                  </from>
                  <to>
                    <xdr:col>5</xdr:col>
                    <xdr:colOff>104775</xdr:colOff>
                    <xdr:row>479</xdr:row>
                    <xdr:rowOff>0</xdr:rowOff>
                  </to>
                </anchor>
              </controlPr>
            </control>
          </mc:Choice>
        </mc:AlternateContent>
        <mc:AlternateContent xmlns:mc="http://schemas.openxmlformats.org/markup-compatibility/2006">
          <mc:Choice Requires="x14">
            <control shapeId="47204" r:id="rId37" name="Check Box 100">
              <controlPr locked="0" defaultSize="0" autoFill="0" autoLine="0" autoPict="0">
                <anchor moveWithCells="1">
                  <from>
                    <xdr:col>4</xdr:col>
                    <xdr:colOff>9525</xdr:colOff>
                    <xdr:row>478</xdr:row>
                    <xdr:rowOff>161925</xdr:rowOff>
                  </from>
                  <to>
                    <xdr:col>5</xdr:col>
                    <xdr:colOff>104775</xdr:colOff>
                    <xdr:row>480</xdr:row>
                    <xdr:rowOff>0</xdr:rowOff>
                  </to>
                </anchor>
              </controlPr>
            </control>
          </mc:Choice>
        </mc:AlternateContent>
        <mc:AlternateContent xmlns:mc="http://schemas.openxmlformats.org/markup-compatibility/2006">
          <mc:Choice Requires="x14">
            <control shapeId="47205" r:id="rId38" name="Check Box 101">
              <controlPr locked="0" defaultSize="0" autoFill="0" autoLine="0" autoPict="0">
                <anchor moveWithCells="1">
                  <from>
                    <xdr:col>4</xdr:col>
                    <xdr:colOff>9525</xdr:colOff>
                    <xdr:row>479</xdr:row>
                    <xdr:rowOff>142875</xdr:rowOff>
                  </from>
                  <to>
                    <xdr:col>5</xdr:col>
                    <xdr:colOff>104775</xdr:colOff>
                    <xdr:row>480</xdr:row>
                    <xdr:rowOff>171450</xdr:rowOff>
                  </to>
                </anchor>
              </controlPr>
            </control>
          </mc:Choice>
        </mc:AlternateContent>
        <mc:AlternateContent xmlns:mc="http://schemas.openxmlformats.org/markup-compatibility/2006">
          <mc:Choice Requires="x14">
            <control shapeId="47206" r:id="rId39" name="Check Box 102">
              <controlPr locked="0" defaultSize="0" autoFill="0" autoLine="0" autoPict="0">
                <anchor moveWithCells="1">
                  <from>
                    <xdr:col>4</xdr:col>
                    <xdr:colOff>9525</xdr:colOff>
                    <xdr:row>480</xdr:row>
                    <xdr:rowOff>133350</xdr:rowOff>
                  </from>
                  <to>
                    <xdr:col>5</xdr:col>
                    <xdr:colOff>104775</xdr:colOff>
                    <xdr:row>481</xdr:row>
                    <xdr:rowOff>161925</xdr:rowOff>
                  </to>
                </anchor>
              </controlPr>
            </control>
          </mc:Choice>
        </mc:AlternateContent>
        <mc:AlternateContent xmlns:mc="http://schemas.openxmlformats.org/markup-compatibility/2006">
          <mc:Choice Requires="x14">
            <control shapeId="47207" r:id="rId40" name="Check Box 103">
              <controlPr locked="0" defaultSize="0" autoFill="0" autoLine="0" autoPict="0">
                <anchor moveWithCells="1">
                  <from>
                    <xdr:col>4</xdr:col>
                    <xdr:colOff>9525</xdr:colOff>
                    <xdr:row>481</xdr:row>
                    <xdr:rowOff>142875</xdr:rowOff>
                  </from>
                  <to>
                    <xdr:col>5</xdr:col>
                    <xdr:colOff>104775</xdr:colOff>
                    <xdr:row>482</xdr:row>
                    <xdr:rowOff>171450</xdr:rowOff>
                  </to>
                </anchor>
              </controlPr>
            </control>
          </mc:Choice>
        </mc:AlternateContent>
        <mc:AlternateContent xmlns:mc="http://schemas.openxmlformats.org/markup-compatibility/2006">
          <mc:Choice Requires="x14">
            <control shapeId="47208" r:id="rId41" name="Check Box 104">
              <controlPr locked="0" defaultSize="0" autoFill="0" autoLine="0" autoPict="0">
                <anchor moveWithCells="1">
                  <from>
                    <xdr:col>4</xdr:col>
                    <xdr:colOff>9525</xdr:colOff>
                    <xdr:row>482</xdr:row>
                    <xdr:rowOff>142875</xdr:rowOff>
                  </from>
                  <to>
                    <xdr:col>5</xdr:col>
                    <xdr:colOff>104775</xdr:colOff>
                    <xdr:row>483</xdr:row>
                    <xdr:rowOff>171450</xdr:rowOff>
                  </to>
                </anchor>
              </controlPr>
            </control>
          </mc:Choice>
        </mc:AlternateContent>
        <mc:AlternateContent xmlns:mc="http://schemas.openxmlformats.org/markup-compatibility/2006">
          <mc:Choice Requires="x14">
            <control shapeId="47209" r:id="rId42" name="Check Box 105">
              <controlPr locked="0" defaultSize="0" autoFill="0" autoLine="0" autoPict="0">
                <anchor moveWithCells="1">
                  <from>
                    <xdr:col>4</xdr:col>
                    <xdr:colOff>9525</xdr:colOff>
                    <xdr:row>483</xdr:row>
                    <xdr:rowOff>142875</xdr:rowOff>
                  </from>
                  <to>
                    <xdr:col>5</xdr:col>
                    <xdr:colOff>104775</xdr:colOff>
                    <xdr:row>484</xdr:row>
                    <xdr:rowOff>171450</xdr:rowOff>
                  </to>
                </anchor>
              </controlPr>
            </control>
          </mc:Choice>
        </mc:AlternateContent>
        <mc:AlternateContent xmlns:mc="http://schemas.openxmlformats.org/markup-compatibility/2006">
          <mc:Choice Requires="x14">
            <control shapeId="47210" r:id="rId43" name="Check Box 106">
              <controlPr locked="0" defaultSize="0" autoFill="0" autoLine="0" autoPict="0">
                <anchor moveWithCells="1">
                  <from>
                    <xdr:col>4</xdr:col>
                    <xdr:colOff>9525</xdr:colOff>
                    <xdr:row>484</xdr:row>
                    <xdr:rowOff>161925</xdr:rowOff>
                  </from>
                  <to>
                    <xdr:col>5</xdr:col>
                    <xdr:colOff>104775</xdr:colOff>
                    <xdr:row>486</xdr:row>
                    <xdr:rowOff>0</xdr:rowOff>
                  </to>
                </anchor>
              </controlPr>
            </control>
          </mc:Choice>
        </mc:AlternateContent>
        <mc:AlternateContent xmlns:mc="http://schemas.openxmlformats.org/markup-compatibility/2006">
          <mc:Choice Requires="x14">
            <control shapeId="47211" r:id="rId44" name="Check Box 107">
              <controlPr locked="0" defaultSize="0" autoFill="0" autoLine="0" autoPict="0">
                <anchor moveWithCells="1">
                  <from>
                    <xdr:col>4</xdr:col>
                    <xdr:colOff>9525</xdr:colOff>
                    <xdr:row>485</xdr:row>
                    <xdr:rowOff>142875</xdr:rowOff>
                  </from>
                  <to>
                    <xdr:col>5</xdr:col>
                    <xdr:colOff>104775</xdr:colOff>
                    <xdr:row>486</xdr:row>
                    <xdr:rowOff>171450</xdr:rowOff>
                  </to>
                </anchor>
              </controlPr>
            </control>
          </mc:Choice>
        </mc:AlternateContent>
        <mc:AlternateContent xmlns:mc="http://schemas.openxmlformats.org/markup-compatibility/2006">
          <mc:Choice Requires="x14">
            <control shapeId="47212" r:id="rId45" name="Check Box 108">
              <controlPr locked="0" defaultSize="0" autoFill="0" autoLine="0" autoPict="0">
                <anchor moveWithCells="1">
                  <from>
                    <xdr:col>4</xdr:col>
                    <xdr:colOff>9525</xdr:colOff>
                    <xdr:row>486</xdr:row>
                    <xdr:rowOff>152400</xdr:rowOff>
                  </from>
                  <to>
                    <xdr:col>5</xdr:col>
                    <xdr:colOff>104775</xdr:colOff>
                    <xdr:row>487</xdr:row>
                    <xdr:rowOff>180975</xdr:rowOff>
                  </to>
                </anchor>
              </controlPr>
            </control>
          </mc:Choice>
        </mc:AlternateContent>
        <mc:AlternateContent xmlns:mc="http://schemas.openxmlformats.org/markup-compatibility/2006">
          <mc:Choice Requires="x14">
            <control shapeId="47213" r:id="rId46" name="Check Box 109">
              <controlPr locked="0" defaultSize="0" autoFill="0" autoLine="0" autoPict="0">
                <anchor moveWithCells="1">
                  <from>
                    <xdr:col>4</xdr:col>
                    <xdr:colOff>9525</xdr:colOff>
                    <xdr:row>487</xdr:row>
                    <xdr:rowOff>142875</xdr:rowOff>
                  </from>
                  <to>
                    <xdr:col>5</xdr:col>
                    <xdr:colOff>104775</xdr:colOff>
                    <xdr:row>488</xdr:row>
                    <xdr:rowOff>171450</xdr:rowOff>
                  </to>
                </anchor>
              </controlPr>
            </control>
          </mc:Choice>
        </mc:AlternateContent>
        <mc:AlternateContent xmlns:mc="http://schemas.openxmlformats.org/markup-compatibility/2006">
          <mc:Choice Requires="x14">
            <control shapeId="47224" r:id="rId47" name="Check Box 120">
              <controlPr defaultSize="0" autoFill="0" autoLine="0" autoPict="0">
                <anchor moveWithCells="1">
                  <from>
                    <xdr:col>4</xdr:col>
                    <xdr:colOff>9525</xdr:colOff>
                    <xdr:row>493</xdr:row>
                    <xdr:rowOff>133350</xdr:rowOff>
                  </from>
                  <to>
                    <xdr:col>5</xdr:col>
                    <xdr:colOff>104775</xdr:colOff>
                    <xdr:row>495</xdr:row>
                    <xdr:rowOff>9525</xdr:rowOff>
                  </to>
                </anchor>
              </controlPr>
            </control>
          </mc:Choice>
        </mc:AlternateContent>
        <mc:AlternateContent xmlns:mc="http://schemas.openxmlformats.org/markup-compatibility/2006">
          <mc:Choice Requires="x14">
            <control shapeId="47225" r:id="rId48" name="Check Box 121">
              <controlPr defaultSize="0" autoFill="0" autoLine="0" autoPict="0">
                <anchor moveWithCells="1">
                  <from>
                    <xdr:col>4</xdr:col>
                    <xdr:colOff>9525</xdr:colOff>
                    <xdr:row>494</xdr:row>
                    <xdr:rowOff>171450</xdr:rowOff>
                  </from>
                  <to>
                    <xdr:col>5</xdr:col>
                    <xdr:colOff>104775</xdr:colOff>
                    <xdr:row>496</xdr:row>
                    <xdr:rowOff>9525</xdr:rowOff>
                  </to>
                </anchor>
              </controlPr>
            </control>
          </mc:Choice>
        </mc:AlternateContent>
        <mc:AlternateContent xmlns:mc="http://schemas.openxmlformats.org/markup-compatibility/2006">
          <mc:Choice Requires="x14">
            <control shapeId="47226" r:id="rId49" name="Check Box 122">
              <controlPr defaultSize="0" autoFill="0" autoLine="0" autoPict="0">
                <anchor moveWithCells="1">
                  <from>
                    <xdr:col>4</xdr:col>
                    <xdr:colOff>9525</xdr:colOff>
                    <xdr:row>496</xdr:row>
                    <xdr:rowOff>9525</xdr:rowOff>
                  </from>
                  <to>
                    <xdr:col>5</xdr:col>
                    <xdr:colOff>104775</xdr:colOff>
                    <xdr:row>496</xdr:row>
                    <xdr:rowOff>228600</xdr:rowOff>
                  </to>
                </anchor>
              </controlPr>
            </control>
          </mc:Choice>
        </mc:AlternateContent>
        <mc:AlternateContent xmlns:mc="http://schemas.openxmlformats.org/markup-compatibility/2006">
          <mc:Choice Requires="x14">
            <control shapeId="47227" r:id="rId50" name="Check Box 123">
              <controlPr defaultSize="0" autoFill="0" autoLine="0" autoPict="0">
                <anchor moveWithCells="1">
                  <from>
                    <xdr:col>4</xdr:col>
                    <xdr:colOff>9525</xdr:colOff>
                    <xdr:row>496</xdr:row>
                    <xdr:rowOff>314325</xdr:rowOff>
                  </from>
                  <to>
                    <xdr:col>5</xdr:col>
                    <xdr:colOff>104775</xdr:colOff>
                    <xdr:row>498</xdr:row>
                    <xdr:rowOff>0</xdr:rowOff>
                  </to>
                </anchor>
              </controlPr>
            </control>
          </mc:Choice>
        </mc:AlternateContent>
        <mc:AlternateContent xmlns:mc="http://schemas.openxmlformats.org/markup-compatibility/2006">
          <mc:Choice Requires="x14">
            <control shapeId="47228" r:id="rId51" name="Check Box 124">
              <controlPr defaultSize="0" autoFill="0" autoLine="0" autoPict="0">
                <anchor moveWithCells="1">
                  <from>
                    <xdr:col>4</xdr:col>
                    <xdr:colOff>9525</xdr:colOff>
                    <xdr:row>497</xdr:row>
                    <xdr:rowOff>161925</xdr:rowOff>
                  </from>
                  <to>
                    <xdr:col>5</xdr:col>
                    <xdr:colOff>104775</xdr:colOff>
                    <xdr:row>499</xdr:row>
                    <xdr:rowOff>0</xdr:rowOff>
                  </to>
                </anchor>
              </controlPr>
            </control>
          </mc:Choice>
        </mc:AlternateContent>
        <mc:AlternateContent xmlns:mc="http://schemas.openxmlformats.org/markup-compatibility/2006">
          <mc:Choice Requires="x14">
            <control shapeId="47229" r:id="rId52" name="Check Box 125">
              <controlPr defaultSize="0" autoFill="0" autoLine="0" autoPict="0">
                <anchor moveWithCells="1">
                  <from>
                    <xdr:col>4</xdr:col>
                    <xdr:colOff>9525</xdr:colOff>
                    <xdr:row>498</xdr:row>
                    <xdr:rowOff>161925</xdr:rowOff>
                  </from>
                  <to>
                    <xdr:col>5</xdr:col>
                    <xdr:colOff>104775</xdr:colOff>
                    <xdr:row>500</xdr:row>
                    <xdr:rowOff>0</xdr:rowOff>
                  </to>
                </anchor>
              </controlPr>
            </control>
          </mc:Choice>
        </mc:AlternateContent>
        <mc:AlternateContent xmlns:mc="http://schemas.openxmlformats.org/markup-compatibility/2006">
          <mc:Choice Requires="x14">
            <control shapeId="47230" r:id="rId53" name="Check Box 126">
              <controlPr defaultSize="0" autoFill="0" autoLine="0" autoPict="0">
                <anchor moveWithCells="1">
                  <from>
                    <xdr:col>4</xdr:col>
                    <xdr:colOff>9525</xdr:colOff>
                    <xdr:row>499</xdr:row>
                    <xdr:rowOff>161925</xdr:rowOff>
                  </from>
                  <to>
                    <xdr:col>5</xdr:col>
                    <xdr:colOff>104775</xdr:colOff>
                    <xdr:row>501</xdr:row>
                    <xdr:rowOff>0</xdr:rowOff>
                  </to>
                </anchor>
              </controlPr>
            </control>
          </mc:Choice>
        </mc:AlternateContent>
        <mc:AlternateContent xmlns:mc="http://schemas.openxmlformats.org/markup-compatibility/2006">
          <mc:Choice Requires="x14">
            <control shapeId="47231" r:id="rId54" name="Check Box 127">
              <controlPr defaultSize="0" autoFill="0" autoLine="0" autoPict="0">
                <anchor moveWithCells="1">
                  <from>
                    <xdr:col>4</xdr:col>
                    <xdr:colOff>9525</xdr:colOff>
                    <xdr:row>500</xdr:row>
                    <xdr:rowOff>161925</xdr:rowOff>
                  </from>
                  <to>
                    <xdr:col>5</xdr:col>
                    <xdr:colOff>104775</xdr:colOff>
                    <xdr:row>502</xdr:row>
                    <xdr:rowOff>0</xdr:rowOff>
                  </to>
                </anchor>
              </controlPr>
            </control>
          </mc:Choice>
        </mc:AlternateContent>
        <mc:AlternateContent xmlns:mc="http://schemas.openxmlformats.org/markup-compatibility/2006">
          <mc:Choice Requires="x14">
            <control shapeId="47232" r:id="rId55" name="Check Box 128">
              <controlPr defaultSize="0" autoFill="0" autoLine="0" autoPict="0">
                <anchor moveWithCells="1">
                  <from>
                    <xdr:col>4</xdr:col>
                    <xdr:colOff>9525</xdr:colOff>
                    <xdr:row>501</xdr:row>
                    <xdr:rowOff>161925</xdr:rowOff>
                  </from>
                  <to>
                    <xdr:col>5</xdr:col>
                    <xdr:colOff>104775</xdr:colOff>
                    <xdr:row>503</xdr:row>
                    <xdr:rowOff>0</xdr:rowOff>
                  </to>
                </anchor>
              </controlPr>
            </control>
          </mc:Choice>
        </mc:AlternateContent>
        <mc:AlternateContent xmlns:mc="http://schemas.openxmlformats.org/markup-compatibility/2006">
          <mc:Choice Requires="x14">
            <control shapeId="47233" r:id="rId56" name="Check Box 129">
              <controlPr defaultSize="0" autoFill="0" autoLine="0" autoPict="0">
                <anchor moveWithCells="1">
                  <from>
                    <xdr:col>4</xdr:col>
                    <xdr:colOff>9525</xdr:colOff>
                    <xdr:row>502</xdr:row>
                    <xdr:rowOff>161925</xdr:rowOff>
                  </from>
                  <to>
                    <xdr:col>5</xdr:col>
                    <xdr:colOff>104775</xdr:colOff>
                    <xdr:row>504</xdr:row>
                    <xdr:rowOff>0</xdr:rowOff>
                  </to>
                </anchor>
              </controlPr>
            </control>
          </mc:Choice>
        </mc:AlternateContent>
        <mc:AlternateContent xmlns:mc="http://schemas.openxmlformats.org/markup-compatibility/2006">
          <mc:Choice Requires="x14">
            <control shapeId="47234" r:id="rId57" name="Check Box 130">
              <controlPr defaultSize="0" autoFill="0" autoLine="0" autoPict="0">
                <anchor moveWithCells="1">
                  <from>
                    <xdr:col>4</xdr:col>
                    <xdr:colOff>9525</xdr:colOff>
                    <xdr:row>503</xdr:row>
                    <xdr:rowOff>104775</xdr:rowOff>
                  </from>
                  <to>
                    <xdr:col>5</xdr:col>
                    <xdr:colOff>104775</xdr:colOff>
                    <xdr:row>504</xdr:row>
                    <xdr:rowOff>314325</xdr:rowOff>
                  </to>
                </anchor>
              </controlPr>
            </control>
          </mc:Choice>
        </mc:AlternateContent>
        <mc:AlternateContent xmlns:mc="http://schemas.openxmlformats.org/markup-compatibility/2006">
          <mc:Choice Requires="x14">
            <control shapeId="47235" r:id="rId58" name="Group Box 131">
              <controlPr defaultSize="0" autoFill="0" autoPict="0">
                <anchor moveWithCells="1">
                  <from>
                    <xdr:col>11</xdr:col>
                    <xdr:colOff>9525</xdr:colOff>
                    <xdr:row>512</xdr:row>
                    <xdr:rowOff>514350</xdr:rowOff>
                  </from>
                  <to>
                    <xdr:col>15</xdr:col>
                    <xdr:colOff>19050</xdr:colOff>
                    <xdr:row>514</xdr:row>
                    <xdr:rowOff>0</xdr:rowOff>
                  </to>
                </anchor>
              </controlPr>
            </control>
          </mc:Choice>
        </mc:AlternateContent>
        <mc:AlternateContent xmlns:mc="http://schemas.openxmlformats.org/markup-compatibility/2006">
          <mc:Choice Requires="x14">
            <control shapeId="47236" r:id="rId59" name="Option Button 132">
              <controlPr defaultSize="0" autoFill="0" autoLine="0" autoPict="0">
                <anchor moveWithCells="1">
                  <from>
                    <xdr:col>11</xdr:col>
                    <xdr:colOff>190500</xdr:colOff>
                    <xdr:row>512</xdr:row>
                    <xdr:rowOff>514350</xdr:rowOff>
                  </from>
                  <to>
                    <xdr:col>13</xdr:col>
                    <xdr:colOff>66675</xdr:colOff>
                    <xdr:row>513</xdr:row>
                    <xdr:rowOff>228600</xdr:rowOff>
                  </to>
                </anchor>
              </controlPr>
            </control>
          </mc:Choice>
        </mc:AlternateContent>
        <mc:AlternateContent xmlns:mc="http://schemas.openxmlformats.org/markup-compatibility/2006">
          <mc:Choice Requires="x14">
            <control shapeId="47237" r:id="rId60" name="Option Button 133">
              <controlPr defaultSize="0" autoFill="0" autoLine="0" autoPict="0">
                <anchor moveWithCells="1">
                  <from>
                    <xdr:col>13</xdr:col>
                    <xdr:colOff>104775</xdr:colOff>
                    <xdr:row>512</xdr:row>
                    <xdr:rowOff>514350</xdr:rowOff>
                  </from>
                  <to>
                    <xdr:col>14</xdr:col>
                    <xdr:colOff>342900</xdr:colOff>
                    <xdr:row>513</xdr:row>
                    <xdr:rowOff>228600</xdr:rowOff>
                  </to>
                </anchor>
              </controlPr>
            </control>
          </mc:Choice>
        </mc:AlternateContent>
        <mc:AlternateContent xmlns:mc="http://schemas.openxmlformats.org/markup-compatibility/2006">
          <mc:Choice Requires="x14">
            <control shapeId="47238" r:id="rId61" name="Group Box 134">
              <controlPr defaultSize="0" autoFill="0" autoPict="0">
                <anchor moveWithCells="1">
                  <from>
                    <xdr:col>1</xdr:col>
                    <xdr:colOff>0</xdr:colOff>
                    <xdr:row>557</xdr:row>
                    <xdr:rowOff>0</xdr:rowOff>
                  </from>
                  <to>
                    <xdr:col>15</xdr:col>
                    <xdr:colOff>19050</xdr:colOff>
                    <xdr:row>558</xdr:row>
                    <xdr:rowOff>0</xdr:rowOff>
                  </to>
                </anchor>
              </controlPr>
            </control>
          </mc:Choice>
        </mc:AlternateContent>
        <mc:AlternateContent xmlns:mc="http://schemas.openxmlformats.org/markup-compatibility/2006">
          <mc:Choice Requires="x14">
            <control shapeId="47239" r:id="rId62" name="Option Button 135">
              <controlPr defaultSize="0" autoFill="0" autoLine="0" autoPict="0">
                <anchor moveWithCells="1">
                  <from>
                    <xdr:col>1</xdr:col>
                    <xdr:colOff>57150</xdr:colOff>
                    <xdr:row>557</xdr:row>
                    <xdr:rowOff>0</xdr:rowOff>
                  </from>
                  <to>
                    <xdr:col>1</xdr:col>
                    <xdr:colOff>628650</xdr:colOff>
                    <xdr:row>557</xdr:row>
                    <xdr:rowOff>238125</xdr:rowOff>
                  </to>
                </anchor>
              </controlPr>
            </control>
          </mc:Choice>
        </mc:AlternateContent>
        <mc:AlternateContent xmlns:mc="http://schemas.openxmlformats.org/markup-compatibility/2006">
          <mc:Choice Requires="x14">
            <control shapeId="47240" r:id="rId63" name="Option Button 136">
              <controlPr defaultSize="0" autoFill="0" autoLine="0" autoPict="0">
                <anchor moveWithCells="1">
                  <from>
                    <xdr:col>1</xdr:col>
                    <xdr:colOff>742950</xdr:colOff>
                    <xdr:row>557</xdr:row>
                    <xdr:rowOff>0</xdr:rowOff>
                  </from>
                  <to>
                    <xdr:col>15</xdr:col>
                    <xdr:colOff>0</xdr:colOff>
                    <xdr:row>557</xdr:row>
                    <xdr:rowOff>238125</xdr:rowOff>
                  </to>
                </anchor>
              </controlPr>
            </control>
          </mc:Choice>
        </mc:AlternateContent>
        <mc:AlternateContent xmlns:mc="http://schemas.openxmlformats.org/markup-compatibility/2006">
          <mc:Choice Requires="x14">
            <control shapeId="47270" r:id="rId64" name="Check Box 166">
              <controlPr defaultSize="0" autoFill="0" autoLine="0" autoPict="0">
                <anchor moveWithCells="1">
                  <from>
                    <xdr:col>4</xdr:col>
                    <xdr:colOff>0</xdr:colOff>
                    <xdr:row>42</xdr:row>
                    <xdr:rowOff>133350</xdr:rowOff>
                  </from>
                  <to>
                    <xdr:col>5</xdr:col>
                    <xdr:colOff>95250</xdr:colOff>
                    <xdr:row>44</xdr:row>
                    <xdr:rowOff>19050</xdr:rowOff>
                  </to>
                </anchor>
              </controlPr>
            </control>
          </mc:Choice>
        </mc:AlternateContent>
        <mc:AlternateContent xmlns:mc="http://schemas.openxmlformats.org/markup-compatibility/2006">
          <mc:Choice Requires="x14">
            <control shapeId="47271" r:id="rId65" name="Check Box 167">
              <controlPr defaultSize="0" autoFill="0" autoLine="0" autoPict="0">
                <anchor moveWithCells="1">
                  <from>
                    <xdr:col>4</xdr:col>
                    <xdr:colOff>0</xdr:colOff>
                    <xdr:row>43</xdr:row>
                    <xdr:rowOff>142875</xdr:rowOff>
                  </from>
                  <to>
                    <xdr:col>5</xdr:col>
                    <xdr:colOff>95250</xdr:colOff>
                    <xdr:row>45</xdr:row>
                    <xdr:rowOff>28575</xdr:rowOff>
                  </to>
                </anchor>
              </controlPr>
            </control>
          </mc:Choice>
        </mc:AlternateContent>
        <mc:AlternateContent xmlns:mc="http://schemas.openxmlformats.org/markup-compatibility/2006">
          <mc:Choice Requires="x14">
            <control shapeId="47272" r:id="rId66" name="Check Box 168">
              <controlPr defaultSize="0" autoFill="0" autoLine="0" autoPict="0">
                <anchor moveWithCells="1">
                  <from>
                    <xdr:col>4</xdr:col>
                    <xdr:colOff>0</xdr:colOff>
                    <xdr:row>45</xdr:row>
                    <xdr:rowOff>123825</xdr:rowOff>
                  </from>
                  <to>
                    <xdr:col>5</xdr:col>
                    <xdr:colOff>95250</xdr:colOff>
                    <xdr:row>47</xdr:row>
                    <xdr:rowOff>9525</xdr:rowOff>
                  </to>
                </anchor>
              </controlPr>
            </control>
          </mc:Choice>
        </mc:AlternateContent>
        <mc:AlternateContent xmlns:mc="http://schemas.openxmlformats.org/markup-compatibility/2006">
          <mc:Choice Requires="x14">
            <control shapeId="47273" r:id="rId67" name="Check Box 169">
              <controlPr defaultSize="0" autoFill="0" autoLine="0" autoPict="0">
                <anchor moveWithCells="1">
                  <from>
                    <xdr:col>4</xdr:col>
                    <xdr:colOff>0</xdr:colOff>
                    <xdr:row>44</xdr:row>
                    <xdr:rowOff>123825</xdr:rowOff>
                  </from>
                  <to>
                    <xdr:col>5</xdr:col>
                    <xdr:colOff>95250</xdr:colOff>
                    <xdr:row>46</xdr:row>
                    <xdr:rowOff>19050</xdr:rowOff>
                  </to>
                </anchor>
              </controlPr>
            </control>
          </mc:Choice>
        </mc:AlternateContent>
        <mc:AlternateContent xmlns:mc="http://schemas.openxmlformats.org/markup-compatibility/2006">
          <mc:Choice Requires="x14">
            <control shapeId="47274" r:id="rId68" name="Check Box 170">
              <controlPr defaultSize="0" autoFill="0" autoLine="0" autoPict="0">
                <anchor moveWithCells="1">
                  <from>
                    <xdr:col>4</xdr:col>
                    <xdr:colOff>0</xdr:colOff>
                    <xdr:row>104</xdr:row>
                    <xdr:rowOff>133350</xdr:rowOff>
                  </from>
                  <to>
                    <xdr:col>5</xdr:col>
                    <xdr:colOff>95250</xdr:colOff>
                    <xdr:row>106</xdr:row>
                    <xdr:rowOff>19050</xdr:rowOff>
                  </to>
                </anchor>
              </controlPr>
            </control>
          </mc:Choice>
        </mc:AlternateContent>
        <mc:AlternateContent xmlns:mc="http://schemas.openxmlformats.org/markup-compatibility/2006">
          <mc:Choice Requires="x14">
            <control shapeId="47275" r:id="rId69" name="Check Box 171">
              <controlPr defaultSize="0" autoFill="0" autoLine="0" autoPict="0">
                <anchor moveWithCells="1">
                  <from>
                    <xdr:col>4</xdr:col>
                    <xdr:colOff>0</xdr:colOff>
                    <xdr:row>105</xdr:row>
                    <xdr:rowOff>142875</xdr:rowOff>
                  </from>
                  <to>
                    <xdr:col>5</xdr:col>
                    <xdr:colOff>95250</xdr:colOff>
                    <xdr:row>107</xdr:row>
                    <xdr:rowOff>38100</xdr:rowOff>
                  </to>
                </anchor>
              </controlPr>
            </control>
          </mc:Choice>
        </mc:AlternateContent>
        <mc:AlternateContent xmlns:mc="http://schemas.openxmlformats.org/markup-compatibility/2006">
          <mc:Choice Requires="x14">
            <control shapeId="47276" r:id="rId70" name="Check Box 172">
              <controlPr defaultSize="0" autoFill="0" autoLine="0" autoPict="0">
                <anchor moveWithCells="1">
                  <from>
                    <xdr:col>4</xdr:col>
                    <xdr:colOff>0</xdr:colOff>
                    <xdr:row>107</xdr:row>
                    <xdr:rowOff>133350</xdr:rowOff>
                  </from>
                  <to>
                    <xdr:col>5</xdr:col>
                    <xdr:colOff>95250</xdr:colOff>
                    <xdr:row>109</xdr:row>
                    <xdr:rowOff>19050</xdr:rowOff>
                  </to>
                </anchor>
              </controlPr>
            </control>
          </mc:Choice>
        </mc:AlternateContent>
        <mc:AlternateContent xmlns:mc="http://schemas.openxmlformats.org/markup-compatibility/2006">
          <mc:Choice Requires="x14">
            <control shapeId="47277" r:id="rId71" name="Check Box 173">
              <controlPr defaultSize="0" autoFill="0" autoLine="0" autoPict="0">
                <anchor moveWithCells="1">
                  <from>
                    <xdr:col>4</xdr:col>
                    <xdr:colOff>0</xdr:colOff>
                    <xdr:row>106</xdr:row>
                    <xdr:rowOff>133350</xdr:rowOff>
                  </from>
                  <to>
                    <xdr:col>5</xdr:col>
                    <xdr:colOff>95250</xdr:colOff>
                    <xdr:row>108</xdr:row>
                    <xdr:rowOff>19050</xdr:rowOff>
                  </to>
                </anchor>
              </controlPr>
            </control>
          </mc:Choice>
        </mc:AlternateContent>
        <mc:AlternateContent xmlns:mc="http://schemas.openxmlformats.org/markup-compatibility/2006">
          <mc:Choice Requires="x14">
            <control shapeId="47278" r:id="rId72" name="Check Box 174">
              <controlPr defaultSize="0" autoFill="0" autoLine="0" autoPict="0">
                <anchor moveWithCells="1">
                  <from>
                    <xdr:col>4</xdr:col>
                    <xdr:colOff>0</xdr:colOff>
                    <xdr:row>180</xdr:row>
                    <xdr:rowOff>142875</xdr:rowOff>
                  </from>
                  <to>
                    <xdr:col>5</xdr:col>
                    <xdr:colOff>95250</xdr:colOff>
                    <xdr:row>182</xdr:row>
                    <xdr:rowOff>38100</xdr:rowOff>
                  </to>
                </anchor>
              </controlPr>
            </control>
          </mc:Choice>
        </mc:AlternateContent>
        <mc:AlternateContent xmlns:mc="http://schemas.openxmlformats.org/markup-compatibility/2006">
          <mc:Choice Requires="x14">
            <control shapeId="47279" r:id="rId73" name="Check Box 175">
              <controlPr defaultSize="0" autoFill="0" autoLine="0" autoPict="0">
                <anchor moveWithCells="1">
                  <from>
                    <xdr:col>4</xdr:col>
                    <xdr:colOff>0</xdr:colOff>
                    <xdr:row>181</xdr:row>
                    <xdr:rowOff>142875</xdr:rowOff>
                  </from>
                  <to>
                    <xdr:col>5</xdr:col>
                    <xdr:colOff>95250</xdr:colOff>
                    <xdr:row>183</xdr:row>
                    <xdr:rowOff>47625</xdr:rowOff>
                  </to>
                </anchor>
              </controlPr>
            </control>
          </mc:Choice>
        </mc:AlternateContent>
        <mc:AlternateContent xmlns:mc="http://schemas.openxmlformats.org/markup-compatibility/2006">
          <mc:Choice Requires="x14">
            <control shapeId="47280" r:id="rId74" name="Check Box 176">
              <controlPr defaultSize="0" autoFill="0" autoLine="0" autoPict="0">
                <anchor moveWithCells="1">
                  <from>
                    <xdr:col>4</xdr:col>
                    <xdr:colOff>0</xdr:colOff>
                    <xdr:row>183</xdr:row>
                    <xdr:rowOff>133350</xdr:rowOff>
                  </from>
                  <to>
                    <xdr:col>5</xdr:col>
                    <xdr:colOff>95250</xdr:colOff>
                    <xdr:row>185</xdr:row>
                    <xdr:rowOff>28575</xdr:rowOff>
                  </to>
                </anchor>
              </controlPr>
            </control>
          </mc:Choice>
        </mc:AlternateContent>
        <mc:AlternateContent xmlns:mc="http://schemas.openxmlformats.org/markup-compatibility/2006">
          <mc:Choice Requires="x14">
            <control shapeId="47281" r:id="rId75" name="Check Box 177">
              <controlPr defaultSize="0" autoFill="0" autoLine="0" autoPict="0">
                <anchor moveWithCells="1">
                  <from>
                    <xdr:col>4</xdr:col>
                    <xdr:colOff>0</xdr:colOff>
                    <xdr:row>182</xdr:row>
                    <xdr:rowOff>142875</xdr:rowOff>
                  </from>
                  <to>
                    <xdr:col>5</xdr:col>
                    <xdr:colOff>95250</xdr:colOff>
                    <xdr:row>184</xdr:row>
                    <xdr:rowOff>28575</xdr:rowOff>
                  </to>
                </anchor>
              </controlPr>
            </control>
          </mc:Choice>
        </mc:AlternateContent>
        <mc:AlternateContent xmlns:mc="http://schemas.openxmlformats.org/markup-compatibility/2006">
          <mc:Choice Requires="x14">
            <control shapeId="47282" r:id="rId76" name="Check Box 178">
              <controlPr defaultSize="0" autoFill="0" autoLine="0" autoPict="0">
                <anchor moveWithCells="1">
                  <from>
                    <xdr:col>4</xdr:col>
                    <xdr:colOff>0</xdr:colOff>
                    <xdr:row>256</xdr:row>
                    <xdr:rowOff>133350</xdr:rowOff>
                  </from>
                  <to>
                    <xdr:col>5</xdr:col>
                    <xdr:colOff>95250</xdr:colOff>
                    <xdr:row>258</xdr:row>
                    <xdr:rowOff>19050</xdr:rowOff>
                  </to>
                </anchor>
              </controlPr>
            </control>
          </mc:Choice>
        </mc:AlternateContent>
        <mc:AlternateContent xmlns:mc="http://schemas.openxmlformats.org/markup-compatibility/2006">
          <mc:Choice Requires="x14">
            <control shapeId="47283" r:id="rId77" name="Check Box 179">
              <controlPr defaultSize="0" autoFill="0" autoLine="0" autoPict="0">
                <anchor moveWithCells="1">
                  <from>
                    <xdr:col>4</xdr:col>
                    <xdr:colOff>0</xdr:colOff>
                    <xdr:row>257</xdr:row>
                    <xdr:rowOff>152400</xdr:rowOff>
                  </from>
                  <to>
                    <xdr:col>5</xdr:col>
                    <xdr:colOff>95250</xdr:colOff>
                    <xdr:row>259</xdr:row>
                    <xdr:rowOff>47625</xdr:rowOff>
                  </to>
                </anchor>
              </controlPr>
            </control>
          </mc:Choice>
        </mc:AlternateContent>
        <mc:AlternateContent xmlns:mc="http://schemas.openxmlformats.org/markup-compatibility/2006">
          <mc:Choice Requires="x14">
            <control shapeId="47284" r:id="rId78" name="Check Box 180">
              <controlPr defaultSize="0" autoFill="0" autoLine="0" autoPict="0">
                <anchor moveWithCells="1">
                  <from>
                    <xdr:col>4</xdr:col>
                    <xdr:colOff>0</xdr:colOff>
                    <xdr:row>259</xdr:row>
                    <xdr:rowOff>142875</xdr:rowOff>
                  </from>
                  <to>
                    <xdr:col>5</xdr:col>
                    <xdr:colOff>95250</xdr:colOff>
                    <xdr:row>261</xdr:row>
                    <xdr:rowOff>38100</xdr:rowOff>
                  </to>
                </anchor>
              </controlPr>
            </control>
          </mc:Choice>
        </mc:AlternateContent>
        <mc:AlternateContent xmlns:mc="http://schemas.openxmlformats.org/markup-compatibility/2006">
          <mc:Choice Requires="x14">
            <control shapeId="47285" r:id="rId79" name="Check Box 181">
              <controlPr defaultSize="0" autoFill="0" autoLine="0" autoPict="0">
                <anchor moveWithCells="1">
                  <from>
                    <xdr:col>4</xdr:col>
                    <xdr:colOff>0</xdr:colOff>
                    <xdr:row>258</xdr:row>
                    <xdr:rowOff>133350</xdr:rowOff>
                  </from>
                  <to>
                    <xdr:col>5</xdr:col>
                    <xdr:colOff>95250</xdr:colOff>
                    <xdr:row>260</xdr:row>
                    <xdr:rowOff>28575</xdr:rowOff>
                  </to>
                </anchor>
              </controlPr>
            </control>
          </mc:Choice>
        </mc:AlternateContent>
        <mc:AlternateContent xmlns:mc="http://schemas.openxmlformats.org/markup-compatibility/2006">
          <mc:Choice Requires="x14">
            <control shapeId="47286" r:id="rId80" name="Check Box 182">
              <controlPr defaultSize="0" autoFill="0" autoLine="0" autoPict="0">
                <anchor moveWithCells="1">
                  <from>
                    <xdr:col>4</xdr:col>
                    <xdr:colOff>0</xdr:colOff>
                    <xdr:row>331</xdr:row>
                    <xdr:rowOff>152400</xdr:rowOff>
                  </from>
                  <to>
                    <xdr:col>5</xdr:col>
                    <xdr:colOff>95250</xdr:colOff>
                    <xdr:row>333</xdr:row>
                    <xdr:rowOff>47625</xdr:rowOff>
                  </to>
                </anchor>
              </controlPr>
            </control>
          </mc:Choice>
        </mc:AlternateContent>
        <mc:AlternateContent xmlns:mc="http://schemas.openxmlformats.org/markup-compatibility/2006">
          <mc:Choice Requires="x14">
            <control shapeId="47287" r:id="rId81" name="Check Box 183">
              <controlPr defaultSize="0" autoFill="0" autoLine="0" autoPict="0">
                <anchor moveWithCells="1">
                  <from>
                    <xdr:col>4</xdr:col>
                    <xdr:colOff>0</xdr:colOff>
                    <xdr:row>332</xdr:row>
                    <xdr:rowOff>152400</xdr:rowOff>
                  </from>
                  <to>
                    <xdr:col>5</xdr:col>
                    <xdr:colOff>95250</xdr:colOff>
                    <xdr:row>334</xdr:row>
                    <xdr:rowOff>57150</xdr:rowOff>
                  </to>
                </anchor>
              </controlPr>
            </control>
          </mc:Choice>
        </mc:AlternateContent>
        <mc:AlternateContent xmlns:mc="http://schemas.openxmlformats.org/markup-compatibility/2006">
          <mc:Choice Requires="x14">
            <control shapeId="47288" r:id="rId82" name="Check Box 184">
              <controlPr defaultSize="0" autoFill="0" autoLine="0" autoPict="0">
                <anchor moveWithCells="1">
                  <from>
                    <xdr:col>4</xdr:col>
                    <xdr:colOff>0</xdr:colOff>
                    <xdr:row>334</xdr:row>
                    <xdr:rowOff>142875</xdr:rowOff>
                  </from>
                  <to>
                    <xdr:col>5</xdr:col>
                    <xdr:colOff>95250</xdr:colOff>
                    <xdr:row>336</xdr:row>
                    <xdr:rowOff>38100</xdr:rowOff>
                  </to>
                </anchor>
              </controlPr>
            </control>
          </mc:Choice>
        </mc:AlternateContent>
        <mc:AlternateContent xmlns:mc="http://schemas.openxmlformats.org/markup-compatibility/2006">
          <mc:Choice Requires="x14">
            <control shapeId="47289" r:id="rId83" name="Check Box 185">
              <controlPr defaultSize="0" autoFill="0" autoLine="0" autoPict="0">
                <anchor moveWithCells="1">
                  <from>
                    <xdr:col>4</xdr:col>
                    <xdr:colOff>0</xdr:colOff>
                    <xdr:row>333</xdr:row>
                    <xdr:rowOff>133350</xdr:rowOff>
                  </from>
                  <to>
                    <xdr:col>5</xdr:col>
                    <xdr:colOff>95250</xdr:colOff>
                    <xdr:row>335</xdr:row>
                    <xdr:rowOff>28575</xdr:rowOff>
                  </to>
                </anchor>
              </controlPr>
            </control>
          </mc:Choice>
        </mc:AlternateContent>
        <mc:AlternateContent xmlns:mc="http://schemas.openxmlformats.org/markup-compatibility/2006">
          <mc:Choice Requires="x14">
            <control shapeId="47391" r:id="rId84" name="Check Box 287">
              <controlPr defaultSize="0" autoFill="0" autoLine="0" autoPict="0">
                <anchor moveWithCells="1">
                  <from>
                    <xdr:col>7</xdr:col>
                    <xdr:colOff>47625</xdr:colOff>
                    <xdr:row>576</xdr:row>
                    <xdr:rowOff>28575</xdr:rowOff>
                  </from>
                  <to>
                    <xdr:col>8</xdr:col>
                    <xdr:colOff>66675</xdr:colOff>
                    <xdr:row>577</xdr:row>
                    <xdr:rowOff>9525</xdr:rowOff>
                  </to>
                </anchor>
              </controlPr>
            </control>
          </mc:Choice>
        </mc:AlternateContent>
        <mc:AlternateContent xmlns:mc="http://schemas.openxmlformats.org/markup-compatibility/2006">
          <mc:Choice Requires="x14">
            <control shapeId="47470" r:id="rId85" name="Check Box 366">
              <controlPr locked="0" defaultSize="0" autoFill="0" autoLine="0" autoPict="0">
                <anchor moveWithCells="1">
                  <from>
                    <xdr:col>4</xdr:col>
                    <xdr:colOff>9525</xdr:colOff>
                    <xdr:row>458</xdr:row>
                    <xdr:rowOff>123825</xdr:rowOff>
                  </from>
                  <to>
                    <xdr:col>5</xdr:col>
                    <xdr:colOff>104775</xdr:colOff>
                    <xdr:row>459</xdr:row>
                    <xdr:rowOff>200025</xdr:rowOff>
                  </to>
                </anchor>
              </controlPr>
            </control>
          </mc:Choice>
        </mc:AlternateContent>
        <mc:AlternateContent xmlns:mc="http://schemas.openxmlformats.org/markup-compatibility/2006">
          <mc:Choice Requires="x14">
            <control shapeId="47471" r:id="rId86" name="Check Box 367">
              <controlPr locked="0" defaultSize="0" autoFill="0" autoLine="0" autoPict="0">
                <anchor moveWithCells="1">
                  <from>
                    <xdr:col>4</xdr:col>
                    <xdr:colOff>9525</xdr:colOff>
                    <xdr:row>459</xdr:row>
                    <xdr:rowOff>200025</xdr:rowOff>
                  </from>
                  <to>
                    <xdr:col>5</xdr:col>
                    <xdr:colOff>104775</xdr:colOff>
                    <xdr:row>460</xdr:row>
                    <xdr:rowOff>190500</xdr:rowOff>
                  </to>
                </anchor>
              </controlPr>
            </control>
          </mc:Choice>
        </mc:AlternateContent>
        <mc:AlternateContent xmlns:mc="http://schemas.openxmlformats.org/markup-compatibility/2006">
          <mc:Choice Requires="x14">
            <control shapeId="47472" r:id="rId87" name="Check Box 368">
              <controlPr locked="0" defaultSize="0" autoFill="0" autoLine="0" autoPict="0">
                <anchor moveWithCells="1">
                  <from>
                    <xdr:col>4</xdr:col>
                    <xdr:colOff>9525</xdr:colOff>
                    <xdr:row>460</xdr:row>
                    <xdr:rowOff>200025</xdr:rowOff>
                  </from>
                  <to>
                    <xdr:col>5</xdr:col>
                    <xdr:colOff>104775</xdr:colOff>
                    <xdr:row>461</xdr:row>
                    <xdr:rowOff>200025</xdr:rowOff>
                  </to>
                </anchor>
              </controlPr>
            </control>
          </mc:Choice>
        </mc:AlternateContent>
        <mc:AlternateContent xmlns:mc="http://schemas.openxmlformats.org/markup-compatibility/2006">
          <mc:Choice Requires="x14">
            <control shapeId="47473" r:id="rId88" name="Check Box 369">
              <controlPr locked="0" defaultSize="0" autoFill="0" autoLine="0" autoPict="0">
                <anchor moveWithCells="1">
                  <from>
                    <xdr:col>4</xdr:col>
                    <xdr:colOff>9525</xdr:colOff>
                    <xdr:row>461</xdr:row>
                    <xdr:rowOff>209550</xdr:rowOff>
                  </from>
                  <to>
                    <xdr:col>5</xdr:col>
                    <xdr:colOff>104775</xdr:colOff>
                    <xdr:row>462</xdr:row>
                    <xdr:rowOff>200025</xdr:rowOff>
                  </to>
                </anchor>
              </controlPr>
            </control>
          </mc:Choice>
        </mc:AlternateContent>
        <mc:AlternateContent xmlns:mc="http://schemas.openxmlformats.org/markup-compatibility/2006">
          <mc:Choice Requires="x14">
            <control shapeId="47474" r:id="rId89" name="Check Box 370">
              <controlPr locked="0" defaultSize="0" autoFill="0" autoLine="0" autoPict="0">
                <anchor moveWithCells="1">
                  <from>
                    <xdr:col>4</xdr:col>
                    <xdr:colOff>9525</xdr:colOff>
                    <xdr:row>462</xdr:row>
                    <xdr:rowOff>209550</xdr:rowOff>
                  </from>
                  <to>
                    <xdr:col>5</xdr:col>
                    <xdr:colOff>104775</xdr:colOff>
                    <xdr:row>463</xdr:row>
                    <xdr:rowOff>200025</xdr:rowOff>
                  </to>
                </anchor>
              </controlPr>
            </control>
          </mc:Choice>
        </mc:AlternateContent>
        <mc:AlternateContent xmlns:mc="http://schemas.openxmlformats.org/markup-compatibility/2006">
          <mc:Choice Requires="x14">
            <control shapeId="47475" r:id="rId90" name="Check Box 371">
              <controlPr locked="0" defaultSize="0" autoFill="0" autoLine="0" autoPict="0">
                <anchor moveWithCells="1">
                  <from>
                    <xdr:col>4</xdr:col>
                    <xdr:colOff>9525</xdr:colOff>
                    <xdr:row>473</xdr:row>
                    <xdr:rowOff>161925</xdr:rowOff>
                  </from>
                  <to>
                    <xdr:col>5</xdr:col>
                    <xdr:colOff>104775</xdr:colOff>
                    <xdr:row>475</xdr:row>
                    <xdr:rowOff>0</xdr:rowOff>
                  </to>
                </anchor>
              </controlPr>
            </control>
          </mc:Choice>
        </mc:AlternateContent>
        <mc:AlternateContent xmlns:mc="http://schemas.openxmlformats.org/markup-compatibility/2006">
          <mc:Choice Requires="x14">
            <control shapeId="47476" r:id="rId91" name="Check Box 372">
              <controlPr locked="0" defaultSize="0" autoFill="0" autoLine="0" autoPict="0">
                <anchor moveWithCells="1">
                  <from>
                    <xdr:col>4</xdr:col>
                    <xdr:colOff>9525</xdr:colOff>
                    <xdr:row>474</xdr:row>
                    <xdr:rowOff>152400</xdr:rowOff>
                  </from>
                  <to>
                    <xdr:col>5</xdr:col>
                    <xdr:colOff>104775</xdr:colOff>
                    <xdr:row>475</xdr:row>
                    <xdr:rowOff>180975</xdr:rowOff>
                  </to>
                </anchor>
              </controlPr>
            </control>
          </mc:Choice>
        </mc:AlternateContent>
        <mc:AlternateContent xmlns:mc="http://schemas.openxmlformats.org/markup-compatibility/2006">
          <mc:Choice Requires="x14">
            <control shapeId="47477" r:id="rId92" name="Check Box 373">
              <controlPr locked="0" defaultSize="0" autoFill="0" autoLine="0" autoPict="0">
                <anchor moveWithCells="1">
                  <from>
                    <xdr:col>4</xdr:col>
                    <xdr:colOff>9525</xdr:colOff>
                    <xdr:row>465</xdr:row>
                    <xdr:rowOff>123825</xdr:rowOff>
                  </from>
                  <to>
                    <xdr:col>5</xdr:col>
                    <xdr:colOff>104775</xdr:colOff>
                    <xdr:row>467</xdr:row>
                    <xdr:rowOff>0</xdr:rowOff>
                  </to>
                </anchor>
              </controlPr>
            </control>
          </mc:Choice>
        </mc:AlternateContent>
        <mc:AlternateContent xmlns:mc="http://schemas.openxmlformats.org/markup-compatibility/2006">
          <mc:Choice Requires="x14">
            <control shapeId="47478" r:id="rId93" name="Check Box 374">
              <controlPr locked="0" defaultSize="0" autoFill="0" autoLine="0" autoPict="0">
                <anchor moveWithCells="1">
                  <from>
                    <xdr:col>4</xdr:col>
                    <xdr:colOff>9525</xdr:colOff>
                    <xdr:row>472</xdr:row>
                    <xdr:rowOff>114300</xdr:rowOff>
                  </from>
                  <to>
                    <xdr:col>5</xdr:col>
                    <xdr:colOff>104775</xdr:colOff>
                    <xdr:row>473</xdr:row>
                    <xdr:rowOff>142875</xdr:rowOff>
                  </to>
                </anchor>
              </controlPr>
            </control>
          </mc:Choice>
        </mc:AlternateContent>
        <mc:AlternateContent xmlns:mc="http://schemas.openxmlformats.org/markup-compatibility/2006">
          <mc:Choice Requires="x14">
            <control shapeId="47479" r:id="rId94" name="Group Box 375">
              <controlPr defaultSize="0" autoFill="0" autoPict="0">
                <anchor moveWithCells="1" sizeWithCells="1">
                  <from>
                    <xdr:col>1</xdr:col>
                    <xdr:colOff>9525</xdr:colOff>
                    <xdr:row>458</xdr:row>
                    <xdr:rowOff>76200</xdr:rowOff>
                  </from>
                  <to>
                    <xdr:col>3</xdr:col>
                    <xdr:colOff>257175</xdr:colOff>
                    <xdr:row>463</xdr:row>
                    <xdr:rowOff>161925</xdr:rowOff>
                  </to>
                </anchor>
              </controlPr>
            </control>
          </mc:Choice>
        </mc:AlternateContent>
        <mc:AlternateContent xmlns:mc="http://schemas.openxmlformats.org/markup-compatibility/2006">
          <mc:Choice Requires="x14">
            <control shapeId="47480" r:id="rId95" name="Option Button 376">
              <controlPr defaultSize="0" autoFill="0" autoLine="0" autoPict="0">
                <anchor moveWithCells="1" sizeWithCells="1">
                  <from>
                    <xdr:col>1</xdr:col>
                    <xdr:colOff>19050</xdr:colOff>
                    <xdr:row>460</xdr:row>
                    <xdr:rowOff>47625</xdr:rowOff>
                  </from>
                  <to>
                    <xdr:col>3</xdr:col>
                    <xdr:colOff>238125</xdr:colOff>
                    <xdr:row>461</xdr:row>
                    <xdr:rowOff>47625</xdr:rowOff>
                  </to>
                </anchor>
              </controlPr>
            </control>
          </mc:Choice>
        </mc:AlternateContent>
        <mc:AlternateContent xmlns:mc="http://schemas.openxmlformats.org/markup-compatibility/2006">
          <mc:Choice Requires="x14">
            <control shapeId="47481" r:id="rId96" name="Option Button 377">
              <controlPr defaultSize="0" autoFill="0" autoLine="0" autoPict="0">
                <anchor moveWithCells="1" sizeWithCells="1">
                  <from>
                    <xdr:col>1</xdr:col>
                    <xdr:colOff>19050</xdr:colOff>
                    <xdr:row>461</xdr:row>
                    <xdr:rowOff>47625</xdr:rowOff>
                  </from>
                  <to>
                    <xdr:col>3</xdr:col>
                    <xdr:colOff>238125</xdr:colOff>
                    <xdr:row>462</xdr:row>
                    <xdr:rowOff>38100</xdr:rowOff>
                  </to>
                </anchor>
              </controlPr>
            </control>
          </mc:Choice>
        </mc:AlternateContent>
        <mc:AlternateContent xmlns:mc="http://schemas.openxmlformats.org/markup-compatibility/2006">
          <mc:Choice Requires="x14">
            <control shapeId="47482" r:id="rId97" name="Option Button 378">
              <controlPr defaultSize="0" autoFill="0" autoLine="0" autoPict="0">
                <anchor moveWithCells="1" sizeWithCells="1">
                  <from>
                    <xdr:col>1</xdr:col>
                    <xdr:colOff>19050</xdr:colOff>
                    <xdr:row>462</xdr:row>
                    <xdr:rowOff>171450</xdr:rowOff>
                  </from>
                  <to>
                    <xdr:col>3</xdr:col>
                    <xdr:colOff>238125</xdr:colOff>
                    <xdr:row>463</xdr:row>
                    <xdr:rowOff>161925</xdr:rowOff>
                  </to>
                </anchor>
              </controlPr>
            </control>
          </mc:Choice>
        </mc:AlternateContent>
        <mc:AlternateContent xmlns:mc="http://schemas.openxmlformats.org/markup-compatibility/2006">
          <mc:Choice Requires="x14">
            <control shapeId="47483" r:id="rId98" name="Check Box 379">
              <controlPr locked="0" defaultSize="0" autoFill="0" autoLine="0" autoPict="0">
                <anchor moveWithCells="1">
                  <from>
                    <xdr:col>4</xdr:col>
                    <xdr:colOff>9525</xdr:colOff>
                    <xdr:row>467</xdr:row>
                    <xdr:rowOff>142875</xdr:rowOff>
                  </from>
                  <to>
                    <xdr:col>5</xdr:col>
                    <xdr:colOff>104775</xdr:colOff>
                    <xdr:row>468</xdr:row>
                    <xdr:rowOff>171450</xdr:rowOff>
                  </to>
                </anchor>
              </controlPr>
            </control>
          </mc:Choice>
        </mc:AlternateContent>
        <mc:AlternateContent xmlns:mc="http://schemas.openxmlformats.org/markup-compatibility/2006">
          <mc:Choice Requires="x14">
            <control shapeId="47484" r:id="rId99" name="Check Box 380">
              <controlPr locked="0" defaultSize="0" autoFill="0" autoLine="0" autoPict="0">
                <anchor moveWithCells="1">
                  <from>
                    <xdr:col>4</xdr:col>
                    <xdr:colOff>9525</xdr:colOff>
                    <xdr:row>468</xdr:row>
                    <xdr:rowOff>142875</xdr:rowOff>
                  </from>
                  <to>
                    <xdr:col>5</xdr:col>
                    <xdr:colOff>104775</xdr:colOff>
                    <xdr:row>469</xdr:row>
                    <xdr:rowOff>171450</xdr:rowOff>
                  </to>
                </anchor>
              </controlPr>
            </control>
          </mc:Choice>
        </mc:AlternateContent>
        <mc:AlternateContent xmlns:mc="http://schemas.openxmlformats.org/markup-compatibility/2006">
          <mc:Choice Requires="x14">
            <control shapeId="47485" r:id="rId100" name="Check Box 381">
              <controlPr locked="0" defaultSize="0" autoFill="0" autoLine="0" autoPict="0">
                <anchor moveWithCells="1">
                  <from>
                    <xdr:col>4</xdr:col>
                    <xdr:colOff>9525</xdr:colOff>
                    <xdr:row>469</xdr:row>
                    <xdr:rowOff>142875</xdr:rowOff>
                  </from>
                  <to>
                    <xdr:col>5</xdr:col>
                    <xdr:colOff>104775</xdr:colOff>
                    <xdr:row>470</xdr:row>
                    <xdr:rowOff>171450</xdr:rowOff>
                  </to>
                </anchor>
              </controlPr>
            </control>
          </mc:Choice>
        </mc:AlternateContent>
        <mc:AlternateContent xmlns:mc="http://schemas.openxmlformats.org/markup-compatibility/2006">
          <mc:Choice Requires="x14">
            <control shapeId="47486" r:id="rId101" name="Check Box 382">
              <controlPr locked="0" defaultSize="0" autoFill="0" autoLine="0" autoPict="0">
                <anchor moveWithCells="1">
                  <from>
                    <xdr:col>4</xdr:col>
                    <xdr:colOff>9525</xdr:colOff>
                    <xdr:row>470</xdr:row>
                    <xdr:rowOff>133350</xdr:rowOff>
                  </from>
                  <to>
                    <xdr:col>5</xdr:col>
                    <xdr:colOff>104775</xdr:colOff>
                    <xdr:row>471</xdr:row>
                    <xdr:rowOff>161925</xdr:rowOff>
                  </to>
                </anchor>
              </controlPr>
            </control>
          </mc:Choice>
        </mc:AlternateContent>
        <mc:AlternateContent xmlns:mc="http://schemas.openxmlformats.org/markup-compatibility/2006">
          <mc:Choice Requires="x14">
            <control shapeId="47487" r:id="rId102" name="Check Box 383">
              <controlPr locked="0" defaultSize="0" autoFill="0" autoLine="0" autoPict="0">
                <anchor moveWithCells="1">
                  <from>
                    <xdr:col>4</xdr:col>
                    <xdr:colOff>9525</xdr:colOff>
                    <xdr:row>471</xdr:row>
                    <xdr:rowOff>142875</xdr:rowOff>
                  </from>
                  <to>
                    <xdr:col>5</xdr:col>
                    <xdr:colOff>104775</xdr:colOff>
                    <xdr:row>472</xdr:row>
                    <xdr:rowOff>171450</xdr:rowOff>
                  </to>
                </anchor>
              </controlPr>
            </control>
          </mc:Choice>
        </mc:AlternateContent>
        <mc:AlternateContent xmlns:mc="http://schemas.openxmlformats.org/markup-compatibility/2006">
          <mc:Choice Requires="x14">
            <control shapeId="47488" r:id="rId103" name="Check Box 384">
              <controlPr locked="0" defaultSize="0" autoFill="0" autoLine="0" autoPict="0">
                <anchor moveWithCells="1">
                  <from>
                    <xdr:col>4</xdr:col>
                    <xdr:colOff>9525</xdr:colOff>
                    <xdr:row>472</xdr:row>
                    <xdr:rowOff>142875</xdr:rowOff>
                  </from>
                  <to>
                    <xdr:col>5</xdr:col>
                    <xdr:colOff>104775</xdr:colOff>
                    <xdr:row>473</xdr:row>
                    <xdr:rowOff>171450</xdr:rowOff>
                  </to>
                </anchor>
              </controlPr>
            </control>
          </mc:Choice>
        </mc:AlternateContent>
        <mc:AlternateContent xmlns:mc="http://schemas.openxmlformats.org/markup-compatibility/2006">
          <mc:Choice Requires="x14">
            <control shapeId="47489" r:id="rId104" name="Label 385">
              <controlPr defaultSize="0" autoFill="0" autoLine="0" autoPict="0">
                <anchor moveWithCells="1" sizeWithCells="1">
                  <from>
                    <xdr:col>1</xdr:col>
                    <xdr:colOff>200025</xdr:colOff>
                    <xdr:row>462</xdr:row>
                    <xdr:rowOff>19050</xdr:rowOff>
                  </from>
                  <to>
                    <xdr:col>1</xdr:col>
                    <xdr:colOff>819150</xdr:colOff>
                    <xdr:row>462</xdr:row>
                    <xdr:rowOff>161925</xdr:rowOff>
                  </to>
                </anchor>
              </controlPr>
            </control>
          </mc:Choice>
        </mc:AlternateContent>
        <mc:AlternateContent xmlns:mc="http://schemas.openxmlformats.org/markup-compatibility/2006">
          <mc:Choice Requires="x14">
            <control shapeId="47490" r:id="rId105" name="Check Box 386">
              <controlPr locked="0" defaultSize="0" autoFill="0" autoLine="0" autoPict="0">
                <anchor moveWithCells="1">
                  <from>
                    <xdr:col>4</xdr:col>
                    <xdr:colOff>9525</xdr:colOff>
                    <xdr:row>466</xdr:row>
                    <xdr:rowOff>152400</xdr:rowOff>
                  </from>
                  <to>
                    <xdr:col>5</xdr:col>
                    <xdr:colOff>104775</xdr:colOff>
                    <xdr:row>467</xdr:row>
                    <xdr:rowOff>180975</xdr:rowOff>
                  </to>
                </anchor>
              </controlPr>
            </control>
          </mc:Choice>
        </mc:AlternateContent>
        <mc:AlternateContent xmlns:mc="http://schemas.openxmlformats.org/markup-compatibility/2006">
          <mc:Choice Requires="x14">
            <control shapeId="47150" r:id="rId106" name="Group Box 46">
              <controlPr defaultSize="0" autoFill="0" autoPict="0">
                <anchor moveWithCells="1" sizeWithCells="1">
                  <from>
                    <xdr:col>2</xdr:col>
                    <xdr:colOff>0</xdr:colOff>
                    <xdr:row>411</xdr:row>
                    <xdr:rowOff>0</xdr:rowOff>
                  </from>
                  <to>
                    <xdr:col>15</xdr:col>
                    <xdr:colOff>0</xdr:colOff>
                    <xdr:row>412</xdr:row>
                    <xdr:rowOff>0</xdr:rowOff>
                  </to>
                </anchor>
              </controlPr>
            </control>
          </mc:Choice>
        </mc:AlternateContent>
        <mc:AlternateContent xmlns:mc="http://schemas.openxmlformats.org/markup-compatibility/2006">
          <mc:Choice Requires="x14">
            <control shapeId="47151" r:id="rId107" name="Option Button 47">
              <controlPr defaultSize="0" autoFill="0" autoLine="0" autoPict="0">
                <anchor moveWithCells="1" sizeWithCells="1">
                  <from>
                    <xdr:col>2</xdr:col>
                    <xdr:colOff>0</xdr:colOff>
                    <xdr:row>411</xdr:row>
                    <xdr:rowOff>19050</xdr:rowOff>
                  </from>
                  <to>
                    <xdr:col>5</xdr:col>
                    <xdr:colOff>9525</xdr:colOff>
                    <xdr:row>411</xdr:row>
                    <xdr:rowOff>238125</xdr:rowOff>
                  </to>
                </anchor>
              </controlPr>
            </control>
          </mc:Choice>
        </mc:AlternateContent>
        <mc:AlternateContent xmlns:mc="http://schemas.openxmlformats.org/markup-compatibility/2006">
          <mc:Choice Requires="x14">
            <control shapeId="47152" r:id="rId108" name="Option Button 48">
              <controlPr defaultSize="0" autoFill="0" autoLine="0" autoPict="0">
                <anchor moveWithCells="1" sizeWithCells="1">
                  <from>
                    <xdr:col>5</xdr:col>
                    <xdr:colOff>76200</xdr:colOff>
                    <xdr:row>411</xdr:row>
                    <xdr:rowOff>19050</xdr:rowOff>
                  </from>
                  <to>
                    <xdr:col>10</xdr:col>
                    <xdr:colOff>57150</xdr:colOff>
                    <xdr:row>411</xdr:row>
                    <xdr:rowOff>238125</xdr:rowOff>
                  </to>
                </anchor>
              </controlPr>
            </control>
          </mc:Choice>
        </mc:AlternateContent>
        <mc:AlternateContent xmlns:mc="http://schemas.openxmlformats.org/markup-compatibility/2006">
          <mc:Choice Requires="x14">
            <control shapeId="47153" r:id="rId109" name="Option Button 49">
              <controlPr defaultSize="0" autoFill="0" autoLine="0" autoPict="0">
                <anchor moveWithCells="1" sizeWithCells="1">
                  <from>
                    <xdr:col>11</xdr:col>
                    <xdr:colOff>104775</xdr:colOff>
                    <xdr:row>411</xdr:row>
                    <xdr:rowOff>19050</xdr:rowOff>
                  </from>
                  <to>
                    <xdr:col>14</xdr:col>
                    <xdr:colOff>495300</xdr:colOff>
                    <xdr:row>411</xdr:row>
                    <xdr:rowOff>238125</xdr:rowOff>
                  </to>
                </anchor>
              </controlPr>
            </control>
          </mc:Choice>
        </mc:AlternateContent>
        <mc:AlternateContent xmlns:mc="http://schemas.openxmlformats.org/markup-compatibility/2006">
          <mc:Choice Requires="x14">
            <control shapeId="47155" r:id="rId110" name="Group Box 51">
              <controlPr defaultSize="0" autoFill="0" autoPict="0">
                <anchor moveWithCells="1" sizeWithCells="1">
                  <from>
                    <xdr:col>2</xdr:col>
                    <xdr:colOff>0</xdr:colOff>
                    <xdr:row>412</xdr:row>
                    <xdr:rowOff>0</xdr:rowOff>
                  </from>
                  <to>
                    <xdr:col>15</xdr:col>
                    <xdr:colOff>0</xdr:colOff>
                    <xdr:row>413</xdr:row>
                    <xdr:rowOff>0</xdr:rowOff>
                  </to>
                </anchor>
              </controlPr>
            </control>
          </mc:Choice>
        </mc:AlternateContent>
        <mc:AlternateContent xmlns:mc="http://schemas.openxmlformats.org/markup-compatibility/2006">
          <mc:Choice Requires="x14">
            <control shapeId="47156" r:id="rId111" name="Option Button 52">
              <controlPr defaultSize="0" autoFill="0" autoLine="0" autoPict="0">
                <anchor moveWithCells="1" sizeWithCells="1">
                  <from>
                    <xdr:col>2</xdr:col>
                    <xdr:colOff>0</xdr:colOff>
                    <xdr:row>412</xdr:row>
                    <xdr:rowOff>19050</xdr:rowOff>
                  </from>
                  <to>
                    <xdr:col>5</xdr:col>
                    <xdr:colOff>9525</xdr:colOff>
                    <xdr:row>412</xdr:row>
                    <xdr:rowOff>238125</xdr:rowOff>
                  </to>
                </anchor>
              </controlPr>
            </control>
          </mc:Choice>
        </mc:AlternateContent>
        <mc:AlternateContent xmlns:mc="http://schemas.openxmlformats.org/markup-compatibility/2006">
          <mc:Choice Requires="x14">
            <control shapeId="47157" r:id="rId112" name="Option Button 53">
              <controlPr defaultSize="0" autoFill="0" autoLine="0" autoPict="0">
                <anchor moveWithCells="1" sizeWithCells="1">
                  <from>
                    <xdr:col>5</xdr:col>
                    <xdr:colOff>76200</xdr:colOff>
                    <xdr:row>412</xdr:row>
                    <xdr:rowOff>19050</xdr:rowOff>
                  </from>
                  <to>
                    <xdr:col>10</xdr:col>
                    <xdr:colOff>19050</xdr:colOff>
                    <xdr:row>412</xdr:row>
                    <xdr:rowOff>238125</xdr:rowOff>
                  </to>
                </anchor>
              </controlPr>
            </control>
          </mc:Choice>
        </mc:AlternateContent>
        <mc:AlternateContent xmlns:mc="http://schemas.openxmlformats.org/markup-compatibility/2006">
          <mc:Choice Requires="x14">
            <control shapeId="47158" r:id="rId113" name="Option Button 54">
              <controlPr defaultSize="0" autoFill="0" autoLine="0" autoPict="0">
                <anchor moveWithCells="1" sizeWithCells="1">
                  <from>
                    <xdr:col>11</xdr:col>
                    <xdr:colOff>104775</xdr:colOff>
                    <xdr:row>412</xdr:row>
                    <xdr:rowOff>19050</xdr:rowOff>
                  </from>
                  <to>
                    <xdr:col>14</xdr:col>
                    <xdr:colOff>495300</xdr:colOff>
                    <xdr:row>412</xdr:row>
                    <xdr:rowOff>238125</xdr:rowOff>
                  </to>
                </anchor>
              </controlPr>
            </control>
          </mc:Choice>
        </mc:AlternateContent>
        <mc:AlternateContent xmlns:mc="http://schemas.openxmlformats.org/markup-compatibility/2006">
          <mc:Choice Requires="x14">
            <control shapeId="47160" r:id="rId114" name="Group Box 56">
              <controlPr defaultSize="0" autoFill="0" autoPict="0">
                <anchor moveWithCells="1" sizeWithCells="1">
                  <from>
                    <xdr:col>2</xdr:col>
                    <xdr:colOff>0</xdr:colOff>
                    <xdr:row>414</xdr:row>
                    <xdr:rowOff>0</xdr:rowOff>
                  </from>
                  <to>
                    <xdr:col>15</xdr:col>
                    <xdr:colOff>0</xdr:colOff>
                    <xdr:row>415</xdr:row>
                    <xdr:rowOff>0</xdr:rowOff>
                  </to>
                </anchor>
              </controlPr>
            </control>
          </mc:Choice>
        </mc:AlternateContent>
        <mc:AlternateContent xmlns:mc="http://schemas.openxmlformats.org/markup-compatibility/2006">
          <mc:Choice Requires="x14">
            <control shapeId="47161" r:id="rId115" name="Option Button 57">
              <controlPr defaultSize="0" autoFill="0" autoLine="0" autoPict="0">
                <anchor moveWithCells="1" sizeWithCells="1">
                  <from>
                    <xdr:col>2</xdr:col>
                    <xdr:colOff>0</xdr:colOff>
                    <xdr:row>414</xdr:row>
                    <xdr:rowOff>19050</xdr:rowOff>
                  </from>
                  <to>
                    <xdr:col>4</xdr:col>
                    <xdr:colOff>190500</xdr:colOff>
                    <xdr:row>414</xdr:row>
                    <xdr:rowOff>238125</xdr:rowOff>
                  </to>
                </anchor>
              </controlPr>
            </control>
          </mc:Choice>
        </mc:AlternateContent>
        <mc:AlternateContent xmlns:mc="http://schemas.openxmlformats.org/markup-compatibility/2006">
          <mc:Choice Requires="x14">
            <control shapeId="47162" r:id="rId116" name="Option Button 58">
              <controlPr defaultSize="0" autoFill="0" autoLine="0" autoPict="0">
                <anchor moveWithCells="1" sizeWithCells="1">
                  <from>
                    <xdr:col>5</xdr:col>
                    <xdr:colOff>76200</xdr:colOff>
                    <xdr:row>414</xdr:row>
                    <xdr:rowOff>19050</xdr:rowOff>
                  </from>
                  <to>
                    <xdr:col>10</xdr:col>
                    <xdr:colOff>190500</xdr:colOff>
                    <xdr:row>414</xdr:row>
                    <xdr:rowOff>238125</xdr:rowOff>
                  </to>
                </anchor>
              </controlPr>
            </control>
          </mc:Choice>
        </mc:AlternateContent>
        <mc:AlternateContent xmlns:mc="http://schemas.openxmlformats.org/markup-compatibility/2006">
          <mc:Choice Requires="x14">
            <control shapeId="47163" r:id="rId117" name="Option Button 59">
              <controlPr defaultSize="0" autoFill="0" autoLine="0" autoPict="0">
                <anchor moveWithCells="1" sizeWithCells="1">
                  <from>
                    <xdr:col>11</xdr:col>
                    <xdr:colOff>95250</xdr:colOff>
                    <xdr:row>414</xdr:row>
                    <xdr:rowOff>19050</xdr:rowOff>
                  </from>
                  <to>
                    <xdr:col>14</xdr:col>
                    <xdr:colOff>571500</xdr:colOff>
                    <xdr:row>414</xdr:row>
                    <xdr:rowOff>238125</xdr:rowOff>
                  </to>
                </anchor>
              </controlPr>
            </control>
          </mc:Choice>
        </mc:AlternateContent>
        <mc:AlternateContent xmlns:mc="http://schemas.openxmlformats.org/markup-compatibility/2006">
          <mc:Choice Requires="x14">
            <control shapeId="47165" r:id="rId118" name="Group Box 61">
              <controlPr defaultSize="0" autoFill="0" autoPict="0">
                <anchor moveWithCells="1" sizeWithCells="1">
                  <from>
                    <xdr:col>2</xdr:col>
                    <xdr:colOff>0</xdr:colOff>
                    <xdr:row>415</xdr:row>
                    <xdr:rowOff>0</xdr:rowOff>
                  </from>
                  <to>
                    <xdr:col>15</xdr:col>
                    <xdr:colOff>0</xdr:colOff>
                    <xdr:row>416</xdr:row>
                    <xdr:rowOff>0</xdr:rowOff>
                  </to>
                </anchor>
              </controlPr>
            </control>
          </mc:Choice>
        </mc:AlternateContent>
        <mc:AlternateContent xmlns:mc="http://schemas.openxmlformats.org/markup-compatibility/2006">
          <mc:Choice Requires="x14">
            <control shapeId="47166" r:id="rId119" name="Option Button 62">
              <controlPr defaultSize="0" autoFill="0" autoLine="0" autoPict="0">
                <anchor moveWithCells="1" sizeWithCells="1">
                  <from>
                    <xdr:col>2</xdr:col>
                    <xdr:colOff>0</xdr:colOff>
                    <xdr:row>415</xdr:row>
                    <xdr:rowOff>19050</xdr:rowOff>
                  </from>
                  <to>
                    <xdr:col>4</xdr:col>
                    <xdr:colOff>190500</xdr:colOff>
                    <xdr:row>415</xdr:row>
                    <xdr:rowOff>238125</xdr:rowOff>
                  </to>
                </anchor>
              </controlPr>
            </control>
          </mc:Choice>
        </mc:AlternateContent>
        <mc:AlternateContent xmlns:mc="http://schemas.openxmlformats.org/markup-compatibility/2006">
          <mc:Choice Requires="x14">
            <control shapeId="47167" r:id="rId120" name="Option Button 63">
              <controlPr defaultSize="0" autoFill="0" autoLine="0" autoPict="0">
                <anchor moveWithCells="1" sizeWithCells="1">
                  <from>
                    <xdr:col>5</xdr:col>
                    <xdr:colOff>76200</xdr:colOff>
                    <xdr:row>415</xdr:row>
                    <xdr:rowOff>19050</xdr:rowOff>
                  </from>
                  <to>
                    <xdr:col>10</xdr:col>
                    <xdr:colOff>219075</xdr:colOff>
                    <xdr:row>415</xdr:row>
                    <xdr:rowOff>238125</xdr:rowOff>
                  </to>
                </anchor>
              </controlPr>
            </control>
          </mc:Choice>
        </mc:AlternateContent>
        <mc:AlternateContent xmlns:mc="http://schemas.openxmlformats.org/markup-compatibility/2006">
          <mc:Choice Requires="x14">
            <control shapeId="47168" r:id="rId121" name="Option Button 64">
              <controlPr defaultSize="0" autoFill="0" autoLine="0" autoPict="0">
                <anchor moveWithCells="1" sizeWithCells="1">
                  <from>
                    <xdr:col>11</xdr:col>
                    <xdr:colOff>95250</xdr:colOff>
                    <xdr:row>415</xdr:row>
                    <xdr:rowOff>19050</xdr:rowOff>
                  </from>
                  <to>
                    <xdr:col>14</xdr:col>
                    <xdr:colOff>571500</xdr:colOff>
                    <xdr:row>415</xdr:row>
                    <xdr:rowOff>238125</xdr:rowOff>
                  </to>
                </anchor>
              </controlPr>
            </control>
          </mc:Choice>
        </mc:AlternateContent>
        <mc:AlternateContent xmlns:mc="http://schemas.openxmlformats.org/markup-compatibility/2006">
          <mc:Choice Requires="x14">
            <control shapeId="47215" r:id="rId122" name="Group Box 111">
              <controlPr defaultSize="0" autoFill="0" autoPict="0">
                <anchor moveWithCells="1" sizeWithCells="1">
                  <from>
                    <xdr:col>1</xdr:col>
                    <xdr:colOff>0</xdr:colOff>
                    <xdr:row>478</xdr:row>
                    <xdr:rowOff>0</xdr:rowOff>
                  </from>
                  <to>
                    <xdr:col>4</xdr:col>
                    <xdr:colOff>0</xdr:colOff>
                    <xdr:row>491</xdr:row>
                    <xdr:rowOff>0</xdr:rowOff>
                  </to>
                </anchor>
              </controlPr>
            </control>
          </mc:Choice>
        </mc:AlternateContent>
        <mc:AlternateContent xmlns:mc="http://schemas.openxmlformats.org/markup-compatibility/2006">
          <mc:Choice Requires="x14">
            <control shapeId="47216" r:id="rId123" name="Option Button 112">
              <controlPr defaultSize="0" autoFill="0" autoLine="0" autoPict="0">
                <anchor moveWithCells="1" sizeWithCells="1">
                  <from>
                    <xdr:col>1</xdr:col>
                    <xdr:colOff>28575</xdr:colOff>
                    <xdr:row>479</xdr:row>
                    <xdr:rowOff>38100</xdr:rowOff>
                  </from>
                  <to>
                    <xdr:col>3</xdr:col>
                    <xdr:colOff>180975</xdr:colOff>
                    <xdr:row>480</xdr:row>
                    <xdr:rowOff>104775</xdr:rowOff>
                  </to>
                </anchor>
              </controlPr>
            </control>
          </mc:Choice>
        </mc:AlternateContent>
        <mc:AlternateContent xmlns:mc="http://schemas.openxmlformats.org/markup-compatibility/2006">
          <mc:Choice Requires="x14">
            <control shapeId="47217" r:id="rId124" name="Option Button 113">
              <controlPr defaultSize="0" autoFill="0" autoLine="0" autoPict="0">
                <anchor moveWithCells="1" sizeWithCells="1">
                  <from>
                    <xdr:col>1</xdr:col>
                    <xdr:colOff>28575</xdr:colOff>
                    <xdr:row>480</xdr:row>
                    <xdr:rowOff>133350</xdr:rowOff>
                  </from>
                  <to>
                    <xdr:col>3</xdr:col>
                    <xdr:colOff>171450</xdr:colOff>
                    <xdr:row>482</xdr:row>
                    <xdr:rowOff>19050</xdr:rowOff>
                  </to>
                </anchor>
              </controlPr>
            </control>
          </mc:Choice>
        </mc:AlternateContent>
        <mc:AlternateContent xmlns:mc="http://schemas.openxmlformats.org/markup-compatibility/2006">
          <mc:Choice Requires="x14">
            <control shapeId="47218" r:id="rId125" name="Option Button 114">
              <controlPr defaultSize="0" autoFill="0" autoLine="0" autoPict="0">
                <anchor moveWithCells="1" sizeWithCells="1">
                  <from>
                    <xdr:col>1</xdr:col>
                    <xdr:colOff>28575</xdr:colOff>
                    <xdr:row>482</xdr:row>
                    <xdr:rowOff>38100</xdr:rowOff>
                  </from>
                  <to>
                    <xdr:col>3</xdr:col>
                    <xdr:colOff>133350</xdr:colOff>
                    <xdr:row>483</xdr:row>
                    <xdr:rowOff>104775</xdr:rowOff>
                  </to>
                </anchor>
              </controlPr>
            </control>
          </mc:Choice>
        </mc:AlternateContent>
        <mc:AlternateContent xmlns:mc="http://schemas.openxmlformats.org/markup-compatibility/2006">
          <mc:Choice Requires="x14">
            <control shapeId="47220" r:id="rId126" name="Group Box 116">
              <controlPr defaultSize="0" autoFill="0" autoPict="0">
                <anchor moveWithCells="1" sizeWithCells="1">
                  <from>
                    <xdr:col>0</xdr:col>
                    <xdr:colOff>95250</xdr:colOff>
                    <xdr:row>494</xdr:row>
                    <xdr:rowOff>0</xdr:rowOff>
                  </from>
                  <to>
                    <xdr:col>4</xdr:col>
                    <xdr:colOff>0</xdr:colOff>
                    <xdr:row>505</xdr:row>
                    <xdr:rowOff>0</xdr:rowOff>
                  </to>
                </anchor>
              </controlPr>
            </control>
          </mc:Choice>
        </mc:AlternateContent>
        <mc:AlternateContent xmlns:mc="http://schemas.openxmlformats.org/markup-compatibility/2006">
          <mc:Choice Requires="x14">
            <control shapeId="47221" r:id="rId127" name="Option Button 117">
              <controlPr defaultSize="0" autoFill="0" autoLine="0" autoPict="0">
                <anchor moveWithCells="1" sizeWithCells="1">
                  <from>
                    <xdr:col>1</xdr:col>
                    <xdr:colOff>19050</xdr:colOff>
                    <xdr:row>495</xdr:row>
                    <xdr:rowOff>9525</xdr:rowOff>
                  </from>
                  <to>
                    <xdr:col>3</xdr:col>
                    <xdr:colOff>209550</xdr:colOff>
                    <xdr:row>496</xdr:row>
                    <xdr:rowOff>66675</xdr:rowOff>
                  </to>
                </anchor>
              </controlPr>
            </control>
          </mc:Choice>
        </mc:AlternateContent>
        <mc:AlternateContent xmlns:mc="http://schemas.openxmlformats.org/markup-compatibility/2006">
          <mc:Choice Requires="x14">
            <control shapeId="47222" r:id="rId128" name="Option Button 118">
              <controlPr defaultSize="0" autoFill="0" autoLine="0" autoPict="0">
                <anchor moveWithCells="1" sizeWithCells="1">
                  <from>
                    <xdr:col>1</xdr:col>
                    <xdr:colOff>19050</xdr:colOff>
                    <xdr:row>496</xdr:row>
                    <xdr:rowOff>104775</xdr:rowOff>
                  </from>
                  <to>
                    <xdr:col>3</xdr:col>
                    <xdr:colOff>209550</xdr:colOff>
                    <xdr:row>497</xdr:row>
                    <xdr:rowOff>9525</xdr:rowOff>
                  </to>
                </anchor>
              </controlPr>
            </control>
          </mc:Choice>
        </mc:AlternateContent>
        <mc:AlternateContent xmlns:mc="http://schemas.openxmlformats.org/markup-compatibility/2006">
          <mc:Choice Requires="x14">
            <control shapeId="47223" r:id="rId129" name="Option Button 119">
              <controlPr defaultSize="0" autoFill="0" autoLine="0" autoPict="0">
                <anchor moveWithCells="1" sizeWithCells="1">
                  <from>
                    <xdr:col>1</xdr:col>
                    <xdr:colOff>28575</xdr:colOff>
                    <xdr:row>497</xdr:row>
                    <xdr:rowOff>66675</xdr:rowOff>
                  </from>
                  <to>
                    <xdr:col>3</xdr:col>
                    <xdr:colOff>219075</xdr:colOff>
                    <xdr:row>498</xdr:row>
                    <xdr:rowOff>123825</xdr:rowOff>
                  </to>
                </anchor>
              </controlPr>
            </control>
          </mc:Choice>
        </mc:AlternateContent>
        <mc:AlternateContent xmlns:mc="http://schemas.openxmlformats.org/markup-compatibility/2006">
          <mc:Choice Requires="x14">
            <control shapeId="47242" r:id="rId130" name="Group Box 138">
              <controlPr defaultSize="0" autoFill="0" autoPict="0">
                <anchor moveWithCells="1" sizeWithCells="1">
                  <from>
                    <xdr:col>2</xdr:col>
                    <xdr:colOff>0</xdr:colOff>
                    <xdr:row>578</xdr:row>
                    <xdr:rowOff>0</xdr:rowOff>
                  </from>
                  <to>
                    <xdr:col>15</xdr:col>
                    <xdr:colOff>0</xdr:colOff>
                    <xdr:row>579</xdr:row>
                    <xdr:rowOff>0</xdr:rowOff>
                  </to>
                </anchor>
              </controlPr>
            </control>
          </mc:Choice>
        </mc:AlternateContent>
        <mc:AlternateContent xmlns:mc="http://schemas.openxmlformats.org/markup-compatibility/2006">
          <mc:Choice Requires="x14">
            <control shapeId="47243" r:id="rId131" name="Option Button 139">
              <controlPr defaultSize="0" autoFill="0" autoLine="0" autoPict="0">
                <anchor moveWithCells="1" sizeWithCells="1">
                  <from>
                    <xdr:col>2</xdr:col>
                    <xdr:colOff>19050</xdr:colOff>
                    <xdr:row>578</xdr:row>
                    <xdr:rowOff>123825</xdr:rowOff>
                  </from>
                  <to>
                    <xdr:col>3</xdr:col>
                    <xdr:colOff>190500</xdr:colOff>
                    <xdr:row>578</xdr:row>
                    <xdr:rowOff>342900</xdr:rowOff>
                  </to>
                </anchor>
              </controlPr>
            </control>
          </mc:Choice>
        </mc:AlternateContent>
        <mc:AlternateContent xmlns:mc="http://schemas.openxmlformats.org/markup-compatibility/2006">
          <mc:Choice Requires="x14">
            <control shapeId="47244" r:id="rId132" name="Option Button 140">
              <controlPr defaultSize="0" autoFill="0" autoLine="0" autoPict="0">
                <anchor moveWithCells="1" sizeWithCells="1">
                  <from>
                    <xdr:col>4</xdr:col>
                    <xdr:colOff>180975</xdr:colOff>
                    <xdr:row>578</xdr:row>
                    <xdr:rowOff>0</xdr:rowOff>
                  </from>
                  <to>
                    <xdr:col>14</xdr:col>
                    <xdr:colOff>47625</xdr:colOff>
                    <xdr:row>578</xdr:row>
                    <xdr:rowOff>219075</xdr:rowOff>
                  </to>
                </anchor>
              </controlPr>
            </control>
          </mc:Choice>
        </mc:AlternateContent>
        <mc:AlternateContent xmlns:mc="http://schemas.openxmlformats.org/markup-compatibility/2006">
          <mc:Choice Requires="x14">
            <control shapeId="47245" r:id="rId133" name="Option Button 141">
              <controlPr defaultSize="0" autoFill="0" autoLine="0" autoPict="0">
                <anchor moveWithCells="1" sizeWithCells="1">
                  <from>
                    <xdr:col>4</xdr:col>
                    <xdr:colOff>180975</xdr:colOff>
                    <xdr:row>578</xdr:row>
                    <xdr:rowOff>228600</xdr:rowOff>
                  </from>
                  <to>
                    <xdr:col>14</xdr:col>
                    <xdr:colOff>409575</xdr:colOff>
                    <xdr:row>578</xdr:row>
                    <xdr:rowOff>447675</xdr:rowOff>
                  </to>
                </anchor>
              </controlPr>
            </control>
          </mc:Choice>
        </mc:AlternateContent>
        <mc:AlternateContent xmlns:mc="http://schemas.openxmlformats.org/markup-compatibility/2006">
          <mc:Choice Requires="x14">
            <control shapeId="47247" r:id="rId134" name="Group Box 143">
              <controlPr defaultSize="0" autoFill="0" autoPict="0">
                <anchor moveWithCells="1" sizeWithCells="1">
                  <from>
                    <xdr:col>2</xdr:col>
                    <xdr:colOff>0</xdr:colOff>
                    <xdr:row>579</xdr:row>
                    <xdr:rowOff>0</xdr:rowOff>
                  </from>
                  <to>
                    <xdr:col>15</xdr:col>
                    <xdr:colOff>0</xdr:colOff>
                    <xdr:row>580</xdr:row>
                    <xdr:rowOff>0</xdr:rowOff>
                  </to>
                </anchor>
              </controlPr>
            </control>
          </mc:Choice>
        </mc:AlternateContent>
        <mc:AlternateContent xmlns:mc="http://schemas.openxmlformats.org/markup-compatibility/2006">
          <mc:Choice Requires="x14">
            <control shapeId="47248" r:id="rId135" name="Option Button 144">
              <controlPr defaultSize="0" autoFill="0" autoLine="0" autoPict="0">
                <anchor moveWithCells="1" sizeWithCells="1">
                  <from>
                    <xdr:col>2</xdr:col>
                    <xdr:colOff>19050</xdr:colOff>
                    <xdr:row>579</xdr:row>
                    <xdr:rowOff>9525</xdr:rowOff>
                  </from>
                  <to>
                    <xdr:col>3</xdr:col>
                    <xdr:colOff>238125</xdr:colOff>
                    <xdr:row>579</xdr:row>
                    <xdr:rowOff>228600</xdr:rowOff>
                  </to>
                </anchor>
              </controlPr>
            </control>
          </mc:Choice>
        </mc:AlternateContent>
        <mc:AlternateContent xmlns:mc="http://schemas.openxmlformats.org/markup-compatibility/2006">
          <mc:Choice Requires="x14">
            <control shapeId="47249" r:id="rId136" name="Option Button 145">
              <controlPr defaultSize="0" autoFill="0" autoLine="0" autoPict="0">
                <anchor moveWithCells="1" sizeWithCells="1">
                  <from>
                    <xdr:col>4</xdr:col>
                    <xdr:colOff>180975</xdr:colOff>
                    <xdr:row>579</xdr:row>
                    <xdr:rowOff>19050</xdr:rowOff>
                  </from>
                  <to>
                    <xdr:col>14</xdr:col>
                    <xdr:colOff>266700</xdr:colOff>
                    <xdr:row>579</xdr:row>
                    <xdr:rowOff>238125</xdr:rowOff>
                  </to>
                </anchor>
              </controlPr>
            </control>
          </mc:Choice>
        </mc:AlternateContent>
        <mc:AlternateContent xmlns:mc="http://schemas.openxmlformats.org/markup-compatibility/2006">
          <mc:Choice Requires="x14">
            <control shapeId="47251" r:id="rId137" name="Group Box 147">
              <controlPr defaultSize="0" autoFill="0" autoPict="0">
                <anchor moveWithCells="1" sizeWithCells="1">
                  <from>
                    <xdr:col>2</xdr:col>
                    <xdr:colOff>0</xdr:colOff>
                    <xdr:row>580</xdr:row>
                    <xdr:rowOff>0</xdr:rowOff>
                  </from>
                  <to>
                    <xdr:col>15</xdr:col>
                    <xdr:colOff>0</xdr:colOff>
                    <xdr:row>581</xdr:row>
                    <xdr:rowOff>0</xdr:rowOff>
                  </to>
                </anchor>
              </controlPr>
            </control>
          </mc:Choice>
        </mc:AlternateContent>
        <mc:AlternateContent xmlns:mc="http://schemas.openxmlformats.org/markup-compatibility/2006">
          <mc:Choice Requires="x14">
            <control shapeId="47252" r:id="rId138" name="Option Button 148">
              <controlPr defaultSize="0" autoFill="0" autoLine="0" autoPict="0">
                <anchor moveWithCells="1" sizeWithCells="1">
                  <from>
                    <xdr:col>2</xdr:col>
                    <xdr:colOff>19050</xdr:colOff>
                    <xdr:row>580</xdr:row>
                    <xdr:rowOff>9525</xdr:rowOff>
                  </from>
                  <to>
                    <xdr:col>4</xdr:col>
                    <xdr:colOff>95250</xdr:colOff>
                    <xdr:row>580</xdr:row>
                    <xdr:rowOff>228600</xdr:rowOff>
                  </to>
                </anchor>
              </controlPr>
            </control>
          </mc:Choice>
        </mc:AlternateContent>
        <mc:AlternateContent xmlns:mc="http://schemas.openxmlformats.org/markup-compatibility/2006">
          <mc:Choice Requires="x14">
            <control shapeId="47253" r:id="rId139" name="Option Button 149">
              <controlPr defaultSize="0" autoFill="0" autoLine="0" autoPict="0">
                <anchor moveWithCells="1" sizeWithCells="1">
                  <from>
                    <xdr:col>4</xdr:col>
                    <xdr:colOff>180975</xdr:colOff>
                    <xdr:row>580</xdr:row>
                    <xdr:rowOff>19050</xdr:rowOff>
                  </from>
                  <to>
                    <xdr:col>13</xdr:col>
                    <xdr:colOff>228600</xdr:colOff>
                    <xdr:row>580</xdr:row>
                    <xdr:rowOff>238125</xdr:rowOff>
                  </to>
                </anchor>
              </controlPr>
            </control>
          </mc:Choice>
        </mc:AlternateContent>
        <mc:AlternateContent xmlns:mc="http://schemas.openxmlformats.org/markup-compatibility/2006">
          <mc:Choice Requires="x14">
            <control shapeId="47255" r:id="rId140" name="Group Box 151">
              <controlPr defaultSize="0" autoFill="0" autoPict="0">
                <anchor moveWithCells="1" sizeWithCells="1">
                  <from>
                    <xdr:col>11</xdr:col>
                    <xdr:colOff>0</xdr:colOff>
                    <xdr:row>587</xdr:row>
                    <xdr:rowOff>0</xdr:rowOff>
                  </from>
                  <to>
                    <xdr:col>15</xdr:col>
                    <xdr:colOff>0</xdr:colOff>
                    <xdr:row>588</xdr:row>
                    <xdr:rowOff>0</xdr:rowOff>
                  </to>
                </anchor>
              </controlPr>
            </control>
          </mc:Choice>
        </mc:AlternateContent>
        <mc:AlternateContent xmlns:mc="http://schemas.openxmlformats.org/markup-compatibility/2006">
          <mc:Choice Requires="x14">
            <control shapeId="47256" r:id="rId141" name="Option Button 152">
              <controlPr defaultSize="0" autoFill="0" autoLine="0" autoPict="0">
                <anchor moveWithCells="1" sizeWithCells="1">
                  <from>
                    <xdr:col>11</xdr:col>
                    <xdr:colOff>180975</xdr:colOff>
                    <xdr:row>587</xdr:row>
                    <xdr:rowOff>19050</xdr:rowOff>
                  </from>
                  <to>
                    <xdr:col>13</xdr:col>
                    <xdr:colOff>47625</xdr:colOff>
                    <xdr:row>587</xdr:row>
                    <xdr:rowOff>238125</xdr:rowOff>
                  </to>
                </anchor>
              </controlPr>
            </control>
          </mc:Choice>
        </mc:AlternateContent>
        <mc:AlternateContent xmlns:mc="http://schemas.openxmlformats.org/markup-compatibility/2006">
          <mc:Choice Requires="x14">
            <control shapeId="47257" r:id="rId142" name="Option Button 153">
              <controlPr defaultSize="0" autoFill="0" autoLine="0" autoPict="0">
                <anchor moveWithCells="1" sizeWithCells="1">
                  <from>
                    <xdr:col>13</xdr:col>
                    <xdr:colOff>85725</xdr:colOff>
                    <xdr:row>587</xdr:row>
                    <xdr:rowOff>19050</xdr:rowOff>
                  </from>
                  <to>
                    <xdr:col>14</xdr:col>
                    <xdr:colOff>323850</xdr:colOff>
                    <xdr:row>587</xdr:row>
                    <xdr:rowOff>238125</xdr:rowOff>
                  </to>
                </anchor>
              </controlPr>
            </control>
          </mc:Choice>
        </mc:AlternateContent>
        <mc:AlternateContent xmlns:mc="http://schemas.openxmlformats.org/markup-compatibility/2006">
          <mc:Choice Requires="x14">
            <control shapeId="47145" r:id="rId143" name="Group Box 41">
              <controlPr defaultSize="0" autoFill="0" autoPict="0">
                <anchor moveWithCells="1" sizeWithCells="1">
                  <from>
                    <xdr:col>1</xdr:col>
                    <xdr:colOff>0</xdr:colOff>
                    <xdr:row>384</xdr:row>
                    <xdr:rowOff>0</xdr:rowOff>
                  </from>
                  <to>
                    <xdr:col>15</xdr:col>
                    <xdr:colOff>0</xdr:colOff>
                    <xdr:row>385</xdr:row>
                    <xdr:rowOff>0</xdr:rowOff>
                  </to>
                </anchor>
              </controlPr>
            </control>
          </mc:Choice>
        </mc:AlternateContent>
        <mc:AlternateContent xmlns:mc="http://schemas.openxmlformats.org/markup-compatibility/2006">
          <mc:Choice Requires="x14">
            <control shapeId="47146" r:id="rId144" name="Option Button 42">
              <controlPr defaultSize="0" autoFill="0" autoLine="0" autoPict="0">
                <anchor moveWithCells="1" sizeWithCells="1">
                  <from>
                    <xdr:col>1</xdr:col>
                    <xdr:colOff>9525</xdr:colOff>
                    <xdr:row>384</xdr:row>
                    <xdr:rowOff>9525</xdr:rowOff>
                  </from>
                  <to>
                    <xdr:col>1</xdr:col>
                    <xdr:colOff>390525</xdr:colOff>
                    <xdr:row>384</xdr:row>
                    <xdr:rowOff>247650</xdr:rowOff>
                  </to>
                </anchor>
              </controlPr>
            </control>
          </mc:Choice>
        </mc:AlternateContent>
        <mc:AlternateContent xmlns:mc="http://schemas.openxmlformats.org/markup-compatibility/2006">
          <mc:Choice Requires="x14">
            <control shapeId="47147" r:id="rId145" name="Option Button 43">
              <controlPr defaultSize="0" autoFill="0" autoLine="0" autoPict="0">
                <anchor moveWithCells="1" sizeWithCells="1">
                  <from>
                    <xdr:col>1</xdr:col>
                    <xdr:colOff>581025</xdr:colOff>
                    <xdr:row>384</xdr:row>
                    <xdr:rowOff>9525</xdr:rowOff>
                  </from>
                  <to>
                    <xdr:col>5</xdr:col>
                    <xdr:colOff>285750</xdr:colOff>
                    <xdr:row>384</xdr:row>
                    <xdr:rowOff>247650</xdr:rowOff>
                  </to>
                </anchor>
              </controlPr>
            </control>
          </mc:Choice>
        </mc:AlternateContent>
        <mc:AlternateContent xmlns:mc="http://schemas.openxmlformats.org/markup-compatibility/2006">
          <mc:Choice Requires="x14">
            <control shapeId="47148" r:id="rId146" name="Option Button 44">
              <controlPr defaultSize="0" autoFill="0" autoLine="0" autoPict="0">
                <anchor moveWithCells="1" sizeWithCells="1">
                  <from>
                    <xdr:col>6</xdr:col>
                    <xdr:colOff>85725</xdr:colOff>
                    <xdr:row>384</xdr:row>
                    <xdr:rowOff>0</xdr:rowOff>
                  </from>
                  <to>
                    <xdr:col>14</xdr:col>
                    <xdr:colOff>561975</xdr:colOff>
                    <xdr:row>384</xdr:row>
                    <xdr:rowOff>238125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IG873"/>
  <sheetViews>
    <sheetView showGridLines="0" zoomScale="120" workbookViewId="0"/>
  </sheetViews>
  <sheetFormatPr defaultColWidth="3" defaultRowHeight="12.75" x14ac:dyDescent="0.2"/>
  <cols>
    <col min="1" max="1" width="0.85546875" style="35" customWidth="1"/>
    <col min="2" max="2" width="21.7109375" style="35" customWidth="1"/>
    <col min="3" max="3" width="3.28515625" style="35" customWidth="1"/>
    <col min="4" max="4" width="6.140625" style="35" customWidth="1"/>
    <col min="5" max="5" width="3.42578125" style="35" customWidth="1"/>
    <col min="6" max="6" width="3.85546875" style="35" customWidth="1"/>
    <col min="7" max="7" width="4" style="35" customWidth="1"/>
    <col min="8" max="8" width="1.42578125" style="35" customWidth="1"/>
    <col min="9" max="9" width="1.85546875" style="35" customWidth="1"/>
    <col min="10" max="10" width="3.85546875" style="35" customWidth="1"/>
    <col min="11" max="11" width="3.7109375" style="35" customWidth="1"/>
    <col min="12" max="12" width="3.28515625" style="35" customWidth="1"/>
    <col min="13" max="13" width="6" style="35" customWidth="1"/>
    <col min="14" max="15" width="8.85546875" style="35" customWidth="1"/>
    <col min="16" max="16" width="8.5703125" style="35" customWidth="1"/>
    <col min="17" max="17" width="0.42578125" style="35" customWidth="1"/>
    <col min="18" max="18" width="14.7109375" style="35" hidden="1" customWidth="1"/>
    <col min="19" max="19" width="12" style="35" hidden="1" customWidth="1"/>
    <col min="20" max="20" width="11.5703125" style="35" hidden="1" customWidth="1"/>
    <col min="21" max="21" width="17" style="35" hidden="1" customWidth="1"/>
    <col min="22" max="22" width="19.140625" style="35" hidden="1" customWidth="1"/>
    <col min="23" max="23" width="14.140625" style="35" hidden="1" customWidth="1"/>
    <col min="24" max="24" width="10.7109375" style="35" hidden="1" customWidth="1"/>
    <col min="25" max="25" width="20" style="35" hidden="1" customWidth="1"/>
    <col min="26" max="26" width="19.28515625" style="35" hidden="1" customWidth="1"/>
    <col min="27" max="27" width="13.140625" style="35" hidden="1" customWidth="1"/>
    <col min="28" max="28" width="15" style="35" hidden="1" customWidth="1"/>
    <col min="29" max="29" width="10" style="35" hidden="1" customWidth="1"/>
    <col min="30" max="30" width="9.140625" style="35" hidden="1" customWidth="1"/>
    <col min="31" max="31" width="12.85546875" style="35" hidden="1" customWidth="1"/>
    <col min="32" max="32" width="9.5703125" style="35" hidden="1" customWidth="1"/>
    <col min="33" max="33" width="9.28515625" style="35" hidden="1" customWidth="1"/>
    <col min="34" max="34" width="10.28515625" style="35" hidden="1" customWidth="1"/>
    <col min="35" max="36" width="10.5703125" style="35" hidden="1" customWidth="1"/>
    <col min="37" max="37" width="8.85546875" style="35" hidden="1" customWidth="1"/>
    <col min="38" max="130" width="3" style="35" hidden="1" customWidth="1"/>
    <col min="131" max="255" width="3" style="35" customWidth="1"/>
    <col min="256" max="16384" width="3" style="35"/>
  </cols>
  <sheetData>
    <row r="1" spans="1:170" ht="15" customHeight="1" x14ac:dyDescent="0.2">
      <c r="B1" s="1339" t="s">
        <v>1733</v>
      </c>
      <c r="C1" s="1389"/>
      <c r="D1" s="1347" t="str">
        <f>IF('Start here'!A6="","",'Start here'!A6)</f>
        <v/>
      </c>
      <c r="E1" s="1351"/>
      <c r="F1" s="1351"/>
      <c r="G1" s="1351"/>
      <c r="H1" s="1351"/>
      <c r="I1" s="1351"/>
      <c r="J1" s="1351"/>
      <c r="K1" s="1352"/>
      <c r="M1" s="1347" t="str">
        <f>IF('Start here'!A7="","",'Start here'!A7)</f>
        <v/>
      </c>
      <c r="N1" s="1351"/>
      <c r="O1" s="1351"/>
      <c r="P1" s="1352"/>
      <c r="R1" s="694">
        <v>38353</v>
      </c>
      <c r="S1" s="1555" t="str">
        <f>IF(R2&lt;R1,"Go to PPD Worksheet","")</f>
        <v>Go to PPD Worksheet</v>
      </c>
      <c r="T1" s="1555"/>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1:170" ht="14.25" customHeight="1" x14ac:dyDescent="0.2">
      <c r="B2" s="1395"/>
      <c r="C2" s="1395"/>
      <c r="D2" s="1395"/>
      <c r="E2" s="1395"/>
      <c r="F2" s="1395"/>
      <c r="G2" s="1395"/>
      <c r="H2" s="1395"/>
      <c r="I2" s="1395"/>
      <c r="J2" s="1395"/>
      <c r="K2" s="1395"/>
      <c r="L2" s="1395"/>
      <c r="M2" s="1395"/>
      <c r="N2" s="1395"/>
      <c r="O2" s="1395"/>
      <c r="P2" s="1395"/>
      <c r="R2" s="694">
        <f>'Start here'!A8</f>
        <v>0</v>
      </c>
      <c r="S2" s="1555" t="str">
        <f>IF(R2&gt;=R1,"Go to PPD Worksheet","")</f>
        <v/>
      </c>
      <c r="T2" s="1555"/>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row>
    <row r="3" spans="1:170" s="63" customFormat="1" ht="20.25" customHeight="1" x14ac:dyDescent="0.3">
      <c r="A3" s="35"/>
      <c r="B3" s="1773" t="s">
        <v>1432</v>
      </c>
      <c r="C3" s="1774"/>
      <c r="D3" s="1774"/>
      <c r="E3" s="1774"/>
      <c r="F3" s="1774"/>
      <c r="G3" s="1774"/>
      <c r="H3" s="1774"/>
      <c r="I3" s="1774"/>
      <c r="J3" s="1774"/>
      <c r="K3" s="1774"/>
      <c r="L3" s="1774"/>
      <c r="M3" s="1774"/>
      <c r="N3" s="1774"/>
      <c r="O3" s="1774"/>
      <c r="P3" s="1775"/>
      <c r="Q3" s="35"/>
      <c r="R3" s="18"/>
      <c r="S3" s="18"/>
      <c r="T3" s="1087"/>
      <c r="U3" s="1087"/>
      <c r="V3" s="1087"/>
      <c r="W3" s="1087"/>
      <c r="X3" s="1087"/>
      <c r="Y3" s="1087"/>
      <c r="Z3" s="1087"/>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row>
    <row r="4" spans="1:170" s="63" customFormat="1" ht="30" customHeight="1" x14ac:dyDescent="0.3">
      <c r="A4" s="35"/>
      <c r="B4" s="229" t="s">
        <v>406</v>
      </c>
      <c r="C4" s="1717" t="s">
        <v>345</v>
      </c>
      <c r="D4" s="1717"/>
      <c r="E4" s="1717" t="s">
        <v>346</v>
      </c>
      <c r="F4" s="1717"/>
      <c r="G4" s="1717" t="s">
        <v>347</v>
      </c>
      <c r="H4" s="1717"/>
      <c r="I4" s="1717"/>
      <c r="J4" s="1717" t="s">
        <v>348</v>
      </c>
      <c r="K4" s="1717"/>
      <c r="L4" s="1717" t="s">
        <v>349</v>
      </c>
      <c r="M4" s="1717"/>
      <c r="N4" s="451" t="s">
        <v>714</v>
      </c>
      <c r="O4" s="451" t="s">
        <v>672</v>
      </c>
      <c r="P4" s="451" t="s">
        <v>1899</v>
      </c>
      <c r="Q4" s="465"/>
      <c r="R4" s="466"/>
      <c r="S4" s="252"/>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4"/>
      <c r="BB4" s="14"/>
      <c r="BC4" s="14"/>
      <c r="BD4" s="14"/>
      <c r="BE4" s="14"/>
      <c r="BF4" s="14"/>
      <c r="BG4" s="14"/>
      <c r="BH4" s="14"/>
      <c r="BI4" s="14"/>
      <c r="BJ4" s="14"/>
      <c r="BK4" s="14"/>
      <c r="BL4" s="14"/>
      <c r="BM4" s="14"/>
      <c r="BN4" s="14"/>
      <c r="BO4" s="14"/>
      <c r="BP4" s="14"/>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row>
    <row r="5" spans="1:170" s="63" customFormat="1" ht="9" customHeight="1" x14ac:dyDescent="0.2">
      <c r="A5" s="35"/>
      <c r="B5" s="1772"/>
      <c r="C5" s="1772"/>
      <c r="D5" s="1772"/>
      <c r="E5" s="1772"/>
      <c r="F5" s="1772"/>
      <c r="G5" s="1772"/>
      <c r="H5" s="1772"/>
      <c r="I5" s="1772"/>
      <c r="J5" s="1772"/>
      <c r="K5" s="1772"/>
      <c r="L5" s="1772"/>
      <c r="M5" s="1772"/>
      <c r="N5" s="1772"/>
      <c r="O5" s="1772"/>
      <c r="P5" s="1772"/>
      <c r="Q5" s="35"/>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row>
    <row r="6" spans="1:170" s="63" customFormat="1" ht="18" customHeight="1" x14ac:dyDescent="0.2">
      <c r="A6" s="35"/>
      <c r="B6" s="1860" t="s">
        <v>1433</v>
      </c>
      <c r="C6" s="1959"/>
      <c r="D6" s="1959"/>
      <c r="E6" s="1959"/>
      <c r="F6" s="1959"/>
      <c r="G6" s="1959"/>
      <c r="H6" s="1959"/>
      <c r="I6" s="1959"/>
      <c r="J6" s="1959"/>
      <c r="K6" s="1959"/>
      <c r="L6" s="1959"/>
      <c r="M6" s="1959"/>
      <c r="N6" s="1959"/>
      <c r="O6" s="1959"/>
      <c r="P6" s="1959"/>
      <c r="Q6" s="35"/>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row>
    <row r="7" spans="1:170" s="63" customFormat="1" ht="15" customHeight="1" x14ac:dyDescent="0.2">
      <c r="A7" s="35"/>
      <c r="B7" s="1555" t="s">
        <v>1272</v>
      </c>
      <c r="C7" s="1555"/>
      <c r="D7" s="1555"/>
      <c r="E7" s="1555"/>
      <c r="F7" s="1555"/>
      <c r="G7" s="1555"/>
      <c r="H7" s="1555"/>
      <c r="I7" s="1555"/>
      <c r="J7" s="1555"/>
      <c r="K7" s="1555"/>
      <c r="L7" s="1555"/>
      <c r="M7" s="1555"/>
      <c r="N7" s="1555"/>
      <c r="O7" s="1555"/>
      <c r="P7" s="1555"/>
      <c r="Q7" s="35"/>
      <c r="R7" s="18"/>
      <c r="S7" s="18"/>
      <c r="T7" s="1379" t="s">
        <v>1273</v>
      </c>
      <c r="U7" s="822" t="s">
        <v>1318</v>
      </c>
      <c r="V7" s="822" t="s">
        <v>1782</v>
      </c>
      <c r="W7" s="695" t="s">
        <v>704</v>
      </c>
      <c r="X7" s="822" t="s">
        <v>705</v>
      </c>
      <c r="Y7" s="822" t="s">
        <v>706</v>
      </c>
      <c r="Z7" s="822" t="s">
        <v>707</v>
      </c>
      <c r="AA7" s="829" t="s">
        <v>1650</v>
      </c>
      <c r="AB7" s="829" t="s">
        <v>1651</v>
      </c>
      <c r="AC7" s="829" t="s">
        <v>1652</v>
      </c>
      <c r="AD7" s="822" t="s">
        <v>1104</v>
      </c>
      <c r="AE7" s="822" t="s">
        <v>1105</v>
      </c>
      <c r="AF7" s="822" t="s">
        <v>1106</v>
      </c>
      <c r="AG7" s="822" t="s">
        <v>1617</v>
      </c>
      <c r="AH7" s="822" t="s">
        <v>1045</v>
      </c>
      <c r="AI7" s="822" t="s">
        <v>1046</v>
      </c>
      <c r="AJ7" s="822" t="s">
        <v>1669</v>
      </c>
      <c r="AK7" s="822" t="s">
        <v>1351</v>
      </c>
      <c r="AL7" s="822" t="s">
        <v>1352</v>
      </c>
      <c r="AM7" s="822" t="s">
        <v>1353</v>
      </c>
      <c r="AN7" s="822" t="s">
        <v>202</v>
      </c>
      <c r="AO7" s="822" t="s">
        <v>203</v>
      </c>
      <c r="AP7" s="18"/>
      <c r="AQ7" s="18"/>
      <c r="AR7" s="18"/>
      <c r="AS7" s="18"/>
      <c r="AT7" s="18"/>
      <c r="AU7" s="18"/>
      <c r="AV7" s="18"/>
      <c r="AW7" s="18"/>
      <c r="AX7" s="18"/>
      <c r="AY7" s="18"/>
      <c r="AZ7" s="18"/>
      <c r="BA7" s="18"/>
      <c r="BB7" s="18"/>
      <c r="BC7" s="18"/>
      <c r="BD7" s="18"/>
      <c r="BE7" s="18"/>
      <c r="BF7" s="14"/>
      <c r="BG7" s="14"/>
      <c r="BH7" s="14"/>
      <c r="BI7" s="14"/>
      <c r="BJ7" s="14"/>
      <c r="BK7" s="14"/>
      <c r="BL7" s="14"/>
      <c r="BM7" s="14"/>
      <c r="BN7" s="14"/>
      <c r="BO7" s="14"/>
      <c r="BP7" s="14"/>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row>
    <row r="8" spans="1:170" s="63" customFormat="1" ht="18" customHeight="1" x14ac:dyDescent="0.2">
      <c r="A8" s="35"/>
      <c r="B8" s="1629"/>
      <c r="C8" s="1629"/>
      <c r="D8" s="1629"/>
      <c r="E8" s="1629"/>
      <c r="F8" s="1629"/>
      <c r="G8" s="1629"/>
      <c r="H8" s="1629"/>
      <c r="I8" s="1629"/>
      <c r="J8" s="1629"/>
      <c r="K8" s="1629"/>
      <c r="L8" s="1629"/>
      <c r="M8" s="1629"/>
      <c r="N8" s="1629"/>
      <c r="O8" s="1629"/>
      <c r="P8" s="26">
        <f>SUMIF(U7:AO7,B8,U8:AO8)</f>
        <v>0</v>
      </c>
      <c r="Q8" s="35"/>
      <c r="R8" s="18"/>
      <c r="S8" s="18"/>
      <c r="T8" s="1379"/>
      <c r="U8" s="827">
        <v>0</v>
      </c>
      <c r="V8" s="829">
        <v>0.05</v>
      </c>
      <c r="W8" s="829">
        <v>0.1</v>
      </c>
      <c r="X8" s="829">
        <v>0.15</v>
      </c>
      <c r="Y8" s="829">
        <v>0.2</v>
      </c>
      <c r="Z8" s="829">
        <v>0.25</v>
      </c>
      <c r="AA8" s="829">
        <v>0.3</v>
      </c>
      <c r="AB8" s="829">
        <v>0.35</v>
      </c>
      <c r="AC8" s="829">
        <v>0.4</v>
      </c>
      <c r="AD8" s="829">
        <v>0.45</v>
      </c>
      <c r="AE8" s="829">
        <v>0.5</v>
      </c>
      <c r="AF8" s="829">
        <v>0.55000000000000004</v>
      </c>
      <c r="AG8" s="829">
        <v>0.6</v>
      </c>
      <c r="AH8" s="829">
        <v>0.65</v>
      </c>
      <c r="AI8" s="829">
        <v>0.7</v>
      </c>
      <c r="AJ8" s="829">
        <v>0.75</v>
      </c>
      <c r="AK8" s="829">
        <v>0.8</v>
      </c>
      <c r="AL8" s="829">
        <v>0.85</v>
      </c>
      <c r="AM8" s="829">
        <v>0.9</v>
      </c>
      <c r="AN8" s="829">
        <v>0.95</v>
      </c>
      <c r="AO8" s="829">
        <v>1</v>
      </c>
      <c r="AP8" s="18"/>
      <c r="AQ8" s="18"/>
      <c r="AR8" s="18"/>
      <c r="AS8" s="18"/>
      <c r="AT8" s="18"/>
      <c r="AU8" s="18"/>
      <c r="AV8" s="18"/>
      <c r="AW8" s="18"/>
      <c r="AX8" s="18"/>
      <c r="AY8" s="18"/>
      <c r="AZ8" s="18"/>
      <c r="BA8" s="18"/>
      <c r="BB8" s="18"/>
      <c r="BC8" s="18"/>
      <c r="BD8" s="18"/>
      <c r="BE8" s="18"/>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row>
    <row r="9" spans="1:170" s="63" customFormat="1" ht="12" customHeight="1" x14ac:dyDescent="0.25">
      <c r="A9" s="35"/>
      <c r="B9" s="1924"/>
      <c r="C9" s="1924"/>
      <c r="D9" s="1924"/>
      <c r="E9" s="1924"/>
      <c r="F9" s="1924"/>
      <c r="G9" s="1924"/>
      <c r="H9" s="1924"/>
      <c r="I9" s="1924"/>
      <c r="J9" s="1924"/>
      <c r="K9" s="1924"/>
      <c r="L9" s="1924"/>
      <c r="M9" s="1924"/>
      <c r="N9" s="1924"/>
      <c r="O9" s="1924"/>
      <c r="P9" s="1924"/>
      <c r="Q9" s="35"/>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4"/>
      <c r="BG9" s="14"/>
      <c r="BH9" s="14"/>
      <c r="BI9" s="14"/>
      <c r="BJ9" s="14"/>
      <c r="BK9" s="14"/>
      <c r="BL9" s="14"/>
      <c r="BM9" s="14"/>
      <c r="BN9" s="14"/>
      <c r="BO9" s="14"/>
      <c r="BP9" s="14"/>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row>
    <row r="10" spans="1:170" s="63" customFormat="1" ht="15" customHeight="1" x14ac:dyDescent="0.2">
      <c r="A10" s="35"/>
      <c r="B10" s="1549" t="s">
        <v>1193</v>
      </c>
      <c r="C10" s="1550"/>
      <c r="D10" s="1550"/>
      <c r="E10" s="1550"/>
      <c r="F10" s="1550"/>
      <c r="G10" s="1550"/>
      <c r="H10" s="1550"/>
      <c r="I10" s="1550"/>
      <c r="J10" s="1550"/>
      <c r="K10" s="1550"/>
      <c r="L10" s="1550"/>
      <c r="M10" s="1550"/>
      <c r="N10" s="1550"/>
      <c r="O10" s="1550"/>
      <c r="P10" s="1645"/>
      <c r="Q10" s="35"/>
      <c r="R10" s="18"/>
      <c r="U10" s="69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row>
    <row r="11" spans="1:170" s="63" customFormat="1" ht="27" customHeight="1" x14ac:dyDescent="0.25">
      <c r="A11" s="35"/>
      <c r="B11" s="468"/>
      <c r="C11" s="1452" t="s">
        <v>1596</v>
      </c>
      <c r="D11" s="1452"/>
      <c r="E11" s="1452"/>
      <c r="F11" s="1452"/>
      <c r="G11" s="1786" t="s">
        <v>1081</v>
      </c>
      <c r="H11" s="1786"/>
      <c r="I11" s="1786"/>
      <c r="J11" s="1786"/>
      <c r="K11" s="1786"/>
      <c r="L11" s="1872"/>
      <c r="M11" s="1872"/>
      <c r="N11" s="1872"/>
      <c r="O11" s="1872"/>
      <c r="P11" s="1745"/>
      <c r="Q11" s="35"/>
      <c r="R11" s="18"/>
      <c r="S11" s="831"/>
      <c r="T11" s="1536" t="s">
        <v>1258</v>
      </c>
      <c r="U11" s="1536"/>
      <c r="V11" s="18"/>
      <c r="W11" s="18"/>
      <c r="X11" s="18"/>
      <c r="Y11" s="1598" t="s">
        <v>2263</v>
      </c>
      <c r="Z11" s="1599"/>
      <c r="AA11" s="1599"/>
      <c r="AB11" s="1600"/>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4"/>
      <c r="BB11" s="14"/>
      <c r="BC11" s="14"/>
      <c r="BD11" s="14"/>
      <c r="BE11" s="14"/>
      <c r="BF11" s="14"/>
      <c r="BG11" s="14"/>
      <c r="BH11" s="14"/>
      <c r="BI11" s="14"/>
      <c r="BJ11" s="14"/>
      <c r="BK11" s="14"/>
      <c r="BL11" s="14"/>
      <c r="BM11" s="14"/>
      <c r="BN11" s="14"/>
      <c r="BO11" s="14"/>
      <c r="BP11" s="14"/>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row>
    <row r="12" spans="1:170" s="63" customFormat="1" ht="15" customHeight="1" x14ac:dyDescent="0.2">
      <c r="A12" s="35"/>
      <c r="B12" s="357" t="s">
        <v>1082</v>
      </c>
      <c r="C12" s="1555" t="s">
        <v>365</v>
      </c>
      <c r="D12" s="1555"/>
      <c r="E12" s="1555" t="s">
        <v>1796</v>
      </c>
      <c r="F12" s="1555"/>
      <c r="G12" s="1555" t="s">
        <v>365</v>
      </c>
      <c r="H12" s="1555"/>
      <c r="I12" s="1555"/>
      <c r="J12" s="1555" t="s">
        <v>1796</v>
      </c>
      <c r="K12" s="1555"/>
      <c r="L12" s="1949"/>
      <c r="M12" s="1950"/>
      <c r="N12" s="1950"/>
      <c r="O12" s="1951"/>
      <c r="P12" s="1745"/>
      <c r="Q12" s="35"/>
      <c r="R12" s="1025"/>
      <c r="S12" s="1026" t="s">
        <v>1573</v>
      </c>
      <c r="T12" s="1022" t="s">
        <v>1596</v>
      </c>
      <c r="U12" s="826" t="s">
        <v>1597</v>
      </c>
      <c r="V12" s="1555" t="s">
        <v>1083</v>
      </c>
      <c r="W12" s="1555"/>
      <c r="X12" s="831"/>
      <c r="Y12" s="243">
        <f>IF(E14&gt;0,O15,IF(AND(E14=0,W20&gt;0,O15&gt;0,C21&gt;0),C21*O15,O15))</f>
        <v>0</v>
      </c>
      <c r="Z12" s="243">
        <f>IF(W20&gt;0,O20,IF(AND(W20=0,E14&gt;0,O20&gt;0,C21&gt;0),C21*O20,O20))</f>
        <v>0</v>
      </c>
      <c r="AA12" s="243">
        <f>IF(AND(E14=0,W20=0,C21&gt;0),C21*AB19,AB19)</f>
        <v>0</v>
      </c>
      <c r="AB12" s="1066">
        <f>IF(AND(E14&gt;0,W20&gt;0),1,IF(AND(E14&gt;0,O20=0),1,IF(AND(W20&gt;0,O15=0),1,0)))</f>
        <v>0</v>
      </c>
      <c r="AE12" s="18"/>
      <c r="AF12" s="18"/>
      <c r="AG12" s="18"/>
      <c r="AH12" s="18"/>
      <c r="AI12" s="18"/>
      <c r="AJ12" s="18"/>
      <c r="AK12" s="18"/>
      <c r="AL12" s="18"/>
      <c r="AM12" s="18"/>
      <c r="AN12" s="18"/>
      <c r="AO12" s="18"/>
      <c r="AP12" s="18"/>
      <c r="AQ12" s="18"/>
      <c r="AR12" s="18"/>
      <c r="AS12" s="18"/>
      <c r="AT12" s="18"/>
      <c r="AU12" s="18"/>
      <c r="AV12" s="18"/>
      <c r="AW12" s="18"/>
      <c r="AX12" s="18"/>
      <c r="AY12" s="18"/>
      <c r="AZ12" s="18"/>
      <c r="BA12" s="14"/>
      <c r="BB12" s="14"/>
      <c r="BC12" s="14"/>
      <c r="BD12" s="14"/>
      <c r="BE12" s="14"/>
      <c r="BF12" s="14"/>
      <c r="BG12" s="14"/>
      <c r="BH12" s="14"/>
      <c r="BI12" s="14"/>
      <c r="BJ12" s="14"/>
      <c r="BK12" s="14"/>
      <c r="BL12" s="14"/>
      <c r="BM12" s="14"/>
      <c r="BN12" s="14"/>
      <c r="BO12" s="14"/>
      <c r="BP12" s="14"/>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row>
    <row r="13" spans="1:170" s="63" customFormat="1" ht="15" customHeight="1" x14ac:dyDescent="0.2">
      <c r="A13" s="35"/>
      <c r="B13" s="357" t="s">
        <v>1256</v>
      </c>
      <c r="C13" s="1944"/>
      <c r="D13" s="1945"/>
      <c r="E13" s="1865">
        <f>LETable!AJ3</f>
        <v>0</v>
      </c>
      <c r="F13" s="1865"/>
      <c r="G13" s="1345"/>
      <c r="H13" s="1501"/>
      <c r="I13" s="1501"/>
      <c r="J13" s="1947">
        <f>IF(C13="",0,IF(OR(C13&lt;=0,G13&lt;=0),E13,IF(G13&lt;C13,0,LETable!AO3)))</f>
        <v>0</v>
      </c>
      <c r="K13" s="1948"/>
      <c r="L13" s="1874" t="str">
        <f>IF(OR(C13="NA",G13="NA"),"",IF(AND(C13&lt;&gt;"",G13=""),"Enter contralateral or NA.",IF(AND(C13="",G13&lt;&gt;""),"Need data","")))</f>
        <v/>
      </c>
      <c r="M13" s="1875"/>
      <c r="N13" s="1875"/>
      <c r="O13" s="1875"/>
      <c r="P13" s="1745"/>
      <c r="Q13" s="35"/>
      <c r="R13" s="160"/>
      <c r="S13" s="1024">
        <v>30</v>
      </c>
      <c r="T13" s="1021" t="str">
        <f>IF(OR(C13="",C13="NA"),"",IF(C13&gt;S13,S13,IF(C13&lt;0,0,C13)))</f>
        <v/>
      </c>
      <c r="U13" s="822" t="str">
        <f>IF(OR(G13="",G13="NA"),"",IF(G13&gt;S13,S13,IF(G13&lt;0,0,G13)))</f>
        <v/>
      </c>
      <c r="V13" s="696" t="str">
        <f>IF(W13="","",ROUND(W13,0))</f>
        <v/>
      </c>
      <c r="W13" s="697" t="str">
        <f>IF(T13="","",IF(OR(U13="",U13=0,U13&lt;T13),T13,(T13*S13)/U13))</f>
        <v/>
      </c>
      <c r="X13" s="18"/>
      <c r="Y13" s="698"/>
      <c r="Z13" s="698"/>
      <c r="AA13" s="698"/>
      <c r="AB13" s="698"/>
      <c r="AE13" s="18"/>
      <c r="AF13" s="18"/>
      <c r="AG13" s="18"/>
      <c r="AH13" s="18"/>
      <c r="AI13" s="18"/>
      <c r="AJ13" s="18"/>
      <c r="AK13" s="18"/>
      <c r="AL13" s="18"/>
      <c r="AM13" s="18"/>
      <c r="AN13" s="18"/>
      <c r="AO13" s="18"/>
      <c r="AP13" s="18"/>
      <c r="AQ13" s="18"/>
      <c r="AR13" s="18"/>
      <c r="AS13" s="18"/>
      <c r="AT13" s="18"/>
      <c r="AU13" s="18"/>
      <c r="AV13" s="18"/>
      <c r="AW13" s="18"/>
      <c r="AX13" s="18"/>
      <c r="AY13" s="18"/>
      <c r="AZ13" s="18"/>
      <c r="BA13" s="14"/>
      <c r="BB13" s="14"/>
      <c r="BC13" s="14"/>
      <c r="BD13" s="14"/>
      <c r="BE13" s="14"/>
      <c r="BF13" s="14"/>
      <c r="BG13" s="14"/>
      <c r="BH13" s="14"/>
      <c r="BI13" s="14"/>
      <c r="BJ13" s="14"/>
      <c r="BK13" s="14"/>
      <c r="BL13" s="14"/>
      <c r="BM13" s="14"/>
      <c r="BN13" s="14"/>
      <c r="BO13" s="14"/>
      <c r="BP13" s="14"/>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row>
    <row r="14" spans="1:170" s="63" customFormat="1" ht="15" customHeight="1" x14ac:dyDescent="0.2">
      <c r="A14" s="35"/>
      <c r="B14" s="357" t="s">
        <v>1840</v>
      </c>
      <c r="C14" s="1944"/>
      <c r="D14" s="1945"/>
      <c r="E14" s="1996">
        <f>IF(AND(C14&lt;&gt;"",C14&lt;&gt;"NA",C13&lt;&gt;"NA",C13&lt;&gt;""),"ERROR",LETable!AJ4)</f>
        <v>0</v>
      </c>
      <c r="F14" s="1997"/>
      <c r="G14" s="1704" t="str">
        <f>IF(E14="ERROR","Error: Cannot rate ROM and ankylosis.","")</f>
        <v/>
      </c>
      <c r="H14" s="1873"/>
      <c r="I14" s="1873"/>
      <c r="J14" s="1873"/>
      <c r="K14" s="1873"/>
      <c r="L14" s="1873"/>
      <c r="M14" s="1873"/>
      <c r="N14" s="1873"/>
      <c r="O14" s="1873"/>
      <c r="P14" s="1745"/>
      <c r="Q14" s="35"/>
      <c r="R14" s="1027"/>
      <c r="S14" s="1024">
        <v>30</v>
      </c>
      <c r="T14" s="1021" t="str">
        <f>IF(OR(C14="",C14="NA"),"",IF(C14&gt;S14,S14,IF(C14&lt;0,0,C14)))</f>
        <v/>
      </c>
      <c r="U14" s="18"/>
      <c r="V14" s="73"/>
      <c r="W14" s="159"/>
      <c r="X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4"/>
      <c r="BB14" s="14"/>
      <c r="BC14" s="14"/>
      <c r="BD14" s="14"/>
      <c r="BE14" s="14"/>
      <c r="BF14" s="14"/>
      <c r="BG14" s="14"/>
      <c r="BH14" s="14"/>
      <c r="BI14" s="14"/>
      <c r="BJ14" s="14"/>
      <c r="BK14" s="14"/>
      <c r="BL14" s="14"/>
      <c r="BM14" s="14"/>
      <c r="BN14" s="14"/>
      <c r="BO14" s="14"/>
      <c r="BP14" s="14"/>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row>
    <row r="15" spans="1:170" s="63" customFormat="1" ht="15" customHeight="1" x14ac:dyDescent="0.2">
      <c r="A15" s="35"/>
      <c r="B15" s="357" t="s">
        <v>1841</v>
      </c>
      <c r="C15" s="1991"/>
      <c r="D15" s="1992"/>
      <c r="E15" s="1992"/>
      <c r="F15" s="1992"/>
      <c r="G15" s="1992"/>
      <c r="H15" s="1992"/>
      <c r="I15" s="1992"/>
      <c r="J15" s="1992"/>
      <c r="K15" s="1993"/>
      <c r="L15" s="1740" t="s">
        <v>1842</v>
      </c>
      <c r="M15" s="1741"/>
      <c r="N15" s="1742"/>
      <c r="O15" s="71">
        <f>IF(E14="ERROR","ERROR",IF(R15&gt;1,1,R15))</f>
        <v>0</v>
      </c>
      <c r="P15" s="1745"/>
      <c r="Q15" s="35"/>
      <c r="R15" s="243">
        <f>J13+E14</f>
        <v>0</v>
      </c>
      <c r="S15" s="1024"/>
      <c r="T15" s="18"/>
      <c r="U15" s="18"/>
      <c r="V15" s="18"/>
      <c r="W15" s="18"/>
      <c r="X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4"/>
      <c r="BB15" s="14"/>
      <c r="BC15" s="14"/>
      <c r="BD15" s="14"/>
      <c r="BE15" s="14"/>
      <c r="BF15" s="14"/>
      <c r="BG15" s="14"/>
      <c r="BH15" s="14"/>
      <c r="BI15" s="14"/>
      <c r="BJ15" s="14"/>
      <c r="BK15" s="14"/>
      <c r="BL15" s="14"/>
      <c r="BM15" s="14"/>
      <c r="BN15" s="14"/>
      <c r="BO15" s="14"/>
      <c r="BP15" s="14"/>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row>
    <row r="16" spans="1:170" s="63" customFormat="1" ht="15" customHeight="1" x14ac:dyDescent="0.2">
      <c r="A16" s="35"/>
      <c r="B16" s="358" t="s">
        <v>1335</v>
      </c>
      <c r="C16" s="1637"/>
      <c r="D16" s="1637"/>
      <c r="E16" s="1865">
        <f>LETable!AJ6</f>
        <v>0</v>
      </c>
      <c r="F16" s="1865"/>
      <c r="G16" s="1345"/>
      <c r="H16" s="1501"/>
      <c r="I16" s="1501"/>
      <c r="J16" s="1947">
        <f>IF(C16="",0,IF(OR(C16&lt;=0,G16&lt;=0),E16,IF(G16&lt;C16,0,LETable!AO6)))</f>
        <v>0</v>
      </c>
      <c r="K16" s="1948"/>
      <c r="L16" s="1936" t="str">
        <f>IF(OR(C16="NA",G16="NA"),"",IF(AND(C16&lt;&gt;"",G16=""),"Enter contralateral or NA.",IF(AND(C16="",G16&lt;&gt;""),"Need data","")))</f>
        <v/>
      </c>
      <c r="M16" s="1937"/>
      <c r="N16" s="1937"/>
      <c r="O16" s="1937"/>
      <c r="P16" s="1745"/>
      <c r="Q16" s="35"/>
      <c r="R16" s="1027"/>
      <c r="S16" s="1024">
        <v>50</v>
      </c>
      <c r="T16" s="1021" t="str">
        <f>IF(OR(C16="",C16="NA"),"",IF(C16&gt;S16,S16,IF(C16&lt;0,0,C16)))</f>
        <v/>
      </c>
      <c r="U16" s="822" t="str">
        <f>IF(OR(G16="",G16="NA"),"",IF(G16&gt;S16,S16,IF(G16&lt;0,0,G16)))</f>
        <v/>
      </c>
      <c r="V16" s="696" t="str">
        <f>IF(W16="","",ROUND(W16,0))</f>
        <v/>
      </c>
      <c r="W16" s="697" t="str">
        <f>IF(T16="","",IF(OR(U16="",U16=0,U16&lt;T16),T16,(T16*S16)/U16))</f>
        <v/>
      </c>
      <c r="X16" s="18"/>
      <c r="Z16" s="1073"/>
      <c r="AA16" s="1073"/>
      <c r="AB16" s="1073"/>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4"/>
      <c r="BB16" s="14"/>
      <c r="BC16" s="14"/>
      <c r="BD16" s="14"/>
      <c r="BE16" s="14"/>
      <c r="BF16" s="14"/>
      <c r="BG16" s="14"/>
      <c r="BH16" s="14"/>
      <c r="BI16" s="14"/>
      <c r="BJ16" s="14"/>
      <c r="BK16" s="14"/>
      <c r="BL16" s="14"/>
      <c r="BM16" s="14"/>
      <c r="BN16" s="14"/>
      <c r="BO16" s="14"/>
      <c r="BP16" s="14"/>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row>
    <row r="17" spans="1:142" s="63" customFormat="1" ht="15" customHeight="1" x14ac:dyDescent="0.2">
      <c r="A17" s="35"/>
      <c r="B17" s="358" t="s">
        <v>1336</v>
      </c>
      <c r="C17" s="1952"/>
      <c r="D17" s="1952"/>
      <c r="E17" s="1865">
        <f>IF(AND(C17&lt;&gt;"",C17&lt;&gt;"NA",C16&lt;&gt;"NA",C16&lt;&gt;""),"ERROR",IF(AND(C17&lt;&gt;"",C17&lt;&gt;"NA",C18&lt;&gt;"",C18&lt;&gt;"NA"),"ERROR",LETable!AJ7))</f>
        <v>0</v>
      </c>
      <c r="F17" s="1865"/>
      <c r="G17" s="1989" t="str">
        <f>IF(E17="ERROR","Error: Cannot rate ROM and ankylosis.","")</f>
        <v/>
      </c>
      <c r="H17" s="1990"/>
      <c r="I17" s="1990"/>
      <c r="J17" s="1990"/>
      <c r="K17" s="1990"/>
      <c r="L17" s="1990"/>
      <c r="M17" s="1990"/>
      <c r="N17" s="1990"/>
      <c r="O17" s="1990"/>
      <c r="P17" s="1745"/>
      <c r="Q17" s="35"/>
      <c r="R17" s="1025"/>
      <c r="S17" s="1024">
        <v>50</v>
      </c>
      <c r="T17" s="1021" t="str">
        <f>IF(OR(C17="",C17="NA"),"",IF(C17&gt;S17,S17,IF(C17&lt;0,0,C17)))</f>
        <v/>
      </c>
      <c r="U17" s="18"/>
      <c r="V17" s="18"/>
      <c r="W17" s="18"/>
      <c r="X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4"/>
      <c r="BB17" s="14"/>
      <c r="BC17" s="14"/>
      <c r="BD17" s="14"/>
      <c r="BE17" s="14"/>
      <c r="BF17" s="14"/>
      <c r="BG17" s="14"/>
      <c r="BH17" s="14"/>
      <c r="BI17" s="14"/>
      <c r="BJ17" s="14"/>
      <c r="BK17" s="14"/>
      <c r="BL17" s="14"/>
      <c r="BM17" s="14"/>
      <c r="BN17" s="14"/>
      <c r="BO17" s="14"/>
      <c r="BP17" s="14"/>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row>
    <row r="18" spans="1:142" s="63" customFormat="1" ht="15" customHeight="1" x14ac:dyDescent="0.2">
      <c r="A18" s="35"/>
      <c r="B18" s="156" t="s">
        <v>1256</v>
      </c>
      <c r="C18" s="1952"/>
      <c r="D18" s="1952"/>
      <c r="E18" s="1865">
        <f>LETable!AJ8</f>
        <v>0</v>
      </c>
      <c r="F18" s="1865"/>
      <c r="G18" s="1345"/>
      <c r="H18" s="1501"/>
      <c r="I18" s="1501"/>
      <c r="J18" s="1947">
        <f>IF(C18="",0,IF(OR(C18&lt;=0,G18&lt;=0),E18,IF(G18&lt;C18,0,LETable!AO8)))</f>
        <v>0</v>
      </c>
      <c r="K18" s="1948"/>
      <c r="L18" s="1874" t="str">
        <f>IF(OR(C18="NA",G18="NA"),"",IF(AND(C18&lt;&gt;"",G18=""),"Enter contralateral or NA.",IF(AND(C18="",G18&lt;&gt;""),"Need data","")))</f>
        <v/>
      </c>
      <c r="M18" s="1875"/>
      <c r="N18" s="1875"/>
      <c r="O18" s="1875"/>
      <c r="P18" s="1745"/>
      <c r="Q18" s="35"/>
      <c r="R18" s="1025"/>
      <c r="S18" s="1024">
        <v>30</v>
      </c>
      <c r="T18" s="1021" t="str">
        <f>IF(OR(C18="",C18="NA"),"",IF(C18&gt;S18,S18,IF(C18&lt;0,0,C18)))</f>
        <v/>
      </c>
      <c r="U18" s="822" t="str">
        <f>IF(OR(G18="",G18="NA"),"",IF(G18&gt;S18,S18,IF(G18&lt;0,0,G18)))</f>
        <v/>
      </c>
      <c r="V18" s="696" t="str">
        <f>IF(W18="","",ROUND(W18,0))</f>
        <v/>
      </c>
      <c r="W18" s="697" t="str">
        <f>IF(T18="","",IF(OR(U18="",U18=0,U18&lt;T18),T18,(T18*S18)/U18))</f>
        <v/>
      </c>
      <c r="X18" s="18"/>
      <c r="Y18" s="822" t="s">
        <v>1307</v>
      </c>
      <c r="Z18" s="822" t="s">
        <v>1305</v>
      </c>
      <c r="AA18" s="822" t="s">
        <v>1306</v>
      </c>
      <c r="AB18" s="822" t="s">
        <v>1307</v>
      </c>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4"/>
      <c r="BB18" s="14"/>
      <c r="BC18" s="14"/>
      <c r="BD18" s="14"/>
      <c r="BE18" s="14"/>
      <c r="BF18" s="14"/>
      <c r="BG18" s="14"/>
      <c r="BH18" s="14"/>
      <c r="BI18" s="14"/>
      <c r="BJ18" s="14"/>
      <c r="BK18" s="14"/>
      <c r="BL18" s="14"/>
      <c r="BM18" s="14"/>
      <c r="BN18" s="14"/>
      <c r="BO18" s="14"/>
      <c r="BP18" s="14"/>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row>
    <row r="19" spans="1:142" s="63" customFormat="1" ht="15" customHeight="1" x14ac:dyDescent="0.2">
      <c r="A19" s="35"/>
      <c r="B19" s="357" t="s">
        <v>1840</v>
      </c>
      <c r="C19" s="1944"/>
      <c r="D19" s="1945"/>
      <c r="E19" s="1865">
        <f>IF(AND(C19&lt;&gt;"",C19&lt;&gt;"NA",C18&lt;&gt;"NA",C18&lt;&gt;""),"ERROR",IF(AND(C19&lt;&gt;"",C19&lt;&gt;"NA",C16&lt;&gt;"",C16&lt;&gt;"NA"),"ERROR",LETable!AJ9))</f>
        <v>0</v>
      </c>
      <c r="F19" s="1865"/>
      <c r="G19" s="1866" t="str">
        <f>IF(E19="ERROR","Error: Cannot rate ROM and ankylosis.",IF(AND(C17&lt;&gt;"",C17&lt;&gt;"NA",C19&lt;&gt;"",C19&lt;&gt;"NA"),"Multiple ankylosis values; use higher value only.",""))</f>
        <v/>
      </c>
      <c r="H19" s="1867"/>
      <c r="I19" s="1867"/>
      <c r="J19" s="1867"/>
      <c r="K19" s="1867"/>
      <c r="L19" s="1867"/>
      <c r="M19" s="1867"/>
      <c r="N19" s="1867"/>
      <c r="O19" s="1868"/>
      <c r="P19" s="1745"/>
      <c r="Q19" s="35"/>
      <c r="R19" s="1025"/>
      <c r="S19" s="1024">
        <v>30</v>
      </c>
      <c r="T19" s="1021" t="str">
        <f>IF(OR(C19="",C19="NA"),"",IF(C19&gt;S19,S19,IF(C19&lt;0,0,C19)))</f>
        <v/>
      </c>
      <c r="U19" s="18"/>
      <c r="V19" s="18"/>
      <c r="W19" s="18"/>
      <c r="X19" s="18"/>
      <c r="Y19" s="1070">
        <f>IF(AND(Y12&gt;0,Y12&lt;0.01),0.01,ROUND(Y12,2))</f>
        <v>0</v>
      </c>
      <c r="Z19" s="829">
        <f>LARGE(Y19:Y20,1)</f>
        <v>0</v>
      </c>
      <c r="AA19" s="684">
        <f>Z19+Z20*(1-Z19)</f>
        <v>0</v>
      </c>
      <c r="AB19" s="684">
        <f>ROUND(AA19,2)</f>
        <v>0</v>
      </c>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row>
    <row r="20" spans="1:142" s="63" customFormat="1" ht="21" customHeight="1" x14ac:dyDescent="0.2">
      <c r="A20" s="35"/>
      <c r="B20" s="1045"/>
      <c r="C20" s="1046"/>
      <c r="D20" s="1046"/>
      <c r="E20" s="1571" t="str">
        <f>IF(AND(OR(E14&gt;0,W20&gt;0),C21&gt;0),"Note: Ankylosis impairment is not apportioned.","")</f>
        <v/>
      </c>
      <c r="F20" s="1572"/>
      <c r="G20" s="1572"/>
      <c r="H20" s="1572"/>
      <c r="I20" s="1572"/>
      <c r="J20" s="1573"/>
      <c r="K20" s="1740" t="s">
        <v>1842</v>
      </c>
      <c r="L20" s="1741"/>
      <c r="M20" s="1741"/>
      <c r="N20" s="1742"/>
      <c r="O20" s="71">
        <f>IF(OR(E17="ERROR",E19="ERROR"),"ERROR",IF(R20&gt;1,1,R20))</f>
        <v>0</v>
      </c>
      <c r="P20" s="1746"/>
      <c r="Q20" s="35"/>
      <c r="R20" s="243">
        <f>SUM(J16,J18,W20)</f>
        <v>0</v>
      </c>
      <c r="S20" s="18"/>
      <c r="T20" s="18"/>
      <c r="U20" s="18"/>
      <c r="V20" s="18"/>
      <c r="W20" s="747">
        <f>IF(AND(E17&lt;&gt;"ERROR",E19&lt;&gt;"ERROR",C19&lt;&gt;"",E19&lt;&gt;""),MAX(E17,E19),E17+E19)</f>
        <v>0</v>
      </c>
      <c r="X20" s="18"/>
      <c r="Y20" s="1070">
        <f>IF(AND(Z12&gt;0,Z12&lt;0.01),0.01,ROUND(Z12,2))</f>
        <v>0</v>
      </c>
      <c r="Z20" s="829">
        <f>LARGE(Y19:Y20,2)</f>
        <v>0</v>
      </c>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row>
    <row r="21" spans="1:142" s="63" customFormat="1" ht="21" customHeight="1" x14ac:dyDescent="0.2">
      <c r="A21" s="35"/>
      <c r="B21" s="1067" t="s">
        <v>2259</v>
      </c>
      <c r="C21" s="1544"/>
      <c r="D21" s="1577"/>
      <c r="E21" s="1574"/>
      <c r="F21" s="1575"/>
      <c r="G21" s="1575"/>
      <c r="H21" s="1575"/>
      <c r="I21" s="1575"/>
      <c r="J21" s="1576"/>
      <c r="K21" s="1740" t="s">
        <v>1434</v>
      </c>
      <c r="L21" s="1741"/>
      <c r="M21" s="1741"/>
      <c r="N21" s="1741"/>
      <c r="O21" s="1742"/>
      <c r="P21" s="303">
        <f>IF(OR(O15="ERROR",O20="ERROR"),"ERROR",IF(AND(AA12&gt;0,AA12&lt;0.01),0.01,ROUND(AA12,2)))</f>
        <v>0</v>
      </c>
      <c r="Q21" s="35"/>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4"/>
      <c r="BB21" s="14"/>
      <c r="BC21" s="14"/>
      <c r="BD21" s="14"/>
      <c r="BE21" s="14"/>
      <c r="BF21" s="14"/>
      <c r="BG21" s="14"/>
      <c r="BH21" s="14"/>
      <c r="BI21" s="14"/>
      <c r="BJ21" s="14"/>
      <c r="BK21" s="14"/>
      <c r="BL21" s="14"/>
      <c r="BM21" s="14"/>
      <c r="BN21" s="14"/>
      <c r="BO21" s="14"/>
      <c r="BP21" s="14"/>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row>
    <row r="22" spans="1:142" s="63" customFormat="1" ht="12" customHeight="1" x14ac:dyDescent="0.25">
      <c r="A22" s="35"/>
      <c r="B22" s="1876"/>
      <c r="C22" s="1876"/>
      <c r="D22" s="1876"/>
      <c r="E22" s="1876"/>
      <c r="F22" s="1876"/>
      <c r="G22" s="1876"/>
      <c r="H22" s="1876"/>
      <c r="I22" s="1876"/>
      <c r="J22" s="1876"/>
      <c r="K22" s="1876"/>
      <c r="L22" s="1876"/>
      <c r="M22" s="1876"/>
      <c r="N22" s="1876"/>
      <c r="O22" s="1876"/>
      <c r="P22" s="469"/>
      <c r="Q22" s="35"/>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4"/>
      <c r="BB22" s="14"/>
      <c r="BC22" s="14"/>
      <c r="BD22" s="14"/>
      <c r="BE22" s="14"/>
      <c r="BF22" s="14"/>
      <c r="BG22" s="14"/>
      <c r="BH22" s="14"/>
      <c r="BI22" s="14"/>
      <c r="BJ22" s="14"/>
      <c r="BK22" s="14"/>
      <c r="BL22" s="14"/>
      <c r="BM22" s="14"/>
      <c r="BN22" s="14"/>
      <c r="BO22" s="14"/>
      <c r="BP22" s="14"/>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row>
    <row r="23" spans="1:142" s="63" customFormat="1" ht="15" customHeight="1" x14ac:dyDescent="0.25">
      <c r="A23" s="35"/>
      <c r="B23" s="1555" t="s">
        <v>1996</v>
      </c>
      <c r="C23" s="1555"/>
      <c r="D23" s="1555"/>
      <c r="E23" s="1555"/>
      <c r="F23" s="1555"/>
      <c r="G23" s="1555"/>
      <c r="H23" s="1555"/>
      <c r="I23" s="1555"/>
      <c r="J23" s="1555"/>
      <c r="K23" s="1555"/>
      <c r="L23" s="1555"/>
      <c r="M23" s="1555"/>
      <c r="N23" s="1555"/>
      <c r="O23" s="1555"/>
      <c r="P23" s="470"/>
      <c r="Q23" s="35"/>
      <c r="R23" s="18"/>
      <c r="S23" s="1487" t="s">
        <v>2197</v>
      </c>
      <c r="T23" s="1487"/>
      <c r="U23" s="1487"/>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row>
    <row r="24" spans="1:142" s="63" customFormat="1" ht="15" customHeight="1" x14ac:dyDescent="0.25">
      <c r="A24" s="35"/>
      <c r="B24" s="376" t="s">
        <v>2012</v>
      </c>
      <c r="C24" s="1308"/>
      <c r="D24" s="1308"/>
      <c r="E24" s="1308"/>
      <c r="F24" s="1308"/>
      <c r="G24" s="1308"/>
      <c r="H24" s="1308"/>
      <c r="I24" s="1308"/>
      <c r="J24" s="1308"/>
      <c r="K24" s="1308"/>
      <c r="L24" s="1308"/>
      <c r="M24" s="1308"/>
      <c r="N24" s="1308"/>
      <c r="O24" s="72"/>
      <c r="P24" s="26">
        <f>IF($W$239&gt;0,0,R24)</f>
        <v>0</v>
      </c>
      <c r="Q24" s="35"/>
      <c r="R24" s="829">
        <f>IF(C24=S24,0,IF(C24=T24,0.05,IF(C24=U24,0.1,0)))</f>
        <v>0</v>
      </c>
      <c r="S24" s="822" t="s">
        <v>1942</v>
      </c>
      <c r="T24" s="822" t="s">
        <v>1785</v>
      </c>
      <c r="U24" s="822" t="s">
        <v>1786</v>
      </c>
      <c r="V24" s="161"/>
      <c r="W24" s="114"/>
      <c r="X24" s="162"/>
      <c r="Z24" s="73"/>
      <c r="AA24" s="73"/>
      <c r="AB24" s="74"/>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row>
    <row r="25" spans="1:142" s="63" customFormat="1" ht="15" customHeight="1" x14ac:dyDescent="0.25">
      <c r="A25" s="35"/>
      <c r="B25" s="376" t="s">
        <v>2013</v>
      </c>
      <c r="C25" s="1308"/>
      <c r="D25" s="1308"/>
      <c r="E25" s="1308"/>
      <c r="F25" s="1308"/>
      <c r="G25" s="1308"/>
      <c r="H25" s="1308"/>
      <c r="I25" s="1308"/>
      <c r="J25" s="1308"/>
      <c r="K25" s="1308"/>
      <c r="L25" s="1308"/>
      <c r="M25" s="1308"/>
      <c r="N25" s="1308"/>
      <c r="O25" s="72"/>
      <c r="P25" s="26">
        <f>IF($W$239&gt;0,0,R25)</f>
        <v>0</v>
      </c>
      <c r="Q25" s="35"/>
      <c r="R25" s="829">
        <f>IF(C25=S25,0,IF(C25=T25,0.05,IF(C25=U25,0.1,0)))</f>
        <v>0</v>
      </c>
      <c r="S25" s="822" t="s">
        <v>1942</v>
      </c>
      <c r="T25" s="822" t="s">
        <v>1997</v>
      </c>
      <c r="U25" s="822" t="s">
        <v>1998</v>
      </c>
      <c r="V25" s="649"/>
      <c r="W25" s="114"/>
      <c r="X25" s="162"/>
      <c r="Y25" s="649"/>
      <c r="Z25" s="73"/>
      <c r="AA25" s="73"/>
      <c r="AB25" s="74"/>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row>
    <row r="26" spans="1:142" s="63" customFormat="1" ht="27" customHeight="1" x14ac:dyDescent="0.2">
      <c r="A26" s="35"/>
      <c r="B26" s="1883" t="str">
        <f>IF(AND(OR(R24&gt;0,R25&gt;0),$W$239&gt;0),"A value has been given for loss of sensation or hypersensitivity in the foot. No additional value is allowed for the toes.","")</f>
        <v/>
      </c>
      <c r="C26" s="1883"/>
      <c r="D26" s="1883"/>
      <c r="E26" s="1883"/>
      <c r="F26" s="1883"/>
      <c r="G26" s="1883"/>
      <c r="H26" s="1883"/>
      <c r="I26" s="1883"/>
      <c r="J26" s="1883"/>
      <c r="K26" s="1883"/>
      <c r="L26" s="1883"/>
      <c r="M26" s="1883"/>
      <c r="N26" s="1883"/>
      <c r="O26" s="1883"/>
      <c r="P26" s="248"/>
      <c r="Q26" s="35"/>
      <c r="R26" s="18"/>
      <c r="S26" s="19"/>
      <c r="T26" s="19"/>
      <c r="U26" s="19"/>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row>
    <row r="27" spans="1:142" s="63" customFormat="1" ht="12" customHeight="1" x14ac:dyDescent="0.25">
      <c r="A27" s="35"/>
      <c r="B27" s="1602"/>
      <c r="C27" s="1395"/>
      <c r="D27" s="1395"/>
      <c r="E27" s="1395"/>
      <c r="F27" s="1395"/>
      <c r="G27" s="1395"/>
      <c r="H27" s="1395"/>
      <c r="I27" s="1395"/>
      <c r="J27" s="1395"/>
      <c r="K27" s="1395"/>
      <c r="L27" s="1395"/>
      <c r="M27" s="1395"/>
      <c r="N27" s="1395"/>
      <c r="O27" s="1395"/>
      <c r="P27" s="75"/>
      <c r="Q27" s="35"/>
      <c r="R27" s="18"/>
      <c r="S27" s="18"/>
      <c r="Y27" s="60"/>
      <c r="Z27" s="1569"/>
      <c r="AA27" s="1569"/>
      <c r="AB27" s="1569"/>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row>
    <row r="28" spans="1:142" s="63" customFormat="1" ht="15" customHeight="1" x14ac:dyDescent="0.2">
      <c r="A28" s="8"/>
      <c r="B28" s="1379" t="s">
        <v>2016</v>
      </c>
      <c r="C28" s="1379"/>
      <c r="D28" s="1379"/>
      <c r="E28" s="1379"/>
      <c r="F28" s="1379"/>
      <c r="G28" s="1379"/>
      <c r="H28" s="1379"/>
      <c r="I28" s="1379"/>
      <c r="J28" s="1379"/>
      <c r="K28" s="1379"/>
      <c r="L28" s="1379"/>
      <c r="M28" s="1379"/>
      <c r="N28" s="1308"/>
      <c r="O28" s="1308"/>
      <c r="P28" s="26">
        <f>IF(N28=T28,0.03,IF(N28=U28,0.15,IF(N28=V28,0.38,IF(N28=W28,0.68,IF(N28=X28,0.9,0)))))</f>
        <v>0</v>
      </c>
      <c r="Q28" s="35"/>
      <c r="R28" s="1487" t="s">
        <v>2197</v>
      </c>
      <c r="S28" s="1487"/>
      <c r="T28" s="822" t="s">
        <v>1969</v>
      </c>
      <c r="U28" s="822" t="s">
        <v>1970</v>
      </c>
      <c r="V28" s="829" t="s">
        <v>1972</v>
      </c>
      <c r="W28" s="822" t="s">
        <v>945</v>
      </c>
      <c r="X28" s="829" t="s">
        <v>558</v>
      </c>
      <c r="Y28" s="60"/>
      <c r="Z28" s="1569"/>
      <c r="AA28" s="1569"/>
      <c r="AB28" s="1569"/>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row>
    <row r="29" spans="1:142" s="63" customFormat="1" ht="12" customHeight="1" x14ac:dyDescent="0.25">
      <c r="A29" s="35"/>
      <c r="B29" s="657"/>
      <c r="C29" s="657"/>
      <c r="D29" s="657"/>
      <c r="E29" s="657"/>
      <c r="F29" s="657"/>
      <c r="G29" s="657"/>
      <c r="H29" s="657"/>
      <c r="I29" s="657"/>
      <c r="J29" s="657"/>
      <c r="K29" s="657"/>
      <c r="L29" s="657"/>
      <c r="M29" s="657"/>
      <c r="N29" s="657"/>
      <c r="O29" s="657"/>
      <c r="P29" s="75"/>
      <c r="Q29" s="35"/>
      <c r="R29" s="18"/>
      <c r="S29" s="19"/>
      <c r="T29" s="19"/>
      <c r="U29" s="19"/>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4"/>
      <c r="BB29" s="14"/>
      <c r="BC29" s="14"/>
      <c r="BD29" s="14"/>
      <c r="BE29" s="14"/>
      <c r="BF29" s="14"/>
      <c r="BG29" s="14"/>
      <c r="BH29" s="14"/>
      <c r="BI29" s="14"/>
      <c r="BJ29" s="14"/>
      <c r="BK29" s="14"/>
      <c r="BL29" s="14"/>
      <c r="BM29" s="14"/>
      <c r="BN29" s="14"/>
      <c r="BO29" s="14"/>
      <c r="BP29" s="14"/>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row>
    <row r="30" spans="1:142" s="63" customFormat="1" ht="18" customHeight="1" x14ac:dyDescent="0.2">
      <c r="A30" s="189">
        <v>1E-4</v>
      </c>
      <c r="B30" s="316" t="s">
        <v>624</v>
      </c>
      <c r="C30" s="1870"/>
      <c r="D30" s="1871"/>
      <c r="E30" s="1362" t="s">
        <v>625</v>
      </c>
      <c r="F30" s="1363"/>
      <c r="G30" s="1363"/>
      <c r="H30" s="1363"/>
      <c r="I30" s="1363"/>
      <c r="J30" s="1363"/>
      <c r="K30" s="1363"/>
      <c r="L30" s="1363"/>
      <c r="M30" s="1363"/>
      <c r="N30" s="1363"/>
      <c r="O30" s="1364"/>
      <c r="P30" s="303">
        <f>IF(T30=1,0.2,0)</f>
        <v>0</v>
      </c>
      <c r="Q30" s="35"/>
      <c r="R30" s="18"/>
      <c r="S30" s="706" t="b">
        <v>0</v>
      </c>
      <c r="T30" s="822">
        <f>IF(S30=TRUE,1,0)</f>
        <v>0</v>
      </c>
      <c r="U30" s="18"/>
      <c r="V30" s="18"/>
      <c r="W30" s="18">
        <v>1E-4</v>
      </c>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4"/>
      <c r="BB30" s="14"/>
      <c r="BC30" s="14"/>
      <c r="BD30" s="14"/>
      <c r="BE30" s="14"/>
      <c r="BF30" s="14"/>
      <c r="BG30" s="14"/>
      <c r="BH30" s="14"/>
      <c r="BI30" s="14"/>
      <c r="BJ30" s="14"/>
      <c r="BK30" s="14"/>
      <c r="BL30" s="14"/>
      <c r="BM30" s="14"/>
      <c r="BN30" s="14"/>
      <c r="BO30" s="14"/>
      <c r="BP30" s="14"/>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row>
    <row r="31" spans="1:142" s="63" customFormat="1" ht="18" customHeight="1" x14ac:dyDescent="0.2">
      <c r="A31" s="35"/>
      <c r="B31" s="471" t="s">
        <v>626</v>
      </c>
      <c r="C31" s="1925"/>
      <c r="D31" s="1925"/>
      <c r="E31" s="1546" t="s">
        <v>627</v>
      </c>
      <c r="F31" s="1547"/>
      <c r="G31" s="1547"/>
      <c r="H31" s="1547"/>
      <c r="I31" s="1547"/>
      <c r="J31" s="1547"/>
      <c r="K31" s="1547"/>
      <c r="L31" s="1547"/>
      <c r="M31" s="1547"/>
      <c r="N31" s="1547"/>
      <c r="O31" s="1548"/>
      <c r="P31" s="338">
        <f>IF(T31=1,0.3,0)</f>
        <v>0</v>
      </c>
      <c r="Q31" s="35"/>
      <c r="R31" s="18"/>
      <c r="S31" s="706" t="b">
        <v>0</v>
      </c>
      <c r="T31" s="822">
        <f>IF(S31=TRUE,1,0)</f>
        <v>0</v>
      </c>
      <c r="U31" s="18"/>
      <c r="V31" s="18"/>
      <c r="W31" s="18"/>
      <c r="X31" s="1094"/>
      <c r="Y31" s="1094"/>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row>
    <row r="32" spans="1:142" s="63" customFormat="1" ht="12" customHeight="1" x14ac:dyDescent="0.2">
      <c r="A32" s="35"/>
      <c r="B32" s="1877"/>
      <c r="C32" s="1877"/>
      <c r="D32" s="1877"/>
      <c r="E32" s="1877"/>
      <c r="F32" s="1877"/>
      <c r="G32" s="1877"/>
      <c r="H32" s="1877"/>
      <c r="I32" s="1877"/>
      <c r="J32" s="1877"/>
      <c r="K32" s="1877"/>
      <c r="L32" s="1877"/>
      <c r="M32" s="1877"/>
      <c r="N32" s="1877"/>
      <c r="O32" s="1877"/>
      <c r="P32" s="35"/>
      <c r="Q32" s="35"/>
      <c r="R32" s="18"/>
      <c r="S32" s="18"/>
      <c r="T32" s="18"/>
      <c r="U32" s="18"/>
      <c r="V32" s="18"/>
      <c r="X32" s="1094"/>
      <c r="Y32" s="1094"/>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row>
    <row r="33" spans="1:142" s="63" customFormat="1" ht="31.5" customHeight="1" x14ac:dyDescent="0.2">
      <c r="A33" s="35"/>
      <c r="B33" s="1632" t="s">
        <v>441</v>
      </c>
      <c r="C33" s="1633"/>
      <c r="D33" s="1633"/>
      <c r="E33" s="1633"/>
      <c r="F33" s="1633"/>
      <c r="G33" s="1626" t="s">
        <v>1525</v>
      </c>
      <c r="H33" s="1627"/>
      <c r="I33" s="1627"/>
      <c r="J33" s="1627"/>
      <c r="K33" s="1628"/>
      <c r="L33" s="1616"/>
      <c r="M33" s="1617"/>
      <c r="N33" s="1617"/>
      <c r="O33" s="1618"/>
      <c r="P33" s="1481">
        <f>V39</f>
        <v>0</v>
      </c>
      <c r="Q33" s="35"/>
      <c r="R33" s="18"/>
      <c r="S33" s="822" t="s">
        <v>1865</v>
      </c>
      <c r="T33" s="822" t="s">
        <v>1305</v>
      </c>
      <c r="U33" s="822" t="s">
        <v>1306</v>
      </c>
      <c r="V33" s="822" t="s">
        <v>1307</v>
      </c>
      <c r="X33" s="1094"/>
      <c r="Y33" s="1094"/>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row>
    <row r="34" spans="1:142" s="63" customFormat="1" ht="18" customHeight="1" x14ac:dyDescent="0.2">
      <c r="A34" s="35"/>
      <c r="B34" s="1394" t="s">
        <v>628</v>
      </c>
      <c r="C34" s="1394"/>
      <c r="D34" s="1394"/>
      <c r="E34" s="1623">
        <f>P8</f>
        <v>0</v>
      </c>
      <c r="F34" s="1486"/>
      <c r="G34" s="1702" t="s">
        <v>1942</v>
      </c>
      <c r="H34" s="1627"/>
      <c r="I34" s="1628"/>
      <c r="J34" s="1940"/>
      <c r="K34" s="1940"/>
      <c r="L34" s="1619"/>
      <c r="M34" s="1620"/>
      <c r="N34" s="1620"/>
      <c r="O34" s="1621"/>
      <c r="P34" s="1631"/>
      <c r="Q34" s="35"/>
      <c r="R34" s="18"/>
      <c r="S34" s="827">
        <f>E34</f>
        <v>0</v>
      </c>
      <c r="T34" s="829">
        <f>LARGE($S$34:$S$40,1)</f>
        <v>0</v>
      </c>
      <c r="U34" s="684">
        <f>T34+T35*(1-T34)</f>
        <v>0</v>
      </c>
      <c r="V34" s="827">
        <f t="shared" ref="V34:V39" si="0">ROUND(U34,2)</f>
        <v>0</v>
      </c>
      <c r="X34" s="1094"/>
      <c r="Y34" s="1094"/>
      <c r="Z34" s="1094"/>
      <c r="AA34" s="1094"/>
      <c r="AB34" s="1094"/>
      <c r="AC34" s="1094"/>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row>
    <row r="35" spans="1:142" s="63" customFormat="1" ht="18" customHeight="1" x14ac:dyDescent="0.2">
      <c r="A35" s="35"/>
      <c r="B35" s="1410" t="s">
        <v>1959</v>
      </c>
      <c r="C35" s="1410"/>
      <c r="D35" s="1410"/>
      <c r="E35" s="1373">
        <f>IF(P427&gt;0,0,P21)</f>
        <v>0</v>
      </c>
      <c r="F35" s="1347"/>
      <c r="G35" s="1833" t="s">
        <v>2260</v>
      </c>
      <c r="H35" s="1834"/>
      <c r="I35" s="1835"/>
      <c r="J35" s="1940"/>
      <c r="K35" s="1940"/>
      <c r="L35" s="1619"/>
      <c r="M35" s="1620"/>
      <c r="N35" s="1620"/>
      <c r="O35" s="1621"/>
      <c r="P35" s="1631"/>
      <c r="Q35" s="35"/>
      <c r="S35" s="829">
        <f>IF(J35&gt;0,J35,E35)</f>
        <v>0</v>
      </c>
      <c r="T35" s="829">
        <f>LARGE($S$34:$S$40,2)</f>
        <v>0</v>
      </c>
      <c r="U35" s="684">
        <f>V34+T36*(1-V34)</f>
        <v>0</v>
      </c>
      <c r="V35" s="827">
        <f t="shared" si="0"/>
        <v>0</v>
      </c>
      <c r="X35" s="828"/>
      <c r="Y35" s="828"/>
      <c r="Z35" s="824"/>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row>
    <row r="36" spans="1:142" s="63" customFormat="1" ht="18" customHeight="1" x14ac:dyDescent="0.2">
      <c r="A36" s="35"/>
      <c r="B36" s="1410" t="s">
        <v>2017</v>
      </c>
      <c r="C36" s="1410"/>
      <c r="D36" s="1410"/>
      <c r="E36" s="1373">
        <f>P24</f>
        <v>0</v>
      </c>
      <c r="F36" s="1347"/>
      <c r="G36" s="1658"/>
      <c r="H36" s="1658"/>
      <c r="I36" s="1658"/>
      <c r="J36" s="1847">
        <f>IF(AND(W36&lt;0.01,W36&gt;0),0.01,ROUND(W36,2))</f>
        <v>0</v>
      </c>
      <c r="K36" s="1847"/>
      <c r="L36" s="1619"/>
      <c r="M36" s="1620"/>
      <c r="N36" s="1620"/>
      <c r="O36" s="1621"/>
      <c r="P36" s="1631"/>
      <c r="Q36" s="35"/>
      <c r="S36" s="829">
        <f>IF(J36&gt;0,J36,E36)</f>
        <v>0</v>
      </c>
      <c r="T36" s="829">
        <f>LARGE($S$34:$S$40,3)</f>
        <v>0</v>
      </c>
      <c r="U36" s="684">
        <f>V35+T37*(1-V35)</f>
        <v>0</v>
      </c>
      <c r="V36" s="827">
        <f t="shared" si="0"/>
        <v>0</v>
      </c>
      <c r="W36" s="1086">
        <f>G36*E36</f>
        <v>0</v>
      </c>
      <c r="X36" s="1092"/>
      <c r="Y36" s="1094"/>
      <c r="Z36" s="1094"/>
      <c r="AA36" s="1092"/>
      <c r="AB36" s="1087"/>
      <c r="AC36" s="1087"/>
      <c r="AD36" s="1087"/>
      <c r="AE36" s="1087"/>
      <c r="AF36" s="1087"/>
      <c r="AG36" s="1087"/>
      <c r="AH36" s="1087"/>
      <c r="AI36" s="1087"/>
      <c r="AJ36" s="18"/>
      <c r="AK36" s="18"/>
      <c r="AL36" s="18"/>
      <c r="AM36" s="18"/>
      <c r="AN36" s="18"/>
      <c r="AO36" s="18"/>
      <c r="AP36" s="18"/>
      <c r="AQ36" s="18"/>
      <c r="AR36" s="18"/>
      <c r="AS36" s="18"/>
      <c r="AT36" s="18"/>
      <c r="AU36" s="18"/>
      <c r="AV36" s="18"/>
      <c r="AW36" s="18"/>
      <c r="AX36" s="18"/>
      <c r="AY36" s="18"/>
      <c r="AZ36" s="18"/>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row>
    <row r="37" spans="1:142" s="63" customFormat="1" ht="18" customHeight="1" x14ac:dyDescent="0.2">
      <c r="A37" s="35"/>
      <c r="B37" s="1362" t="s">
        <v>1227</v>
      </c>
      <c r="C37" s="1363"/>
      <c r="D37" s="1364"/>
      <c r="E37" s="1373">
        <f>P25</f>
        <v>0</v>
      </c>
      <c r="F37" s="1347"/>
      <c r="G37" s="1658"/>
      <c r="H37" s="1658"/>
      <c r="I37" s="1658"/>
      <c r="J37" s="1847">
        <f>IF(AND(W37&lt;0.01,W37&gt;0),0.01,ROUND(W37,2))</f>
        <v>0</v>
      </c>
      <c r="K37" s="1847"/>
      <c r="L37" s="1588" t="str">
        <f>IF(AND(P21&gt;0,$P$427&gt;0),"The worker has motor loss impairment. No additional impairment value is allowed for reduced range of motion in the same extremity.","")</f>
        <v/>
      </c>
      <c r="M37" s="1589"/>
      <c r="N37" s="1589"/>
      <c r="O37" s="1590"/>
      <c r="P37" s="1631"/>
      <c r="Q37" s="35"/>
      <c r="S37" s="829">
        <f>IF(J37&gt;0,J37,E37)</f>
        <v>0</v>
      </c>
      <c r="T37" s="829">
        <f>LARGE($S$34:$S$40,4)</f>
        <v>0</v>
      </c>
      <c r="U37" s="684">
        <f>V36+T38*(1-V36)</f>
        <v>0</v>
      </c>
      <c r="V37" s="827">
        <f t="shared" si="0"/>
        <v>0</v>
      </c>
      <c r="W37" s="1086">
        <f t="shared" ref="W37:W38" si="1">G37*E37</f>
        <v>0</v>
      </c>
      <c r="X37" s="1094"/>
      <c r="Y37" s="1094"/>
      <c r="Z37" s="1094"/>
      <c r="AA37" s="1094"/>
      <c r="AB37" s="1094"/>
      <c r="AC37" s="1094"/>
      <c r="AD37" s="1094"/>
      <c r="AE37" s="1094"/>
      <c r="AF37" s="1094"/>
      <c r="AG37" s="1094"/>
      <c r="AH37" s="1094"/>
      <c r="AI37" s="1087"/>
      <c r="AJ37" s="18"/>
      <c r="AK37" s="18"/>
      <c r="AL37" s="18"/>
      <c r="AM37" s="18"/>
      <c r="AN37" s="18"/>
      <c r="AO37" s="18"/>
      <c r="AP37" s="18"/>
      <c r="AQ37" s="18"/>
      <c r="AR37" s="18"/>
      <c r="AS37" s="18"/>
      <c r="AT37" s="18"/>
      <c r="AU37" s="18"/>
      <c r="AV37" s="18"/>
      <c r="AW37" s="18"/>
      <c r="AX37" s="18"/>
      <c r="AY37" s="18"/>
      <c r="AZ37" s="18"/>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row>
    <row r="38" spans="1:142" s="63" customFormat="1" ht="18" customHeight="1" x14ac:dyDescent="0.2">
      <c r="A38" s="35"/>
      <c r="B38" s="1362" t="s">
        <v>1447</v>
      </c>
      <c r="C38" s="1363"/>
      <c r="D38" s="1364"/>
      <c r="E38" s="1342">
        <f>P28</f>
        <v>0</v>
      </c>
      <c r="F38" s="1344"/>
      <c r="G38" s="1658"/>
      <c r="H38" s="1658"/>
      <c r="I38" s="1658"/>
      <c r="J38" s="1847">
        <f>IF(AND(W38&lt;0.01,W38&gt;0),0.01,ROUND(W38,2))</f>
        <v>0</v>
      </c>
      <c r="K38" s="1847"/>
      <c r="L38" s="1588"/>
      <c r="M38" s="1589"/>
      <c r="N38" s="1589"/>
      <c r="O38" s="1590"/>
      <c r="P38" s="1631"/>
      <c r="Q38" s="35"/>
      <c r="S38" s="829">
        <f>IF(J38&gt;0,J38,E38)</f>
        <v>0</v>
      </c>
      <c r="T38" s="829">
        <f>LARGE($S$34:$S$40,5)</f>
        <v>0</v>
      </c>
      <c r="U38" s="684">
        <f>V37+T39*(1-V37)</f>
        <v>0</v>
      </c>
      <c r="V38" s="827">
        <f t="shared" si="0"/>
        <v>0</v>
      </c>
      <c r="W38" s="1086">
        <f t="shared" si="1"/>
        <v>0</v>
      </c>
      <c r="X38" s="1094"/>
      <c r="Y38" s="1094"/>
      <c r="Z38" s="1094"/>
      <c r="AA38" s="1094"/>
      <c r="AB38" s="1094"/>
      <c r="AC38" s="1094"/>
      <c r="AD38" s="1094"/>
      <c r="AE38" s="1094"/>
      <c r="AF38" s="1094"/>
      <c r="AG38" s="1094"/>
      <c r="AH38" s="1094"/>
      <c r="AI38" s="1087"/>
      <c r="AJ38" s="18"/>
      <c r="AK38" s="18"/>
      <c r="AL38" s="18"/>
      <c r="AM38" s="18"/>
      <c r="AN38" s="18"/>
      <c r="AO38" s="18"/>
      <c r="AP38" s="18"/>
      <c r="AQ38" s="18"/>
      <c r="AR38" s="18"/>
      <c r="AS38" s="18"/>
      <c r="AT38" s="18"/>
      <c r="AU38" s="18"/>
      <c r="AV38" s="18"/>
      <c r="AW38" s="18"/>
      <c r="AX38" s="18"/>
      <c r="AY38" s="18"/>
      <c r="AZ38" s="18"/>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row>
    <row r="39" spans="1:142" s="63" customFormat="1" ht="18" customHeight="1" x14ac:dyDescent="0.2">
      <c r="A39" s="35"/>
      <c r="B39" s="1410" t="s">
        <v>1127</v>
      </c>
      <c r="C39" s="1410"/>
      <c r="D39" s="1410"/>
      <c r="E39" s="1373">
        <f>P30</f>
        <v>0</v>
      </c>
      <c r="F39" s="1347"/>
      <c r="G39" s="1702" t="s">
        <v>1942</v>
      </c>
      <c r="H39" s="1627"/>
      <c r="I39" s="1628"/>
      <c r="J39" s="1940"/>
      <c r="K39" s="1940"/>
      <c r="L39" s="1588"/>
      <c r="M39" s="1589"/>
      <c r="N39" s="1589"/>
      <c r="O39" s="1590"/>
      <c r="P39" s="1631"/>
      <c r="Q39" s="35"/>
      <c r="R39" s="18"/>
      <c r="S39" s="827">
        <f>E39</f>
        <v>0</v>
      </c>
      <c r="T39" s="829">
        <f>LARGE($S$34:$S$40,6)</f>
        <v>0</v>
      </c>
      <c r="U39" s="684">
        <f>V38+T40*(1-V38)</f>
        <v>0</v>
      </c>
      <c r="V39" s="827">
        <f t="shared" si="0"/>
        <v>0</v>
      </c>
      <c r="W39" s="18"/>
      <c r="X39" s="1094"/>
      <c r="Y39" s="1094"/>
      <c r="Z39" s="1094"/>
      <c r="AA39" s="1094"/>
      <c r="AB39" s="1094"/>
      <c r="AC39" s="1094"/>
      <c r="AD39" s="1094"/>
      <c r="AE39" s="1094"/>
      <c r="AF39" s="1094"/>
      <c r="AG39" s="1094"/>
      <c r="AH39" s="1094"/>
      <c r="AI39" s="1087"/>
      <c r="AJ39" s="18"/>
      <c r="AK39" s="18"/>
      <c r="AL39" s="18"/>
      <c r="AM39" s="18"/>
      <c r="AN39" s="18"/>
      <c r="AO39" s="18"/>
      <c r="AP39" s="18"/>
      <c r="AQ39" s="18"/>
      <c r="AR39" s="18"/>
      <c r="AS39" s="18"/>
      <c r="AT39" s="18"/>
      <c r="AU39" s="18"/>
      <c r="AV39" s="18"/>
      <c r="AW39" s="18"/>
      <c r="AX39" s="18"/>
      <c r="AY39" s="18"/>
      <c r="AZ39" s="18"/>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row>
    <row r="40" spans="1:142" s="63" customFormat="1" ht="18" customHeight="1" x14ac:dyDescent="0.2">
      <c r="A40" s="35"/>
      <c r="B40" s="1462" t="s">
        <v>1128</v>
      </c>
      <c r="C40" s="1463"/>
      <c r="D40" s="1464"/>
      <c r="E40" s="1728">
        <f>P31</f>
        <v>0</v>
      </c>
      <c r="F40" s="1846"/>
      <c r="G40" s="1941" t="s">
        <v>1942</v>
      </c>
      <c r="H40" s="1902"/>
      <c r="I40" s="1942"/>
      <c r="J40" s="1943"/>
      <c r="K40" s="1943"/>
      <c r="L40" s="1588"/>
      <c r="M40" s="1589"/>
      <c r="N40" s="1589"/>
      <c r="O40" s="1590"/>
      <c r="P40" s="1631"/>
      <c r="Q40" s="35"/>
      <c r="R40" s="18"/>
      <c r="S40" s="827">
        <f>E40</f>
        <v>0</v>
      </c>
      <c r="T40" s="829">
        <f>LARGE($S$34:$S$40,7)</f>
        <v>0</v>
      </c>
      <c r="U40" s="114"/>
      <c r="V40" s="157"/>
      <c r="W40" s="18"/>
      <c r="X40" s="1094"/>
      <c r="Y40" s="1094"/>
      <c r="Z40" s="1094"/>
      <c r="AA40" s="1094"/>
      <c r="AB40" s="1094"/>
      <c r="AC40" s="1094"/>
      <c r="AD40" s="1094"/>
      <c r="AE40" s="1094"/>
      <c r="AF40" s="1094"/>
      <c r="AG40" s="1094"/>
      <c r="AH40" s="1094"/>
      <c r="AI40" s="1087"/>
      <c r="AJ40" s="18"/>
      <c r="AK40" s="18"/>
      <c r="AL40" s="18"/>
      <c r="AM40" s="18"/>
      <c r="AN40" s="18"/>
      <c r="AO40" s="18"/>
      <c r="AP40" s="18"/>
      <c r="AQ40" s="18"/>
      <c r="AR40" s="18"/>
      <c r="AS40" s="18"/>
      <c r="AT40" s="18"/>
      <c r="AU40" s="18"/>
      <c r="AV40" s="18"/>
      <c r="AW40" s="18"/>
      <c r="AX40" s="18"/>
      <c r="AY40" s="18"/>
      <c r="AZ40" s="18"/>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row>
    <row r="41" spans="1:142" s="63" customFormat="1" ht="18" customHeight="1" x14ac:dyDescent="0.2">
      <c r="A41" s="35"/>
      <c r="B41" s="1568" t="s">
        <v>1435</v>
      </c>
      <c r="C41" s="1568"/>
      <c r="D41" s="1568"/>
      <c r="E41" s="1568"/>
      <c r="F41" s="1568"/>
      <c r="G41" s="1568"/>
      <c r="H41" s="1568"/>
      <c r="I41" s="1568"/>
      <c r="J41" s="1568"/>
      <c r="K41" s="1568"/>
      <c r="L41" s="1568"/>
      <c r="M41" s="1568"/>
      <c r="N41" s="1568"/>
      <c r="O41" s="1568"/>
      <c r="P41" s="1623"/>
      <c r="Q41" s="35"/>
      <c r="R41" s="18"/>
      <c r="S41" s="19"/>
      <c r="T41" s="114"/>
      <c r="U41" s="157"/>
      <c r="V41" s="18"/>
      <c r="W41" s="1025"/>
      <c r="X41" s="1094"/>
      <c r="Y41" s="1094"/>
      <c r="Z41" s="1094"/>
      <c r="AA41" s="1094"/>
      <c r="AB41" s="1094"/>
      <c r="AC41" s="1094"/>
      <c r="AD41" s="1094"/>
      <c r="AE41" s="1094"/>
      <c r="AF41" s="1094"/>
      <c r="AG41" s="1094"/>
      <c r="AH41" s="1094"/>
      <c r="AI41" s="1087"/>
      <c r="AJ41" s="18"/>
      <c r="AK41" s="18"/>
      <c r="AL41" s="18"/>
      <c r="AM41" s="18"/>
      <c r="AN41" s="18"/>
      <c r="AO41" s="18"/>
      <c r="AP41" s="18"/>
      <c r="AQ41" s="18"/>
      <c r="AR41" s="18"/>
      <c r="AS41" s="18"/>
      <c r="AT41" s="18"/>
      <c r="AU41" s="18"/>
      <c r="AV41" s="18"/>
      <c r="AW41" s="18"/>
      <c r="AX41" s="18"/>
      <c r="AY41" s="18"/>
      <c r="AZ41" s="18"/>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row>
    <row r="42" spans="1:142" s="63" customFormat="1" ht="12" customHeight="1" x14ac:dyDescent="0.2">
      <c r="A42" s="35"/>
      <c r="B42" s="1772"/>
      <c r="C42" s="1772"/>
      <c r="D42" s="1772"/>
      <c r="E42" s="1772"/>
      <c r="F42" s="1772"/>
      <c r="G42" s="1772"/>
      <c r="H42" s="1772"/>
      <c r="I42" s="1772"/>
      <c r="J42" s="1772"/>
      <c r="K42" s="1772"/>
      <c r="L42" s="1772"/>
      <c r="M42" s="1772"/>
      <c r="N42" s="1772"/>
      <c r="O42" s="1772"/>
      <c r="P42" s="1772"/>
      <c r="Q42" s="35"/>
      <c r="R42" s="18"/>
      <c r="S42" s="18"/>
      <c r="T42" s="18"/>
      <c r="U42" s="18"/>
      <c r="V42" s="1087"/>
      <c r="W42" s="1087"/>
      <c r="X42" s="1094"/>
      <c r="Y42" s="1094"/>
      <c r="Z42" s="1094"/>
      <c r="AA42" s="1094"/>
      <c r="AB42" s="1094"/>
      <c r="AC42" s="1094"/>
      <c r="AD42" s="1094"/>
      <c r="AE42" s="1094"/>
      <c r="AF42" s="1094"/>
      <c r="AG42" s="1094"/>
      <c r="AH42" s="1094"/>
      <c r="AI42" s="1087"/>
      <c r="AJ42" s="18"/>
      <c r="AK42" s="18"/>
      <c r="AL42" s="18"/>
      <c r="AM42" s="18"/>
      <c r="AN42" s="18"/>
      <c r="AO42" s="18"/>
      <c r="AP42" s="18"/>
      <c r="AQ42" s="18"/>
      <c r="AR42" s="18"/>
      <c r="AS42" s="18"/>
      <c r="AT42" s="18"/>
      <c r="AU42" s="18"/>
      <c r="AV42" s="18"/>
      <c r="AW42" s="18"/>
      <c r="AX42" s="18"/>
      <c r="AY42" s="18"/>
      <c r="AZ42" s="18"/>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row>
    <row r="43" spans="1:142" s="63" customFormat="1" ht="12" customHeight="1" x14ac:dyDescent="0.2">
      <c r="A43" s="35"/>
      <c r="B43" s="1395"/>
      <c r="C43" s="1395"/>
      <c r="D43" s="1395"/>
      <c r="E43" s="1395"/>
      <c r="F43" s="1395"/>
      <c r="G43" s="1395"/>
      <c r="H43" s="1395"/>
      <c r="I43" s="1395"/>
      <c r="J43" s="1395"/>
      <c r="K43" s="1395"/>
      <c r="L43" s="1395"/>
      <c r="M43" s="1395"/>
      <c r="N43" s="1395"/>
      <c r="O43" s="1395"/>
      <c r="P43" s="1395"/>
      <c r="Q43" s="35"/>
      <c r="R43" s="18"/>
      <c r="S43" s="18"/>
      <c r="T43" s="18"/>
      <c r="U43" s="18"/>
      <c r="V43" s="1087"/>
      <c r="W43" s="1087"/>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row>
    <row r="44" spans="1:142" s="63" customFormat="1" ht="21" customHeight="1" x14ac:dyDescent="0.2">
      <c r="A44" s="35"/>
      <c r="B44" s="1860" t="s">
        <v>1436</v>
      </c>
      <c r="C44" s="1959"/>
      <c r="D44" s="1959"/>
      <c r="E44" s="1959"/>
      <c r="F44" s="1959"/>
      <c r="G44" s="1959"/>
      <c r="H44" s="1959"/>
      <c r="I44" s="1959"/>
      <c r="J44" s="1959"/>
      <c r="K44" s="1959"/>
      <c r="L44" s="1959"/>
      <c r="M44" s="1959"/>
      <c r="N44" s="1959"/>
      <c r="O44" s="1959"/>
      <c r="P44" s="1959"/>
      <c r="Q44" s="35"/>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row>
    <row r="45" spans="1:142" s="63" customFormat="1" ht="15" customHeight="1" x14ac:dyDescent="0.2">
      <c r="A45" s="35"/>
      <c r="B45" s="1555" t="s">
        <v>1130</v>
      </c>
      <c r="C45" s="1555"/>
      <c r="D45" s="1555"/>
      <c r="E45" s="1555"/>
      <c r="F45" s="1555"/>
      <c r="G45" s="1555"/>
      <c r="H45" s="1555"/>
      <c r="I45" s="1555"/>
      <c r="J45" s="1555"/>
      <c r="K45" s="1555"/>
      <c r="L45" s="1555"/>
      <c r="M45" s="1555"/>
      <c r="N45" s="1555"/>
      <c r="O45" s="1555"/>
      <c r="P45" s="1555"/>
      <c r="Q45" s="35"/>
      <c r="R45" s="18"/>
      <c r="S45" s="18"/>
      <c r="T45" s="1379" t="s">
        <v>1131</v>
      </c>
      <c r="U45" s="822" t="s">
        <v>1318</v>
      </c>
      <c r="V45" s="822" t="s">
        <v>1075</v>
      </c>
      <c r="W45" s="695" t="s">
        <v>1076</v>
      </c>
      <c r="X45" s="822" t="s">
        <v>1264</v>
      </c>
      <c r="Y45" s="822" t="s">
        <v>1265</v>
      </c>
      <c r="Z45" s="822" t="s">
        <v>1866</v>
      </c>
      <c r="AA45" s="829" t="s">
        <v>1704</v>
      </c>
      <c r="AB45" s="829" t="s">
        <v>99</v>
      </c>
      <c r="AC45" s="829" t="s">
        <v>100</v>
      </c>
      <c r="AD45" s="822" t="s">
        <v>1741</v>
      </c>
      <c r="AE45" s="822" t="s">
        <v>1742</v>
      </c>
      <c r="AF45" s="822" t="s">
        <v>1743</v>
      </c>
      <c r="AG45" s="822" t="s">
        <v>78</v>
      </c>
      <c r="AH45" s="822" t="s">
        <v>79</v>
      </c>
      <c r="AI45" s="822" t="s">
        <v>821</v>
      </c>
      <c r="AJ45" s="822" t="s">
        <v>822</v>
      </c>
      <c r="AK45" s="822" t="s">
        <v>823</v>
      </c>
      <c r="AL45" s="822" t="s">
        <v>824</v>
      </c>
      <c r="AM45" s="822" t="s">
        <v>1134</v>
      </c>
      <c r="AN45" s="822" t="s">
        <v>1544</v>
      </c>
      <c r="AO45" s="822" t="s">
        <v>203</v>
      </c>
      <c r="AP45" s="18"/>
      <c r="AQ45" s="18"/>
      <c r="AR45" s="18"/>
      <c r="AS45" s="18"/>
      <c r="AT45" s="18"/>
      <c r="AU45" s="18"/>
      <c r="AV45" s="18"/>
      <c r="AW45" s="18"/>
      <c r="AX45" s="18"/>
      <c r="AY45" s="18"/>
      <c r="AZ45" s="18"/>
      <c r="BA45" s="18"/>
      <c r="BB45" s="18"/>
      <c r="BC45" s="18"/>
      <c r="BD45" s="18"/>
      <c r="BE45" s="18"/>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c r="CP45" s="14"/>
      <c r="CQ45" s="14"/>
      <c r="CR45" s="14"/>
      <c r="CS45" s="14"/>
      <c r="CT45" s="14"/>
      <c r="CU45" s="14"/>
      <c r="CV45" s="14"/>
      <c r="CW45" s="14"/>
      <c r="CX45" s="14"/>
      <c r="CY45" s="14"/>
      <c r="CZ45" s="14"/>
      <c r="DA45" s="14"/>
      <c r="DB45" s="14"/>
      <c r="DC45" s="14"/>
      <c r="DD45" s="14"/>
      <c r="DE45" s="14"/>
      <c r="DF45" s="14"/>
      <c r="DG45" s="14"/>
      <c r="DH45" s="14"/>
      <c r="DI45" s="14"/>
      <c r="DJ45" s="14"/>
      <c r="DK45" s="14"/>
      <c r="DL45" s="14"/>
      <c r="DM45" s="14"/>
      <c r="DN45" s="14"/>
      <c r="DO45" s="14"/>
      <c r="DP45" s="14"/>
      <c r="DQ45" s="14"/>
      <c r="DR45" s="14"/>
      <c r="DS45" s="14"/>
      <c r="DT45" s="14"/>
      <c r="DU45" s="14"/>
      <c r="DV45" s="14"/>
      <c r="DW45" s="14"/>
      <c r="DX45" s="14"/>
      <c r="DY45" s="14"/>
      <c r="DZ45" s="14"/>
      <c r="EA45" s="14"/>
      <c r="EB45" s="14"/>
      <c r="EC45" s="14"/>
      <c r="ED45" s="14"/>
      <c r="EE45" s="14"/>
      <c r="EF45" s="14"/>
      <c r="EG45" s="14"/>
      <c r="EH45" s="14"/>
      <c r="EI45" s="14"/>
      <c r="EJ45" s="14"/>
      <c r="EK45" s="14"/>
      <c r="EL45" s="14"/>
    </row>
    <row r="46" spans="1:142" s="63" customFormat="1" ht="27" customHeight="1" x14ac:dyDescent="0.2">
      <c r="A46" s="35"/>
      <c r="B46" s="1629"/>
      <c r="C46" s="1629"/>
      <c r="D46" s="1629"/>
      <c r="E46" s="1629"/>
      <c r="F46" s="1629"/>
      <c r="G46" s="1629"/>
      <c r="H46" s="1629"/>
      <c r="I46" s="1629"/>
      <c r="J46" s="1629"/>
      <c r="K46" s="1629"/>
      <c r="L46" s="1629"/>
      <c r="M46" s="1629"/>
      <c r="N46" s="1629"/>
      <c r="O46" s="1629"/>
      <c r="P46" s="26">
        <f>SUMIF(U45:AO45,B46,U46:AO46)</f>
        <v>0</v>
      </c>
      <c r="Q46" s="35"/>
      <c r="R46" s="18"/>
      <c r="S46" s="18"/>
      <c r="T46" s="1379"/>
      <c r="U46" s="827">
        <v>0</v>
      </c>
      <c r="V46" s="829">
        <v>0.05</v>
      </c>
      <c r="W46" s="829">
        <v>0.1</v>
      </c>
      <c r="X46" s="829">
        <v>0.15</v>
      </c>
      <c r="Y46" s="829">
        <v>0.2</v>
      </c>
      <c r="Z46" s="829">
        <v>0.25</v>
      </c>
      <c r="AA46" s="829">
        <v>0.3</v>
      </c>
      <c r="AB46" s="829">
        <v>0.35</v>
      </c>
      <c r="AC46" s="829">
        <v>0.4</v>
      </c>
      <c r="AD46" s="829">
        <v>0.45</v>
      </c>
      <c r="AE46" s="829">
        <v>0.5</v>
      </c>
      <c r="AF46" s="829">
        <v>0.55000000000000004</v>
      </c>
      <c r="AG46" s="829">
        <v>0.6</v>
      </c>
      <c r="AH46" s="829">
        <v>0.65</v>
      </c>
      <c r="AI46" s="829">
        <v>0.7</v>
      </c>
      <c r="AJ46" s="829">
        <v>0.75</v>
      </c>
      <c r="AK46" s="829">
        <v>0.8</v>
      </c>
      <c r="AL46" s="829">
        <v>0.85</v>
      </c>
      <c r="AM46" s="829">
        <v>0.9</v>
      </c>
      <c r="AN46" s="829">
        <v>0.95</v>
      </c>
      <c r="AO46" s="829">
        <v>1</v>
      </c>
      <c r="AP46" s="18"/>
      <c r="AQ46" s="18"/>
      <c r="AR46" s="18"/>
      <c r="AS46" s="18"/>
      <c r="AT46" s="18"/>
      <c r="AU46" s="18"/>
      <c r="AV46" s="18"/>
      <c r="AW46" s="18"/>
      <c r="AX46" s="18"/>
      <c r="AY46" s="18"/>
      <c r="AZ46" s="18"/>
      <c r="BA46" s="18"/>
      <c r="BB46" s="18"/>
      <c r="BC46" s="18"/>
      <c r="BD46" s="18"/>
      <c r="BE46" s="18"/>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c r="CP46" s="14"/>
      <c r="CQ46" s="14"/>
      <c r="CR46" s="14"/>
      <c r="CS46" s="14"/>
      <c r="CT46" s="14"/>
      <c r="CU46" s="14"/>
      <c r="CV46" s="14"/>
      <c r="CW46" s="14"/>
      <c r="CX46" s="14"/>
      <c r="CY46" s="14"/>
      <c r="CZ46" s="14"/>
      <c r="DA46" s="14"/>
      <c r="DB46" s="14"/>
      <c r="DC46" s="14"/>
      <c r="DD46" s="14"/>
      <c r="DE46" s="14"/>
      <c r="DF46" s="14"/>
      <c r="DG46" s="14"/>
      <c r="DH46" s="14"/>
      <c r="DI46" s="14"/>
      <c r="DJ46" s="14"/>
      <c r="DK46" s="14"/>
      <c r="DL46" s="14"/>
      <c r="DM46" s="14"/>
      <c r="DN46" s="14"/>
      <c r="DO46" s="14"/>
      <c r="DP46" s="14"/>
      <c r="DQ46" s="14"/>
      <c r="DR46" s="14"/>
      <c r="DS46" s="14"/>
      <c r="DT46" s="14"/>
      <c r="DU46" s="14"/>
      <c r="DV46" s="14"/>
      <c r="DW46" s="14"/>
      <c r="DX46" s="14"/>
      <c r="DY46" s="14"/>
      <c r="DZ46" s="14"/>
      <c r="EA46" s="14"/>
      <c r="EB46" s="14"/>
      <c r="EC46" s="14"/>
      <c r="ED46" s="14"/>
      <c r="EE46" s="14"/>
      <c r="EF46" s="14"/>
      <c r="EG46" s="14"/>
      <c r="EH46" s="14"/>
      <c r="EI46" s="14"/>
      <c r="EJ46" s="14"/>
      <c r="EK46" s="14"/>
      <c r="EL46" s="14"/>
    </row>
    <row r="47" spans="1:142" s="63" customFormat="1" ht="15" customHeight="1" x14ac:dyDescent="0.25">
      <c r="A47" s="35"/>
      <c r="B47" s="1924"/>
      <c r="C47" s="1924"/>
      <c r="D47" s="1924"/>
      <c r="E47" s="1924"/>
      <c r="F47" s="1924"/>
      <c r="G47" s="1924"/>
      <c r="H47" s="1924"/>
      <c r="I47" s="1924"/>
      <c r="J47" s="1924"/>
      <c r="K47" s="1924"/>
      <c r="L47" s="1924"/>
      <c r="M47" s="1924"/>
      <c r="N47" s="1924"/>
      <c r="O47" s="1924"/>
      <c r="P47" s="1924"/>
      <c r="Q47" s="35"/>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c r="CP47" s="14"/>
      <c r="CQ47" s="14"/>
      <c r="CR47" s="14"/>
      <c r="CS47" s="14"/>
      <c r="CT47" s="14"/>
      <c r="CU47" s="14"/>
      <c r="CV47" s="14"/>
      <c r="CW47" s="14"/>
      <c r="CX47" s="14"/>
      <c r="CY47" s="14"/>
      <c r="CZ47" s="14"/>
      <c r="DA47" s="14"/>
      <c r="DB47" s="14"/>
      <c r="DC47" s="14"/>
      <c r="DD47" s="14"/>
      <c r="DE47" s="14"/>
      <c r="DF47" s="14"/>
      <c r="DG47" s="14"/>
      <c r="DH47" s="14"/>
      <c r="DI47" s="14"/>
      <c r="DJ47" s="14"/>
      <c r="DK47" s="14"/>
      <c r="DL47" s="14"/>
      <c r="DM47" s="14"/>
      <c r="DN47" s="14"/>
      <c r="DO47" s="14"/>
      <c r="DP47" s="14"/>
      <c r="DQ47" s="14"/>
      <c r="DR47" s="14"/>
      <c r="DS47" s="14"/>
      <c r="DT47" s="14"/>
      <c r="DU47" s="14"/>
      <c r="DV47" s="14"/>
      <c r="DW47" s="14"/>
      <c r="DX47" s="14"/>
      <c r="DY47" s="14"/>
      <c r="DZ47" s="14"/>
      <c r="EA47" s="14"/>
      <c r="EB47" s="14"/>
      <c r="EC47" s="14"/>
      <c r="ED47" s="14"/>
      <c r="EE47" s="14"/>
      <c r="EF47" s="14"/>
      <c r="EG47" s="14"/>
      <c r="EH47" s="14"/>
      <c r="EI47" s="14"/>
      <c r="EJ47" s="14"/>
      <c r="EK47" s="14"/>
      <c r="EL47" s="14"/>
    </row>
    <row r="48" spans="1:142" s="63" customFormat="1" ht="15" customHeight="1" x14ac:dyDescent="0.2">
      <c r="A48" s="35"/>
      <c r="B48" s="1822" t="s">
        <v>1437</v>
      </c>
      <c r="C48" s="1817"/>
      <c r="D48" s="1817"/>
      <c r="E48" s="1817"/>
      <c r="F48" s="1817"/>
      <c r="G48" s="1817"/>
      <c r="H48" s="1817"/>
      <c r="I48" s="1817"/>
      <c r="J48" s="1817"/>
      <c r="K48" s="1817"/>
      <c r="L48" s="1817"/>
      <c r="M48" s="1817"/>
      <c r="N48" s="1817"/>
      <c r="O48" s="1817"/>
      <c r="P48" s="1645"/>
      <c r="Q48" s="35"/>
      <c r="R48" s="18"/>
      <c r="S48" s="18"/>
      <c r="T48" s="18"/>
      <c r="U48" s="18"/>
      <c r="V48" s="18"/>
      <c r="W48" s="18"/>
      <c r="X48" s="18"/>
      <c r="Y48" s="18"/>
      <c r="Z48" s="18"/>
      <c r="AA48" s="831"/>
      <c r="AB48" s="831"/>
      <c r="AC48" s="831"/>
      <c r="AD48" s="831"/>
      <c r="AE48" s="18"/>
      <c r="AF48" s="18"/>
      <c r="AG48" s="18"/>
      <c r="AH48" s="18"/>
      <c r="AI48" s="18"/>
      <c r="AJ48" s="18"/>
      <c r="AK48" s="18"/>
      <c r="AL48" s="18"/>
      <c r="AM48" s="18"/>
      <c r="AN48" s="18"/>
      <c r="AO48" s="18"/>
      <c r="AP48" s="18"/>
      <c r="AQ48" s="18"/>
      <c r="AR48" s="18"/>
      <c r="AS48" s="18"/>
      <c r="AT48" s="18"/>
      <c r="AU48" s="18"/>
      <c r="AV48" s="18"/>
      <c r="AW48" s="18"/>
      <c r="AX48" s="18"/>
      <c r="AY48" s="18"/>
      <c r="AZ48" s="18"/>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row>
    <row r="49" spans="1:142" s="63" customFormat="1" ht="15" customHeight="1" x14ac:dyDescent="0.2">
      <c r="A49" s="35"/>
      <c r="B49" s="334" t="s">
        <v>1546</v>
      </c>
      <c r="C49" s="1637"/>
      <c r="D49" s="1637"/>
      <c r="E49" s="1637"/>
      <c r="F49" s="1637"/>
      <c r="G49" s="1637"/>
      <c r="H49" s="1637"/>
      <c r="I49" s="1637"/>
      <c r="J49" s="1637"/>
      <c r="K49" s="1637"/>
      <c r="L49" s="1644"/>
      <c r="M49" s="1644"/>
      <c r="N49" s="1644"/>
      <c r="O49" s="76">
        <f>IF(C49=T49,0.45,IF(C49=U49,0.3,IF(C49=V49,0.45,0)))</f>
        <v>0</v>
      </c>
      <c r="P49" s="1745"/>
      <c r="Q49" s="35"/>
      <c r="R49" s="1536" t="s">
        <v>2197</v>
      </c>
      <c r="S49" s="822" t="s">
        <v>1942</v>
      </c>
      <c r="T49" s="822" t="s">
        <v>1547</v>
      </c>
      <c r="U49" s="826" t="s">
        <v>1548</v>
      </c>
      <c r="V49" s="844" t="s">
        <v>1549</v>
      </c>
      <c r="W49" s="18"/>
      <c r="X49" s="18"/>
      <c r="Y49" s="18"/>
      <c r="Z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row>
    <row r="50" spans="1:142" s="63" customFormat="1" ht="15" customHeight="1" x14ac:dyDescent="0.2">
      <c r="A50" s="35"/>
      <c r="B50" s="334" t="s">
        <v>1706</v>
      </c>
      <c r="C50" s="1637"/>
      <c r="D50" s="1637"/>
      <c r="E50" s="1637"/>
      <c r="F50" s="1637"/>
      <c r="G50" s="1637"/>
      <c r="H50" s="1637"/>
      <c r="I50" s="1637"/>
      <c r="J50" s="1637"/>
      <c r="K50" s="1637"/>
      <c r="L50" s="1644"/>
      <c r="M50" s="1644"/>
      <c r="N50" s="1644"/>
      <c r="O50" s="76">
        <f>IF(C50=T50,0.8,IF(C50=U50,0.45,IF(C50=V50,0.8,0)))</f>
        <v>0</v>
      </c>
      <c r="P50" s="1745"/>
      <c r="Q50" s="35"/>
      <c r="R50" s="1536"/>
      <c r="S50" s="822" t="s">
        <v>1942</v>
      </c>
      <c r="T50" s="822" t="s">
        <v>1547</v>
      </c>
      <c r="U50" s="826" t="s">
        <v>1548</v>
      </c>
      <c r="V50" s="844" t="s">
        <v>1549</v>
      </c>
      <c r="W50" s="18"/>
      <c r="Y50" s="18"/>
      <c r="Z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row>
    <row r="51" spans="1:142" s="63" customFormat="1" ht="15" customHeight="1" x14ac:dyDescent="0.25">
      <c r="A51" s="35"/>
      <c r="B51" s="1961"/>
      <c r="C51" s="1876"/>
      <c r="D51" s="1876"/>
      <c r="E51" s="1876"/>
      <c r="F51" s="1876"/>
      <c r="G51" s="1876"/>
      <c r="H51" s="1876"/>
      <c r="I51" s="1876"/>
      <c r="J51" s="1876"/>
      <c r="K51" s="1876"/>
      <c r="L51" s="1876"/>
      <c r="M51" s="1876"/>
      <c r="N51" s="1876"/>
      <c r="O51" s="1876"/>
      <c r="P51" s="1745"/>
      <c r="Q51" s="35"/>
      <c r="R51" s="18"/>
      <c r="U51" s="836"/>
      <c r="V51" s="18"/>
      <c r="W51" s="18"/>
      <c r="X51" s="18"/>
      <c r="Y51" s="18"/>
      <c r="Z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row>
    <row r="52" spans="1:142" s="63" customFormat="1" ht="27" customHeight="1" x14ac:dyDescent="0.2">
      <c r="A52" s="35"/>
      <c r="B52" s="1131"/>
      <c r="C52" s="1549" t="s">
        <v>1596</v>
      </c>
      <c r="D52" s="1550"/>
      <c r="E52" s="1550"/>
      <c r="F52" s="1550"/>
      <c r="G52" s="1536" t="s">
        <v>1081</v>
      </c>
      <c r="H52" s="1536"/>
      <c r="I52" s="1536"/>
      <c r="J52" s="1536"/>
      <c r="K52" s="1536"/>
      <c r="L52" s="1395"/>
      <c r="M52" s="1395"/>
      <c r="N52" s="1395"/>
      <c r="O52" s="1395"/>
      <c r="P52" s="1745"/>
      <c r="Q52" s="35"/>
      <c r="R52" s="1025"/>
      <c r="T52" s="1536" t="s">
        <v>1258</v>
      </c>
      <c r="U52" s="1536"/>
      <c r="V52" s="18"/>
      <c r="W52" s="18"/>
      <c r="X52" s="18"/>
      <c r="Y52" s="1531" t="s">
        <v>2263</v>
      </c>
      <c r="Z52" s="1535"/>
      <c r="AA52" s="1532"/>
      <c r="AB52" s="107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row>
    <row r="53" spans="1:142" s="63" customFormat="1" ht="15" customHeight="1" x14ac:dyDescent="0.2">
      <c r="A53" s="35"/>
      <c r="B53" s="358" t="s">
        <v>1707</v>
      </c>
      <c r="C53" s="1555" t="s">
        <v>365</v>
      </c>
      <c r="D53" s="1555"/>
      <c r="E53" s="1555" t="s">
        <v>1796</v>
      </c>
      <c r="F53" s="1555"/>
      <c r="G53" s="1555" t="s">
        <v>365</v>
      </c>
      <c r="H53" s="1555"/>
      <c r="I53" s="1555"/>
      <c r="J53" s="1555" t="s">
        <v>1796</v>
      </c>
      <c r="K53" s="1555"/>
      <c r="L53" s="1644"/>
      <c r="M53" s="1644"/>
      <c r="N53" s="1644"/>
      <c r="O53" s="1646"/>
      <c r="P53" s="1745"/>
      <c r="Q53" s="35"/>
      <c r="R53" s="160"/>
      <c r="S53" s="1026" t="s">
        <v>1573</v>
      </c>
      <c r="T53" s="826" t="s">
        <v>1596</v>
      </c>
      <c r="U53" s="826" t="s">
        <v>1597</v>
      </c>
      <c r="V53" s="1555" t="s">
        <v>1083</v>
      </c>
      <c r="W53" s="1555"/>
      <c r="X53" s="831"/>
      <c r="Y53" s="1074">
        <f>IF(OR(O49&gt;0,O50&gt;0,E55&gt;0,E57&gt;0),1,0)</f>
        <v>0</v>
      </c>
      <c r="Z53" s="1080">
        <f>IF(AND(OR(O49&gt;0,O50&gt;0),OR(E54&gt;0,E56&gt;0),C59&gt;0),C59*O58,O58)</f>
        <v>0</v>
      </c>
      <c r="AA53" s="1056">
        <f>IF(AND(Y53=0,C59&gt;0),C59*AB58,AB58)</f>
        <v>0</v>
      </c>
      <c r="AC53" s="107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row>
    <row r="54" spans="1:142" s="63" customFormat="1" ht="15" customHeight="1" x14ac:dyDescent="0.2">
      <c r="A54" s="35"/>
      <c r="B54" s="358" t="s">
        <v>1335</v>
      </c>
      <c r="C54" s="1637"/>
      <c r="D54" s="1637"/>
      <c r="E54" s="1865">
        <f>LETable!AJ12</f>
        <v>0</v>
      </c>
      <c r="F54" s="1865"/>
      <c r="G54" s="1308"/>
      <c r="H54" s="1308"/>
      <c r="I54" s="1308"/>
      <c r="J54" s="1869">
        <f>IF(C54="",0,IF(OR(C54&lt;=0,G54&lt;=0),E54,IF(G54&lt;C54,0,LETable!AO12)))</f>
        <v>0</v>
      </c>
      <c r="K54" s="1869"/>
      <c r="L54" s="1938" t="str">
        <f>IF(OR(C54="NA",G54="NA"),"",IF(AND(C54&lt;&gt;"",G54=""),"Enter contralateral or NA.",IF(AND(C54="",G54&lt;&gt;""),"Need data","")))</f>
        <v/>
      </c>
      <c r="M54" s="1938"/>
      <c r="N54" s="1938"/>
      <c r="O54" s="1939"/>
      <c r="P54" s="1745"/>
      <c r="Q54" s="35"/>
      <c r="S54" s="822">
        <v>40</v>
      </c>
      <c r="T54" s="822" t="str">
        <f>IF(OR(C54="",C54="NA"),"",IF(C54&gt;S54,S54,IF(C54&lt;0,0,C54)))</f>
        <v/>
      </c>
      <c r="U54" s="822" t="str">
        <f>IF(OR(G54="",G54="NA"),"",IF(G54&gt;S54,S54,IF(G54&lt;0,0,G54)))</f>
        <v/>
      </c>
      <c r="V54" s="696" t="str">
        <f>IF(W54="","",ROUND(W54,0))</f>
        <v/>
      </c>
      <c r="W54" s="697" t="str">
        <f>IF(T54="","",IF(OR(U54="",U54=0,U54&lt;T54),T54,(T54*S54)/U54))</f>
        <v/>
      </c>
      <c r="X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row>
    <row r="55" spans="1:142" s="63" customFormat="1" ht="15" customHeight="1" x14ac:dyDescent="0.2">
      <c r="A55" s="35"/>
      <c r="B55" s="358" t="s">
        <v>1336</v>
      </c>
      <c r="C55" s="1952"/>
      <c r="D55" s="1952"/>
      <c r="E55" s="1865">
        <f>IF(AND(C55&lt;&gt;"",C55&lt;&gt;"NA",C54&lt;&gt;"NA",C54&lt;&gt;""),"ERROR",IF(AND(C55&lt;&gt;"",C55&lt;&gt;"NA",C56&lt;&gt;"",C56&lt;&gt;"NA"),"ERROR",LETable!AJ13))</f>
        <v>0</v>
      </c>
      <c r="F55" s="1865"/>
      <c r="G55" s="1556" t="str">
        <f>IF(E55="ERROR","Error: Cannot rate ROM and ankylosis.","")</f>
        <v/>
      </c>
      <c r="H55" s="1556"/>
      <c r="I55" s="1556"/>
      <c r="J55" s="1556"/>
      <c r="K55" s="1556"/>
      <c r="L55" s="1556"/>
      <c r="M55" s="1556"/>
      <c r="N55" s="1556"/>
      <c r="O55" s="1704"/>
      <c r="P55" s="1745"/>
      <c r="Q55" s="35"/>
      <c r="R55" s="113"/>
      <c r="S55" s="822">
        <v>40</v>
      </c>
      <c r="T55" s="825" t="str">
        <f>IF(OR(C55="",C55="NA"),"",IF(C55&gt;S55,S55,IF(C55&lt;0,0,C55)))</f>
        <v/>
      </c>
      <c r="U55" s="18"/>
      <c r="V55" s="18"/>
      <c r="W55" s="18"/>
      <c r="X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row>
    <row r="56" spans="1:142" s="63" customFormat="1" ht="15" customHeight="1" x14ac:dyDescent="0.2">
      <c r="A56" s="35"/>
      <c r="B56" s="156" t="s">
        <v>1256</v>
      </c>
      <c r="C56" s="1952"/>
      <c r="D56" s="1952"/>
      <c r="E56" s="1865">
        <f>LETable!AJ14</f>
        <v>0</v>
      </c>
      <c r="F56" s="1865"/>
      <c r="G56" s="1308"/>
      <c r="H56" s="1308"/>
      <c r="I56" s="1308"/>
      <c r="J56" s="1869">
        <f>IF(C56="",0,IF(OR(C56&lt;=0,G56&lt;=0),E56,IF(G56&lt;C56,0,LETable!AO14)))</f>
        <v>0</v>
      </c>
      <c r="K56" s="1869"/>
      <c r="L56" s="1938" t="str">
        <f>IF(OR(C56="NA",G56="NA"),"",IF(AND(C56&lt;&gt;"",G56=""),"Enter contralateral or NA.",IF(AND(C56="",G56&lt;&gt;""),"Need data","")))</f>
        <v/>
      </c>
      <c r="M56" s="1938"/>
      <c r="N56" s="1938"/>
      <c r="O56" s="1939"/>
      <c r="P56" s="1745"/>
      <c r="Q56" s="35"/>
      <c r="R56" s="18"/>
      <c r="S56" s="822">
        <v>30</v>
      </c>
      <c r="T56" s="822" t="str">
        <f>IF(OR(C56="",C56="NA"),"",IF(C56&gt;S56,S56,IF(C56&lt;0,0,C56)))</f>
        <v/>
      </c>
      <c r="U56" s="822" t="str">
        <f>IF(OR(G56="",G56="NA"),"",IF(G56&gt;S56,S56,IF(G56&lt;0,0,G56)))</f>
        <v/>
      </c>
      <c r="V56" s="696" t="str">
        <f>IF(W56="","",ROUND(W56,0))</f>
        <v/>
      </c>
      <c r="W56" s="697" t="str">
        <f>IF(T56="","",IF(OR(U56="",U56=0,U56&lt;T56),T56,(T56*S56)/U56))</f>
        <v/>
      </c>
      <c r="X56" s="18"/>
      <c r="Y56" s="822" t="s">
        <v>2225</v>
      </c>
      <c r="Z56" s="822" t="s">
        <v>1305</v>
      </c>
      <c r="AA56" s="822" t="s">
        <v>1306</v>
      </c>
      <c r="AB56" s="822" t="s">
        <v>1307</v>
      </c>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row>
    <row r="57" spans="1:142" s="63" customFormat="1" ht="15" customHeight="1" x14ac:dyDescent="0.2">
      <c r="A57" s="35"/>
      <c r="B57" s="357" t="s">
        <v>1840</v>
      </c>
      <c r="C57" s="1944"/>
      <c r="D57" s="1945"/>
      <c r="E57" s="1865">
        <f>IF(AND(C57&lt;&gt;"",C57&lt;&gt;"NA",C56&lt;&gt;"NA",C56&lt;&gt;""),"ERROR",IF(AND(C57&lt;&gt;"",C57&lt;&gt;"NA",C54&lt;&gt;"",C54&lt;&gt;"NA"),"ERROR",LETable!AJ15))</f>
        <v>0</v>
      </c>
      <c r="F57" s="1865"/>
      <c r="G57" s="1866" t="str">
        <f>IF(E57="ERROR","Error: Cannot rate ROM and ankylosis.",IF(AND(C55&lt;&gt;"",C55&lt;&gt;"NA",C57&lt;&gt;"",C57&lt;&gt;"NA"),"Multiple ankylosis values; use higher value only.",""))</f>
        <v/>
      </c>
      <c r="H57" s="1867"/>
      <c r="I57" s="1867"/>
      <c r="J57" s="1867"/>
      <c r="K57" s="1867"/>
      <c r="L57" s="1867"/>
      <c r="M57" s="1867"/>
      <c r="N57" s="1867"/>
      <c r="O57" s="1868"/>
      <c r="P57" s="1745"/>
      <c r="Q57" s="35"/>
      <c r="R57" s="18"/>
      <c r="S57" s="822">
        <v>30</v>
      </c>
      <c r="T57" s="822" t="str">
        <f>IF(OR(C57="",C57="NA"),"",IF(C57&gt;S57,S57,IF(C57&lt;0,0,C57)))</f>
        <v/>
      </c>
      <c r="U57" s="18"/>
      <c r="V57" s="18"/>
      <c r="W57" s="18"/>
      <c r="X57" s="18"/>
      <c r="Y57" s="242">
        <f>O49</f>
        <v>0</v>
      </c>
      <c r="Z57" s="829">
        <f>LARGE($Y$57:$Y$59,1)</f>
        <v>0</v>
      </c>
      <c r="AA57" s="684">
        <f>Z57+Z58*(1-Z57)</f>
        <v>0</v>
      </c>
      <c r="AB57" s="827">
        <f>ROUND(AA57,2)</f>
        <v>0</v>
      </c>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row>
    <row r="58" spans="1:142" s="63" customFormat="1" ht="21" customHeight="1" x14ac:dyDescent="0.2">
      <c r="A58" s="35"/>
      <c r="B58" s="1045"/>
      <c r="C58" s="1046"/>
      <c r="D58" s="1046"/>
      <c r="E58" s="1571" t="str">
        <f>IF(AND(OR(O49&gt;0,O50&gt;0,E55&gt;0,E57&gt;0),C59&gt;0),"Note: Ankylosis impairment is not apportioned.","")</f>
        <v/>
      </c>
      <c r="F58" s="1572"/>
      <c r="G58" s="1572"/>
      <c r="H58" s="1572"/>
      <c r="I58" s="1572"/>
      <c r="J58" s="1573"/>
      <c r="K58" s="1740" t="s">
        <v>1842</v>
      </c>
      <c r="L58" s="1741"/>
      <c r="M58" s="1741"/>
      <c r="N58" s="1742"/>
      <c r="O58" s="71">
        <f>IF(OR(E55="ERROR",E57="ERROR"),"ERROR",IF(R58&gt;1,1,R58))</f>
        <v>0</v>
      </c>
      <c r="P58" s="1746"/>
      <c r="Q58" s="35"/>
      <c r="R58" s="243">
        <f>SUM(J54,J56,W58)</f>
        <v>0</v>
      </c>
      <c r="S58" s="18"/>
      <c r="T58" s="18"/>
      <c r="U58" s="18"/>
      <c r="V58" s="18"/>
      <c r="W58" s="747">
        <f>IF(AND(E55&lt;&gt;"ERROR",E57&lt;&gt;"ERROR",C57&lt;&gt;"",E57&lt;&gt;""),MAX(E55,E57),E55+E57)</f>
        <v>0</v>
      </c>
      <c r="X58" s="18"/>
      <c r="Y58" s="242">
        <f>O50</f>
        <v>0</v>
      </c>
      <c r="Z58" s="829">
        <f>LARGE($Y$57:$Y$59,2)</f>
        <v>0</v>
      </c>
      <c r="AA58" s="684">
        <f>AB57+Z59*(1-AB57)</f>
        <v>0</v>
      </c>
      <c r="AB58" s="827">
        <f>ROUND(AA58,2)</f>
        <v>0</v>
      </c>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row>
    <row r="59" spans="1:142" s="63" customFormat="1" ht="21" customHeight="1" x14ac:dyDescent="0.2">
      <c r="A59" s="35"/>
      <c r="B59" s="1075" t="s">
        <v>2259</v>
      </c>
      <c r="C59" s="1544"/>
      <c r="D59" s="1577"/>
      <c r="E59" s="1574"/>
      <c r="F59" s="1575"/>
      <c r="G59" s="1575"/>
      <c r="H59" s="1575"/>
      <c r="I59" s="1575"/>
      <c r="J59" s="1576"/>
      <c r="K59" s="1740" t="s">
        <v>433</v>
      </c>
      <c r="L59" s="1741"/>
      <c r="M59" s="1741"/>
      <c r="N59" s="1741"/>
      <c r="O59" s="1742"/>
      <c r="P59" s="1115">
        <f>IF(O58="ERROR","ERROR",IF(AND(AA53&gt;0,AA53&lt;0.01),0.01,ROUND(AA53,2)))</f>
        <v>0</v>
      </c>
      <c r="Q59" s="35"/>
      <c r="R59" s="18"/>
      <c r="S59" s="18"/>
      <c r="T59" s="18"/>
      <c r="U59" s="18"/>
      <c r="V59" s="18"/>
      <c r="W59" s="18"/>
      <c r="X59" s="18"/>
      <c r="Y59" s="242">
        <f>IF(AND(Z53&lt;0.01,Z53&gt;0),0.01,ROUND(Z53,2))</f>
        <v>0</v>
      </c>
      <c r="Z59" s="829">
        <f>LARGE($Y$57:$Y$59,3)</f>
        <v>0</v>
      </c>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row>
    <row r="60" spans="1:142" s="63" customFormat="1" ht="12" customHeight="1" x14ac:dyDescent="0.25">
      <c r="A60" s="35"/>
      <c r="B60" s="1876"/>
      <c r="C60" s="1876"/>
      <c r="D60" s="1876"/>
      <c r="E60" s="1876"/>
      <c r="F60" s="1876"/>
      <c r="G60" s="1876"/>
      <c r="H60" s="1876"/>
      <c r="I60" s="1876"/>
      <c r="J60" s="1876"/>
      <c r="K60" s="1876"/>
      <c r="L60" s="1876"/>
      <c r="M60" s="1876"/>
      <c r="N60" s="1876"/>
      <c r="O60" s="1876"/>
      <c r="P60" s="469"/>
      <c r="Q60" s="35"/>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row>
    <row r="61" spans="1:142" s="63" customFormat="1" ht="15" customHeight="1" x14ac:dyDescent="0.25">
      <c r="A61" s="35"/>
      <c r="B61" s="1549" t="s">
        <v>2001</v>
      </c>
      <c r="C61" s="1550"/>
      <c r="D61" s="1550"/>
      <c r="E61" s="1550"/>
      <c r="F61" s="1550"/>
      <c r="G61" s="1550"/>
      <c r="H61" s="1550"/>
      <c r="I61" s="1550"/>
      <c r="J61" s="1550"/>
      <c r="K61" s="1550"/>
      <c r="L61" s="1550"/>
      <c r="M61" s="1550"/>
      <c r="N61" s="1550"/>
      <c r="O61" s="1550"/>
      <c r="P61" s="470"/>
      <c r="Q61" s="35"/>
      <c r="R61" s="18"/>
      <c r="S61" s="1487" t="s">
        <v>2187</v>
      </c>
      <c r="T61" s="1487"/>
      <c r="U61" s="1487"/>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row>
    <row r="62" spans="1:142" s="63" customFormat="1" ht="15" customHeight="1" x14ac:dyDescent="0.2">
      <c r="A62" s="35"/>
      <c r="B62" s="376" t="s">
        <v>2012</v>
      </c>
      <c r="C62" s="1954"/>
      <c r="D62" s="1955"/>
      <c r="E62" s="1955"/>
      <c r="F62" s="1955"/>
      <c r="G62" s="1955"/>
      <c r="H62" s="1955"/>
      <c r="I62" s="1955"/>
      <c r="J62" s="1955"/>
      <c r="K62" s="1955"/>
      <c r="L62" s="1955"/>
      <c r="M62" s="1955"/>
      <c r="N62" s="1955"/>
      <c r="O62" s="78"/>
      <c r="P62" s="26">
        <f>IF($W$239&gt;0,0,R62)</f>
        <v>0</v>
      </c>
      <c r="Q62" s="35"/>
      <c r="R62" s="834">
        <f>IF(C62=S62,0,IF(C62=T62,0.05,IF(C62=U62,0.1,0)))</f>
        <v>0</v>
      </c>
      <c r="S62" s="832" t="s">
        <v>1942</v>
      </c>
      <c r="T62" s="832" t="s">
        <v>1785</v>
      </c>
      <c r="U62" s="832" t="s">
        <v>1786</v>
      </c>
      <c r="V62" s="161"/>
      <c r="W62" s="114"/>
      <c r="X62" s="162"/>
      <c r="Y62" s="1946"/>
      <c r="Z62" s="73"/>
      <c r="AA62" s="73"/>
      <c r="AB62" s="74"/>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row>
    <row r="63" spans="1:142" s="63" customFormat="1" ht="15" customHeight="1" x14ac:dyDescent="0.2">
      <c r="A63" s="35"/>
      <c r="B63" s="376" t="s">
        <v>2013</v>
      </c>
      <c r="C63" s="1954"/>
      <c r="D63" s="1955"/>
      <c r="E63" s="1955"/>
      <c r="F63" s="1955"/>
      <c r="G63" s="1955"/>
      <c r="H63" s="1955"/>
      <c r="I63" s="1955"/>
      <c r="J63" s="1955"/>
      <c r="K63" s="1955"/>
      <c r="L63" s="1955"/>
      <c r="M63" s="1955"/>
      <c r="N63" s="1955"/>
      <c r="O63" s="78"/>
      <c r="P63" s="26">
        <f>IF($W$239&gt;0,0,R63)</f>
        <v>0</v>
      </c>
      <c r="Q63" s="35"/>
      <c r="R63" s="834">
        <f>IF(C63=S63,0,IF(C63=T63,0.05,IF(C63=U63,0.1,0)))</f>
        <v>0</v>
      </c>
      <c r="S63" s="832" t="s">
        <v>1942</v>
      </c>
      <c r="T63" s="832" t="s">
        <v>1997</v>
      </c>
      <c r="U63" s="832" t="s">
        <v>1998</v>
      </c>
      <c r="V63" s="161"/>
      <c r="W63" s="114"/>
      <c r="X63" s="162"/>
      <c r="Y63" s="1946"/>
      <c r="Z63" s="73"/>
      <c r="AA63" s="73"/>
      <c r="AB63" s="74"/>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row>
    <row r="64" spans="1:142" s="63" customFormat="1" ht="27" customHeight="1" x14ac:dyDescent="0.2">
      <c r="A64" s="35"/>
      <c r="B64" s="1883" t="str">
        <f>IF(AND(OR(R62&gt;0,R63&gt;0),$W$239&gt;0),"A value has been given for loss of sensation or hypersensitivity in the foot. No additional value is allowed for the toes.","")</f>
        <v/>
      </c>
      <c r="C64" s="1883"/>
      <c r="D64" s="1883"/>
      <c r="E64" s="1883"/>
      <c r="F64" s="1883"/>
      <c r="G64" s="1883"/>
      <c r="H64" s="1883"/>
      <c r="I64" s="1883"/>
      <c r="J64" s="1883"/>
      <c r="K64" s="1883"/>
      <c r="L64" s="1883"/>
      <c r="M64" s="1883"/>
      <c r="N64" s="1883"/>
      <c r="O64" s="1883"/>
      <c r="P64" s="248"/>
      <c r="Q64" s="35"/>
      <c r="R64" s="18"/>
      <c r="S64" s="19"/>
      <c r="T64" s="19"/>
      <c r="U64" s="19"/>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4"/>
      <c r="BB64" s="14"/>
      <c r="BC64" s="14"/>
      <c r="BD64" s="14"/>
      <c r="BE64" s="14"/>
      <c r="BF64" s="14"/>
      <c r="BG64" s="14"/>
      <c r="BH64" s="14"/>
      <c r="BI64" s="14"/>
      <c r="BJ64" s="14"/>
      <c r="BK64" s="14"/>
      <c r="BL64" s="14"/>
      <c r="BM64" s="14"/>
      <c r="BN64" s="14"/>
      <c r="BO64" s="14"/>
      <c r="BP64" s="14"/>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row>
    <row r="65" spans="1:142" s="63" customFormat="1" ht="12" customHeight="1" x14ac:dyDescent="0.25">
      <c r="A65" s="35"/>
      <c r="B65" s="1602"/>
      <c r="C65" s="1395"/>
      <c r="D65" s="1395"/>
      <c r="E65" s="1395"/>
      <c r="F65" s="1395"/>
      <c r="G65" s="1395"/>
      <c r="H65" s="1395"/>
      <c r="I65" s="1395"/>
      <c r="J65" s="1395"/>
      <c r="K65" s="1395"/>
      <c r="L65" s="1395"/>
      <c r="M65" s="1395"/>
      <c r="N65" s="1395"/>
      <c r="O65" s="1395"/>
      <c r="P65" s="75"/>
      <c r="Q65" s="35"/>
      <c r="R65" s="18"/>
      <c r="S65" s="18"/>
      <c r="Y65" s="60"/>
      <c r="Z65" s="1569"/>
      <c r="AA65" s="1569"/>
      <c r="AB65" s="1569"/>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row>
    <row r="66" spans="1:142" s="63" customFormat="1" ht="14.1" customHeight="1" x14ac:dyDescent="0.2">
      <c r="A66" s="8"/>
      <c r="B66" s="1379" t="s">
        <v>2016</v>
      </c>
      <c r="C66" s="1379"/>
      <c r="D66" s="1379"/>
      <c r="E66" s="1379"/>
      <c r="F66" s="1379"/>
      <c r="G66" s="1379"/>
      <c r="H66" s="1379"/>
      <c r="I66" s="1379"/>
      <c r="J66" s="1379"/>
      <c r="K66" s="1379"/>
      <c r="L66" s="1379"/>
      <c r="M66" s="1379"/>
      <c r="N66" s="1308"/>
      <c r="O66" s="1308"/>
      <c r="P66" s="833">
        <f>IF(N66=T66,0.03,IF(N66=U66,0.15,IF(N66=V66,0.38,IF(N66=W66,0.68,IF(N66=X66,0.9,0)))))</f>
        <v>0</v>
      </c>
      <c r="Q66" s="35"/>
      <c r="R66" s="1487" t="s">
        <v>2197</v>
      </c>
      <c r="S66" s="1487"/>
      <c r="T66" s="832" t="s">
        <v>1969</v>
      </c>
      <c r="U66" s="832" t="s">
        <v>1970</v>
      </c>
      <c r="V66" s="834" t="s">
        <v>1972</v>
      </c>
      <c r="W66" s="832" t="s">
        <v>945</v>
      </c>
      <c r="X66" s="834" t="s">
        <v>558</v>
      </c>
      <c r="Y66" s="60"/>
      <c r="Z66" s="1569"/>
      <c r="AA66" s="1569"/>
      <c r="AB66" s="1569"/>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row>
    <row r="67" spans="1:142" s="63" customFormat="1" ht="12" customHeight="1" x14ac:dyDescent="0.25">
      <c r="A67" s="35"/>
      <c r="B67" s="657"/>
      <c r="C67" s="657"/>
      <c r="D67" s="657"/>
      <c r="E67" s="657"/>
      <c r="F67" s="657"/>
      <c r="G67" s="657"/>
      <c r="H67" s="657"/>
      <c r="I67" s="657"/>
      <c r="J67" s="657"/>
      <c r="K67" s="657"/>
      <c r="L67" s="657"/>
      <c r="M67" s="657"/>
      <c r="N67" s="657"/>
      <c r="O67" s="657"/>
      <c r="P67" s="75"/>
      <c r="Q67" s="35"/>
      <c r="R67" s="18"/>
      <c r="S67" s="19"/>
      <c r="T67" s="19"/>
      <c r="U67" s="19"/>
      <c r="V67" s="19"/>
      <c r="W67" s="19"/>
      <c r="X67" s="19"/>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4"/>
      <c r="BB67" s="14"/>
      <c r="BC67" s="14"/>
      <c r="BD67" s="14"/>
      <c r="BE67" s="14"/>
      <c r="BF67" s="14"/>
      <c r="BG67" s="14"/>
      <c r="BH67" s="14"/>
      <c r="BI67" s="14"/>
      <c r="BJ67" s="14"/>
      <c r="BK67" s="14"/>
      <c r="BL67" s="14"/>
      <c r="BM67" s="14"/>
      <c r="BN67" s="14"/>
      <c r="BO67" s="14"/>
      <c r="BP67" s="14"/>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row>
    <row r="68" spans="1:142" s="63" customFormat="1" ht="18" customHeight="1" x14ac:dyDescent="0.2">
      <c r="A68" s="189"/>
      <c r="B68" s="316" t="s">
        <v>1709</v>
      </c>
      <c r="C68" s="1878"/>
      <c r="D68" s="1878"/>
      <c r="E68" s="1362" t="s">
        <v>1710</v>
      </c>
      <c r="F68" s="1363"/>
      <c r="G68" s="1363"/>
      <c r="H68" s="1363"/>
      <c r="I68" s="1363"/>
      <c r="J68" s="1363"/>
      <c r="K68" s="1363"/>
      <c r="L68" s="1363"/>
      <c r="M68" s="1363"/>
      <c r="N68" s="1363"/>
      <c r="O68" s="1363"/>
      <c r="P68" s="303">
        <f>IF(T68=1,0.15,0)</f>
        <v>0</v>
      </c>
      <c r="Q68" s="35"/>
      <c r="R68" s="18"/>
      <c r="S68" s="706" t="b">
        <v>0</v>
      </c>
      <c r="T68" s="832">
        <f>IF(S68=TRUE,1,0)</f>
        <v>0</v>
      </c>
      <c r="U68" s="18"/>
      <c r="V68" s="18"/>
      <c r="W68" s="18">
        <v>1E-4</v>
      </c>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4"/>
      <c r="BB68" s="14"/>
      <c r="BC68" s="14"/>
      <c r="BD68" s="14"/>
      <c r="BE68" s="14"/>
      <c r="BF68" s="14"/>
      <c r="BG68" s="14"/>
      <c r="BH68" s="14"/>
      <c r="BI68" s="14"/>
      <c r="BJ68" s="14"/>
      <c r="BK68" s="14"/>
      <c r="BL68" s="14"/>
      <c r="BM68" s="14"/>
      <c r="BN68" s="14"/>
      <c r="BO68" s="14"/>
      <c r="BP68" s="14"/>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row>
    <row r="69" spans="1:142" s="63" customFormat="1" ht="18" customHeight="1" x14ac:dyDescent="0.2">
      <c r="A69" s="35"/>
      <c r="B69" s="316" t="s">
        <v>1711</v>
      </c>
      <c r="C69" s="1878"/>
      <c r="D69" s="1878"/>
      <c r="E69" s="1362" t="s">
        <v>1712</v>
      </c>
      <c r="F69" s="1363"/>
      <c r="G69" s="1363"/>
      <c r="H69" s="1363"/>
      <c r="I69" s="1363"/>
      <c r="J69" s="1363"/>
      <c r="K69" s="1363"/>
      <c r="L69" s="1363"/>
      <c r="M69" s="1363"/>
      <c r="N69" s="1363"/>
      <c r="O69" s="1363"/>
      <c r="P69" s="303">
        <f>IF(T69=1,0.25,0)</f>
        <v>0</v>
      </c>
      <c r="Q69" s="35"/>
      <c r="R69" s="18"/>
      <c r="S69" s="706" t="b">
        <v>0</v>
      </c>
      <c r="T69" s="832">
        <f>IF(S69=TRUE,1,0)</f>
        <v>0</v>
      </c>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4"/>
      <c r="BB69" s="14"/>
      <c r="BC69" s="14"/>
      <c r="BD69" s="14"/>
      <c r="BE69" s="14"/>
      <c r="BF69" s="14"/>
      <c r="BG69" s="14"/>
      <c r="BH69" s="14"/>
      <c r="BI69" s="14"/>
      <c r="BJ69" s="14"/>
      <c r="BK69" s="14"/>
      <c r="BL69" s="14"/>
      <c r="BM69" s="14"/>
      <c r="BN69" s="14"/>
      <c r="BO69" s="14"/>
      <c r="BP69" s="14"/>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row>
    <row r="70" spans="1:142" s="63" customFormat="1" ht="18" customHeight="1" x14ac:dyDescent="0.2">
      <c r="A70" s="35"/>
      <c r="B70" s="471" t="s">
        <v>626</v>
      </c>
      <c r="C70" s="1925"/>
      <c r="D70" s="1925"/>
      <c r="E70" s="1546" t="s">
        <v>627</v>
      </c>
      <c r="F70" s="1547"/>
      <c r="G70" s="1547"/>
      <c r="H70" s="1547"/>
      <c r="I70" s="1547"/>
      <c r="J70" s="1547"/>
      <c r="K70" s="1547"/>
      <c r="L70" s="1547"/>
      <c r="M70" s="1547"/>
      <c r="N70" s="1547"/>
      <c r="O70" s="1547"/>
      <c r="P70" s="338">
        <f>IF(T70=1,0.25,0)</f>
        <v>0</v>
      </c>
      <c r="Q70" s="35"/>
      <c r="R70" s="18"/>
      <c r="S70" s="706" t="b">
        <v>0</v>
      </c>
      <c r="T70" s="832">
        <f>IF(S70=TRUE,1,0)</f>
        <v>0</v>
      </c>
      <c r="U70" s="18"/>
      <c r="V70" s="18"/>
      <c r="W70" s="18"/>
      <c r="X70" s="1094"/>
      <c r="Y70" s="1094"/>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4"/>
      <c r="BB70" s="14"/>
      <c r="BC70" s="14"/>
      <c r="BD70" s="14"/>
      <c r="BE70" s="14"/>
      <c r="BF70" s="14"/>
      <c r="BG70" s="14"/>
      <c r="BH70" s="14"/>
      <c r="BI70" s="14"/>
      <c r="BJ70" s="14"/>
      <c r="BK70" s="14"/>
      <c r="BL70" s="14"/>
      <c r="BM70" s="14"/>
      <c r="BN70" s="14"/>
      <c r="BO70" s="14"/>
      <c r="BP70" s="14"/>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row>
    <row r="71" spans="1:142" s="63" customFormat="1" ht="15" customHeight="1" x14ac:dyDescent="0.2">
      <c r="A71" s="35"/>
      <c r="B71" s="1877"/>
      <c r="C71" s="1877"/>
      <c r="D71" s="1877"/>
      <c r="E71" s="1877"/>
      <c r="F71" s="1877"/>
      <c r="G71" s="1877"/>
      <c r="H71" s="1877"/>
      <c r="I71" s="1877"/>
      <c r="J71" s="1877"/>
      <c r="K71" s="1877"/>
      <c r="L71" s="1877"/>
      <c r="M71" s="1877"/>
      <c r="N71" s="1877"/>
      <c r="O71" s="1877"/>
      <c r="P71" s="35"/>
      <c r="Q71" s="35"/>
      <c r="R71" s="18"/>
      <c r="S71" s="18"/>
      <c r="T71" s="18"/>
      <c r="U71" s="18"/>
      <c r="V71" s="18"/>
      <c r="X71" s="1094"/>
      <c r="Y71" s="1094"/>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4"/>
      <c r="BB71" s="14"/>
      <c r="BC71" s="14"/>
      <c r="BD71" s="14"/>
      <c r="BE71" s="14"/>
      <c r="BF71" s="14"/>
      <c r="BG71" s="14"/>
      <c r="BH71" s="14"/>
      <c r="BI71" s="14"/>
      <c r="BJ71" s="14"/>
      <c r="BK71" s="14"/>
      <c r="BL71" s="14"/>
      <c r="BM71" s="14"/>
      <c r="BN71" s="14"/>
      <c r="BO71" s="14"/>
      <c r="BP71" s="14"/>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row>
    <row r="72" spans="1:142" s="63" customFormat="1" ht="27" customHeight="1" x14ac:dyDescent="0.2">
      <c r="A72" s="35"/>
      <c r="B72" s="1632" t="s">
        <v>442</v>
      </c>
      <c r="C72" s="1633"/>
      <c r="D72" s="1633"/>
      <c r="E72" s="1633"/>
      <c r="F72" s="1633"/>
      <c r="G72" s="1687" t="s">
        <v>1525</v>
      </c>
      <c r="H72" s="1534"/>
      <c r="I72" s="1534"/>
      <c r="J72" s="1534"/>
      <c r="K72" s="1534"/>
      <c r="L72" s="1616"/>
      <c r="M72" s="1617"/>
      <c r="N72" s="1617"/>
      <c r="O72" s="1618"/>
      <c r="P72" s="1481">
        <f>V79</f>
        <v>0</v>
      </c>
      <c r="Q72" s="35"/>
      <c r="R72" s="18"/>
      <c r="S72" s="832" t="s">
        <v>1865</v>
      </c>
      <c r="T72" s="832" t="s">
        <v>1305</v>
      </c>
      <c r="U72" s="832" t="s">
        <v>1306</v>
      </c>
      <c r="V72" s="832" t="s">
        <v>1307</v>
      </c>
      <c r="X72" s="1094"/>
      <c r="Y72" s="1094"/>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4"/>
      <c r="BB72" s="14"/>
      <c r="BC72" s="14"/>
      <c r="BD72" s="14"/>
      <c r="BE72" s="14"/>
      <c r="BF72" s="14"/>
      <c r="BG72" s="14"/>
      <c r="BH72" s="14"/>
      <c r="BI72" s="14"/>
      <c r="BJ72" s="14"/>
      <c r="BK72" s="14"/>
      <c r="BL72" s="14"/>
      <c r="BM72" s="14"/>
      <c r="BN72" s="14"/>
      <c r="BO72" s="14"/>
      <c r="BP72" s="14"/>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row>
    <row r="73" spans="1:142" s="63" customFormat="1" ht="18" customHeight="1" x14ac:dyDescent="0.2">
      <c r="A73" s="35"/>
      <c r="B73" s="1410" t="s">
        <v>628</v>
      </c>
      <c r="C73" s="1410"/>
      <c r="D73" s="1410"/>
      <c r="E73" s="1373">
        <f>P46</f>
        <v>0</v>
      </c>
      <c r="F73" s="1346"/>
      <c r="G73" s="1702" t="s">
        <v>1942</v>
      </c>
      <c r="H73" s="1627"/>
      <c r="I73" s="1628"/>
      <c r="J73" s="1534"/>
      <c r="K73" s="1534"/>
      <c r="L73" s="1616"/>
      <c r="M73" s="1617"/>
      <c r="N73" s="1617"/>
      <c r="O73" s="1618"/>
      <c r="P73" s="1631"/>
      <c r="Q73" s="35"/>
      <c r="R73" s="18"/>
      <c r="S73" s="835">
        <f>E73</f>
        <v>0</v>
      </c>
      <c r="T73" s="834">
        <f>LARGE($S$73:$S$80,1)</f>
        <v>0</v>
      </c>
      <c r="U73" s="684">
        <f>T73+T74*(1-T73)</f>
        <v>0</v>
      </c>
      <c r="V73" s="835">
        <f t="shared" ref="V73:V79" si="2">ROUND(U73,2)</f>
        <v>0</v>
      </c>
      <c r="X73" s="1094"/>
      <c r="Y73" s="1094"/>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row>
    <row r="74" spans="1:142" s="63" customFormat="1" ht="18" customHeight="1" x14ac:dyDescent="0.2">
      <c r="A74" s="35"/>
      <c r="B74" s="1410" t="s">
        <v>1959</v>
      </c>
      <c r="C74" s="1410"/>
      <c r="D74" s="1410"/>
      <c r="E74" s="1373">
        <f>IF(P427&gt;0,0,P59)</f>
        <v>0</v>
      </c>
      <c r="F74" s="1346"/>
      <c r="G74" s="1833" t="s">
        <v>2260</v>
      </c>
      <c r="H74" s="1834"/>
      <c r="I74" s="1835"/>
      <c r="J74" s="1534"/>
      <c r="K74" s="1534"/>
      <c r="L74" s="1619"/>
      <c r="M74" s="1620"/>
      <c r="N74" s="1620"/>
      <c r="O74" s="1621"/>
      <c r="P74" s="1631"/>
      <c r="Q74" s="35"/>
      <c r="R74" s="18"/>
      <c r="S74" s="834">
        <f>IF(J74&gt;0,J74,E74)</f>
        <v>0</v>
      </c>
      <c r="T74" s="834">
        <f>LARGE($S$73:$S$80,2)</f>
        <v>0</v>
      </c>
      <c r="U74" s="684">
        <f t="shared" ref="U74:U79" si="3">V73+T75*(1-V73)</f>
        <v>0</v>
      </c>
      <c r="V74" s="835">
        <f t="shared" si="2"/>
        <v>0</v>
      </c>
      <c r="X74" s="1094"/>
      <c r="Y74" s="1094"/>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row>
    <row r="75" spans="1:142" s="63" customFormat="1" ht="18" customHeight="1" x14ac:dyDescent="0.2">
      <c r="A75" s="35"/>
      <c r="B75" s="1410" t="s">
        <v>2017</v>
      </c>
      <c r="C75" s="1410"/>
      <c r="D75" s="1410"/>
      <c r="E75" s="1373">
        <f>P62</f>
        <v>0</v>
      </c>
      <c r="F75" s="1346"/>
      <c r="G75" s="1658"/>
      <c r="H75" s="1658"/>
      <c r="I75" s="1658"/>
      <c r="J75" s="1847">
        <f>IF(AND(W75&lt;0.01,W75&gt;0),0.01,ROUND(W75,2))</f>
        <v>0</v>
      </c>
      <c r="K75" s="1847"/>
      <c r="L75" s="1619"/>
      <c r="M75" s="1620"/>
      <c r="N75" s="1620"/>
      <c r="O75" s="1621"/>
      <c r="P75" s="1631"/>
      <c r="Q75" s="35"/>
      <c r="R75" s="18"/>
      <c r="S75" s="834">
        <f>IF(J75&gt;0,J75,E75)</f>
        <v>0</v>
      </c>
      <c r="T75" s="834">
        <f>LARGE($S$73:$S$80,3)</f>
        <v>0</v>
      </c>
      <c r="U75" s="684">
        <f t="shared" si="3"/>
        <v>0</v>
      </c>
      <c r="V75" s="835">
        <f t="shared" si="2"/>
        <v>0</v>
      </c>
      <c r="W75" s="1086">
        <f>G75*E75</f>
        <v>0</v>
      </c>
      <c r="X75" s="1094"/>
      <c r="Y75" s="1094"/>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row>
    <row r="76" spans="1:142" s="63" customFormat="1" ht="18" customHeight="1" x14ac:dyDescent="0.2">
      <c r="A76" s="35"/>
      <c r="B76" s="1362" t="s">
        <v>1227</v>
      </c>
      <c r="C76" s="1363"/>
      <c r="D76" s="1364"/>
      <c r="E76" s="1373">
        <f>P63</f>
        <v>0</v>
      </c>
      <c r="F76" s="1346"/>
      <c r="G76" s="1658"/>
      <c r="H76" s="1658"/>
      <c r="I76" s="1658"/>
      <c r="J76" s="1847">
        <f>IF(AND(W76&lt;0.01,W76&gt;0),0.01,ROUND(W76,2))</f>
        <v>0</v>
      </c>
      <c r="K76" s="1847"/>
      <c r="L76" s="1619"/>
      <c r="M76" s="1620"/>
      <c r="N76" s="1620"/>
      <c r="O76" s="1621"/>
      <c r="P76" s="1631"/>
      <c r="Q76" s="35"/>
      <c r="R76" s="18"/>
      <c r="S76" s="834">
        <f>IF(J76&gt;0,J76,E76)</f>
        <v>0</v>
      </c>
      <c r="T76" s="834">
        <f>LARGE($S$73:$S$80,4)</f>
        <v>0</v>
      </c>
      <c r="U76" s="684">
        <f t="shared" si="3"/>
        <v>0</v>
      </c>
      <c r="V76" s="835">
        <f t="shared" si="2"/>
        <v>0</v>
      </c>
      <c r="W76" s="1086">
        <f t="shared" ref="W76:W77" si="4">G76*E76</f>
        <v>0</v>
      </c>
      <c r="X76" s="1094"/>
      <c r="Y76" s="1094"/>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row>
    <row r="77" spans="1:142" s="63" customFormat="1" ht="18" customHeight="1" x14ac:dyDescent="0.2">
      <c r="A77" s="35"/>
      <c r="B77" s="1362" t="s">
        <v>1447</v>
      </c>
      <c r="C77" s="1363"/>
      <c r="D77" s="1364"/>
      <c r="E77" s="1342">
        <f>P66</f>
        <v>0</v>
      </c>
      <c r="F77" s="1344"/>
      <c r="G77" s="1658"/>
      <c r="H77" s="1658"/>
      <c r="I77" s="1658"/>
      <c r="J77" s="1847">
        <f>IF(AND(W77&lt;0.01,W77&gt;0),0.01,ROUND(W77,2))</f>
        <v>0</v>
      </c>
      <c r="K77" s="1847"/>
      <c r="L77" s="1588" t="str">
        <f>IF(AND(P59&gt;0,$P$427&gt;0),"The worker has motor loss impairment. No additional impairment value is allowed for reduced range of motion in the same extremity.","")</f>
        <v/>
      </c>
      <c r="M77" s="1589"/>
      <c r="N77" s="1589"/>
      <c r="O77" s="1590"/>
      <c r="P77" s="1631"/>
      <c r="Q77" s="35"/>
      <c r="R77" s="18"/>
      <c r="S77" s="834">
        <f>IF(J77&gt;0,J77,E77)</f>
        <v>0</v>
      </c>
      <c r="T77" s="834">
        <f>LARGE($S$73:$S$80,5)</f>
        <v>0</v>
      </c>
      <c r="U77" s="684">
        <f t="shared" si="3"/>
        <v>0</v>
      </c>
      <c r="V77" s="835">
        <f t="shared" si="2"/>
        <v>0</v>
      </c>
      <c r="W77" s="1086">
        <f t="shared" si="4"/>
        <v>0</v>
      </c>
      <c r="X77" s="1094"/>
      <c r="Y77" s="1094"/>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row>
    <row r="78" spans="1:142" s="63" customFormat="1" ht="18" customHeight="1" x14ac:dyDescent="0.2">
      <c r="A78" s="35"/>
      <c r="B78" s="1410" t="s">
        <v>1713</v>
      </c>
      <c r="C78" s="1410"/>
      <c r="D78" s="1410"/>
      <c r="E78" s="1373">
        <f>P68</f>
        <v>0</v>
      </c>
      <c r="F78" s="1346"/>
      <c r="G78" s="1702" t="s">
        <v>1942</v>
      </c>
      <c r="H78" s="1627"/>
      <c r="I78" s="1628"/>
      <c r="J78" s="1534"/>
      <c r="K78" s="1534"/>
      <c r="L78" s="1588"/>
      <c r="M78" s="1589"/>
      <c r="N78" s="1589"/>
      <c r="O78" s="1590"/>
      <c r="P78" s="1631"/>
      <c r="Q78" s="35"/>
      <c r="R78" s="18"/>
      <c r="S78" s="835">
        <f>E78</f>
        <v>0</v>
      </c>
      <c r="T78" s="834">
        <f>LARGE($S$73:$S$80,6)</f>
        <v>0</v>
      </c>
      <c r="U78" s="684">
        <f t="shared" si="3"/>
        <v>0</v>
      </c>
      <c r="V78" s="835">
        <f t="shared" si="2"/>
        <v>0</v>
      </c>
      <c r="W78" s="18"/>
      <c r="X78" s="1094"/>
      <c r="Y78" s="1094"/>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row>
    <row r="79" spans="1:142" s="63" customFormat="1" ht="18" customHeight="1" x14ac:dyDescent="0.2">
      <c r="A79" s="35"/>
      <c r="B79" s="1410" t="s">
        <v>1714</v>
      </c>
      <c r="C79" s="1410"/>
      <c r="D79" s="1410"/>
      <c r="E79" s="1373">
        <f>P69</f>
        <v>0</v>
      </c>
      <c r="F79" s="1373"/>
      <c r="G79" s="1702" t="s">
        <v>1942</v>
      </c>
      <c r="H79" s="1627"/>
      <c r="I79" s="1628"/>
      <c r="J79" s="1534"/>
      <c r="K79" s="1534"/>
      <c r="L79" s="1588"/>
      <c r="M79" s="1589"/>
      <c r="N79" s="1589"/>
      <c r="O79" s="1590"/>
      <c r="P79" s="1631"/>
      <c r="Q79" s="35"/>
      <c r="R79" s="18"/>
      <c r="S79" s="835">
        <f>E79</f>
        <v>0</v>
      </c>
      <c r="T79" s="834">
        <f>LARGE($S$73:$S$80,7)</f>
        <v>0</v>
      </c>
      <c r="U79" s="684">
        <f t="shared" si="3"/>
        <v>0</v>
      </c>
      <c r="V79" s="835">
        <f t="shared" si="2"/>
        <v>0</v>
      </c>
      <c r="W79" s="18"/>
      <c r="X79" s="1094"/>
      <c r="Y79" s="1094"/>
      <c r="Z79" s="1"/>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row>
    <row r="80" spans="1:142" s="63" customFormat="1" ht="18" customHeight="1" x14ac:dyDescent="0.2">
      <c r="A80" s="35"/>
      <c r="B80" s="1408" t="s">
        <v>1128</v>
      </c>
      <c r="C80" s="1408"/>
      <c r="D80" s="1408"/>
      <c r="E80" s="1630">
        <f>P70</f>
        <v>0</v>
      </c>
      <c r="F80" s="1630"/>
      <c r="G80" s="1941" t="s">
        <v>1942</v>
      </c>
      <c r="H80" s="1902"/>
      <c r="I80" s="1942"/>
      <c r="J80" s="1645"/>
      <c r="K80" s="1645"/>
      <c r="L80" s="1588"/>
      <c r="M80" s="1589"/>
      <c r="N80" s="1589"/>
      <c r="O80" s="1590"/>
      <c r="P80" s="1631"/>
      <c r="Q80" s="35"/>
      <c r="R80" s="18"/>
      <c r="S80" s="835">
        <f>E80</f>
        <v>0</v>
      </c>
      <c r="T80" s="834">
        <f>LARGE($S$73:$S$80,8)</f>
        <v>0</v>
      </c>
      <c r="U80" s="114"/>
      <c r="V80" s="157"/>
      <c r="X80" s="1094"/>
      <c r="Y80" s="1094"/>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row>
    <row r="81" spans="1:142" s="63" customFormat="1" ht="18" customHeight="1" x14ac:dyDescent="0.2">
      <c r="A81" s="35"/>
      <c r="B81" s="1568" t="s">
        <v>1438</v>
      </c>
      <c r="C81" s="1568"/>
      <c r="D81" s="1568"/>
      <c r="E81" s="1568"/>
      <c r="F81" s="1568"/>
      <c r="G81" s="1568"/>
      <c r="H81" s="1568"/>
      <c r="I81" s="1568"/>
      <c r="J81" s="1568"/>
      <c r="K81" s="1568"/>
      <c r="L81" s="1568"/>
      <c r="M81" s="1568"/>
      <c r="N81" s="1568"/>
      <c r="O81" s="1568"/>
      <c r="P81" s="1623"/>
      <c r="Q81" s="35"/>
      <c r="R81" s="18"/>
      <c r="S81" s="19"/>
      <c r="T81" s="114"/>
      <c r="U81" s="157"/>
      <c r="V81" s="18"/>
      <c r="W81" s="1025"/>
      <c r="X81" s="1094"/>
      <c r="Y81" s="1094"/>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row>
    <row r="82" spans="1:142" s="63" customFormat="1" ht="15" customHeight="1" x14ac:dyDescent="0.25">
      <c r="A82" s="35"/>
      <c r="B82" s="1903"/>
      <c r="C82" s="1903"/>
      <c r="D82" s="1903"/>
      <c r="E82" s="1903"/>
      <c r="F82" s="1903"/>
      <c r="G82" s="1903"/>
      <c r="H82" s="1903"/>
      <c r="I82" s="1903"/>
      <c r="J82" s="1903"/>
      <c r="K82" s="1903"/>
      <c r="L82" s="1903"/>
      <c r="M82" s="1903"/>
      <c r="N82" s="1903"/>
      <c r="O82" s="1903"/>
      <c r="P82" s="1903"/>
      <c r="Q82" s="35"/>
      <c r="R82" s="18"/>
      <c r="S82" s="19"/>
      <c r="T82" s="114"/>
      <c r="U82" s="157"/>
      <c r="V82" s="1087"/>
      <c r="W82" s="1087"/>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row>
    <row r="83" spans="1:142" s="63" customFormat="1" x14ac:dyDescent="0.2">
      <c r="A83" s="35"/>
      <c r="B83" s="1772"/>
      <c r="C83" s="1772"/>
      <c r="D83" s="1772"/>
      <c r="E83" s="1772"/>
      <c r="F83" s="1772"/>
      <c r="G83" s="1772"/>
      <c r="H83" s="1772"/>
      <c r="I83" s="1772"/>
      <c r="J83" s="1772"/>
      <c r="K83" s="1772"/>
      <c r="L83" s="1772"/>
      <c r="M83" s="1772"/>
      <c r="N83" s="1772"/>
      <c r="O83" s="1772"/>
      <c r="P83" s="1772"/>
      <c r="Q83" s="35"/>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row>
    <row r="84" spans="1:142" s="63" customFormat="1" ht="18" customHeight="1" x14ac:dyDescent="0.2">
      <c r="A84" s="35"/>
      <c r="B84" s="1860" t="s">
        <v>1439</v>
      </c>
      <c r="C84" s="1959"/>
      <c r="D84" s="1959"/>
      <c r="E84" s="1959"/>
      <c r="F84" s="1959"/>
      <c r="G84" s="1959"/>
      <c r="H84" s="1959"/>
      <c r="I84" s="1959"/>
      <c r="J84" s="1959"/>
      <c r="K84" s="1959"/>
      <c r="L84" s="1959"/>
      <c r="M84" s="1959"/>
      <c r="N84" s="1959"/>
      <c r="O84" s="1959"/>
      <c r="P84" s="1959"/>
      <c r="Q84" s="35"/>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row>
    <row r="85" spans="1:142" s="63" customFormat="1" ht="15" customHeight="1" x14ac:dyDescent="0.2">
      <c r="A85" s="35"/>
      <c r="B85" s="1555" t="s">
        <v>1717</v>
      </c>
      <c r="C85" s="1555"/>
      <c r="D85" s="1555"/>
      <c r="E85" s="1555"/>
      <c r="F85" s="1555"/>
      <c r="G85" s="1555"/>
      <c r="H85" s="1555"/>
      <c r="I85" s="1555"/>
      <c r="J85" s="1555"/>
      <c r="K85" s="1555"/>
      <c r="L85" s="1555"/>
      <c r="M85" s="1555"/>
      <c r="N85" s="1555"/>
      <c r="O85" s="1555"/>
      <c r="P85" s="1555"/>
      <c r="Q85" s="35"/>
      <c r="R85" s="18"/>
      <c r="S85" s="18"/>
      <c r="T85" s="1379" t="s">
        <v>1718</v>
      </c>
      <c r="U85" s="838" t="s">
        <v>1318</v>
      </c>
      <c r="V85" s="838" t="s">
        <v>1075</v>
      </c>
      <c r="W85" s="695" t="s">
        <v>1076</v>
      </c>
      <c r="X85" s="838" t="s">
        <v>1264</v>
      </c>
      <c r="Y85" s="838" t="s">
        <v>1265</v>
      </c>
      <c r="Z85" s="838" t="s">
        <v>1866</v>
      </c>
      <c r="AA85" s="841" t="s">
        <v>1704</v>
      </c>
      <c r="AB85" s="841" t="s">
        <v>99</v>
      </c>
      <c r="AC85" s="841" t="s">
        <v>100</v>
      </c>
      <c r="AD85" s="838" t="s">
        <v>1741</v>
      </c>
      <c r="AE85" s="838" t="s">
        <v>1742</v>
      </c>
      <c r="AF85" s="838" t="s">
        <v>1743</v>
      </c>
      <c r="AG85" s="838" t="s">
        <v>78</v>
      </c>
      <c r="AH85" s="838" t="s">
        <v>79</v>
      </c>
      <c r="AI85" s="838" t="s">
        <v>821</v>
      </c>
      <c r="AJ85" s="838" t="s">
        <v>822</v>
      </c>
      <c r="AK85" s="838" t="s">
        <v>823</v>
      </c>
      <c r="AL85" s="838" t="s">
        <v>824</v>
      </c>
      <c r="AM85" s="838" t="s">
        <v>1134</v>
      </c>
      <c r="AN85" s="838" t="s">
        <v>1544</v>
      </c>
      <c r="AO85" s="838" t="s">
        <v>203</v>
      </c>
      <c r="AP85" s="18"/>
      <c r="AQ85" s="18"/>
      <c r="AR85" s="18"/>
      <c r="AS85" s="18"/>
      <c r="AT85" s="18"/>
      <c r="AU85" s="18"/>
      <c r="AV85" s="18"/>
      <c r="AW85" s="18"/>
      <c r="AX85" s="18"/>
      <c r="AY85" s="18"/>
      <c r="AZ85" s="18"/>
      <c r="BA85" s="18"/>
      <c r="BB85" s="18"/>
      <c r="BC85" s="18"/>
      <c r="BD85" s="18"/>
      <c r="BE85" s="18"/>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row>
    <row r="86" spans="1:142" s="63" customFormat="1" ht="27" customHeight="1" x14ac:dyDescent="0.2">
      <c r="A86" s="35"/>
      <c r="B86" s="1629"/>
      <c r="C86" s="1629"/>
      <c r="D86" s="1629"/>
      <c r="E86" s="1629"/>
      <c r="F86" s="1629"/>
      <c r="G86" s="1629"/>
      <c r="H86" s="1629"/>
      <c r="I86" s="1629"/>
      <c r="J86" s="1629"/>
      <c r="K86" s="1629"/>
      <c r="L86" s="1629"/>
      <c r="M86" s="1629"/>
      <c r="N86" s="1629"/>
      <c r="O86" s="1629"/>
      <c r="P86" s="26">
        <f>SUMIF(U85:AO85,B86,U86:AO86)</f>
        <v>0</v>
      </c>
      <c r="Q86" s="35"/>
      <c r="R86" s="18"/>
      <c r="S86" s="18"/>
      <c r="T86" s="1379"/>
      <c r="U86" s="842">
        <v>0</v>
      </c>
      <c r="V86" s="841">
        <v>0.05</v>
      </c>
      <c r="W86" s="841">
        <v>0.1</v>
      </c>
      <c r="X86" s="841">
        <v>0.15</v>
      </c>
      <c r="Y86" s="841">
        <v>0.2</v>
      </c>
      <c r="Z86" s="841">
        <v>0.25</v>
      </c>
      <c r="AA86" s="841">
        <v>0.3</v>
      </c>
      <c r="AB86" s="841">
        <v>0.35</v>
      </c>
      <c r="AC86" s="841">
        <v>0.4</v>
      </c>
      <c r="AD86" s="841">
        <v>0.45</v>
      </c>
      <c r="AE86" s="841">
        <v>0.5</v>
      </c>
      <c r="AF86" s="841">
        <v>0.55000000000000004</v>
      </c>
      <c r="AG86" s="841">
        <v>0.6</v>
      </c>
      <c r="AH86" s="841">
        <v>0.65</v>
      </c>
      <c r="AI86" s="841">
        <v>0.7</v>
      </c>
      <c r="AJ86" s="841">
        <v>0.75</v>
      </c>
      <c r="AK86" s="841">
        <v>0.8</v>
      </c>
      <c r="AL86" s="841">
        <v>0.85</v>
      </c>
      <c r="AM86" s="841">
        <v>0.9</v>
      </c>
      <c r="AN86" s="841">
        <v>0.95</v>
      </c>
      <c r="AO86" s="841">
        <v>1</v>
      </c>
      <c r="AP86" s="18"/>
      <c r="AQ86" s="18"/>
      <c r="AR86" s="18"/>
      <c r="AS86" s="18"/>
      <c r="AT86" s="18"/>
      <c r="AU86" s="18"/>
      <c r="AV86" s="18"/>
      <c r="AW86" s="18"/>
      <c r="AX86" s="18"/>
      <c r="AY86" s="18"/>
      <c r="AZ86" s="18"/>
      <c r="BA86" s="18"/>
      <c r="BB86" s="18"/>
      <c r="BC86" s="18"/>
      <c r="BD86" s="18"/>
      <c r="BE86" s="18"/>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row>
    <row r="87" spans="1:142" s="63" customFormat="1" ht="12" customHeight="1" x14ac:dyDescent="0.25">
      <c r="A87" s="35"/>
      <c r="B87" s="1924"/>
      <c r="C87" s="1924"/>
      <c r="D87" s="1924"/>
      <c r="E87" s="1924"/>
      <c r="F87" s="1924"/>
      <c r="G87" s="1924"/>
      <c r="H87" s="1924"/>
      <c r="I87" s="1924"/>
      <c r="J87" s="1924"/>
      <c r="K87" s="1924"/>
      <c r="L87" s="1924"/>
      <c r="M87" s="1924"/>
      <c r="N87" s="1924"/>
      <c r="O87" s="1924"/>
      <c r="P87" s="1924"/>
      <c r="Q87" s="35"/>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row>
    <row r="88" spans="1:142" s="63" customFormat="1" ht="15" customHeight="1" x14ac:dyDescent="0.2">
      <c r="A88" s="35"/>
      <c r="B88" s="1549" t="s">
        <v>772</v>
      </c>
      <c r="C88" s="1550"/>
      <c r="D88" s="1550"/>
      <c r="E88" s="1550"/>
      <c r="F88" s="1550"/>
      <c r="G88" s="1550"/>
      <c r="H88" s="1550"/>
      <c r="I88" s="1550"/>
      <c r="J88" s="1550"/>
      <c r="K88" s="1550"/>
      <c r="L88" s="1550"/>
      <c r="M88" s="1550"/>
      <c r="N88" s="1550"/>
      <c r="O88" s="1550"/>
      <c r="P88" s="1645"/>
      <c r="Q88" s="35"/>
      <c r="R88" s="18"/>
      <c r="S88" s="18"/>
      <c r="T88" s="18"/>
      <c r="U88" s="18"/>
      <c r="V88" s="18"/>
      <c r="W88" s="18"/>
      <c r="X88" s="18"/>
      <c r="Y88" s="18"/>
      <c r="Z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row>
    <row r="89" spans="1:142" s="63" customFormat="1" ht="15" customHeight="1" x14ac:dyDescent="0.2">
      <c r="A89" s="35"/>
      <c r="B89" s="345" t="s">
        <v>1546</v>
      </c>
      <c r="C89" s="1962"/>
      <c r="D89" s="1963"/>
      <c r="E89" s="1963"/>
      <c r="F89" s="1963"/>
      <c r="G89" s="1963"/>
      <c r="H89" s="1963"/>
      <c r="I89" s="1963"/>
      <c r="J89" s="1963"/>
      <c r="K89" s="1963"/>
      <c r="L89" s="1956"/>
      <c r="M89" s="1957"/>
      <c r="N89" s="1958"/>
      <c r="O89" s="79">
        <f>IF(C89=T89,0.45,IF(C89=U89,0.3,IF(C89=V89,0.45,0)))</f>
        <v>0</v>
      </c>
      <c r="P89" s="1745"/>
      <c r="Q89" s="35"/>
      <c r="R89" s="1557" t="s">
        <v>2197</v>
      </c>
      <c r="S89" s="844" t="s">
        <v>1942</v>
      </c>
      <c r="T89" s="844" t="s">
        <v>1547</v>
      </c>
      <c r="U89" s="849" t="s">
        <v>1548</v>
      </c>
      <c r="V89" s="844" t="s">
        <v>1549</v>
      </c>
      <c r="W89" s="18"/>
      <c r="X89" s="18"/>
      <c r="Y89" s="18"/>
      <c r="Z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row>
    <row r="90" spans="1:142" s="63" customFormat="1" ht="15" customHeight="1" x14ac:dyDescent="0.2">
      <c r="A90" s="35"/>
      <c r="B90" s="337" t="s">
        <v>190</v>
      </c>
      <c r="C90" s="1944"/>
      <c r="D90" s="1953"/>
      <c r="E90" s="1953"/>
      <c r="F90" s="1953"/>
      <c r="G90" s="1953"/>
      <c r="H90" s="1953"/>
      <c r="I90" s="1953"/>
      <c r="J90" s="1953"/>
      <c r="K90" s="1953"/>
      <c r="L90" s="1646"/>
      <c r="M90" s="1647"/>
      <c r="N90" s="1648"/>
      <c r="O90" s="76">
        <f>IF(C90=T90,0.8,IF(C90=U90,0.45,IF(C90=V90,0.8,0)))</f>
        <v>0</v>
      </c>
      <c r="P90" s="1745"/>
      <c r="Q90" s="35"/>
      <c r="R90" s="1557"/>
      <c r="S90" s="844" t="s">
        <v>1942</v>
      </c>
      <c r="T90" s="844" t="s">
        <v>1547</v>
      </c>
      <c r="U90" s="849" t="s">
        <v>1548</v>
      </c>
      <c r="V90" s="844" t="s">
        <v>1549</v>
      </c>
      <c r="W90" s="18"/>
      <c r="X90" s="18"/>
      <c r="Y90" s="18"/>
      <c r="Z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row>
    <row r="91" spans="1:142" s="63" customFormat="1" ht="12" customHeight="1" x14ac:dyDescent="0.25">
      <c r="A91" s="35"/>
      <c r="B91" s="1961"/>
      <c r="C91" s="1876"/>
      <c r="D91" s="1876"/>
      <c r="E91" s="1876"/>
      <c r="F91" s="1876"/>
      <c r="G91" s="1876"/>
      <c r="H91" s="1876"/>
      <c r="I91" s="1876"/>
      <c r="J91" s="1876"/>
      <c r="K91" s="1876"/>
      <c r="L91" s="1876"/>
      <c r="M91" s="1876"/>
      <c r="N91" s="1876"/>
      <c r="O91" s="1876"/>
      <c r="P91" s="1745"/>
      <c r="Q91" s="35"/>
      <c r="R91" s="18"/>
      <c r="T91" s="698"/>
      <c r="U91" s="698"/>
      <c r="V91" s="18"/>
      <c r="W91" s="18"/>
      <c r="X91" s="18"/>
      <c r="Y91" s="18"/>
      <c r="Z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row>
    <row r="92" spans="1:142" s="63" customFormat="1" ht="39" customHeight="1" x14ac:dyDescent="0.2">
      <c r="A92" s="35"/>
      <c r="B92" s="250"/>
      <c r="C92" s="1555" t="s">
        <v>1596</v>
      </c>
      <c r="D92" s="1555"/>
      <c r="E92" s="1555"/>
      <c r="F92" s="1555"/>
      <c r="G92" s="1811" t="s">
        <v>1081</v>
      </c>
      <c r="H92" s="1811"/>
      <c r="I92" s="1811"/>
      <c r="J92" s="1811"/>
      <c r="K92" s="1811"/>
      <c r="L92" s="1395"/>
      <c r="M92" s="1395"/>
      <c r="N92" s="1395"/>
      <c r="O92" s="1395"/>
      <c r="P92" s="1745"/>
      <c r="Q92" s="35"/>
      <c r="R92" s="698"/>
      <c r="S92" s="698"/>
      <c r="T92" s="1536" t="s">
        <v>1258</v>
      </c>
      <c r="U92" s="1536"/>
      <c r="V92" s="18"/>
      <c r="W92" s="18"/>
      <c r="X92" s="18"/>
      <c r="Y92" s="1531" t="s">
        <v>2263</v>
      </c>
      <c r="Z92" s="1535"/>
      <c r="AA92" s="1532"/>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row>
    <row r="93" spans="1:142" s="63" customFormat="1" ht="15" customHeight="1" x14ac:dyDescent="0.2">
      <c r="A93" s="35"/>
      <c r="B93" s="340" t="s">
        <v>1841</v>
      </c>
      <c r="C93" s="1555" t="s">
        <v>365</v>
      </c>
      <c r="D93" s="1555"/>
      <c r="E93" s="1555" t="s">
        <v>1796</v>
      </c>
      <c r="F93" s="1555"/>
      <c r="G93" s="1555" t="s">
        <v>365</v>
      </c>
      <c r="H93" s="1555"/>
      <c r="I93" s="1555"/>
      <c r="J93" s="1555" t="s">
        <v>1796</v>
      </c>
      <c r="K93" s="1555"/>
      <c r="L93" s="1644"/>
      <c r="M93" s="1644"/>
      <c r="N93" s="1644"/>
      <c r="O93" s="1646"/>
      <c r="P93" s="1745"/>
      <c r="Q93" s="35"/>
      <c r="S93" s="844" t="s">
        <v>1573</v>
      </c>
      <c r="T93" s="47" t="s">
        <v>1596</v>
      </c>
      <c r="U93" s="47" t="s">
        <v>1597</v>
      </c>
      <c r="V93" s="1555" t="s">
        <v>1083</v>
      </c>
      <c r="W93" s="1555"/>
      <c r="X93" s="859"/>
      <c r="Y93" s="1076">
        <f>IF(OR(O89&gt;0,O90&gt;0,E95&gt;0,E97&gt;0),1,0)</f>
        <v>0</v>
      </c>
      <c r="Z93" s="1080">
        <f>IF(AND(OR(O89&gt;0,O90&gt;0),OR(E94&gt;0,E96&gt;0),C99&gt;0),C99*O98,O98)</f>
        <v>0</v>
      </c>
      <c r="AA93" s="1056">
        <f>IF(AND(Y93=0,C99&gt;0),C99*AB98,AB98)</f>
        <v>0</v>
      </c>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row>
    <row r="94" spans="1:142" s="63" customFormat="1" ht="15" customHeight="1" x14ac:dyDescent="0.2">
      <c r="A94" s="35"/>
      <c r="B94" s="358" t="s">
        <v>1335</v>
      </c>
      <c r="C94" s="1944"/>
      <c r="D94" s="1945"/>
      <c r="E94" s="1865">
        <f>LETable!AJ18</f>
        <v>0</v>
      </c>
      <c r="F94" s="1865"/>
      <c r="G94" s="1308"/>
      <c r="H94" s="1308"/>
      <c r="I94" s="1308"/>
      <c r="J94" s="1869">
        <f>IF(C94="",0,IF(OR(C94&lt;=0,G94&lt;=0),E94,IF(G94&lt;C94,0,LETable!AO18)))</f>
        <v>0</v>
      </c>
      <c r="K94" s="1869"/>
      <c r="L94" s="1938" t="str">
        <f>IF(OR(C94="NA",G94="NA"),"",IF(AND(C94&lt;&gt;"",G94=""),"Enter contralateral or NA.",IF(AND(C94="",G94&lt;&gt;""),"Need data","")))</f>
        <v/>
      </c>
      <c r="M94" s="1938"/>
      <c r="N94" s="1938"/>
      <c r="O94" s="1939"/>
      <c r="P94" s="1745"/>
      <c r="Q94" s="35"/>
      <c r="R94" s="1087"/>
      <c r="S94" s="844">
        <v>40</v>
      </c>
      <c r="T94" s="844" t="str">
        <f>IF(OR(C94="",C94="NA"),"",IF(C94&gt;S94,S94,IF(C94&lt;0,0,C94)))</f>
        <v/>
      </c>
      <c r="U94" s="844" t="str">
        <f>IF(OR(G94="",G94="NA"),"",IF(G94&gt;S94,S94,IF(G94&lt;0,0,G94)))</f>
        <v/>
      </c>
      <c r="V94" s="696" t="str">
        <f>IF(W94="","",ROUND(W94,0))</f>
        <v/>
      </c>
      <c r="W94" s="697" t="str">
        <f>IF(T94="","",IF(OR(U94="",U94=0,U94&lt;T94),T94,(T94*S94)/U94))</f>
        <v/>
      </c>
      <c r="X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row>
    <row r="95" spans="1:142" s="63" customFormat="1" ht="15" customHeight="1" x14ac:dyDescent="0.2">
      <c r="A95" s="35"/>
      <c r="B95" s="358" t="s">
        <v>1336</v>
      </c>
      <c r="C95" s="1944"/>
      <c r="D95" s="1945"/>
      <c r="E95" s="1865">
        <f>IF(AND(C95&lt;&gt;"",C95&lt;&gt;"NA",C94&lt;&gt;"NA",C94&lt;&gt;""),"ERROR",IF(AND(C95&lt;&gt;"",C95&lt;&gt;"NA",C96&lt;&gt;"",C96&lt;&gt;"NA"),"ERROR",LETable!AJ19))</f>
        <v>0</v>
      </c>
      <c r="F95" s="1865"/>
      <c r="G95" s="1556" t="str">
        <f>IF(E95="ERROR","Error: Cannot rate ROM and ankylosis.","")</f>
        <v/>
      </c>
      <c r="H95" s="1556"/>
      <c r="I95" s="1556"/>
      <c r="J95" s="1556"/>
      <c r="K95" s="1556"/>
      <c r="L95" s="1556"/>
      <c r="M95" s="1556"/>
      <c r="N95" s="1556"/>
      <c r="O95" s="1704"/>
      <c r="P95" s="1745"/>
      <c r="Q95" s="35"/>
      <c r="R95" s="18"/>
      <c r="S95" s="844">
        <v>40</v>
      </c>
      <c r="T95" s="844" t="str">
        <f>IF(OR(C95="",C95="NA"),"",IF(C95&gt;S95,S95,IF(C95&lt;0,0,C95)))</f>
        <v/>
      </c>
      <c r="U95" s="18"/>
      <c r="V95" s="18"/>
      <c r="W95" s="18"/>
      <c r="X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row>
    <row r="96" spans="1:142" s="63" customFormat="1" ht="15" customHeight="1" x14ac:dyDescent="0.2">
      <c r="A96" s="35"/>
      <c r="B96" s="156" t="s">
        <v>1256</v>
      </c>
      <c r="C96" s="1944"/>
      <c r="D96" s="1945"/>
      <c r="E96" s="1865">
        <f>LETable!AJ20</f>
        <v>0</v>
      </c>
      <c r="F96" s="1865"/>
      <c r="G96" s="1308"/>
      <c r="H96" s="1308"/>
      <c r="I96" s="1308"/>
      <c r="J96" s="1869">
        <f>IF(C96="",0,IF(OR(C96&lt;=0,G96&lt;=0),E96,IF(G96&lt;C96,0,LETable!AO20)))</f>
        <v>0</v>
      </c>
      <c r="K96" s="1869"/>
      <c r="L96" s="1938" t="str">
        <f>IF(OR(C96="NA",G96="NA"),"",IF(AND(C96&lt;&gt;"",G96=""),"Enter contralateral or NA.",IF(AND(C96="",G96&lt;&gt;""),"Need data","")))</f>
        <v/>
      </c>
      <c r="M96" s="1938"/>
      <c r="N96" s="1938"/>
      <c r="O96" s="1939"/>
      <c r="P96" s="1745"/>
      <c r="Q96" s="35"/>
      <c r="R96" s="18"/>
      <c r="S96" s="844">
        <v>30</v>
      </c>
      <c r="T96" s="844" t="str">
        <f>IF(OR(C96="",C96="NA"),"",IF(C96&gt;S96,S96,IF(C96&lt;0,0,C96)))</f>
        <v/>
      </c>
      <c r="U96" s="844" t="str">
        <f>IF(OR(G96="",G96="NA"),"",IF(G96&gt;S96,S96,IF(G96&lt;0,0,G96)))</f>
        <v/>
      </c>
      <c r="V96" s="696" t="str">
        <f>IF(W96="","",ROUND(W96,0))</f>
        <v/>
      </c>
      <c r="W96" s="697" t="str">
        <f>IF(T96="","",IF(OR(U96="",U96=0,U96&lt;T96),T96,(T96*S96)/U96))</f>
        <v/>
      </c>
      <c r="X96" s="18"/>
      <c r="Y96" s="844" t="s">
        <v>2225</v>
      </c>
      <c r="Z96" s="844" t="s">
        <v>1305</v>
      </c>
      <c r="AA96" s="844" t="s">
        <v>1306</v>
      </c>
      <c r="AB96" s="844" t="s">
        <v>1307</v>
      </c>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row>
    <row r="97" spans="1:142" s="63" customFormat="1" ht="15" customHeight="1" x14ac:dyDescent="0.2">
      <c r="A97" s="35"/>
      <c r="B97" s="357" t="s">
        <v>1840</v>
      </c>
      <c r="C97" s="1944"/>
      <c r="D97" s="1945"/>
      <c r="E97" s="1865">
        <f>IF(AND(C97&lt;&gt;"",C97&lt;&gt;"NA",C96&lt;&gt;"NA",C96&lt;&gt;""),"ERROR",IF(AND(C97&lt;&gt;"",C97&lt;&gt;"NA",C94&lt;&gt;"",C94&lt;&gt;"NA"),"ERROR",LETable!AJ21))</f>
        <v>0</v>
      </c>
      <c r="F97" s="1865"/>
      <c r="G97" s="1866" t="str">
        <f>IF(E97="ERROR","Error: Cannot rate ROM and ankylosis.",IF(AND(C95&lt;&gt;"",C95&lt;&gt;"NA",C97&lt;&gt;"",C97&lt;&gt;"NA"),"Multiple ankylosis values; use higher value only.",""))</f>
        <v/>
      </c>
      <c r="H97" s="1867"/>
      <c r="I97" s="1867"/>
      <c r="J97" s="1867"/>
      <c r="K97" s="1867"/>
      <c r="L97" s="1867"/>
      <c r="M97" s="1867"/>
      <c r="N97" s="1867"/>
      <c r="O97" s="1868"/>
      <c r="P97" s="1745"/>
      <c r="Q97" s="35"/>
      <c r="R97" s="18"/>
      <c r="S97" s="844">
        <v>30</v>
      </c>
      <c r="T97" s="844" t="str">
        <f>IF(OR(C97="",C97="NA"),"",IF(C97&gt;S97,S97,IF(C97&lt;0,0,C97)))</f>
        <v/>
      </c>
      <c r="U97" s="18"/>
      <c r="V97" s="18"/>
      <c r="W97" s="18"/>
      <c r="X97" s="18"/>
      <c r="Y97" s="242">
        <f>O89</f>
        <v>0</v>
      </c>
      <c r="Z97" s="854">
        <f>LARGE($Y$97:$Y$99,1)</f>
        <v>0</v>
      </c>
      <c r="AA97" s="684">
        <f>Z97+Z98*(1-Z97)</f>
        <v>0</v>
      </c>
      <c r="AB97" s="851">
        <f>ROUND(AA97,2)</f>
        <v>0</v>
      </c>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row>
    <row r="98" spans="1:142" s="63" customFormat="1" ht="21" customHeight="1" x14ac:dyDescent="0.2">
      <c r="A98" s="35"/>
      <c r="B98" s="1045"/>
      <c r="C98" s="1046"/>
      <c r="D98" s="1046"/>
      <c r="E98" s="1571" t="str">
        <f>IF(AND(OR(O89&gt;0,O90&gt;0,E95&gt;0,E97&gt;0),C99&gt;0),"Note: Ankylosis impairment is not apportioned.","")</f>
        <v/>
      </c>
      <c r="F98" s="1572"/>
      <c r="G98" s="1572"/>
      <c r="H98" s="1572"/>
      <c r="I98" s="1572"/>
      <c r="J98" s="1573"/>
      <c r="K98" s="1740" t="s">
        <v>1842</v>
      </c>
      <c r="L98" s="1741"/>
      <c r="M98" s="1741"/>
      <c r="N98" s="1742"/>
      <c r="O98" s="71">
        <f>IF(OR(E95="ERROR",E97="ERROR"),"ERROR",IF(R98&gt;1,1,R98))</f>
        <v>0</v>
      </c>
      <c r="P98" s="1746"/>
      <c r="Q98" s="35"/>
      <c r="R98" s="1095">
        <f>SUM(J94,J96,W98)</f>
        <v>0</v>
      </c>
      <c r="S98" s="18"/>
      <c r="T98" s="18"/>
      <c r="U98" s="18"/>
      <c r="V98" s="18"/>
      <c r="W98" s="747">
        <f>IF(AND(E95&lt;&gt;"ERROR",E97&lt;&gt;"ERROR",C97&lt;&gt;"",E97&lt;&gt;""),MAX(E95,E97),E95+E97)</f>
        <v>0</v>
      </c>
      <c r="X98" s="18"/>
      <c r="Y98" s="242">
        <f>O90</f>
        <v>0</v>
      </c>
      <c r="Z98" s="854">
        <f>LARGE($Y$97:$Y$99,2)</f>
        <v>0</v>
      </c>
      <c r="AA98" s="684">
        <f>AB97+Z99*(1-AB97)</f>
        <v>0</v>
      </c>
      <c r="AB98" s="851">
        <f>ROUND(AA98,2)</f>
        <v>0</v>
      </c>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row>
    <row r="99" spans="1:142" s="63" customFormat="1" ht="21" customHeight="1" x14ac:dyDescent="0.2">
      <c r="A99" s="35"/>
      <c r="B99" s="1077" t="s">
        <v>2259</v>
      </c>
      <c r="C99" s="1544"/>
      <c r="D99" s="1577"/>
      <c r="E99" s="1574"/>
      <c r="F99" s="1575"/>
      <c r="G99" s="1575"/>
      <c r="H99" s="1575"/>
      <c r="I99" s="1575"/>
      <c r="J99" s="1576"/>
      <c r="K99" s="1740" t="s">
        <v>434</v>
      </c>
      <c r="L99" s="1741"/>
      <c r="M99" s="1741"/>
      <c r="N99" s="1741"/>
      <c r="O99" s="1742"/>
      <c r="P99" s="1115">
        <f>IF(O98="ERROR","ERROR",IF(AND(AA93&gt;0,AA93&lt;0.01),0.01,ROUND(AA93,2)))</f>
        <v>0</v>
      </c>
      <c r="Q99" s="35"/>
      <c r="R99" s="18"/>
      <c r="S99" s="18"/>
      <c r="T99" s="18"/>
      <c r="U99" s="18"/>
      <c r="V99" s="18"/>
      <c r="W99" s="18"/>
      <c r="X99" s="18"/>
      <c r="Y99" s="242">
        <f>IF(AND(Z93&lt;0.01,Z93&gt;0),0.01,ROUND(Z93,2))</f>
        <v>0</v>
      </c>
      <c r="Z99" s="1079">
        <f>LARGE($Y$97:$Y$99,3)</f>
        <v>0</v>
      </c>
      <c r="AA99" s="1078"/>
      <c r="AB99" s="107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row>
    <row r="100" spans="1:142" s="63" customFormat="1" ht="12" customHeight="1" x14ac:dyDescent="0.25">
      <c r="A100" s="35"/>
      <c r="B100" s="1876"/>
      <c r="C100" s="1876"/>
      <c r="D100" s="1876"/>
      <c r="E100" s="1876"/>
      <c r="F100" s="1876"/>
      <c r="G100" s="1876"/>
      <c r="H100" s="1876"/>
      <c r="I100" s="1876"/>
      <c r="J100" s="1876"/>
      <c r="K100" s="1876"/>
      <c r="L100" s="1876"/>
      <c r="M100" s="1876"/>
      <c r="N100" s="1876"/>
      <c r="O100" s="1876"/>
      <c r="P100" s="469"/>
      <c r="Q100" s="35"/>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row>
    <row r="101" spans="1:142" s="63" customFormat="1" ht="18" customHeight="1" x14ac:dyDescent="0.25">
      <c r="A101" s="35"/>
      <c r="B101" s="1549" t="s">
        <v>2002</v>
      </c>
      <c r="C101" s="1550"/>
      <c r="D101" s="1550"/>
      <c r="E101" s="1550"/>
      <c r="F101" s="1550"/>
      <c r="G101" s="1550"/>
      <c r="H101" s="1550"/>
      <c r="I101" s="1550"/>
      <c r="J101" s="1550"/>
      <c r="K101" s="1550"/>
      <c r="L101" s="1550"/>
      <c r="M101" s="1550"/>
      <c r="N101" s="1550"/>
      <c r="O101" s="1550"/>
      <c r="P101" s="470"/>
      <c r="Q101" s="35"/>
      <c r="R101" s="18"/>
      <c r="S101" s="1487" t="s">
        <v>2187</v>
      </c>
      <c r="T101" s="1487"/>
      <c r="U101" s="1487"/>
      <c r="V101" s="18"/>
      <c r="W101" s="18"/>
      <c r="X101" s="18"/>
      <c r="Y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row>
    <row r="102" spans="1:142" s="63" customFormat="1" ht="18" customHeight="1" x14ac:dyDescent="0.25">
      <c r="A102" s="35"/>
      <c r="B102" s="376" t="s">
        <v>2012</v>
      </c>
      <c r="C102" s="1542"/>
      <c r="D102" s="1542"/>
      <c r="E102" s="1542"/>
      <c r="F102" s="1542"/>
      <c r="G102" s="1542"/>
      <c r="H102" s="1542"/>
      <c r="I102" s="1542"/>
      <c r="J102" s="1542"/>
      <c r="K102" s="1542"/>
      <c r="L102" s="1542"/>
      <c r="M102" s="1542"/>
      <c r="N102" s="1542"/>
      <c r="O102" s="80"/>
      <c r="P102" s="839">
        <f>IF($W$239&gt;0,0,R102)</f>
        <v>0</v>
      </c>
      <c r="Q102" s="837"/>
      <c r="R102" s="841">
        <f>IF(C102=S102,0,IF(C102=T102,0.05,IF(C102=U102,0.1,0)))</f>
        <v>0</v>
      </c>
      <c r="S102" s="838" t="s">
        <v>1942</v>
      </c>
      <c r="T102" s="838" t="s">
        <v>1785</v>
      </c>
      <c r="U102" s="838" t="s">
        <v>1786</v>
      </c>
      <c r="V102" s="161"/>
      <c r="W102" s="114"/>
      <c r="X102" s="162"/>
      <c r="Y102" s="1946"/>
      <c r="Z102" s="73"/>
      <c r="AA102" s="73"/>
      <c r="AB102" s="74"/>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row>
    <row r="103" spans="1:142" s="63" customFormat="1" ht="18" customHeight="1" x14ac:dyDescent="0.25">
      <c r="A103" s="35"/>
      <c r="B103" s="376" t="s">
        <v>2013</v>
      </c>
      <c r="C103" s="1542"/>
      <c r="D103" s="1542"/>
      <c r="E103" s="1542"/>
      <c r="F103" s="1542"/>
      <c r="G103" s="1542"/>
      <c r="H103" s="1542"/>
      <c r="I103" s="1542"/>
      <c r="J103" s="1542"/>
      <c r="K103" s="1542"/>
      <c r="L103" s="1542"/>
      <c r="M103" s="1542"/>
      <c r="N103" s="1542"/>
      <c r="O103" s="81"/>
      <c r="P103" s="839">
        <f>IF($W$239&gt;0,0,R103)</f>
        <v>0</v>
      </c>
      <c r="Q103" s="837"/>
      <c r="R103" s="841">
        <f>IF(C103=S103,0,IF(C103=T103,0.05,IF(C103=U103,0.1,0)))</f>
        <v>0</v>
      </c>
      <c r="S103" s="838" t="s">
        <v>1942</v>
      </c>
      <c r="T103" s="838" t="s">
        <v>1997</v>
      </c>
      <c r="U103" s="838" t="s">
        <v>1998</v>
      </c>
      <c r="V103" s="161"/>
      <c r="W103" s="114"/>
      <c r="X103" s="162"/>
      <c r="Y103" s="1946"/>
      <c r="Z103" s="73"/>
      <c r="AA103" s="73"/>
      <c r="AB103" s="74"/>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row>
    <row r="104" spans="1:142" s="63" customFormat="1" ht="27" customHeight="1" x14ac:dyDescent="0.2">
      <c r="A104" s="35"/>
      <c r="B104" s="1883" t="str">
        <f>IF(AND(OR(R102&gt;0,R103&gt;0),$W$239&gt;0),"A value has been given for loss of sensation or hypersensitivity in the foot. No additional value is allowed for the toes.","")</f>
        <v/>
      </c>
      <c r="C104" s="1883"/>
      <c r="D104" s="1883"/>
      <c r="E104" s="1883"/>
      <c r="F104" s="1883"/>
      <c r="G104" s="1883"/>
      <c r="H104" s="1883"/>
      <c r="I104" s="1883"/>
      <c r="J104" s="1883"/>
      <c r="K104" s="1883"/>
      <c r="L104" s="1883"/>
      <c r="M104" s="1883"/>
      <c r="N104" s="1883"/>
      <c r="O104" s="1883"/>
      <c r="P104" s="659"/>
      <c r="Q104" s="35"/>
      <c r="R104" s="18"/>
      <c r="S104" s="19"/>
      <c r="T104" s="19"/>
      <c r="U104" s="19"/>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row>
    <row r="105" spans="1:142" s="63" customFormat="1" ht="12" customHeight="1" x14ac:dyDescent="0.25">
      <c r="A105" s="35"/>
      <c r="B105" s="1602"/>
      <c r="C105" s="1395"/>
      <c r="D105" s="1395"/>
      <c r="E105" s="1395"/>
      <c r="F105" s="1395"/>
      <c r="G105" s="1395"/>
      <c r="H105" s="1395"/>
      <c r="I105" s="1395"/>
      <c r="J105" s="1395"/>
      <c r="K105" s="1395"/>
      <c r="L105" s="1395"/>
      <c r="M105" s="1395"/>
      <c r="N105" s="1395"/>
      <c r="O105" s="1395"/>
      <c r="P105" s="75"/>
      <c r="Q105" s="35"/>
      <c r="R105" s="18"/>
      <c r="S105" s="18"/>
      <c r="Y105" s="60"/>
      <c r="Z105" s="1569"/>
      <c r="AA105" s="1569"/>
      <c r="AB105" s="1569"/>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row>
    <row r="106" spans="1:142" s="63" customFormat="1" ht="15" customHeight="1" x14ac:dyDescent="0.2">
      <c r="A106" s="8"/>
      <c r="B106" s="1379" t="s">
        <v>2016</v>
      </c>
      <c r="C106" s="1379"/>
      <c r="D106" s="1379"/>
      <c r="E106" s="1379"/>
      <c r="F106" s="1379"/>
      <c r="G106" s="1379"/>
      <c r="H106" s="1379"/>
      <c r="I106" s="1379"/>
      <c r="J106" s="1379"/>
      <c r="K106" s="1379"/>
      <c r="L106" s="1379"/>
      <c r="M106" s="1379"/>
      <c r="N106" s="1308"/>
      <c r="O106" s="1308"/>
      <c r="P106" s="853">
        <f>IF(N106=T106,0.03,IF(N106=U106,0.15,IF(N106=V106,0.38,IF(N106=W106,0.68,IF(N106=X106,0.9,0)))))</f>
        <v>0</v>
      </c>
      <c r="Q106" s="35"/>
      <c r="R106" s="1487" t="s">
        <v>2197</v>
      </c>
      <c r="S106" s="1487"/>
      <c r="T106" s="844" t="s">
        <v>1969</v>
      </c>
      <c r="U106" s="844" t="s">
        <v>1970</v>
      </c>
      <c r="V106" s="854" t="s">
        <v>1972</v>
      </c>
      <c r="W106" s="844" t="s">
        <v>945</v>
      </c>
      <c r="X106" s="854" t="s">
        <v>558</v>
      </c>
      <c r="Y106" s="60"/>
      <c r="Z106" s="1569"/>
      <c r="AA106" s="1569"/>
      <c r="AB106" s="1569"/>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row>
    <row r="107" spans="1:142" s="63" customFormat="1" ht="12" customHeight="1" x14ac:dyDescent="0.25">
      <c r="A107" s="35"/>
      <c r="B107" s="657"/>
      <c r="C107" s="657"/>
      <c r="D107" s="657"/>
      <c r="E107" s="657"/>
      <c r="F107" s="657"/>
      <c r="G107" s="657"/>
      <c r="H107" s="657"/>
      <c r="I107" s="657"/>
      <c r="J107" s="657"/>
      <c r="K107" s="657"/>
      <c r="L107" s="657"/>
      <c r="M107" s="657"/>
      <c r="N107" s="657"/>
      <c r="O107" s="657"/>
      <c r="P107" s="75"/>
      <c r="Q107" s="35"/>
      <c r="R107" s="18"/>
      <c r="S107" s="19"/>
      <c r="T107" s="19"/>
      <c r="U107" s="19"/>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row>
    <row r="108" spans="1:142" s="63" customFormat="1" ht="18" customHeight="1" x14ac:dyDescent="0.2">
      <c r="A108" s="189"/>
      <c r="B108" s="316" t="s">
        <v>1709</v>
      </c>
      <c r="C108" s="1878"/>
      <c r="D108" s="1878"/>
      <c r="E108" s="1362" t="s">
        <v>1710</v>
      </c>
      <c r="F108" s="1363"/>
      <c r="G108" s="1363"/>
      <c r="H108" s="1363"/>
      <c r="I108" s="1363"/>
      <c r="J108" s="1363"/>
      <c r="K108" s="1363"/>
      <c r="L108" s="1363"/>
      <c r="M108" s="1363"/>
      <c r="N108" s="1363"/>
      <c r="O108" s="1363"/>
      <c r="P108" s="303">
        <f>IF(T108=1,0.15,0)</f>
        <v>0</v>
      </c>
      <c r="Q108" s="35"/>
      <c r="R108" s="18"/>
      <c r="S108" s="706" t="b">
        <v>0</v>
      </c>
      <c r="T108" s="844">
        <f>IF(S108=TRUE,1,0)</f>
        <v>0</v>
      </c>
      <c r="U108" s="18"/>
      <c r="V108" s="18"/>
      <c r="W108" s="18">
        <v>1E-4</v>
      </c>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row>
    <row r="109" spans="1:142" s="63" customFormat="1" ht="18" customHeight="1" x14ac:dyDescent="0.2">
      <c r="A109" s="35"/>
      <c r="B109" s="316" t="s">
        <v>1711</v>
      </c>
      <c r="C109" s="1878"/>
      <c r="D109" s="1878"/>
      <c r="E109" s="1362" t="s">
        <v>1712</v>
      </c>
      <c r="F109" s="1363"/>
      <c r="G109" s="1363"/>
      <c r="H109" s="1363"/>
      <c r="I109" s="1363"/>
      <c r="J109" s="1363"/>
      <c r="K109" s="1363"/>
      <c r="L109" s="1363"/>
      <c r="M109" s="1363"/>
      <c r="N109" s="1363"/>
      <c r="O109" s="1363"/>
      <c r="P109" s="303">
        <f>IF(T109=1,0.25,0)</f>
        <v>0</v>
      </c>
      <c r="Q109" s="35"/>
      <c r="R109" s="18"/>
      <c r="S109" s="706" t="b">
        <v>0</v>
      </c>
      <c r="T109" s="844">
        <f>IF(S109=TRUE,1,0)</f>
        <v>0</v>
      </c>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row>
    <row r="110" spans="1:142" s="63" customFormat="1" ht="18" customHeight="1" x14ac:dyDescent="0.2">
      <c r="A110" s="35"/>
      <c r="B110" s="471" t="s">
        <v>626</v>
      </c>
      <c r="C110" s="1925"/>
      <c r="D110" s="1925"/>
      <c r="E110" s="1546" t="s">
        <v>627</v>
      </c>
      <c r="F110" s="1547"/>
      <c r="G110" s="1547"/>
      <c r="H110" s="1547"/>
      <c r="I110" s="1547"/>
      <c r="J110" s="1547"/>
      <c r="K110" s="1547"/>
      <c r="L110" s="1547"/>
      <c r="M110" s="1547"/>
      <c r="N110" s="1547"/>
      <c r="O110" s="1547"/>
      <c r="P110" s="338">
        <f>IF(T110=1,0.25,0)</f>
        <v>0</v>
      </c>
      <c r="Q110" s="35"/>
      <c r="R110" s="18"/>
      <c r="S110" s="706" t="b">
        <v>0</v>
      </c>
      <c r="T110" s="844">
        <f>IF(S110=TRUE,1,0)</f>
        <v>0</v>
      </c>
      <c r="U110" s="18"/>
      <c r="V110" s="18"/>
      <c r="W110" s="18"/>
      <c r="X110" s="1094"/>
      <c r="Y110" s="1094"/>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row>
    <row r="111" spans="1:142" s="63" customFormat="1" ht="15" customHeight="1" x14ac:dyDescent="0.35">
      <c r="A111" s="35"/>
      <c r="B111" s="1877"/>
      <c r="C111" s="1877"/>
      <c r="D111" s="1877"/>
      <c r="E111" s="1877"/>
      <c r="F111" s="1877"/>
      <c r="G111" s="1877"/>
      <c r="H111" s="1877"/>
      <c r="I111" s="1877"/>
      <c r="J111" s="1877"/>
      <c r="K111" s="1877"/>
      <c r="L111" s="1877"/>
      <c r="M111" s="1877"/>
      <c r="N111" s="1877"/>
      <c r="O111" s="1877"/>
      <c r="P111" s="35"/>
      <c r="Q111" s="35"/>
      <c r="R111" s="18"/>
      <c r="S111" s="249"/>
      <c r="T111" s="18"/>
      <c r="U111" s="18"/>
      <c r="V111" s="18"/>
      <c r="X111" s="1094"/>
      <c r="Y111" s="1094"/>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row>
    <row r="112" spans="1:142" s="63" customFormat="1" ht="27" customHeight="1" x14ac:dyDescent="0.2">
      <c r="A112" s="35"/>
      <c r="B112" s="1632" t="s">
        <v>440</v>
      </c>
      <c r="C112" s="1633"/>
      <c r="D112" s="1633"/>
      <c r="E112" s="1633"/>
      <c r="F112" s="1633"/>
      <c r="G112" s="1687" t="s">
        <v>1525</v>
      </c>
      <c r="H112" s="1534"/>
      <c r="I112" s="1534"/>
      <c r="J112" s="1534"/>
      <c r="K112" s="1534"/>
      <c r="L112" s="1880"/>
      <c r="M112" s="1881"/>
      <c r="N112" s="1881"/>
      <c r="O112" s="1882"/>
      <c r="P112" s="1481">
        <f>IF(J121&gt;0,J121,V119)</f>
        <v>0</v>
      </c>
      <c r="Q112" s="35"/>
      <c r="R112" s="18"/>
      <c r="S112" s="844" t="s">
        <v>1865</v>
      </c>
      <c r="T112" s="844" t="s">
        <v>1305</v>
      </c>
      <c r="U112" s="844" t="s">
        <v>1306</v>
      </c>
      <c r="V112" s="844" t="s">
        <v>1307</v>
      </c>
      <c r="X112" s="1094"/>
      <c r="Y112" s="1094"/>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row>
    <row r="113" spans="1:142" s="63" customFormat="1" ht="18" customHeight="1" x14ac:dyDescent="0.2">
      <c r="A113" s="35"/>
      <c r="B113" s="1394" t="s">
        <v>628</v>
      </c>
      <c r="C113" s="1394"/>
      <c r="D113" s="1394"/>
      <c r="E113" s="1623">
        <f>P86</f>
        <v>0</v>
      </c>
      <c r="F113" s="1486"/>
      <c r="G113" s="1534" t="s">
        <v>1942</v>
      </c>
      <c r="H113" s="1534"/>
      <c r="I113" s="1534"/>
      <c r="J113" s="1879"/>
      <c r="K113" s="1879"/>
      <c r="L113" s="1880"/>
      <c r="M113" s="1881"/>
      <c r="N113" s="1881"/>
      <c r="O113" s="1882"/>
      <c r="P113" s="1631"/>
      <c r="Q113" s="35"/>
      <c r="R113" s="18"/>
      <c r="S113" s="851">
        <f>E113</f>
        <v>0</v>
      </c>
      <c r="T113" s="854">
        <f>LARGE($S$113:$S$120,1)</f>
        <v>0</v>
      </c>
      <c r="U113" s="684">
        <f>T113+T114*(1-T113)</f>
        <v>0</v>
      </c>
      <c r="V113" s="851">
        <f t="shared" ref="V113:V119" si="5">ROUND(U113,2)</f>
        <v>0</v>
      </c>
      <c r="X113" s="1094"/>
      <c r="Y113" s="1094"/>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row>
    <row r="114" spans="1:142" s="63" customFormat="1" ht="18" customHeight="1" x14ac:dyDescent="0.2">
      <c r="A114" s="35"/>
      <c r="B114" s="1410" t="s">
        <v>1959</v>
      </c>
      <c r="C114" s="1410"/>
      <c r="D114" s="1410"/>
      <c r="E114" s="1373">
        <f>IF(P427&gt;0,0,P99)</f>
        <v>0</v>
      </c>
      <c r="F114" s="1346"/>
      <c r="G114" s="1833" t="s">
        <v>2260</v>
      </c>
      <c r="H114" s="1834"/>
      <c r="I114" s="1835"/>
      <c r="J114" s="1534"/>
      <c r="K114" s="1534"/>
      <c r="L114" s="1766"/>
      <c r="M114" s="1767"/>
      <c r="N114" s="1767"/>
      <c r="O114" s="1768"/>
      <c r="P114" s="1631"/>
      <c r="Q114" s="35"/>
      <c r="R114" s="18"/>
      <c r="S114" s="854">
        <f>IF(J114&gt;0,J114,E114)</f>
        <v>0</v>
      </c>
      <c r="T114" s="854">
        <f>LARGE($S$113:$S$120,2)</f>
        <v>0</v>
      </c>
      <c r="U114" s="684">
        <f t="shared" ref="U114:U119" si="6">V113+T115*(1-V113)</f>
        <v>0</v>
      </c>
      <c r="V114" s="851">
        <f t="shared" si="5"/>
        <v>0</v>
      </c>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row>
    <row r="115" spans="1:142" s="63" customFormat="1" ht="18" customHeight="1" x14ac:dyDescent="0.2">
      <c r="A115" s="35"/>
      <c r="B115" s="1410" t="s">
        <v>2017</v>
      </c>
      <c r="C115" s="1410"/>
      <c r="D115" s="1410"/>
      <c r="E115" s="1373">
        <f>P102</f>
        <v>0</v>
      </c>
      <c r="F115" s="1346"/>
      <c r="G115" s="1658"/>
      <c r="H115" s="1658"/>
      <c r="I115" s="1658"/>
      <c r="J115" s="1847">
        <f>IF(AND(W115&lt;0.01,W115&gt;0),0.01,ROUND(W115,2))</f>
        <v>0</v>
      </c>
      <c r="K115" s="1847"/>
      <c r="L115" s="1030"/>
      <c r="M115" s="1031"/>
      <c r="N115" s="1031"/>
      <c r="O115" s="1032"/>
      <c r="P115" s="1631"/>
      <c r="Q115" s="35"/>
      <c r="R115" s="18"/>
      <c r="S115" s="854">
        <f>IF(J115&gt;0,J115,E115)</f>
        <v>0</v>
      </c>
      <c r="T115" s="854">
        <f>LARGE($S$113:$S$120,3)</f>
        <v>0</v>
      </c>
      <c r="U115" s="684">
        <f t="shared" si="6"/>
        <v>0</v>
      </c>
      <c r="V115" s="851">
        <f t="shared" si="5"/>
        <v>0</v>
      </c>
      <c r="W115" s="846">
        <f>G115*E115</f>
        <v>0</v>
      </c>
      <c r="X115" s="498"/>
      <c r="Y115" s="1094"/>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row>
    <row r="116" spans="1:142" s="63" customFormat="1" ht="18" customHeight="1" x14ac:dyDescent="0.2">
      <c r="A116" s="35"/>
      <c r="B116" s="1362" t="s">
        <v>1227</v>
      </c>
      <c r="C116" s="1363"/>
      <c r="D116" s="1364"/>
      <c r="E116" s="1373">
        <f>P103</f>
        <v>0</v>
      </c>
      <c r="F116" s="1346"/>
      <c r="G116" s="1658"/>
      <c r="H116" s="1658"/>
      <c r="I116" s="1658"/>
      <c r="J116" s="1847">
        <f>IF(AND(W116&lt;0.01,W116&gt;0),0.01,ROUND(W116,2))</f>
        <v>0</v>
      </c>
      <c r="K116" s="1847"/>
      <c r="L116" s="1030"/>
      <c r="M116" s="1031"/>
      <c r="N116" s="1031"/>
      <c r="O116" s="1032"/>
      <c r="P116" s="1631"/>
      <c r="Q116" s="35"/>
      <c r="R116" s="18"/>
      <c r="S116" s="854">
        <f>IF(J116&gt;0,J116,E116)</f>
        <v>0</v>
      </c>
      <c r="T116" s="854">
        <f>LARGE($S$113:$S$120,4)</f>
        <v>0</v>
      </c>
      <c r="U116" s="684">
        <f t="shared" si="6"/>
        <v>0</v>
      </c>
      <c r="V116" s="851">
        <f t="shared" si="5"/>
        <v>0</v>
      </c>
      <c r="W116" s="1082">
        <f t="shared" ref="W116:W117" si="7">G116*E116</f>
        <v>0</v>
      </c>
      <c r="X116" s="498"/>
      <c r="Y116" s="1094"/>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row>
    <row r="117" spans="1:142" s="63" customFormat="1" ht="18" customHeight="1" x14ac:dyDescent="0.2">
      <c r="A117" s="35"/>
      <c r="B117" s="1362" t="s">
        <v>1447</v>
      </c>
      <c r="C117" s="1363"/>
      <c r="D117" s="1364"/>
      <c r="E117" s="1342">
        <f>P106</f>
        <v>0</v>
      </c>
      <c r="F117" s="1344"/>
      <c r="G117" s="1658"/>
      <c r="H117" s="1658"/>
      <c r="I117" s="1658"/>
      <c r="J117" s="1847">
        <f>IF(AND(W117&lt;0.01,W117&gt;0),0.01,ROUND(W117,2))</f>
        <v>0</v>
      </c>
      <c r="K117" s="1847"/>
      <c r="L117" s="1588" t="str">
        <f>IF(AND(P99&gt;0,$P$427&gt;0),"The worker has motor loss impairment. No additional impairment value is allowed for reduced range of motion in the same extremity.","")</f>
        <v/>
      </c>
      <c r="M117" s="1589"/>
      <c r="N117" s="1589"/>
      <c r="O117" s="1590"/>
      <c r="P117" s="1631"/>
      <c r="Q117" s="35"/>
      <c r="R117" s="18"/>
      <c r="S117" s="854">
        <f>IF(J117&gt;0,J117,E117)</f>
        <v>0</v>
      </c>
      <c r="T117" s="854">
        <f>LARGE($S$113:$S$120,5)</f>
        <v>0</v>
      </c>
      <c r="U117" s="684">
        <f t="shared" si="6"/>
        <v>0</v>
      </c>
      <c r="V117" s="851">
        <f t="shared" si="5"/>
        <v>0</v>
      </c>
      <c r="W117" s="1082">
        <f t="shared" si="7"/>
        <v>0</v>
      </c>
      <c r="X117" s="498"/>
      <c r="Y117" s="1094"/>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row>
    <row r="118" spans="1:142" s="63" customFormat="1" ht="18" customHeight="1" x14ac:dyDescent="0.2">
      <c r="A118" s="35"/>
      <c r="B118" s="1410" t="s">
        <v>1713</v>
      </c>
      <c r="C118" s="1410"/>
      <c r="D118" s="1410"/>
      <c r="E118" s="1373">
        <f>P108</f>
        <v>0</v>
      </c>
      <c r="F118" s="1346"/>
      <c r="G118" s="1534" t="s">
        <v>1942</v>
      </c>
      <c r="H118" s="1534"/>
      <c r="I118" s="1534"/>
      <c r="J118" s="1534"/>
      <c r="K118" s="1534"/>
      <c r="L118" s="1588"/>
      <c r="M118" s="1589"/>
      <c r="N118" s="1589"/>
      <c r="O118" s="1590"/>
      <c r="P118" s="1631"/>
      <c r="Q118" s="35"/>
      <c r="R118" s="18"/>
      <c r="S118" s="851">
        <f>E118</f>
        <v>0</v>
      </c>
      <c r="T118" s="854">
        <f>LARGE($S$113:$S$120,6)</f>
        <v>0</v>
      </c>
      <c r="U118" s="684">
        <f t="shared" si="6"/>
        <v>0</v>
      </c>
      <c r="V118" s="851">
        <f t="shared" si="5"/>
        <v>0</v>
      </c>
      <c r="W118" s="18"/>
      <c r="X118" s="1094"/>
      <c r="Y118" s="1094"/>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row>
    <row r="119" spans="1:142" s="63" customFormat="1" ht="18" customHeight="1" x14ac:dyDescent="0.2">
      <c r="A119" s="35"/>
      <c r="B119" s="1362" t="s">
        <v>1714</v>
      </c>
      <c r="C119" s="1363"/>
      <c r="D119" s="1364"/>
      <c r="E119" s="1342">
        <f>P109</f>
        <v>0</v>
      </c>
      <c r="F119" s="1344"/>
      <c r="G119" s="1534" t="s">
        <v>1942</v>
      </c>
      <c r="H119" s="1534"/>
      <c r="I119" s="1534"/>
      <c r="J119" s="1534"/>
      <c r="K119" s="1534"/>
      <c r="L119" s="1588"/>
      <c r="M119" s="1589"/>
      <c r="N119" s="1589"/>
      <c r="O119" s="1590"/>
      <c r="P119" s="1631"/>
      <c r="Q119" s="35"/>
      <c r="R119" s="18"/>
      <c r="S119" s="851">
        <f>E119</f>
        <v>0</v>
      </c>
      <c r="T119" s="854">
        <f>LARGE($S$113:$S$120,7)</f>
        <v>0</v>
      </c>
      <c r="U119" s="684">
        <f t="shared" si="6"/>
        <v>0</v>
      </c>
      <c r="V119" s="851">
        <f t="shared" si="5"/>
        <v>0</v>
      </c>
      <c r="W119" s="18"/>
      <c r="X119" s="1094"/>
      <c r="Y119" s="1094"/>
      <c r="Z119" s="1"/>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row>
    <row r="120" spans="1:142" s="63" customFormat="1" ht="18" customHeight="1" x14ac:dyDescent="0.2">
      <c r="A120" s="35"/>
      <c r="B120" s="1408" t="s">
        <v>1128</v>
      </c>
      <c r="C120" s="1408"/>
      <c r="D120" s="1408"/>
      <c r="E120" s="1630">
        <f>P110</f>
        <v>0</v>
      </c>
      <c r="F120" s="1630"/>
      <c r="G120" s="1645" t="s">
        <v>1942</v>
      </c>
      <c r="H120" s="1645"/>
      <c r="I120" s="1645"/>
      <c r="J120" s="1645"/>
      <c r="K120" s="1645"/>
      <c r="L120" s="1588"/>
      <c r="M120" s="1589"/>
      <c r="N120" s="1589"/>
      <c r="O120" s="1590"/>
      <c r="P120" s="1631"/>
      <c r="Q120" s="35"/>
      <c r="R120" s="18"/>
      <c r="S120" s="851">
        <f>E120</f>
        <v>0</v>
      </c>
      <c r="T120" s="854">
        <f>LARGE($S$113:$S$120,8)</f>
        <v>0</v>
      </c>
      <c r="U120" s="114"/>
      <c r="V120" s="157"/>
      <c r="X120" s="1094"/>
      <c r="Y120" s="1094"/>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row>
    <row r="121" spans="1:142" s="63" customFormat="1" ht="18" customHeight="1" x14ac:dyDescent="0.2">
      <c r="A121" s="35"/>
      <c r="B121" s="1568" t="s">
        <v>439</v>
      </c>
      <c r="C121" s="1568"/>
      <c r="D121" s="1568"/>
      <c r="E121" s="1568"/>
      <c r="F121" s="1568"/>
      <c r="G121" s="1568"/>
      <c r="H121" s="1568"/>
      <c r="I121" s="1568"/>
      <c r="J121" s="1568"/>
      <c r="K121" s="1568"/>
      <c r="L121" s="1568"/>
      <c r="M121" s="1568"/>
      <c r="N121" s="1568"/>
      <c r="O121" s="1568"/>
      <c r="P121" s="1623"/>
      <c r="Q121" s="35"/>
      <c r="R121" s="18"/>
      <c r="S121" s="19"/>
      <c r="T121" s="114"/>
      <c r="U121" s="157"/>
      <c r="V121" s="18"/>
      <c r="W121" s="1087"/>
      <c r="X121" s="1094"/>
      <c r="Y121" s="1094"/>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4"/>
      <c r="BB121" s="14"/>
      <c r="BC121" s="14"/>
      <c r="BD121" s="14"/>
      <c r="BE121" s="14"/>
      <c r="BF121" s="14"/>
      <c r="BG121" s="14"/>
      <c r="BH121" s="14"/>
      <c r="BI121" s="14"/>
      <c r="BJ121" s="14"/>
      <c r="BK121" s="14"/>
      <c r="BL121" s="14"/>
      <c r="BM121" s="14"/>
      <c r="BN121" s="14"/>
      <c r="BO121" s="14"/>
      <c r="BP121" s="14"/>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row>
    <row r="122" spans="1:142" s="63" customFormat="1" ht="11.25" customHeight="1" x14ac:dyDescent="0.2">
      <c r="A122" s="35"/>
      <c r="B122" s="1772"/>
      <c r="C122" s="1772"/>
      <c r="D122" s="1772"/>
      <c r="E122" s="1772"/>
      <c r="F122" s="1772"/>
      <c r="G122" s="1772"/>
      <c r="H122" s="1772"/>
      <c r="I122" s="1772"/>
      <c r="J122" s="1772"/>
      <c r="K122" s="1772"/>
      <c r="L122" s="1772"/>
      <c r="M122" s="1772"/>
      <c r="N122" s="1772"/>
      <c r="O122" s="1772"/>
      <c r="P122" s="1772"/>
      <c r="Q122" s="35"/>
      <c r="R122" s="18"/>
      <c r="S122" s="18"/>
      <c r="T122" s="18"/>
      <c r="U122" s="18"/>
      <c r="V122" s="1087"/>
      <c r="W122" s="1087"/>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4"/>
      <c r="BB122" s="14"/>
      <c r="BC122" s="14"/>
      <c r="BD122" s="14"/>
      <c r="BE122" s="14"/>
      <c r="BF122" s="14"/>
      <c r="BG122" s="14"/>
      <c r="BH122" s="14"/>
      <c r="BI122" s="14"/>
      <c r="BJ122" s="14"/>
      <c r="BK122" s="14"/>
      <c r="BL122" s="14"/>
      <c r="BM122" s="14"/>
      <c r="BN122" s="14"/>
      <c r="BO122" s="14"/>
      <c r="BP122" s="14"/>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row>
    <row r="123" spans="1:142" s="63" customFormat="1" x14ac:dyDescent="0.2">
      <c r="A123" s="35"/>
      <c r="B123" s="1772"/>
      <c r="C123" s="1772"/>
      <c r="D123" s="1772"/>
      <c r="E123" s="1772"/>
      <c r="F123" s="1772"/>
      <c r="G123" s="1772"/>
      <c r="H123" s="1772"/>
      <c r="I123" s="1772"/>
      <c r="J123" s="1772"/>
      <c r="K123" s="1772"/>
      <c r="L123" s="1772"/>
      <c r="M123" s="1772"/>
      <c r="N123" s="1772"/>
      <c r="O123" s="1772"/>
      <c r="P123" s="1772"/>
      <c r="Q123" s="35"/>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4"/>
      <c r="BB123" s="14"/>
      <c r="BC123" s="14"/>
      <c r="BD123" s="14"/>
      <c r="BE123" s="14"/>
      <c r="BF123" s="14"/>
      <c r="BG123" s="14"/>
      <c r="BH123" s="14"/>
      <c r="BI123" s="14"/>
      <c r="BJ123" s="14"/>
      <c r="BK123" s="14"/>
      <c r="BL123" s="14"/>
      <c r="BM123" s="14"/>
      <c r="BN123" s="14"/>
      <c r="BO123" s="14"/>
      <c r="BP123" s="14"/>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row>
    <row r="124" spans="1:142" s="63" customFormat="1" ht="18" customHeight="1" x14ac:dyDescent="0.2">
      <c r="A124" s="35"/>
      <c r="B124" s="1860" t="s">
        <v>1268</v>
      </c>
      <c r="C124" s="1959"/>
      <c r="D124" s="1959"/>
      <c r="E124" s="1959"/>
      <c r="F124" s="1959"/>
      <c r="G124" s="1959"/>
      <c r="H124" s="1959"/>
      <c r="I124" s="1959"/>
      <c r="J124" s="1959"/>
      <c r="K124" s="1959"/>
      <c r="L124" s="1959"/>
      <c r="M124" s="1959"/>
      <c r="N124" s="1959"/>
      <c r="O124" s="1959"/>
      <c r="P124" s="1959"/>
      <c r="Q124" s="35"/>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4"/>
      <c r="BB124" s="14"/>
      <c r="BC124" s="14"/>
      <c r="BD124" s="14"/>
      <c r="BE124" s="14"/>
      <c r="BF124" s="14"/>
      <c r="BG124" s="14"/>
      <c r="BH124" s="14"/>
      <c r="BI124" s="14"/>
      <c r="BJ124" s="14"/>
      <c r="BK124" s="14"/>
      <c r="BL124" s="14"/>
      <c r="BM124" s="14"/>
      <c r="BN124" s="14"/>
      <c r="BO124" s="14"/>
      <c r="BP124" s="14"/>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row>
    <row r="125" spans="1:142" s="63" customFormat="1" ht="15" customHeight="1" x14ac:dyDescent="0.2">
      <c r="A125" s="35"/>
      <c r="B125" s="1555" t="s">
        <v>579</v>
      </c>
      <c r="C125" s="1555"/>
      <c r="D125" s="1555"/>
      <c r="E125" s="1555"/>
      <c r="F125" s="1555"/>
      <c r="G125" s="1555"/>
      <c r="H125" s="1555"/>
      <c r="I125" s="1555"/>
      <c r="J125" s="1555"/>
      <c r="K125" s="1555"/>
      <c r="L125" s="1555"/>
      <c r="M125" s="1555"/>
      <c r="N125" s="1555"/>
      <c r="O125" s="1555"/>
      <c r="P125" s="1555"/>
      <c r="Q125" s="35"/>
      <c r="R125" s="18"/>
      <c r="S125" s="18"/>
      <c r="T125" s="1379" t="s">
        <v>580</v>
      </c>
      <c r="U125" s="844" t="s">
        <v>1318</v>
      </c>
      <c r="V125" s="844" t="s">
        <v>1075</v>
      </c>
      <c r="W125" s="695" t="s">
        <v>1076</v>
      </c>
      <c r="X125" s="844" t="s">
        <v>1264</v>
      </c>
      <c r="Y125" s="844" t="s">
        <v>1265</v>
      </c>
      <c r="Z125" s="844" t="s">
        <v>1866</v>
      </c>
      <c r="AA125" s="854" t="s">
        <v>1704</v>
      </c>
      <c r="AB125" s="854" t="s">
        <v>99</v>
      </c>
      <c r="AC125" s="854" t="s">
        <v>100</v>
      </c>
      <c r="AD125" s="844" t="s">
        <v>1741</v>
      </c>
      <c r="AE125" s="844" t="s">
        <v>1742</v>
      </c>
      <c r="AF125" s="844" t="s">
        <v>1743</v>
      </c>
      <c r="AG125" s="844" t="s">
        <v>78</v>
      </c>
      <c r="AH125" s="844" t="s">
        <v>79</v>
      </c>
      <c r="AI125" s="844" t="s">
        <v>821</v>
      </c>
      <c r="AJ125" s="844" t="s">
        <v>822</v>
      </c>
      <c r="AK125" s="844" t="s">
        <v>823</v>
      </c>
      <c r="AL125" s="844" t="s">
        <v>824</v>
      </c>
      <c r="AM125" s="844" t="s">
        <v>1134</v>
      </c>
      <c r="AN125" s="844" t="s">
        <v>1544</v>
      </c>
      <c r="AO125" s="844" t="s">
        <v>203</v>
      </c>
      <c r="AP125" s="18"/>
      <c r="AQ125" s="18"/>
      <c r="AR125" s="18"/>
      <c r="AS125" s="18"/>
      <c r="AT125" s="18"/>
      <c r="AU125" s="18"/>
      <c r="AV125" s="18"/>
      <c r="AW125" s="18"/>
      <c r="AX125" s="18"/>
      <c r="AY125" s="18"/>
      <c r="AZ125" s="18"/>
      <c r="BA125" s="18"/>
      <c r="BB125" s="18"/>
      <c r="BC125" s="18"/>
      <c r="BD125" s="18"/>
      <c r="BE125" s="18"/>
      <c r="BF125" s="14"/>
      <c r="BG125" s="14"/>
      <c r="BH125" s="14"/>
      <c r="BI125" s="14"/>
      <c r="BJ125" s="14"/>
      <c r="BK125" s="14"/>
      <c r="BL125" s="14"/>
      <c r="BM125" s="14"/>
      <c r="BN125" s="14"/>
      <c r="BO125" s="14"/>
      <c r="BP125" s="14"/>
      <c r="BQ125" s="14"/>
      <c r="BR125" s="14"/>
      <c r="BS125" s="14"/>
      <c r="BT125" s="14"/>
      <c r="BU125" s="14"/>
      <c r="BV125" s="14"/>
      <c r="BW125" s="14"/>
      <c r="BX125" s="14"/>
      <c r="BY125" s="14"/>
      <c r="BZ125" s="14"/>
      <c r="CA125" s="14"/>
      <c r="CB125" s="14"/>
      <c r="CC125" s="14"/>
      <c r="CD125" s="14"/>
      <c r="CE125" s="14"/>
      <c r="CF125" s="14"/>
      <c r="CG125" s="14"/>
      <c r="CH125" s="14"/>
      <c r="CI125" s="14"/>
      <c r="CJ125" s="14"/>
      <c r="CK125" s="14"/>
      <c r="CL125" s="14"/>
      <c r="CM125" s="14"/>
      <c r="CN125" s="14"/>
      <c r="CO125" s="14"/>
      <c r="CP125" s="14"/>
      <c r="CQ125" s="14"/>
      <c r="CR125" s="14"/>
      <c r="CS125" s="14"/>
      <c r="CT125" s="14"/>
      <c r="CU125" s="14"/>
      <c r="CV125" s="14"/>
      <c r="CW125" s="14"/>
      <c r="CX125" s="14"/>
      <c r="CY125" s="14"/>
      <c r="CZ125" s="14"/>
      <c r="DA125" s="14"/>
      <c r="DB125" s="14"/>
      <c r="DC125" s="14"/>
      <c r="DD125" s="14"/>
      <c r="DE125" s="14"/>
      <c r="DF125" s="14"/>
      <c r="DG125" s="14"/>
      <c r="DH125" s="14"/>
      <c r="DI125" s="14"/>
      <c r="DJ125" s="14"/>
      <c r="DK125" s="14"/>
      <c r="DL125" s="14"/>
      <c r="DM125" s="14"/>
      <c r="DN125" s="14"/>
      <c r="DO125" s="14"/>
      <c r="DP125" s="14"/>
      <c r="DQ125" s="14"/>
      <c r="DR125" s="14"/>
      <c r="DS125" s="14"/>
      <c r="DT125" s="14"/>
      <c r="DU125" s="14"/>
      <c r="DV125" s="14"/>
      <c r="DW125" s="14"/>
      <c r="DX125" s="14"/>
      <c r="DY125" s="14"/>
      <c r="DZ125" s="14"/>
      <c r="EA125" s="14"/>
      <c r="EB125" s="14"/>
      <c r="EC125" s="14"/>
      <c r="ED125" s="14"/>
      <c r="EE125" s="14"/>
      <c r="EF125" s="14"/>
      <c r="EG125" s="14"/>
      <c r="EH125" s="14"/>
      <c r="EI125" s="14"/>
      <c r="EJ125" s="14"/>
      <c r="EK125" s="14"/>
      <c r="EL125" s="14"/>
    </row>
    <row r="126" spans="1:142" s="63" customFormat="1" ht="27.75" customHeight="1" x14ac:dyDescent="0.2">
      <c r="A126" s="35"/>
      <c r="B126" s="1629"/>
      <c r="C126" s="1629"/>
      <c r="D126" s="1629"/>
      <c r="E126" s="1629"/>
      <c r="F126" s="1629"/>
      <c r="G126" s="1629"/>
      <c r="H126" s="1629"/>
      <c r="I126" s="1629"/>
      <c r="J126" s="1629"/>
      <c r="K126" s="1629"/>
      <c r="L126" s="1629"/>
      <c r="M126" s="1629"/>
      <c r="N126" s="1629"/>
      <c r="O126" s="1629"/>
      <c r="P126" s="26">
        <f>SUMIF(U125:AO125,B126,U126:AO126)</f>
        <v>0</v>
      </c>
      <c r="Q126" s="35"/>
      <c r="R126" s="18"/>
      <c r="S126" s="18"/>
      <c r="T126" s="1379"/>
      <c r="U126" s="851">
        <v>0</v>
      </c>
      <c r="V126" s="854">
        <v>0.05</v>
      </c>
      <c r="W126" s="854">
        <v>0.1</v>
      </c>
      <c r="X126" s="854">
        <v>0.15</v>
      </c>
      <c r="Y126" s="854">
        <v>0.2</v>
      </c>
      <c r="Z126" s="854">
        <v>0.25</v>
      </c>
      <c r="AA126" s="854">
        <v>0.3</v>
      </c>
      <c r="AB126" s="854">
        <v>0.35</v>
      </c>
      <c r="AC126" s="854">
        <v>0.4</v>
      </c>
      <c r="AD126" s="854">
        <v>0.45</v>
      </c>
      <c r="AE126" s="854">
        <v>0.5</v>
      </c>
      <c r="AF126" s="854">
        <v>0.55000000000000004</v>
      </c>
      <c r="AG126" s="854">
        <v>0.6</v>
      </c>
      <c r="AH126" s="854">
        <v>0.65</v>
      </c>
      <c r="AI126" s="854">
        <v>0.7</v>
      </c>
      <c r="AJ126" s="854">
        <v>0.75</v>
      </c>
      <c r="AK126" s="854">
        <v>0.8</v>
      </c>
      <c r="AL126" s="854">
        <v>0.85</v>
      </c>
      <c r="AM126" s="854">
        <v>0.9</v>
      </c>
      <c r="AN126" s="854">
        <v>0.95</v>
      </c>
      <c r="AO126" s="854">
        <v>1</v>
      </c>
      <c r="AP126" s="18"/>
      <c r="AQ126" s="18"/>
      <c r="AR126" s="18"/>
      <c r="AS126" s="18"/>
      <c r="AT126" s="18"/>
      <c r="AU126" s="18"/>
      <c r="AV126" s="18"/>
      <c r="AW126" s="18"/>
      <c r="AX126" s="18"/>
      <c r="AY126" s="18"/>
      <c r="AZ126" s="18"/>
      <c r="BA126" s="18"/>
      <c r="BB126" s="18"/>
      <c r="BC126" s="18"/>
      <c r="BD126" s="18"/>
      <c r="BE126" s="18"/>
      <c r="BF126" s="14"/>
      <c r="BG126" s="14"/>
      <c r="BH126" s="14"/>
      <c r="BI126" s="14"/>
      <c r="BJ126" s="14"/>
      <c r="BK126" s="14"/>
      <c r="BL126" s="14"/>
      <c r="BM126" s="14"/>
      <c r="BN126" s="14"/>
      <c r="BO126" s="14"/>
      <c r="BP126" s="14"/>
      <c r="BQ126" s="14"/>
      <c r="BR126" s="14"/>
      <c r="BS126" s="14"/>
      <c r="BT126" s="14"/>
      <c r="BU126" s="14"/>
      <c r="BV126" s="14"/>
      <c r="BW126" s="14"/>
      <c r="BX126" s="14"/>
      <c r="BY126" s="14"/>
      <c r="BZ126" s="14"/>
      <c r="CA126" s="14"/>
      <c r="CB126" s="14"/>
      <c r="CC126" s="14"/>
      <c r="CD126" s="14"/>
      <c r="CE126" s="14"/>
      <c r="CF126" s="14"/>
      <c r="CG126" s="14"/>
      <c r="CH126" s="14"/>
      <c r="CI126" s="14"/>
      <c r="CJ126" s="14"/>
      <c r="CK126" s="14"/>
      <c r="CL126" s="14"/>
      <c r="CM126" s="14"/>
      <c r="CN126" s="14"/>
      <c r="CO126" s="14"/>
      <c r="CP126" s="14"/>
      <c r="CQ126" s="14"/>
      <c r="CR126" s="14"/>
      <c r="CS126" s="14"/>
      <c r="CT126" s="14"/>
      <c r="CU126" s="14"/>
      <c r="CV126" s="14"/>
      <c r="CW126" s="14"/>
      <c r="CX126" s="14"/>
      <c r="CY126" s="14"/>
      <c r="CZ126" s="14"/>
      <c r="DA126" s="14"/>
      <c r="DB126" s="14"/>
      <c r="DC126" s="14"/>
      <c r="DD126" s="14"/>
      <c r="DE126" s="14"/>
      <c r="DF126" s="14"/>
      <c r="DG126" s="14"/>
      <c r="DH126" s="14"/>
      <c r="DI126" s="14"/>
      <c r="DJ126" s="14"/>
      <c r="DK126" s="14"/>
      <c r="DL126" s="14"/>
      <c r="DM126" s="14"/>
      <c r="DN126" s="14"/>
      <c r="DO126" s="14"/>
      <c r="DP126" s="14"/>
      <c r="DQ126" s="14"/>
      <c r="DR126" s="14"/>
      <c r="DS126" s="14"/>
      <c r="DT126" s="14"/>
      <c r="DU126" s="14"/>
      <c r="DV126" s="14"/>
      <c r="DW126" s="14"/>
      <c r="DX126" s="14"/>
      <c r="DY126" s="14"/>
      <c r="DZ126" s="14"/>
      <c r="EA126" s="14"/>
      <c r="EB126" s="14"/>
      <c r="EC126" s="14"/>
      <c r="ED126" s="14"/>
      <c r="EE126" s="14"/>
      <c r="EF126" s="14"/>
      <c r="EG126" s="14"/>
      <c r="EH126" s="14"/>
      <c r="EI126" s="14"/>
      <c r="EJ126" s="14"/>
      <c r="EK126" s="14"/>
      <c r="EL126" s="14"/>
    </row>
    <row r="127" spans="1:142" s="63" customFormat="1" ht="12" customHeight="1" x14ac:dyDescent="0.25">
      <c r="A127" s="35"/>
      <c r="B127" s="1924"/>
      <c r="C127" s="1924"/>
      <c r="D127" s="1924"/>
      <c r="E127" s="1924"/>
      <c r="F127" s="1924"/>
      <c r="G127" s="1924"/>
      <c r="H127" s="1924"/>
      <c r="I127" s="1924"/>
      <c r="J127" s="1924"/>
      <c r="K127" s="1924"/>
      <c r="L127" s="1924"/>
      <c r="M127" s="1924"/>
      <c r="N127" s="1924"/>
      <c r="O127" s="1924"/>
      <c r="P127" s="1924"/>
      <c r="Q127" s="35"/>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4"/>
      <c r="BG127" s="14"/>
      <c r="BH127" s="14"/>
      <c r="BI127" s="14"/>
      <c r="BJ127" s="14"/>
      <c r="BK127" s="14"/>
      <c r="BL127" s="14"/>
      <c r="BM127" s="14"/>
      <c r="BN127" s="14"/>
      <c r="BO127" s="14"/>
      <c r="BP127" s="14"/>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row>
    <row r="128" spans="1:142" s="63" customFormat="1" ht="18" customHeight="1" x14ac:dyDescent="0.2">
      <c r="A128" s="35"/>
      <c r="B128" s="1549" t="s">
        <v>869</v>
      </c>
      <c r="C128" s="1550"/>
      <c r="D128" s="1550"/>
      <c r="E128" s="1550"/>
      <c r="F128" s="1550"/>
      <c r="G128" s="1550"/>
      <c r="H128" s="1550"/>
      <c r="I128" s="1550"/>
      <c r="J128" s="1550"/>
      <c r="K128" s="1550"/>
      <c r="L128" s="1550"/>
      <c r="M128" s="1550"/>
      <c r="N128" s="1550"/>
      <c r="O128" s="1550"/>
      <c r="P128" s="1645"/>
      <c r="Q128" s="35"/>
      <c r="R128" s="18"/>
      <c r="S128" s="18"/>
      <c r="T128" s="18"/>
      <c r="U128" s="18"/>
      <c r="V128" s="18"/>
      <c r="W128" s="18"/>
      <c r="X128" s="18"/>
      <c r="Y128" s="18"/>
      <c r="Z128" s="18"/>
      <c r="AA128" s="1569" t="s">
        <v>1084</v>
      </c>
      <c r="AB128" s="1569"/>
      <c r="AC128" s="1569"/>
      <c r="AD128" s="1569"/>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4"/>
      <c r="BB128" s="14"/>
      <c r="BC128" s="14"/>
      <c r="BD128" s="14"/>
      <c r="BE128" s="14"/>
      <c r="BF128" s="14"/>
      <c r="BG128" s="14"/>
      <c r="BH128" s="14"/>
      <c r="BI128" s="14"/>
      <c r="BJ128" s="14"/>
      <c r="BK128" s="14"/>
      <c r="BL128" s="14"/>
      <c r="BM128" s="14"/>
      <c r="BN128" s="14"/>
      <c r="BO128" s="14"/>
      <c r="BP128" s="14"/>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row>
    <row r="129" spans="1:142" s="63" customFormat="1" ht="15" customHeight="1" x14ac:dyDescent="0.2">
      <c r="A129" s="35"/>
      <c r="B129" s="345" t="s">
        <v>1546</v>
      </c>
      <c r="C129" s="1962"/>
      <c r="D129" s="1963"/>
      <c r="E129" s="1963"/>
      <c r="F129" s="1963"/>
      <c r="G129" s="1963"/>
      <c r="H129" s="1963"/>
      <c r="I129" s="1963"/>
      <c r="J129" s="1963"/>
      <c r="K129" s="1963"/>
      <c r="L129" s="1956"/>
      <c r="M129" s="1957"/>
      <c r="N129" s="1958"/>
      <c r="O129" s="79">
        <f>IF(C129=T129,0.45,IF(C129=U129,0.3,IF(C129=V129,0.45,0)))</f>
        <v>0</v>
      </c>
      <c r="P129" s="1745"/>
      <c r="Q129" s="35"/>
      <c r="R129" s="1557" t="s">
        <v>2197</v>
      </c>
      <c r="S129" s="844" t="s">
        <v>1942</v>
      </c>
      <c r="T129" s="844" t="s">
        <v>1547</v>
      </c>
      <c r="U129" s="849" t="s">
        <v>1548</v>
      </c>
      <c r="V129" s="844" t="s">
        <v>1549</v>
      </c>
      <c r="W129" s="18"/>
      <c r="X129" s="18"/>
      <c r="Y129" s="18"/>
      <c r="Z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4"/>
      <c r="BB129" s="14"/>
      <c r="BC129" s="14"/>
      <c r="BD129" s="14"/>
      <c r="BE129" s="14"/>
      <c r="BF129" s="14"/>
      <c r="BG129" s="14"/>
      <c r="BH129" s="14"/>
      <c r="BI129" s="14"/>
      <c r="BJ129" s="14"/>
      <c r="BK129" s="14"/>
      <c r="BL129" s="14"/>
      <c r="BM129" s="14"/>
      <c r="BN129" s="14"/>
      <c r="BO129" s="14"/>
      <c r="BP129" s="14"/>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row>
    <row r="130" spans="1:142" s="63" customFormat="1" ht="15" customHeight="1" x14ac:dyDescent="0.2">
      <c r="A130" s="35"/>
      <c r="B130" s="337" t="s">
        <v>1706</v>
      </c>
      <c r="C130" s="1944"/>
      <c r="D130" s="1953"/>
      <c r="E130" s="1953"/>
      <c r="F130" s="1953"/>
      <c r="G130" s="1953"/>
      <c r="H130" s="1953"/>
      <c r="I130" s="1953"/>
      <c r="J130" s="1953"/>
      <c r="K130" s="1953"/>
      <c r="L130" s="1646"/>
      <c r="M130" s="1647"/>
      <c r="N130" s="1648"/>
      <c r="O130" s="76">
        <f>IF(C130=T130,0.8,IF(C130=U130,0.45,IF(C130=V130,0.8,0)))</f>
        <v>0</v>
      </c>
      <c r="P130" s="1745"/>
      <c r="Q130" s="35"/>
      <c r="R130" s="1557"/>
      <c r="S130" s="844" t="s">
        <v>1942</v>
      </c>
      <c r="T130" s="844" t="s">
        <v>1547</v>
      </c>
      <c r="U130" s="849" t="s">
        <v>1548</v>
      </c>
      <c r="V130" s="844" t="s">
        <v>1549</v>
      </c>
      <c r="W130" s="18"/>
      <c r="X130" s="18"/>
      <c r="Y130" s="18"/>
      <c r="Z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4"/>
      <c r="BB130" s="14"/>
      <c r="BC130" s="14"/>
      <c r="BD130" s="14"/>
      <c r="BE130" s="14"/>
      <c r="BF130" s="14"/>
      <c r="BG130" s="14"/>
      <c r="BH130" s="14"/>
      <c r="BI130" s="14"/>
      <c r="BJ130" s="14"/>
      <c r="BK130" s="14"/>
      <c r="BL130" s="14"/>
      <c r="BM130" s="14"/>
      <c r="BN130" s="14"/>
      <c r="BO130" s="14"/>
      <c r="BP130" s="14"/>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row>
    <row r="131" spans="1:142" s="63" customFormat="1" ht="12" customHeight="1" x14ac:dyDescent="0.25">
      <c r="A131" s="35"/>
      <c r="B131" s="1961"/>
      <c r="C131" s="1876"/>
      <c r="D131" s="1876"/>
      <c r="E131" s="1876"/>
      <c r="F131" s="1876"/>
      <c r="G131" s="1876"/>
      <c r="H131" s="1876"/>
      <c r="I131" s="1876"/>
      <c r="J131" s="1876"/>
      <c r="K131" s="1876"/>
      <c r="L131" s="1876"/>
      <c r="M131" s="1876"/>
      <c r="N131" s="1876"/>
      <c r="O131" s="1876"/>
      <c r="P131" s="1745"/>
      <c r="Q131" s="35"/>
      <c r="R131" s="18"/>
      <c r="S131" s="698"/>
      <c r="T131" s="698"/>
      <c r="U131" s="698"/>
      <c r="V131" s="18"/>
      <c r="W131" s="18"/>
      <c r="X131" s="18"/>
      <c r="Y131" s="18"/>
      <c r="Z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4"/>
      <c r="BB131" s="14"/>
      <c r="BC131" s="14"/>
      <c r="BD131" s="14"/>
      <c r="BE131" s="14"/>
      <c r="BF131" s="14"/>
      <c r="BG131" s="14"/>
      <c r="BH131" s="14"/>
      <c r="BI131" s="14"/>
      <c r="BJ131" s="14"/>
      <c r="BK131" s="14"/>
      <c r="BL131" s="14"/>
      <c r="BM131" s="14"/>
      <c r="BN131" s="14"/>
      <c r="BO131" s="14"/>
      <c r="BP131" s="14"/>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row>
    <row r="132" spans="1:142" s="63" customFormat="1" ht="27" customHeight="1" x14ac:dyDescent="0.25">
      <c r="A132" s="35"/>
      <c r="B132" s="359"/>
      <c r="C132" s="1555" t="s">
        <v>1596</v>
      </c>
      <c r="D132" s="1555"/>
      <c r="E132" s="1555"/>
      <c r="F132" s="1555"/>
      <c r="G132" s="1536" t="s">
        <v>1081</v>
      </c>
      <c r="H132" s="1536"/>
      <c r="I132" s="1536"/>
      <c r="J132" s="1536"/>
      <c r="K132" s="1536"/>
      <c r="L132" s="1395"/>
      <c r="M132" s="1395"/>
      <c r="N132" s="1395"/>
      <c r="O132" s="1395"/>
      <c r="P132" s="1745"/>
      <c r="Q132" s="35"/>
      <c r="R132" s="1087"/>
      <c r="S132" s="859"/>
      <c r="T132" s="1536" t="s">
        <v>1258</v>
      </c>
      <c r="U132" s="1536"/>
      <c r="V132" s="18"/>
      <c r="W132" s="18"/>
      <c r="X132" s="18"/>
      <c r="Y132" s="1531" t="s">
        <v>2263</v>
      </c>
      <c r="Z132" s="1535"/>
      <c r="AA132" s="1532"/>
      <c r="AB132" s="1087"/>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4"/>
      <c r="BB132" s="14"/>
      <c r="BC132" s="14"/>
      <c r="BD132" s="14"/>
      <c r="BE132" s="14"/>
      <c r="BF132" s="14"/>
      <c r="BG132" s="14"/>
      <c r="BH132" s="14"/>
      <c r="BI132" s="14"/>
      <c r="BJ132" s="14"/>
      <c r="BK132" s="14"/>
      <c r="BL132" s="14"/>
      <c r="BM132" s="14"/>
      <c r="BN132" s="14"/>
      <c r="BO132" s="14"/>
      <c r="BP132" s="14"/>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row>
    <row r="133" spans="1:142" s="63" customFormat="1" ht="15" customHeight="1" x14ac:dyDescent="0.2">
      <c r="A133" s="35"/>
      <c r="B133" s="358" t="s">
        <v>1841</v>
      </c>
      <c r="C133" s="1555" t="s">
        <v>365</v>
      </c>
      <c r="D133" s="1964"/>
      <c r="E133" s="1555" t="s">
        <v>1796</v>
      </c>
      <c r="F133" s="1555"/>
      <c r="G133" s="1555" t="s">
        <v>365</v>
      </c>
      <c r="H133" s="1555"/>
      <c r="I133" s="1555"/>
      <c r="J133" s="1555" t="s">
        <v>1796</v>
      </c>
      <c r="K133" s="1555"/>
      <c r="L133" s="1644"/>
      <c r="M133" s="1644"/>
      <c r="N133" s="1644"/>
      <c r="O133" s="1644"/>
      <c r="P133" s="1745"/>
      <c r="Q133" s="35"/>
      <c r="S133" s="844" t="s">
        <v>1573</v>
      </c>
      <c r="T133" s="849" t="s">
        <v>1596</v>
      </c>
      <c r="U133" s="849" t="s">
        <v>1597</v>
      </c>
      <c r="V133" s="1555" t="s">
        <v>1083</v>
      </c>
      <c r="W133" s="1555"/>
      <c r="X133" s="859"/>
      <c r="Y133" s="1089">
        <f>IF(OR(O129&gt;0,O130&gt;0,E135&gt;0,E137&gt;0),1,0)</f>
        <v>0</v>
      </c>
      <c r="Z133" s="1080">
        <f>IF(AND(OR(O129&gt;0,O130&gt;0),OR(E134&gt;0,E136&gt;0),C139&gt;0),C139*O138,O138)</f>
        <v>0</v>
      </c>
      <c r="AA133" s="1056">
        <f>IF(AND(Y133=0,C139&gt;0),C139*AB138,AB138)</f>
        <v>0</v>
      </c>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4"/>
      <c r="BB133" s="14"/>
      <c r="BC133" s="14"/>
      <c r="BD133" s="14"/>
      <c r="BE133" s="14"/>
      <c r="BF133" s="14"/>
      <c r="BG133" s="14"/>
      <c r="BH133" s="14"/>
      <c r="BI133" s="14"/>
      <c r="BJ133" s="14"/>
      <c r="BK133" s="14"/>
      <c r="BL133" s="14"/>
      <c r="BM133" s="14"/>
      <c r="BN133" s="14"/>
      <c r="BO133" s="14"/>
      <c r="BP133" s="14"/>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row>
    <row r="134" spans="1:142" s="63" customFormat="1" ht="15" customHeight="1" x14ac:dyDescent="0.2">
      <c r="A134" s="35"/>
      <c r="B134" s="358" t="s">
        <v>1335</v>
      </c>
      <c r="C134" s="1944"/>
      <c r="D134" s="1945"/>
      <c r="E134" s="1865">
        <f>LETable!AJ24</f>
        <v>0</v>
      </c>
      <c r="F134" s="1865"/>
      <c r="G134" s="1308"/>
      <c r="H134" s="1308"/>
      <c r="I134" s="1308"/>
      <c r="J134" s="1869">
        <f>IF(C134="",0,IF(OR(C134&lt;=0,G134&lt;=0),E134,IF(G134&lt;C134,0,LETable!AO24)))</f>
        <v>0</v>
      </c>
      <c r="K134" s="1869"/>
      <c r="L134" s="1938" t="str">
        <f>IF(OR(C134="NA",G134="NA"),"",IF(AND(C134&lt;&gt;"",G134=""),"Enter contralateral or NA.",IF(AND(C134="",G134&lt;&gt;""),"Need data","")))</f>
        <v/>
      </c>
      <c r="M134" s="1938"/>
      <c r="N134" s="1938"/>
      <c r="O134" s="1939"/>
      <c r="P134" s="1745"/>
      <c r="Q134" s="35"/>
      <c r="R134" s="1087"/>
      <c r="S134" s="822">
        <v>40</v>
      </c>
      <c r="T134" s="822" t="str">
        <f>IF(OR(C134="",C134="NA"),"",IF(C134&gt;S134,S134,IF(C134&lt;0,0,C134)))</f>
        <v/>
      </c>
      <c r="U134" s="823" t="str">
        <f>IF(OR(G134="",G134="NA"),"",IF(G134&gt;S134,S134,IF(G134&lt;0,0,G134)))</f>
        <v/>
      </c>
      <c r="V134" s="696" t="str">
        <f>IF(W134="","",ROUND(W134,0))</f>
        <v/>
      </c>
      <c r="W134" s="697" t="str">
        <f>IF(T134="","",IF(OR(U134="",U134=0,U134&lt;T134),T134,(T134*S134)/U134))</f>
        <v/>
      </c>
      <c r="X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4"/>
      <c r="BB134" s="14"/>
      <c r="BC134" s="14"/>
      <c r="BD134" s="14"/>
      <c r="BE134" s="14"/>
      <c r="BF134" s="14"/>
      <c r="BG134" s="14"/>
      <c r="BH134" s="14"/>
      <c r="BI134" s="14"/>
      <c r="BJ134" s="14"/>
      <c r="BK134" s="14"/>
      <c r="BL134" s="14"/>
      <c r="BM134" s="14"/>
      <c r="BN134" s="14"/>
      <c r="BO134" s="14"/>
      <c r="BP134" s="14"/>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row>
    <row r="135" spans="1:142" s="63" customFormat="1" ht="15" customHeight="1" x14ac:dyDescent="0.2">
      <c r="A135" s="35"/>
      <c r="B135" s="358" t="s">
        <v>1336</v>
      </c>
      <c r="C135" s="1944"/>
      <c r="D135" s="1945"/>
      <c r="E135" s="1865">
        <f>IF(AND(C135&lt;&gt;"",C135&lt;&gt;"NA",C134&lt;&gt;"NA",C134&lt;&gt;""),"ERROR",IF(AND(C135&lt;&gt;"",C135&lt;&gt;"NA",C136&lt;&gt;"",C136&lt;&gt;"NA"),"ERROR",LETable!AJ25))</f>
        <v>0</v>
      </c>
      <c r="F135" s="1865"/>
      <c r="G135" s="1556" t="str">
        <f>IF(E135="ERROR","Error: Cannot rate ROM and ankylosis.","")</f>
        <v/>
      </c>
      <c r="H135" s="1556"/>
      <c r="I135" s="1556"/>
      <c r="J135" s="1556"/>
      <c r="K135" s="1556"/>
      <c r="L135" s="1556"/>
      <c r="M135" s="1556"/>
      <c r="N135" s="1556"/>
      <c r="O135" s="1704"/>
      <c r="P135" s="1745"/>
      <c r="Q135" s="35"/>
      <c r="R135" s="18"/>
      <c r="S135" s="822">
        <v>40</v>
      </c>
      <c r="T135" s="822" t="str">
        <f>IF(OR(C135="",C135="NA"),"",IF(C135&gt;S135,S135,IF(C135&lt;0,0,C135)))</f>
        <v/>
      </c>
      <c r="U135" s="18"/>
      <c r="V135" s="18"/>
      <c r="W135" s="18"/>
      <c r="X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4"/>
      <c r="BB135" s="14"/>
      <c r="BC135" s="14"/>
      <c r="BD135" s="14"/>
      <c r="BE135" s="14"/>
      <c r="BF135" s="14"/>
      <c r="BG135" s="14"/>
      <c r="BH135" s="14"/>
      <c r="BI135" s="14"/>
      <c r="BJ135" s="14"/>
      <c r="BK135" s="14"/>
      <c r="BL135" s="14"/>
      <c r="BM135" s="14"/>
      <c r="BN135" s="14"/>
      <c r="BO135" s="14"/>
      <c r="BP135" s="14"/>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row>
    <row r="136" spans="1:142" s="63" customFormat="1" ht="15" customHeight="1" x14ac:dyDescent="0.2">
      <c r="A136" s="35"/>
      <c r="B136" s="156" t="s">
        <v>1256</v>
      </c>
      <c r="C136" s="1944"/>
      <c r="D136" s="1945"/>
      <c r="E136" s="1865">
        <f>LETable!AJ26</f>
        <v>0</v>
      </c>
      <c r="F136" s="1865"/>
      <c r="G136" s="1308"/>
      <c r="H136" s="1308"/>
      <c r="I136" s="1308"/>
      <c r="J136" s="1869">
        <f>IF(C136="",0,IF(OR(C136&lt;=0,G136&lt;=0),E136,IF(G136&lt;C136,0,LETable!AO26)))</f>
        <v>0</v>
      </c>
      <c r="K136" s="1869"/>
      <c r="L136" s="1938" t="str">
        <f>IF(OR(C136="NA",G136="NA"),"",IF(AND(C136&lt;&gt;"",G136=""),"Enter contralateral or NA.",IF(AND(C136="",G136&lt;&gt;""),"Need data","")))</f>
        <v/>
      </c>
      <c r="M136" s="1938"/>
      <c r="N136" s="1938"/>
      <c r="O136" s="1939"/>
      <c r="P136" s="1745"/>
      <c r="Q136" s="35"/>
      <c r="R136" s="18"/>
      <c r="S136" s="822">
        <v>30</v>
      </c>
      <c r="T136" s="822" t="str">
        <f>IF(OR(C136="",C136="NA"),"",IF(C136&gt;S136,S136,IF(C136&lt;0,0,C136)))</f>
        <v/>
      </c>
      <c r="U136" s="823" t="str">
        <f>IF(OR(G136="",G136="NA"),"",IF(G136&gt;S136,S136,IF(G136&lt;0,0,G136)))</f>
        <v/>
      </c>
      <c r="V136" s="696" t="str">
        <f>IF(W136="","",ROUND(W136,0))</f>
        <v/>
      </c>
      <c r="W136" s="697" t="str">
        <f>IF(T136="","",IF(OR(U136="",U136=0,U136&lt;T136),T136,(T136*S136)/U136))</f>
        <v/>
      </c>
      <c r="X136" s="18"/>
      <c r="Y136" s="1081" t="s">
        <v>2225</v>
      </c>
      <c r="Z136" s="1081" t="s">
        <v>1305</v>
      </c>
      <c r="AA136" s="1081" t="s">
        <v>1306</v>
      </c>
      <c r="AB136" s="1081" t="s">
        <v>1307</v>
      </c>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4"/>
      <c r="BB136" s="14"/>
      <c r="BC136" s="14"/>
      <c r="BD136" s="14"/>
      <c r="BE136" s="14"/>
      <c r="BF136" s="14"/>
      <c r="BG136" s="14"/>
      <c r="BH136" s="14"/>
      <c r="BI136" s="14"/>
      <c r="BJ136" s="14"/>
      <c r="BK136" s="14"/>
      <c r="BL136" s="14"/>
      <c r="BM136" s="14"/>
      <c r="BN136" s="14"/>
      <c r="BO136" s="14"/>
      <c r="BP136" s="14"/>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row>
    <row r="137" spans="1:142" s="63" customFormat="1" ht="15" customHeight="1" x14ac:dyDescent="0.2">
      <c r="A137" s="35"/>
      <c r="B137" s="357" t="s">
        <v>1840</v>
      </c>
      <c r="C137" s="1944"/>
      <c r="D137" s="1960"/>
      <c r="E137" s="1865">
        <f>IF(AND(C137&lt;&gt;"",C137&lt;&gt;"NA",C136&lt;&gt;"NA",C136&lt;&gt;""),"ERROR",IF(AND(C137&lt;&gt;"",C137&lt;&gt;"NA",C134&lt;&gt;"",C134&lt;&gt;"NA"),"ERROR",LETable!AJ27))</f>
        <v>0</v>
      </c>
      <c r="F137" s="1865"/>
      <c r="G137" s="1866" t="str">
        <f>IF(E137="ERROR","Error: Cannot rate ROM and ankylosis.",IF(AND(C135&lt;&gt;"",C135&lt;&gt;"NA",C137&lt;&gt;"",C137&lt;&gt;"NA"),"Multiple ankylosis values; use higher value only.",""))</f>
        <v/>
      </c>
      <c r="H137" s="1867"/>
      <c r="I137" s="1867"/>
      <c r="J137" s="1867"/>
      <c r="K137" s="1867"/>
      <c r="L137" s="1867"/>
      <c r="M137" s="1867"/>
      <c r="N137" s="1867"/>
      <c r="O137" s="1868"/>
      <c r="P137" s="1745"/>
      <c r="Q137" s="35"/>
      <c r="R137" s="18"/>
      <c r="S137" s="822">
        <v>30</v>
      </c>
      <c r="T137" s="822" t="str">
        <f>IF(OR(C137="",C137="NA"),"",IF(C137&gt;S137,S137,IF(C137&lt;0,0,C137)))</f>
        <v/>
      </c>
      <c r="U137" s="18"/>
      <c r="V137" s="18"/>
      <c r="W137" s="18"/>
      <c r="X137" s="18"/>
      <c r="Y137" s="242">
        <f>O129</f>
        <v>0</v>
      </c>
      <c r="Z137" s="1093">
        <f>LARGE($Y$137:$Y$139,1)</f>
        <v>0</v>
      </c>
      <c r="AA137" s="684">
        <f>Z137+Z138*(1-Z137)</f>
        <v>0</v>
      </c>
      <c r="AB137" s="1088">
        <f>ROUND(AA137,2)</f>
        <v>0</v>
      </c>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4"/>
      <c r="BB137" s="14"/>
      <c r="BC137" s="14"/>
      <c r="BD137" s="14"/>
      <c r="BE137" s="14"/>
      <c r="BF137" s="14"/>
      <c r="BG137" s="14"/>
      <c r="BH137" s="14"/>
      <c r="BI137" s="14"/>
      <c r="BJ137" s="14"/>
      <c r="BK137" s="14"/>
      <c r="BL137" s="14"/>
      <c r="BM137" s="14"/>
      <c r="BN137" s="14"/>
      <c r="BO137" s="14"/>
      <c r="BP137" s="14"/>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row>
    <row r="138" spans="1:142" s="63" customFormat="1" ht="21" customHeight="1" x14ac:dyDescent="0.2">
      <c r="A138" s="35"/>
      <c r="B138" s="1045"/>
      <c r="C138" s="1046"/>
      <c r="D138" s="1046"/>
      <c r="E138" s="1571" t="str">
        <f>IF(AND(OR(O129&gt;0,O130&gt;0,E135&gt;0,E137&gt;0),C139&gt;0),"Note: Ankylosis impairment is not apportioned.","")</f>
        <v/>
      </c>
      <c r="F138" s="1572"/>
      <c r="G138" s="1572"/>
      <c r="H138" s="1572"/>
      <c r="I138" s="1572"/>
      <c r="J138" s="1573"/>
      <c r="K138" s="1740" t="s">
        <v>1842</v>
      </c>
      <c r="L138" s="1741"/>
      <c r="M138" s="1741"/>
      <c r="N138" s="1742"/>
      <c r="O138" s="71">
        <f>IF(OR(E135="ERROR",E137="ERROR"),"ERROR",IF(R138&gt;1,1,R138))</f>
        <v>0</v>
      </c>
      <c r="P138" s="1746"/>
      <c r="Q138" s="35"/>
      <c r="R138" s="242">
        <f>SUM(J134,J136,W138)</f>
        <v>0</v>
      </c>
      <c r="S138" s="18"/>
      <c r="T138" s="18"/>
      <c r="U138" s="18"/>
      <c r="V138" s="18"/>
      <c r="W138" s="747">
        <f>IF(AND(E135&lt;&gt;"ERROR",E137&lt;&gt;"ERROR",C137&lt;&gt;"",E137&lt;&gt;""),MAX(E135,E137),E135+E137)</f>
        <v>0</v>
      </c>
      <c r="X138" s="18"/>
      <c r="Y138" s="242">
        <f>O130</f>
        <v>0</v>
      </c>
      <c r="Z138" s="1093">
        <f>LARGE($Y$137:$Y$139,2)</f>
        <v>0</v>
      </c>
      <c r="AA138" s="684">
        <f>AB137+Z139*(1-AB137)</f>
        <v>0</v>
      </c>
      <c r="AB138" s="1088">
        <f>ROUND(AA138,2)</f>
        <v>0</v>
      </c>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4"/>
      <c r="BB138" s="14"/>
      <c r="BC138" s="14"/>
      <c r="BD138" s="14"/>
      <c r="BE138" s="14"/>
      <c r="BF138" s="14"/>
      <c r="BG138" s="14"/>
      <c r="BH138" s="14"/>
      <c r="BI138" s="14"/>
      <c r="BJ138" s="14"/>
      <c r="BK138" s="14"/>
      <c r="BL138" s="14"/>
      <c r="BM138" s="14"/>
      <c r="BN138" s="14"/>
      <c r="BO138" s="14"/>
      <c r="BP138" s="14"/>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row>
    <row r="139" spans="1:142" s="63" customFormat="1" ht="21" customHeight="1" x14ac:dyDescent="0.2">
      <c r="A139" s="35"/>
      <c r="B139" s="1090" t="s">
        <v>2259</v>
      </c>
      <c r="C139" s="1544"/>
      <c r="D139" s="1577"/>
      <c r="E139" s="1574"/>
      <c r="F139" s="1575"/>
      <c r="G139" s="1575"/>
      <c r="H139" s="1575"/>
      <c r="I139" s="1575"/>
      <c r="J139" s="1576"/>
      <c r="K139" s="1740" t="s">
        <v>435</v>
      </c>
      <c r="L139" s="1741"/>
      <c r="M139" s="1741"/>
      <c r="N139" s="1741"/>
      <c r="O139" s="1742"/>
      <c r="P139" s="1115">
        <f>IF(O138="ERROR","ERROR",IF(AND(AA133&gt;0,AA133&lt;0.01),0.01,ROUND(AA133,2)))</f>
        <v>0</v>
      </c>
      <c r="Q139" s="35"/>
      <c r="R139" s="18"/>
      <c r="S139" s="18"/>
      <c r="T139" s="18"/>
      <c r="U139" s="18"/>
      <c r="V139" s="18"/>
      <c r="W139" s="18"/>
      <c r="X139" s="18"/>
      <c r="Y139" s="242">
        <f>IF(AND(Z133&lt;0.01,Z133&gt;0),0.01,ROUND(Z133,2))</f>
        <v>0</v>
      </c>
      <c r="Z139" s="1093">
        <f>LARGE($Y$137:$Y$139,3)</f>
        <v>0</v>
      </c>
      <c r="AA139" s="1087"/>
      <c r="AB139" s="1087"/>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4"/>
      <c r="BB139" s="14"/>
      <c r="BC139" s="14"/>
      <c r="BD139" s="14"/>
      <c r="BE139" s="14"/>
      <c r="BF139" s="14"/>
      <c r="BG139" s="14"/>
      <c r="BH139" s="14"/>
      <c r="BI139" s="14"/>
      <c r="BJ139" s="14"/>
      <c r="BK139" s="14"/>
      <c r="BL139" s="14"/>
      <c r="BM139" s="14"/>
      <c r="BN139" s="14"/>
      <c r="BO139" s="14"/>
      <c r="BP139" s="14"/>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row>
    <row r="140" spans="1:142" s="63" customFormat="1" ht="12" customHeight="1" x14ac:dyDescent="0.25">
      <c r="A140" s="35"/>
      <c r="B140" s="1876"/>
      <c r="C140" s="1876"/>
      <c r="D140" s="1876"/>
      <c r="E140" s="1876"/>
      <c r="F140" s="1876"/>
      <c r="G140" s="1876"/>
      <c r="H140" s="1876"/>
      <c r="I140" s="1876"/>
      <c r="J140" s="1876"/>
      <c r="K140" s="1876"/>
      <c r="L140" s="1876"/>
      <c r="M140" s="1876"/>
      <c r="N140" s="1876"/>
      <c r="O140" s="1876"/>
      <c r="P140" s="469"/>
      <c r="Q140" s="35"/>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4"/>
      <c r="BB140" s="14"/>
      <c r="BC140" s="14"/>
      <c r="BD140" s="14"/>
      <c r="BE140" s="14"/>
      <c r="BF140" s="14"/>
      <c r="BG140" s="14"/>
      <c r="BH140" s="14"/>
      <c r="BI140" s="14"/>
      <c r="BJ140" s="14"/>
      <c r="BK140" s="14"/>
      <c r="BL140" s="14"/>
      <c r="BM140" s="14"/>
      <c r="BN140" s="14"/>
      <c r="BO140" s="14"/>
      <c r="BP140" s="14"/>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row>
    <row r="141" spans="1:142" s="63" customFormat="1" ht="15" customHeight="1" x14ac:dyDescent="0.25">
      <c r="A141" s="35"/>
      <c r="B141" s="1549" t="s">
        <v>2003</v>
      </c>
      <c r="C141" s="1550"/>
      <c r="D141" s="1550"/>
      <c r="E141" s="1550"/>
      <c r="F141" s="1550"/>
      <c r="G141" s="1550"/>
      <c r="H141" s="1550"/>
      <c r="I141" s="1550"/>
      <c r="J141" s="1550"/>
      <c r="K141" s="1550"/>
      <c r="L141" s="1550"/>
      <c r="M141" s="1550"/>
      <c r="N141" s="1550"/>
      <c r="O141" s="1550"/>
      <c r="P141" s="470"/>
      <c r="Q141" s="35"/>
      <c r="R141" s="18"/>
      <c r="S141" s="1487" t="s">
        <v>2197</v>
      </c>
      <c r="T141" s="1487"/>
      <c r="U141" s="1487"/>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4"/>
      <c r="BB141" s="14"/>
      <c r="BC141" s="14"/>
      <c r="BD141" s="14"/>
      <c r="BE141" s="14"/>
      <c r="BF141" s="14"/>
      <c r="BG141" s="14"/>
      <c r="BH141" s="14"/>
      <c r="BI141" s="14"/>
      <c r="BJ141" s="14"/>
      <c r="BK141" s="14"/>
      <c r="BL141" s="14"/>
      <c r="BM141" s="14"/>
      <c r="BN141" s="14"/>
      <c r="BO141" s="14"/>
      <c r="BP141" s="14"/>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row>
    <row r="142" spans="1:142" s="63" customFormat="1" ht="15" customHeight="1" x14ac:dyDescent="0.2">
      <c r="A142" s="35"/>
      <c r="B142" s="376" t="s">
        <v>2012</v>
      </c>
      <c r="C142" s="1966"/>
      <c r="D142" s="1967"/>
      <c r="E142" s="1967"/>
      <c r="F142" s="1967"/>
      <c r="G142" s="1967"/>
      <c r="H142" s="1967"/>
      <c r="I142" s="1967"/>
      <c r="J142" s="1967"/>
      <c r="K142" s="1967"/>
      <c r="L142" s="1967"/>
      <c r="M142" s="1967"/>
      <c r="N142" s="1968"/>
      <c r="O142" s="82"/>
      <c r="P142" s="839">
        <f>IF($W$239&gt;0,0,R142)</f>
        <v>0</v>
      </c>
      <c r="Q142" s="837"/>
      <c r="R142" s="841">
        <f>IF(C142=S142,0,IF(C142=T142,0.05,IF(C142=U142,0.1,0)))</f>
        <v>0</v>
      </c>
      <c r="S142" s="838" t="s">
        <v>1942</v>
      </c>
      <c r="T142" s="838" t="s">
        <v>1785</v>
      </c>
      <c r="U142" s="838" t="s">
        <v>1786</v>
      </c>
      <c r="V142" s="161"/>
      <c r="W142" s="114"/>
      <c r="X142" s="162"/>
      <c r="Y142" s="1946"/>
      <c r="Z142" s="73"/>
      <c r="AA142" s="73"/>
      <c r="AB142" s="74"/>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4"/>
      <c r="BB142" s="14"/>
      <c r="BC142" s="14"/>
      <c r="BD142" s="14"/>
      <c r="BE142" s="14"/>
      <c r="BF142" s="14"/>
      <c r="BG142" s="14"/>
      <c r="BH142" s="14"/>
      <c r="BI142" s="14"/>
      <c r="BJ142" s="14"/>
      <c r="BK142" s="14"/>
      <c r="BL142" s="14"/>
      <c r="BM142" s="14"/>
      <c r="BN142" s="14"/>
      <c r="BO142" s="14"/>
      <c r="BP142" s="14"/>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row>
    <row r="143" spans="1:142" s="63" customFormat="1" ht="15" customHeight="1" x14ac:dyDescent="0.2">
      <c r="A143" s="35"/>
      <c r="B143" s="376" t="s">
        <v>2013</v>
      </c>
      <c r="C143" s="1954"/>
      <c r="D143" s="1955"/>
      <c r="E143" s="1955"/>
      <c r="F143" s="1955"/>
      <c r="G143" s="1955"/>
      <c r="H143" s="1955"/>
      <c r="I143" s="1955"/>
      <c r="J143" s="1955"/>
      <c r="K143" s="1955"/>
      <c r="L143" s="1955"/>
      <c r="M143" s="1955"/>
      <c r="N143" s="1965"/>
      <c r="O143" s="83"/>
      <c r="P143" s="839">
        <f>IF($W$239&gt;0,0,R143)</f>
        <v>0</v>
      </c>
      <c r="Q143" s="837"/>
      <c r="R143" s="841">
        <f>IF(C143=S143,0,IF(C143=T143,0.05,IF(C143=U143,0.1,0)))</f>
        <v>0</v>
      </c>
      <c r="S143" s="838" t="s">
        <v>1942</v>
      </c>
      <c r="T143" s="838" t="s">
        <v>1997</v>
      </c>
      <c r="U143" s="838" t="s">
        <v>1998</v>
      </c>
      <c r="V143" s="161"/>
      <c r="W143" s="114"/>
      <c r="X143" s="162"/>
      <c r="Y143" s="1946"/>
      <c r="Z143" s="73"/>
      <c r="AA143" s="73"/>
      <c r="AB143" s="74"/>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4"/>
      <c r="BB143" s="14"/>
      <c r="BC143" s="14"/>
      <c r="BD143" s="14"/>
      <c r="BE143" s="14"/>
      <c r="BF143" s="14"/>
      <c r="BG143" s="14"/>
      <c r="BH143" s="14"/>
      <c r="BI143" s="14"/>
      <c r="BJ143" s="14"/>
      <c r="BK143" s="14"/>
      <c r="BL143" s="14"/>
      <c r="BM143" s="14"/>
      <c r="BN143" s="14"/>
      <c r="BO143" s="14"/>
      <c r="BP143" s="14"/>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c r="DC143" s="14"/>
      <c r="DD143" s="14"/>
      <c r="DE143" s="14"/>
      <c r="DF143" s="14"/>
      <c r="DG143" s="14"/>
      <c r="DH143" s="14"/>
      <c r="DI143" s="14"/>
      <c r="DJ143" s="14"/>
      <c r="DK143" s="14"/>
      <c r="DL143" s="14"/>
      <c r="DM143" s="14"/>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row>
    <row r="144" spans="1:142" s="63" customFormat="1" ht="27" customHeight="1" x14ac:dyDescent="0.2">
      <c r="A144" s="35"/>
      <c r="B144" s="1883" t="str">
        <f>IF(AND(OR(R142&gt;0,R143&gt;0),$W$239&gt;0),"A value has been given for loss of sensation or hypersensitivity in the foot. No additional value is allowed for the toes.","")</f>
        <v/>
      </c>
      <c r="C144" s="1883"/>
      <c r="D144" s="1883"/>
      <c r="E144" s="1883"/>
      <c r="F144" s="1883"/>
      <c r="G144" s="1883"/>
      <c r="H144" s="1883"/>
      <c r="I144" s="1883"/>
      <c r="J144" s="1883"/>
      <c r="K144" s="1883"/>
      <c r="L144" s="1883"/>
      <c r="M144" s="1883"/>
      <c r="N144" s="1883"/>
      <c r="O144" s="1883"/>
      <c r="P144" s="659"/>
      <c r="Q144" s="35"/>
      <c r="R144" s="18"/>
      <c r="S144" s="19"/>
      <c r="T144" s="19"/>
      <c r="U144" s="19"/>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4"/>
      <c r="BB144" s="14"/>
      <c r="BC144" s="14"/>
      <c r="BD144" s="14"/>
      <c r="BE144" s="14"/>
      <c r="BF144" s="14"/>
      <c r="BG144" s="14"/>
      <c r="BH144" s="14"/>
      <c r="BI144" s="14"/>
      <c r="BJ144" s="14"/>
      <c r="BK144" s="14"/>
      <c r="BL144" s="14"/>
      <c r="BM144" s="14"/>
      <c r="BN144" s="14"/>
      <c r="BO144" s="14"/>
      <c r="BP144" s="14"/>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c r="DC144" s="14"/>
      <c r="DD144" s="14"/>
      <c r="DE144" s="14"/>
      <c r="DF144" s="14"/>
      <c r="DG144" s="14"/>
      <c r="DH144" s="14"/>
      <c r="DI144" s="14"/>
      <c r="DJ144" s="14"/>
      <c r="DK144" s="14"/>
      <c r="DL144" s="14"/>
      <c r="DM144" s="14"/>
      <c r="DN144" s="14"/>
      <c r="DO144" s="14"/>
      <c r="DP144" s="14"/>
      <c r="DQ144" s="14"/>
      <c r="DR144" s="14"/>
      <c r="DS144" s="14"/>
      <c r="DT144" s="14"/>
      <c r="DU144" s="14"/>
      <c r="DV144" s="14"/>
      <c r="DW144" s="14"/>
      <c r="DX144" s="14"/>
      <c r="DY144" s="14"/>
      <c r="DZ144" s="14"/>
      <c r="EA144" s="14"/>
      <c r="EB144" s="14"/>
      <c r="EC144" s="14"/>
      <c r="ED144" s="14"/>
      <c r="EE144" s="14"/>
      <c r="EF144" s="14"/>
      <c r="EG144" s="14"/>
      <c r="EH144" s="14"/>
      <c r="EI144" s="14"/>
      <c r="EJ144" s="14"/>
      <c r="EK144" s="14"/>
      <c r="EL144" s="14"/>
    </row>
    <row r="145" spans="1:142" s="63" customFormat="1" ht="12" customHeight="1" x14ac:dyDescent="0.25">
      <c r="A145" s="35"/>
      <c r="B145" s="1602"/>
      <c r="C145" s="1395"/>
      <c r="D145" s="1395"/>
      <c r="E145" s="1395"/>
      <c r="F145" s="1395"/>
      <c r="G145" s="1395"/>
      <c r="H145" s="1395"/>
      <c r="I145" s="1395"/>
      <c r="J145" s="1395"/>
      <c r="K145" s="1395"/>
      <c r="L145" s="1395"/>
      <c r="M145" s="1395"/>
      <c r="N145" s="1395"/>
      <c r="O145" s="1395"/>
      <c r="P145" s="75"/>
      <c r="Q145" s="35"/>
      <c r="R145" s="18"/>
      <c r="S145" s="18"/>
      <c r="Y145" s="60"/>
      <c r="Z145" s="1569"/>
      <c r="AA145" s="1569"/>
      <c r="AB145" s="1569"/>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c r="DM145" s="14"/>
      <c r="DN145" s="14"/>
      <c r="DO145" s="14"/>
      <c r="DP145" s="14"/>
      <c r="DQ145" s="14"/>
      <c r="DR145" s="14"/>
      <c r="DS145" s="14"/>
      <c r="DT145" s="14"/>
      <c r="DU145" s="14"/>
      <c r="DV145" s="14"/>
      <c r="DW145" s="14"/>
      <c r="DX145" s="14"/>
      <c r="DY145" s="14"/>
      <c r="DZ145" s="14"/>
      <c r="EA145" s="14"/>
      <c r="EB145" s="14"/>
      <c r="EC145" s="14"/>
      <c r="ED145" s="14"/>
      <c r="EE145" s="14"/>
      <c r="EF145" s="14"/>
      <c r="EG145" s="14"/>
      <c r="EH145" s="14"/>
      <c r="EI145" s="14"/>
      <c r="EJ145" s="14"/>
      <c r="EK145" s="14"/>
      <c r="EL145" s="14"/>
    </row>
    <row r="146" spans="1:142" s="63" customFormat="1" ht="18" customHeight="1" x14ac:dyDescent="0.2">
      <c r="A146" s="8"/>
      <c r="B146" s="1379" t="s">
        <v>2016</v>
      </c>
      <c r="C146" s="1379"/>
      <c r="D146" s="1379"/>
      <c r="E146" s="1379"/>
      <c r="F146" s="1379"/>
      <c r="G146" s="1379"/>
      <c r="H146" s="1379"/>
      <c r="I146" s="1379"/>
      <c r="J146" s="1379"/>
      <c r="K146" s="1379"/>
      <c r="L146" s="1379"/>
      <c r="M146" s="1379"/>
      <c r="N146" s="1308"/>
      <c r="O146" s="1308"/>
      <c r="P146" s="853">
        <f>IF(N146=T146,0.03,IF(N146=U146,0.15,IF(N146=V146,0.38,IF(N146=W146,0.68,IF(N146=X146,0.9,0)))))</f>
        <v>0</v>
      </c>
      <c r="Q146" s="848"/>
      <c r="R146" s="1487" t="s">
        <v>2197</v>
      </c>
      <c r="S146" s="1487"/>
      <c r="T146" s="844" t="s">
        <v>1969</v>
      </c>
      <c r="U146" s="844" t="s">
        <v>1970</v>
      </c>
      <c r="V146" s="854" t="s">
        <v>1972</v>
      </c>
      <c r="W146" s="844" t="s">
        <v>945</v>
      </c>
      <c r="X146" s="854" t="s">
        <v>558</v>
      </c>
      <c r="Y146" s="60"/>
      <c r="Z146" s="1569"/>
      <c r="AA146" s="1569"/>
      <c r="AB146" s="1569"/>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c r="DX146" s="14"/>
      <c r="DY146" s="14"/>
      <c r="DZ146" s="14"/>
      <c r="EA146" s="14"/>
      <c r="EB146" s="14"/>
      <c r="EC146" s="14"/>
      <c r="ED146" s="14"/>
      <c r="EE146" s="14"/>
      <c r="EF146" s="14"/>
      <c r="EG146" s="14"/>
      <c r="EH146" s="14"/>
      <c r="EI146" s="14"/>
      <c r="EJ146" s="14"/>
      <c r="EK146" s="14"/>
      <c r="EL146" s="14"/>
    </row>
    <row r="147" spans="1:142" s="63" customFormat="1" ht="12" customHeight="1" x14ac:dyDescent="0.25">
      <c r="A147" s="35"/>
      <c r="B147" s="657"/>
      <c r="C147" s="657"/>
      <c r="D147" s="657"/>
      <c r="E147" s="657"/>
      <c r="F147" s="657"/>
      <c r="G147" s="657"/>
      <c r="H147" s="657"/>
      <c r="I147" s="657"/>
      <c r="J147" s="657"/>
      <c r="K147" s="657"/>
      <c r="L147" s="657"/>
      <c r="M147" s="657"/>
      <c r="N147" s="657"/>
      <c r="O147" s="657"/>
      <c r="P147" s="75"/>
      <c r="Q147" s="35"/>
      <c r="R147" s="18"/>
      <c r="S147" s="19"/>
      <c r="T147" s="19"/>
      <c r="U147" s="19"/>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4"/>
      <c r="BB147" s="14"/>
      <c r="BC147" s="14"/>
      <c r="BD147" s="14"/>
      <c r="BE147" s="14"/>
      <c r="BF147" s="14"/>
      <c r="BG147" s="14"/>
      <c r="BH147" s="14"/>
      <c r="BI147" s="14"/>
      <c r="BJ147" s="14"/>
      <c r="BK147" s="14"/>
      <c r="BL147" s="14"/>
      <c r="BM147" s="14"/>
      <c r="BN147" s="14"/>
      <c r="BO147" s="14"/>
      <c r="BP147" s="14"/>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row>
    <row r="148" spans="1:142" s="63" customFormat="1" ht="18" customHeight="1" x14ac:dyDescent="0.2">
      <c r="A148" s="189"/>
      <c r="B148" s="316" t="s">
        <v>1709</v>
      </c>
      <c r="C148" s="1870"/>
      <c r="D148" s="1871"/>
      <c r="E148" s="1362" t="s">
        <v>1710</v>
      </c>
      <c r="F148" s="1363"/>
      <c r="G148" s="1363"/>
      <c r="H148" s="1363"/>
      <c r="I148" s="1363"/>
      <c r="J148" s="1363"/>
      <c r="K148" s="1363"/>
      <c r="L148" s="1363"/>
      <c r="M148" s="1363"/>
      <c r="N148" s="1363"/>
      <c r="O148" s="1364"/>
      <c r="P148" s="303">
        <f>IF(T148=1,0.15,0)</f>
        <v>0</v>
      </c>
      <c r="Q148" s="35"/>
      <c r="R148" s="18"/>
      <c r="S148" s="706" t="b">
        <v>0</v>
      </c>
      <c r="T148" s="844">
        <f>IF(S148=TRUE,1,0)</f>
        <v>0</v>
      </c>
      <c r="U148" s="18"/>
      <c r="V148" s="18"/>
      <c r="W148" s="18">
        <v>1E-4</v>
      </c>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4"/>
      <c r="BB148" s="14"/>
      <c r="BC148" s="14"/>
      <c r="BD148" s="14"/>
      <c r="BE148" s="14"/>
      <c r="BF148" s="14"/>
      <c r="BG148" s="14"/>
      <c r="BH148" s="14"/>
      <c r="BI148" s="14"/>
      <c r="BJ148" s="14"/>
      <c r="BK148" s="14"/>
      <c r="BL148" s="14"/>
      <c r="BM148" s="14"/>
      <c r="BN148" s="14"/>
      <c r="BO148" s="14"/>
      <c r="BP148" s="14"/>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c r="DG148" s="14"/>
      <c r="DH148" s="14"/>
      <c r="DI148" s="14"/>
      <c r="DJ148" s="14"/>
      <c r="DK148" s="14"/>
      <c r="DL148" s="14"/>
      <c r="DM148" s="14"/>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row>
    <row r="149" spans="1:142" s="63" customFormat="1" ht="18" customHeight="1" x14ac:dyDescent="0.2">
      <c r="A149" s="35"/>
      <c r="B149" s="316" t="s">
        <v>1711</v>
      </c>
      <c r="C149" s="1870"/>
      <c r="D149" s="1871"/>
      <c r="E149" s="1362" t="s">
        <v>1712</v>
      </c>
      <c r="F149" s="1363"/>
      <c r="G149" s="1363"/>
      <c r="H149" s="1363"/>
      <c r="I149" s="1363"/>
      <c r="J149" s="1363"/>
      <c r="K149" s="1363"/>
      <c r="L149" s="1363"/>
      <c r="M149" s="1363"/>
      <c r="N149" s="1363"/>
      <c r="O149" s="1364"/>
      <c r="P149" s="303">
        <f>IF(T149=1,0.25,0)</f>
        <v>0</v>
      </c>
      <c r="Q149" s="35"/>
      <c r="R149" s="18"/>
      <c r="S149" s="706" t="b">
        <v>0</v>
      </c>
      <c r="T149" s="844">
        <f>IF(S149=TRUE,1,0)</f>
        <v>0</v>
      </c>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4"/>
      <c r="BB149" s="14"/>
      <c r="BC149" s="14"/>
      <c r="BD149" s="14"/>
      <c r="BE149" s="14"/>
      <c r="BF149" s="14"/>
      <c r="BG149" s="14"/>
      <c r="BH149" s="14"/>
      <c r="BI149" s="14"/>
      <c r="BJ149" s="14"/>
      <c r="BK149" s="14"/>
      <c r="BL149" s="14"/>
      <c r="BM149" s="14"/>
      <c r="BN149" s="14"/>
      <c r="BO149" s="14"/>
      <c r="BP149" s="14"/>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c r="DG149" s="14"/>
      <c r="DH149" s="14"/>
      <c r="DI149" s="14"/>
      <c r="DJ149" s="14"/>
      <c r="DK149" s="14"/>
      <c r="DL149" s="14"/>
      <c r="DM149" s="14"/>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row>
    <row r="150" spans="1:142" s="63" customFormat="1" ht="18" customHeight="1" x14ac:dyDescent="0.2">
      <c r="A150" s="35"/>
      <c r="B150" s="471" t="s">
        <v>626</v>
      </c>
      <c r="C150" s="1925"/>
      <c r="D150" s="1925"/>
      <c r="E150" s="1546" t="s">
        <v>627</v>
      </c>
      <c r="F150" s="1547"/>
      <c r="G150" s="1547"/>
      <c r="H150" s="1547"/>
      <c r="I150" s="1547"/>
      <c r="J150" s="1547"/>
      <c r="K150" s="1547"/>
      <c r="L150" s="1547"/>
      <c r="M150" s="1547"/>
      <c r="N150" s="1547"/>
      <c r="O150" s="1548"/>
      <c r="P150" s="360">
        <f>IF(T150=1,0.25,0)</f>
        <v>0</v>
      </c>
      <c r="Q150" s="35"/>
      <c r="R150" s="18"/>
      <c r="S150" s="706" t="b">
        <v>0</v>
      </c>
      <c r="T150" s="844">
        <f>IF(S150=TRUE,1,0)</f>
        <v>0</v>
      </c>
      <c r="U150" s="18"/>
      <c r="V150" s="18"/>
      <c r="W150" s="18"/>
      <c r="X150" s="1094"/>
      <c r="Y150" s="1094"/>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4"/>
      <c r="BB150" s="14"/>
      <c r="BC150" s="14"/>
      <c r="BD150" s="14"/>
      <c r="BE150" s="14"/>
      <c r="BF150" s="14"/>
      <c r="BG150" s="14"/>
      <c r="BH150" s="14"/>
      <c r="BI150" s="14"/>
      <c r="BJ150" s="14"/>
      <c r="BK150" s="14"/>
      <c r="BL150" s="14"/>
      <c r="BM150" s="14"/>
      <c r="BN150" s="14"/>
      <c r="BO150" s="14"/>
      <c r="BP150" s="14"/>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row>
    <row r="151" spans="1:142" s="63" customFormat="1" ht="12" customHeight="1" x14ac:dyDescent="0.2">
      <c r="A151" s="35"/>
      <c r="B151" s="1877"/>
      <c r="C151" s="1877"/>
      <c r="D151" s="1877"/>
      <c r="E151" s="1877"/>
      <c r="F151" s="1877"/>
      <c r="G151" s="1877"/>
      <c r="H151" s="1877"/>
      <c r="I151" s="1877"/>
      <c r="J151" s="1877"/>
      <c r="K151" s="1877"/>
      <c r="L151" s="1877"/>
      <c r="M151" s="1877"/>
      <c r="N151" s="1877"/>
      <c r="O151" s="1877"/>
      <c r="P151" s="35"/>
      <c r="Q151" s="35"/>
      <c r="R151" s="18"/>
      <c r="S151" s="18"/>
      <c r="T151" s="18"/>
      <c r="U151" s="18"/>
      <c r="V151" s="18"/>
      <c r="X151" s="1094"/>
      <c r="Y151" s="1094"/>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4"/>
      <c r="BB151" s="14"/>
      <c r="BC151" s="14"/>
      <c r="BD151" s="14"/>
      <c r="BE151" s="14"/>
      <c r="BF151" s="14"/>
      <c r="BG151" s="14"/>
      <c r="BH151" s="14"/>
      <c r="BI151" s="14"/>
      <c r="BJ151" s="14"/>
      <c r="BK151" s="14"/>
      <c r="BL151" s="14"/>
      <c r="BM151" s="14"/>
      <c r="BN151" s="14"/>
      <c r="BO151" s="14"/>
      <c r="BP151" s="14"/>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c r="DG151" s="14"/>
      <c r="DH151" s="14"/>
      <c r="DI151" s="14"/>
      <c r="DJ151" s="14"/>
      <c r="DK151" s="14"/>
      <c r="DL151" s="14"/>
      <c r="DM151" s="14"/>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row>
    <row r="152" spans="1:142" s="63" customFormat="1" ht="27" customHeight="1" x14ac:dyDescent="0.2">
      <c r="A152" s="35"/>
      <c r="B152" s="1632" t="s">
        <v>438</v>
      </c>
      <c r="C152" s="1633"/>
      <c r="D152" s="1633"/>
      <c r="E152" s="1633"/>
      <c r="F152" s="1633"/>
      <c r="G152" s="1687" t="s">
        <v>1525</v>
      </c>
      <c r="H152" s="1534"/>
      <c r="I152" s="1534"/>
      <c r="J152" s="1534"/>
      <c r="K152" s="1534"/>
      <c r="L152" s="1880"/>
      <c r="M152" s="1881"/>
      <c r="N152" s="1881"/>
      <c r="O152" s="1882"/>
      <c r="P152" s="1481">
        <f>IF(J161&gt;0,J161,V159)</f>
        <v>0</v>
      </c>
      <c r="Q152" s="35"/>
      <c r="R152" s="18"/>
      <c r="S152" s="844" t="s">
        <v>1865</v>
      </c>
      <c r="T152" s="844" t="s">
        <v>1305</v>
      </c>
      <c r="U152" s="844" t="s">
        <v>1306</v>
      </c>
      <c r="V152" s="844" t="s">
        <v>1307</v>
      </c>
      <c r="X152" s="1094"/>
      <c r="Y152" s="1094"/>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4"/>
      <c r="BB152" s="14"/>
      <c r="BC152" s="14"/>
      <c r="BD152" s="14"/>
      <c r="BE152" s="14"/>
      <c r="BF152" s="14"/>
      <c r="BG152" s="14"/>
      <c r="BH152" s="14"/>
      <c r="BI152" s="14"/>
      <c r="BJ152" s="14"/>
      <c r="BK152" s="14"/>
      <c r="BL152" s="14"/>
      <c r="BM152" s="14"/>
      <c r="BN152" s="14"/>
      <c r="BO152" s="14"/>
      <c r="BP152" s="14"/>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c r="DH152" s="14"/>
      <c r="DI152" s="14"/>
      <c r="DJ152" s="14"/>
      <c r="DK152" s="14"/>
      <c r="DL152" s="14"/>
      <c r="DM152" s="14"/>
      <c r="DN152" s="14"/>
      <c r="DO152" s="14"/>
      <c r="DP152" s="14"/>
      <c r="DQ152" s="14"/>
      <c r="DR152" s="14"/>
      <c r="DS152" s="14"/>
      <c r="DT152" s="14"/>
      <c r="DU152" s="14"/>
      <c r="DV152" s="14"/>
      <c r="DW152" s="14"/>
      <c r="DX152" s="14"/>
      <c r="DY152" s="14"/>
      <c r="DZ152" s="14"/>
      <c r="EA152" s="14"/>
      <c r="EB152" s="14"/>
      <c r="EC152" s="14"/>
      <c r="ED152" s="14"/>
      <c r="EE152" s="14"/>
      <c r="EF152" s="14"/>
      <c r="EG152" s="14"/>
      <c r="EH152" s="14"/>
      <c r="EI152" s="14"/>
      <c r="EJ152" s="14"/>
      <c r="EK152" s="14"/>
      <c r="EL152" s="14"/>
    </row>
    <row r="153" spans="1:142" s="63" customFormat="1" ht="18" customHeight="1" x14ac:dyDescent="0.2">
      <c r="A153" s="35"/>
      <c r="B153" s="1394" t="s">
        <v>628</v>
      </c>
      <c r="C153" s="1394"/>
      <c r="D153" s="1394"/>
      <c r="E153" s="1623">
        <f>P126</f>
        <v>0</v>
      </c>
      <c r="F153" s="1486"/>
      <c r="G153" s="1702" t="s">
        <v>1942</v>
      </c>
      <c r="H153" s="1627"/>
      <c r="I153" s="1628"/>
      <c r="J153" s="1534"/>
      <c r="K153" s="1534"/>
      <c r="L153" s="1880"/>
      <c r="M153" s="1881"/>
      <c r="N153" s="1881"/>
      <c r="O153" s="1882"/>
      <c r="P153" s="1631"/>
      <c r="Q153" s="35"/>
      <c r="R153" s="18"/>
      <c r="S153" s="851">
        <f>E153</f>
        <v>0</v>
      </c>
      <c r="T153" s="854">
        <f>LARGE($S$153:$S$160,1)</f>
        <v>0</v>
      </c>
      <c r="U153" s="684">
        <f>T153+T154*(1-T153)</f>
        <v>0</v>
      </c>
      <c r="V153" s="851">
        <f t="shared" ref="V153:V159" si="8">ROUND(U153,2)</f>
        <v>0</v>
      </c>
      <c r="X153" s="1094"/>
      <c r="Y153" s="1094"/>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4"/>
      <c r="BB153" s="14"/>
      <c r="BC153" s="14"/>
      <c r="BD153" s="14"/>
      <c r="BE153" s="14"/>
      <c r="BF153" s="14"/>
      <c r="BG153" s="14"/>
      <c r="BH153" s="14"/>
      <c r="BI153" s="14"/>
      <c r="BJ153" s="14"/>
      <c r="BK153" s="14"/>
      <c r="BL153" s="14"/>
      <c r="BM153" s="14"/>
      <c r="BN153" s="14"/>
      <c r="BO153" s="14"/>
      <c r="BP153" s="14"/>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c r="DG153" s="14"/>
      <c r="DH153" s="14"/>
      <c r="DI153" s="14"/>
      <c r="DJ153" s="14"/>
      <c r="DK153" s="14"/>
      <c r="DL153" s="14"/>
      <c r="DM153" s="14"/>
      <c r="DN153" s="14"/>
      <c r="DO153" s="14"/>
      <c r="DP153" s="14"/>
      <c r="DQ153" s="14"/>
      <c r="DR153" s="14"/>
      <c r="DS153" s="14"/>
      <c r="DT153" s="14"/>
      <c r="DU153" s="14"/>
      <c r="DV153" s="14"/>
      <c r="DW153" s="14"/>
      <c r="DX153" s="14"/>
      <c r="DY153" s="14"/>
      <c r="DZ153" s="14"/>
      <c r="EA153" s="14"/>
      <c r="EB153" s="14"/>
      <c r="EC153" s="14"/>
      <c r="ED153" s="14"/>
      <c r="EE153" s="14"/>
      <c r="EF153" s="14"/>
      <c r="EG153" s="14"/>
      <c r="EH153" s="14"/>
      <c r="EI153" s="14"/>
      <c r="EJ153" s="14"/>
      <c r="EK153" s="14"/>
      <c r="EL153" s="14"/>
    </row>
    <row r="154" spans="1:142" s="63" customFormat="1" ht="18" customHeight="1" x14ac:dyDescent="0.2">
      <c r="A154" s="35"/>
      <c r="B154" s="1410" t="s">
        <v>1959</v>
      </c>
      <c r="C154" s="1410"/>
      <c r="D154" s="1410"/>
      <c r="E154" s="1373">
        <f>IF(P427&gt;0,0,P139)</f>
        <v>0</v>
      </c>
      <c r="F154" s="1347"/>
      <c r="G154" s="1833" t="s">
        <v>2260</v>
      </c>
      <c r="H154" s="1834"/>
      <c r="I154" s="1835"/>
      <c r="J154" s="1534"/>
      <c r="K154" s="1534"/>
      <c r="L154" s="1766"/>
      <c r="M154" s="1767"/>
      <c r="N154" s="1767"/>
      <c r="O154" s="1768"/>
      <c r="P154" s="1631"/>
      <c r="Q154" s="35"/>
      <c r="R154" s="18"/>
      <c r="S154" s="854">
        <f>IF(J154&gt;0,J154,E154)</f>
        <v>0</v>
      </c>
      <c r="T154" s="854">
        <f>LARGE($S$153:$S$160,2)</f>
        <v>0</v>
      </c>
      <c r="U154" s="684">
        <f t="shared" ref="U154:U159" si="9">V153+T155*(1-V153)</f>
        <v>0</v>
      </c>
      <c r="V154" s="851">
        <f t="shared" si="8"/>
        <v>0</v>
      </c>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4"/>
      <c r="BB154" s="14"/>
      <c r="BC154" s="14"/>
      <c r="BD154" s="14"/>
      <c r="BE154" s="14"/>
      <c r="BF154" s="14"/>
      <c r="BG154" s="14"/>
      <c r="BH154" s="14"/>
      <c r="BI154" s="14"/>
      <c r="BJ154" s="14"/>
      <c r="BK154" s="14"/>
      <c r="BL154" s="14"/>
      <c r="BM154" s="14"/>
      <c r="BN154" s="14"/>
      <c r="BO154" s="14"/>
      <c r="BP154" s="14"/>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c r="DG154" s="14"/>
      <c r="DH154" s="14"/>
      <c r="DI154" s="14"/>
      <c r="DJ154" s="14"/>
      <c r="DK154" s="14"/>
      <c r="DL154" s="14"/>
      <c r="DM154" s="14"/>
      <c r="DN154" s="14"/>
      <c r="DO154" s="14"/>
      <c r="DP154" s="14"/>
      <c r="DQ154" s="14"/>
      <c r="DR154" s="14"/>
      <c r="DS154" s="14"/>
      <c r="DT154" s="14"/>
      <c r="DU154" s="14"/>
      <c r="DV154" s="14"/>
      <c r="DW154" s="14"/>
      <c r="DX154" s="14"/>
      <c r="DY154" s="14"/>
      <c r="DZ154" s="14"/>
      <c r="EA154" s="14"/>
      <c r="EB154" s="14"/>
      <c r="EC154" s="14"/>
      <c r="ED154" s="14"/>
      <c r="EE154" s="14"/>
      <c r="EF154" s="14"/>
      <c r="EG154" s="14"/>
      <c r="EH154" s="14"/>
      <c r="EI154" s="14"/>
      <c r="EJ154" s="14"/>
      <c r="EK154" s="14"/>
      <c r="EL154" s="14"/>
    </row>
    <row r="155" spans="1:142" s="63" customFormat="1" ht="18" customHeight="1" x14ac:dyDescent="0.2">
      <c r="A155" s="35"/>
      <c r="B155" s="1410" t="s">
        <v>2017</v>
      </c>
      <c r="C155" s="1410"/>
      <c r="D155" s="1410"/>
      <c r="E155" s="1373">
        <f>P142</f>
        <v>0</v>
      </c>
      <c r="F155" s="1347"/>
      <c r="G155" s="1658"/>
      <c r="H155" s="1658"/>
      <c r="I155" s="1658"/>
      <c r="J155" s="1847">
        <f>IF(AND(W155&lt;0.01,W155&gt;0),0.01,ROUND(W155,2))</f>
        <v>0</v>
      </c>
      <c r="K155" s="1847"/>
      <c r="L155" s="1030"/>
      <c r="M155" s="1031"/>
      <c r="N155" s="1031"/>
      <c r="O155" s="1032"/>
      <c r="P155" s="1631"/>
      <c r="Q155" s="35"/>
      <c r="R155" s="18"/>
      <c r="S155" s="854">
        <f>IF(J155&gt;0,J155,E155)</f>
        <v>0</v>
      </c>
      <c r="T155" s="854">
        <f>LARGE($S$153:$S$160,3)</f>
        <v>0</v>
      </c>
      <c r="U155" s="684">
        <f t="shared" si="9"/>
        <v>0</v>
      </c>
      <c r="V155" s="851">
        <f t="shared" si="8"/>
        <v>0</v>
      </c>
      <c r="W155" s="1086">
        <f>G155*E155</f>
        <v>0</v>
      </c>
      <c r="X155" s="1094"/>
      <c r="Y155" s="1094"/>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4"/>
      <c r="BB155" s="14"/>
      <c r="BC155" s="14"/>
      <c r="BD155" s="14"/>
      <c r="BE155" s="14"/>
      <c r="BF155" s="14"/>
      <c r="BG155" s="14"/>
      <c r="BH155" s="14"/>
      <c r="BI155" s="14"/>
      <c r="BJ155" s="14"/>
      <c r="BK155" s="14"/>
      <c r="BL155" s="14"/>
      <c r="BM155" s="14"/>
      <c r="BN155" s="14"/>
      <c r="BO155" s="14"/>
      <c r="BP155" s="14"/>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c r="DG155" s="14"/>
      <c r="DH155" s="14"/>
      <c r="DI155" s="14"/>
      <c r="DJ155" s="14"/>
      <c r="DK155" s="14"/>
      <c r="DL155" s="14"/>
      <c r="DM155" s="14"/>
      <c r="DN155" s="14"/>
      <c r="DO155" s="14"/>
      <c r="DP155" s="14"/>
      <c r="DQ155" s="14"/>
      <c r="DR155" s="14"/>
      <c r="DS155" s="14"/>
      <c r="DT155" s="14"/>
      <c r="DU155" s="14"/>
      <c r="DV155" s="14"/>
      <c r="DW155" s="14"/>
      <c r="DX155" s="14"/>
      <c r="DY155" s="14"/>
      <c r="DZ155" s="14"/>
      <c r="EA155" s="14"/>
      <c r="EB155" s="14"/>
      <c r="EC155" s="14"/>
      <c r="ED155" s="14"/>
      <c r="EE155" s="14"/>
      <c r="EF155" s="14"/>
      <c r="EG155" s="14"/>
      <c r="EH155" s="14"/>
      <c r="EI155" s="14"/>
      <c r="EJ155" s="14"/>
      <c r="EK155" s="14"/>
      <c r="EL155" s="14"/>
    </row>
    <row r="156" spans="1:142" s="63" customFormat="1" ht="18" customHeight="1" x14ac:dyDescent="0.2">
      <c r="A156" s="35"/>
      <c r="B156" s="1362" t="s">
        <v>1227</v>
      </c>
      <c r="C156" s="1363"/>
      <c r="D156" s="1364"/>
      <c r="E156" s="1373">
        <f>P143</f>
        <v>0</v>
      </c>
      <c r="F156" s="1347"/>
      <c r="G156" s="1658"/>
      <c r="H156" s="1658"/>
      <c r="I156" s="1658"/>
      <c r="J156" s="1847">
        <f>IF(AND(W156&lt;0.01,W156&gt;0),0.01,ROUND(W156,2))</f>
        <v>0</v>
      </c>
      <c r="K156" s="1847"/>
      <c r="L156" s="1030"/>
      <c r="M156" s="1031"/>
      <c r="N156" s="1031"/>
      <c r="O156" s="1032"/>
      <c r="P156" s="1631"/>
      <c r="Q156" s="35"/>
      <c r="R156" s="18"/>
      <c r="S156" s="854">
        <f>IF(J156&gt;0,J156,E156)</f>
        <v>0</v>
      </c>
      <c r="T156" s="854">
        <f>LARGE($S$153:$S$160,4)</f>
        <v>0</v>
      </c>
      <c r="U156" s="684">
        <f t="shared" si="9"/>
        <v>0</v>
      </c>
      <c r="V156" s="851">
        <f t="shared" si="8"/>
        <v>0</v>
      </c>
      <c r="W156" s="1086">
        <f t="shared" ref="W156:W157" si="10">G156*E156</f>
        <v>0</v>
      </c>
      <c r="X156" s="1094"/>
      <c r="Y156" s="1094"/>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4"/>
      <c r="BB156" s="14"/>
      <c r="BC156" s="14"/>
      <c r="BD156" s="14"/>
      <c r="BE156" s="14"/>
      <c r="BF156" s="14"/>
      <c r="BG156" s="14"/>
      <c r="BH156" s="14"/>
      <c r="BI156" s="14"/>
      <c r="BJ156" s="14"/>
      <c r="BK156" s="14"/>
      <c r="BL156" s="14"/>
      <c r="BM156" s="14"/>
      <c r="BN156" s="14"/>
      <c r="BO156" s="14"/>
      <c r="BP156" s="14"/>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c r="DX156" s="14"/>
      <c r="DY156" s="14"/>
      <c r="DZ156" s="14"/>
      <c r="EA156" s="14"/>
      <c r="EB156" s="14"/>
      <c r="EC156" s="14"/>
      <c r="ED156" s="14"/>
      <c r="EE156" s="14"/>
      <c r="EF156" s="14"/>
      <c r="EG156" s="14"/>
      <c r="EH156" s="14"/>
      <c r="EI156" s="14"/>
      <c r="EJ156" s="14"/>
      <c r="EK156" s="14"/>
      <c r="EL156" s="14"/>
    </row>
    <row r="157" spans="1:142" s="63" customFormat="1" ht="18" customHeight="1" x14ac:dyDescent="0.2">
      <c r="A157" s="35"/>
      <c r="B157" s="1362" t="s">
        <v>1447</v>
      </c>
      <c r="C157" s="1363"/>
      <c r="D157" s="1364"/>
      <c r="E157" s="1342">
        <f>P146</f>
        <v>0</v>
      </c>
      <c r="F157" s="1344"/>
      <c r="G157" s="1658"/>
      <c r="H157" s="1658"/>
      <c r="I157" s="1658"/>
      <c r="J157" s="1847">
        <f>IF(AND(W157&lt;0.01,W157&gt;0),0.01,ROUND(W157,2))</f>
        <v>0</v>
      </c>
      <c r="K157" s="1847"/>
      <c r="L157" s="1588" t="str">
        <f>IF(AND(P139&gt;0,$P$427&gt;0),"The worker has motor loss impairment. No additional impairment value is allowed for reduced range of motion in the same extremity.","")</f>
        <v/>
      </c>
      <c r="M157" s="1589"/>
      <c r="N157" s="1589"/>
      <c r="O157" s="1590"/>
      <c r="P157" s="1631"/>
      <c r="Q157" s="35"/>
      <c r="R157" s="18"/>
      <c r="S157" s="854">
        <f>IF(J157&gt;0,J157,E157)</f>
        <v>0</v>
      </c>
      <c r="T157" s="854">
        <f>LARGE($S$153:$S$160,5)</f>
        <v>0</v>
      </c>
      <c r="U157" s="684">
        <f t="shared" si="9"/>
        <v>0</v>
      </c>
      <c r="V157" s="851">
        <f t="shared" si="8"/>
        <v>0</v>
      </c>
      <c r="W157" s="1086">
        <f t="shared" si="10"/>
        <v>0</v>
      </c>
      <c r="X157" s="1094"/>
      <c r="Y157" s="1094"/>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4"/>
      <c r="BB157" s="14"/>
      <c r="BC157" s="14"/>
      <c r="BD157" s="14"/>
      <c r="BE157" s="14"/>
      <c r="BF157" s="14"/>
      <c r="BG157" s="14"/>
      <c r="BH157" s="14"/>
      <c r="BI157" s="14"/>
      <c r="BJ157" s="14"/>
      <c r="BK157" s="14"/>
      <c r="BL157" s="14"/>
      <c r="BM157" s="14"/>
      <c r="BN157" s="14"/>
      <c r="BO157" s="14"/>
      <c r="BP157" s="14"/>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c r="DM157" s="14"/>
      <c r="DN157" s="14"/>
      <c r="DO157" s="14"/>
      <c r="DP157" s="14"/>
      <c r="DQ157" s="14"/>
      <c r="DR157" s="14"/>
      <c r="DS157" s="14"/>
      <c r="DT157" s="14"/>
      <c r="DU157" s="14"/>
      <c r="DV157" s="14"/>
      <c r="DW157" s="14"/>
      <c r="DX157" s="14"/>
      <c r="DY157" s="14"/>
      <c r="DZ157" s="14"/>
      <c r="EA157" s="14"/>
      <c r="EB157" s="14"/>
      <c r="EC157" s="14"/>
      <c r="ED157" s="14"/>
      <c r="EE157" s="14"/>
      <c r="EF157" s="14"/>
      <c r="EG157" s="14"/>
      <c r="EH157" s="14"/>
      <c r="EI157" s="14"/>
      <c r="EJ157" s="14"/>
      <c r="EK157" s="14"/>
      <c r="EL157" s="14"/>
    </row>
    <row r="158" spans="1:142" s="63" customFormat="1" ht="18" customHeight="1" x14ac:dyDescent="0.2">
      <c r="A158" s="35"/>
      <c r="B158" s="1410" t="s">
        <v>1713</v>
      </c>
      <c r="C158" s="1410"/>
      <c r="D158" s="1410"/>
      <c r="E158" s="1373">
        <f>P148</f>
        <v>0</v>
      </c>
      <c r="F158" s="1347"/>
      <c r="G158" s="1702" t="s">
        <v>1942</v>
      </c>
      <c r="H158" s="1627"/>
      <c r="I158" s="1628"/>
      <c r="J158" s="1534"/>
      <c r="K158" s="1534"/>
      <c r="L158" s="1588"/>
      <c r="M158" s="1589"/>
      <c r="N158" s="1589"/>
      <c r="O158" s="1590"/>
      <c r="P158" s="1631"/>
      <c r="Q158" s="35"/>
      <c r="R158" s="18"/>
      <c r="S158" s="851">
        <f>E158</f>
        <v>0</v>
      </c>
      <c r="T158" s="854">
        <f>LARGE($S$153:$S$160,6)</f>
        <v>0</v>
      </c>
      <c r="U158" s="684">
        <f t="shared" si="9"/>
        <v>0</v>
      </c>
      <c r="V158" s="851">
        <f t="shared" si="8"/>
        <v>0</v>
      </c>
      <c r="W158" s="18"/>
      <c r="X158" s="1094"/>
      <c r="Y158" s="1094"/>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4"/>
      <c r="BB158" s="14"/>
      <c r="BC158" s="14"/>
      <c r="BD158" s="14"/>
      <c r="BE158" s="14"/>
      <c r="BF158" s="14"/>
      <c r="BG158" s="14"/>
      <c r="BH158" s="14"/>
      <c r="BI158" s="14"/>
      <c r="BJ158" s="14"/>
      <c r="BK158" s="14"/>
      <c r="BL158" s="14"/>
      <c r="BM158" s="14"/>
      <c r="BN158" s="14"/>
      <c r="BO158" s="14"/>
      <c r="BP158" s="14"/>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row>
    <row r="159" spans="1:142" s="63" customFormat="1" ht="18" customHeight="1" x14ac:dyDescent="0.2">
      <c r="A159" s="35"/>
      <c r="B159" s="1362" t="s">
        <v>1714</v>
      </c>
      <c r="C159" s="1363"/>
      <c r="D159" s="1364"/>
      <c r="E159" s="1342">
        <f>P149</f>
        <v>0</v>
      </c>
      <c r="F159" s="1343"/>
      <c r="G159" s="1702" t="s">
        <v>1942</v>
      </c>
      <c r="H159" s="1627"/>
      <c r="I159" s="1628"/>
      <c r="J159" s="1534"/>
      <c r="K159" s="1534"/>
      <c r="L159" s="1588"/>
      <c r="M159" s="1589"/>
      <c r="N159" s="1589"/>
      <c r="O159" s="1590"/>
      <c r="P159" s="1631"/>
      <c r="Q159" s="35"/>
      <c r="R159" s="18"/>
      <c r="S159" s="851">
        <f>E159</f>
        <v>0</v>
      </c>
      <c r="T159" s="854">
        <f>LARGE($S$153:$S$160,7)</f>
        <v>0</v>
      </c>
      <c r="U159" s="684">
        <f t="shared" si="9"/>
        <v>0</v>
      </c>
      <c r="V159" s="851">
        <f t="shared" si="8"/>
        <v>0</v>
      </c>
      <c r="W159" s="18"/>
      <c r="X159" s="1094"/>
      <c r="Y159" s="1094"/>
      <c r="Z159" s="925"/>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4"/>
      <c r="BB159" s="14"/>
      <c r="BC159" s="14"/>
      <c r="BD159" s="14"/>
      <c r="BE159" s="14"/>
      <c r="BF159" s="14"/>
      <c r="BG159" s="14"/>
      <c r="BH159" s="14"/>
      <c r="BI159" s="14"/>
      <c r="BJ159" s="14"/>
      <c r="BK159" s="14"/>
      <c r="BL159" s="14"/>
      <c r="BM159" s="14"/>
      <c r="BN159" s="14"/>
      <c r="BO159" s="14"/>
      <c r="BP159" s="14"/>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row>
    <row r="160" spans="1:142" s="63" customFormat="1" ht="18" customHeight="1" x14ac:dyDescent="0.2">
      <c r="A160" s="35"/>
      <c r="B160" s="1408" t="s">
        <v>1128</v>
      </c>
      <c r="C160" s="1408"/>
      <c r="D160" s="1408"/>
      <c r="E160" s="1630">
        <f>P150</f>
        <v>0</v>
      </c>
      <c r="F160" s="1630"/>
      <c r="G160" s="1941" t="s">
        <v>1942</v>
      </c>
      <c r="H160" s="1902"/>
      <c r="I160" s="1942"/>
      <c r="J160" s="1645"/>
      <c r="K160" s="1645"/>
      <c r="L160" s="1588"/>
      <c r="M160" s="1589"/>
      <c r="N160" s="1589"/>
      <c r="O160" s="1590"/>
      <c r="P160" s="1631"/>
      <c r="Q160" s="35"/>
      <c r="R160" s="18"/>
      <c r="S160" s="851">
        <f>E160</f>
        <v>0</v>
      </c>
      <c r="T160" s="854">
        <f>LARGE($S$153:$S$160,8)</f>
        <v>0</v>
      </c>
      <c r="U160" s="114"/>
      <c r="V160" s="157"/>
      <c r="X160" s="1094"/>
      <c r="Y160" s="1094"/>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4"/>
      <c r="BB160" s="14"/>
      <c r="BC160" s="14"/>
      <c r="BD160" s="14"/>
      <c r="BE160" s="14"/>
      <c r="BF160" s="14"/>
      <c r="BG160" s="14"/>
      <c r="BH160" s="14"/>
      <c r="BI160" s="14"/>
      <c r="BJ160" s="14"/>
      <c r="BK160" s="14"/>
      <c r="BL160" s="14"/>
      <c r="BM160" s="14"/>
      <c r="BN160" s="14"/>
      <c r="BO160" s="14"/>
      <c r="BP160" s="14"/>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row>
    <row r="161" spans="1:142" s="63" customFormat="1" ht="18" customHeight="1" x14ac:dyDescent="0.2">
      <c r="A161" s="35"/>
      <c r="B161" s="1568" t="s">
        <v>437</v>
      </c>
      <c r="C161" s="1568"/>
      <c r="D161" s="1568"/>
      <c r="E161" s="1568"/>
      <c r="F161" s="1568"/>
      <c r="G161" s="1568"/>
      <c r="H161" s="1568"/>
      <c r="I161" s="1568"/>
      <c r="J161" s="1568"/>
      <c r="K161" s="1568"/>
      <c r="L161" s="1568"/>
      <c r="M161" s="1568"/>
      <c r="N161" s="1568"/>
      <c r="O161" s="1568"/>
      <c r="P161" s="1623"/>
      <c r="Q161" s="35"/>
      <c r="R161" s="18"/>
      <c r="S161" s="19"/>
      <c r="T161" s="114"/>
      <c r="U161" s="157"/>
      <c r="V161" s="18"/>
      <c r="W161" s="1087"/>
      <c r="X161" s="1094"/>
      <c r="Y161" s="1094"/>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4"/>
      <c r="BB161" s="14"/>
      <c r="BC161" s="14"/>
      <c r="BD161" s="14"/>
      <c r="BE161" s="14"/>
      <c r="BF161" s="14"/>
      <c r="BG161" s="14"/>
      <c r="BH161" s="14"/>
      <c r="BI161" s="14"/>
      <c r="BJ161" s="14"/>
      <c r="BK161" s="14"/>
      <c r="BL161" s="14"/>
      <c r="BM161" s="14"/>
      <c r="BN161" s="14"/>
      <c r="BO161" s="14"/>
      <c r="BP161" s="14"/>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row>
    <row r="162" spans="1:142" s="63" customFormat="1" x14ac:dyDescent="0.2">
      <c r="A162" s="35"/>
      <c r="B162" s="1772"/>
      <c r="C162" s="1772"/>
      <c r="D162" s="1772"/>
      <c r="E162" s="1772"/>
      <c r="F162" s="1772"/>
      <c r="G162" s="1772"/>
      <c r="H162" s="1772"/>
      <c r="I162" s="1772"/>
      <c r="J162" s="1772"/>
      <c r="K162" s="1772"/>
      <c r="L162" s="1772"/>
      <c r="M162" s="1772"/>
      <c r="N162" s="1772"/>
      <c r="O162" s="1772"/>
      <c r="P162" s="35"/>
      <c r="Q162" s="35"/>
      <c r="R162" s="18"/>
      <c r="S162" s="18"/>
      <c r="T162" s="18"/>
      <c r="U162" s="18"/>
      <c r="V162" s="7"/>
      <c r="W162" s="1087"/>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4"/>
      <c r="BB162" s="14"/>
      <c r="BC162" s="14"/>
      <c r="BD162" s="14"/>
      <c r="BE162" s="14"/>
      <c r="BF162" s="14"/>
      <c r="BG162" s="14"/>
      <c r="BH162" s="14"/>
      <c r="BI162" s="14"/>
      <c r="BJ162" s="14"/>
      <c r="BK162" s="14"/>
      <c r="BL162" s="14"/>
      <c r="BM162" s="14"/>
      <c r="BN162" s="14"/>
      <c r="BO162" s="14"/>
      <c r="BP162" s="14"/>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row>
    <row r="163" spans="1:142" s="63" customFormat="1" x14ac:dyDescent="0.2">
      <c r="A163" s="35"/>
      <c r="B163" s="1772"/>
      <c r="C163" s="1772"/>
      <c r="D163" s="1772"/>
      <c r="E163" s="1772"/>
      <c r="F163" s="1772"/>
      <c r="G163" s="1772"/>
      <c r="H163" s="1772"/>
      <c r="I163" s="1772"/>
      <c r="J163" s="1772"/>
      <c r="K163" s="1772"/>
      <c r="L163" s="1772"/>
      <c r="M163" s="1772"/>
      <c r="N163" s="1772"/>
      <c r="O163" s="1772"/>
      <c r="P163" s="1772"/>
      <c r="Q163" s="35"/>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4"/>
      <c r="BB163" s="14"/>
      <c r="BC163" s="14"/>
      <c r="BD163" s="14"/>
      <c r="BE163" s="14"/>
      <c r="BF163" s="14"/>
      <c r="BG163" s="14"/>
      <c r="BH163" s="14"/>
      <c r="BI163" s="14"/>
      <c r="BJ163" s="14"/>
      <c r="BK163" s="14"/>
      <c r="BL163" s="14"/>
      <c r="BM163" s="14"/>
      <c r="BN163" s="14"/>
      <c r="BO163" s="14"/>
      <c r="BP163" s="14"/>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row>
    <row r="164" spans="1:142" s="63" customFormat="1" ht="18" customHeight="1" x14ac:dyDescent="0.2">
      <c r="A164" s="35"/>
      <c r="B164" s="1860" t="s">
        <v>870</v>
      </c>
      <c r="C164" s="1959"/>
      <c r="D164" s="1959"/>
      <c r="E164" s="1959"/>
      <c r="F164" s="1959"/>
      <c r="G164" s="1959"/>
      <c r="H164" s="1959"/>
      <c r="I164" s="1959"/>
      <c r="J164" s="1959"/>
      <c r="K164" s="1959"/>
      <c r="L164" s="1959"/>
      <c r="M164" s="1959"/>
      <c r="N164" s="1959"/>
      <c r="O164" s="1959"/>
      <c r="P164" s="1959"/>
      <c r="Q164" s="35"/>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4"/>
      <c r="BB164" s="14"/>
      <c r="BC164" s="14"/>
      <c r="BD164" s="14"/>
      <c r="BE164" s="14"/>
      <c r="BF164" s="14"/>
      <c r="BG164" s="14"/>
      <c r="BH164" s="14"/>
      <c r="BI164" s="14"/>
      <c r="BJ164" s="14"/>
      <c r="BK164" s="14"/>
      <c r="BL164" s="14"/>
      <c r="BM164" s="14"/>
      <c r="BN164" s="14"/>
      <c r="BO164" s="14"/>
      <c r="BP164" s="14"/>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row>
    <row r="165" spans="1:142" s="63" customFormat="1" ht="15" customHeight="1" x14ac:dyDescent="0.2">
      <c r="A165" s="35"/>
      <c r="B165" s="1555" t="s">
        <v>709</v>
      </c>
      <c r="C165" s="1555"/>
      <c r="D165" s="1555"/>
      <c r="E165" s="1555"/>
      <c r="F165" s="1555"/>
      <c r="G165" s="1555"/>
      <c r="H165" s="1555"/>
      <c r="I165" s="1555"/>
      <c r="J165" s="1555"/>
      <c r="K165" s="1555"/>
      <c r="L165" s="1555"/>
      <c r="M165" s="1555"/>
      <c r="N165" s="1555"/>
      <c r="O165" s="1555"/>
      <c r="P165" s="1555"/>
      <c r="Q165" s="35"/>
      <c r="R165" s="18"/>
      <c r="S165" s="18"/>
      <c r="T165" s="1379" t="s">
        <v>710</v>
      </c>
      <c r="U165" s="838" t="s">
        <v>1318</v>
      </c>
      <c r="V165" s="838" t="s">
        <v>1075</v>
      </c>
      <c r="W165" s="695" t="s">
        <v>1076</v>
      </c>
      <c r="X165" s="838" t="s">
        <v>1264</v>
      </c>
      <c r="Y165" s="838" t="s">
        <v>1265</v>
      </c>
      <c r="Z165" s="838" t="s">
        <v>1866</v>
      </c>
      <c r="AA165" s="841" t="s">
        <v>1704</v>
      </c>
      <c r="AB165" s="841" t="s">
        <v>99</v>
      </c>
      <c r="AC165" s="841" t="s">
        <v>100</v>
      </c>
      <c r="AD165" s="838" t="s">
        <v>1741</v>
      </c>
      <c r="AE165" s="838" t="s">
        <v>1742</v>
      </c>
      <c r="AF165" s="838" t="s">
        <v>1743</v>
      </c>
      <c r="AG165" s="838" t="s">
        <v>78</v>
      </c>
      <c r="AH165" s="838" t="s">
        <v>79</v>
      </c>
      <c r="AI165" s="838" t="s">
        <v>821</v>
      </c>
      <c r="AJ165" s="838" t="s">
        <v>822</v>
      </c>
      <c r="AK165" s="838" t="s">
        <v>823</v>
      </c>
      <c r="AL165" s="838" t="s">
        <v>824</v>
      </c>
      <c r="AM165" s="838" t="s">
        <v>1134</v>
      </c>
      <c r="AN165" s="838" t="s">
        <v>1544</v>
      </c>
      <c r="AO165" s="838" t="s">
        <v>203</v>
      </c>
      <c r="AP165" s="18"/>
      <c r="AQ165" s="18"/>
      <c r="AR165" s="18"/>
      <c r="AS165" s="18"/>
      <c r="AT165" s="18"/>
      <c r="AU165" s="18"/>
      <c r="AV165" s="18"/>
      <c r="AW165" s="18"/>
      <c r="AX165" s="18"/>
      <c r="AY165" s="18"/>
      <c r="AZ165" s="18"/>
      <c r="BA165" s="18"/>
      <c r="BB165" s="18"/>
      <c r="BC165" s="18"/>
      <c r="BD165" s="18"/>
      <c r="BE165" s="18"/>
      <c r="BF165" s="14"/>
      <c r="BG165" s="14"/>
      <c r="BH165" s="14"/>
      <c r="BI165" s="14"/>
      <c r="BJ165" s="14"/>
      <c r="BK165" s="14"/>
      <c r="BL165" s="14"/>
      <c r="BM165" s="14"/>
      <c r="BN165" s="14"/>
      <c r="BO165" s="14"/>
      <c r="BP165" s="14"/>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row>
    <row r="166" spans="1:142" s="63" customFormat="1" ht="27" customHeight="1" x14ac:dyDescent="0.2">
      <c r="A166" s="35"/>
      <c r="B166" s="1629"/>
      <c r="C166" s="1629"/>
      <c r="D166" s="1629"/>
      <c r="E166" s="1629"/>
      <c r="F166" s="1629"/>
      <c r="G166" s="1629"/>
      <c r="H166" s="1629"/>
      <c r="I166" s="1629"/>
      <c r="J166" s="1629"/>
      <c r="K166" s="1629"/>
      <c r="L166" s="1629"/>
      <c r="M166" s="1629"/>
      <c r="N166" s="1629"/>
      <c r="O166" s="1629"/>
      <c r="P166" s="26">
        <f>SUMIF(U165:AO165,B166,U166:AO166)</f>
        <v>0</v>
      </c>
      <c r="Q166" s="35"/>
      <c r="R166" s="18"/>
      <c r="S166" s="18"/>
      <c r="T166" s="1379"/>
      <c r="U166" s="842">
        <v>0</v>
      </c>
      <c r="V166" s="841">
        <v>0.05</v>
      </c>
      <c r="W166" s="841">
        <v>0.1</v>
      </c>
      <c r="X166" s="841">
        <v>0.15</v>
      </c>
      <c r="Y166" s="841">
        <v>0.2</v>
      </c>
      <c r="Z166" s="841">
        <v>0.25</v>
      </c>
      <c r="AA166" s="841">
        <v>0.3</v>
      </c>
      <c r="AB166" s="841">
        <v>0.35</v>
      </c>
      <c r="AC166" s="841">
        <v>0.4</v>
      </c>
      <c r="AD166" s="841">
        <v>0.45</v>
      </c>
      <c r="AE166" s="841">
        <v>0.5</v>
      </c>
      <c r="AF166" s="841">
        <v>0.55000000000000004</v>
      </c>
      <c r="AG166" s="841">
        <v>0.6</v>
      </c>
      <c r="AH166" s="841">
        <v>0.65</v>
      </c>
      <c r="AI166" s="841">
        <v>0.7</v>
      </c>
      <c r="AJ166" s="841">
        <v>0.75</v>
      </c>
      <c r="AK166" s="841">
        <v>0.8</v>
      </c>
      <c r="AL166" s="841">
        <v>0.85</v>
      </c>
      <c r="AM166" s="841">
        <v>0.9</v>
      </c>
      <c r="AN166" s="841">
        <v>0.95</v>
      </c>
      <c r="AO166" s="841">
        <v>1</v>
      </c>
      <c r="AP166" s="18"/>
      <c r="AQ166" s="18"/>
      <c r="AR166" s="18"/>
      <c r="AS166" s="18"/>
      <c r="AT166" s="18"/>
      <c r="AU166" s="18"/>
      <c r="AV166" s="18"/>
      <c r="AW166" s="18"/>
      <c r="AX166" s="18"/>
      <c r="AY166" s="18"/>
      <c r="AZ166" s="18"/>
      <c r="BA166" s="18"/>
      <c r="BB166" s="18"/>
      <c r="BC166" s="18"/>
      <c r="BD166" s="18"/>
      <c r="BE166" s="18"/>
      <c r="BF166" s="14"/>
      <c r="BG166" s="14"/>
      <c r="BH166" s="14"/>
      <c r="BI166" s="14"/>
      <c r="BJ166" s="14"/>
      <c r="BK166" s="14"/>
      <c r="BL166" s="14"/>
      <c r="BM166" s="14"/>
      <c r="BN166" s="14"/>
      <c r="BO166" s="14"/>
      <c r="BP166" s="14"/>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row>
    <row r="167" spans="1:142" s="63" customFormat="1" ht="12" customHeight="1" x14ac:dyDescent="0.25">
      <c r="A167" s="35"/>
      <c r="B167" s="1924"/>
      <c r="C167" s="1924"/>
      <c r="D167" s="1924"/>
      <c r="E167" s="1924"/>
      <c r="F167" s="1924"/>
      <c r="G167" s="1924"/>
      <c r="H167" s="1924"/>
      <c r="I167" s="1924"/>
      <c r="J167" s="1924"/>
      <c r="K167" s="1924"/>
      <c r="L167" s="1924"/>
      <c r="M167" s="1924"/>
      <c r="N167" s="1924"/>
      <c r="O167" s="1924"/>
      <c r="P167" s="1924"/>
      <c r="Q167" s="35"/>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4"/>
      <c r="BG167" s="14"/>
      <c r="BH167" s="14"/>
      <c r="BI167" s="14"/>
      <c r="BJ167" s="14"/>
      <c r="BK167" s="14"/>
      <c r="BL167" s="14"/>
      <c r="BM167" s="14"/>
      <c r="BN167" s="14"/>
      <c r="BO167" s="14"/>
      <c r="BP167" s="14"/>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row>
    <row r="168" spans="1:142" s="63" customFormat="1" ht="18" customHeight="1" x14ac:dyDescent="0.2">
      <c r="A168" s="35"/>
      <c r="B168" s="1549" t="s">
        <v>871</v>
      </c>
      <c r="C168" s="1550"/>
      <c r="D168" s="1550"/>
      <c r="E168" s="1550"/>
      <c r="F168" s="1550"/>
      <c r="G168" s="1550"/>
      <c r="H168" s="1550"/>
      <c r="I168" s="1550"/>
      <c r="J168" s="1550"/>
      <c r="K168" s="1550"/>
      <c r="L168" s="1550"/>
      <c r="M168" s="1550"/>
      <c r="N168" s="1550"/>
      <c r="O168" s="1550"/>
      <c r="P168" s="1645"/>
      <c r="Q168" s="35"/>
      <c r="R168" s="18"/>
      <c r="S168" s="18"/>
      <c r="T168" s="18"/>
      <c r="U168" s="18"/>
      <c r="V168" s="18"/>
      <c r="W168" s="18"/>
      <c r="X168" s="18"/>
      <c r="Y168" s="18"/>
      <c r="Z168" s="18"/>
      <c r="AA168" s="859"/>
      <c r="AB168" s="859"/>
      <c r="AC168" s="859"/>
      <c r="AD168" s="859"/>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4"/>
      <c r="BB168" s="14"/>
      <c r="BC168" s="14"/>
      <c r="BD168" s="14"/>
      <c r="BE168" s="14"/>
      <c r="BF168" s="14"/>
      <c r="BG168" s="14"/>
      <c r="BH168" s="14"/>
      <c r="BI168" s="14"/>
      <c r="BJ168" s="14"/>
      <c r="BK168" s="14"/>
      <c r="BL168" s="14"/>
      <c r="BM168" s="14"/>
      <c r="BN168" s="14"/>
      <c r="BO168" s="14"/>
      <c r="BP168" s="14"/>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row>
    <row r="169" spans="1:142" s="63" customFormat="1" ht="15" customHeight="1" x14ac:dyDescent="0.2">
      <c r="A169" s="35"/>
      <c r="B169" s="345" t="s">
        <v>1546</v>
      </c>
      <c r="C169" s="1962"/>
      <c r="D169" s="1963"/>
      <c r="E169" s="1963"/>
      <c r="F169" s="1963"/>
      <c r="G169" s="1963"/>
      <c r="H169" s="1963"/>
      <c r="I169" s="1963"/>
      <c r="J169" s="1963"/>
      <c r="K169" s="1963"/>
      <c r="L169" s="1956"/>
      <c r="M169" s="1957"/>
      <c r="N169" s="1958"/>
      <c r="O169" s="79">
        <f>IF(C169=T169,0.45,IF(C169=U169,0.3,IF(C169=V169,0.45,0)))</f>
        <v>0</v>
      </c>
      <c r="P169" s="1745"/>
      <c r="Q169" s="35"/>
      <c r="R169" s="1557" t="s">
        <v>2197</v>
      </c>
      <c r="S169" s="844" t="s">
        <v>1942</v>
      </c>
      <c r="T169" s="844" t="s">
        <v>1547</v>
      </c>
      <c r="U169" s="849" t="s">
        <v>1548</v>
      </c>
      <c r="V169" s="844" t="s">
        <v>1549</v>
      </c>
      <c r="W169" s="18"/>
      <c r="X169" s="18"/>
      <c r="Y169" s="18"/>
      <c r="Z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4"/>
      <c r="BB169" s="14"/>
      <c r="BC169" s="14"/>
      <c r="BD169" s="14"/>
      <c r="BE169" s="14"/>
      <c r="BF169" s="14"/>
      <c r="BG169" s="14"/>
      <c r="BH169" s="14"/>
      <c r="BI169" s="14"/>
      <c r="BJ169" s="14"/>
      <c r="BK169" s="14"/>
      <c r="BL169" s="14"/>
      <c r="BM169" s="14"/>
      <c r="BN169" s="14"/>
      <c r="BO169" s="14"/>
      <c r="BP169" s="14"/>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row>
    <row r="170" spans="1:142" s="63" customFormat="1" ht="15" customHeight="1" x14ac:dyDescent="0.2">
      <c r="A170" s="35"/>
      <c r="B170" s="337" t="s">
        <v>1706</v>
      </c>
      <c r="C170" s="1944"/>
      <c r="D170" s="1953"/>
      <c r="E170" s="1953"/>
      <c r="F170" s="1953"/>
      <c r="G170" s="1953"/>
      <c r="H170" s="1953"/>
      <c r="I170" s="1953"/>
      <c r="J170" s="1953"/>
      <c r="K170" s="1953"/>
      <c r="L170" s="1646"/>
      <c r="M170" s="1647"/>
      <c r="N170" s="1648"/>
      <c r="O170" s="76">
        <f>IF(C170=T170,0.8,IF(C170=U170,0.45,IF(C170=V170,0.8,0)))</f>
        <v>0</v>
      </c>
      <c r="P170" s="1745"/>
      <c r="Q170" s="35"/>
      <c r="R170" s="1557"/>
      <c r="S170" s="844" t="s">
        <v>1942</v>
      </c>
      <c r="T170" s="844" t="s">
        <v>1547</v>
      </c>
      <c r="U170" s="849" t="s">
        <v>1548</v>
      </c>
      <c r="V170" s="844" t="s">
        <v>1549</v>
      </c>
      <c r="W170" s="18"/>
      <c r="X170" s="18"/>
      <c r="Y170" s="18"/>
      <c r="Z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4"/>
      <c r="BB170" s="14"/>
      <c r="BC170" s="14"/>
      <c r="BD170" s="14"/>
      <c r="BE170" s="14"/>
      <c r="BF170" s="14"/>
      <c r="BG170" s="14"/>
      <c r="BH170" s="14"/>
      <c r="BI170" s="14"/>
      <c r="BJ170" s="14"/>
      <c r="BK170" s="14"/>
      <c r="BL170" s="14"/>
      <c r="BM170" s="14"/>
      <c r="BN170" s="14"/>
      <c r="BO170" s="14"/>
      <c r="BP170" s="14"/>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row>
    <row r="171" spans="1:142" s="63" customFormat="1" ht="12" customHeight="1" x14ac:dyDescent="0.25">
      <c r="A171" s="35"/>
      <c r="B171" s="1961"/>
      <c r="C171" s="1876"/>
      <c r="D171" s="1876"/>
      <c r="E171" s="1876"/>
      <c r="F171" s="1876"/>
      <c r="G171" s="1876"/>
      <c r="H171" s="1876"/>
      <c r="I171" s="1876"/>
      <c r="J171" s="1876"/>
      <c r="K171" s="1876"/>
      <c r="L171" s="1876"/>
      <c r="M171" s="1876"/>
      <c r="N171" s="1876"/>
      <c r="O171" s="1876"/>
      <c r="P171" s="1745"/>
      <c r="Q171" s="35"/>
      <c r="R171" s="18"/>
      <c r="S171" s="698"/>
      <c r="T171" s="698"/>
      <c r="U171" s="698"/>
      <c r="V171" s="18"/>
      <c r="W171" s="18"/>
      <c r="X171" s="18"/>
      <c r="Y171" s="18"/>
      <c r="Z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4"/>
      <c r="BB171" s="14"/>
      <c r="BC171" s="14"/>
      <c r="BD171" s="14"/>
      <c r="BE171" s="14"/>
      <c r="BF171" s="14"/>
      <c r="BG171" s="14"/>
      <c r="BH171" s="14"/>
      <c r="BI171" s="14"/>
      <c r="BJ171" s="14"/>
      <c r="BK171" s="14"/>
      <c r="BL171" s="14"/>
      <c r="BM171" s="14"/>
      <c r="BN171" s="14"/>
      <c r="BO171" s="14"/>
      <c r="BP171" s="14"/>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row>
    <row r="172" spans="1:142" s="63" customFormat="1" ht="28.5" customHeight="1" x14ac:dyDescent="0.2">
      <c r="A172" s="35"/>
      <c r="B172" s="250"/>
      <c r="C172" s="1549" t="s">
        <v>1596</v>
      </c>
      <c r="D172" s="1550"/>
      <c r="E172" s="1550"/>
      <c r="F172" s="1550"/>
      <c r="G172" s="1536" t="s">
        <v>1081</v>
      </c>
      <c r="H172" s="1536"/>
      <c r="I172" s="1536"/>
      <c r="J172" s="1536"/>
      <c r="K172" s="1536"/>
      <c r="L172" s="1739"/>
      <c r="M172" s="1812"/>
      <c r="N172" s="1812"/>
      <c r="O172" s="1812"/>
      <c r="P172" s="1745"/>
      <c r="Q172" s="35"/>
      <c r="R172" s="1094"/>
      <c r="S172" s="859"/>
      <c r="T172" s="1536" t="s">
        <v>1258</v>
      </c>
      <c r="U172" s="1536"/>
      <c r="V172" s="18"/>
      <c r="W172" s="18"/>
      <c r="X172" s="18"/>
      <c r="Y172" s="1531" t="s">
        <v>2263</v>
      </c>
      <c r="Z172" s="1535"/>
      <c r="AA172" s="1532"/>
      <c r="AB172" s="1087"/>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4"/>
      <c r="BB172" s="14"/>
      <c r="BC172" s="14"/>
      <c r="BD172" s="14"/>
      <c r="BE172" s="14"/>
      <c r="BF172" s="14"/>
      <c r="BG172" s="14"/>
      <c r="BH172" s="14"/>
      <c r="BI172" s="14"/>
      <c r="BJ172" s="14"/>
      <c r="BK172" s="14"/>
      <c r="BL172" s="14"/>
      <c r="BM172" s="14"/>
      <c r="BN172" s="14"/>
      <c r="BO172" s="14"/>
      <c r="BP172" s="14"/>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row>
    <row r="173" spans="1:142" s="63" customFormat="1" ht="15" customHeight="1" x14ac:dyDescent="0.2">
      <c r="A173" s="35"/>
      <c r="B173" s="156" t="s">
        <v>1841</v>
      </c>
      <c r="C173" s="1555" t="s">
        <v>365</v>
      </c>
      <c r="D173" s="1555"/>
      <c r="E173" s="1555" t="s">
        <v>1796</v>
      </c>
      <c r="F173" s="1555"/>
      <c r="G173" s="1450" t="s">
        <v>365</v>
      </c>
      <c r="H173" s="1450"/>
      <c r="I173" s="1450"/>
      <c r="J173" s="1450" t="s">
        <v>1796</v>
      </c>
      <c r="K173" s="1450"/>
      <c r="L173" s="1578"/>
      <c r="M173" s="1578"/>
      <c r="N173" s="1578"/>
      <c r="O173" s="1578"/>
      <c r="P173" s="1745"/>
      <c r="Q173" s="35"/>
      <c r="S173" s="844" t="s">
        <v>1573</v>
      </c>
      <c r="T173" s="849" t="s">
        <v>1596</v>
      </c>
      <c r="U173" s="849" t="s">
        <v>1597</v>
      </c>
      <c r="V173" s="1555" t="s">
        <v>1083</v>
      </c>
      <c r="W173" s="1555"/>
      <c r="X173" s="859"/>
      <c r="Y173" s="1089">
        <f>IF(OR(O169&gt;0,O170&gt;0,E175&gt;0,E177&gt;0),1,0)</f>
        <v>0</v>
      </c>
      <c r="Z173" s="1080">
        <f>IF(AND(OR(O169&gt;0,O170&gt;0),OR(E174&gt;0,E176&gt;0),C179&gt;0),C179*O178,O178)</f>
        <v>0</v>
      </c>
      <c r="AA173" s="1056">
        <f>IF(AND(Y173=0,C179&gt;0),C179*AB178,AB178)</f>
        <v>0</v>
      </c>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4"/>
      <c r="BB173" s="14"/>
      <c r="BC173" s="14"/>
      <c r="BD173" s="14"/>
      <c r="BE173" s="14"/>
      <c r="BF173" s="14"/>
      <c r="BG173" s="14"/>
      <c r="BH173" s="14"/>
      <c r="BI173" s="14"/>
      <c r="BJ173" s="14"/>
      <c r="BK173" s="14"/>
      <c r="BL173" s="14"/>
      <c r="BM173" s="14"/>
      <c r="BN173" s="14"/>
      <c r="BO173" s="14"/>
      <c r="BP173" s="14"/>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row>
    <row r="174" spans="1:142" s="63" customFormat="1" ht="15" customHeight="1" x14ac:dyDescent="0.2">
      <c r="A174" s="35"/>
      <c r="B174" s="358" t="s">
        <v>1335</v>
      </c>
      <c r="C174" s="1637"/>
      <c r="D174" s="1637"/>
      <c r="E174" s="1865">
        <f>LETable!AJ30</f>
        <v>0</v>
      </c>
      <c r="F174" s="1865"/>
      <c r="G174" s="1308"/>
      <c r="H174" s="1308"/>
      <c r="I174" s="1308"/>
      <c r="J174" s="1869">
        <f>IF(C174="",0,IF(OR(C174&lt;=0,G174&lt;=0),E174,IF(G174&lt;C174,0,LETable!AO30)))</f>
        <v>0</v>
      </c>
      <c r="K174" s="1869"/>
      <c r="L174" s="1938" t="str">
        <f>IF(OR(C174="NA",G174="NA"),"",IF(AND(C174&lt;&gt;"",G174=""),"Enter contralateral or NA.",IF(AND(C174="",G174&lt;&gt;""),"Need data","")))</f>
        <v/>
      </c>
      <c r="M174" s="1938"/>
      <c r="N174" s="1938"/>
      <c r="O174" s="1939"/>
      <c r="P174" s="1745"/>
      <c r="Q174" s="35"/>
      <c r="R174" s="1087"/>
      <c r="S174" s="844">
        <v>40</v>
      </c>
      <c r="T174" s="844" t="str">
        <f>IF(OR(C174="",C174="NA"),"",IF(C174&gt;S174,S174,IF(C174&lt;0,0,C174)))</f>
        <v/>
      </c>
      <c r="U174" s="844" t="str">
        <f>IF(OR(G174="",G174="NA"),"",IF(G174&gt;S174,S174,IF(G174&lt;0,0,G174)))</f>
        <v/>
      </c>
      <c r="V174" s="696" t="str">
        <f>IF(W174="","",ROUND(W174,0))</f>
        <v/>
      </c>
      <c r="W174" s="697" t="str">
        <f>IF(T174="","",IF(OR(U174="",U174=0,U174&lt;T174),T174,(T174*S174)/U174))</f>
        <v/>
      </c>
      <c r="X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4"/>
      <c r="BB174" s="14"/>
      <c r="BC174" s="14"/>
      <c r="BD174" s="14"/>
      <c r="BE174" s="14"/>
      <c r="BF174" s="14"/>
      <c r="BG174" s="14"/>
      <c r="BH174" s="14"/>
      <c r="BI174" s="14"/>
      <c r="BJ174" s="14"/>
      <c r="BK174" s="14"/>
      <c r="BL174" s="14"/>
      <c r="BM174" s="14"/>
      <c r="BN174" s="14"/>
      <c r="BO174" s="14"/>
      <c r="BP174" s="14"/>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row>
    <row r="175" spans="1:142" s="63" customFormat="1" ht="15" customHeight="1" x14ac:dyDescent="0.2">
      <c r="A175" s="35"/>
      <c r="B175" s="358" t="s">
        <v>1336</v>
      </c>
      <c r="C175" s="1952"/>
      <c r="D175" s="1952"/>
      <c r="E175" s="1865">
        <f>IF(AND(C175&lt;&gt;"",C175&lt;&gt;"NA",C174&lt;&gt;"NA",C174&lt;&gt;""),"ERROR",IF(AND(C175&lt;&gt;"",C175&lt;&gt;"NA",C176&lt;&gt;"",C176&lt;&gt;"NA"),"ERROR",LETable!AJ31))</f>
        <v>0</v>
      </c>
      <c r="F175" s="1865"/>
      <c r="G175" s="1556" t="str">
        <f>IF(E175="ERROR","Error: Cannot rate ROM and ankylosis.","")</f>
        <v/>
      </c>
      <c r="H175" s="1556"/>
      <c r="I175" s="1556"/>
      <c r="J175" s="1556"/>
      <c r="K175" s="1556"/>
      <c r="L175" s="1556"/>
      <c r="M175" s="1556"/>
      <c r="N175" s="1556"/>
      <c r="O175" s="1704"/>
      <c r="P175" s="1745"/>
      <c r="Q175" s="35"/>
      <c r="R175" s="18"/>
      <c r="S175" s="844">
        <v>40</v>
      </c>
      <c r="T175" s="844" t="str">
        <f>IF(OR(C175="",C175="NA"),"",IF(C175&gt;S175,S175,IF(C175&lt;0,0,C175)))</f>
        <v/>
      </c>
      <c r="U175" s="18"/>
      <c r="V175" s="18"/>
      <c r="W175" s="18"/>
      <c r="X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4"/>
      <c r="BB175" s="14"/>
      <c r="BC175" s="14"/>
      <c r="BD175" s="14"/>
      <c r="BE175" s="14"/>
      <c r="BF175" s="14"/>
      <c r="BG175" s="14"/>
      <c r="BH175" s="14"/>
      <c r="BI175" s="14"/>
      <c r="BJ175" s="14"/>
      <c r="BK175" s="14"/>
      <c r="BL175" s="14"/>
      <c r="BM175" s="14"/>
      <c r="BN175" s="14"/>
      <c r="BO175" s="14"/>
      <c r="BP175" s="14"/>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row>
    <row r="176" spans="1:142" s="63" customFormat="1" ht="15" customHeight="1" x14ac:dyDescent="0.2">
      <c r="A176" s="35"/>
      <c r="B176" s="156" t="s">
        <v>1256</v>
      </c>
      <c r="C176" s="1952"/>
      <c r="D176" s="1952"/>
      <c r="E176" s="1865">
        <f>LETable!AJ32</f>
        <v>0</v>
      </c>
      <c r="F176" s="1865"/>
      <c r="G176" s="1308"/>
      <c r="H176" s="1308"/>
      <c r="I176" s="1308"/>
      <c r="J176" s="1869">
        <f>IF(C176="",0,IF(OR(C176&lt;=0,G176&lt;=0),E176,IF(G176&lt;C176,0,LETable!AO32)))</f>
        <v>0</v>
      </c>
      <c r="K176" s="1869"/>
      <c r="L176" s="1938" t="str">
        <f>IF(OR(C176="NA",G176="NA"),"",IF(AND(C176&lt;&gt;"",G176=""),"Enter contralateral or NA.",IF(AND(C176="",G176&lt;&gt;""),"Need data","")))</f>
        <v/>
      </c>
      <c r="M176" s="1938"/>
      <c r="N176" s="1938"/>
      <c r="O176" s="1939"/>
      <c r="P176" s="1745"/>
      <c r="Q176" s="35"/>
      <c r="R176" s="18"/>
      <c r="S176" s="844">
        <v>30</v>
      </c>
      <c r="T176" s="844" t="str">
        <f>IF(OR(C176="",C176="NA"),"",IF(C176&gt;S176,S176,IF(C176&lt;0,0,C176)))</f>
        <v/>
      </c>
      <c r="U176" s="844" t="str">
        <f>IF(OR(G176="",G176="NA"),"",IF(G176&gt;S176,S176,IF(G176&lt;0,0,G176)))</f>
        <v/>
      </c>
      <c r="V176" s="696" t="str">
        <f>IF(W176="","",ROUND(W176,0))</f>
        <v/>
      </c>
      <c r="W176" s="697" t="str">
        <f>IF(T176="","",IF(OR(U176="",U176=0,U176&lt;T176),T176,(T176*S176)/U176))</f>
        <v/>
      </c>
      <c r="X176" s="18"/>
      <c r="Y176" s="1081" t="s">
        <v>2225</v>
      </c>
      <c r="Z176" s="1081" t="s">
        <v>1305</v>
      </c>
      <c r="AA176" s="1081" t="s">
        <v>1306</v>
      </c>
      <c r="AB176" s="1081" t="s">
        <v>1307</v>
      </c>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4"/>
      <c r="BB176" s="14"/>
      <c r="BC176" s="14"/>
      <c r="BD176" s="14"/>
      <c r="BE176" s="14"/>
      <c r="BF176" s="14"/>
      <c r="BG176" s="14"/>
      <c r="BH176" s="14"/>
      <c r="BI176" s="14"/>
      <c r="BJ176" s="14"/>
      <c r="BK176" s="14"/>
      <c r="BL176" s="14"/>
      <c r="BM176" s="14"/>
      <c r="BN176" s="14"/>
      <c r="BO176" s="14"/>
      <c r="BP176" s="14"/>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row>
    <row r="177" spans="1:142" s="63" customFormat="1" ht="15" customHeight="1" x14ac:dyDescent="0.2">
      <c r="A177" s="35"/>
      <c r="B177" s="357" t="s">
        <v>1840</v>
      </c>
      <c r="C177" s="1944"/>
      <c r="D177" s="1945"/>
      <c r="E177" s="1865">
        <f>IF(AND(C177&lt;&gt;"",C177&lt;&gt;"NA",C176&lt;&gt;"NA",C176&lt;&gt;""),"ERROR",IF(AND(C177&lt;&gt;"",C177&lt;&gt;"NA",C174&lt;&gt;"",C174&lt;&gt;"NA"),"ERROR",LETable!AJ33))</f>
        <v>0</v>
      </c>
      <c r="F177" s="1865"/>
      <c r="G177" s="1866" t="str">
        <f>IF(E177="ERROR","Error: Cannot rate ROM and ankylosis.",IF(AND(C175&lt;&gt;"",C175&lt;&gt;"NA",C177&lt;&gt;"",C177&lt;&gt;"NA"),"Multiple ankylosis values; use higher value only.",""))</f>
        <v/>
      </c>
      <c r="H177" s="1867"/>
      <c r="I177" s="1867"/>
      <c r="J177" s="1867"/>
      <c r="K177" s="1867"/>
      <c r="L177" s="1867"/>
      <c r="M177" s="1867"/>
      <c r="N177" s="1867"/>
      <c r="O177" s="1868"/>
      <c r="P177" s="1745"/>
      <c r="Q177" s="35"/>
      <c r="R177" s="18"/>
      <c r="S177" s="844">
        <v>30</v>
      </c>
      <c r="T177" s="844" t="str">
        <f>IF(OR(C177="",C177="NA"),"",IF(C177&gt;S177,S177,IF(C177&lt;0,0,C177)))</f>
        <v/>
      </c>
      <c r="U177" s="18"/>
      <c r="V177" s="18"/>
      <c r="W177" s="18"/>
      <c r="X177" s="18"/>
      <c r="Y177" s="242">
        <f>O169</f>
        <v>0</v>
      </c>
      <c r="Z177" s="1093">
        <f>LARGE($Y$177:$Y$179,1)</f>
        <v>0</v>
      </c>
      <c r="AA177" s="684">
        <f>Z177+Z178*(1-Z177)</f>
        <v>0</v>
      </c>
      <c r="AB177" s="1088">
        <f>ROUND(AA177,2)</f>
        <v>0</v>
      </c>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4"/>
      <c r="BB177" s="14"/>
      <c r="BC177" s="14"/>
      <c r="BD177" s="14"/>
      <c r="BE177" s="14"/>
      <c r="BF177" s="14"/>
      <c r="BG177" s="14"/>
      <c r="BH177" s="14"/>
      <c r="BI177" s="14"/>
      <c r="BJ177" s="14"/>
      <c r="BK177" s="14"/>
      <c r="BL177" s="14"/>
      <c r="BM177" s="14"/>
      <c r="BN177" s="14"/>
      <c r="BO177" s="14"/>
      <c r="BP177" s="14"/>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row>
    <row r="178" spans="1:142" s="63" customFormat="1" ht="21" customHeight="1" x14ac:dyDescent="0.2">
      <c r="A178" s="35"/>
      <c r="B178" s="1045"/>
      <c r="C178" s="1046"/>
      <c r="D178" s="1046"/>
      <c r="E178" s="1571" t="str">
        <f>IF(AND(OR(O169&gt;0,O170&gt;0,E175&gt;0,E177&gt;0),C179&gt;0),"Note: Ankylosis impairment is not apportioned.","")</f>
        <v/>
      </c>
      <c r="F178" s="1572"/>
      <c r="G178" s="1572"/>
      <c r="H178" s="1572"/>
      <c r="I178" s="1572"/>
      <c r="J178" s="1573"/>
      <c r="K178" s="1740" t="s">
        <v>1842</v>
      </c>
      <c r="L178" s="1741"/>
      <c r="M178" s="1741"/>
      <c r="N178" s="1742"/>
      <c r="O178" s="71">
        <f>IF(OR(E175="ERROR",E177="ERROR"),"ERROR",IF(R178&gt;1,1,R178))</f>
        <v>0</v>
      </c>
      <c r="P178" s="1746"/>
      <c r="Q178" s="35"/>
      <c r="R178" s="242">
        <f>SUM(J174,J176,W178)</f>
        <v>0</v>
      </c>
      <c r="S178" s="18"/>
      <c r="T178" s="18"/>
      <c r="U178" s="18"/>
      <c r="V178" s="18"/>
      <c r="W178" s="747">
        <f>IF(AND(E175&lt;&gt;"ERROR",E177&lt;&gt;"ERROR",C177&lt;&gt;"",E177&lt;&gt;""),MAX(E175,E177),E175+E177)</f>
        <v>0</v>
      </c>
      <c r="X178" s="18"/>
      <c r="Y178" s="242">
        <f>O170</f>
        <v>0</v>
      </c>
      <c r="Z178" s="1093">
        <f>LARGE($Y$177:$Y$179,2)</f>
        <v>0</v>
      </c>
      <c r="AA178" s="684">
        <f>AB177+Z179*(1-AB177)</f>
        <v>0</v>
      </c>
      <c r="AB178" s="1088">
        <f>ROUND(AA178,2)</f>
        <v>0</v>
      </c>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4"/>
      <c r="BB178" s="14"/>
      <c r="BC178" s="14"/>
      <c r="BD178" s="14"/>
      <c r="BE178" s="14"/>
      <c r="BF178" s="14"/>
      <c r="BG178" s="14"/>
      <c r="BH178" s="14"/>
      <c r="BI178" s="14"/>
      <c r="BJ178" s="14"/>
      <c r="BK178" s="14"/>
      <c r="BL178" s="14"/>
      <c r="BM178" s="14"/>
      <c r="BN178" s="14"/>
      <c r="BO178" s="14"/>
      <c r="BP178" s="14"/>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row>
    <row r="179" spans="1:142" s="63" customFormat="1" ht="21" customHeight="1" x14ac:dyDescent="0.2">
      <c r="A179" s="35"/>
      <c r="B179" s="1090" t="s">
        <v>2259</v>
      </c>
      <c r="C179" s="1544"/>
      <c r="D179" s="1577"/>
      <c r="E179" s="1574"/>
      <c r="F179" s="1575"/>
      <c r="G179" s="1575"/>
      <c r="H179" s="1575"/>
      <c r="I179" s="1575"/>
      <c r="J179" s="1576"/>
      <c r="K179" s="1740" t="s">
        <v>436</v>
      </c>
      <c r="L179" s="1741"/>
      <c r="M179" s="1741"/>
      <c r="N179" s="1741"/>
      <c r="O179" s="1742"/>
      <c r="P179" s="1115">
        <f>IF(O178="ERROR","ERROR",IF(AND(AA173&gt;0,AA173&lt;0.01),0.01,ROUND(AA173,2)))</f>
        <v>0</v>
      </c>
      <c r="Q179" s="35"/>
      <c r="R179" s="18"/>
      <c r="S179" s="18"/>
      <c r="T179" s="18"/>
      <c r="U179" s="18"/>
      <c r="V179" s="18"/>
      <c r="W179" s="18"/>
      <c r="X179" s="18"/>
      <c r="Y179" s="242">
        <f>IF(AND(Z173&lt;0.01,Z173&gt;0),0.01,ROUND(Z173,2))</f>
        <v>0</v>
      </c>
      <c r="Z179" s="1093">
        <f>LARGE($Y$177:$Y$179,3)</f>
        <v>0</v>
      </c>
      <c r="AA179" s="1087"/>
      <c r="AB179" s="1087"/>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4"/>
      <c r="BB179" s="14"/>
      <c r="BC179" s="14"/>
      <c r="BD179" s="14"/>
      <c r="BE179" s="14"/>
      <c r="BF179" s="14"/>
      <c r="BG179" s="14"/>
      <c r="BH179" s="14"/>
      <c r="BI179" s="14"/>
      <c r="BJ179" s="14"/>
      <c r="BK179" s="14"/>
      <c r="BL179" s="14"/>
      <c r="BM179" s="14"/>
      <c r="BN179" s="14"/>
      <c r="BO179" s="14"/>
      <c r="BP179" s="14"/>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row>
    <row r="180" spans="1:142" s="63" customFormat="1" ht="12" customHeight="1" x14ac:dyDescent="0.25">
      <c r="A180" s="35"/>
      <c r="B180" s="1876"/>
      <c r="C180" s="1876"/>
      <c r="D180" s="1876"/>
      <c r="E180" s="1876"/>
      <c r="F180" s="1876"/>
      <c r="G180" s="1876"/>
      <c r="H180" s="1876"/>
      <c r="I180" s="1876"/>
      <c r="J180" s="1876"/>
      <c r="K180" s="1876"/>
      <c r="L180" s="1876"/>
      <c r="M180" s="1876"/>
      <c r="N180" s="1876"/>
      <c r="O180" s="1876"/>
      <c r="P180" s="469"/>
      <c r="Q180" s="35"/>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4"/>
      <c r="BB180" s="14"/>
      <c r="BC180" s="14"/>
      <c r="BD180" s="14"/>
      <c r="BE180" s="14"/>
      <c r="BF180" s="14"/>
      <c r="BG180" s="14"/>
      <c r="BH180" s="14"/>
      <c r="BI180" s="14"/>
      <c r="BJ180" s="14"/>
      <c r="BK180" s="14"/>
      <c r="BL180" s="14"/>
      <c r="BM180" s="14"/>
      <c r="BN180" s="14"/>
      <c r="BO180" s="14"/>
      <c r="BP180" s="14"/>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row>
    <row r="181" spans="1:142" s="63" customFormat="1" ht="15" customHeight="1" x14ac:dyDescent="0.25">
      <c r="A181" s="35"/>
      <c r="B181" s="1549" t="s">
        <v>1999</v>
      </c>
      <c r="C181" s="1550"/>
      <c r="D181" s="1550"/>
      <c r="E181" s="1550"/>
      <c r="F181" s="1550"/>
      <c r="G181" s="1550"/>
      <c r="H181" s="1550"/>
      <c r="I181" s="1550"/>
      <c r="J181" s="1550"/>
      <c r="K181" s="1550"/>
      <c r="L181" s="1550"/>
      <c r="M181" s="1550"/>
      <c r="N181" s="1550"/>
      <c r="O181" s="1550"/>
      <c r="P181" s="470"/>
      <c r="Q181" s="35"/>
      <c r="R181" s="18"/>
      <c r="S181" s="1487" t="s">
        <v>2197</v>
      </c>
      <c r="T181" s="1487"/>
      <c r="U181" s="1487"/>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4"/>
      <c r="BB181" s="14"/>
      <c r="BC181" s="14"/>
      <c r="BD181" s="14"/>
      <c r="BE181" s="14"/>
      <c r="BF181" s="14"/>
      <c r="BG181" s="14"/>
      <c r="BH181" s="14"/>
      <c r="BI181" s="14"/>
      <c r="BJ181" s="14"/>
      <c r="BK181" s="14"/>
      <c r="BL181" s="14"/>
      <c r="BM181" s="14"/>
      <c r="BN181" s="14"/>
      <c r="BO181" s="14"/>
      <c r="BP181" s="14"/>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row>
    <row r="182" spans="1:142" s="63" customFormat="1" ht="15" customHeight="1" x14ac:dyDescent="0.2">
      <c r="A182" s="35"/>
      <c r="B182" s="376" t="s">
        <v>2012</v>
      </c>
      <c r="C182" s="1542"/>
      <c r="D182" s="1542"/>
      <c r="E182" s="1542"/>
      <c r="F182" s="1542"/>
      <c r="G182" s="1542"/>
      <c r="H182" s="1542"/>
      <c r="I182" s="1542"/>
      <c r="J182" s="1542"/>
      <c r="K182" s="1542"/>
      <c r="L182" s="1542"/>
      <c r="M182" s="1542"/>
      <c r="N182" s="1542"/>
      <c r="O182" s="83"/>
      <c r="P182" s="839">
        <f>IF($W$239&gt;0,0,R182)</f>
        <v>0</v>
      </c>
      <c r="Q182" s="837"/>
      <c r="R182" s="841">
        <f>IF(C182=S182,0,IF(C182=T182,0.05,IF(C182=U182,0.1,0)))</f>
        <v>0</v>
      </c>
      <c r="S182" s="838" t="s">
        <v>1942</v>
      </c>
      <c r="T182" s="838" t="s">
        <v>1785</v>
      </c>
      <c r="U182" s="838" t="s">
        <v>1786</v>
      </c>
      <c r="V182" s="161"/>
      <c r="W182" s="114"/>
      <c r="X182" s="162"/>
      <c r="Y182" s="1946"/>
      <c r="Z182" s="73"/>
      <c r="AA182" s="73"/>
      <c r="AB182" s="74"/>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4"/>
      <c r="BB182" s="14"/>
      <c r="BC182" s="14"/>
      <c r="BD182" s="14"/>
      <c r="BE182" s="14"/>
      <c r="BF182" s="14"/>
      <c r="BG182" s="14"/>
      <c r="BH182" s="14"/>
      <c r="BI182" s="14"/>
      <c r="BJ182" s="14"/>
      <c r="BK182" s="14"/>
      <c r="BL182" s="14"/>
      <c r="BM182" s="14"/>
      <c r="BN182" s="14"/>
      <c r="BO182" s="14"/>
      <c r="BP182" s="14"/>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row>
    <row r="183" spans="1:142" s="63" customFormat="1" ht="15" customHeight="1" x14ac:dyDescent="0.2">
      <c r="A183" s="35"/>
      <c r="B183" s="376" t="s">
        <v>2013</v>
      </c>
      <c r="C183" s="1542"/>
      <c r="D183" s="1542"/>
      <c r="E183" s="1542"/>
      <c r="F183" s="1542"/>
      <c r="G183" s="1542"/>
      <c r="H183" s="1542"/>
      <c r="I183" s="1542"/>
      <c r="J183" s="1542"/>
      <c r="K183" s="1542"/>
      <c r="L183" s="1542"/>
      <c r="M183" s="1542"/>
      <c r="N183" s="1542"/>
      <c r="O183" s="83"/>
      <c r="P183" s="839">
        <f>IF($W$239&gt;0,0,R183)</f>
        <v>0</v>
      </c>
      <c r="Q183" s="837"/>
      <c r="R183" s="841">
        <f>IF(C183=S183,0,IF(C183=T183,0.05,IF(C183=U183,0.1,0)))</f>
        <v>0</v>
      </c>
      <c r="S183" s="838" t="s">
        <v>1942</v>
      </c>
      <c r="T183" s="838" t="s">
        <v>1997</v>
      </c>
      <c r="U183" s="838" t="s">
        <v>1998</v>
      </c>
      <c r="V183" s="161"/>
      <c r="W183" s="114"/>
      <c r="X183" s="162"/>
      <c r="Y183" s="1946"/>
      <c r="Z183" s="73"/>
      <c r="AA183" s="73"/>
      <c r="AB183" s="74"/>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4"/>
      <c r="BB183" s="14"/>
      <c r="BC183" s="14"/>
      <c r="BD183" s="14"/>
      <c r="BE183" s="14"/>
      <c r="BF183" s="14"/>
      <c r="BG183" s="14"/>
      <c r="BH183" s="14"/>
      <c r="BI183" s="14"/>
      <c r="BJ183" s="14"/>
      <c r="BK183" s="14"/>
      <c r="BL183" s="14"/>
      <c r="BM183" s="14"/>
      <c r="BN183" s="14"/>
      <c r="BO183" s="14"/>
      <c r="BP183" s="14"/>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row>
    <row r="184" spans="1:142" s="63" customFormat="1" ht="26.25" customHeight="1" x14ac:dyDescent="0.2">
      <c r="A184" s="35"/>
      <c r="B184" s="1883" t="str">
        <f>IF(AND(OR(R182&gt;0,R183&gt;0),$W$239&gt;0),"A value has been given for loss of sensation or hypersensitivity in the foot. No additional value is allowed for the toes.","")</f>
        <v/>
      </c>
      <c r="C184" s="1883"/>
      <c r="D184" s="1883"/>
      <c r="E184" s="1883"/>
      <c r="F184" s="1883"/>
      <c r="G184" s="1883"/>
      <c r="H184" s="1883"/>
      <c r="I184" s="1883"/>
      <c r="J184" s="1883"/>
      <c r="K184" s="1883"/>
      <c r="L184" s="1883"/>
      <c r="M184" s="1883"/>
      <c r="N184" s="1883"/>
      <c r="O184" s="1883"/>
      <c r="P184" s="659"/>
      <c r="Q184" s="35"/>
      <c r="R184" s="18"/>
      <c r="S184" s="19"/>
      <c r="T184" s="19"/>
      <c r="U184" s="19"/>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4"/>
      <c r="BB184" s="14"/>
      <c r="BC184" s="14"/>
      <c r="BD184" s="14"/>
      <c r="BE184" s="14"/>
      <c r="BF184" s="14"/>
      <c r="BG184" s="14"/>
      <c r="BH184" s="14"/>
      <c r="BI184" s="14"/>
      <c r="BJ184" s="14"/>
      <c r="BK184" s="14"/>
      <c r="BL184" s="14"/>
      <c r="BM184" s="14"/>
      <c r="BN184" s="14"/>
      <c r="BO184" s="14"/>
      <c r="BP184" s="14"/>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row>
    <row r="185" spans="1:142" s="63" customFormat="1" ht="12" customHeight="1" x14ac:dyDescent="0.25">
      <c r="A185" s="35"/>
      <c r="B185" s="1602"/>
      <c r="C185" s="1395"/>
      <c r="D185" s="1395"/>
      <c r="E185" s="1395"/>
      <c r="F185" s="1395"/>
      <c r="G185" s="1395"/>
      <c r="H185" s="1395"/>
      <c r="I185" s="1395"/>
      <c r="J185" s="1395"/>
      <c r="K185" s="1395"/>
      <c r="L185" s="1395"/>
      <c r="M185" s="1395"/>
      <c r="N185" s="1395"/>
      <c r="O185" s="1395"/>
      <c r="P185" s="75"/>
      <c r="Q185" s="35"/>
      <c r="R185" s="18"/>
      <c r="S185" s="18"/>
      <c r="Y185" s="60"/>
      <c r="Z185" s="1569"/>
      <c r="AA185" s="1569"/>
      <c r="AB185" s="1569"/>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row>
    <row r="186" spans="1:142" s="63" customFormat="1" ht="15" customHeight="1" x14ac:dyDescent="0.2">
      <c r="A186" s="8"/>
      <c r="B186" s="1379" t="s">
        <v>2016</v>
      </c>
      <c r="C186" s="1379"/>
      <c r="D186" s="1379"/>
      <c r="E186" s="1379"/>
      <c r="F186" s="1379"/>
      <c r="G186" s="1379"/>
      <c r="H186" s="1379"/>
      <c r="I186" s="1379"/>
      <c r="J186" s="1379"/>
      <c r="K186" s="1379"/>
      <c r="L186" s="1379"/>
      <c r="M186" s="1379"/>
      <c r="N186" s="1308"/>
      <c r="O186" s="1308"/>
      <c r="P186" s="853">
        <f>IF(N186=T186,0.03,IF(N186=U186,0.15,IF(N186=V186,0.38,IF(N186=W186,0.68,IF(N186=X186,0.9,0)))))</f>
        <v>0</v>
      </c>
      <c r="Q186" s="848"/>
      <c r="R186" s="1487" t="s">
        <v>2197</v>
      </c>
      <c r="S186" s="1487"/>
      <c r="T186" s="844" t="s">
        <v>1969</v>
      </c>
      <c r="U186" s="844" t="s">
        <v>1970</v>
      </c>
      <c r="V186" s="854" t="s">
        <v>1972</v>
      </c>
      <c r="W186" s="844" t="s">
        <v>945</v>
      </c>
      <c r="X186" s="854" t="s">
        <v>558</v>
      </c>
      <c r="Y186" s="60"/>
      <c r="Z186" s="1569"/>
      <c r="AA186" s="1569"/>
      <c r="AB186" s="1569"/>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row>
    <row r="187" spans="1:142" s="63" customFormat="1" ht="12" customHeight="1" x14ac:dyDescent="0.25">
      <c r="A187" s="35"/>
      <c r="B187" s="657"/>
      <c r="C187" s="657"/>
      <c r="D187" s="657"/>
      <c r="E187" s="657"/>
      <c r="F187" s="657"/>
      <c r="G187" s="657"/>
      <c r="H187" s="657"/>
      <c r="I187" s="657"/>
      <c r="J187" s="657"/>
      <c r="K187" s="657"/>
      <c r="L187" s="657"/>
      <c r="M187" s="657"/>
      <c r="N187" s="657"/>
      <c r="O187" s="657"/>
      <c r="P187" s="75"/>
      <c r="Q187" s="35"/>
      <c r="R187" s="18"/>
      <c r="S187" s="19"/>
      <c r="T187" s="19"/>
      <c r="U187" s="19"/>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4"/>
      <c r="BB187" s="14"/>
      <c r="BC187" s="14"/>
      <c r="BD187" s="14"/>
      <c r="BE187" s="14"/>
      <c r="BF187" s="14"/>
      <c r="BG187" s="14"/>
      <c r="BH187" s="14"/>
      <c r="BI187" s="14"/>
      <c r="BJ187" s="14"/>
      <c r="BK187" s="14"/>
      <c r="BL187" s="14"/>
      <c r="BM187" s="14"/>
      <c r="BN187" s="14"/>
      <c r="BO187" s="14"/>
      <c r="BP187" s="14"/>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row>
    <row r="188" spans="1:142" s="63" customFormat="1" ht="18" customHeight="1" x14ac:dyDescent="0.2">
      <c r="A188" s="189"/>
      <c r="B188" s="316" t="s">
        <v>1709</v>
      </c>
      <c r="C188" s="1870"/>
      <c r="D188" s="1871"/>
      <c r="E188" s="1362" t="s">
        <v>1710</v>
      </c>
      <c r="F188" s="1363"/>
      <c r="G188" s="1363"/>
      <c r="H188" s="1363"/>
      <c r="I188" s="1363"/>
      <c r="J188" s="1363"/>
      <c r="K188" s="1363"/>
      <c r="L188" s="1363"/>
      <c r="M188" s="1363"/>
      <c r="N188" s="1363"/>
      <c r="O188" s="1364"/>
      <c r="P188" s="303">
        <f>IF(T188=1,0.15,0)</f>
        <v>0</v>
      </c>
      <c r="Q188" s="35"/>
      <c r="R188" s="18"/>
      <c r="S188" s="706" t="b">
        <v>0</v>
      </c>
      <c r="T188" s="844">
        <f>IF(S188=TRUE,1,0)</f>
        <v>0</v>
      </c>
      <c r="U188" s="18"/>
      <c r="V188" s="18"/>
      <c r="W188" s="18">
        <v>1E-4</v>
      </c>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4"/>
      <c r="BB188" s="14"/>
      <c r="BC188" s="14"/>
      <c r="BD188" s="14"/>
      <c r="BE188" s="14"/>
      <c r="BF188" s="14"/>
      <c r="BG188" s="14"/>
      <c r="BH188" s="14"/>
      <c r="BI188" s="14"/>
      <c r="BJ188" s="14"/>
      <c r="BK188" s="14"/>
      <c r="BL188" s="14"/>
      <c r="BM188" s="14"/>
      <c r="BN188" s="14"/>
      <c r="BO188" s="14"/>
      <c r="BP188" s="14"/>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row>
    <row r="189" spans="1:142" s="63" customFormat="1" ht="18" customHeight="1" x14ac:dyDescent="0.2">
      <c r="A189" s="35"/>
      <c r="B189" s="316" t="s">
        <v>1711</v>
      </c>
      <c r="C189" s="1870"/>
      <c r="D189" s="1871"/>
      <c r="E189" s="1362" t="s">
        <v>1712</v>
      </c>
      <c r="F189" s="1363"/>
      <c r="G189" s="1363"/>
      <c r="H189" s="1363"/>
      <c r="I189" s="1363"/>
      <c r="J189" s="1363"/>
      <c r="K189" s="1363"/>
      <c r="L189" s="1363"/>
      <c r="M189" s="1363"/>
      <c r="N189" s="1363"/>
      <c r="O189" s="1364"/>
      <c r="P189" s="303">
        <f>IF(T189=1,0.25,0)</f>
        <v>0</v>
      </c>
      <c r="Q189" s="35"/>
      <c r="R189" s="18"/>
      <c r="S189" s="706" t="b">
        <v>0</v>
      </c>
      <c r="T189" s="844">
        <f>IF(S189=TRUE,1,0)</f>
        <v>0</v>
      </c>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4"/>
      <c r="BB189" s="14"/>
      <c r="BC189" s="14"/>
      <c r="BD189" s="14"/>
      <c r="BE189" s="14"/>
      <c r="BF189" s="14"/>
      <c r="BG189" s="14"/>
      <c r="BH189" s="14"/>
      <c r="BI189" s="14"/>
      <c r="BJ189" s="14"/>
      <c r="BK189" s="14"/>
      <c r="BL189" s="14"/>
      <c r="BM189" s="14"/>
      <c r="BN189" s="14"/>
      <c r="BO189" s="14"/>
      <c r="BP189" s="14"/>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row>
    <row r="190" spans="1:142" s="63" customFormat="1" ht="18" customHeight="1" x14ac:dyDescent="0.2">
      <c r="A190" s="35"/>
      <c r="B190" s="471" t="s">
        <v>626</v>
      </c>
      <c r="C190" s="1925"/>
      <c r="D190" s="1925"/>
      <c r="E190" s="1546" t="s">
        <v>627</v>
      </c>
      <c r="F190" s="1547"/>
      <c r="G190" s="1547"/>
      <c r="H190" s="1547"/>
      <c r="I190" s="1547"/>
      <c r="J190" s="1547"/>
      <c r="K190" s="1547"/>
      <c r="L190" s="1547"/>
      <c r="M190" s="1547"/>
      <c r="N190" s="1547"/>
      <c r="O190" s="1548"/>
      <c r="P190" s="338">
        <f>IF(T190=1,0.25,0)</f>
        <v>0</v>
      </c>
      <c r="Q190" s="35"/>
      <c r="R190" s="18"/>
      <c r="S190" s="706" t="b">
        <v>0</v>
      </c>
      <c r="T190" s="844">
        <f>IF(S190=TRUE,1,0)</f>
        <v>0</v>
      </c>
      <c r="U190" s="18"/>
      <c r="V190" s="18"/>
      <c r="W190" s="18"/>
      <c r="X190" s="1111"/>
      <c r="Y190" s="1111"/>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4"/>
      <c r="BB190" s="14"/>
      <c r="BC190" s="14"/>
      <c r="BD190" s="14"/>
      <c r="BE190" s="14"/>
      <c r="BF190" s="14"/>
      <c r="BG190" s="14"/>
      <c r="BH190" s="14"/>
      <c r="BI190" s="14"/>
      <c r="BJ190" s="14"/>
      <c r="BK190" s="14"/>
      <c r="BL190" s="14"/>
      <c r="BM190" s="14"/>
      <c r="BN190" s="14"/>
      <c r="BO190" s="14"/>
      <c r="BP190" s="14"/>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row>
    <row r="191" spans="1:142" s="63" customFormat="1" ht="12" customHeight="1" x14ac:dyDescent="0.2">
      <c r="A191" s="35"/>
      <c r="B191" s="1877"/>
      <c r="C191" s="1877"/>
      <c r="D191" s="1877"/>
      <c r="E191" s="1877"/>
      <c r="F191" s="1877"/>
      <c r="G191" s="1877"/>
      <c r="H191" s="1877"/>
      <c r="I191" s="1877"/>
      <c r="J191" s="1877"/>
      <c r="K191" s="1877"/>
      <c r="L191" s="1877"/>
      <c r="M191" s="1877"/>
      <c r="N191" s="1877"/>
      <c r="O191" s="1877"/>
      <c r="P191" s="35"/>
      <c r="Q191" s="35"/>
      <c r="R191" s="18"/>
      <c r="S191" s="18"/>
      <c r="T191" s="18"/>
      <c r="U191" s="18"/>
      <c r="V191" s="18"/>
      <c r="X191" s="1111"/>
      <c r="Y191" s="1111"/>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4"/>
      <c r="BB191" s="14"/>
      <c r="BC191" s="14"/>
      <c r="BD191" s="14"/>
      <c r="BE191" s="14"/>
      <c r="BF191" s="14"/>
      <c r="BG191" s="14"/>
      <c r="BH191" s="14"/>
      <c r="BI191" s="14"/>
      <c r="BJ191" s="14"/>
      <c r="BK191" s="14"/>
      <c r="BL191" s="14"/>
      <c r="BM191" s="14"/>
      <c r="BN191" s="14"/>
      <c r="BO191" s="14"/>
      <c r="BP191" s="14"/>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row>
    <row r="192" spans="1:142" s="63" customFormat="1" ht="27" customHeight="1" x14ac:dyDescent="0.2">
      <c r="A192" s="35"/>
      <c r="B192" s="1356" t="s">
        <v>1144</v>
      </c>
      <c r="C192" s="1356"/>
      <c r="D192" s="1356"/>
      <c r="E192" s="1356"/>
      <c r="F192" s="1356"/>
      <c r="G192" s="1687" t="s">
        <v>1525</v>
      </c>
      <c r="H192" s="1534"/>
      <c r="I192" s="1534"/>
      <c r="J192" s="1534"/>
      <c r="K192" s="1534"/>
      <c r="L192" s="1880"/>
      <c r="M192" s="1881"/>
      <c r="N192" s="1881"/>
      <c r="O192" s="1882"/>
      <c r="P192" s="1481">
        <f>IF(J201&gt;0,J201,V199)</f>
        <v>0</v>
      </c>
      <c r="Q192" s="35"/>
      <c r="R192" s="18"/>
      <c r="S192" s="844" t="s">
        <v>1865</v>
      </c>
      <c r="T192" s="844" t="s">
        <v>1305</v>
      </c>
      <c r="U192" s="844" t="s">
        <v>1306</v>
      </c>
      <c r="V192" s="844" t="s">
        <v>1307</v>
      </c>
      <c r="X192" s="1111"/>
      <c r="Y192" s="1111"/>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4"/>
      <c r="BB192" s="14"/>
      <c r="BC192" s="14"/>
      <c r="BD192" s="14"/>
      <c r="BE192" s="14"/>
      <c r="BF192" s="14"/>
      <c r="BG192" s="14"/>
      <c r="BH192" s="14"/>
      <c r="BI192" s="14"/>
      <c r="BJ192" s="14"/>
      <c r="BK192" s="14"/>
      <c r="BL192" s="14"/>
      <c r="BM192" s="14"/>
      <c r="BN192" s="14"/>
      <c r="BO192" s="14"/>
      <c r="BP192" s="14"/>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row>
    <row r="193" spans="1:142" s="63" customFormat="1" ht="18" customHeight="1" x14ac:dyDescent="0.2">
      <c r="A193" s="35"/>
      <c r="B193" s="1410" t="s">
        <v>628</v>
      </c>
      <c r="C193" s="1410"/>
      <c r="D193" s="1410"/>
      <c r="E193" s="1373">
        <f>P166</f>
        <v>0</v>
      </c>
      <c r="F193" s="1346"/>
      <c r="G193" s="1534" t="s">
        <v>1942</v>
      </c>
      <c r="H193" s="1534"/>
      <c r="I193" s="1534"/>
      <c r="J193" s="1969"/>
      <c r="K193" s="1969"/>
      <c r="L193" s="1880"/>
      <c r="M193" s="1881"/>
      <c r="N193" s="1881"/>
      <c r="O193" s="1882"/>
      <c r="P193" s="1631"/>
      <c r="Q193" s="35"/>
      <c r="R193" s="18"/>
      <c r="S193" s="851">
        <f>E193</f>
        <v>0</v>
      </c>
      <c r="T193" s="854">
        <f>LARGE($S$193:$S$200,1)</f>
        <v>0</v>
      </c>
      <c r="U193" s="684">
        <f>T193+T194*(1-T193)</f>
        <v>0</v>
      </c>
      <c r="V193" s="851">
        <f t="shared" ref="V193:V199" si="11">ROUND(U193,2)</f>
        <v>0</v>
      </c>
      <c r="X193" s="1111"/>
      <c r="Y193" s="1111"/>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4"/>
      <c r="BB193" s="14"/>
      <c r="BC193" s="14"/>
      <c r="BD193" s="14"/>
      <c r="BE193" s="14"/>
      <c r="BF193" s="14"/>
      <c r="BG193" s="14"/>
      <c r="BH193" s="14"/>
      <c r="BI193" s="14"/>
      <c r="BJ193" s="14"/>
      <c r="BK193" s="14"/>
      <c r="BL193" s="14"/>
      <c r="BM193" s="14"/>
      <c r="BN193" s="14"/>
      <c r="BO193" s="14"/>
      <c r="BP193" s="14"/>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row>
    <row r="194" spans="1:142" s="63" customFormat="1" ht="18" customHeight="1" x14ac:dyDescent="0.2">
      <c r="A194" s="35"/>
      <c r="B194" s="1410" t="s">
        <v>1959</v>
      </c>
      <c r="C194" s="1410"/>
      <c r="D194" s="1410"/>
      <c r="E194" s="1373">
        <f>IF(P427&gt;0,0,P179)</f>
        <v>0</v>
      </c>
      <c r="F194" s="1346"/>
      <c r="G194" s="1833" t="s">
        <v>2260</v>
      </c>
      <c r="H194" s="1834"/>
      <c r="I194" s="1835"/>
      <c r="J194" s="1534"/>
      <c r="K194" s="1534"/>
      <c r="L194" s="1766"/>
      <c r="M194" s="1767"/>
      <c r="N194" s="1767"/>
      <c r="O194" s="1768"/>
      <c r="P194" s="1631"/>
      <c r="Q194" s="35"/>
      <c r="R194" s="18"/>
      <c r="S194" s="854">
        <f>IF(J194&gt;0,J194,E194)</f>
        <v>0</v>
      </c>
      <c r="T194" s="854">
        <f>LARGE($S$193:$S$200,2)</f>
        <v>0</v>
      </c>
      <c r="U194" s="684">
        <f t="shared" ref="U194:U199" si="12">V193+T195*(1-V193)</f>
        <v>0</v>
      </c>
      <c r="V194" s="851">
        <f t="shared" si="11"/>
        <v>0</v>
      </c>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4"/>
      <c r="BB194" s="14"/>
      <c r="BC194" s="14"/>
      <c r="BD194" s="14"/>
      <c r="BE194" s="14"/>
      <c r="BF194" s="14"/>
      <c r="BG194" s="14"/>
      <c r="BH194" s="14"/>
      <c r="BI194" s="14"/>
      <c r="BJ194" s="14"/>
      <c r="BK194" s="14"/>
      <c r="BL194" s="14"/>
      <c r="BM194" s="14"/>
      <c r="BN194" s="14"/>
      <c r="BO194" s="14"/>
      <c r="BP194" s="14"/>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row>
    <row r="195" spans="1:142" s="63" customFormat="1" ht="18" customHeight="1" x14ac:dyDescent="0.2">
      <c r="A195" s="35"/>
      <c r="B195" s="1410" t="s">
        <v>2017</v>
      </c>
      <c r="C195" s="1410"/>
      <c r="D195" s="1410"/>
      <c r="E195" s="1373">
        <f>P182</f>
        <v>0</v>
      </c>
      <c r="F195" s="1346"/>
      <c r="G195" s="1658"/>
      <c r="H195" s="1658"/>
      <c r="I195" s="1658"/>
      <c r="J195" s="1973">
        <f>IF(AND(W195&lt;0.01,W195&gt;0),0.01,ROUND(W195,2))</f>
        <v>0</v>
      </c>
      <c r="K195" s="1973"/>
      <c r="L195" s="1030"/>
      <c r="M195" s="1031"/>
      <c r="N195" s="1031"/>
      <c r="O195" s="1032"/>
      <c r="P195" s="1631"/>
      <c r="Q195" s="35"/>
      <c r="R195" s="18"/>
      <c r="S195" s="854">
        <f>IF(J195&gt;0,J195,E195)</f>
        <v>0</v>
      </c>
      <c r="T195" s="854">
        <f>LARGE($S$193:$S$200,3)</f>
        <v>0</v>
      </c>
      <c r="U195" s="684">
        <f t="shared" si="12"/>
        <v>0</v>
      </c>
      <c r="V195" s="851">
        <f t="shared" si="11"/>
        <v>0</v>
      </c>
      <c r="W195" s="1086">
        <f>G195*E195</f>
        <v>0</v>
      </c>
      <c r="X195" s="1094"/>
      <c r="Y195" s="1094"/>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4"/>
      <c r="BB195" s="14"/>
      <c r="BC195" s="14"/>
      <c r="BD195" s="14"/>
      <c r="BE195" s="14"/>
      <c r="BF195" s="14"/>
      <c r="BG195" s="14"/>
      <c r="BH195" s="14"/>
      <c r="BI195" s="14"/>
      <c r="BJ195" s="14"/>
      <c r="BK195" s="14"/>
      <c r="BL195" s="14"/>
      <c r="BM195" s="14"/>
      <c r="BN195" s="14"/>
      <c r="BO195" s="14"/>
      <c r="BP195" s="14"/>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row>
    <row r="196" spans="1:142" s="63" customFormat="1" ht="18" customHeight="1" x14ac:dyDescent="0.2">
      <c r="A196" s="35"/>
      <c r="B196" s="1362" t="s">
        <v>1227</v>
      </c>
      <c r="C196" s="1363"/>
      <c r="D196" s="1364"/>
      <c r="E196" s="1373">
        <f>P183</f>
        <v>0</v>
      </c>
      <c r="F196" s="1346"/>
      <c r="G196" s="1658"/>
      <c r="H196" s="1658"/>
      <c r="I196" s="1658"/>
      <c r="J196" s="1973">
        <f>IF(AND(W196&lt;0.01,W196&gt;0),0.01,ROUND(W196,2))</f>
        <v>0</v>
      </c>
      <c r="K196" s="1973"/>
      <c r="L196" s="1030"/>
      <c r="M196" s="1031"/>
      <c r="N196" s="1031"/>
      <c r="O196" s="1032"/>
      <c r="P196" s="1631"/>
      <c r="Q196" s="35"/>
      <c r="R196" s="18"/>
      <c r="S196" s="854">
        <f>IF(J196&gt;0,J196,E196)</f>
        <v>0</v>
      </c>
      <c r="T196" s="854">
        <f>LARGE($S$193:$S$200,4)</f>
        <v>0</v>
      </c>
      <c r="U196" s="684">
        <f t="shared" si="12"/>
        <v>0</v>
      </c>
      <c r="V196" s="851">
        <f t="shared" si="11"/>
        <v>0</v>
      </c>
      <c r="W196" s="1086">
        <f t="shared" ref="W196:W197" si="13">G196*E196</f>
        <v>0</v>
      </c>
      <c r="X196" s="1094"/>
      <c r="Y196" s="1094"/>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4"/>
      <c r="BB196" s="14"/>
      <c r="BC196" s="14"/>
      <c r="BD196" s="14"/>
      <c r="BE196" s="14"/>
      <c r="BF196" s="14"/>
      <c r="BG196" s="14"/>
      <c r="BH196" s="14"/>
      <c r="BI196" s="14"/>
      <c r="BJ196" s="14"/>
      <c r="BK196" s="14"/>
      <c r="BL196" s="14"/>
      <c r="BM196" s="14"/>
      <c r="BN196" s="14"/>
      <c r="BO196" s="14"/>
      <c r="BP196" s="14"/>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row>
    <row r="197" spans="1:142" s="63" customFormat="1" ht="18" customHeight="1" x14ac:dyDescent="0.2">
      <c r="A197" s="35"/>
      <c r="B197" s="1362" t="s">
        <v>1447</v>
      </c>
      <c r="C197" s="1363"/>
      <c r="D197" s="1364"/>
      <c r="E197" s="1342">
        <f>P186</f>
        <v>0</v>
      </c>
      <c r="F197" s="1344"/>
      <c r="G197" s="1658"/>
      <c r="H197" s="1658"/>
      <c r="I197" s="1658"/>
      <c r="J197" s="1973">
        <f>IF(AND(W197&lt;0.01,W197&gt;0),0.01,ROUND(W197,2))</f>
        <v>0</v>
      </c>
      <c r="K197" s="1973"/>
      <c r="L197" s="1588" t="str">
        <f>IF(AND(P179&gt;0,$P$427&gt;0),"The worker has motor loss impairment. No additional impairment value is allowed for reduced range of motion in the same extremity.","")</f>
        <v/>
      </c>
      <c r="M197" s="1589"/>
      <c r="N197" s="1589"/>
      <c r="O197" s="1590"/>
      <c r="P197" s="1631"/>
      <c r="Q197" s="35"/>
      <c r="R197" s="18"/>
      <c r="S197" s="854">
        <f>IF(J197&gt;0,J197,E197)</f>
        <v>0</v>
      </c>
      <c r="T197" s="854">
        <f>LARGE($S$193:$S$200,5)</f>
        <v>0</v>
      </c>
      <c r="U197" s="684">
        <f t="shared" si="12"/>
        <v>0</v>
      </c>
      <c r="V197" s="851">
        <f t="shared" si="11"/>
        <v>0</v>
      </c>
      <c r="W197" s="1086">
        <f t="shared" si="13"/>
        <v>0</v>
      </c>
      <c r="X197" s="1094"/>
      <c r="Y197" s="1094"/>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4"/>
      <c r="BB197" s="14"/>
      <c r="BC197" s="14"/>
      <c r="BD197" s="14"/>
      <c r="BE197" s="14"/>
      <c r="BF197" s="14"/>
      <c r="BG197" s="14"/>
      <c r="BH197" s="14"/>
      <c r="BI197" s="14"/>
      <c r="BJ197" s="14"/>
      <c r="BK197" s="14"/>
      <c r="BL197" s="14"/>
      <c r="BM197" s="14"/>
      <c r="BN197" s="14"/>
      <c r="BO197" s="14"/>
      <c r="BP197" s="14"/>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row>
    <row r="198" spans="1:142" s="63" customFormat="1" ht="18" customHeight="1" x14ac:dyDescent="0.2">
      <c r="A198" s="35"/>
      <c r="B198" s="1410" t="s">
        <v>1713</v>
      </c>
      <c r="C198" s="1410"/>
      <c r="D198" s="1410"/>
      <c r="E198" s="1373">
        <f>P188</f>
        <v>0</v>
      </c>
      <c r="F198" s="1346"/>
      <c r="G198" s="1534" t="s">
        <v>1942</v>
      </c>
      <c r="H198" s="1534"/>
      <c r="I198" s="1534"/>
      <c r="J198" s="1534"/>
      <c r="K198" s="1534"/>
      <c r="L198" s="1588"/>
      <c r="M198" s="1589"/>
      <c r="N198" s="1589"/>
      <c r="O198" s="1590"/>
      <c r="P198" s="1631"/>
      <c r="Q198" s="35"/>
      <c r="R198" s="18"/>
      <c r="S198" s="851">
        <f>E198</f>
        <v>0</v>
      </c>
      <c r="T198" s="854">
        <f>LARGE($S$193:$S$200,6)</f>
        <v>0</v>
      </c>
      <c r="U198" s="684">
        <f t="shared" si="12"/>
        <v>0</v>
      </c>
      <c r="V198" s="851">
        <f t="shared" si="11"/>
        <v>0</v>
      </c>
      <c r="W198" s="18"/>
      <c r="X198" s="1094"/>
      <c r="Y198" s="1094"/>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4"/>
      <c r="BB198" s="14"/>
      <c r="BC198" s="14"/>
      <c r="BD198" s="14"/>
      <c r="BE198" s="14"/>
      <c r="BF198" s="14"/>
      <c r="BG198" s="14"/>
      <c r="BH198" s="14"/>
      <c r="BI198" s="14"/>
      <c r="BJ198" s="14"/>
      <c r="BK198" s="14"/>
      <c r="BL198" s="14"/>
      <c r="BM198" s="14"/>
      <c r="BN198" s="14"/>
      <c r="BO198" s="14"/>
      <c r="BP198" s="14"/>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row>
    <row r="199" spans="1:142" s="63" customFormat="1" ht="18" customHeight="1" x14ac:dyDescent="0.2">
      <c r="A199" s="35"/>
      <c r="B199" s="1410" t="s">
        <v>1714</v>
      </c>
      <c r="C199" s="1410"/>
      <c r="D199" s="1410"/>
      <c r="E199" s="1373">
        <f>P189</f>
        <v>0</v>
      </c>
      <c r="F199" s="1373"/>
      <c r="G199" s="1534" t="s">
        <v>1942</v>
      </c>
      <c r="H199" s="1534"/>
      <c r="I199" s="1534"/>
      <c r="J199" s="1534"/>
      <c r="K199" s="1534"/>
      <c r="L199" s="1588"/>
      <c r="M199" s="1589"/>
      <c r="N199" s="1589"/>
      <c r="O199" s="1590"/>
      <c r="P199" s="1631"/>
      <c r="Q199" s="35"/>
      <c r="R199" s="18"/>
      <c r="S199" s="851">
        <f>E199</f>
        <v>0</v>
      </c>
      <c r="T199" s="854">
        <f>LARGE($S$193:$S$200,7)</f>
        <v>0</v>
      </c>
      <c r="U199" s="684">
        <f t="shared" si="12"/>
        <v>0</v>
      </c>
      <c r="V199" s="851">
        <f t="shared" si="11"/>
        <v>0</v>
      </c>
      <c r="W199" s="18"/>
      <c r="X199" s="1094"/>
      <c r="Y199" s="1094"/>
      <c r="Z199" s="1"/>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4"/>
      <c r="BB199" s="14"/>
      <c r="BC199" s="14"/>
      <c r="BD199" s="14"/>
      <c r="BE199" s="14"/>
      <c r="BF199" s="14"/>
      <c r="BG199" s="14"/>
      <c r="BH199" s="14"/>
      <c r="BI199" s="14"/>
      <c r="BJ199" s="14"/>
      <c r="BK199" s="14"/>
      <c r="BL199" s="14"/>
      <c r="BM199" s="14"/>
      <c r="BN199" s="14"/>
      <c r="BO199" s="14"/>
      <c r="BP199" s="14"/>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row>
    <row r="200" spans="1:142" s="63" customFormat="1" ht="18" customHeight="1" x14ac:dyDescent="0.2">
      <c r="A200" s="35"/>
      <c r="B200" s="1408" t="s">
        <v>1128</v>
      </c>
      <c r="C200" s="1408"/>
      <c r="D200" s="1408"/>
      <c r="E200" s="1630">
        <f>P190</f>
        <v>0</v>
      </c>
      <c r="F200" s="1630"/>
      <c r="G200" s="1645" t="s">
        <v>1942</v>
      </c>
      <c r="H200" s="1645"/>
      <c r="I200" s="1645"/>
      <c r="J200" s="1645"/>
      <c r="K200" s="1645"/>
      <c r="L200" s="1588"/>
      <c r="M200" s="1589"/>
      <c r="N200" s="1589"/>
      <c r="O200" s="1590"/>
      <c r="P200" s="1631"/>
      <c r="Q200" s="35"/>
      <c r="R200" s="18"/>
      <c r="S200" s="851">
        <f>E200</f>
        <v>0</v>
      </c>
      <c r="T200" s="854">
        <f>LARGE($S$193:$S$200,8)</f>
        <v>0</v>
      </c>
      <c r="U200" s="114"/>
      <c r="V200" s="157"/>
      <c r="X200" s="1094"/>
      <c r="Y200" s="1094"/>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4"/>
      <c r="BB200" s="14"/>
      <c r="BC200" s="14"/>
      <c r="BD200" s="14"/>
      <c r="BE200" s="14"/>
      <c r="BF200" s="14"/>
      <c r="BG200" s="14"/>
      <c r="BH200" s="14"/>
      <c r="BI200" s="14"/>
      <c r="BJ200" s="14"/>
      <c r="BK200" s="14"/>
      <c r="BL200" s="14"/>
      <c r="BM200" s="14"/>
      <c r="BN200" s="14"/>
      <c r="BO200" s="14"/>
      <c r="BP200" s="14"/>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row>
    <row r="201" spans="1:142" s="63" customFormat="1" ht="18" customHeight="1" x14ac:dyDescent="0.2">
      <c r="A201" s="35"/>
      <c r="B201" s="1568" t="s">
        <v>1145</v>
      </c>
      <c r="C201" s="1568"/>
      <c r="D201" s="1568"/>
      <c r="E201" s="1568"/>
      <c r="F201" s="1568"/>
      <c r="G201" s="1568"/>
      <c r="H201" s="1568"/>
      <c r="I201" s="1568"/>
      <c r="J201" s="1568"/>
      <c r="K201" s="1568"/>
      <c r="L201" s="1568"/>
      <c r="M201" s="1568"/>
      <c r="N201" s="1568"/>
      <c r="O201" s="1568"/>
      <c r="P201" s="1623"/>
      <c r="Q201" s="35"/>
      <c r="R201" s="18"/>
      <c r="S201" s="19"/>
      <c r="T201" s="114"/>
      <c r="U201" s="157"/>
      <c r="V201" s="18"/>
      <c r="W201" s="1087"/>
      <c r="X201" s="1094"/>
      <c r="Y201" s="1094"/>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4"/>
      <c r="BB201" s="14"/>
      <c r="BC201" s="14"/>
      <c r="BD201" s="14"/>
      <c r="BE201" s="14"/>
      <c r="BF201" s="14"/>
      <c r="BG201" s="14"/>
      <c r="BH201" s="14"/>
      <c r="BI201" s="14"/>
      <c r="BJ201" s="14"/>
      <c r="BK201" s="14"/>
      <c r="BL201" s="14"/>
      <c r="BM201" s="14"/>
      <c r="BN201" s="14"/>
      <c r="BO201" s="14"/>
      <c r="BP201" s="14"/>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row>
    <row r="202" spans="1:142" s="63" customFormat="1" ht="12" customHeight="1" x14ac:dyDescent="0.25">
      <c r="A202" s="8"/>
      <c r="B202" s="1903"/>
      <c r="C202" s="1903"/>
      <c r="D202" s="1903"/>
      <c r="E202" s="1903"/>
      <c r="F202" s="1903"/>
      <c r="G202" s="1903"/>
      <c r="H202" s="1903"/>
      <c r="I202" s="1903"/>
      <c r="J202" s="1903"/>
      <c r="K202" s="1903"/>
      <c r="L202" s="1903"/>
      <c r="M202" s="1903"/>
      <c r="N202" s="1903"/>
      <c r="O202" s="1903"/>
      <c r="P202" s="36"/>
      <c r="Q202" s="8"/>
      <c r="R202" s="60"/>
      <c r="S202" s="60"/>
      <c r="T202" s="60"/>
      <c r="U202" s="60"/>
      <c r="V202" s="1087"/>
      <c r="W202" s="1087"/>
      <c r="Z202" s="18"/>
      <c r="AA202" s="18"/>
      <c r="AB202" s="60"/>
      <c r="AC202" s="60"/>
      <c r="AD202" s="60"/>
      <c r="AE202" s="60"/>
      <c r="AF202" s="60"/>
      <c r="AG202" s="60"/>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14"/>
      <c r="BG202" s="14"/>
      <c r="BH202" s="14"/>
      <c r="BI202" s="14"/>
      <c r="BJ202" s="14"/>
      <c r="BK202" s="14"/>
      <c r="BL202" s="14"/>
      <c r="BM202" s="14"/>
      <c r="BN202" s="14"/>
      <c r="BO202" s="14"/>
      <c r="BP202" s="14"/>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row>
    <row r="203" spans="1:142" s="63" customFormat="1" ht="12" customHeight="1" x14ac:dyDescent="0.25">
      <c r="A203" s="8"/>
      <c r="B203" s="1903"/>
      <c r="C203" s="1903"/>
      <c r="D203" s="1903"/>
      <c r="E203" s="1903"/>
      <c r="F203" s="1903"/>
      <c r="G203" s="1903"/>
      <c r="H203" s="1903"/>
      <c r="I203" s="1903"/>
      <c r="J203" s="1903"/>
      <c r="K203" s="1903"/>
      <c r="L203" s="1903"/>
      <c r="M203" s="1903"/>
      <c r="N203" s="1903"/>
      <c r="O203" s="1903"/>
      <c r="P203" s="36"/>
      <c r="Q203" s="8"/>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14"/>
      <c r="BG203" s="14"/>
      <c r="BH203" s="14"/>
      <c r="BI203" s="14"/>
      <c r="BJ203" s="14"/>
      <c r="BK203" s="14"/>
      <c r="BL203" s="14"/>
      <c r="BM203" s="14"/>
      <c r="BN203" s="14"/>
      <c r="BO203" s="14"/>
      <c r="BP203" s="14"/>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row>
    <row r="204" spans="1:142" s="63" customFormat="1" ht="18" customHeight="1" x14ac:dyDescent="0.2">
      <c r="A204" s="8"/>
      <c r="B204" s="1679" t="s">
        <v>1146</v>
      </c>
      <c r="C204" s="1979"/>
      <c r="D204" s="1979"/>
      <c r="E204" s="1979"/>
      <c r="F204" s="1979"/>
      <c r="G204" s="1979"/>
      <c r="H204" s="1979"/>
      <c r="I204" s="1979"/>
      <c r="J204" s="1979"/>
      <c r="K204" s="1979"/>
      <c r="L204" s="1979"/>
      <c r="M204" s="1979"/>
      <c r="N204" s="1979"/>
      <c r="O204" s="1979"/>
      <c r="P204" s="1980"/>
      <c r="Q204" s="8"/>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14"/>
      <c r="BG204" s="14"/>
      <c r="BH204" s="14"/>
      <c r="BI204" s="14"/>
      <c r="BJ204" s="14"/>
      <c r="BK204" s="14"/>
      <c r="BL204" s="14"/>
      <c r="BM204" s="14"/>
      <c r="BN204" s="14"/>
      <c r="BO204" s="14"/>
      <c r="BP204" s="14"/>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row>
    <row r="205" spans="1:142" s="63" customFormat="1" ht="12" customHeight="1" x14ac:dyDescent="0.3">
      <c r="A205" s="8"/>
      <c r="B205" s="1922"/>
      <c r="C205" s="1922"/>
      <c r="D205" s="1922"/>
      <c r="E205" s="1922"/>
      <c r="F205" s="1922"/>
      <c r="G205" s="1922"/>
      <c r="H205" s="1922"/>
      <c r="I205" s="1922"/>
      <c r="J205" s="1922"/>
      <c r="K205" s="1922"/>
      <c r="L205" s="1922"/>
      <c r="M205" s="1922"/>
      <c r="N205" s="1922"/>
      <c r="O205" s="1922"/>
      <c r="P205" s="472"/>
      <c r="Q205" s="8"/>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row>
    <row r="206" spans="1:142" s="63" customFormat="1" ht="18" customHeight="1" x14ac:dyDescent="0.25">
      <c r="A206" s="35"/>
      <c r="B206" s="1549" t="s">
        <v>1147</v>
      </c>
      <c r="C206" s="1550"/>
      <c r="D206" s="1550"/>
      <c r="E206" s="1550"/>
      <c r="F206" s="1550"/>
      <c r="G206" s="1550"/>
      <c r="H206" s="1550"/>
      <c r="I206" s="1550"/>
      <c r="J206" s="1550"/>
      <c r="K206" s="1550"/>
      <c r="L206" s="1550"/>
      <c r="M206" s="1550"/>
      <c r="N206" s="1550"/>
      <c r="O206" s="1551"/>
      <c r="P206" s="473"/>
      <c r="Q206" s="35"/>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row>
    <row r="207" spans="1:142" s="63" customFormat="1" ht="18" customHeight="1" x14ac:dyDescent="0.2">
      <c r="A207" s="189"/>
      <c r="B207" s="1978"/>
      <c r="C207" s="1978"/>
      <c r="D207" s="1978"/>
      <c r="E207" s="1978"/>
      <c r="F207" s="1978"/>
      <c r="G207" s="1978"/>
      <c r="H207" s="1978"/>
      <c r="I207" s="1978"/>
      <c r="J207" s="1978"/>
      <c r="K207" s="1978"/>
      <c r="L207" s="1978"/>
      <c r="M207" s="1978"/>
      <c r="N207" s="1978"/>
      <c r="O207" s="1966"/>
      <c r="P207" s="26">
        <f>IF(B207=S207,1,IF(B207=T207,0.75,IF(B207=U207,0.5,0)))</f>
        <v>0</v>
      </c>
      <c r="Q207" s="35"/>
      <c r="R207" s="894" t="s">
        <v>2197</v>
      </c>
      <c r="S207" s="844" t="s">
        <v>923</v>
      </c>
      <c r="T207" s="844" t="s">
        <v>924</v>
      </c>
      <c r="U207" s="844" t="s">
        <v>1622</v>
      </c>
      <c r="V207" s="19"/>
      <c r="W207" s="116">
        <v>1E-4</v>
      </c>
      <c r="X207" s="19"/>
      <c r="Y207" s="19"/>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4"/>
      <c r="BG207" s="14"/>
      <c r="BH207" s="14"/>
      <c r="BI207" s="14"/>
      <c r="BJ207" s="14"/>
      <c r="BK207" s="14"/>
      <c r="BL207" s="14"/>
      <c r="BM207" s="14"/>
      <c r="BN207" s="14"/>
      <c r="BO207" s="14"/>
      <c r="BP207" s="14"/>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row>
    <row r="208" spans="1:142" s="63" customFormat="1" ht="18" customHeight="1" x14ac:dyDescent="0.2">
      <c r="A208" s="189"/>
      <c r="B208" s="1362" t="s">
        <v>1623</v>
      </c>
      <c r="C208" s="1363"/>
      <c r="D208" s="1363"/>
      <c r="E208" s="1364"/>
      <c r="F208" s="1714"/>
      <c r="G208" s="1649"/>
      <c r="H208" s="1410" t="s">
        <v>1624</v>
      </c>
      <c r="I208" s="1410"/>
      <c r="J208" s="1410"/>
      <c r="K208" s="1410"/>
      <c r="L208" s="1410"/>
      <c r="M208" s="1410"/>
      <c r="N208" s="1410"/>
      <c r="O208" s="1410"/>
      <c r="P208" s="26">
        <f>IF($P$207&gt;0,0,IF(S208=1,0.1,0))</f>
        <v>0</v>
      </c>
      <c r="Q208" s="35"/>
      <c r="R208" s="686" t="b">
        <v>0</v>
      </c>
      <c r="S208" s="736">
        <f>IF(R208=TRUE,1,0)</f>
        <v>0</v>
      </c>
      <c r="T208" s="18"/>
      <c r="U208" s="18"/>
      <c r="V208" s="18"/>
      <c r="W208" s="18">
        <v>1E-4</v>
      </c>
      <c r="X208" s="18"/>
      <c r="Y208" s="165"/>
      <c r="Z208" s="1569"/>
      <c r="AA208" s="1569"/>
      <c r="AB208" s="1569"/>
      <c r="AC208" s="18"/>
      <c r="AD208" s="18"/>
      <c r="AE208" s="18"/>
      <c r="AF208" s="18"/>
      <c r="AG208" s="18"/>
      <c r="AH208" s="18"/>
      <c r="AI208" s="111"/>
      <c r="AJ208" s="1569"/>
      <c r="AK208" s="1569"/>
      <c r="AL208" s="1569"/>
      <c r="AM208" s="1569"/>
      <c r="AN208" s="1569"/>
      <c r="AO208" s="18"/>
      <c r="AP208" s="18"/>
      <c r="AQ208" s="18"/>
      <c r="AR208" s="18"/>
      <c r="AS208" s="18"/>
      <c r="AT208" s="18"/>
      <c r="AU208" s="18"/>
      <c r="AV208" s="18"/>
      <c r="AW208" s="18"/>
      <c r="AX208" s="18"/>
      <c r="AY208" s="18"/>
      <c r="AZ208" s="18"/>
      <c r="BA208" s="14"/>
      <c r="BB208" s="14"/>
      <c r="BC208" s="14"/>
      <c r="BD208" s="14"/>
      <c r="BE208" s="14"/>
      <c r="BF208" s="14"/>
      <c r="BG208" s="14"/>
      <c r="BH208" s="14"/>
      <c r="BI208" s="14"/>
      <c r="BJ208" s="14"/>
      <c r="BK208" s="14"/>
      <c r="BL208" s="14"/>
      <c r="BM208" s="14"/>
      <c r="BN208" s="14"/>
      <c r="BO208" s="14"/>
      <c r="BP208" s="14"/>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row>
    <row r="209" spans="1:142" s="63" customFormat="1" ht="18" customHeight="1" x14ac:dyDescent="0.2">
      <c r="A209" s="35"/>
      <c r="B209" s="1929" t="str">
        <f>IF(AND(P207=0.5,T211=1),"ERROR: Foot loss has occurred at the mid-metatarsal area and awarded a value of 50%; no additional value can be awarded for the metatarsals; uncheck boxes at right.",IF(AND(P207&gt;0,T211=1),"ERROR: Foot/lower leg loss is proximal to the metatarsals; uncheck boxes at right.",""))</f>
        <v/>
      </c>
      <c r="C209" s="1930"/>
      <c r="D209" s="1930"/>
      <c r="E209" s="1931"/>
      <c r="F209" s="1714"/>
      <c r="G209" s="1649"/>
      <c r="H209" s="1410" t="s">
        <v>351</v>
      </c>
      <c r="I209" s="1410"/>
      <c r="J209" s="1410"/>
      <c r="K209" s="1410"/>
      <c r="L209" s="1410"/>
      <c r="M209" s="1410"/>
      <c r="N209" s="1410"/>
      <c r="O209" s="1410"/>
      <c r="P209" s="26">
        <f>IF($P$207&gt;0,0,IF(S209=1,0.1,0))</f>
        <v>0</v>
      </c>
      <c r="Q209" s="35"/>
      <c r="R209" s="686" t="b">
        <v>0</v>
      </c>
      <c r="S209" s="736">
        <f>IF(R209=TRUE,1,0)</f>
        <v>0</v>
      </c>
      <c r="T209" s="844" t="s">
        <v>352</v>
      </c>
      <c r="U209" s="18"/>
      <c r="V209" s="18"/>
      <c r="W209" s="18"/>
      <c r="X209" s="18"/>
      <c r="Y209" s="165"/>
      <c r="Z209" s="18"/>
      <c r="AA209" s="18"/>
      <c r="AB209" s="18"/>
      <c r="AC209" s="18"/>
      <c r="AD209" s="18"/>
      <c r="AE209" s="18"/>
      <c r="AF209" s="18"/>
      <c r="AG209" s="18"/>
      <c r="AH209" s="18"/>
      <c r="AI209" s="111"/>
      <c r="AJ209" s="18"/>
      <c r="AK209" s="18"/>
      <c r="AL209" s="18"/>
      <c r="AM209" s="18"/>
      <c r="AN209" s="18"/>
      <c r="AO209" s="18"/>
      <c r="AP209" s="18"/>
      <c r="AQ209" s="18"/>
      <c r="AR209" s="18"/>
      <c r="AS209" s="18"/>
      <c r="AT209" s="18"/>
      <c r="AU209" s="18"/>
      <c r="AV209" s="18"/>
      <c r="AW209" s="18"/>
      <c r="AX209" s="18"/>
      <c r="AY209" s="18"/>
      <c r="AZ209" s="18"/>
      <c r="BA209" s="14"/>
      <c r="BB209" s="14"/>
      <c r="BC209" s="14"/>
      <c r="BD209" s="14"/>
      <c r="BE209" s="14"/>
      <c r="BF209" s="14"/>
      <c r="BG209" s="14"/>
      <c r="BH209" s="14"/>
      <c r="BI209" s="14"/>
      <c r="BJ209" s="14"/>
      <c r="BK209" s="14"/>
      <c r="BL209" s="14"/>
      <c r="BM209" s="14"/>
      <c r="BN209" s="14"/>
      <c r="BO209" s="14"/>
      <c r="BP209" s="14"/>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row>
    <row r="210" spans="1:142" s="63" customFormat="1" ht="18" customHeight="1" x14ac:dyDescent="0.2">
      <c r="A210" s="35"/>
      <c r="B210" s="1929"/>
      <c r="C210" s="1930"/>
      <c r="D210" s="1930"/>
      <c r="E210" s="1931"/>
      <c r="F210" s="1714"/>
      <c r="G210" s="1649"/>
      <c r="H210" s="1410" t="s">
        <v>105</v>
      </c>
      <c r="I210" s="1410"/>
      <c r="J210" s="1410"/>
      <c r="K210" s="1410"/>
      <c r="L210" s="1410"/>
      <c r="M210" s="1410"/>
      <c r="N210" s="1410"/>
      <c r="O210" s="1410"/>
      <c r="P210" s="26">
        <f>IF($P$207&gt;0,0,IF(S210=1,0.1,0))</f>
        <v>0</v>
      </c>
      <c r="Q210" s="35"/>
      <c r="R210" s="686" t="b">
        <v>0</v>
      </c>
      <c r="S210" s="736">
        <f>IF(R210=TRUE,1,0)</f>
        <v>0</v>
      </c>
      <c r="T210" s="844" t="s">
        <v>1069</v>
      </c>
      <c r="U210" s="18"/>
      <c r="V210" s="18"/>
      <c r="W210" s="18"/>
      <c r="X210" s="18"/>
      <c r="Y210" s="165"/>
      <c r="Z210" s="18"/>
      <c r="AA210" s="18"/>
      <c r="AB210" s="18"/>
      <c r="AC210" s="18"/>
      <c r="AD210" s="18"/>
      <c r="AE210" s="18"/>
      <c r="AF210" s="18"/>
      <c r="AG210" s="18"/>
      <c r="AH210" s="18"/>
      <c r="AI210" s="111"/>
      <c r="AJ210" s="18"/>
      <c r="AK210" s="18"/>
      <c r="AL210" s="18"/>
      <c r="AM210" s="18"/>
      <c r="AN210" s="18"/>
      <c r="AO210" s="18"/>
      <c r="AP210" s="18"/>
      <c r="AQ210" s="18"/>
      <c r="AR210" s="18"/>
      <c r="AS210" s="18"/>
      <c r="AT210" s="18"/>
      <c r="AU210" s="18"/>
      <c r="AV210" s="18"/>
      <c r="AW210" s="18"/>
      <c r="AX210" s="18"/>
      <c r="AY210" s="18"/>
      <c r="AZ210" s="18"/>
      <c r="BA210" s="14"/>
      <c r="BB210" s="14"/>
      <c r="BC210" s="14"/>
      <c r="BD210" s="14"/>
      <c r="BE210" s="14"/>
      <c r="BF210" s="14"/>
      <c r="BG210" s="14"/>
      <c r="BH210" s="14"/>
      <c r="BI210" s="14"/>
      <c r="BJ210" s="14"/>
      <c r="BK210" s="14"/>
      <c r="BL210" s="14"/>
      <c r="BM210" s="14"/>
      <c r="BN210" s="14"/>
      <c r="BO210" s="14"/>
      <c r="BP210" s="14"/>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row>
    <row r="211" spans="1:142" s="63" customFormat="1" ht="18" customHeight="1" x14ac:dyDescent="0.2">
      <c r="A211" s="35"/>
      <c r="B211" s="1929"/>
      <c r="C211" s="1930"/>
      <c r="D211" s="1930"/>
      <c r="E211" s="1931"/>
      <c r="F211" s="1714"/>
      <c r="G211" s="1649"/>
      <c r="H211" s="1410" t="s">
        <v>1266</v>
      </c>
      <c r="I211" s="1410"/>
      <c r="J211" s="1410"/>
      <c r="K211" s="1410"/>
      <c r="L211" s="1410"/>
      <c r="M211" s="1410"/>
      <c r="N211" s="1410"/>
      <c r="O211" s="1410"/>
      <c r="P211" s="26">
        <f>IF($P$207&gt;0,0,IF(S211=1,0.1,0))</f>
        <v>0</v>
      </c>
      <c r="Q211" s="35"/>
      <c r="R211" s="686" t="b">
        <v>0</v>
      </c>
      <c r="S211" s="736">
        <f>IF(R211=TRUE,1,0)</f>
        <v>0</v>
      </c>
      <c r="T211" s="844">
        <f>IF(OR(S208=1,S209=1,S210=1,S211=1,S212=1),1,0)</f>
        <v>0</v>
      </c>
      <c r="U211" s="18"/>
      <c r="V211" s="18"/>
      <c r="W211" s="18"/>
      <c r="X211" s="18"/>
      <c r="Y211" s="165"/>
      <c r="Z211" s="18"/>
      <c r="AA211" s="18"/>
      <c r="AB211" s="18"/>
      <c r="AC211" s="18"/>
      <c r="AD211" s="18"/>
      <c r="AE211" s="18"/>
      <c r="AF211" s="18"/>
      <c r="AG211" s="18"/>
      <c r="AH211" s="18"/>
      <c r="AI211" s="111"/>
      <c r="AJ211" s="18"/>
      <c r="AK211" s="18"/>
      <c r="AL211" s="18"/>
      <c r="AM211" s="18"/>
      <c r="AN211" s="18"/>
      <c r="AO211" s="18"/>
      <c r="AP211" s="18"/>
      <c r="AQ211" s="18"/>
      <c r="AR211" s="18"/>
      <c r="AS211" s="18"/>
      <c r="AT211" s="18"/>
      <c r="AU211" s="18"/>
      <c r="AV211" s="18"/>
      <c r="AW211" s="18"/>
      <c r="AX211" s="18"/>
      <c r="AY211" s="18"/>
      <c r="AZ211" s="18"/>
      <c r="BA211" s="14"/>
      <c r="BB211" s="14"/>
      <c r="BC211" s="14"/>
      <c r="BD211" s="14"/>
      <c r="BE211" s="14"/>
      <c r="BF211" s="14"/>
      <c r="BG211" s="14"/>
      <c r="BH211" s="14"/>
      <c r="BI211" s="14"/>
      <c r="BJ211" s="14"/>
      <c r="BK211" s="14"/>
      <c r="BL211" s="14"/>
      <c r="BM211" s="14"/>
      <c r="BN211" s="14"/>
      <c r="BO211" s="14"/>
      <c r="BP211" s="14"/>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row>
    <row r="212" spans="1:142" s="63" customFormat="1" ht="18" customHeight="1" x14ac:dyDescent="0.2">
      <c r="A212" s="35"/>
      <c r="B212" s="1932"/>
      <c r="C212" s="1933"/>
      <c r="D212" s="1933"/>
      <c r="E212" s="1934"/>
      <c r="F212" s="1650"/>
      <c r="G212" s="1651"/>
      <c r="H212" s="1410" t="s">
        <v>665</v>
      </c>
      <c r="I212" s="1410"/>
      <c r="J212" s="1410"/>
      <c r="K212" s="1410"/>
      <c r="L212" s="1410"/>
      <c r="M212" s="1410"/>
      <c r="N212" s="1410"/>
      <c r="O212" s="1410"/>
      <c r="P212" s="356">
        <f>IF($P$207&gt;0,0,IF(S212=1,0.1,0))</f>
        <v>0</v>
      </c>
      <c r="Q212" s="35"/>
      <c r="R212" s="686" t="b">
        <v>0</v>
      </c>
      <c r="S212" s="736">
        <f>IF(R212=TRUE,1,0)</f>
        <v>0</v>
      </c>
      <c r="T212" s="18"/>
      <c r="U212" s="18"/>
      <c r="V212" s="18"/>
      <c r="W212" s="18"/>
      <c r="X212" s="18"/>
      <c r="Y212" s="165"/>
      <c r="Z212" s="18"/>
      <c r="AA212" s="18"/>
      <c r="AB212" s="18"/>
      <c r="AC212" s="18"/>
      <c r="AD212" s="18"/>
      <c r="AE212" s="18"/>
      <c r="AF212" s="18"/>
      <c r="AG212" s="18"/>
      <c r="AH212" s="18"/>
      <c r="AI212" s="111"/>
      <c r="AJ212" s="18"/>
      <c r="AK212" s="18"/>
      <c r="AL212" s="18"/>
      <c r="AM212" s="18"/>
      <c r="AN212" s="18"/>
      <c r="AO212" s="18"/>
      <c r="AP212" s="18"/>
      <c r="AQ212" s="18"/>
      <c r="AR212" s="18"/>
      <c r="AS212" s="18"/>
      <c r="AT212" s="18"/>
      <c r="AU212" s="18"/>
      <c r="AV212" s="18"/>
      <c r="AW212" s="18"/>
      <c r="AX212" s="18"/>
      <c r="AY212" s="18"/>
      <c r="AZ212" s="18"/>
      <c r="BA212" s="14"/>
      <c r="BB212" s="14"/>
      <c r="BC212" s="14"/>
      <c r="BD212" s="14"/>
      <c r="BE212" s="14"/>
      <c r="BF212" s="14"/>
      <c r="BG212" s="14"/>
      <c r="BH212" s="14"/>
      <c r="BI212" s="14"/>
      <c r="BJ212" s="14"/>
      <c r="BK212" s="14"/>
      <c r="BL212" s="14"/>
      <c r="BM212" s="14"/>
      <c r="BN212" s="14"/>
      <c r="BO212" s="14"/>
      <c r="BP212" s="14"/>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row>
    <row r="213" spans="1:142" s="63" customFormat="1" ht="15" customHeight="1" x14ac:dyDescent="0.25">
      <c r="A213" s="35"/>
      <c r="B213" s="1825"/>
      <c r="C213" s="1825"/>
      <c r="D213" s="1825"/>
      <c r="E213" s="1825"/>
      <c r="F213" s="1825"/>
      <c r="G213" s="1825"/>
      <c r="H213" s="1825"/>
      <c r="I213" s="1825"/>
      <c r="J213" s="1825"/>
      <c r="K213" s="1825"/>
      <c r="L213" s="1825"/>
      <c r="M213" s="1825"/>
      <c r="N213" s="1825"/>
      <c r="O213" s="1825"/>
      <c r="P213" s="35"/>
      <c r="Q213" s="35"/>
      <c r="R213" s="18"/>
      <c r="S213" s="19"/>
      <c r="T213" s="18"/>
      <c r="U213" s="18"/>
      <c r="V213" s="18"/>
      <c r="W213" s="18"/>
      <c r="X213" s="18"/>
      <c r="Y213" s="165"/>
      <c r="Z213" s="18"/>
      <c r="AA213" s="18"/>
      <c r="AB213" s="18"/>
      <c r="AC213" s="18"/>
      <c r="AD213" s="18"/>
      <c r="AE213" s="18"/>
      <c r="AF213" s="18"/>
      <c r="AG213" s="18"/>
      <c r="AH213" s="18"/>
      <c r="AI213" s="111"/>
      <c r="AJ213" s="18"/>
      <c r="AK213" s="18"/>
      <c r="AL213" s="18"/>
      <c r="AM213" s="18"/>
      <c r="AN213" s="18"/>
      <c r="AO213" s="18"/>
      <c r="AP213" s="18"/>
      <c r="AQ213" s="18"/>
      <c r="AR213" s="18"/>
      <c r="AS213" s="18"/>
      <c r="AT213" s="18"/>
      <c r="AU213" s="18"/>
      <c r="AV213" s="18"/>
      <c r="AW213" s="18"/>
      <c r="AX213" s="18"/>
      <c r="AY213" s="18"/>
      <c r="AZ213" s="18"/>
      <c r="BA213" s="14"/>
      <c r="BB213" s="14"/>
      <c r="BC213" s="14"/>
      <c r="BD213" s="14"/>
      <c r="BE213" s="14"/>
      <c r="BF213" s="14"/>
      <c r="BG213" s="14"/>
      <c r="BH213" s="14"/>
      <c r="BI213" s="14"/>
      <c r="BJ213" s="14"/>
      <c r="BK213" s="14"/>
      <c r="BL213" s="14"/>
      <c r="BM213" s="14"/>
      <c r="BN213" s="14"/>
      <c r="BO213" s="14"/>
      <c r="BP213" s="14"/>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row>
    <row r="214" spans="1:142" s="63" customFormat="1" ht="18" customHeight="1" x14ac:dyDescent="0.25">
      <c r="A214" s="8"/>
      <c r="B214" s="1549" t="s">
        <v>1344</v>
      </c>
      <c r="C214" s="1550"/>
      <c r="D214" s="1550"/>
      <c r="E214" s="1550"/>
      <c r="F214" s="1550"/>
      <c r="G214" s="1550"/>
      <c r="H214" s="1550"/>
      <c r="I214" s="1550"/>
      <c r="J214" s="1550"/>
      <c r="K214" s="1550"/>
      <c r="L214" s="1550"/>
      <c r="M214" s="1550"/>
      <c r="N214" s="1550"/>
      <c r="O214" s="1550"/>
      <c r="P214" s="361"/>
      <c r="Q214" s="8"/>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14"/>
      <c r="BG214" s="14"/>
      <c r="BH214" s="14"/>
      <c r="BI214" s="14"/>
      <c r="BJ214" s="14"/>
      <c r="BK214" s="14"/>
      <c r="BL214" s="14"/>
      <c r="BM214" s="14"/>
      <c r="BN214" s="14"/>
      <c r="BO214" s="14"/>
      <c r="BP214" s="14"/>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row>
    <row r="215" spans="1:142" s="63" customFormat="1" ht="18" customHeight="1" x14ac:dyDescent="0.2">
      <c r="A215" s="189"/>
      <c r="B215" s="1926" t="str">
        <f>IF(AND(P207&gt;0.5,T218=1),"ERROR: Foot/lower leg loss has occurred at or proximal to the tarsometatarsal joints; uncheck boxes at right.","")</f>
        <v/>
      </c>
      <c r="C215" s="1927"/>
      <c r="D215" s="1927"/>
      <c r="E215" s="1928"/>
      <c r="F215" s="1714"/>
      <c r="G215" s="1935"/>
      <c r="H215" s="1410" t="s">
        <v>667</v>
      </c>
      <c r="I215" s="1410"/>
      <c r="J215" s="1410"/>
      <c r="K215" s="1410"/>
      <c r="L215" s="1410"/>
      <c r="M215" s="1410"/>
      <c r="N215" s="1410"/>
      <c r="O215" s="1410"/>
      <c r="P215" s="26">
        <f>IF($P$207&gt;0.5,0,IF(S215=1,0.1,0))</f>
        <v>0</v>
      </c>
      <c r="Q215" s="35"/>
      <c r="R215" s="686" t="b">
        <v>0</v>
      </c>
      <c r="S215" s="736">
        <f>IF(R215=TRUE,1,0)</f>
        <v>0</v>
      </c>
      <c r="T215" s="18"/>
      <c r="U215" s="18"/>
      <c r="V215" s="18"/>
      <c r="W215" s="18">
        <v>1E-4</v>
      </c>
      <c r="X215" s="18"/>
      <c r="Y215" s="165"/>
      <c r="Z215" s="1569"/>
      <c r="AA215" s="1569"/>
      <c r="AB215" s="1569"/>
      <c r="AC215" s="18"/>
      <c r="AD215" s="18"/>
      <c r="AE215" s="18"/>
      <c r="AF215" s="18"/>
      <c r="AG215" s="18"/>
      <c r="AH215" s="18"/>
      <c r="AI215" s="111"/>
      <c r="AJ215" s="1569"/>
      <c r="AK215" s="1569"/>
      <c r="AL215" s="1569"/>
      <c r="AM215" s="1569"/>
      <c r="AN215" s="1569"/>
      <c r="AO215" s="18"/>
      <c r="AP215" s="18"/>
      <c r="AQ215" s="18"/>
      <c r="AR215" s="18"/>
      <c r="AS215" s="18"/>
      <c r="AT215" s="18"/>
      <c r="AU215" s="18"/>
      <c r="AV215" s="18"/>
      <c r="AW215" s="18"/>
      <c r="AX215" s="18"/>
      <c r="AY215" s="18"/>
      <c r="AZ215" s="18"/>
      <c r="BA215" s="14"/>
      <c r="BB215" s="14"/>
      <c r="BC215" s="14"/>
      <c r="BD215" s="14"/>
      <c r="BE215" s="14"/>
      <c r="BF215" s="14"/>
      <c r="BG215" s="14"/>
      <c r="BH215" s="14"/>
      <c r="BI215" s="14"/>
      <c r="BJ215" s="14"/>
      <c r="BK215" s="14"/>
      <c r="BL215" s="14"/>
      <c r="BM215" s="14"/>
      <c r="BN215" s="14"/>
      <c r="BO215" s="14"/>
      <c r="BP215" s="14"/>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row>
    <row r="216" spans="1:142" s="63" customFormat="1" ht="18" customHeight="1" x14ac:dyDescent="0.2">
      <c r="A216" s="35"/>
      <c r="B216" s="1929"/>
      <c r="C216" s="1930"/>
      <c r="D216" s="1930"/>
      <c r="E216" s="1931"/>
      <c r="F216" s="1714"/>
      <c r="G216" s="1935"/>
      <c r="H216" s="1410" t="s">
        <v>668</v>
      </c>
      <c r="I216" s="1410"/>
      <c r="J216" s="1410"/>
      <c r="K216" s="1410"/>
      <c r="L216" s="1410"/>
      <c r="M216" s="1410"/>
      <c r="N216" s="1410"/>
      <c r="O216" s="1410"/>
      <c r="P216" s="26">
        <f>IF($P$207&gt;0.5,0,IF(S216=1,0.1,0))</f>
        <v>0</v>
      </c>
      <c r="Q216" s="35"/>
      <c r="R216" s="686" t="b">
        <v>0</v>
      </c>
      <c r="S216" s="736">
        <f>IF(R216=TRUE,1,0)</f>
        <v>0</v>
      </c>
      <c r="T216" s="1410" t="s">
        <v>669</v>
      </c>
      <c r="U216" s="1410"/>
      <c r="V216" s="18"/>
      <c r="W216" s="18"/>
      <c r="X216" s="18"/>
      <c r="Y216" s="18"/>
      <c r="Z216" s="18"/>
      <c r="AA216" s="18"/>
      <c r="AB216" s="18"/>
      <c r="AC216" s="18"/>
      <c r="AD216" s="18"/>
      <c r="AE216" s="18"/>
      <c r="AF216" s="18"/>
      <c r="AG216" s="18"/>
      <c r="AH216" s="18"/>
      <c r="AI216" s="111"/>
      <c r="AJ216" s="18"/>
      <c r="AK216" s="18"/>
      <c r="AL216" s="18"/>
      <c r="AM216" s="18"/>
      <c r="AN216" s="18"/>
      <c r="AO216" s="18"/>
      <c r="AP216" s="18"/>
      <c r="AQ216" s="18"/>
      <c r="AR216" s="18"/>
      <c r="AS216" s="18"/>
      <c r="AT216" s="18"/>
      <c r="AU216" s="18"/>
      <c r="AV216" s="18"/>
      <c r="AW216" s="18"/>
      <c r="AX216" s="18"/>
      <c r="AY216" s="18"/>
      <c r="AZ216" s="18"/>
      <c r="BA216" s="14"/>
      <c r="BB216" s="14"/>
      <c r="BC216" s="14"/>
      <c r="BD216" s="14"/>
      <c r="BE216" s="14"/>
      <c r="BF216" s="14"/>
      <c r="BG216" s="14"/>
      <c r="BH216" s="14"/>
      <c r="BI216" s="14"/>
      <c r="BJ216" s="14"/>
      <c r="BK216" s="14"/>
      <c r="BL216" s="14"/>
      <c r="BM216" s="14"/>
      <c r="BN216" s="14"/>
      <c r="BO216" s="14"/>
      <c r="BP216" s="14"/>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row>
    <row r="217" spans="1:142" s="63" customFormat="1" ht="18" customHeight="1" x14ac:dyDescent="0.2">
      <c r="A217" s="35"/>
      <c r="B217" s="1929"/>
      <c r="C217" s="1930"/>
      <c r="D217" s="1930"/>
      <c r="E217" s="1931"/>
      <c r="F217" s="1714"/>
      <c r="G217" s="1935"/>
      <c r="H217" s="1410" t="s">
        <v>61</v>
      </c>
      <c r="I217" s="1410"/>
      <c r="J217" s="1410"/>
      <c r="K217" s="1410"/>
      <c r="L217" s="1410"/>
      <c r="M217" s="1410"/>
      <c r="N217" s="1410"/>
      <c r="O217" s="1410"/>
      <c r="P217" s="26">
        <f>IF($P$207&gt;0.5,0,IF(S217=1,0.1,0))</f>
        <v>0</v>
      </c>
      <c r="Q217" s="35"/>
      <c r="R217" s="686" t="b">
        <v>0</v>
      </c>
      <c r="S217" s="736">
        <f>IF(R217=TRUE,1,0)</f>
        <v>0</v>
      </c>
      <c r="T217" s="1410" t="s">
        <v>1069</v>
      </c>
      <c r="U217" s="1410"/>
      <c r="V217" s="18"/>
      <c r="W217" s="18"/>
      <c r="X217" s="18"/>
      <c r="Y217" s="18"/>
      <c r="Z217" s="18"/>
      <c r="AA217" s="18"/>
      <c r="AB217" s="18"/>
      <c r="AC217" s="18"/>
      <c r="AD217" s="18"/>
      <c r="AE217" s="18"/>
      <c r="AF217" s="18"/>
      <c r="AG217" s="18"/>
      <c r="AH217" s="18"/>
      <c r="AI217" s="111"/>
      <c r="AJ217" s="18"/>
      <c r="AK217" s="18"/>
      <c r="AL217" s="18"/>
      <c r="AM217" s="18"/>
      <c r="AN217" s="18"/>
      <c r="AO217" s="18"/>
      <c r="AP217" s="18"/>
      <c r="AQ217" s="18"/>
      <c r="AR217" s="18"/>
      <c r="AS217" s="18"/>
      <c r="AT217" s="18"/>
      <c r="AU217" s="18"/>
      <c r="AV217" s="18"/>
      <c r="AW217" s="18"/>
      <c r="AX217" s="18"/>
      <c r="AY217" s="18"/>
      <c r="AZ217" s="18"/>
      <c r="BA217" s="14"/>
      <c r="BB217" s="14"/>
      <c r="BC217" s="14"/>
      <c r="BD217" s="14"/>
      <c r="BE217" s="14"/>
      <c r="BF217" s="14"/>
      <c r="BG217" s="14"/>
      <c r="BH217" s="14"/>
      <c r="BI217" s="14"/>
      <c r="BJ217" s="14"/>
      <c r="BK217" s="14"/>
      <c r="BL217" s="14"/>
      <c r="BM217" s="14"/>
      <c r="BN217" s="14"/>
      <c r="BO217" s="14"/>
      <c r="BP217" s="14"/>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row>
    <row r="218" spans="1:142" s="63" customFormat="1" ht="18" customHeight="1" x14ac:dyDescent="0.2">
      <c r="A218" s="35"/>
      <c r="B218" s="1929"/>
      <c r="C218" s="1930"/>
      <c r="D218" s="1930"/>
      <c r="E218" s="1931"/>
      <c r="F218" s="1714"/>
      <c r="G218" s="1935"/>
      <c r="H218" s="1410" t="s">
        <v>428</v>
      </c>
      <c r="I218" s="1410"/>
      <c r="J218" s="1410"/>
      <c r="K218" s="1410"/>
      <c r="L218" s="1410"/>
      <c r="M218" s="1410"/>
      <c r="N218" s="1410"/>
      <c r="O218" s="1410"/>
      <c r="P218" s="26">
        <f>IF($P$207&gt;0.5,0,IF(S218=1,0.1,0))</f>
        <v>0</v>
      </c>
      <c r="Q218" s="35"/>
      <c r="R218" s="686" t="b">
        <v>0</v>
      </c>
      <c r="S218" s="736">
        <f>IF(R218=TRUE,1,0)</f>
        <v>0</v>
      </c>
      <c r="T218" s="1410">
        <f>IF(OR(S215=1,S216=1,S217=1,S218=1,S219=1),1,0)</f>
        <v>0</v>
      </c>
      <c r="U218" s="1410"/>
      <c r="V218" s="18"/>
      <c r="W218" s="18"/>
      <c r="X218" s="18"/>
      <c r="Y218" s="18"/>
      <c r="Z218" s="18"/>
      <c r="AA218" s="18"/>
      <c r="AB218" s="18"/>
      <c r="AC218" s="18"/>
      <c r="AD218" s="18"/>
      <c r="AE218" s="18"/>
      <c r="AF218" s="18"/>
      <c r="AG218" s="18"/>
      <c r="AH218" s="18"/>
      <c r="AI218" s="111"/>
      <c r="AJ218" s="18"/>
      <c r="AK218" s="18"/>
      <c r="AL218" s="18"/>
      <c r="AM218" s="18"/>
      <c r="AN218" s="18"/>
      <c r="AO218" s="18"/>
      <c r="AP218" s="18"/>
      <c r="AQ218" s="18"/>
      <c r="AR218" s="18"/>
      <c r="AS218" s="18"/>
      <c r="AT218" s="18"/>
      <c r="AU218" s="18"/>
      <c r="AV218" s="18"/>
      <c r="AW218" s="18"/>
      <c r="AX218" s="18"/>
      <c r="AY218" s="18"/>
      <c r="AZ218" s="18"/>
      <c r="BA218" s="14"/>
      <c r="BB218" s="14"/>
      <c r="BC218" s="14"/>
      <c r="BD218" s="14"/>
      <c r="BE218" s="14"/>
      <c r="BF218" s="14"/>
      <c r="BG218" s="14"/>
      <c r="BH218" s="14"/>
      <c r="BI218" s="14"/>
      <c r="BJ218" s="14"/>
      <c r="BK218" s="14"/>
      <c r="BL218" s="14"/>
      <c r="BM218" s="14"/>
      <c r="BN218" s="14"/>
      <c r="BO218" s="14"/>
      <c r="BP218" s="14"/>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row>
    <row r="219" spans="1:142" s="63" customFormat="1" ht="18" customHeight="1" x14ac:dyDescent="0.2">
      <c r="A219" s="35"/>
      <c r="B219" s="1932"/>
      <c r="C219" s="1933"/>
      <c r="D219" s="1933"/>
      <c r="E219" s="1934"/>
      <c r="F219" s="1714"/>
      <c r="G219" s="1935"/>
      <c r="H219" s="1410" t="s">
        <v>475</v>
      </c>
      <c r="I219" s="1410"/>
      <c r="J219" s="1410"/>
      <c r="K219" s="1410"/>
      <c r="L219" s="1410"/>
      <c r="M219" s="1410"/>
      <c r="N219" s="1410"/>
      <c r="O219" s="1410"/>
      <c r="P219" s="26">
        <f>IF($P$207&gt;0.5,0,IF(S219=1,0.1,0))</f>
        <v>0</v>
      </c>
      <c r="Q219" s="35"/>
      <c r="R219" s="686" t="b">
        <v>0</v>
      </c>
      <c r="S219" s="736">
        <f>IF(R219=TRUE,1,0)</f>
        <v>0</v>
      </c>
      <c r="T219" s="18"/>
      <c r="U219" s="18"/>
      <c r="V219" s="18"/>
      <c r="W219" s="18"/>
      <c r="X219" s="18"/>
      <c r="Y219" s="165"/>
      <c r="Z219" s="18"/>
      <c r="AA219" s="18"/>
      <c r="AB219" s="18"/>
      <c r="AC219" s="18"/>
      <c r="AD219" s="18"/>
      <c r="AE219" s="18"/>
      <c r="AF219" s="18"/>
      <c r="AG219" s="18"/>
      <c r="AH219" s="18"/>
      <c r="AI219" s="111"/>
      <c r="AJ219" s="18"/>
      <c r="AK219" s="18"/>
      <c r="AL219" s="18"/>
      <c r="AM219" s="18"/>
      <c r="AN219" s="18"/>
      <c r="AO219" s="18"/>
      <c r="AP219" s="18"/>
      <c r="AQ219" s="18"/>
      <c r="AR219" s="18"/>
      <c r="AS219" s="18"/>
      <c r="AT219" s="18"/>
      <c r="AU219" s="18"/>
      <c r="AV219" s="18"/>
      <c r="AW219" s="18"/>
      <c r="AX219" s="18"/>
      <c r="AY219" s="18"/>
      <c r="AZ219" s="18"/>
      <c r="BA219" s="14"/>
      <c r="BB219" s="14"/>
      <c r="BC219" s="14"/>
      <c r="BD219" s="14"/>
      <c r="BE219" s="14"/>
      <c r="BF219" s="14"/>
      <c r="BG219" s="14"/>
      <c r="BH219" s="14"/>
      <c r="BI219" s="14"/>
      <c r="BJ219" s="14"/>
      <c r="BK219" s="14"/>
      <c r="BL219" s="14"/>
      <c r="BM219" s="14"/>
      <c r="BN219" s="14"/>
      <c r="BO219" s="14"/>
      <c r="BP219" s="14"/>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row>
    <row r="220" spans="1:142" s="63" customFormat="1" ht="27" customHeight="1" x14ac:dyDescent="0.2">
      <c r="A220" s="848"/>
      <c r="B220" s="1555" t="s">
        <v>1595</v>
      </c>
      <c r="C220" s="1555"/>
      <c r="D220" s="1555"/>
      <c r="E220" s="1555"/>
      <c r="F220" s="1555"/>
      <c r="G220" s="1555"/>
      <c r="H220" s="1555"/>
      <c r="I220" s="1555"/>
      <c r="J220" s="1555"/>
      <c r="K220" s="1555"/>
      <c r="L220" s="1555"/>
      <c r="M220" s="1555"/>
      <c r="N220" s="1555"/>
      <c r="O220" s="1555"/>
      <c r="P220" s="686"/>
      <c r="Q220" s="848"/>
      <c r="R220" s="164"/>
      <c r="S220" s="116"/>
      <c r="T220" s="1536" t="s">
        <v>1258</v>
      </c>
      <c r="U220" s="1536"/>
      <c r="V220" s="852"/>
      <c r="W220" s="852"/>
      <c r="X220" s="852"/>
      <c r="Y220" s="165"/>
      <c r="Z220" s="852"/>
      <c r="AA220" s="852"/>
      <c r="AB220" s="852"/>
      <c r="AC220" s="852"/>
      <c r="AD220" s="852"/>
      <c r="AE220" s="852"/>
      <c r="AF220" s="852"/>
      <c r="AG220" s="852"/>
      <c r="AH220" s="852"/>
      <c r="AI220" s="111"/>
      <c r="AJ220" s="852"/>
      <c r="AK220" s="852"/>
      <c r="AL220" s="852"/>
      <c r="AM220" s="852"/>
      <c r="AN220" s="852"/>
      <c r="AO220" s="852"/>
      <c r="AP220" s="852"/>
      <c r="AQ220" s="852"/>
      <c r="AR220" s="852"/>
      <c r="AS220" s="852"/>
      <c r="AT220" s="852"/>
      <c r="AU220" s="852"/>
      <c r="AV220" s="852"/>
      <c r="AW220" s="852"/>
      <c r="AX220" s="852"/>
      <c r="AY220" s="852"/>
      <c r="AZ220" s="852"/>
      <c r="BA220" s="847"/>
      <c r="BB220" s="847"/>
      <c r="BC220" s="847"/>
      <c r="BD220" s="847"/>
      <c r="BE220" s="847"/>
      <c r="BF220" s="847"/>
      <c r="BG220" s="847"/>
      <c r="BH220" s="847"/>
      <c r="BI220" s="847"/>
      <c r="BJ220" s="847"/>
      <c r="BK220" s="847"/>
      <c r="BL220" s="847"/>
      <c r="BM220" s="847"/>
      <c r="BN220" s="847"/>
      <c r="BO220" s="847"/>
      <c r="BP220" s="847"/>
      <c r="BQ220" s="847"/>
      <c r="BR220" s="847"/>
      <c r="BS220" s="847"/>
      <c r="BT220" s="847"/>
      <c r="BU220" s="847"/>
      <c r="BV220" s="847"/>
      <c r="BW220" s="847"/>
      <c r="BX220" s="847"/>
      <c r="BY220" s="847"/>
      <c r="BZ220" s="847"/>
      <c r="CA220" s="847"/>
      <c r="CB220" s="847"/>
      <c r="CC220" s="847"/>
      <c r="CD220" s="847"/>
      <c r="CE220" s="847"/>
      <c r="CF220" s="847"/>
      <c r="CG220" s="847"/>
      <c r="CH220" s="847"/>
      <c r="CI220" s="847"/>
      <c r="CJ220" s="847"/>
      <c r="CK220" s="847"/>
      <c r="CL220" s="847"/>
      <c r="CM220" s="847"/>
      <c r="CN220" s="847"/>
      <c r="CO220" s="847"/>
      <c r="CP220" s="847"/>
      <c r="CQ220" s="847"/>
      <c r="CR220" s="847"/>
      <c r="CS220" s="847"/>
      <c r="CT220" s="847"/>
      <c r="CU220" s="847"/>
      <c r="CV220" s="847"/>
      <c r="CW220" s="847"/>
      <c r="CX220" s="847"/>
      <c r="CY220" s="847"/>
      <c r="CZ220" s="847"/>
      <c r="DA220" s="847"/>
      <c r="DB220" s="847"/>
      <c r="DC220" s="847"/>
      <c r="DD220" s="847"/>
      <c r="DE220" s="847"/>
      <c r="DF220" s="847"/>
      <c r="DG220" s="847"/>
      <c r="DH220" s="847"/>
      <c r="DI220" s="847"/>
      <c r="DJ220" s="847"/>
      <c r="DK220" s="847"/>
      <c r="DL220" s="847"/>
      <c r="DM220" s="847"/>
      <c r="DN220" s="847"/>
      <c r="DO220" s="847"/>
      <c r="DP220" s="847"/>
      <c r="DQ220" s="847"/>
      <c r="DR220" s="847"/>
      <c r="DS220" s="847"/>
      <c r="DT220" s="847"/>
      <c r="DU220" s="847"/>
      <c r="DV220" s="847"/>
      <c r="DW220" s="847"/>
      <c r="DX220" s="847"/>
      <c r="DY220" s="847"/>
      <c r="DZ220" s="847"/>
      <c r="EA220" s="847"/>
      <c r="EB220" s="847"/>
      <c r="EC220" s="847"/>
      <c r="ED220" s="847"/>
      <c r="EE220" s="847"/>
      <c r="EF220" s="847"/>
      <c r="EG220" s="847"/>
      <c r="EH220" s="847"/>
      <c r="EI220" s="847"/>
      <c r="EJ220" s="847"/>
      <c r="EK220" s="847"/>
      <c r="EL220" s="847"/>
    </row>
    <row r="221" spans="1:142" s="63" customFormat="1" ht="27" customHeight="1" x14ac:dyDescent="0.2">
      <c r="A221" s="35"/>
      <c r="B221" s="23" t="s">
        <v>1345</v>
      </c>
      <c r="C221" s="1822" t="s">
        <v>1596</v>
      </c>
      <c r="D221" s="1817"/>
      <c r="E221" s="1817"/>
      <c r="F221" s="1817"/>
      <c r="G221" s="1531" t="s">
        <v>1081</v>
      </c>
      <c r="H221" s="1550"/>
      <c r="I221" s="1550"/>
      <c r="J221" s="1550"/>
      <c r="K221" s="1551"/>
      <c r="L221" s="1974"/>
      <c r="M221" s="1975"/>
      <c r="N221" s="1975"/>
      <c r="O221" s="1975"/>
      <c r="P221" s="1905"/>
      <c r="Q221" s="35"/>
      <c r="R221" s="1084" t="s">
        <v>2264</v>
      </c>
      <c r="S221" s="844" t="s">
        <v>1573</v>
      </c>
      <c r="T221" s="849" t="s">
        <v>1596</v>
      </c>
      <c r="U221" s="849" t="s">
        <v>1597</v>
      </c>
      <c r="V221" s="1555" t="s">
        <v>1083</v>
      </c>
      <c r="W221" s="1555"/>
      <c r="X221" s="18"/>
      <c r="Y221" s="945" t="s">
        <v>2236</v>
      </c>
      <c r="Z221" s="944" t="s">
        <v>2237</v>
      </c>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4"/>
      <c r="BB221" s="14"/>
      <c r="BC221" s="14"/>
      <c r="BD221" s="14"/>
      <c r="BE221" s="14"/>
      <c r="BF221" s="14"/>
      <c r="BG221" s="14"/>
      <c r="BH221" s="14"/>
      <c r="BI221" s="14"/>
      <c r="BJ221" s="14"/>
      <c r="BK221" s="14"/>
      <c r="BL221" s="14"/>
      <c r="BM221" s="14"/>
      <c r="BN221" s="14"/>
      <c r="BO221" s="14"/>
      <c r="BP221" s="14"/>
      <c r="BQ221" s="14"/>
      <c r="BR221" s="14"/>
      <c r="BS221" s="14"/>
      <c r="BT221" s="14"/>
      <c r="BU221" s="14"/>
      <c r="BV221" s="14"/>
      <c r="BW221" s="14"/>
      <c r="BX221" s="14"/>
      <c r="BY221" s="14"/>
      <c r="BZ221" s="14"/>
      <c r="CA221" s="14"/>
      <c r="CB221" s="14"/>
      <c r="CC221" s="14"/>
      <c r="CD221" s="14"/>
      <c r="CE221" s="14"/>
      <c r="CF221" s="14"/>
      <c r="CG221" s="14"/>
      <c r="CH221" s="14"/>
      <c r="CI221" s="14"/>
      <c r="CJ221" s="14"/>
      <c r="CK221" s="14"/>
      <c r="CL221" s="14"/>
      <c r="CM221" s="14"/>
      <c r="CN221" s="14"/>
      <c r="CO221" s="14"/>
      <c r="CP221" s="14"/>
      <c r="CQ221" s="14"/>
      <c r="CR221" s="14"/>
      <c r="CS221" s="14"/>
      <c r="CT221" s="14"/>
      <c r="CU221" s="14"/>
      <c r="CV221" s="14"/>
      <c r="CW221" s="14"/>
      <c r="CX221" s="14"/>
      <c r="CY221" s="14"/>
      <c r="CZ221" s="14"/>
      <c r="DA221" s="14"/>
      <c r="DB221" s="14"/>
      <c r="DC221" s="14"/>
      <c r="DD221" s="14"/>
      <c r="DE221" s="14"/>
      <c r="DF221" s="14"/>
      <c r="DG221" s="14"/>
      <c r="DH221" s="14"/>
      <c r="DI221" s="14"/>
      <c r="DJ221" s="14"/>
      <c r="DK221" s="14"/>
      <c r="DL221" s="14"/>
      <c r="DM221" s="14"/>
      <c r="DN221" s="14"/>
      <c r="DO221" s="14"/>
      <c r="DP221" s="14"/>
      <c r="DQ221" s="14"/>
      <c r="DR221" s="14"/>
      <c r="DS221" s="14"/>
      <c r="DT221" s="14"/>
      <c r="DU221" s="14"/>
      <c r="DV221" s="14"/>
      <c r="DW221" s="14"/>
      <c r="DX221" s="14"/>
      <c r="DY221" s="14"/>
      <c r="DZ221" s="14"/>
      <c r="EA221" s="14"/>
      <c r="EB221" s="14"/>
      <c r="EC221" s="14"/>
      <c r="ED221" s="14"/>
      <c r="EE221" s="14"/>
      <c r="EF221" s="14"/>
      <c r="EG221" s="14"/>
      <c r="EH221" s="14"/>
      <c r="EI221" s="14"/>
      <c r="EJ221" s="14"/>
      <c r="EK221" s="14"/>
      <c r="EL221" s="14"/>
    </row>
    <row r="222" spans="1:142" s="63" customFormat="1" ht="15" customHeight="1" x14ac:dyDescent="0.2">
      <c r="A222" s="35"/>
      <c r="B222" s="354" t="s">
        <v>598</v>
      </c>
      <c r="C222" s="1308"/>
      <c r="D222" s="1308"/>
      <c r="E222" s="1558">
        <f>LETable!AJ36</f>
        <v>0</v>
      </c>
      <c r="F222" s="1558"/>
      <c r="G222" s="1637"/>
      <c r="H222" s="1637"/>
      <c r="I222" s="1637"/>
      <c r="J222" s="1869">
        <f>IF(C222="",0,IF(OR(C222&lt;=0,G222&lt;=0),E222,IF(G222&lt;C222,0,LETable!AO36)))</f>
        <v>0</v>
      </c>
      <c r="K222" s="1869"/>
      <c r="L222" s="1938" t="str">
        <f>IF(OR(C222="NA",G222="NA"),"",IF(AND(C222&lt;&gt;"",G222=""),"Enter contralateral or NA.",IF(AND(C222="",G222&lt;&gt;""),"Need data","")))</f>
        <v/>
      </c>
      <c r="M222" s="1938"/>
      <c r="N222" s="1938"/>
      <c r="O222" s="1939"/>
      <c r="P222" s="1905"/>
      <c r="Q222" s="35"/>
      <c r="R222" s="242">
        <f>J222+J224+AC223</f>
        <v>0</v>
      </c>
      <c r="S222" s="844">
        <v>30</v>
      </c>
      <c r="T222" s="844" t="str">
        <f>IF(OR(C222="",C222="NA"),"",IF(C222&gt;S222,S222,IF(C222&lt;0,0,C222)))</f>
        <v/>
      </c>
      <c r="U222" s="844" t="str">
        <f>IF(OR(G222="",G222="NA"),"",IF(G222&gt;S222,S222,IF(G222&lt;0,0,G222)))</f>
        <v/>
      </c>
      <c r="V222" s="696" t="str">
        <f>IF(W222="","",ROUND(W222,0))</f>
        <v/>
      </c>
      <c r="W222" s="697" t="str">
        <f>IF(T222="","",IF(OR(U222="",U222=0,U222&lt;T222),T222,(T222*S222)/U222))</f>
        <v/>
      </c>
      <c r="X222" s="859"/>
      <c r="Y222" s="844">
        <f>COUNTIF(Y223:Y224,1)</f>
        <v>0</v>
      </c>
      <c r="Z222" s="844">
        <f>COUNTIF(Z223:Z224,2)</f>
        <v>0</v>
      </c>
      <c r="AB222" s="18"/>
      <c r="AC222" s="18"/>
      <c r="AD222" s="18"/>
      <c r="AE222" s="18"/>
      <c r="AF222" s="18"/>
      <c r="AG222" s="18"/>
      <c r="AH222" s="18"/>
      <c r="AI222" s="111"/>
      <c r="AJ222" s="18"/>
      <c r="AK222" s="18"/>
      <c r="AL222" s="18"/>
      <c r="AM222" s="18"/>
      <c r="AN222" s="18"/>
      <c r="AO222" s="18"/>
      <c r="AP222" s="18"/>
      <c r="AQ222" s="18"/>
      <c r="AR222" s="18"/>
      <c r="AS222" s="18"/>
      <c r="AT222" s="18"/>
      <c r="AU222" s="18"/>
      <c r="AV222" s="18"/>
      <c r="AW222" s="18"/>
      <c r="AX222" s="18"/>
      <c r="AY222" s="18"/>
      <c r="AZ222" s="18"/>
      <c r="BA222" s="14"/>
      <c r="BB222" s="14"/>
      <c r="BC222" s="14"/>
      <c r="BD222" s="14"/>
      <c r="BE222" s="14"/>
      <c r="BF222" s="14"/>
      <c r="BG222" s="14"/>
      <c r="BH222" s="14"/>
      <c r="BI222" s="14"/>
      <c r="BJ222" s="14"/>
      <c r="BK222" s="14"/>
      <c r="BL222" s="14"/>
      <c r="BM222" s="14"/>
      <c r="BN222" s="14"/>
      <c r="BO222" s="14"/>
      <c r="BP222" s="14"/>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row>
    <row r="223" spans="1:142" s="63" customFormat="1" ht="15" customHeight="1" x14ac:dyDescent="0.2">
      <c r="A223" s="35"/>
      <c r="B223" s="335" t="s">
        <v>485</v>
      </c>
      <c r="C223" s="1308"/>
      <c r="D223" s="1308"/>
      <c r="E223" s="1558">
        <f>IF(AND($Y$222&gt;0,$Z$222&gt;0),"ERROR",LETable!AJ37)</f>
        <v>0</v>
      </c>
      <c r="F223" s="1558"/>
      <c r="G223" s="1938" t="str">
        <f>IF(AND($Y$222&gt;0,$Z$222&gt;0),"Cannot rate ROM and ankylosis in the foot.","")</f>
        <v/>
      </c>
      <c r="H223" s="1938"/>
      <c r="I223" s="1938"/>
      <c r="J223" s="1938"/>
      <c r="K223" s="1938"/>
      <c r="L223" s="1938"/>
      <c r="M223" s="1938"/>
      <c r="N223" s="1938"/>
      <c r="O223" s="1939"/>
      <c r="P223" s="1905"/>
      <c r="Q223" s="35"/>
      <c r="R223" s="747">
        <f>IF(AC223&gt;0,R222,IF(AND(AC229&gt;0,C233&gt;0),C233*R222,R222))</f>
        <v>0</v>
      </c>
      <c r="S223" s="844">
        <v>30</v>
      </c>
      <c r="T223" s="844" t="str">
        <f>IF(OR(C223="",C223="NA"),"",IF(C223&gt;S223,S223,IF(C223&lt;0,0,C223)))</f>
        <v/>
      </c>
      <c r="U223" s="852"/>
      <c r="V223" s="852"/>
      <c r="W223" s="857"/>
      <c r="Y223" s="844">
        <f>IF(AND(C222&lt;&gt;"",C222&lt;&gt;"NA"),1,0)</f>
        <v>0</v>
      </c>
      <c r="Z223" s="844">
        <f>IF(AND(C223&lt;&gt;"",C223&lt;&gt;"NA"),2,0)</f>
        <v>0</v>
      </c>
      <c r="AB223" s="73"/>
      <c r="AC223" s="242">
        <f>MAX(E223,E225)</f>
        <v>0</v>
      </c>
      <c r="AD223" s="1410" t="s">
        <v>1943</v>
      </c>
      <c r="AE223" s="1410"/>
      <c r="AF223" s="1410"/>
      <c r="AG223" s="1410"/>
      <c r="AH223" s="18"/>
      <c r="AI223" s="18"/>
      <c r="AJ223" s="18"/>
      <c r="AK223" s="18"/>
      <c r="AL223" s="18"/>
      <c r="AM223" s="18"/>
      <c r="AN223" s="18"/>
      <c r="AO223" s="18"/>
      <c r="AP223" s="18"/>
      <c r="AQ223" s="18"/>
      <c r="AR223" s="18"/>
      <c r="AS223" s="18"/>
      <c r="AT223" s="18"/>
      <c r="AU223" s="18"/>
      <c r="AV223" s="18"/>
      <c r="AW223" s="18"/>
      <c r="AX223" s="18"/>
      <c r="AY223" s="18"/>
      <c r="AZ223" s="18"/>
      <c r="BA223" s="14"/>
      <c r="BB223" s="14"/>
      <c r="BC223" s="14"/>
      <c r="BD223" s="14"/>
      <c r="BE223" s="14"/>
      <c r="BF223" s="14"/>
      <c r="BG223" s="14"/>
      <c r="BH223" s="14"/>
      <c r="BI223" s="14"/>
      <c r="BJ223" s="14"/>
      <c r="BK223" s="14"/>
      <c r="BL223" s="14"/>
      <c r="BM223" s="14"/>
      <c r="BN223" s="14"/>
      <c r="BO223" s="14"/>
      <c r="BP223" s="14"/>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row>
    <row r="224" spans="1:142" s="63" customFormat="1" ht="15" customHeight="1" x14ac:dyDescent="0.2">
      <c r="A224" s="35"/>
      <c r="B224" s="335" t="s">
        <v>486</v>
      </c>
      <c r="C224" s="1308"/>
      <c r="D224" s="1308"/>
      <c r="E224" s="1558">
        <f>LETable!AJ38</f>
        <v>0</v>
      </c>
      <c r="F224" s="1558"/>
      <c r="G224" s="1637"/>
      <c r="H224" s="1637"/>
      <c r="I224" s="1637"/>
      <c r="J224" s="1869">
        <f>IF(C224="",0,IF(OR(C224&lt;=0,G224&lt;=0),E224,IF(G224&lt;C224,0,LETable!AO38)))</f>
        <v>0</v>
      </c>
      <c r="K224" s="1869"/>
      <c r="L224" s="1938" t="str">
        <f>IF(OR(C224="NA",G224="NA"),"",IF(AND(C224&lt;&gt;"",G224=""),"Enter contralateral or NA.",IF(AND(C224="",G224&lt;&gt;""),"Need data","")))</f>
        <v/>
      </c>
      <c r="M224" s="1938"/>
      <c r="N224" s="1938"/>
      <c r="O224" s="1939"/>
      <c r="P224" s="1905"/>
      <c r="Q224" s="35"/>
      <c r="R224" s="18"/>
      <c r="S224" s="844">
        <v>20</v>
      </c>
      <c r="T224" s="844" t="str">
        <f>IF(OR(C224="",C224="NA"),"",IF(C224&gt;S224,S224,IF(C224&lt;0,0,C224)))</f>
        <v/>
      </c>
      <c r="U224" s="844" t="str">
        <f>IF(OR(G224="",G224="NA"),"",IF(G224&gt;S224,S224,IF(G224&lt;0,0,G224)))</f>
        <v/>
      </c>
      <c r="V224" s="696" t="str">
        <f>IF(W224="","",ROUND(W224,0))</f>
        <v/>
      </c>
      <c r="W224" s="697" t="str">
        <f>IF(T224="","",IF(OR(U224="",U224=0,U224&lt;T224),T224,(T224*S224)/U224))</f>
        <v/>
      </c>
      <c r="X224" s="18"/>
      <c r="Y224" s="844">
        <f>IF(AND(C224&lt;&gt;"",C224&lt;&gt;"NA"),1,0)</f>
        <v>0</v>
      </c>
      <c r="Z224" s="844">
        <f>IF(AND(C225&lt;&gt;"",C225&lt;&gt;"NA"),2,0)</f>
        <v>0</v>
      </c>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4"/>
      <c r="BB224" s="14"/>
      <c r="BC224" s="14"/>
      <c r="BD224" s="14"/>
      <c r="BE224" s="14"/>
      <c r="BF224" s="14"/>
      <c r="BG224" s="14"/>
      <c r="BH224" s="14"/>
      <c r="BI224" s="14"/>
      <c r="BJ224" s="14"/>
      <c r="BK224" s="14"/>
      <c r="BL224" s="14"/>
      <c r="BM224" s="14"/>
      <c r="BN224" s="14"/>
      <c r="BO224" s="14"/>
      <c r="BP224" s="14"/>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row>
    <row r="225" spans="1:142" s="63" customFormat="1" ht="15" customHeight="1" x14ac:dyDescent="0.2">
      <c r="A225" s="35"/>
      <c r="B225" s="335" t="s">
        <v>487</v>
      </c>
      <c r="C225" s="1308"/>
      <c r="D225" s="1308"/>
      <c r="E225" s="1558">
        <f>IF(AND($Y$222&gt;0,$Z$222&gt;0),"ERROR",LETable!AJ39)</f>
        <v>0</v>
      </c>
      <c r="F225" s="1558"/>
      <c r="G225" s="1866" t="str">
        <f>IF(AND($Y$222&gt;0,$Z$222&gt;0),"Cannot rate ROM and ankylosis in the foot.",IF(AND(C223&lt;&gt;"",C223&lt;&gt;"NA",C225&lt;&gt;"",C225&lt;&gt;"NA"),"Multiple ankylosis values; use higher value only.",""))</f>
        <v/>
      </c>
      <c r="H225" s="1867"/>
      <c r="I225" s="1867"/>
      <c r="J225" s="1867"/>
      <c r="K225" s="1867"/>
      <c r="L225" s="1867"/>
      <c r="M225" s="1867"/>
      <c r="N225" s="1867"/>
      <c r="O225" s="1867"/>
      <c r="P225" s="1905"/>
      <c r="Q225" s="35"/>
      <c r="R225" s="1087"/>
      <c r="S225" s="1081">
        <v>20</v>
      </c>
      <c r="T225" s="844" t="str">
        <f>IF(OR(C225="",C225="NA"),"",IF(C225&gt;S225,S225,IF(C225&lt;0,0,C225)))</f>
        <v/>
      </c>
      <c r="U225" s="18"/>
      <c r="AB225" s="18"/>
      <c r="AC225" s="18"/>
      <c r="AD225" s="18"/>
      <c r="AE225" s="18"/>
      <c r="AF225" s="18"/>
      <c r="AG225" s="18"/>
      <c r="AH225" s="18"/>
      <c r="AI225" s="18"/>
      <c r="AJ225" s="47"/>
      <c r="AK225" s="47"/>
      <c r="AL225" s="47"/>
      <c r="AM225" s="47"/>
      <c r="AN225" s="18"/>
      <c r="AO225" s="18"/>
      <c r="AP225" s="18"/>
      <c r="AQ225" s="18"/>
      <c r="AR225" s="18"/>
      <c r="AS225" s="18"/>
      <c r="AT225" s="18"/>
      <c r="AU225" s="18"/>
      <c r="AV225" s="18"/>
      <c r="AW225" s="18"/>
      <c r="AX225" s="18"/>
      <c r="AY225" s="18"/>
      <c r="AZ225" s="18"/>
      <c r="BA225" s="14"/>
      <c r="BB225" s="14"/>
      <c r="BC225" s="14"/>
      <c r="BD225" s="14"/>
      <c r="BE225" s="14"/>
      <c r="BF225" s="14"/>
      <c r="BG225" s="14"/>
      <c r="BH225" s="14"/>
      <c r="BI225" s="14"/>
      <c r="BJ225" s="14"/>
      <c r="BK225" s="14"/>
      <c r="BL225" s="14"/>
      <c r="BM225" s="14"/>
      <c r="BN225" s="14"/>
      <c r="BO225" s="14"/>
      <c r="BP225" s="14"/>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row>
    <row r="226" spans="1:142" s="63" customFormat="1" ht="18" customHeight="1" x14ac:dyDescent="0.2">
      <c r="A226" s="35"/>
      <c r="B226" s="1970" t="s">
        <v>2266</v>
      </c>
      <c r="C226" s="1971"/>
      <c r="D226" s="1971"/>
      <c r="E226" s="1971"/>
      <c r="F226" s="1971"/>
      <c r="G226" s="1971"/>
      <c r="H226" s="1971"/>
      <c r="I226" s="1971"/>
      <c r="J226" s="1971"/>
      <c r="K226" s="1971"/>
      <c r="L226" s="1971"/>
      <c r="M226" s="1971"/>
      <c r="N226" s="1972"/>
      <c r="O226" s="1104">
        <f>R223</f>
        <v>0</v>
      </c>
      <c r="P226" s="1905"/>
      <c r="Q226" s="35"/>
      <c r="R226" s="1160"/>
      <c r="S226" s="18"/>
      <c r="T226" s="18"/>
      <c r="U226" s="18"/>
      <c r="V226" s="18"/>
      <c r="W226" s="18"/>
      <c r="X226" s="18"/>
      <c r="Y226" s="945" t="s">
        <v>2236</v>
      </c>
      <c r="Z226" s="944" t="s">
        <v>2237</v>
      </c>
      <c r="AA226" s="18"/>
      <c r="AB226" s="18"/>
      <c r="AC226" s="18"/>
      <c r="AD226" s="18"/>
      <c r="AE226" s="18"/>
      <c r="AF226" s="18"/>
      <c r="AG226" s="18"/>
      <c r="AH226" s="18"/>
      <c r="AI226" s="18"/>
      <c r="AJ226" s="47"/>
      <c r="AK226" s="47"/>
      <c r="AL226" s="47"/>
      <c r="AM226" s="47"/>
      <c r="AN226" s="18"/>
      <c r="AO226" s="18"/>
      <c r="AP226" s="18"/>
      <c r="AQ226" s="18"/>
      <c r="AR226" s="18"/>
      <c r="AS226" s="18"/>
      <c r="AT226" s="18"/>
      <c r="AU226" s="18"/>
      <c r="AV226" s="18"/>
      <c r="AW226" s="18"/>
      <c r="AX226" s="18"/>
      <c r="AY226" s="18"/>
      <c r="AZ226" s="18"/>
      <c r="BA226" s="14"/>
      <c r="BB226" s="14"/>
      <c r="BC226" s="14"/>
      <c r="BD226" s="14"/>
      <c r="BE226" s="14"/>
      <c r="BF226" s="14"/>
      <c r="BG226" s="14"/>
      <c r="BH226" s="14"/>
      <c r="BI226" s="14"/>
      <c r="BJ226" s="14"/>
      <c r="BK226" s="14"/>
      <c r="BL226" s="14"/>
      <c r="BM226" s="14"/>
      <c r="BN226" s="14"/>
      <c r="BO226" s="14"/>
      <c r="BP226" s="14"/>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row>
    <row r="227" spans="1:142" s="63" customFormat="1" ht="25.5" customHeight="1" x14ac:dyDescent="0.2">
      <c r="A227" s="1108"/>
      <c r="B227" s="1125" t="s">
        <v>1346</v>
      </c>
      <c r="C227" s="1822" t="s">
        <v>1596</v>
      </c>
      <c r="D227" s="1817"/>
      <c r="E227" s="1817"/>
      <c r="F227" s="1817"/>
      <c r="G227" s="1531" t="s">
        <v>1081</v>
      </c>
      <c r="H227" s="1550"/>
      <c r="I227" s="1550"/>
      <c r="J227" s="1550"/>
      <c r="K227" s="1551"/>
      <c r="L227" s="1549"/>
      <c r="M227" s="1550"/>
      <c r="N227" s="1550"/>
      <c r="O227" s="1550"/>
      <c r="P227" s="1905"/>
      <c r="Q227" s="1108"/>
      <c r="R227" s="242">
        <f>J228+J230+AC229</f>
        <v>0</v>
      </c>
      <c r="S227" s="1111"/>
      <c r="T227" s="1111"/>
      <c r="U227" s="1111"/>
      <c r="V227" s="1111"/>
      <c r="W227" s="1111"/>
      <c r="X227" s="1111"/>
      <c r="Y227" s="1119"/>
      <c r="Z227" s="1117"/>
      <c r="AA227" s="1111"/>
      <c r="AB227" s="1111"/>
      <c r="AC227" s="1111"/>
      <c r="AD227" s="1111"/>
      <c r="AE227" s="1111"/>
      <c r="AF227" s="1111"/>
      <c r="AG227" s="1111"/>
      <c r="AH227" s="1111"/>
      <c r="AI227" s="1111"/>
      <c r="AJ227" s="1106"/>
      <c r="AK227" s="1106"/>
      <c r="AL227" s="1106"/>
      <c r="AM227" s="1106"/>
      <c r="AN227" s="1111"/>
      <c r="AO227" s="1111"/>
      <c r="AP227" s="1111"/>
      <c r="AQ227" s="1111"/>
      <c r="AR227" s="1111"/>
      <c r="AS227" s="1111"/>
      <c r="AT227" s="1111"/>
      <c r="AU227" s="1111"/>
      <c r="AV227" s="1111"/>
      <c r="AW227" s="1111"/>
      <c r="AX227" s="1111"/>
      <c r="AY227" s="1111"/>
      <c r="AZ227" s="1111"/>
      <c r="BA227" s="1107"/>
      <c r="BB227" s="1107"/>
      <c r="BC227" s="1107"/>
      <c r="BD227" s="1107"/>
      <c r="BE227" s="1107"/>
      <c r="BF227" s="1107"/>
      <c r="BG227" s="1107"/>
      <c r="BH227" s="1107"/>
      <c r="BI227" s="1107"/>
      <c r="BJ227" s="1107"/>
      <c r="BK227" s="1107"/>
      <c r="BL227" s="1107"/>
      <c r="BM227" s="1107"/>
      <c r="BN227" s="1107"/>
      <c r="BO227" s="1107"/>
      <c r="BP227" s="1107"/>
      <c r="BQ227" s="1107"/>
      <c r="BR227" s="1107"/>
      <c r="BS227" s="1107"/>
      <c r="BT227" s="1107"/>
      <c r="BU227" s="1107"/>
      <c r="BV227" s="1107"/>
      <c r="BW227" s="1107"/>
      <c r="BX227" s="1107"/>
      <c r="BY227" s="1107"/>
      <c r="BZ227" s="1107"/>
      <c r="CA227" s="1107"/>
      <c r="CB227" s="1107"/>
      <c r="CC227" s="1107"/>
      <c r="CD227" s="1107"/>
      <c r="CE227" s="1107"/>
      <c r="CF227" s="1107"/>
      <c r="CG227" s="1107"/>
      <c r="CH227" s="1107"/>
      <c r="CI227" s="1107"/>
      <c r="CJ227" s="1107"/>
      <c r="CK227" s="1107"/>
      <c r="CL227" s="1107"/>
      <c r="CM227" s="1107"/>
      <c r="CN227" s="1107"/>
      <c r="CO227" s="1107"/>
      <c r="CP227" s="1107"/>
      <c r="CQ227" s="1107"/>
      <c r="CR227" s="1107"/>
      <c r="CS227" s="1107"/>
      <c r="CT227" s="1107"/>
      <c r="CU227" s="1107"/>
      <c r="CV227" s="1107"/>
      <c r="CW227" s="1107"/>
      <c r="CX227" s="1107"/>
      <c r="CY227" s="1107"/>
      <c r="CZ227" s="1107"/>
      <c r="DA227" s="1107"/>
      <c r="DB227" s="1107"/>
      <c r="DC227" s="1107"/>
      <c r="DD227" s="1107"/>
      <c r="DE227" s="1107"/>
      <c r="DF227" s="1107"/>
      <c r="DG227" s="1107"/>
      <c r="DH227" s="1107"/>
      <c r="DI227" s="1107"/>
      <c r="DJ227" s="1107"/>
      <c r="DK227" s="1107"/>
      <c r="DL227" s="1107"/>
      <c r="DM227" s="1107"/>
      <c r="DN227" s="1107"/>
      <c r="DO227" s="1107"/>
      <c r="DP227" s="1107"/>
      <c r="DQ227" s="1107"/>
      <c r="DR227" s="1107"/>
      <c r="DS227" s="1107"/>
      <c r="DT227" s="1107"/>
      <c r="DU227" s="1107"/>
      <c r="DV227" s="1107"/>
      <c r="DW227" s="1107"/>
      <c r="DX227" s="1107"/>
      <c r="DY227" s="1107"/>
      <c r="DZ227" s="1107"/>
      <c r="EA227" s="1107"/>
      <c r="EB227" s="1107"/>
      <c r="EC227" s="1107"/>
      <c r="ED227" s="1107"/>
      <c r="EE227" s="1107"/>
      <c r="EF227" s="1107"/>
      <c r="EG227" s="1107"/>
      <c r="EH227" s="1107"/>
      <c r="EI227" s="1107"/>
      <c r="EJ227" s="1107"/>
      <c r="EK227" s="1107"/>
      <c r="EL227" s="1107"/>
    </row>
    <row r="228" spans="1:142" s="63" customFormat="1" ht="15" customHeight="1" x14ac:dyDescent="0.2">
      <c r="A228" s="35"/>
      <c r="B228" s="156" t="s">
        <v>1335</v>
      </c>
      <c r="C228" s="1308"/>
      <c r="D228" s="1308"/>
      <c r="E228" s="1558">
        <f>LETable!AJ42</f>
        <v>0</v>
      </c>
      <c r="F228" s="1558"/>
      <c r="G228" s="1637"/>
      <c r="H228" s="1637"/>
      <c r="I228" s="1637"/>
      <c r="J228" s="1869">
        <f>IF(C228="",0,IF(OR(C228&lt;=0,G228&lt;=0),E228,IF(G228&lt;C228,0,LETable!AO42)))</f>
        <v>0</v>
      </c>
      <c r="K228" s="1869"/>
      <c r="L228" s="1938" t="str">
        <f>IF(OR(C228="NA",G228="NA"),"",IF(AND(C228&lt;&gt;"",G228=""),"Enter contralateral or NA.",IF(AND(C228="",G228&lt;&gt;""),"Need data","")))</f>
        <v/>
      </c>
      <c r="M228" s="1938"/>
      <c r="N228" s="1938"/>
      <c r="O228" s="1939"/>
      <c r="P228" s="1905"/>
      <c r="Q228" s="35"/>
      <c r="R228" s="243">
        <f>IF(AC229&gt;0,R227,IF(AND(AC223&gt;0,C233&gt;0),C233*R227,R227))</f>
        <v>0</v>
      </c>
      <c r="S228" s="845">
        <v>20</v>
      </c>
      <c r="T228" s="844" t="str">
        <f>IF(OR(C228="",C228="NA"),"",IF(C228&gt;S228,S228,IF(C228&lt;0,0,C228)))</f>
        <v/>
      </c>
      <c r="U228" s="844" t="str">
        <f>IF(OR(G228="",G228="NA"),"",IF(G228&gt;S228,S228,IF(G228&lt;0,0,G228)))</f>
        <v/>
      </c>
      <c r="V228" s="696" t="str">
        <f>IF(W228="","",ROUND(W228,0))</f>
        <v/>
      </c>
      <c r="W228" s="697" t="str">
        <f>IF(T228="","",IF(OR(U228="",U228=0,U228&lt;T228),T228,(T228*S228)/U228))</f>
        <v/>
      </c>
      <c r="X228" s="18"/>
      <c r="Y228" s="844">
        <f>COUNTIF(Y229:Y230,1)</f>
        <v>0</v>
      </c>
      <c r="Z228" s="844">
        <f>COUNTIF(Z229:Z230,2)</f>
        <v>0</v>
      </c>
      <c r="AB228" s="18"/>
      <c r="AC228" s="18"/>
      <c r="AD228" s="18"/>
      <c r="AE228" s="18"/>
      <c r="AF228" s="18"/>
      <c r="AG228" s="18"/>
      <c r="AH228" s="47"/>
      <c r="AI228" s="18"/>
      <c r="AJ228" s="47"/>
      <c r="AK228" s="47"/>
      <c r="AL228" s="47"/>
      <c r="AM228" s="47"/>
      <c r="AN228" s="18"/>
      <c r="AO228" s="18"/>
      <c r="AP228" s="18"/>
      <c r="AQ228" s="18"/>
      <c r="AR228" s="18"/>
      <c r="AS228" s="18"/>
      <c r="AT228" s="18"/>
      <c r="AU228" s="18"/>
      <c r="AV228" s="18"/>
      <c r="AW228" s="18"/>
      <c r="AX228" s="18"/>
      <c r="AY228" s="18"/>
      <c r="AZ228" s="18"/>
      <c r="BA228" s="14"/>
      <c r="BB228" s="14"/>
      <c r="BC228" s="14"/>
      <c r="BD228" s="14"/>
      <c r="BE228" s="14"/>
      <c r="BF228" s="14"/>
      <c r="BG228" s="14"/>
      <c r="BH228" s="14"/>
      <c r="BI228" s="14"/>
      <c r="BJ228" s="14"/>
      <c r="BK228" s="14"/>
      <c r="BL228" s="14"/>
      <c r="BM228" s="14"/>
      <c r="BN228" s="14"/>
      <c r="BO228" s="14"/>
      <c r="BP228" s="14"/>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row>
    <row r="229" spans="1:142" s="63" customFormat="1" ht="15" customHeight="1" x14ac:dyDescent="0.2">
      <c r="A229" s="35"/>
      <c r="B229" s="156" t="s">
        <v>1336</v>
      </c>
      <c r="C229" s="1308"/>
      <c r="D229" s="1308"/>
      <c r="E229" s="1558">
        <f>IF(AND($Y$228&gt;0,$Z$228&gt;0),"ERROR",LETable!AJ43)</f>
        <v>0</v>
      </c>
      <c r="F229" s="1558"/>
      <c r="G229" s="1938" t="str">
        <f>IF(AND($Y$228&gt;0,$Z$228&gt;0),"Cannot rate ROM and ankylosis in the ankle.","")</f>
        <v/>
      </c>
      <c r="H229" s="1938"/>
      <c r="I229" s="1938"/>
      <c r="J229" s="1938"/>
      <c r="K229" s="1938"/>
      <c r="L229" s="1938"/>
      <c r="M229" s="1938"/>
      <c r="N229" s="1938"/>
      <c r="O229" s="1939"/>
      <c r="P229" s="1905"/>
      <c r="Q229" s="35"/>
      <c r="R229" s="242">
        <f>IF(OR(AC223&gt;0,AC229&gt;0),R223+R228,IF(C233&gt;0,C233*(R223+R228),R223+R228))</f>
        <v>0</v>
      </c>
      <c r="S229" s="845">
        <v>20</v>
      </c>
      <c r="T229" s="844" t="str">
        <f>IF(OR(C229="",C229="NA"),"",IF(C229&gt;S229,S229,IF(C229&lt;0,0,C229)))</f>
        <v/>
      </c>
      <c r="U229" s="18"/>
      <c r="Y229" s="844">
        <f>IF(AND(C230&lt;&gt;"",C230&lt;&gt;"NA"),1,0)</f>
        <v>0</v>
      </c>
      <c r="Z229" s="844">
        <f>IF(AND(C231&lt;&gt;"",C231&lt;&gt;"NA"),2,0)</f>
        <v>0</v>
      </c>
      <c r="AB229" s="18"/>
      <c r="AC229" s="242">
        <f>MAX(E229,E231)</f>
        <v>0</v>
      </c>
      <c r="AD229" s="1410" t="s">
        <v>1943</v>
      </c>
      <c r="AE229" s="1410"/>
      <c r="AF229" s="1410"/>
      <c r="AG229" s="1410"/>
      <c r="AH229" s="47"/>
      <c r="AI229" s="18"/>
      <c r="AJ229" s="47"/>
      <c r="AK229" s="47"/>
      <c r="AL229" s="47"/>
      <c r="AM229" s="47"/>
      <c r="AN229" s="18"/>
      <c r="AO229" s="18"/>
      <c r="AP229" s="18"/>
      <c r="AQ229" s="18"/>
      <c r="AR229" s="18"/>
      <c r="AS229" s="18"/>
      <c r="AT229" s="18"/>
      <c r="AU229" s="18"/>
      <c r="AV229" s="18"/>
      <c r="AW229" s="18"/>
      <c r="AX229" s="18"/>
      <c r="AY229" s="18"/>
      <c r="AZ229" s="18"/>
      <c r="BA229" s="14"/>
      <c r="BB229" s="14"/>
      <c r="BC229" s="14"/>
      <c r="BD229" s="14"/>
      <c r="BE229" s="14"/>
      <c r="BF229" s="14"/>
      <c r="BG229" s="14"/>
      <c r="BH229" s="14"/>
      <c r="BI229" s="14"/>
      <c r="BJ229" s="14"/>
      <c r="BK229" s="14"/>
      <c r="BL229" s="14"/>
      <c r="BM229" s="14"/>
      <c r="BN229" s="14"/>
      <c r="BO229" s="14"/>
      <c r="BP229" s="14"/>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row>
    <row r="230" spans="1:142" s="63" customFormat="1" ht="15" customHeight="1" x14ac:dyDescent="0.2">
      <c r="A230" s="35"/>
      <c r="B230" s="357" t="s">
        <v>1256</v>
      </c>
      <c r="C230" s="1308"/>
      <c r="D230" s="1308"/>
      <c r="E230" s="1558">
        <f>LETable!AJ44</f>
        <v>0</v>
      </c>
      <c r="F230" s="1558"/>
      <c r="G230" s="1944"/>
      <c r="H230" s="1953"/>
      <c r="I230" s="1945"/>
      <c r="J230" s="1869">
        <f>IF(C230="",0,IF(OR(C230&lt;=0,G230&lt;=0),E230,IF(G230&lt;C230,0,LETable!AO44)))</f>
        <v>0</v>
      </c>
      <c r="K230" s="1869"/>
      <c r="L230" s="1938" t="str">
        <f>IF(OR(C230="NA",G230="NA"),"",IF(AND(C230&lt;&gt;"",G230=""),"Enter contralateral or NA.",IF(AND(C230="",G230&lt;&gt;""),"Need data","")))</f>
        <v/>
      </c>
      <c r="M230" s="1938"/>
      <c r="N230" s="1938"/>
      <c r="O230" s="1939"/>
      <c r="P230" s="1905"/>
      <c r="Q230" s="35"/>
      <c r="R230" s="844" t="s">
        <v>696</v>
      </c>
      <c r="S230" s="845">
        <v>40</v>
      </c>
      <c r="T230" s="844" t="str">
        <f>IF(OR(C230="",C230="NA"),"",IF(C230&gt;S230,S230,IF(C230&lt;0,0,C230)))</f>
        <v/>
      </c>
      <c r="U230" s="844" t="str">
        <f>IF(OR(G230="",G230="NA"),"",IF(G230&gt;S230,S230,IF(G230&lt;0,0,G230)))</f>
        <v/>
      </c>
      <c r="V230" s="696" t="str">
        <f>IF(W230="","",ROUND(W230,0))</f>
        <v/>
      </c>
      <c r="W230" s="697" t="str">
        <f>IF(T230="","",IF(OR(U230="",U230=0,U230&lt;T230),T230,(T230*S230)/U230))</f>
        <v/>
      </c>
      <c r="X230" s="18"/>
      <c r="Y230" s="844">
        <f>IF(AND(C228&lt;&gt;"",C228&lt;&gt;"NA"),1,0)</f>
        <v>0</v>
      </c>
      <c r="Z230" s="844">
        <f>IF(AND(C229&lt;&gt;"",C229&lt;&gt;"NA"),2,0)</f>
        <v>0</v>
      </c>
      <c r="AA230" s="18"/>
      <c r="AB230" s="18"/>
      <c r="AC230" s="160"/>
      <c r="AD230" s="18"/>
      <c r="AE230" s="18"/>
      <c r="AF230" s="18"/>
      <c r="AG230" s="18"/>
      <c r="AH230" s="47"/>
      <c r="AI230" s="18"/>
      <c r="AJ230" s="47"/>
      <c r="AK230" s="47"/>
      <c r="AL230" s="47"/>
      <c r="AM230" s="47"/>
      <c r="AN230" s="18"/>
      <c r="AO230" s="18"/>
      <c r="AP230" s="18"/>
      <c r="AQ230" s="18"/>
      <c r="AR230" s="18"/>
      <c r="AS230" s="18"/>
      <c r="AT230" s="18"/>
      <c r="AU230" s="18"/>
      <c r="AV230" s="18"/>
      <c r="AW230" s="18"/>
      <c r="AX230" s="18"/>
      <c r="AY230" s="18"/>
      <c r="AZ230" s="18"/>
      <c r="BA230" s="14"/>
      <c r="BB230" s="14"/>
      <c r="BC230" s="14"/>
      <c r="BD230" s="14"/>
      <c r="BE230" s="14"/>
      <c r="BF230" s="14"/>
      <c r="BG230" s="14"/>
      <c r="BH230" s="14"/>
      <c r="BI230" s="14"/>
      <c r="BJ230" s="14"/>
      <c r="BK230" s="14"/>
      <c r="BL230" s="14"/>
      <c r="BM230" s="14"/>
      <c r="BN230" s="14"/>
      <c r="BO230" s="14"/>
      <c r="BP230" s="14"/>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row>
    <row r="231" spans="1:142" s="63" customFormat="1" ht="15" customHeight="1" x14ac:dyDescent="0.2">
      <c r="A231" s="35"/>
      <c r="B231" s="156" t="s">
        <v>1840</v>
      </c>
      <c r="C231" s="1308"/>
      <c r="D231" s="1308"/>
      <c r="E231" s="1558">
        <f>IF(AND($Y$228&gt;0,$Z$228&gt;0),"ERROR",LETable!AJ45)</f>
        <v>0</v>
      </c>
      <c r="F231" s="1558"/>
      <c r="G231" s="1866" t="str">
        <f>IF(AND($Y$228&gt;0,$Z$228&gt;0),"Cannot rate ROM and ankylosis in the ankle.",IF(AND(C229&lt;&gt;"",C229&lt;&gt;"NA",C231&lt;&gt;"",C231&lt;&gt;"NA"),"Multiple ankylosis values; use higher value only.",""))</f>
        <v/>
      </c>
      <c r="H231" s="1867"/>
      <c r="I231" s="1867"/>
      <c r="J231" s="1867"/>
      <c r="K231" s="1867"/>
      <c r="L231" s="1867"/>
      <c r="M231" s="1867"/>
      <c r="N231" s="1867"/>
      <c r="O231" s="1867"/>
      <c r="P231" s="1905"/>
      <c r="Q231" s="35"/>
      <c r="R231" s="844" t="s">
        <v>698</v>
      </c>
      <c r="S231" s="845">
        <v>40</v>
      </c>
      <c r="T231" s="844" t="str">
        <f>IF(OR(C231="",C231="NA"),"",IF(C231&gt;S231,S231,IF(C231&lt;0,0,C231)))</f>
        <v/>
      </c>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4"/>
      <c r="BB231" s="14"/>
      <c r="BC231" s="14"/>
      <c r="BD231" s="14"/>
      <c r="BE231" s="14"/>
      <c r="BF231" s="14"/>
      <c r="BG231" s="14"/>
      <c r="BH231" s="14"/>
      <c r="BI231" s="14"/>
      <c r="BJ231" s="14"/>
      <c r="BK231" s="14"/>
      <c r="BL231" s="14"/>
      <c r="BM231" s="14"/>
      <c r="BN231" s="14"/>
      <c r="BO231" s="14"/>
      <c r="BP231" s="14"/>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row>
    <row r="232" spans="1:142" s="63" customFormat="1" ht="18" customHeight="1" x14ac:dyDescent="0.2">
      <c r="A232" s="1129"/>
      <c r="B232" s="2036" t="s">
        <v>2259</v>
      </c>
      <c r="C232" s="1135"/>
      <c r="D232" s="1135"/>
      <c r="E232" s="1796" t="str">
        <f>IF(AND(OR(E223&gt;0,E225&gt;0,E229&gt;0,E231&gt;0),C233&gt;0),"Ankylosis cannot be apportioned.","")</f>
        <v/>
      </c>
      <c r="F232" s="1796"/>
      <c r="G232" s="1796"/>
      <c r="H232" s="1796"/>
      <c r="I232" s="1796"/>
      <c r="J232" s="1796"/>
      <c r="K232" s="1796"/>
      <c r="L232" s="1135"/>
      <c r="M232" s="1135"/>
      <c r="N232" s="1135"/>
      <c r="O232" s="1135"/>
      <c r="P232" s="1905"/>
      <c r="Q232" s="1129"/>
      <c r="R232" s="844">
        <f>IF(OR(E223="ERROR",E225="ERROR",E229="ERROR",E231="ERROR"),1,0)</f>
        <v>0</v>
      </c>
      <c r="S232" s="1132"/>
      <c r="T232" s="1132"/>
      <c r="U232" s="1132"/>
      <c r="V232" s="1132"/>
      <c r="W232" s="1132"/>
      <c r="X232" s="1132"/>
      <c r="Y232" s="1132"/>
      <c r="Z232" s="1132"/>
      <c r="AA232" s="1132"/>
      <c r="AB232" s="1132"/>
      <c r="AC232" s="1132"/>
      <c r="AD232" s="1132"/>
      <c r="AE232" s="1132"/>
      <c r="AF232" s="1132"/>
      <c r="AG232" s="1132"/>
      <c r="AH232" s="1132"/>
      <c r="AI232" s="1132"/>
      <c r="AJ232" s="1132"/>
      <c r="AK232" s="1132"/>
      <c r="AL232" s="1132"/>
      <c r="AM232" s="1132"/>
      <c r="AN232" s="1132"/>
      <c r="AO232" s="1132"/>
      <c r="AP232" s="1132"/>
      <c r="AQ232" s="1132"/>
      <c r="AR232" s="1132"/>
      <c r="AS232" s="1132"/>
      <c r="AT232" s="1132"/>
      <c r="AU232" s="1132"/>
      <c r="AV232" s="1132"/>
      <c r="AW232" s="1132"/>
      <c r="AX232" s="1132"/>
      <c r="AY232" s="1132"/>
      <c r="AZ232" s="1132"/>
      <c r="BA232" s="1128"/>
      <c r="BB232" s="1128"/>
      <c r="BC232" s="1128"/>
      <c r="BD232" s="1128"/>
      <c r="BE232" s="1128"/>
      <c r="BF232" s="1128"/>
      <c r="BG232" s="1128"/>
      <c r="BH232" s="1128"/>
      <c r="BI232" s="1128"/>
      <c r="BJ232" s="1128"/>
      <c r="BK232" s="1128"/>
      <c r="BL232" s="1128"/>
      <c r="BM232" s="1128"/>
      <c r="BN232" s="1128"/>
      <c r="BO232" s="1128"/>
      <c r="BP232" s="1128"/>
      <c r="BQ232" s="1128"/>
      <c r="BR232" s="1128"/>
      <c r="BS232" s="1128"/>
      <c r="BT232" s="1128"/>
      <c r="BU232" s="1128"/>
      <c r="BV232" s="1128"/>
      <c r="BW232" s="1128"/>
      <c r="BX232" s="1128"/>
      <c r="BY232" s="1128"/>
      <c r="BZ232" s="1128"/>
      <c r="CA232" s="1128"/>
      <c r="CB232" s="1128"/>
      <c r="CC232" s="1128"/>
      <c r="CD232" s="1128"/>
      <c r="CE232" s="1128"/>
      <c r="CF232" s="1128"/>
      <c r="CG232" s="1128"/>
      <c r="CH232" s="1128"/>
      <c r="CI232" s="1128"/>
      <c r="CJ232" s="1128"/>
      <c r="CK232" s="1128"/>
      <c r="CL232" s="1128"/>
      <c r="CM232" s="1128"/>
      <c r="CN232" s="1128"/>
      <c r="CO232" s="1128"/>
      <c r="CP232" s="1128"/>
      <c r="CQ232" s="1128"/>
      <c r="CR232" s="1128"/>
      <c r="CS232" s="1128"/>
      <c r="CT232" s="1128"/>
      <c r="CU232" s="1128"/>
      <c r="CV232" s="1128"/>
      <c r="CW232" s="1128"/>
      <c r="CX232" s="1128"/>
      <c r="CY232" s="1128"/>
      <c r="CZ232" s="1128"/>
      <c r="DA232" s="1128"/>
      <c r="DB232" s="1128"/>
      <c r="DC232" s="1128"/>
      <c r="DD232" s="1128"/>
      <c r="DE232" s="1128"/>
      <c r="DF232" s="1128"/>
      <c r="DG232" s="1128"/>
      <c r="DH232" s="1128"/>
      <c r="DI232" s="1128"/>
      <c r="DJ232" s="1128"/>
      <c r="DK232" s="1128"/>
      <c r="DL232" s="1128"/>
      <c r="DM232" s="1128"/>
      <c r="DN232" s="1128"/>
      <c r="DO232" s="1128"/>
      <c r="DP232" s="1128"/>
      <c r="DQ232" s="1128"/>
      <c r="DR232" s="1128"/>
      <c r="DS232" s="1128"/>
      <c r="DT232" s="1128"/>
      <c r="DU232" s="1128"/>
      <c r="DV232" s="1128"/>
      <c r="DW232" s="1128"/>
      <c r="DX232" s="1128"/>
      <c r="DY232" s="1128"/>
      <c r="DZ232" s="1128"/>
      <c r="EA232" s="1128"/>
      <c r="EB232" s="1128"/>
      <c r="EC232" s="1128"/>
      <c r="ED232" s="1128"/>
      <c r="EE232" s="1128"/>
      <c r="EF232" s="1128"/>
      <c r="EG232" s="1128"/>
      <c r="EH232" s="1128"/>
      <c r="EI232" s="1128"/>
      <c r="EJ232" s="1128"/>
      <c r="EK232" s="1128"/>
      <c r="EL232" s="1128"/>
    </row>
    <row r="233" spans="1:142" s="63" customFormat="1" ht="18" customHeight="1" x14ac:dyDescent="0.2">
      <c r="A233" s="35"/>
      <c r="B233" s="2037"/>
      <c r="C233" s="1544"/>
      <c r="D233" s="1544"/>
      <c r="E233" s="1796"/>
      <c r="F233" s="1796"/>
      <c r="G233" s="1796"/>
      <c r="H233" s="1796"/>
      <c r="I233" s="1796"/>
      <c r="J233" s="1796"/>
      <c r="K233" s="1796"/>
      <c r="L233" s="1971" t="s">
        <v>2266</v>
      </c>
      <c r="M233" s="1971"/>
      <c r="N233" s="1972"/>
      <c r="O233" s="1109">
        <f>R228</f>
        <v>0</v>
      </c>
      <c r="P233" s="1905"/>
      <c r="Q233" s="35"/>
      <c r="S233" s="166"/>
      <c r="T233" s="157"/>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4"/>
      <c r="BB233" s="14"/>
      <c r="BC233" s="14"/>
      <c r="BD233" s="14"/>
      <c r="BE233" s="14"/>
      <c r="BF233" s="14"/>
      <c r="BG233" s="14"/>
      <c r="BH233" s="14"/>
      <c r="BI233" s="14"/>
      <c r="BJ233" s="14"/>
      <c r="BK233" s="14"/>
      <c r="BL233" s="14"/>
      <c r="BM233" s="14"/>
      <c r="BN233" s="14"/>
      <c r="BO233" s="14"/>
      <c r="BP233" s="14"/>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row>
    <row r="234" spans="1:142" s="63" customFormat="1" ht="20.25" customHeight="1" x14ac:dyDescent="0.2">
      <c r="A234" s="1108"/>
      <c r="B234" s="1536"/>
      <c r="C234" s="1536"/>
      <c r="D234" s="1536"/>
      <c r="E234" s="1536"/>
      <c r="F234" s="1536"/>
      <c r="G234" s="1536"/>
      <c r="H234" s="1536"/>
      <c r="I234" s="1536"/>
      <c r="J234" s="1536"/>
      <c r="K234" s="1536"/>
      <c r="L234" s="1740" t="s">
        <v>1028</v>
      </c>
      <c r="M234" s="1741"/>
      <c r="N234" s="1741"/>
      <c r="O234" s="1742"/>
      <c r="P234" s="360">
        <f>IF(R232=1,"ERROR",IF(AND(R229&gt;0,R229&lt;0.01),0.01,IF(R229&gt;1,1,ROUND(R229,2))))</f>
        <v>0</v>
      </c>
      <c r="Q234" s="1108"/>
      <c r="R234" s="1111"/>
      <c r="S234" s="166"/>
      <c r="T234" s="157"/>
      <c r="U234" s="1111"/>
      <c r="V234" s="1111"/>
      <c r="W234" s="1111"/>
      <c r="X234" s="1111"/>
      <c r="Y234" s="1111"/>
      <c r="Z234" s="1111"/>
      <c r="AA234" s="1111"/>
      <c r="AB234" s="1111"/>
      <c r="AC234" s="1111"/>
      <c r="AD234" s="1111"/>
      <c r="AE234" s="1111"/>
      <c r="AF234" s="1111"/>
      <c r="AG234" s="1111"/>
      <c r="AH234" s="1111"/>
      <c r="AI234" s="1111"/>
      <c r="AJ234" s="1111"/>
      <c r="AK234" s="1111"/>
      <c r="AL234" s="1111"/>
      <c r="AM234" s="1111"/>
      <c r="AN234" s="1111"/>
      <c r="AO234" s="1111"/>
      <c r="AP234" s="1111"/>
      <c r="AQ234" s="1111"/>
      <c r="AR234" s="1111"/>
      <c r="AS234" s="1111"/>
      <c r="AT234" s="1111"/>
      <c r="AU234" s="1111"/>
      <c r="AV234" s="1111"/>
      <c r="AW234" s="1111"/>
      <c r="AX234" s="1111"/>
      <c r="AY234" s="1111"/>
      <c r="AZ234" s="1111"/>
      <c r="BA234" s="1107"/>
      <c r="BB234" s="1107"/>
      <c r="BC234" s="1107"/>
      <c r="BD234" s="1107"/>
      <c r="BE234" s="1107"/>
      <c r="BF234" s="1107"/>
      <c r="BG234" s="1107"/>
      <c r="BH234" s="1107"/>
      <c r="BI234" s="1107"/>
      <c r="BJ234" s="1107"/>
      <c r="BK234" s="1107"/>
      <c r="BL234" s="1107"/>
      <c r="BM234" s="1107"/>
      <c r="BN234" s="1107"/>
      <c r="BO234" s="1107"/>
      <c r="BP234" s="1107"/>
      <c r="BQ234" s="1107"/>
      <c r="BR234" s="1107"/>
      <c r="BS234" s="1107"/>
      <c r="BT234" s="1107"/>
      <c r="BU234" s="1107"/>
      <c r="BV234" s="1107"/>
      <c r="BW234" s="1107"/>
      <c r="BX234" s="1107"/>
      <c r="BY234" s="1107"/>
      <c r="BZ234" s="1107"/>
      <c r="CA234" s="1107"/>
      <c r="CB234" s="1107"/>
      <c r="CC234" s="1107"/>
      <c r="CD234" s="1107"/>
      <c r="CE234" s="1107"/>
      <c r="CF234" s="1107"/>
      <c r="CG234" s="1107"/>
      <c r="CH234" s="1107"/>
      <c r="CI234" s="1107"/>
      <c r="CJ234" s="1107"/>
      <c r="CK234" s="1107"/>
      <c r="CL234" s="1107"/>
      <c r="CM234" s="1107"/>
      <c r="CN234" s="1107"/>
      <c r="CO234" s="1107"/>
      <c r="CP234" s="1107"/>
      <c r="CQ234" s="1107"/>
      <c r="CR234" s="1107"/>
      <c r="CS234" s="1107"/>
      <c r="CT234" s="1107"/>
      <c r="CU234" s="1107"/>
      <c r="CV234" s="1107"/>
      <c r="CW234" s="1107"/>
      <c r="CX234" s="1107"/>
      <c r="CY234" s="1107"/>
      <c r="CZ234" s="1107"/>
      <c r="DA234" s="1107"/>
      <c r="DB234" s="1107"/>
      <c r="DC234" s="1107"/>
      <c r="DD234" s="1107"/>
      <c r="DE234" s="1107"/>
      <c r="DF234" s="1107"/>
      <c r="DG234" s="1107"/>
      <c r="DH234" s="1107"/>
      <c r="DI234" s="1107"/>
      <c r="DJ234" s="1107"/>
      <c r="DK234" s="1107"/>
      <c r="DL234" s="1107"/>
      <c r="DM234" s="1107"/>
      <c r="DN234" s="1107"/>
      <c r="DO234" s="1107"/>
      <c r="DP234" s="1107"/>
      <c r="DQ234" s="1107"/>
      <c r="DR234" s="1107"/>
      <c r="DS234" s="1107"/>
      <c r="DT234" s="1107"/>
      <c r="DU234" s="1107"/>
      <c r="DV234" s="1107"/>
      <c r="DW234" s="1107"/>
      <c r="DX234" s="1107"/>
      <c r="DY234" s="1107"/>
      <c r="DZ234" s="1107"/>
      <c r="EA234" s="1107"/>
      <c r="EB234" s="1107"/>
      <c r="EC234" s="1107"/>
      <c r="ED234" s="1107"/>
      <c r="EE234" s="1107"/>
      <c r="EF234" s="1107"/>
      <c r="EG234" s="1107"/>
      <c r="EH234" s="1107"/>
      <c r="EI234" s="1107"/>
      <c r="EJ234" s="1107"/>
      <c r="EK234" s="1107"/>
      <c r="EL234" s="1107"/>
    </row>
    <row r="235" spans="1:142" s="63" customFormat="1" ht="15" customHeight="1" x14ac:dyDescent="0.25">
      <c r="A235" s="8"/>
      <c r="B235" s="1903"/>
      <c r="C235" s="1903"/>
      <c r="D235" s="1903"/>
      <c r="E235" s="1903"/>
      <c r="F235" s="1903"/>
      <c r="G235" s="1903"/>
      <c r="H235" s="1903"/>
      <c r="I235" s="1903"/>
      <c r="J235" s="1903"/>
      <c r="K235" s="1903"/>
      <c r="L235" s="1903"/>
      <c r="M235" s="1903"/>
      <c r="N235" s="1903"/>
      <c r="O235" s="1903"/>
      <c r="P235" s="36"/>
      <c r="Q235" s="8"/>
      <c r="R235" s="60"/>
      <c r="S235" s="60"/>
      <c r="T235" s="60"/>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0"/>
      <c r="BF235" s="14"/>
      <c r="BG235" s="14"/>
      <c r="BH235" s="14"/>
      <c r="BI235" s="14"/>
      <c r="BJ235" s="14"/>
      <c r="BK235" s="14"/>
      <c r="BL235" s="14"/>
      <c r="BM235" s="14"/>
      <c r="BN235" s="14"/>
      <c r="BO235" s="14"/>
      <c r="BP235" s="14"/>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row>
    <row r="236" spans="1:142" s="63" customFormat="1" ht="21" customHeight="1" x14ac:dyDescent="0.2">
      <c r="A236" s="8"/>
      <c r="B236" s="1549" t="s">
        <v>2000</v>
      </c>
      <c r="C236" s="1550"/>
      <c r="D236" s="1550"/>
      <c r="E236" s="1550"/>
      <c r="F236" s="1550"/>
      <c r="G236" s="1550"/>
      <c r="H236" s="1550"/>
      <c r="I236" s="1550"/>
      <c r="J236" s="1550"/>
      <c r="K236" s="1550"/>
      <c r="L236" s="1550"/>
      <c r="M236" s="1550"/>
      <c r="N236" s="1550"/>
      <c r="O236" s="1550"/>
      <c r="P236" s="1994"/>
      <c r="Q236" s="8"/>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0"/>
      <c r="AR236" s="60"/>
      <c r="AS236" s="60"/>
      <c r="AT236" s="60"/>
      <c r="AU236" s="60"/>
      <c r="AV236" s="60"/>
      <c r="AW236" s="60"/>
      <c r="AX236" s="60"/>
      <c r="AY236" s="60"/>
      <c r="AZ236" s="60"/>
      <c r="BA236" s="60"/>
      <c r="BB236" s="60"/>
      <c r="BC236" s="60"/>
      <c r="BD236" s="60"/>
      <c r="BE236" s="60"/>
      <c r="BF236" s="14"/>
      <c r="BG236" s="14"/>
      <c r="BH236" s="14"/>
      <c r="BI236" s="14"/>
      <c r="BJ236" s="14"/>
      <c r="BK236" s="14"/>
      <c r="BL236" s="14"/>
      <c r="BM236" s="14"/>
      <c r="BN236" s="14"/>
      <c r="BO236" s="14"/>
      <c r="BP236" s="14"/>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row>
    <row r="237" spans="1:142" s="63" customFormat="1" ht="18" customHeight="1" x14ac:dyDescent="0.2">
      <c r="A237" s="35"/>
      <c r="B237" s="1549" t="s">
        <v>2004</v>
      </c>
      <c r="C237" s="1550"/>
      <c r="D237" s="1550"/>
      <c r="E237" s="1550"/>
      <c r="F237" s="1550"/>
      <c r="G237" s="1550"/>
      <c r="H237" s="1550"/>
      <c r="I237" s="1550"/>
      <c r="J237" s="1550"/>
      <c r="K237" s="1550"/>
      <c r="L237" s="1550"/>
      <c r="M237" s="1550"/>
      <c r="N237" s="1550"/>
      <c r="O237" s="1550"/>
      <c r="P237" s="1995"/>
      <c r="Q237" s="35"/>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4"/>
      <c r="BB237" s="14"/>
      <c r="BC237" s="14"/>
      <c r="BD237" s="14"/>
      <c r="BE237" s="14"/>
      <c r="BF237" s="14"/>
      <c r="BG237" s="14"/>
      <c r="BH237" s="14"/>
      <c r="BI237" s="14"/>
      <c r="BJ237" s="14"/>
      <c r="BK237" s="14"/>
      <c r="BL237" s="14"/>
      <c r="BM237" s="14"/>
      <c r="BN237" s="14"/>
      <c r="BO237" s="14"/>
      <c r="BP237" s="14"/>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row>
    <row r="238" spans="1:142" s="63" customFormat="1" ht="15" customHeight="1" x14ac:dyDescent="0.2">
      <c r="A238" s="35"/>
      <c r="B238" s="185" t="s">
        <v>2014</v>
      </c>
      <c r="C238" s="1955"/>
      <c r="D238" s="1955"/>
      <c r="E238" s="1955"/>
      <c r="F238" s="1955"/>
      <c r="G238" s="1955"/>
      <c r="H238" s="1955"/>
      <c r="I238" s="1955"/>
      <c r="J238" s="1955"/>
      <c r="K238" s="1955"/>
      <c r="L238" s="1955"/>
      <c r="M238" s="1955"/>
      <c r="N238" s="1955"/>
      <c r="O238" s="78"/>
      <c r="P238" s="95">
        <f>IF(C238=S238,0,IF(C238=T238,0.05,IF(C238=U238,0.1,0)))</f>
        <v>0</v>
      </c>
      <c r="Q238" s="35"/>
      <c r="R238" s="1557" t="s">
        <v>2197</v>
      </c>
      <c r="S238" s="844" t="s">
        <v>1942</v>
      </c>
      <c r="T238" s="844" t="s">
        <v>1785</v>
      </c>
      <c r="U238" s="844" t="s">
        <v>1786</v>
      </c>
      <c r="V238" s="161"/>
      <c r="W238" s="684" t="s">
        <v>2226</v>
      </c>
      <c r="X238" s="162"/>
      <c r="Z238" s="73"/>
      <c r="AA238" s="73"/>
      <c r="AB238" s="74"/>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4"/>
      <c r="BB238" s="14"/>
      <c r="BC238" s="14"/>
      <c r="BD238" s="14"/>
      <c r="BE238" s="14"/>
      <c r="BF238" s="14"/>
      <c r="BG238" s="14"/>
      <c r="BH238" s="14"/>
      <c r="BI238" s="14"/>
      <c r="BJ238" s="14"/>
      <c r="BK238" s="14"/>
      <c r="BL238" s="14"/>
      <c r="BM238" s="14"/>
      <c r="BN238" s="14"/>
      <c r="BO238" s="14"/>
      <c r="BP238" s="14"/>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row>
    <row r="239" spans="1:142" s="63" customFormat="1" ht="15" customHeight="1" x14ac:dyDescent="0.2">
      <c r="A239" s="35"/>
      <c r="B239" s="286" t="s">
        <v>2015</v>
      </c>
      <c r="C239" s="1967"/>
      <c r="D239" s="1967"/>
      <c r="E239" s="1967"/>
      <c r="F239" s="1967"/>
      <c r="G239" s="1967"/>
      <c r="H239" s="1967"/>
      <c r="I239" s="1967"/>
      <c r="J239" s="1967"/>
      <c r="K239" s="1967"/>
      <c r="L239" s="1967"/>
      <c r="M239" s="1967"/>
      <c r="N239" s="1967"/>
      <c r="O239" s="362"/>
      <c r="P239" s="858">
        <f>IF(C239=S239,0,IF(C239=T239,0.05,IF(C239=U239,0.1,0)))</f>
        <v>0</v>
      </c>
      <c r="Q239" s="35"/>
      <c r="R239" s="1557"/>
      <c r="S239" s="844" t="s">
        <v>1942</v>
      </c>
      <c r="T239" s="844" t="s">
        <v>1997</v>
      </c>
      <c r="U239" s="844" t="s">
        <v>1998</v>
      </c>
      <c r="V239" s="161"/>
      <c r="W239" s="851">
        <f>MAX(P238,P239)</f>
        <v>0</v>
      </c>
      <c r="X239" s="162"/>
      <c r="Y239" s="18"/>
      <c r="Z239" s="73"/>
      <c r="AA239" s="73"/>
      <c r="AB239" s="74"/>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4"/>
      <c r="BB239" s="14"/>
      <c r="BC239" s="14"/>
      <c r="BD239" s="14"/>
      <c r="BE239" s="14"/>
      <c r="BF239" s="14"/>
      <c r="BG239" s="14"/>
      <c r="BH239" s="14"/>
      <c r="BI239" s="14"/>
      <c r="BJ239" s="14"/>
      <c r="BK239" s="14"/>
      <c r="BL239" s="14"/>
      <c r="BM239" s="14"/>
      <c r="BN239" s="14"/>
      <c r="BO239" s="14"/>
      <c r="BP239" s="14"/>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row>
    <row r="240" spans="1:142" s="63" customFormat="1" ht="15" x14ac:dyDescent="0.25">
      <c r="A240" s="8"/>
      <c r="B240" s="1825"/>
      <c r="C240" s="1825"/>
      <c r="D240" s="1825"/>
      <c r="E240" s="1825"/>
      <c r="F240" s="1825"/>
      <c r="G240" s="1825"/>
      <c r="H240" s="1825"/>
      <c r="I240" s="1825"/>
      <c r="J240" s="1825"/>
      <c r="K240" s="1825"/>
      <c r="L240" s="1825"/>
      <c r="M240" s="1825"/>
      <c r="N240" s="1825"/>
      <c r="O240" s="1825"/>
      <c r="P240" s="75"/>
      <c r="Q240" s="8"/>
      <c r="R240" s="60"/>
      <c r="S240" s="115"/>
      <c r="T240" s="115"/>
      <c r="U240" s="115"/>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0"/>
      <c r="AR240" s="60"/>
      <c r="AS240" s="60"/>
      <c r="AT240" s="60"/>
      <c r="AU240" s="60"/>
      <c r="AV240" s="60"/>
      <c r="AW240" s="60"/>
      <c r="AX240" s="60"/>
      <c r="AY240" s="60"/>
      <c r="AZ240" s="60"/>
      <c r="BA240" s="60"/>
      <c r="BB240" s="60"/>
      <c r="BC240" s="60"/>
      <c r="BD240" s="60"/>
      <c r="BE240" s="60"/>
      <c r="BF240" s="14"/>
      <c r="BG240" s="14"/>
      <c r="BH240" s="14"/>
      <c r="BI240" s="14"/>
      <c r="BJ240" s="14"/>
      <c r="BK240" s="14"/>
      <c r="BL240" s="14"/>
      <c r="BM240" s="14"/>
      <c r="BN240" s="14"/>
      <c r="BO240" s="14"/>
      <c r="BP240" s="14"/>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row>
    <row r="241" spans="1:142" s="63" customFormat="1" ht="18" customHeight="1" x14ac:dyDescent="0.25">
      <c r="A241" s="189"/>
      <c r="B241" s="1549" t="s">
        <v>569</v>
      </c>
      <c r="C241" s="1550"/>
      <c r="D241" s="1550"/>
      <c r="E241" s="1550"/>
      <c r="F241" s="1550"/>
      <c r="G241" s="1550"/>
      <c r="H241" s="1550"/>
      <c r="I241" s="1550"/>
      <c r="J241" s="1550"/>
      <c r="K241" s="1550"/>
      <c r="L241" s="1550"/>
      <c r="M241" s="1550"/>
      <c r="N241" s="1550"/>
      <c r="O241" s="1550"/>
      <c r="P241" s="470"/>
      <c r="Q241" s="8"/>
      <c r="R241" s="60"/>
      <c r="S241" s="60"/>
      <c r="T241" s="60"/>
      <c r="U241" s="60"/>
      <c r="V241" s="60"/>
      <c r="W241" s="60">
        <v>1E-4</v>
      </c>
      <c r="X241" s="60"/>
      <c r="Y241" s="60"/>
      <c r="Z241" s="60"/>
      <c r="AA241" s="60"/>
      <c r="AB241" s="60"/>
      <c r="AC241" s="60"/>
      <c r="AD241" s="60"/>
      <c r="AE241" s="60"/>
      <c r="AF241" s="60"/>
      <c r="AG241" s="60"/>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0"/>
      <c r="BF241" s="14"/>
      <c r="BG241" s="14"/>
      <c r="BH241" s="14"/>
      <c r="BI241" s="14"/>
      <c r="BJ241" s="14"/>
      <c r="BK241" s="14"/>
      <c r="BL241" s="14"/>
      <c r="BM241" s="14"/>
      <c r="BN241" s="14"/>
      <c r="BO241" s="14"/>
      <c r="BP241" s="14"/>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row>
    <row r="242" spans="1:142" s="63" customFormat="1" ht="15" customHeight="1" x14ac:dyDescent="0.2">
      <c r="A242" s="8"/>
      <c r="B242" s="2038" t="s">
        <v>1027</v>
      </c>
      <c r="C242" s="2039"/>
      <c r="D242" s="2039"/>
      <c r="E242" s="2039"/>
      <c r="F242" s="2039"/>
      <c r="G242" s="1976"/>
      <c r="H242" s="1977"/>
      <c r="I242" s="1977"/>
      <c r="J242" s="1977"/>
      <c r="K242" s="1977"/>
      <c r="L242" s="1977"/>
      <c r="M242" s="1977"/>
      <c r="N242" s="1977"/>
      <c r="O242" s="1977"/>
      <c r="P242" s="105">
        <f>IF(G242=$T$242,0.09,IF(G242=$U$242,0.18,IF(G242=$V$242,0.28,0)))</f>
        <v>0</v>
      </c>
      <c r="Q242" s="8"/>
      <c r="R242" s="1860" t="s">
        <v>2197</v>
      </c>
      <c r="S242" s="850" t="s">
        <v>1942</v>
      </c>
      <c r="T242" s="856" t="s">
        <v>915</v>
      </c>
      <c r="U242" s="856" t="s">
        <v>1803</v>
      </c>
      <c r="V242" s="942" t="s">
        <v>916</v>
      </c>
      <c r="W242" s="942"/>
      <c r="X242" s="942"/>
      <c r="Y242" s="60"/>
      <c r="Z242" s="60"/>
      <c r="AA242" s="60"/>
      <c r="AB242" s="60"/>
      <c r="AC242" s="60"/>
      <c r="AD242" s="60"/>
      <c r="AE242" s="60"/>
      <c r="AF242" s="60"/>
      <c r="AG242" s="60"/>
      <c r="AH242" s="60"/>
      <c r="AI242" s="60"/>
      <c r="AJ242" s="60"/>
      <c r="AK242" s="60"/>
      <c r="AL242" s="60"/>
      <c r="AM242" s="60"/>
      <c r="AN242" s="60"/>
      <c r="AO242" s="60"/>
      <c r="AP242" s="60"/>
      <c r="AQ242" s="60"/>
      <c r="AR242" s="60"/>
      <c r="AS242" s="60"/>
      <c r="AT242" s="60"/>
      <c r="AU242" s="60"/>
      <c r="AV242" s="60"/>
      <c r="AW242" s="60"/>
      <c r="AX242" s="60"/>
      <c r="AY242" s="60"/>
      <c r="AZ242" s="60"/>
      <c r="BA242" s="60"/>
      <c r="BB242" s="60"/>
      <c r="BC242" s="60"/>
      <c r="BD242" s="60"/>
      <c r="BE242" s="60"/>
      <c r="BF242" s="14"/>
      <c r="BG242" s="14"/>
      <c r="BH242" s="14"/>
      <c r="BI242" s="14"/>
      <c r="BJ242" s="14"/>
      <c r="BK242" s="14"/>
      <c r="BL242" s="14"/>
      <c r="BM242" s="14"/>
      <c r="BN242" s="14"/>
      <c r="BO242" s="14"/>
      <c r="BP242" s="14"/>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row>
    <row r="243" spans="1:142" s="63" customFormat="1" ht="15" customHeight="1" x14ac:dyDescent="0.2">
      <c r="A243" s="8"/>
      <c r="B243" s="1981" t="s">
        <v>917</v>
      </c>
      <c r="C243" s="1982"/>
      <c r="D243" s="1982"/>
      <c r="E243" s="1982"/>
      <c r="F243" s="1983"/>
      <c r="G243" s="1986"/>
      <c r="H243" s="1987"/>
      <c r="I243" s="1987"/>
      <c r="J243" s="1987"/>
      <c r="K243" s="1987"/>
      <c r="L243" s="1987"/>
      <c r="M243" s="1987"/>
      <c r="N243" s="1987"/>
      <c r="O243" s="1988"/>
      <c r="P243" s="95">
        <f>IF(G243=$T$242,0.06,IF(G243=$U$242,0.11,IF(G243=$V$242,0.17,0)))</f>
        <v>0</v>
      </c>
      <c r="Q243" s="8"/>
      <c r="R243" s="18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60"/>
      <c r="BD243" s="60"/>
      <c r="BE243" s="60"/>
      <c r="BF243" s="14"/>
      <c r="BG243" s="14"/>
      <c r="BH243" s="14"/>
      <c r="BI243" s="14"/>
      <c r="BJ243" s="14"/>
      <c r="BK243" s="14"/>
      <c r="BL243" s="14"/>
      <c r="BM243" s="14"/>
      <c r="BN243" s="14"/>
      <c r="BO243" s="14"/>
      <c r="BP243" s="14"/>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row>
    <row r="244" spans="1:142" s="63" customFormat="1" ht="19.5" customHeight="1" x14ac:dyDescent="0.2">
      <c r="A244" s="8"/>
      <c r="B244" s="2040" t="s">
        <v>2134</v>
      </c>
      <c r="C244" s="2041"/>
      <c r="D244" s="2041"/>
      <c r="E244" s="2041"/>
      <c r="F244" s="2041"/>
      <c r="G244" s="2041"/>
      <c r="H244" s="2041"/>
      <c r="I244" s="2041"/>
      <c r="J244" s="2041"/>
      <c r="K244" s="2041"/>
      <c r="L244" s="2041"/>
      <c r="M244" s="2041"/>
      <c r="N244" s="2041"/>
      <c r="O244" s="2042"/>
      <c r="P244" s="105">
        <f>IF(S244=1,0.1,0)</f>
        <v>0</v>
      </c>
      <c r="Q244" s="8"/>
      <c r="R244" s="873" t="b">
        <v>0</v>
      </c>
      <c r="S244" s="856">
        <f>IF(R244=TRUE,1,0)</f>
        <v>0</v>
      </c>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0"/>
      <c r="BF244" s="14"/>
      <c r="BG244" s="14"/>
      <c r="BH244" s="14"/>
      <c r="BI244" s="14"/>
      <c r="BJ244" s="14"/>
      <c r="BK244" s="14"/>
      <c r="BL244" s="14"/>
      <c r="BM244" s="14"/>
      <c r="BN244" s="14"/>
      <c r="BO244" s="14"/>
      <c r="BP244" s="14"/>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row>
    <row r="245" spans="1:142" s="63" customFormat="1" ht="3" customHeight="1" x14ac:dyDescent="0.2">
      <c r="A245" s="8"/>
      <c r="B245" s="1900"/>
      <c r="C245" s="1900"/>
      <c r="D245" s="1900"/>
      <c r="E245" s="1900"/>
      <c r="F245" s="1900"/>
      <c r="G245" s="1900"/>
      <c r="H245" s="1900"/>
      <c r="I245" s="1900"/>
      <c r="J245" s="1900"/>
      <c r="K245" s="1900"/>
      <c r="L245" s="1900"/>
      <c r="M245" s="1900"/>
      <c r="N245" s="1900"/>
      <c r="O245" s="1900"/>
      <c r="P245" s="85"/>
      <c r="Q245" s="8"/>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14"/>
      <c r="BG245" s="14"/>
      <c r="BH245" s="14"/>
      <c r="BI245" s="14"/>
      <c r="BJ245" s="14"/>
      <c r="BK245" s="14"/>
      <c r="BL245" s="14"/>
      <c r="BM245" s="14"/>
      <c r="BN245" s="14"/>
      <c r="BO245" s="14"/>
      <c r="BP245" s="14"/>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row>
    <row r="246" spans="1:142" s="63" customFormat="1" ht="3" customHeight="1" x14ac:dyDescent="0.25">
      <c r="A246" s="8"/>
      <c r="B246" s="1825"/>
      <c r="C246" s="1825"/>
      <c r="D246" s="1825"/>
      <c r="E246" s="1825"/>
      <c r="F246" s="1825"/>
      <c r="G246" s="1825"/>
      <c r="H246" s="1825"/>
      <c r="I246" s="1825"/>
      <c r="J246" s="1825"/>
      <c r="K246" s="1825"/>
      <c r="L246" s="1825"/>
      <c r="M246" s="1825"/>
      <c r="N246" s="1825"/>
      <c r="O246" s="1825"/>
      <c r="P246" s="75"/>
      <c r="Q246" s="8"/>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0"/>
      <c r="BF246" s="14"/>
      <c r="BG246" s="14"/>
      <c r="BH246" s="14"/>
      <c r="BI246" s="14"/>
      <c r="BJ246" s="14"/>
      <c r="BK246" s="14"/>
      <c r="BL246" s="14"/>
      <c r="BM246" s="14"/>
      <c r="BN246" s="14"/>
      <c r="BO246" s="14"/>
      <c r="BP246" s="14"/>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row>
    <row r="247" spans="1:142" s="63" customFormat="1" ht="19.5" customHeight="1" x14ac:dyDescent="0.2">
      <c r="A247" s="20"/>
      <c r="B247" s="376" t="s">
        <v>1958</v>
      </c>
      <c r="C247" s="1985"/>
      <c r="D247" s="1985"/>
      <c r="E247" s="1985"/>
      <c r="F247" s="1985"/>
      <c r="G247" s="1985"/>
      <c r="H247" s="1985"/>
      <c r="I247" s="1985"/>
      <c r="J247" s="1985"/>
      <c r="K247" s="1985"/>
      <c r="L247" s="1985"/>
      <c r="M247" s="1985"/>
      <c r="N247" s="1985"/>
      <c r="O247" s="1985"/>
      <c r="P247" s="95">
        <f>IF(S247=1,0,IF(S247=2,0.1,IF(S247=3,0.1,0)))</f>
        <v>0</v>
      </c>
      <c r="Q247" s="8"/>
      <c r="R247" s="844" t="s">
        <v>2227</v>
      </c>
      <c r="S247" s="874">
        <v>1</v>
      </c>
      <c r="T247" s="60"/>
      <c r="U247" s="60"/>
      <c r="V247" s="60"/>
      <c r="W247" s="60">
        <v>1E-4</v>
      </c>
      <c r="X247" s="60"/>
      <c r="Y247" s="60"/>
      <c r="Z247" s="60"/>
      <c r="AA247" s="60"/>
      <c r="AB247" s="60"/>
      <c r="AC247" s="60"/>
      <c r="AD247" s="60"/>
      <c r="AE247" s="60"/>
      <c r="AF247" s="60"/>
      <c r="AG247" s="60"/>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60"/>
      <c r="BD247" s="60"/>
      <c r="BE247" s="60"/>
      <c r="BF247" s="14"/>
      <c r="BG247" s="14"/>
      <c r="BH247" s="14"/>
      <c r="BI247" s="14"/>
      <c r="BJ247" s="14"/>
      <c r="BK247" s="14"/>
      <c r="BL247" s="14"/>
      <c r="BM247" s="14"/>
      <c r="BN247" s="14"/>
      <c r="BO247" s="14"/>
      <c r="BP247" s="14"/>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row>
    <row r="248" spans="1:142" s="63" customFormat="1" ht="18" customHeight="1" x14ac:dyDescent="0.2">
      <c r="A248" s="20"/>
      <c r="B248" s="1650" t="s">
        <v>1870</v>
      </c>
      <c r="C248" s="1651"/>
      <c r="D248" s="1651"/>
      <c r="E248" s="1651"/>
      <c r="F248" s="1651"/>
      <c r="G248" s="1651"/>
      <c r="H248" s="1651"/>
      <c r="I248" s="1651"/>
      <c r="J248" s="1651"/>
      <c r="K248" s="1651"/>
      <c r="L248" s="1651"/>
      <c r="M248" s="1651"/>
      <c r="N248" s="1651"/>
      <c r="O248" s="1651"/>
      <c r="P248" s="105">
        <f>IF(S248=1,0.14,0)</f>
        <v>0</v>
      </c>
      <c r="Q248" s="8"/>
      <c r="R248" s="873" t="b">
        <v>0</v>
      </c>
      <c r="S248" s="856">
        <f>IF(R248=TRUE,1,0)</f>
        <v>0</v>
      </c>
      <c r="T248" s="60"/>
      <c r="U248" s="60"/>
      <c r="V248" s="60"/>
      <c r="W248" s="60">
        <v>1E-4</v>
      </c>
      <c r="X248" s="60"/>
      <c r="Y248" s="60"/>
      <c r="Z248" s="60"/>
      <c r="AA248" s="60"/>
      <c r="AB248" s="60"/>
      <c r="AC248" s="60"/>
      <c r="AD248" s="60"/>
      <c r="AE248" s="60"/>
      <c r="AF248" s="60"/>
      <c r="AG248" s="60"/>
      <c r="AH248" s="60"/>
      <c r="AI248" s="60"/>
      <c r="AJ248" s="60"/>
      <c r="AK248" s="60"/>
      <c r="AL248" s="60"/>
      <c r="AM248" s="60"/>
      <c r="AN248" s="60"/>
      <c r="AO248" s="60"/>
      <c r="AP248" s="60"/>
      <c r="AQ248" s="60"/>
      <c r="AR248" s="60"/>
      <c r="AS248" s="60"/>
      <c r="AT248" s="60"/>
      <c r="AU248" s="60"/>
      <c r="AV248" s="60"/>
      <c r="AW248" s="60"/>
      <c r="AX248" s="60"/>
      <c r="AY248" s="60"/>
      <c r="AZ248" s="60"/>
      <c r="BA248" s="60"/>
      <c r="BB248" s="60"/>
      <c r="BC248" s="60"/>
      <c r="BD248" s="60"/>
      <c r="BE248" s="60"/>
      <c r="BF248" s="14"/>
      <c r="BG248" s="14"/>
      <c r="BH248" s="14"/>
      <c r="BI248" s="14"/>
      <c r="BJ248" s="14"/>
      <c r="BK248" s="14"/>
      <c r="BL248" s="14"/>
      <c r="BM248" s="14"/>
      <c r="BN248" s="14"/>
      <c r="BO248" s="14"/>
      <c r="BP248" s="14"/>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row>
    <row r="249" spans="1:142" s="63" customFormat="1" ht="12" customHeight="1" x14ac:dyDescent="0.25">
      <c r="A249" s="8"/>
      <c r="B249" s="1825"/>
      <c r="C249" s="1825"/>
      <c r="D249" s="1825"/>
      <c r="E249" s="1825"/>
      <c r="F249" s="1825"/>
      <c r="G249" s="1825"/>
      <c r="H249" s="1825"/>
      <c r="I249" s="1825"/>
      <c r="J249" s="1825"/>
      <c r="K249" s="1825"/>
      <c r="L249" s="1825"/>
      <c r="M249" s="1825"/>
      <c r="N249" s="1825"/>
      <c r="O249" s="1825"/>
      <c r="P249" s="75"/>
      <c r="Q249" s="8"/>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14"/>
      <c r="BG249" s="14"/>
      <c r="BH249" s="14"/>
      <c r="BI249" s="14"/>
      <c r="BJ249" s="14"/>
      <c r="BK249" s="14"/>
      <c r="BL249" s="14"/>
      <c r="BM249" s="14"/>
      <c r="BN249" s="14"/>
      <c r="BO249" s="14"/>
      <c r="BP249" s="14"/>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row>
    <row r="250" spans="1:142" s="63" customFormat="1" ht="18" customHeight="1" x14ac:dyDescent="0.2">
      <c r="A250" s="189"/>
      <c r="B250" s="1830" t="s">
        <v>1739</v>
      </c>
      <c r="C250" s="1830"/>
      <c r="D250" s="1830"/>
      <c r="E250" s="1830"/>
      <c r="F250" s="1639"/>
      <c r="G250" s="1639"/>
      <c r="H250" s="1656"/>
      <c r="I250" s="1656"/>
      <c r="J250" s="1656"/>
      <c r="K250" s="1656"/>
      <c r="L250" s="1656"/>
      <c r="M250" s="1656"/>
      <c r="N250" s="1656"/>
      <c r="O250" s="1656"/>
      <c r="P250" s="26">
        <f>IF(S250=1,0.25,0)</f>
        <v>0</v>
      </c>
      <c r="Q250" s="35"/>
      <c r="R250" s="686" t="b">
        <v>0</v>
      </c>
      <c r="S250" s="856">
        <f>IF(R250=TRUE,1,0)</f>
        <v>0</v>
      </c>
      <c r="T250" s="18"/>
      <c r="U250" s="18"/>
      <c r="V250" s="18"/>
      <c r="W250" s="18">
        <v>1E-4</v>
      </c>
      <c r="X250" s="18"/>
      <c r="Y250" s="165"/>
      <c r="Z250" s="18"/>
      <c r="AA250" s="18"/>
      <c r="AB250" s="18"/>
      <c r="AC250" s="18"/>
      <c r="AD250" s="18"/>
      <c r="AE250" s="18"/>
      <c r="AF250" s="18"/>
      <c r="AG250" s="18"/>
      <c r="AH250" s="18"/>
      <c r="AI250" s="111"/>
      <c r="AJ250" s="18"/>
      <c r="AK250" s="18"/>
      <c r="AL250" s="18"/>
      <c r="AM250" s="18"/>
      <c r="AN250" s="18"/>
      <c r="AO250" s="18"/>
      <c r="AP250" s="18"/>
      <c r="AQ250" s="18"/>
      <c r="AR250" s="18"/>
      <c r="AS250" s="18"/>
      <c r="AT250" s="18"/>
      <c r="AU250" s="18"/>
      <c r="AV250" s="18"/>
      <c r="AW250" s="18"/>
      <c r="AX250" s="18"/>
      <c r="AY250" s="18"/>
      <c r="AZ250" s="18"/>
      <c r="BA250" s="14"/>
      <c r="BB250" s="14"/>
      <c r="BC250" s="14"/>
      <c r="BD250" s="14"/>
      <c r="BE250" s="14"/>
      <c r="BF250" s="14"/>
      <c r="BG250" s="14"/>
      <c r="BH250" s="14"/>
      <c r="BI250" s="14"/>
      <c r="BJ250" s="14"/>
      <c r="BK250" s="14"/>
      <c r="BL250" s="14"/>
      <c r="BM250" s="14"/>
      <c r="BN250" s="14"/>
      <c r="BO250" s="14"/>
      <c r="BP250" s="14"/>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row>
    <row r="251" spans="1:142" s="63" customFormat="1" ht="12" customHeight="1" x14ac:dyDescent="0.25">
      <c r="A251" s="8"/>
      <c r="B251" s="1825"/>
      <c r="C251" s="1825"/>
      <c r="D251" s="1825"/>
      <c r="E251" s="1825"/>
      <c r="F251" s="1825"/>
      <c r="G251" s="1825"/>
      <c r="H251" s="1825"/>
      <c r="I251" s="1825"/>
      <c r="J251" s="1825"/>
      <c r="K251" s="1825"/>
      <c r="L251" s="1825"/>
      <c r="M251" s="1825"/>
      <c r="N251" s="1825"/>
      <c r="O251" s="1825"/>
      <c r="P251" s="75"/>
      <c r="Q251" s="8"/>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0"/>
      <c r="BF251" s="14"/>
      <c r="BG251" s="14"/>
      <c r="BH251" s="14"/>
      <c r="BI251" s="14"/>
      <c r="BJ251" s="14"/>
      <c r="BK251" s="14"/>
      <c r="BL251" s="14"/>
      <c r="BM251" s="14"/>
      <c r="BN251" s="14"/>
      <c r="BO251" s="14"/>
      <c r="BP251" s="14"/>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row>
    <row r="252" spans="1:142" s="63" customFormat="1" ht="18" customHeight="1" x14ac:dyDescent="0.25">
      <c r="A252" s="35"/>
      <c r="B252" s="1536" t="s">
        <v>1740</v>
      </c>
      <c r="C252" s="1555"/>
      <c r="D252" s="1555"/>
      <c r="E252" s="1555"/>
      <c r="F252" s="1555"/>
      <c r="G252" s="1555"/>
      <c r="H252" s="1555"/>
      <c r="I252" s="1555"/>
      <c r="J252" s="1555"/>
      <c r="K252" s="1555"/>
      <c r="L252" s="1555"/>
      <c r="M252" s="1555"/>
      <c r="N252" s="1555"/>
      <c r="O252" s="1555"/>
      <c r="P252" s="361"/>
      <c r="Q252" s="35"/>
      <c r="R252" s="18"/>
      <c r="S252" s="18"/>
      <c r="Y252" s="60"/>
      <c r="Z252" s="1569"/>
      <c r="AA252" s="1569"/>
      <c r="AB252" s="1569"/>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4"/>
      <c r="BB252" s="14"/>
      <c r="BC252" s="14"/>
      <c r="BD252" s="14"/>
      <c r="BE252" s="14"/>
      <c r="BF252" s="14"/>
      <c r="BG252" s="14"/>
      <c r="BH252" s="14"/>
      <c r="BI252" s="14"/>
      <c r="BJ252" s="14"/>
      <c r="BK252" s="14"/>
      <c r="BL252" s="14"/>
      <c r="BM252" s="14"/>
      <c r="BN252" s="14"/>
      <c r="BO252" s="14"/>
      <c r="BP252" s="14"/>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row>
    <row r="253" spans="1:142" s="63" customFormat="1" ht="21" customHeight="1" x14ac:dyDescent="0.2">
      <c r="A253" s="8"/>
      <c r="B253" s="1379" t="s">
        <v>559</v>
      </c>
      <c r="C253" s="1379"/>
      <c r="D253" s="1379"/>
      <c r="E253" s="1379"/>
      <c r="F253" s="1379"/>
      <c r="G253" s="1379"/>
      <c r="H253" s="1379"/>
      <c r="I253" s="1379"/>
      <c r="J253" s="1379"/>
      <c r="K253" s="1379"/>
      <c r="L253" s="1379"/>
      <c r="M253" s="1379"/>
      <c r="N253" s="1308"/>
      <c r="O253" s="1308"/>
      <c r="P253" s="26">
        <f>IF(N253=T253,0.03,IF(N253=U253,0.15,IF(N253=V253,0.38,IF(N253=W253,0.68,IF(N253=X253,0.9,0)))))</f>
        <v>0</v>
      </c>
      <c r="Q253" s="35"/>
      <c r="R253" s="844">
        <f>IF(OR(N253=U253,N253=V253,N253=W253,N253=X253),1,0)</f>
        <v>0</v>
      </c>
      <c r="S253" s="18"/>
      <c r="T253" s="844" t="s">
        <v>1969</v>
      </c>
      <c r="U253" s="844" t="s">
        <v>1970</v>
      </c>
      <c r="V253" s="854" t="s">
        <v>1972</v>
      </c>
      <c r="W253" s="844" t="s">
        <v>945</v>
      </c>
      <c r="X253" s="854" t="s">
        <v>558</v>
      </c>
      <c r="Y253" s="60"/>
      <c r="Z253" s="1569"/>
      <c r="AA253" s="1569"/>
      <c r="AB253" s="1569"/>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4"/>
      <c r="BB253" s="14"/>
      <c r="BC253" s="14"/>
      <c r="BD253" s="14"/>
      <c r="BE253" s="14"/>
      <c r="BF253" s="14"/>
      <c r="BG253" s="14"/>
      <c r="BH253" s="14"/>
      <c r="BI253" s="14"/>
      <c r="BJ253" s="14"/>
      <c r="BK253" s="14"/>
      <c r="BL253" s="14"/>
      <c r="BM253" s="14"/>
      <c r="BN253" s="14"/>
      <c r="BO253" s="14"/>
      <c r="BP253" s="14"/>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row>
    <row r="254" spans="1:142" s="63" customFormat="1" ht="21" customHeight="1" x14ac:dyDescent="0.2">
      <c r="A254" s="20"/>
      <c r="B254" s="1890" t="s">
        <v>560</v>
      </c>
      <c r="C254" s="1890"/>
      <c r="D254" s="1890"/>
      <c r="E254" s="1890"/>
      <c r="F254" s="1890"/>
      <c r="G254" s="1890"/>
      <c r="H254" s="1890"/>
      <c r="I254" s="1890"/>
      <c r="J254" s="1890"/>
      <c r="K254" s="1890"/>
      <c r="L254" s="1890"/>
      <c r="M254" s="1890"/>
      <c r="N254" s="1639"/>
      <c r="O254" s="1639"/>
      <c r="P254" s="95">
        <f>IF(S254=1,0.1,0)</f>
        <v>0</v>
      </c>
      <c r="Q254" s="8"/>
      <c r="R254" s="844" t="s">
        <v>2227</v>
      </c>
      <c r="S254" s="873">
        <v>2</v>
      </c>
      <c r="T254" s="60"/>
      <c r="U254" s="60"/>
      <c r="V254" s="60"/>
      <c r="W254" s="60">
        <v>1E-4</v>
      </c>
      <c r="X254" s="60"/>
      <c r="Y254" s="60"/>
      <c r="Z254" s="60"/>
      <c r="AA254" s="60"/>
      <c r="AB254" s="60"/>
      <c r="AC254" s="60"/>
      <c r="AD254" s="60"/>
      <c r="AE254" s="60"/>
      <c r="AF254" s="60"/>
      <c r="AG254" s="60"/>
      <c r="AH254" s="60"/>
      <c r="AI254" s="60"/>
      <c r="AJ254" s="60"/>
      <c r="AK254" s="60"/>
      <c r="AL254" s="60"/>
      <c r="AM254" s="60"/>
      <c r="AN254" s="60"/>
      <c r="AO254" s="60"/>
      <c r="AP254" s="60"/>
      <c r="AQ254" s="60"/>
      <c r="AR254" s="60"/>
      <c r="AS254" s="60"/>
      <c r="AT254" s="60"/>
      <c r="AU254" s="60"/>
      <c r="AV254" s="60"/>
      <c r="AW254" s="60"/>
      <c r="AX254" s="60"/>
      <c r="AY254" s="60"/>
      <c r="AZ254" s="60"/>
      <c r="BA254" s="60"/>
      <c r="BB254" s="60"/>
      <c r="BC254" s="60"/>
      <c r="BD254" s="60"/>
      <c r="BE254" s="60"/>
      <c r="BF254" s="14"/>
      <c r="BG254" s="14"/>
      <c r="BH254" s="14"/>
      <c r="BI254" s="14"/>
      <c r="BJ254" s="14"/>
      <c r="BK254" s="14"/>
      <c r="BL254" s="14"/>
      <c r="BM254" s="14"/>
      <c r="BN254" s="14"/>
      <c r="BO254" s="14"/>
      <c r="BP254" s="14"/>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row>
    <row r="255" spans="1:142" s="63" customFormat="1" ht="12" customHeight="1" x14ac:dyDescent="0.25">
      <c r="A255" s="8"/>
      <c r="B255" s="1825"/>
      <c r="C255" s="1825"/>
      <c r="D255" s="1825"/>
      <c r="E255" s="1825"/>
      <c r="F255" s="1825"/>
      <c r="G255" s="1825"/>
      <c r="H255" s="1825"/>
      <c r="I255" s="1825"/>
      <c r="J255" s="1825"/>
      <c r="K255" s="1825"/>
      <c r="L255" s="1825"/>
      <c r="M255" s="1825"/>
      <c r="N255" s="1825"/>
      <c r="O255" s="1825"/>
      <c r="P255" s="75"/>
      <c r="Q255" s="8"/>
      <c r="R255" s="60"/>
      <c r="S255" s="18"/>
      <c r="T255" s="60"/>
      <c r="U255" s="60"/>
      <c r="V255" s="60"/>
      <c r="W255" s="60"/>
      <c r="X255" s="60"/>
      <c r="Y255" s="60"/>
      <c r="Z255" s="60"/>
      <c r="AA255" s="60"/>
      <c r="AB255" s="60"/>
      <c r="AC255" s="60"/>
      <c r="AD255" s="60"/>
      <c r="AE255" s="60"/>
      <c r="AF255" s="60"/>
      <c r="AG255" s="60"/>
      <c r="AH255" s="60"/>
      <c r="AI255" s="60"/>
      <c r="AJ255" s="60"/>
      <c r="AK255" s="60"/>
      <c r="AL255" s="60"/>
      <c r="AM255" s="60"/>
      <c r="AN255" s="60"/>
      <c r="AO255" s="60"/>
      <c r="AP255" s="60"/>
      <c r="AQ255" s="60"/>
      <c r="AR255" s="60"/>
      <c r="AS255" s="60"/>
      <c r="AT255" s="60"/>
      <c r="AU255" s="60"/>
      <c r="AV255" s="60"/>
      <c r="AW255" s="60"/>
      <c r="AX255" s="60"/>
      <c r="AY255" s="60"/>
      <c r="AZ255" s="60"/>
      <c r="BA255" s="60"/>
      <c r="BB255" s="60"/>
      <c r="BC255" s="60"/>
      <c r="BD255" s="60"/>
      <c r="BE255" s="60"/>
      <c r="BF255" s="14"/>
      <c r="BG255" s="14"/>
      <c r="BH255" s="14"/>
      <c r="BI255" s="14"/>
      <c r="BJ255" s="14"/>
      <c r="BK255" s="14"/>
      <c r="BL255" s="14"/>
      <c r="BM255" s="14"/>
      <c r="BN255" s="14"/>
      <c r="BO255" s="14"/>
      <c r="BP255" s="14"/>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row>
    <row r="256" spans="1:142" s="63" customFormat="1" ht="18" customHeight="1" x14ac:dyDescent="0.25">
      <c r="A256" s="8"/>
      <c r="B256" s="1848" t="s">
        <v>176</v>
      </c>
      <c r="C256" s="1848"/>
      <c r="D256" s="1848"/>
      <c r="E256" s="1848"/>
      <c r="F256" s="1848"/>
      <c r="G256" s="1864"/>
      <c r="H256" s="1864"/>
      <c r="I256" s="1864"/>
      <c r="J256" s="1864"/>
      <c r="K256" s="1864"/>
      <c r="L256" s="1864"/>
      <c r="M256" s="1864"/>
      <c r="N256" s="1864"/>
      <c r="O256" s="1864"/>
      <c r="P256" s="361"/>
      <c r="Q256" s="8"/>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0"/>
      <c r="AR256" s="60"/>
      <c r="AS256" s="60"/>
      <c r="AT256" s="60"/>
      <c r="AU256" s="60"/>
      <c r="AV256" s="60"/>
      <c r="AW256" s="60"/>
      <c r="AX256" s="60"/>
      <c r="AY256" s="60"/>
      <c r="AZ256" s="60"/>
      <c r="BA256" s="60"/>
      <c r="BB256" s="60"/>
      <c r="BC256" s="60"/>
      <c r="BD256" s="60"/>
      <c r="BE256" s="60"/>
      <c r="BF256" s="14"/>
      <c r="BG256" s="14"/>
      <c r="BH256" s="14"/>
      <c r="BI256" s="14"/>
      <c r="BJ256" s="14"/>
      <c r="BK256" s="14"/>
      <c r="BL256" s="14"/>
      <c r="BM256" s="14"/>
      <c r="BN256" s="14"/>
      <c r="BO256" s="14"/>
      <c r="BP256" s="14"/>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row>
    <row r="257" spans="1:142" s="63" customFormat="1" ht="18" customHeight="1" x14ac:dyDescent="0.2">
      <c r="A257" s="20"/>
      <c r="B257" s="1999" t="s">
        <v>974</v>
      </c>
      <c r="C257" s="1999"/>
      <c r="D257" s="1999"/>
      <c r="E257" s="1639"/>
      <c r="F257" s="1714"/>
      <c r="G257" s="1367" t="s">
        <v>975</v>
      </c>
      <c r="H257" s="1368"/>
      <c r="I257" s="1368"/>
      <c r="J257" s="1368"/>
      <c r="K257" s="1368"/>
      <c r="L257" s="1368"/>
      <c r="M257" s="1368"/>
      <c r="N257" s="1368"/>
      <c r="O257" s="1369"/>
      <c r="P257" s="1344">
        <f>IF(AND(T259&gt;0,T263&gt;0),0.05,0)</f>
        <v>0</v>
      </c>
      <c r="Q257" s="8"/>
      <c r="R257" s="873" t="b">
        <v>0</v>
      </c>
      <c r="S257" s="856">
        <f t="shared" ref="S257:S263" si="14">IF(R257=TRUE,1,0)</f>
        <v>0</v>
      </c>
      <c r="T257" s="60"/>
      <c r="U257" s="60"/>
      <c r="V257" s="60"/>
      <c r="W257" s="60">
        <v>1E-4</v>
      </c>
      <c r="X257" s="60"/>
      <c r="Y257" s="60"/>
      <c r="Z257" s="60"/>
      <c r="AA257" s="60"/>
      <c r="AB257" s="60"/>
      <c r="AC257" s="60"/>
      <c r="AD257" s="60"/>
      <c r="AE257" s="60"/>
      <c r="AF257" s="60"/>
      <c r="AG257" s="60"/>
      <c r="AH257" s="60"/>
      <c r="AI257" s="60"/>
      <c r="AJ257" s="60"/>
      <c r="AK257" s="60"/>
      <c r="AL257" s="60"/>
      <c r="AM257" s="60"/>
      <c r="AN257" s="60"/>
      <c r="AO257" s="60"/>
      <c r="AP257" s="60"/>
      <c r="AQ257" s="60"/>
      <c r="AR257" s="60"/>
      <c r="AS257" s="60"/>
      <c r="AT257" s="60"/>
      <c r="AU257" s="60"/>
      <c r="AV257" s="60"/>
      <c r="AW257" s="60"/>
      <c r="AX257" s="60"/>
      <c r="AY257" s="60"/>
      <c r="AZ257" s="60"/>
      <c r="BA257" s="60"/>
      <c r="BB257" s="60"/>
      <c r="BC257" s="60"/>
      <c r="BD257" s="60"/>
      <c r="BE257" s="60"/>
      <c r="BF257" s="14"/>
      <c r="BG257" s="14"/>
      <c r="BH257" s="14"/>
      <c r="BI257" s="14"/>
      <c r="BJ257" s="14"/>
      <c r="BK257" s="14"/>
      <c r="BL257" s="14"/>
      <c r="BM257" s="14"/>
      <c r="BN257" s="14"/>
      <c r="BO257" s="14"/>
      <c r="BP257" s="14"/>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row>
    <row r="258" spans="1:142" s="63" customFormat="1" ht="18" customHeight="1" x14ac:dyDescent="0.2">
      <c r="A258" s="8"/>
      <c r="B258" s="1999"/>
      <c r="C258" s="1999"/>
      <c r="D258" s="1999"/>
      <c r="E258" s="1639"/>
      <c r="F258" s="1714"/>
      <c r="G258" s="1437" t="s">
        <v>976</v>
      </c>
      <c r="H258" s="1438"/>
      <c r="I258" s="1438"/>
      <c r="J258" s="1438"/>
      <c r="K258" s="1438"/>
      <c r="L258" s="1438"/>
      <c r="M258" s="1438"/>
      <c r="N258" s="1438"/>
      <c r="O258" s="1439"/>
      <c r="P258" s="1352"/>
      <c r="Q258" s="8"/>
      <c r="R258" s="873" t="b">
        <v>0</v>
      </c>
      <c r="S258" s="856">
        <f t="shared" si="14"/>
        <v>0</v>
      </c>
      <c r="T258" s="856" t="s">
        <v>1023</v>
      </c>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0"/>
      <c r="BF258" s="14"/>
      <c r="BG258" s="14"/>
      <c r="BH258" s="14"/>
      <c r="BI258" s="14"/>
      <c r="BJ258" s="14"/>
      <c r="BK258" s="14"/>
      <c r="BL258" s="14"/>
      <c r="BM258" s="14"/>
      <c r="BN258" s="14"/>
      <c r="BO258" s="14"/>
      <c r="BP258" s="14"/>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row>
    <row r="259" spans="1:142" s="63" customFormat="1" ht="18" customHeight="1" x14ac:dyDescent="0.2">
      <c r="A259" s="8"/>
      <c r="B259" s="1999"/>
      <c r="C259" s="1999"/>
      <c r="D259" s="1999"/>
      <c r="E259" s="1639"/>
      <c r="F259" s="1714"/>
      <c r="G259" s="1370" t="s">
        <v>977</v>
      </c>
      <c r="H259" s="1371"/>
      <c r="I259" s="1371"/>
      <c r="J259" s="1371"/>
      <c r="K259" s="1371"/>
      <c r="L259" s="1371"/>
      <c r="M259" s="1371"/>
      <c r="N259" s="1371"/>
      <c r="O259" s="1372"/>
      <c r="P259" s="1352"/>
      <c r="Q259" s="8"/>
      <c r="R259" s="873" t="b">
        <v>0</v>
      </c>
      <c r="S259" s="856">
        <f t="shared" si="14"/>
        <v>0</v>
      </c>
      <c r="T259" s="856">
        <f>SUM(S257:S259)</f>
        <v>0</v>
      </c>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0"/>
      <c r="BF259" s="14"/>
      <c r="BG259" s="14"/>
      <c r="BH259" s="14"/>
      <c r="BI259" s="14"/>
      <c r="BJ259" s="14"/>
      <c r="BK259" s="14"/>
      <c r="BL259" s="14"/>
      <c r="BM259" s="14"/>
      <c r="BN259" s="14"/>
      <c r="BO259" s="14"/>
      <c r="BP259" s="14"/>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row>
    <row r="260" spans="1:142" s="63" customFormat="1" ht="18" customHeight="1" x14ac:dyDescent="0.2">
      <c r="A260" s="8"/>
      <c r="B260" s="1999"/>
      <c r="C260" s="1999"/>
      <c r="D260" s="1999"/>
      <c r="E260" s="1984"/>
      <c r="F260" s="1650"/>
      <c r="G260" s="1826" t="s">
        <v>978</v>
      </c>
      <c r="H260" s="1827"/>
      <c r="I260" s="1827"/>
      <c r="J260" s="1827"/>
      <c r="K260" s="1827"/>
      <c r="L260" s="1827"/>
      <c r="M260" s="1827"/>
      <c r="N260" s="1827"/>
      <c r="O260" s="1828"/>
      <c r="P260" s="1352"/>
      <c r="Q260" s="8"/>
      <c r="R260" s="873" t="b">
        <v>0</v>
      </c>
      <c r="S260" s="856">
        <f t="shared" si="14"/>
        <v>0</v>
      </c>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60"/>
      <c r="AW260" s="60"/>
      <c r="AX260" s="60"/>
      <c r="AY260" s="60"/>
      <c r="AZ260" s="60"/>
      <c r="BA260" s="60"/>
      <c r="BB260" s="60"/>
      <c r="BC260" s="60"/>
      <c r="BD260" s="60"/>
      <c r="BE260" s="60"/>
      <c r="BF260" s="14"/>
      <c r="BG260" s="14"/>
      <c r="BH260" s="14"/>
      <c r="BI260" s="14"/>
      <c r="BJ260" s="14"/>
      <c r="BK260" s="14"/>
      <c r="BL260" s="14"/>
      <c r="BM260" s="14"/>
      <c r="BN260" s="14"/>
      <c r="BO260" s="14"/>
      <c r="BP260" s="14"/>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row>
    <row r="261" spans="1:142" s="63" customFormat="1" ht="18" customHeight="1" x14ac:dyDescent="0.2">
      <c r="A261" s="8"/>
      <c r="B261" s="1999"/>
      <c r="C261" s="1999"/>
      <c r="D261" s="1999"/>
      <c r="E261" s="1639"/>
      <c r="F261" s="1714"/>
      <c r="G261" s="1826" t="s">
        <v>979</v>
      </c>
      <c r="H261" s="1827"/>
      <c r="I261" s="1827"/>
      <c r="J261" s="1827"/>
      <c r="K261" s="1827"/>
      <c r="L261" s="1827"/>
      <c r="M261" s="1827"/>
      <c r="N261" s="1827"/>
      <c r="O261" s="1828"/>
      <c r="P261" s="1352"/>
      <c r="Q261" s="8"/>
      <c r="R261" s="873" t="b">
        <v>0</v>
      </c>
      <c r="S261" s="856">
        <f t="shared" si="14"/>
        <v>0</v>
      </c>
      <c r="T261" s="60"/>
      <c r="U261" s="60"/>
      <c r="V261" s="60"/>
      <c r="W261" s="60"/>
      <c r="X261" s="60"/>
      <c r="Y261" s="60"/>
      <c r="Z261" s="60"/>
      <c r="AA261" s="60"/>
      <c r="AB261" s="60"/>
      <c r="AC261" s="60"/>
      <c r="AD261" s="60"/>
      <c r="AE261" s="60"/>
      <c r="AF261" s="60"/>
      <c r="AG261" s="60"/>
      <c r="AH261" s="60"/>
      <c r="AI261" s="60"/>
      <c r="AJ261" s="60"/>
      <c r="AK261" s="60"/>
      <c r="AL261" s="60"/>
      <c r="AM261" s="60"/>
      <c r="AN261" s="60"/>
      <c r="AO261" s="60"/>
      <c r="AP261" s="60"/>
      <c r="AQ261" s="60"/>
      <c r="AR261" s="60"/>
      <c r="AS261" s="60"/>
      <c r="AT261" s="60"/>
      <c r="AU261" s="60"/>
      <c r="AV261" s="60"/>
      <c r="AW261" s="60"/>
      <c r="AX261" s="60"/>
      <c r="AY261" s="60"/>
      <c r="AZ261" s="60"/>
      <c r="BA261" s="60"/>
      <c r="BB261" s="60"/>
      <c r="BC261" s="60"/>
      <c r="BD261" s="60"/>
      <c r="BE261" s="60"/>
      <c r="BF261" s="14"/>
      <c r="BG261" s="14"/>
      <c r="BH261" s="14"/>
      <c r="BI261" s="14"/>
      <c r="BJ261" s="14"/>
      <c r="BK261" s="14"/>
      <c r="BL261" s="14"/>
      <c r="BM261" s="14"/>
      <c r="BN261" s="14"/>
      <c r="BO261" s="14"/>
      <c r="BP261" s="14"/>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row>
    <row r="262" spans="1:142" s="63" customFormat="1" ht="18" customHeight="1" x14ac:dyDescent="0.2">
      <c r="A262" s="8"/>
      <c r="B262" s="1999"/>
      <c r="C262" s="1999"/>
      <c r="D262" s="1999"/>
      <c r="E262" s="1639"/>
      <c r="F262" s="1714"/>
      <c r="G262" s="1826" t="s">
        <v>980</v>
      </c>
      <c r="H262" s="1827"/>
      <c r="I262" s="1827"/>
      <c r="J262" s="1827"/>
      <c r="K262" s="1827"/>
      <c r="L262" s="1827"/>
      <c r="M262" s="1827"/>
      <c r="N262" s="1827"/>
      <c r="O262" s="1828"/>
      <c r="P262" s="1352"/>
      <c r="Q262" s="8"/>
      <c r="R262" s="873" t="b">
        <v>0</v>
      </c>
      <c r="S262" s="856">
        <f t="shared" si="14"/>
        <v>0</v>
      </c>
      <c r="T262" s="856" t="s">
        <v>1023</v>
      </c>
      <c r="U262" s="60"/>
      <c r="V262" s="60"/>
      <c r="W262" s="60"/>
      <c r="X262" s="60"/>
      <c r="Y262" s="60"/>
      <c r="Z262" s="60"/>
      <c r="AA262" s="60"/>
      <c r="AB262" s="60"/>
      <c r="AC262" s="60"/>
      <c r="AD262" s="60"/>
      <c r="AE262" s="60"/>
      <c r="AF262" s="60"/>
      <c r="AG262" s="60"/>
      <c r="AH262" s="60"/>
      <c r="AI262" s="60"/>
      <c r="AJ262" s="60"/>
      <c r="AK262" s="60"/>
      <c r="AL262" s="60"/>
      <c r="AM262" s="60"/>
      <c r="AN262" s="60"/>
      <c r="AO262" s="60"/>
      <c r="AP262" s="60"/>
      <c r="AQ262" s="60"/>
      <c r="AR262" s="60"/>
      <c r="AS262" s="60"/>
      <c r="AT262" s="60"/>
      <c r="AU262" s="60"/>
      <c r="AV262" s="60"/>
      <c r="AW262" s="60"/>
      <c r="AX262" s="60"/>
      <c r="AY262" s="60"/>
      <c r="AZ262" s="60"/>
      <c r="BA262" s="60"/>
      <c r="BB262" s="60"/>
      <c r="BC262" s="60"/>
      <c r="BD262" s="60"/>
      <c r="BE262" s="60"/>
      <c r="BF262" s="14"/>
      <c r="BG262" s="14"/>
      <c r="BH262" s="14"/>
      <c r="BI262" s="14"/>
      <c r="BJ262" s="14"/>
      <c r="BK262" s="14"/>
      <c r="BL262" s="14"/>
      <c r="BM262" s="14"/>
      <c r="BN262" s="14"/>
      <c r="BO262" s="14"/>
      <c r="BP262" s="14"/>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row>
    <row r="263" spans="1:142" s="63" customFormat="1" ht="18" customHeight="1" x14ac:dyDescent="0.2">
      <c r="A263" s="8"/>
      <c r="B263" s="1999"/>
      <c r="C263" s="1999"/>
      <c r="D263" s="1999"/>
      <c r="E263" s="1639"/>
      <c r="F263" s="1714"/>
      <c r="G263" s="1888" t="s">
        <v>670</v>
      </c>
      <c r="H263" s="1889"/>
      <c r="I263" s="1889"/>
      <c r="J263" s="1889"/>
      <c r="K263" s="1889"/>
      <c r="L263" s="1889"/>
      <c r="M263" s="1889"/>
      <c r="N263" s="1889"/>
      <c r="O263" s="1910"/>
      <c r="P263" s="1352"/>
      <c r="Q263" s="8"/>
      <c r="R263" s="873" t="b">
        <v>0</v>
      </c>
      <c r="S263" s="856">
        <f t="shared" si="14"/>
        <v>0</v>
      </c>
      <c r="T263" s="856">
        <f>SUM(S260:S263)</f>
        <v>0</v>
      </c>
      <c r="U263" s="60"/>
      <c r="V263" s="115"/>
      <c r="W263" s="60"/>
      <c r="X263" s="60"/>
      <c r="Y263" s="60"/>
      <c r="Z263" s="60"/>
      <c r="AA263" s="60"/>
      <c r="AB263" s="60"/>
      <c r="AC263" s="60"/>
      <c r="AD263" s="60"/>
      <c r="AE263" s="60"/>
      <c r="AF263" s="60"/>
      <c r="AG263" s="60"/>
      <c r="AH263" s="60"/>
      <c r="AI263" s="60"/>
      <c r="AJ263" s="60"/>
      <c r="AK263" s="60"/>
      <c r="AL263" s="60"/>
      <c r="AM263" s="60"/>
      <c r="AN263" s="60"/>
      <c r="AO263" s="60"/>
      <c r="AP263" s="60"/>
      <c r="AQ263" s="60"/>
      <c r="AR263" s="60"/>
      <c r="AS263" s="60"/>
      <c r="AT263" s="60"/>
      <c r="AU263" s="60"/>
      <c r="AV263" s="60"/>
      <c r="AW263" s="60"/>
      <c r="AX263" s="60"/>
      <c r="AY263" s="60"/>
      <c r="AZ263" s="60"/>
      <c r="BA263" s="60"/>
      <c r="BB263" s="60"/>
      <c r="BC263" s="60"/>
      <c r="BD263" s="60"/>
      <c r="BE263" s="60"/>
      <c r="BF263" s="14"/>
      <c r="BG263" s="14"/>
      <c r="BH263" s="14"/>
      <c r="BI263" s="14"/>
      <c r="BJ263" s="14"/>
      <c r="BK263" s="14"/>
      <c r="BL263" s="14"/>
      <c r="BM263" s="14"/>
      <c r="BN263" s="14"/>
      <c r="BO263" s="14"/>
      <c r="BP263" s="14"/>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row>
    <row r="264" spans="1:142" s="63" customFormat="1" ht="12" customHeight="1" x14ac:dyDescent="0.25">
      <c r="A264" s="8"/>
      <c r="B264" s="1825"/>
      <c r="C264" s="1825"/>
      <c r="D264" s="1825"/>
      <c r="E264" s="1825"/>
      <c r="F264" s="1825"/>
      <c r="G264" s="1825"/>
      <c r="H264" s="1825"/>
      <c r="I264" s="1825"/>
      <c r="J264" s="1825"/>
      <c r="K264" s="1825"/>
      <c r="L264" s="1825"/>
      <c r="M264" s="1825"/>
      <c r="N264" s="1825"/>
      <c r="O264" s="1825"/>
      <c r="P264" s="75"/>
      <c r="Q264" s="8"/>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0"/>
      <c r="AR264" s="60"/>
      <c r="AS264" s="60"/>
      <c r="AT264" s="60"/>
      <c r="AU264" s="60"/>
      <c r="AV264" s="60"/>
      <c r="AW264" s="60"/>
      <c r="AX264" s="60"/>
      <c r="AY264" s="60"/>
      <c r="AZ264" s="60"/>
      <c r="BA264" s="60"/>
      <c r="BB264" s="60"/>
      <c r="BC264" s="60"/>
      <c r="BD264" s="60"/>
      <c r="BE264" s="60"/>
      <c r="BF264" s="14"/>
      <c r="BG264" s="14"/>
      <c r="BH264" s="14"/>
      <c r="BI264" s="14"/>
      <c r="BJ264" s="14"/>
      <c r="BK264" s="14"/>
      <c r="BL264" s="14"/>
      <c r="BM264" s="14"/>
      <c r="BN264" s="14"/>
      <c r="BO264" s="14"/>
      <c r="BP264" s="14"/>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row>
    <row r="265" spans="1:142" s="63" customFormat="1" ht="17.25" customHeight="1" x14ac:dyDescent="0.2">
      <c r="A265" s="35"/>
      <c r="B265" s="1901" t="s">
        <v>177</v>
      </c>
      <c r="C265" s="1902"/>
      <c r="D265" s="1902"/>
      <c r="E265" s="1902"/>
      <c r="F265" s="1902"/>
      <c r="G265" s="1902"/>
      <c r="H265" s="1902"/>
      <c r="I265" s="1902"/>
      <c r="J265" s="1902"/>
      <c r="K265" s="1902"/>
      <c r="L265" s="1902"/>
      <c r="M265" s="1902"/>
      <c r="N265" s="1902"/>
      <c r="O265" s="1902"/>
      <c r="P265" s="287"/>
      <c r="Q265" s="35"/>
      <c r="R265" s="115"/>
      <c r="S265" s="168"/>
      <c r="T265" s="115"/>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4"/>
      <c r="BB265" s="14"/>
      <c r="BC265" s="14"/>
      <c r="BD265" s="14"/>
      <c r="BE265" s="14"/>
      <c r="BF265" s="14"/>
      <c r="BG265" s="14"/>
      <c r="BH265" s="14"/>
      <c r="BI265" s="14"/>
      <c r="BJ265" s="14"/>
      <c r="BK265" s="14"/>
      <c r="BL265" s="14"/>
      <c r="BM265" s="14"/>
      <c r="BN265" s="14"/>
      <c r="BO265" s="14"/>
      <c r="BP265" s="14"/>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row>
    <row r="266" spans="1:142" s="63" customFormat="1" ht="39" customHeight="1" x14ac:dyDescent="0.2">
      <c r="A266" s="35"/>
      <c r="B266" s="1370" t="s">
        <v>141</v>
      </c>
      <c r="C266" s="1371"/>
      <c r="D266" s="1371"/>
      <c r="E266" s="1371"/>
      <c r="F266" s="1371"/>
      <c r="G266" s="1371"/>
      <c r="H266" s="1371"/>
      <c r="I266" s="1371"/>
      <c r="J266" s="1371"/>
      <c r="K266" s="1371"/>
      <c r="L266" s="1371"/>
      <c r="M266" s="1371"/>
      <c r="N266" s="1371"/>
      <c r="O266" s="1371"/>
      <c r="P266" s="286"/>
      <c r="Q266" s="35"/>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4"/>
      <c r="BB266" s="14"/>
      <c r="BC266" s="14"/>
      <c r="BD266" s="14"/>
      <c r="BE266" s="14"/>
      <c r="BF266" s="14"/>
      <c r="BG266" s="14"/>
      <c r="BH266" s="14"/>
      <c r="BI266" s="14"/>
      <c r="BJ266" s="14"/>
      <c r="BK266" s="14"/>
      <c r="BL266" s="14"/>
      <c r="BM266" s="14"/>
      <c r="BN266" s="14"/>
      <c r="BO266" s="14"/>
      <c r="BP266" s="14"/>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row>
    <row r="267" spans="1:142" s="63" customFormat="1" ht="18" customHeight="1" x14ac:dyDescent="0.2">
      <c r="A267" s="20"/>
      <c r="B267" s="1888" t="s">
        <v>948</v>
      </c>
      <c r="C267" s="1889"/>
      <c r="D267" s="1889"/>
      <c r="E267" s="1889"/>
      <c r="F267" s="1889"/>
      <c r="G267" s="1889"/>
      <c r="H267" s="1889"/>
      <c r="I267" s="1889"/>
      <c r="J267" s="1889"/>
      <c r="K267" s="1889"/>
      <c r="L267" s="1889"/>
      <c r="M267" s="1889"/>
      <c r="N267" s="1885"/>
      <c r="O267" s="1886"/>
      <c r="P267" s="26">
        <f>IF(S267=1,0.05,0)</f>
        <v>0</v>
      </c>
      <c r="Q267" s="35"/>
      <c r="R267" s="844" t="s">
        <v>2227</v>
      </c>
      <c r="S267" s="686">
        <v>2</v>
      </c>
      <c r="T267" s="18"/>
      <c r="U267" s="18"/>
      <c r="V267" s="18"/>
      <c r="W267" s="18">
        <v>1E-4</v>
      </c>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4"/>
      <c r="BB267" s="14"/>
      <c r="BC267" s="14"/>
      <c r="BD267" s="14"/>
      <c r="BE267" s="14"/>
      <c r="BF267" s="14"/>
      <c r="BG267" s="14"/>
      <c r="BH267" s="14"/>
      <c r="BI267" s="14"/>
      <c r="BJ267" s="14"/>
      <c r="BK267" s="14"/>
      <c r="BL267" s="14"/>
      <c r="BM267" s="14"/>
      <c r="BN267" s="14"/>
      <c r="BO267" s="14"/>
      <c r="BP267" s="14"/>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row>
    <row r="268" spans="1:142" s="63" customFormat="1" ht="12" customHeight="1" x14ac:dyDescent="0.25">
      <c r="A268" s="35"/>
      <c r="B268" s="1900"/>
      <c r="C268" s="1900"/>
      <c r="D268" s="1900"/>
      <c r="E268" s="1900"/>
      <c r="F268" s="1900"/>
      <c r="G268" s="1900"/>
      <c r="H268" s="1900"/>
      <c r="I268" s="1900"/>
      <c r="J268" s="1900"/>
      <c r="K268" s="1900"/>
      <c r="L268" s="1900"/>
      <c r="M268" s="1900"/>
      <c r="N268" s="1900"/>
      <c r="O268" s="1900"/>
      <c r="P268" s="86"/>
      <c r="Q268" s="35"/>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4"/>
      <c r="BB268" s="14"/>
      <c r="BC268" s="14"/>
      <c r="BD268" s="14"/>
      <c r="BE268" s="14"/>
      <c r="BF268" s="14"/>
      <c r="BG268" s="14"/>
      <c r="BH268" s="14"/>
      <c r="BI268" s="14"/>
      <c r="BJ268" s="14"/>
      <c r="BK268" s="14"/>
      <c r="BL268" s="14"/>
      <c r="BM268" s="14"/>
      <c r="BN268" s="14"/>
      <c r="BO268" s="14"/>
      <c r="BP268" s="14"/>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row>
    <row r="269" spans="1:142" s="63" customFormat="1" ht="18" customHeight="1" x14ac:dyDescent="0.2">
      <c r="A269" s="8"/>
      <c r="B269" s="1534" t="s">
        <v>1162</v>
      </c>
      <c r="C269" s="1534"/>
      <c r="D269" s="1534"/>
      <c r="E269" s="1534"/>
      <c r="F269" s="1534"/>
      <c r="G269" s="1534"/>
      <c r="H269" s="1534"/>
      <c r="I269" s="1534"/>
      <c r="J269" s="1534"/>
      <c r="K269" s="1534"/>
      <c r="L269" s="1534"/>
      <c r="M269" s="1534"/>
      <c r="N269" s="1534"/>
      <c r="O269" s="1534"/>
      <c r="P269" s="185"/>
      <c r="Q269" s="8"/>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0"/>
      <c r="AR269" s="60"/>
      <c r="AS269" s="60"/>
      <c r="AT269" s="60"/>
      <c r="AU269" s="60"/>
      <c r="AV269" s="60"/>
      <c r="AW269" s="60"/>
      <c r="AX269" s="60"/>
      <c r="AY269" s="60"/>
      <c r="AZ269" s="60"/>
      <c r="BA269" s="60"/>
      <c r="BB269" s="60"/>
      <c r="BC269" s="60"/>
      <c r="BD269" s="60"/>
      <c r="BE269" s="60"/>
      <c r="BF269" s="14"/>
      <c r="BG269" s="14"/>
      <c r="BH269" s="14"/>
      <c r="BI269" s="14"/>
      <c r="BJ269" s="14"/>
      <c r="BK269" s="14"/>
      <c r="BL269" s="14"/>
      <c r="BM269" s="14"/>
      <c r="BN269" s="14"/>
      <c r="BO269" s="14"/>
      <c r="BP269" s="14"/>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row>
    <row r="270" spans="1:142" s="63" customFormat="1" ht="15" customHeight="1" x14ac:dyDescent="0.2">
      <c r="A270" s="8"/>
      <c r="B270" s="353" t="s">
        <v>1163</v>
      </c>
      <c r="C270" s="1849">
        <f>IF(OR($R$270=1,$R$271=1),P33,0)</f>
        <v>0</v>
      </c>
      <c r="D270" s="1850"/>
      <c r="E270" s="1850"/>
      <c r="F270" s="1848" t="s">
        <v>1164</v>
      </c>
      <c r="G270" s="1848"/>
      <c r="H270" s="1848"/>
      <c r="I270" s="1848"/>
      <c r="J270" s="1848"/>
      <c r="K270" s="1848"/>
      <c r="L270" s="1849">
        <f>LETable!AJ48</f>
        <v>0</v>
      </c>
      <c r="M270" s="1849"/>
      <c r="N270" s="1848" t="s">
        <v>671</v>
      </c>
      <c r="O270" s="1848"/>
      <c r="P270" s="1847">
        <f>SUM(L270:L274)</f>
        <v>0</v>
      </c>
      <c r="Q270" s="8"/>
      <c r="R270" s="875">
        <f>IF(SUM($E$342:$E$366)&gt;0,1,0)</f>
        <v>0</v>
      </c>
      <c r="S270" s="1890" t="s">
        <v>862</v>
      </c>
      <c r="T270" s="189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0"/>
      <c r="AR270" s="60"/>
      <c r="AS270" s="60"/>
      <c r="AT270" s="60"/>
      <c r="AU270" s="60"/>
      <c r="AV270" s="60"/>
      <c r="AW270" s="60"/>
      <c r="AX270" s="60"/>
      <c r="AY270" s="60"/>
      <c r="AZ270" s="60"/>
      <c r="BA270" s="60"/>
      <c r="BB270" s="60"/>
      <c r="BC270" s="60"/>
      <c r="BD270" s="60"/>
      <c r="BE270" s="60"/>
      <c r="BF270" s="14"/>
      <c r="BG270" s="14"/>
      <c r="BH270" s="14"/>
      <c r="BI270" s="14"/>
      <c r="BJ270" s="14"/>
      <c r="BK270" s="14"/>
      <c r="BL270" s="14"/>
      <c r="BM270" s="14"/>
      <c r="BN270" s="14"/>
      <c r="BO270" s="14"/>
      <c r="BP270" s="14"/>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row>
    <row r="271" spans="1:142" s="63" customFormat="1" ht="15" customHeight="1" x14ac:dyDescent="0.2">
      <c r="A271" s="8"/>
      <c r="B271" s="353" t="s">
        <v>863</v>
      </c>
      <c r="C271" s="1849">
        <f>IF(OR($R$270=1,$R$271=1),P72,0)</f>
        <v>0</v>
      </c>
      <c r="D271" s="1850"/>
      <c r="E271" s="1850"/>
      <c r="F271" s="1848" t="s">
        <v>1164</v>
      </c>
      <c r="G271" s="1848"/>
      <c r="H271" s="1848"/>
      <c r="I271" s="1848"/>
      <c r="J271" s="1848"/>
      <c r="K271" s="1848"/>
      <c r="L271" s="1849">
        <f>LETable!AJ49</f>
        <v>0</v>
      </c>
      <c r="M271" s="1849"/>
      <c r="N271" s="1848" t="s">
        <v>671</v>
      </c>
      <c r="O271" s="1848"/>
      <c r="P271" s="1847"/>
      <c r="Q271" s="8"/>
      <c r="R271" s="876">
        <f>IF(SUM(E449:E470)&gt;0,1,0)</f>
        <v>0</v>
      </c>
      <c r="S271" s="1656" t="s">
        <v>864</v>
      </c>
      <c r="T271" s="1656"/>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0"/>
      <c r="AR271" s="60"/>
      <c r="AS271" s="60"/>
      <c r="AT271" s="60"/>
      <c r="AU271" s="60"/>
      <c r="AV271" s="60"/>
      <c r="AW271" s="60"/>
      <c r="AX271" s="60"/>
      <c r="AY271" s="60"/>
      <c r="AZ271" s="60"/>
      <c r="BA271" s="60"/>
      <c r="BB271" s="60"/>
      <c r="BC271" s="60"/>
      <c r="BD271" s="60"/>
      <c r="BE271" s="60"/>
      <c r="BF271" s="14"/>
      <c r="BG271" s="14"/>
      <c r="BH271" s="14"/>
      <c r="BI271" s="14"/>
      <c r="BJ271" s="14"/>
      <c r="BK271" s="14"/>
      <c r="BL271" s="14"/>
      <c r="BM271" s="14"/>
      <c r="BN271" s="14"/>
      <c r="BO271" s="14"/>
      <c r="BP271" s="14"/>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row>
    <row r="272" spans="1:142" s="63" customFormat="1" ht="15" customHeight="1" x14ac:dyDescent="0.2">
      <c r="A272" s="8"/>
      <c r="B272" s="353" t="s">
        <v>865</v>
      </c>
      <c r="C272" s="1849">
        <f>IF(OR($R$270=1,$R$271=1),P112,0)</f>
        <v>0</v>
      </c>
      <c r="D272" s="1850"/>
      <c r="E272" s="1850"/>
      <c r="F272" s="1848" t="s">
        <v>1164</v>
      </c>
      <c r="G272" s="1848"/>
      <c r="H272" s="1848"/>
      <c r="I272" s="1848"/>
      <c r="J272" s="1848"/>
      <c r="K272" s="1848"/>
      <c r="L272" s="1849">
        <f>LETable!AJ50</f>
        <v>0</v>
      </c>
      <c r="M272" s="1849"/>
      <c r="N272" s="1848" t="s">
        <v>671</v>
      </c>
      <c r="O272" s="1848"/>
      <c r="P272" s="1847"/>
      <c r="Q272" s="8"/>
      <c r="R272" s="60"/>
      <c r="S272" s="14"/>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0"/>
      <c r="AR272" s="60"/>
      <c r="AS272" s="60"/>
      <c r="AT272" s="60"/>
      <c r="AU272" s="60"/>
      <c r="AV272" s="60"/>
      <c r="AW272" s="60"/>
      <c r="AX272" s="60"/>
      <c r="AY272" s="60"/>
      <c r="AZ272" s="60"/>
      <c r="BA272" s="60"/>
      <c r="BB272" s="60"/>
      <c r="BC272" s="60"/>
      <c r="BD272" s="60"/>
      <c r="BE272" s="60"/>
      <c r="BF272" s="14"/>
      <c r="BG272" s="14"/>
      <c r="BH272" s="14"/>
      <c r="BI272" s="14"/>
      <c r="BJ272" s="14"/>
      <c r="BK272" s="14"/>
      <c r="BL272" s="14"/>
      <c r="BM272" s="14"/>
      <c r="BN272" s="14"/>
      <c r="BO272" s="14"/>
      <c r="BP272" s="14"/>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row>
    <row r="273" spans="1:142" s="63" customFormat="1" ht="15" customHeight="1" x14ac:dyDescent="0.2">
      <c r="A273" s="8"/>
      <c r="B273" s="353" t="s">
        <v>866</v>
      </c>
      <c r="C273" s="1849">
        <f>IF(OR($R$270=1,$R$271=1),P152,0)</f>
        <v>0</v>
      </c>
      <c r="D273" s="1850"/>
      <c r="E273" s="1850"/>
      <c r="F273" s="1848" t="s">
        <v>1164</v>
      </c>
      <c r="G273" s="1848"/>
      <c r="H273" s="1848"/>
      <c r="I273" s="1848"/>
      <c r="J273" s="1848"/>
      <c r="K273" s="1848"/>
      <c r="L273" s="1849">
        <f>LETable!AJ51</f>
        <v>0</v>
      </c>
      <c r="M273" s="1849"/>
      <c r="N273" s="1848" t="s">
        <v>671</v>
      </c>
      <c r="O273" s="1848"/>
      <c r="P273" s="1847"/>
      <c r="Q273" s="8"/>
      <c r="R273" s="169"/>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0"/>
      <c r="AR273" s="60"/>
      <c r="AS273" s="60"/>
      <c r="AT273" s="60"/>
      <c r="AU273" s="60"/>
      <c r="AV273" s="60"/>
      <c r="AW273" s="60"/>
      <c r="AX273" s="60"/>
      <c r="AY273" s="60"/>
      <c r="AZ273" s="60"/>
      <c r="BA273" s="60"/>
      <c r="BB273" s="60"/>
      <c r="BC273" s="60"/>
      <c r="BD273" s="60"/>
      <c r="BE273" s="60"/>
      <c r="BF273" s="14"/>
      <c r="BG273" s="14"/>
      <c r="BH273" s="14"/>
      <c r="BI273" s="14"/>
      <c r="BJ273" s="14"/>
      <c r="BK273" s="14"/>
      <c r="BL273" s="14"/>
      <c r="BM273" s="14"/>
      <c r="BN273" s="14"/>
      <c r="BO273" s="14"/>
      <c r="BP273" s="14"/>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row>
    <row r="274" spans="1:142" s="63" customFormat="1" ht="15" customHeight="1" x14ac:dyDescent="0.2">
      <c r="A274" s="8"/>
      <c r="B274" s="353" t="s">
        <v>867</v>
      </c>
      <c r="C274" s="1849">
        <f>IF(OR($R$270=1,$R$271=1),P192,0)</f>
        <v>0</v>
      </c>
      <c r="D274" s="1850"/>
      <c r="E274" s="1850"/>
      <c r="F274" s="1848" t="s">
        <v>1164</v>
      </c>
      <c r="G274" s="1848"/>
      <c r="H274" s="1848"/>
      <c r="I274" s="1848"/>
      <c r="J274" s="1848"/>
      <c r="K274" s="1848"/>
      <c r="L274" s="1849">
        <f>LETable!AJ52</f>
        <v>0</v>
      </c>
      <c r="M274" s="1849"/>
      <c r="N274" s="1848" t="s">
        <v>671</v>
      </c>
      <c r="O274" s="1848"/>
      <c r="P274" s="1847"/>
      <c r="Q274" s="8"/>
      <c r="R274" s="169"/>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14"/>
      <c r="BG274" s="14"/>
      <c r="BH274" s="14"/>
      <c r="BI274" s="14"/>
      <c r="BJ274" s="14"/>
      <c r="BK274" s="14"/>
      <c r="BL274" s="14"/>
      <c r="BM274" s="14"/>
      <c r="BN274" s="14"/>
      <c r="BO274" s="14"/>
      <c r="BP274" s="14"/>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row>
    <row r="275" spans="1:142" s="63" customFormat="1" ht="18" customHeight="1" x14ac:dyDescent="0.2">
      <c r="A275" s="8"/>
      <c r="B275" s="44"/>
      <c r="C275" s="1884" t="s">
        <v>178</v>
      </c>
      <c r="D275" s="1884"/>
      <c r="E275" s="1884"/>
      <c r="F275" s="1884"/>
      <c r="G275" s="1884"/>
      <c r="H275" s="1884"/>
      <c r="I275" s="1884"/>
      <c r="J275" s="1884"/>
      <c r="K275" s="1884"/>
      <c r="L275" s="1884"/>
      <c r="M275" s="1884"/>
      <c r="N275" s="1884"/>
      <c r="O275" s="1884"/>
      <c r="P275" s="1847"/>
      <c r="Q275" s="8"/>
      <c r="R275" s="169"/>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14"/>
      <c r="BG275" s="14"/>
      <c r="BH275" s="14"/>
      <c r="BI275" s="14"/>
      <c r="BJ275" s="14"/>
      <c r="BK275" s="14"/>
      <c r="BL275" s="14"/>
      <c r="BM275" s="14"/>
      <c r="BN275" s="14"/>
      <c r="BO275" s="14"/>
      <c r="BP275" s="14"/>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row>
    <row r="276" spans="1:142" s="63" customFormat="1" ht="12" customHeight="1" x14ac:dyDescent="0.25">
      <c r="A276" s="8"/>
      <c r="B276" s="1825"/>
      <c r="C276" s="1825"/>
      <c r="D276" s="1825"/>
      <c r="E276" s="1825"/>
      <c r="F276" s="1825"/>
      <c r="G276" s="1825"/>
      <c r="H276" s="1825"/>
      <c r="I276" s="1825"/>
      <c r="J276" s="1825"/>
      <c r="K276" s="1825"/>
      <c r="L276" s="1825"/>
      <c r="M276" s="1825"/>
      <c r="N276" s="1825"/>
      <c r="O276" s="1825"/>
      <c r="P276" s="75"/>
      <c r="Q276" s="8"/>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0"/>
      <c r="AR276" s="60"/>
      <c r="AS276" s="60"/>
      <c r="AT276" s="60"/>
      <c r="AU276" s="60"/>
      <c r="AV276" s="60"/>
      <c r="AW276" s="60"/>
      <c r="AX276" s="60"/>
      <c r="AY276" s="60"/>
      <c r="AZ276" s="60"/>
      <c r="BA276" s="60"/>
      <c r="BB276" s="60"/>
      <c r="BC276" s="60"/>
      <c r="BD276" s="60"/>
      <c r="BE276" s="60"/>
      <c r="BF276" s="14"/>
      <c r="BG276" s="14"/>
      <c r="BH276" s="14"/>
      <c r="BI276" s="14"/>
      <c r="BJ276" s="14"/>
      <c r="BK276" s="14"/>
      <c r="BL276" s="14"/>
      <c r="BM276" s="14"/>
      <c r="BN276" s="14"/>
      <c r="BO276" s="14"/>
      <c r="BP276" s="14"/>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row>
    <row r="277" spans="1:142" s="63" customFormat="1" ht="18" customHeight="1" x14ac:dyDescent="0.2">
      <c r="A277" s="35"/>
      <c r="B277" s="1860" t="s">
        <v>179</v>
      </c>
      <c r="C277" s="1860"/>
      <c r="D277" s="1860"/>
      <c r="E277" s="1860"/>
      <c r="F277" s="1860"/>
      <c r="G277" s="1860"/>
      <c r="H277" s="1860"/>
      <c r="I277" s="1860"/>
      <c r="J277" s="1860"/>
      <c r="K277" s="1860"/>
      <c r="L277" s="1860"/>
      <c r="M277" s="1860"/>
      <c r="N277" s="1860"/>
      <c r="O277" s="1860"/>
      <c r="P277" s="1860"/>
      <c r="Q277" s="35"/>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4"/>
      <c r="BB277" s="14"/>
      <c r="BC277" s="14"/>
      <c r="BD277" s="14"/>
      <c r="BE277" s="14"/>
      <c r="BF277" s="14"/>
      <c r="BG277" s="14"/>
      <c r="BH277" s="14"/>
      <c r="BI277" s="14"/>
      <c r="BJ277" s="14"/>
      <c r="BK277" s="14"/>
      <c r="BL277" s="14"/>
      <c r="BM277" s="14"/>
      <c r="BN277" s="14"/>
      <c r="BO277" s="14"/>
      <c r="BP277" s="14"/>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row>
    <row r="278" spans="1:142" s="63" customFormat="1" ht="104.25" customHeight="1" x14ac:dyDescent="0.2">
      <c r="A278" s="35"/>
      <c r="B278" s="1379" t="s">
        <v>2021</v>
      </c>
      <c r="C278" s="1379"/>
      <c r="D278" s="1379"/>
      <c r="E278" s="1379"/>
      <c r="F278" s="1379"/>
      <c r="G278" s="1379"/>
      <c r="H278" s="1379"/>
      <c r="I278" s="1379"/>
      <c r="J278" s="1379"/>
      <c r="K278" s="1379"/>
      <c r="L278" s="1379"/>
      <c r="M278" s="1379"/>
      <c r="N278" s="1379"/>
      <c r="O278" s="1379"/>
      <c r="P278" s="1379"/>
      <c r="Q278" s="35"/>
      <c r="R278" s="855" t="s">
        <v>2196</v>
      </c>
      <c r="S278" s="844" t="s">
        <v>1942</v>
      </c>
      <c r="T278" s="695" t="s">
        <v>827</v>
      </c>
      <c r="U278" s="695" t="s">
        <v>828</v>
      </c>
      <c r="V278" s="695" t="s">
        <v>829</v>
      </c>
      <c r="W278" s="695" t="s">
        <v>830</v>
      </c>
      <c r="X278" s="844" t="s">
        <v>831</v>
      </c>
      <c r="Y278" s="695" t="s">
        <v>832</v>
      </c>
      <c r="Z278" s="695" t="s">
        <v>833</v>
      </c>
      <c r="AA278" s="695" t="s">
        <v>834</v>
      </c>
      <c r="AB278" s="695" t="s">
        <v>835</v>
      </c>
      <c r="AC278" s="695" t="s">
        <v>836</v>
      </c>
      <c r="AD278" s="695" t="s">
        <v>1681</v>
      </c>
      <c r="AE278" s="695" t="s">
        <v>1682</v>
      </c>
      <c r="AF278" s="695" t="s">
        <v>1683</v>
      </c>
      <c r="AG278" s="887" t="s">
        <v>1684</v>
      </c>
      <c r="AH278" s="695" t="s">
        <v>1685</v>
      </c>
      <c r="AI278" s="866"/>
      <c r="AJ278" s="866"/>
      <c r="AK278" s="18"/>
      <c r="AL278" s="18"/>
      <c r="AM278" s="18"/>
      <c r="AN278" s="18"/>
      <c r="AO278" s="18"/>
      <c r="AP278" s="18"/>
      <c r="AQ278" s="18"/>
      <c r="AR278" s="18"/>
      <c r="AS278" s="18"/>
      <c r="AT278" s="18"/>
      <c r="AU278" s="18"/>
      <c r="AV278" s="18"/>
      <c r="AW278" s="18"/>
      <c r="AX278" s="18"/>
      <c r="AY278" s="18"/>
      <c r="AZ278" s="18"/>
      <c r="BA278" s="14"/>
      <c r="BB278" s="14"/>
      <c r="BC278" s="14"/>
      <c r="BD278" s="14"/>
      <c r="BE278" s="14"/>
      <c r="BF278" s="14"/>
      <c r="BG278" s="14"/>
      <c r="BH278" s="14"/>
      <c r="BI278" s="14"/>
      <c r="BJ278" s="14"/>
      <c r="BK278" s="14"/>
      <c r="BL278" s="14"/>
      <c r="BM278" s="14"/>
      <c r="BN278" s="14"/>
      <c r="BO278" s="14"/>
      <c r="BP278" s="14"/>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row>
    <row r="279" spans="1:142" s="63" customFormat="1" ht="15" customHeight="1" x14ac:dyDescent="0.2">
      <c r="A279" s="35"/>
      <c r="B279" s="1555"/>
      <c r="C279" s="1555"/>
      <c r="D279" s="1555"/>
      <c r="E279" s="1555"/>
      <c r="F279" s="1555"/>
      <c r="G279" s="1555"/>
      <c r="H279" s="1555"/>
      <c r="I279" s="1555"/>
      <c r="J279" s="1555"/>
      <c r="K279" s="1555"/>
      <c r="L279" s="1555"/>
      <c r="M279" s="1536" t="s">
        <v>1686</v>
      </c>
      <c r="N279" s="1640" t="s">
        <v>1687</v>
      </c>
      <c r="O279" s="1640"/>
      <c r="P279" s="1640"/>
      <c r="Q279" s="35"/>
      <c r="R279" s="895" t="s">
        <v>2197</v>
      </c>
      <c r="S279" s="851">
        <v>0</v>
      </c>
      <c r="T279" s="854">
        <v>0</v>
      </c>
      <c r="U279" s="854">
        <v>0.05</v>
      </c>
      <c r="V279" s="854">
        <v>0.1</v>
      </c>
      <c r="W279" s="854">
        <v>0.2</v>
      </c>
      <c r="X279" s="854">
        <v>0.3</v>
      </c>
      <c r="Y279" s="854">
        <v>0.4</v>
      </c>
      <c r="Z279" s="854">
        <v>0.5</v>
      </c>
      <c r="AA279" s="854">
        <v>0.6</v>
      </c>
      <c r="AB279" s="854">
        <v>0.7</v>
      </c>
      <c r="AC279" s="854">
        <v>0.75</v>
      </c>
      <c r="AD279" s="854">
        <v>0.8</v>
      </c>
      <c r="AE279" s="854">
        <v>0.85</v>
      </c>
      <c r="AF279" s="854">
        <v>0.9</v>
      </c>
      <c r="AG279" s="854">
        <v>0.95</v>
      </c>
      <c r="AH279" s="741">
        <v>1</v>
      </c>
      <c r="AI279" s="867"/>
      <c r="AJ279" s="866"/>
      <c r="AK279" s="18"/>
      <c r="AL279" s="18"/>
      <c r="AM279" s="18"/>
      <c r="AN279" s="18"/>
      <c r="AO279" s="18"/>
      <c r="AP279" s="18"/>
      <c r="AQ279" s="18"/>
      <c r="AR279" s="18"/>
      <c r="AS279" s="18"/>
      <c r="AT279" s="18"/>
      <c r="AU279" s="18"/>
      <c r="AV279" s="18"/>
      <c r="AW279" s="18"/>
      <c r="AX279" s="18"/>
      <c r="AY279" s="18"/>
      <c r="AZ279" s="18"/>
      <c r="BA279" s="14"/>
      <c r="BB279" s="14"/>
      <c r="BC279" s="14"/>
      <c r="BD279" s="14"/>
      <c r="BE279" s="14"/>
      <c r="BF279" s="14"/>
      <c r="BG279" s="14"/>
      <c r="BH279" s="14"/>
      <c r="BI279" s="14"/>
      <c r="BJ279" s="14"/>
      <c r="BK279" s="14"/>
      <c r="BL279" s="14"/>
      <c r="BM279" s="14"/>
      <c r="BN279" s="14"/>
      <c r="BO279" s="14"/>
      <c r="BP279" s="14"/>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row>
    <row r="280" spans="1:142" s="63" customFormat="1" ht="15" customHeight="1" x14ac:dyDescent="0.2">
      <c r="A280" s="35"/>
      <c r="B280" s="1591" t="s">
        <v>1688</v>
      </c>
      <c r="C280" s="1591"/>
      <c r="D280" s="1591"/>
      <c r="E280" s="1591"/>
      <c r="F280" s="1591"/>
      <c r="G280" s="1591"/>
      <c r="H280" s="1591"/>
      <c r="I280" s="1591"/>
      <c r="J280" s="1591"/>
      <c r="K280" s="1591"/>
      <c r="L280" s="1591"/>
      <c r="M280" s="1536"/>
      <c r="N280" s="475" t="s">
        <v>1689</v>
      </c>
      <c r="O280" s="475" t="s">
        <v>1690</v>
      </c>
      <c r="P280" s="475" t="s">
        <v>1691</v>
      </c>
      <c r="Q280" s="35"/>
      <c r="R280" s="1790" t="s">
        <v>2228</v>
      </c>
      <c r="S280" s="2035"/>
      <c r="T280" s="854" t="s">
        <v>1689</v>
      </c>
      <c r="U280" s="854" t="s">
        <v>1597</v>
      </c>
      <c r="V280" s="854" t="s">
        <v>1692</v>
      </c>
      <c r="W280" s="854" t="s">
        <v>1693</v>
      </c>
      <c r="X280" s="854" t="s">
        <v>1694</v>
      </c>
      <c r="Y280" s="19"/>
      <c r="Z280" s="854" t="s">
        <v>1695</v>
      </c>
      <c r="AA280" s="854" t="s">
        <v>1305</v>
      </c>
      <c r="AB280" s="854" t="s">
        <v>1307</v>
      </c>
      <c r="AC280" s="854" t="s">
        <v>1306</v>
      </c>
      <c r="AD280" s="854" t="s">
        <v>1307</v>
      </c>
      <c r="AE280" s="19" t="s">
        <v>1696</v>
      </c>
      <c r="AF280" s="888" t="s">
        <v>1307</v>
      </c>
      <c r="AG280" s="863" t="s">
        <v>1305</v>
      </c>
      <c r="AH280" s="863" t="s">
        <v>1306</v>
      </c>
      <c r="AI280" s="863" t="s">
        <v>1307</v>
      </c>
      <c r="AJ280" s="18"/>
      <c r="AK280" s="18"/>
      <c r="AL280" s="18"/>
      <c r="AM280" s="18"/>
      <c r="AN280" s="18"/>
      <c r="AO280" s="18"/>
      <c r="AP280" s="18"/>
      <c r="AQ280" s="18"/>
      <c r="AR280" s="18"/>
      <c r="AS280" s="18"/>
      <c r="AT280" s="18"/>
      <c r="AU280" s="18"/>
      <c r="AV280" s="18"/>
      <c r="AW280" s="18"/>
      <c r="AX280" s="18"/>
      <c r="AY280" s="18"/>
      <c r="AZ280" s="18"/>
      <c r="BA280" s="14"/>
      <c r="BB280" s="14"/>
      <c r="BC280" s="14"/>
      <c r="BD280" s="14"/>
      <c r="BE280" s="14"/>
      <c r="BF280" s="14"/>
      <c r="BG280" s="14"/>
      <c r="BH280" s="14"/>
      <c r="BI280" s="14"/>
      <c r="BJ280" s="14"/>
      <c r="BK280" s="14"/>
      <c r="BL280" s="14"/>
      <c r="BM280" s="14"/>
      <c r="BN280" s="14"/>
      <c r="BO280" s="14"/>
      <c r="BP280" s="14"/>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row>
    <row r="281" spans="1:142" s="63" customFormat="1" ht="15" customHeight="1" x14ac:dyDescent="0.2">
      <c r="A281" s="20"/>
      <c r="B281" s="1895"/>
      <c r="C281" s="1895"/>
      <c r="D281" s="1895"/>
      <c r="E281" s="476"/>
      <c r="F281" s="1536" t="s">
        <v>1697</v>
      </c>
      <c r="G281" s="1536"/>
      <c r="H281" s="1536"/>
      <c r="I281" s="1536"/>
      <c r="J281" s="1536"/>
      <c r="K281" s="1536"/>
      <c r="L281" s="1536"/>
      <c r="M281" s="88">
        <f>IF(S281=0,0,0.2)</f>
        <v>0</v>
      </c>
      <c r="N281" s="254"/>
      <c r="O281" s="254"/>
      <c r="P281" s="355" t="str">
        <f>IF(X281=0,"",X281)</f>
        <v/>
      </c>
      <c r="Q281" s="35"/>
      <c r="R281" s="745" t="b">
        <v>0</v>
      </c>
      <c r="S281" s="736">
        <f>IF(R281=TRUE,1,0)</f>
        <v>0</v>
      </c>
      <c r="T281" s="747">
        <f>SUMIF($T$278:$AH$278,N281,$T$279:$AH$279)</f>
        <v>0</v>
      </c>
      <c r="U281" s="747">
        <f>SUMIF($S$278:$AH$278,O281,$S$279:$AH$279)</f>
        <v>0</v>
      </c>
      <c r="V281" s="747">
        <f>M281*T281</f>
        <v>0</v>
      </c>
      <c r="W281" s="747">
        <f>M281*U281</f>
        <v>0</v>
      </c>
      <c r="X281" s="747">
        <f>(IF(V281-W281&lt;=0,0,V281-W281))</f>
        <v>0</v>
      </c>
      <c r="Y281" s="19"/>
      <c r="Z281" s="747">
        <f>IF(P303="",0,P303)</f>
        <v>0</v>
      </c>
      <c r="AA281" s="747">
        <f>LARGE($Z$281:$Z$284,1)</f>
        <v>0</v>
      </c>
      <c r="AB281" s="747">
        <f>ROUND(AA281,2)</f>
        <v>0</v>
      </c>
      <c r="AC281" s="684">
        <f>AB281+AB282*(1-AB281)</f>
        <v>0</v>
      </c>
      <c r="AD281" s="747">
        <f>ROUND(AC281,2)</f>
        <v>0</v>
      </c>
      <c r="AE281" s="747">
        <f>IF(P281="",0,P281)</f>
        <v>0</v>
      </c>
      <c r="AF281" s="749">
        <f t="shared" ref="AF281:AF293" si="15">ROUND(AE281,2)</f>
        <v>0</v>
      </c>
      <c r="AG281" s="869">
        <f>LARGE($AF$281:$AF$293,1)</f>
        <v>0</v>
      </c>
      <c r="AH281" s="684">
        <f>AG281+AG282*(1-AG281)</f>
        <v>0</v>
      </c>
      <c r="AI281" s="747">
        <f t="shared" ref="AI281:AI292" si="16">ROUND(AH281,2)</f>
        <v>0</v>
      </c>
      <c r="AJ281" s="18"/>
      <c r="AK281" s="18"/>
      <c r="AL281" s="18"/>
      <c r="AM281" s="18"/>
      <c r="AN281" s="18"/>
      <c r="AO281" s="18"/>
      <c r="AP281" s="18"/>
      <c r="AQ281" s="18"/>
      <c r="AR281" s="18"/>
      <c r="AS281" s="18"/>
      <c r="AT281" s="18"/>
      <c r="AU281" s="18"/>
      <c r="AV281" s="18"/>
      <c r="AW281" s="18"/>
      <c r="AX281" s="18"/>
      <c r="AY281" s="18"/>
      <c r="AZ281" s="18"/>
      <c r="BA281" s="14"/>
      <c r="BB281" s="14"/>
      <c r="BC281" s="14"/>
      <c r="BD281" s="14"/>
      <c r="BE281" s="14"/>
      <c r="BF281" s="14"/>
      <c r="BG281" s="14"/>
      <c r="BH281" s="14"/>
      <c r="BI281" s="14"/>
      <c r="BJ281" s="14"/>
      <c r="BK281" s="14"/>
      <c r="BL281" s="14"/>
      <c r="BM281" s="14"/>
      <c r="BN281" s="14"/>
      <c r="BO281" s="14"/>
      <c r="BP281" s="14"/>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row>
    <row r="282" spans="1:142" s="63" customFormat="1" ht="15" customHeight="1" x14ac:dyDescent="0.2">
      <c r="A282" s="35"/>
      <c r="B282" s="1895"/>
      <c r="C282" s="1895"/>
      <c r="D282" s="1895"/>
      <c r="E282" s="476"/>
      <c r="F282" s="1536" t="s">
        <v>1698</v>
      </c>
      <c r="G282" s="1536"/>
      <c r="H282" s="1536"/>
      <c r="I282" s="1536"/>
      <c r="J282" s="1536"/>
      <c r="K282" s="1536"/>
      <c r="L282" s="1536"/>
      <c r="M282" s="88">
        <f>IF(S282=0,0,0.2)</f>
        <v>0</v>
      </c>
      <c r="N282" s="254"/>
      <c r="O282" s="254"/>
      <c r="P282" s="355" t="str">
        <f>IF(X282=0,"",X282)</f>
        <v/>
      </c>
      <c r="Q282" s="35"/>
      <c r="R282" s="745" t="b">
        <v>0</v>
      </c>
      <c r="S282" s="736">
        <f>IF(R282=TRUE,1,0)</f>
        <v>0</v>
      </c>
      <c r="T282" s="747">
        <f>SUMIF($T$278:$AH$278,N282,$T$279:$AH$279)</f>
        <v>0</v>
      </c>
      <c r="U282" s="747">
        <f>SUMIF($S$278:$AH$278,O282,$S$279:$AH$279)</f>
        <v>0</v>
      </c>
      <c r="V282" s="747">
        <f>M282*T282</f>
        <v>0</v>
      </c>
      <c r="W282" s="747">
        <f>M282*U282</f>
        <v>0</v>
      </c>
      <c r="X282" s="747">
        <f>(IF(V282-W282&lt;=0,0,V282-W282))</f>
        <v>0</v>
      </c>
      <c r="Y282" s="19"/>
      <c r="Z282" s="747">
        <f>IF(P299="",0,P299)</f>
        <v>0</v>
      </c>
      <c r="AA282" s="747">
        <f>LARGE($Z$281:$Z$284,2)</f>
        <v>0</v>
      </c>
      <c r="AB282" s="747">
        <f>ROUND(AA282,2)</f>
        <v>0</v>
      </c>
      <c r="AC282" s="684">
        <f>AD281+AB283*(1-AD281)</f>
        <v>0</v>
      </c>
      <c r="AD282" s="747">
        <f>ROUND(AC282,2)</f>
        <v>0</v>
      </c>
      <c r="AE282" s="747">
        <f>IF(P282="",0,P282)</f>
        <v>0</v>
      </c>
      <c r="AF282" s="749">
        <f t="shared" si="15"/>
        <v>0</v>
      </c>
      <c r="AG282" s="869">
        <f>LARGE($AF$281:$AF$293,2)</f>
        <v>0</v>
      </c>
      <c r="AH282" s="684">
        <f t="shared" ref="AH282:AH292" si="17">AI281+AG283*(1-AI281)</f>
        <v>0</v>
      </c>
      <c r="AI282" s="747">
        <f t="shared" si="16"/>
        <v>0</v>
      </c>
      <c r="AJ282" s="18"/>
      <c r="AK282" s="18"/>
      <c r="AL282" s="18"/>
      <c r="AM282" s="18"/>
      <c r="AN282" s="18"/>
      <c r="AO282" s="18"/>
      <c r="AP282" s="18"/>
      <c r="AQ282" s="18"/>
      <c r="AR282" s="18"/>
      <c r="AS282" s="18"/>
      <c r="AT282" s="18"/>
      <c r="AU282" s="18"/>
      <c r="AV282" s="18"/>
      <c r="AW282" s="18"/>
      <c r="AX282" s="18"/>
      <c r="AY282" s="18"/>
      <c r="AZ282" s="18"/>
      <c r="BA282" s="14"/>
      <c r="BB282" s="14"/>
      <c r="BC282" s="14"/>
      <c r="BD282" s="14"/>
      <c r="BE282" s="14"/>
      <c r="BF282" s="14"/>
      <c r="BG282" s="14"/>
      <c r="BH282" s="14"/>
      <c r="BI282" s="14"/>
      <c r="BJ282" s="14"/>
      <c r="BK282" s="14"/>
      <c r="BL282" s="14"/>
      <c r="BM282" s="14"/>
      <c r="BN282" s="14"/>
      <c r="BO282" s="14"/>
      <c r="BP282" s="14"/>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row>
    <row r="283" spans="1:142" s="63" customFormat="1" ht="15" customHeight="1" x14ac:dyDescent="0.2">
      <c r="A283" s="35"/>
      <c r="B283" s="1895"/>
      <c r="C283" s="1895"/>
      <c r="D283" s="1895"/>
      <c r="E283" s="476"/>
      <c r="F283" s="1536" t="s">
        <v>1699</v>
      </c>
      <c r="G283" s="1536"/>
      <c r="H283" s="1536"/>
      <c r="I283" s="1536"/>
      <c r="J283" s="1536"/>
      <c r="K283" s="1536"/>
      <c r="L283" s="1536"/>
      <c r="M283" s="88">
        <f>IF(S283=0,0,0.34)</f>
        <v>0</v>
      </c>
      <c r="N283" s="254"/>
      <c r="O283" s="254"/>
      <c r="P283" s="355" t="str">
        <f>IF(X283=0,"",X283)</f>
        <v/>
      </c>
      <c r="Q283" s="35"/>
      <c r="R283" s="745" t="b">
        <v>0</v>
      </c>
      <c r="S283" s="736">
        <f>IF(R283=TRUE,1,0)</f>
        <v>0</v>
      </c>
      <c r="T283" s="747">
        <f>SUMIF($T$278:$AH$278,N283,$T$279:$AH$279)</f>
        <v>0</v>
      </c>
      <c r="U283" s="747">
        <f>SUMIF($S$278:$AH$278,O283,$S$279:$AH$279)</f>
        <v>0</v>
      </c>
      <c r="V283" s="747">
        <f>M283*T283</f>
        <v>0</v>
      </c>
      <c r="W283" s="747">
        <f>M283*U283</f>
        <v>0</v>
      </c>
      <c r="X283" s="747">
        <f>(IF(V283-W283&lt;=0,0,V283-W283))</f>
        <v>0</v>
      </c>
      <c r="Y283" s="19"/>
      <c r="Z283" s="747">
        <f>IF(Z297=2,0,P320)</f>
        <v>0</v>
      </c>
      <c r="AA283" s="747">
        <f>LARGE($Z$281:$Z$284,3)</f>
        <v>0</v>
      </c>
      <c r="AB283" s="747">
        <f>ROUND(AA283,2)</f>
        <v>0</v>
      </c>
      <c r="AC283" s="684">
        <f>AD282+AB284*(1-AD282)</f>
        <v>0</v>
      </c>
      <c r="AD283" s="747">
        <f>ROUND(AC283,2)</f>
        <v>0</v>
      </c>
      <c r="AE283" s="747">
        <f>IF(P283="",0,P283)</f>
        <v>0</v>
      </c>
      <c r="AF283" s="749">
        <f t="shared" si="15"/>
        <v>0</v>
      </c>
      <c r="AG283" s="869">
        <f>LARGE($AF$281:$AF$293,3)</f>
        <v>0</v>
      </c>
      <c r="AH283" s="684">
        <f t="shared" si="17"/>
        <v>0</v>
      </c>
      <c r="AI283" s="747">
        <f t="shared" si="16"/>
        <v>0</v>
      </c>
      <c r="AJ283" s="18"/>
      <c r="AK283" s="18">
        <v>1E-4</v>
      </c>
      <c r="AL283" s="18"/>
      <c r="AM283" s="18"/>
      <c r="AN283" s="18"/>
      <c r="AO283" s="18"/>
      <c r="AP283" s="18"/>
      <c r="AQ283" s="18"/>
      <c r="AR283" s="18"/>
      <c r="AS283" s="18"/>
      <c r="AT283" s="18"/>
      <c r="AU283" s="18"/>
      <c r="AV283" s="18"/>
      <c r="AW283" s="18"/>
      <c r="AX283" s="18"/>
      <c r="AY283" s="18"/>
      <c r="AZ283" s="18"/>
      <c r="BA283" s="14"/>
      <c r="BB283" s="14"/>
      <c r="BC283" s="14"/>
      <c r="BD283" s="14"/>
      <c r="BE283" s="14"/>
      <c r="BF283" s="14"/>
      <c r="BG283" s="14"/>
      <c r="BH283" s="14"/>
      <c r="BI283" s="14"/>
      <c r="BJ283" s="14"/>
      <c r="BK283" s="14"/>
      <c r="BL283" s="14"/>
      <c r="BM283" s="14"/>
      <c r="BN283" s="14"/>
      <c r="BO283" s="14"/>
      <c r="BP283" s="14"/>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row>
    <row r="284" spans="1:142" s="63" customFormat="1" ht="15" customHeight="1" x14ac:dyDescent="0.2">
      <c r="A284" s="35"/>
      <c r="B284" s="1895"/>
      <c r="C284" s="1895"/>
      <c r="D284" s="1895"/>
      <c r="E284" s="476"/>
      <c r="F284" s="1536" t="s">
        <v>1700</v>
      </c>
      <c r="G284" s="1536"/>
      <c r="H284" s="1536"/>
      <c r="I284" s="1536"/>
      <c r="J284" s="1536"/>
      <c r="K284" s="1536"/>
      <c r="L284" s="1536"/>
      <c r="M284" s="88">
        <f>IF(S284=0,0,0.37)</f>
        <v>0</v>
      </c>
      <c r="N284" s="254"/>
      <c r="O284" s="254"/>
      <c r="P284" s="355" t="str">
        <f>IF(X284=0,"",X284)</f>
        <v/>
      </c>
      <c r="Q284" s="35"/>
      <c r="R284" s="745" t="b">
        <v>0</v>
      </c>
      <c r="S284" s="736">
        <f>IF(R284=TRUE,1,0)</f>
        <v>0</v>
      </c>
      <c r="T284" s="747">
        <f>SUMIF($T$278:$AH$278,N284,$T$279:$AH$279)</f>
        <v>0</v>
      </c>
      <c r="U284" s="747">
        <f>SUMIF($S$278:$AH$278,O284,$S$279:$AH$279)</f>
        <v>0</v>
      </c>
      <c r="V284" s="747">
        <f>M284*T284</f>
        <v>0</v>
      </c>
      <c r="W284" s="747">
        <f>M284*U284</f>
        <v>0</v>
      </c>
      <c r="X284" s="747">
        <f>(IF(V284-W284&lt;=0,0,V284-W284))</f>
        <v>0</v>
      </c>
      <c r="Y284" s="19"/>
      <c r="Z284" s="747">
        <f>IF(Z297=2,0,IF(P318="",0,P318))</f>
        <v>0</v>
      </c>
      <c r="AA284" s="747">
        <f>LARGE($Z$281:$Z$284,4)</f>
        <v>0</v>
      </c>
      <c r="AB284" s="747">
        <f>ROUND(AA284,2)</f>
        <v>0</v>
      </c>
      <c r="AC284" s="19"/>
      <c r="AD284" s="19"/>
      <c r="AE284" s="747">
        <f>IF(P284="",0,P284)</f>
        <v>0</v>
      </c>
      <c r="AF284" s="749">
        <f t="shared" si="15"/>
        <v>0</v>
      </c>
      <c r="AG284" s="869">
        <f>LARGE($AF$281:$AF$293,4)</f>
        <v>0</v>
      </c>
      <c r="AH284" s="684">
        <f t="shared" si="17"/>
        <v>0</v>
      </c>
      <c r="AI284" s="747">
        <f t="shared" si="16"/>
        <v>0</v>
      </c>
      <c r="AJ284" s="18"/>
      <c r="AK284" s="18"/>
      <c r="AL284" s="18"/>
      <c r="AM284" s="18"/>
      <c r="AN284" s="18"/>
      <c r="AO284" s="18"/>
      <c r="AP284" s="18"/>
      <c r="AQ284" s="18"/>
      <c r="AR284" s="18"/>
      <c r="AS284" s="18"/>
      <c r="AT284" s="18"/>
      <c r="AU284" s="18"/>
      <c r="AV284" s="18"/>
      <c r="AW284" s="18"/>
      <c r="AX284" s="18"/>
      <c r="AY284" s="18"/>
      <c r="AZ284" s="18"/>
      <c r="BA284" s="14"/>
      <c r="BB284" s="14"/>
      <c r="BC284" s="14"/>
      <c r="BD284" s="14"/>
      <c r="BE284" s="14"/>
      <c r="BF284" s="14"/>
      <c r="BG284" s="14"/>
      <c r="BH284" s="14"/>
      <c r="BI284" s="14"/>
      <c r="BJ284" s="14"/>
      <c r="BK284" s="14"/>
      <c r="BL284" s="14"/>
      <c r="BM284" s="14"/>
      <c r="BN284" s="14"/>
      <c r="BO284" s="14"/>
      <c r="BP284" s="14"/>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row>
    <row r="285" spans="1:142" s="63" customFormat="1" ht="15" customHeight="1" x14ac:dyDescent="0.2">
      <c r="A285" s="35"/>
      <c r="B285" s="1895"/>
      <c r="C285" s="1895"/>
      <c r="D285" s="1895"/>
      <c r="E285" s="476"/>
      <c r="F285" s="1536" t="s">
        <v>1701</v>
      </c>
      <c r="G285" s="1536"/>
      <c r="H285" s="1536"/>
      <c r="I285" s="1536"/>
      <c r="J285" s="1536"/>
      <c r="K285" s="1536"/>
      <c r="L285" s="1536"/>
      <c r="M285" s="88">
        <f>IF(S285=0,0,0.2)</f>
        <v>0</v>
      </c>
      <c r="N285" s="254"/>
      <c r="O285" s="254"/>
      <c r="P285" s="355" t="str">
        <f>IF(X285=0,"",X285)</f>
        <v/>
      </c>
      <c r="Q285" s="35"/>
      <c r="R285" s="745" t="b">
        <v>0</v>
      </c>
      <c r="S285" s="736">
        <f>IF(R285=TRUE,1,0)</f>
        <v>0</v>
      </c>
      <c r="T285" s="747">
        <f>SUMIF($T$278:$AH$278,N285,$T$279:$AH$279)</f>
        <v>0</v>
      </c>
      <c r="U285" s="747">
        <f>SUMIF($S$278:$AH$278,O285,$S$279:$AH$279)</f>
        <v>0</v>
      </c>
      <c r="V285" s="747">
        <f>M285*T285</f>
        <v>0</v>
      </c>
      <c r="W285" s="747">
        <f>M285*U285</f>
        <v>0</v>
      </c>
      <c r="X285" s="747">
        <f>(IF(V285-W285&lt;=0,0,V285-W285))</f>
        <v>0</v>
      </c>
      <c r="Y285" s="19"/>
      <c r="Z285" s="18"/>
      <c r="AA285" s="19"/>
      <c r="AB285" s="19"/>
      <c r="AC285" s="19"/>
      <c r="AD285" s="19"/>
      <c r="AE285" s="747">
        <f>IF(P285="",0,P285)</f>
        <v>0</v>
      </c>
      <c r="AF285" s="749">
        <f t="shared" si="15"/>
        <v>0</v>
      </c>
      <c r="AG285" s="869">
        <f>LARGE($AF$281:$AF$293,5)</f>
        <v>0</v>
      </c>
      <c r="AH285" s="684">
        <f t="shared" si="17"/>
        <v>0</v>
      </c>
      <c r="AI285" s="747">
        <f t="shared" si="16"/>
        <v>0</v>
      </c>
      <c r="AJ285" s="18"/>
      <c r="AK285" s="18"/>
      <c r="AL285" s="18"/>
      <c r="AM285" s="18"/>
      <c r="AN285" s="18"/>
      <c r="AO285" s="18"/>
      <c r="AP285" s="18"/>
      <c r="AQ285" s="18"/>
      <c r="AR285" s="18"/>
      <c r="AS285" s="18"/>
      <c r="AT285" s="18"/>
      <c r="AU285" s="18"/>
      <c r="AV285" s="18"/>
      <c r="AW285" s="18"/>
      <c r="AX285" s="18"/>
      <c r="AY285" s="18"/>
      <c r="AZ285" s="18"/>
      <c r="BA285" s="14"/>
      <c r="BB285" s="14"/>
      <c r="BC285" s="14"/>
      <c r="BD285" s="14"/>
      <c r="BE285" s="14"/>
      <c r="BF285" s="14"/>
      <c r="BG285" s="14"/>
      <c r="BH285" s="14"/>
      <c r="BI285" s="14"/>
      <c r="BJ285" s="14"/>
      <c r="BK285" s="14"/>
      <c r="BL285" s="14"/>
      <c r="BM285" s="14"/>
      <c r="BN285" s="14"/>
      <c r="BO285" s="14"/>
      <c r="BP285" s="14"/>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row>
    <row r="286" spans="1:142" s="63" customFormat="1" ht="18" customHeight="1" x14ac:dyDescent="0.2">
      <c r="A286" s="35"/>
      <c r="B286" s="1665" t="s">
        <v>1702</v>
      </c>
      <c r="C286" s="1665"/>
      <c r="D286" s="1665"/>
      <c r="E286" s="1591"/>
      <c r="F286" s="1591"/>
      <c r="G286" s="1591"/>
      <c r="H286" s="1591"/>
      <c r="I286" s="1591"/>
      <c r="J286" s="1591"/>
      <c r="K286" s="1591"/>
      <c r="L286" s="1591"/>
      <c r="M286" s="477"/>
      <c r="N286" s="475"/>
      <c r="O286" s="475"/>
      <c r="P286" s="475"/>
      <c r="Q286" s="3"/>
      <c r="R286" s="157"/>
      <c r="S286" s="116"/>
      <c r="T286" s="869" t="s">
        <v>1689</v>
      </c>
      <c r="U286" s="869" t="s">
        <v>1597</v>
      </c>
      <c r="V286" s="869" t="s">
        <v>1692</v>
      </c>
      <c r="W286" s="869" t="s">
        <v>1693</v>
      </c>
      <c r="X286" s="869" t="s">
        <v>1694</v>
      </c>
      <c r="Y286" s="19"/>
      <c r="Z286" s="18"/>
      <c r="AA286" s="19"/>
      <c r="AB286" s="19"/>
      <c r="AC286" s="19"/>
      <c r="AD286" s="19"/>
      <c r="AE286" s="747">
        <f>P292</f>
        <v>0</v>
      </c>
      <c r="AF286" s="749">
        <f t="shared" si="15"/>
        <v>0</v>
      </c>
      <c r="AG286" s="869">
        <f>LARGE($AF$281:$AF$293,6)</f>
        <v>0</v>
      </c>
      <c r="AH286" s="684">
        <f t="shared" si="17"/>
        <v>0</v>
      </c>
      <c r="AI286" s="747">
        <f t="shared" si="16"/>
        <v>0</v>
      </c>
      <c r="AJ286" s="18"/>
      <c r="AK286" s="18"/>
      <c r="AL286" s="18"/>
      <c r="AM286" s="18"/>
      <c r="AN286" s="18"/>
      <c r="AO286" s="18"/>
      <c r="AP286" s="18"/>
      <c r="AQ286" s="18"/>
      <c r="AR286" s="18"/>
      <c r="AS286" s="18"/>
      <c r="AT286" s="18"/>
      <c r="AU286" s="18"/>
      <c r="AV286" s="18"/>
      <c r="AW286" s="18"/>
      <c r="AX286" s="18"/>
      <c r="AY286" s="18"/>
      <c r="AZ286" s="18"/>
      <c r="BA286" s="14"/>
      <c r="BB286" s="14"/>
      <c r="BC286" s="14"/>
      <c r="BD286" s="14"/>
      <c r="BE286" s="14"/>
      <c r="BF286" s="14"/>
      <c r="BG286" s="14"/>
      <c r="BH286" s="14"/>
      <c r="BI286" s="14"/>
      <c r="BJ286" s="14"/>
      <c r="BK286" s="14"/>
      <c r="BL286" s="14"/>
      <c r="BM286" s="14"/>
      <c r="BN286" s="14"/>
      <c r="BO286" s="14"/>
      <c r="BP286" s="14"/>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row>
    <row r="287" spans="1:142" s="63" customFormat="1" ht="27" customHeight="1" x14ac:dyDescent="0.2">
      <c r="A287" s="3"/>
      <c r="B287" s="551" t="s">
        <v>1703</v>
      </c>
      <c r="C287" s="568"/>
      <c r="D287" s="552"/>
      <c r="E287" s="323"/>
      <c r="F287" s="1837" t="str">
        <f>IF(Z295=1,"","Sciatic nerve; overall loss at level shown; no averaging")</f>
        <v>Sciatic nerve; overall loss at level shown; no averaging</v>
      </c>
      <c r="G287" s="1837"/>
      <c r="H287" s="1837"/>
      <c r="I287" s="1837"/>
      <c r="J287" s="1837"/>
      <c r="K287" s="1837"/>
      <c r="L287" s="1837"/>
      <c r="M287" s="88">
        <f>IF(OR(F287="",S287=0),0,IF($Z$295=2,0.75,IF($Z$295=3,0.4,0)))</f>
        <v>0</v>
      </c>
      <c r="N287" s="254"/>
      <c r="O287" s="254"/>
      <c r="P287" s="355" t="str">
        <f>IF(X287=0,"",X287)</f>
        <v/>
      </c>
      <c r="Q287" s="35"/>
      <c r="R287" s="686" t="b">
        <v>0</v>
      </c>
      <c r="S287" s="736">
        <f>IF(R287=TRUE,1,0)</f>
        <v>0</v>
      </c>
      <c r="T287" s="747">
        <f>SUMIF($T$278:$AH$278,N287,$T$279:$AH$279)</f>
        <v>0</v>
      </c>
      <c r="U287" s="747">
        <f>SUMIF($S$278:$AH$278,O287,$S$279:$AH$279)</f>
        <v>0</v>
      </c>
      <c r="V287" s="747">
        <f>M287*T287</f>
        <v>0</v>
      </c>
      <c r="W287" s="747">
        <f>M287*U287</f>
        <v>0</v>
      </c>
      <c r="X287" s="747">
        <f>(IF(V287-W287&lt;=0,0,V287-W287))</f>
        <v>0</v>
      </c>
      <c r="Y287" s="18"/>
      <c r="Z287" s="18"/>
      <c r="AA287" s="18"/>
      <c r="AB287" s="18"/>
      <c r="AC287" s="18"/>
      <c r="AD287" s="18"/>
      <c r="AE287" s="750">
        <f>IF(P320="",0,IF(Z297=2,P320,0))</f>
        <v>0</v>
      </c>
      <c r="AF287" s="749">
        <f t="shared" si="15"/>
        <v>0</v>
      </c>
      <c r="AG287" s="869">
        <f>LARGE($AF$281:$AF$293,7)</f>
        <v>0</v>
      </c>
      <c r="AH287" s="684">
        <f t="shared" si="17"/>
        <v>0</v>
      </c>
      <c r="AI287" s="747">
        <f t="shared" si="16"/>
        <v>0</v>
      </c>
      <c r="AJ287" s="18"/>
      <c r="AK287" s="18"/>
      <c r="AL287" s="18"/>
      <c r="AM287" s="18"/>
      <c r="AN287" s="18"/>
      <c r="AO287" s="18"/>
      <c r="AP287" s="18"/>
      <c r="AQ287" s="18"/>
      <c r="AR287" s="18"/>
      <c r="AS287" s="18"/>
      <c r="AT287" s="18"/>
      <c r="AU287" s="18"/>
      <c r="AV287" s="18"/>
      <c r="AW287" s="18"/>
      <c r="AX287" s="18"/>
      <c r="AY287" s="18"/>
      <c r="AZ287" s="18"/>
      <c r="BA287" s="14"/>
      <c r="BB287" s="14"/>
      <c r="BC287" s="14"/>
      <c r="BD287" s="14"/>
      <c r="BE287" s="14"/>
      <c r="BF287" s="14"/>
      <c r="BG287" s="14"/>
      <c r="BH287" s="14"/>
      <c r="BI287" s="14"/>
      <c r="BJ287" s="14"/>
      <c r="BK287" s="14"/>
      <c r="BL287" s="14"/>
      <c r="BM287" s="14"/>
      <c r="BN287" s="14"/>
      <c r="BO287" s="14"/>
      <c r="BP287" s="14"/>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row>
    <row r="288" spans="1:142" s="63" customFormat="1" ht="15" customHeight="1" x14ac:dyDescent="0.2">
      <c r="A288" s="3"/>
      <c r="B288" s="566"/>
      <c r="C288" s="167"/>
      <c r="D288" s="569"/>
      <c r="E288" s="567"/>
      <c r="F288" s="1410" t="str">
        <f>IF(OR(Z295=1,S287=1),"","Biceps femoris (long head)")</f>
        <v>Biceps femoris (long head)</v>
      </c>
      <c r="G288" s="1410"/>
      <c r="H288" s="1410"/>
      <c r="I288" s="1410"/>
      <c r="J288" s="1410"/>
      <c r="K288" s="1410"/>
      <c r="L288" s="1410"/>
      <c r="M288" s="88">
        <f>IF(OR(F288="",S288=0),0,IF($Z$295=2,0.75,IF($Z$295=3,0.4,0)))</f>
        <v>0</v>
      </c>
      <c r="N288" s="254"/>
      <c r="O288" s="254"/>
      <c r="P288" s="355" t="str">
        <f>IF(X288=0,"",X288)</f>
        <v/>
      </c>
      <c r="Q288" s="35"/>
      <c r="R288" s="686" t="b">
        <v>0</v>
      </c>
      <c r="S288" s="736">
        <f>IF(R288=TRUE,1,0)</f>
        <v>0</v>
      </c>
      <c r="T288" s="747">
        <f>SUMIF($T$278:$AH$278,N288,$T$279:$AH$279)</f>
        <v>0</v>
      </c>
      <c r="U288" s="747">
        <f>SUMIF($S$278:$AH$278,O288,$S$279:$AH$279)</f>
        <v>0</v>
      </c>
      <c r="V288" s="747">
        <f>M288*T288</f>
        <v>0</v>
      </c>
      <c r="W288" s="747">
        <f>M288*U288</f>
        <v>0</v>
      </c>
      <c r="X288" s="747">
        <f>(IF(V288-W288&lt;=0,0,V288-W288))</f>
        <v>0</v>
      </c>
      <c r="Y288" s="158"/>
      <c r="Z288" s="18"/>
      <c r="AA288" s="158"/>
      <c r="AB288" s="158"/>
      <c r="AC288" s="18"/>
      <c r="AD288" s="158"/>
      <c r="AE288" s="750">
        <f>IF(P318="",0,IF(Z297=2,P318,0))</f>
        <v>0</v>
      </c>
      <c r="AF288" s="749">
        <f t="shared" si="15"/>
        <v>0</v>
      </c>
      <c r="AG288" s="869">
        <f>LARGE($AF$281:$AF$293,8)</f>
        <v>0</v>
      </c>
      <c r="AH288" s="684">
        <f t="shared" si="17"/>
        <v>0</v>
      </c>
      <c r="AI288" s="747">
        <f t="shared" si="16"/>
        <v>0</v>
      </c>
      <c r="AJ288" s="18"/>
      <c r="AK288" s="18"/>
      <c r="AL288" s="18"/>
      <c r="AM288" s="18"/>
      <c r="AN288" s="18"/>
      <c r="AO288" s="18"/>
      <c r="AP288" s="18"/>
      <c r="AQ288" s="18"/>
      <c r="AR288" s="18"/>
      <c r="AS288" s="18"/>
      <c r="AT288" s="18"/>
      <c r="AU288" s="18"/>
      <c r="AV288" s="18"/>
      <c r="AW288" s="18"/>
      <c r="AX288" s="18"/>
      <c r="AY288" s="18"/>
      <c r="AZ288" s="18"/>
      <c r="BA288" s="14"/>
      <c r="BB288" s="14"/>
      <c r="BC288" s="14"/>
      <c r="BD288" s="14"/>
      <c r="BE288" s="14"/>
      <c r="BF288" s="14"/>
      <c r="BG288" s="14"/>
      <c r="BH288" s="14"/>
      <c r="BI288" s="14"/>
      <c r="BJ288" s="14"/>
      <c r="BK288" s="14"/>
      <c r="BL288" s="14"/>
      <c r="BM288" s="14"/>
      <c r="BN288" s="14"/>
      <c r="BO288" s="14"/>
      <c r="BP288" s="14"/>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row>
    <row r="289" spans="1:142" s="63" customFormat="1" ht="15" customHeight="1" x14ac:dyDescent="0.2">
      <c r="A289" s="3"/>
      <c r="B289" s="566"/>
      <c r="C289" s="167"/>
      <c r="D289" s="569"/>
      <c r="E289" s="567"/>
      <c r="F289" s="1410" t="str">
        <f>IF(OR(S287=1,Z295=1),"","Biceps femoris (short head)")</f>
        <v>Biceps femoris (short head)</v>
      </c>
      <c r="G289" s="1410"/>
      <c r="H289" s="1410"/>
      <c r="I289" s="1410"/>
      <c r="J289" s="1410"/>
      <c r="K289" s="1410"/>
      <c r="L289" s="1410"/>
      <c r="M289" s="88">
        <f>IF(OR(F289="",S289=0),0,IF($Z$295=2,0.75,IF($Z$295=3,0.4,0)))</f>
        <v>0</v>
      </c>
      <c r="N289" s="254"/>
      <c r="O289" s="254"/>
      <c r="P289" s="355" t="str">
        <f>IF(X289=0,"",X289)</f>
        <v/>
      </c>
      <c r="Q289" s="35"/>
      <c r="R289" s="686" t="b">
        <v>0</v>
      </c>
      <c r="S289" s="736">
        <f>IF(R289=TRUE,1,0)</f>
        <v>0</v>
      </c>
      <c r="T289" s="747">
        <f>SUMIF($T$278:$AH$278,N289,$T$279:$AH$279)</f>
        <v>0</v>
      </c>
      <c r="U289" s="747">
        <f>SUMIF($S$278:$AH$278,O289,$S$279:$AH$279)</f>
        <v>0</v>
      </c>
      <c r="V289" s="747">
        <f>M289*T289</f>
        <v>0</v>
      </c>
      <c r="W289" s="747">
        <f>M289*U289</f>
        <v>0</v>
      </c>
      <c r="X289" s="747">
        <f>(IF(V289-W289&lt;=0,0,V289-W289))</f>
        <v>0</v>
      </c>
      <c r="Y289" s="116"/>
      <c r="Z289" s="18"/>
      <c r="AA289" s="116"/>
      <c r="AB289" s="116"/>
      <c r="AC289" s="116"/>
      <c r="AD289" s="116"/>
      <c r="AE289" s="684">
        <f>P328</f>
        <v>0</v>
      </c>
      <c r="AF289" s="749">
        <f t="shared" si="15"/>
        <v>0</v>
      </c>
      <c r="AG289" s="869">
        <f>LARGE($AF$281:$AF$293,9)</f>
        <v>0</v>
      </c>
      <c r="AH289" s="684">
        <f t="shared" si="17"/>
        <v>0</v>
      </c>
      <c r="AI289" s="747">
        <f t="shared" si="16"/>
        <v>0</v>
      </c>
      <c r="AJ289" s="172"/>
      <c r="AK289" s="172"/>
      <c r="AL289" s="116"/>
      <c r="AM289" s="18"/>
      <c r="AN289" s="18"/>
      <c r="AO289" s="18"/>
      <c r="AP289" s="18"/>
      <c r="AQ289" s="18"/>
      <c r="AR289" s="18"/>
      <c r="AS289" s="18"/>
      <c r="AT289" s="18"/>
      <c r="AU289" s="18"/>
      <c r="AV289" s="18"/>
      <c r="AW289" s="18"/>
      <c r="AX289" s="18"/>
      <c r="AY289" s="18"/>
      <c r="AZ289" s="18"/>
      <c r="BA289" s="14"/>
      <c r="BB289" s="14"/>
      <c r="BC289" s="14"/>
      <c r="BD289" s="14"/>
      <c r="BE289" s="14"/>
      <c r="BF289" s="14"/>
      <c r="BG289" s="14"/>
      <c r="BH289" s="14"/>
      <c r="BI289" s="14"/>
      <c r="BJ289" s="14"/>
      <c r="BK289" s="14"/>
      <c r="BL289" s="14"/>
      <c r="BM289" s="14"/>
      <c r="BN289" s="14"/>
      <c r="BO289" s="14"/>
      <c r="BP289" s="14"/>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row>
    <row r="290" spans="1:142" s="63" customFormat="1" ht="15" customHeight="1" x14ac:dyDescent="0.2">
      <c r="A290" s="3"/>
      <c r="B290" s="566"/>
      <c r="C290" s="167"/>
      <c r="D290" s="569"/>
      <c r="E290" s="567"/>
      <c r="F290" s="1410" t="str">
        <f>IF(OR(Z295=1,S287=1),"","Semitendinosus")</f>
        <v>Semitendinosus</v>
      </c>
      <c r="G290" s="1410"/>
      <c r="H290" s="1410"/>
      <c r="I290" s="1410"/>
      <c r="J290" s="1410"/>
      <c r="K290" s="1410"/>
      <c r="L290" s="1410"/>
      <c r="M290" s="88">
        <f>IF(OR(F290="",S290=0),0,IF($Z$295=2,0.75,IF($Z$295=3,0.4,0)))</f>
        <v>0</v>
      </c>
      <c r="N290" s="254"/>
      <c r="O290" s="254"/>
      <c r="P290" s="355" t="str">
        <f>IF(X290=0,"",X290)</f>
        <v/>
      </c>
      <c r="Q290" s="35"/>
      <c r="R290" s="686" t="b">
        <v>0</v>
      </c>
      <c r="S290" s="736">
        <f>IF(R290=TRUE,1,0)</f>
        <v>0</v>
      </c>
      <c r="T290" s="747">
        <f>SUMIF($T$278:$AH$278,N290,$T$279:$AH$279)</f>
        <v>0</v>
      </c>
      <c r="U290" s="747">
        <f>SUMIF($S$278:$AH$278,O290,$S$279:$AH$279)</f>
        <v>0</v>
      </c>
      <c r="V290" s="747">
        <f>M290*T290</f>
        <v>0</v>
      </c>
      <c r="W290" s="747">
        <f>M290*U290</f>
        <v>0</v>
      </c>
      <c r="X290" s="747">
        <f>(IF(V290-W290&lt;=0,0,V290-W290))</f>
        <v>0</v>
      </c>
      <c r="Y290" s="19"/>
      <c r="Z290" s="18"/>
      <c r="AA290" s="19"/>
      <c r="AB290" s="19"/>
      <c r="AC290" s="19"/>
      <c r="AD290" s="19"/>
      <c r="AE290" s="747">
        <f>P329</f>
        <v>0</v>
      </c>
      <c r="AF290" s="749">
        <f t="shared" si="15"/>
        <v>0</v>
      </c>
      <c r="AG290" s="869">
        <f>LARGE($AF$281:$AF$293,10)</f>
        <v>0</v>
      </c>
      <c r="AH290" s="684">
        <f t="shared" si="17"/>
        <v>0</v>
      </c>
      <c r="AI290" s="747">
        <f t="shared" si="16"/>
        <v>0</v>
      </c>
      <c r="AJ290" s="19"/>
      <c r="AK290" s="19"/>
      <c r="AL290" s="19"/>
      <c r="AM290" s="18"/>
      <c r="AN290" s="18"/>
      <c r="AO290" s="18"/>
      <c r="AP290" s="18"/>
      <c r="AQ290" s="18"/>
      <c r="AR290" s="18"/>
      <c r="AS290" s="18"/>
      <c r="AT290" s="18"/>
      <c r="AU290" s="18"/>
      <c r="AV290" s="18"/>
      <c r="AW290" s="18"/>
      <c r="AX290" s="18"/>
      <c r="AY290" s="18"/>
      <c r="AZ290" s="18"/>
      <c r="BA290" s="14"/>
      <c r="BB290" s="14"/>
      <c r="BC290" s="14"/>
      <c r="BD290" s="14"/>
      <c r="BE290" s="14"/>
      <c r="BF290" s="14"/>
      <c r="BG290" s="14"/>
      <c r="BH290" s="14"/>
      <c r="BI290" s="14"/>
      <c r="BJ290" s="14"/>
      <c r="BK290" s="14"/>
      <c r="BL290" s="14"/>
      <c r="BM290" s="14"/>
      <c r="BN290" s="14"/>
      <c r="BO290" s="14"/>
      <c r="BP290" s="14"/>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row>
    <row r="291" spans="1:142" s="63" customFormat="1" ht="15" customHeight="1" x14ac:dyDescent="0.2">
      <c r="A291" s="3"/>
      <c r="B291" s="553"/>
      <c r="C291" s="331"/>
      <c r="D291" s="554"/>
      <c r="E291" s="567"/>
      <c r="F291" s="1410" t="str">
        <f>IF(OR(Z295=1,S287=1),"","Semimembranosus")</f>
        <v>Semimembranosus</v>
      </c>
      <c r="G291" s="1410"/>
      <c r="H291" s="1410"/>
      <c r="I291" s="1410"/>
      <c r="J291" s="1410"/>
      <c r="K291" s="1410"/>
      <c r="L291" s="1410"/>
      <c r="M291" s="88">
        <f>IF(OR(F291="",S291=0),0,IF($Z$295=2,0.75,IF($Z$295=3,0.4,0)))</f>
        <v>0</v>
      </c>
      <c r="N291" s="254"/>
      <c r="O291" s="254"/>
      <c r="P291" s="355" t="str">
        <f>IF(X291=0,"",X291)</f>
        <v/>
      </c>
      <c r="Q291" s="35"/>
      <c r="R291" s="686" t="b">
        <v>0</v>
      </c>
      <c r="S291" s="736">
        <f>IF(R291=TRUE,1,0)</f>
        <v>0</v>
      </c>
      <c r="T291" s="747">
        <f>SUMIF($T$278:$AH$278,N291,$T$279:$AH$279)</f>
        <v>0</v>
      </c>
      <c r="U291" s="747">
        <f>SUMIF($S$278:$AH$278,O291,$S$279:$AH$279)</f>
        <v>0</v>
      </c>
      <c r="V291" s="747">
        <f>M291*T291</f>
        <v>0</v>
      </c>
      <c r="W291" s="747">
        <f>M291*U291</f>
        <v>0</v>
      </c>
      <c r="X291" s="747">
        <f>(IF(V291-W291&lt;=0,0,V291-W291))</f>
        <v>0</v>
      </c>
      <c r="Y291" s="19"/>
      <c r="Z291" s="19"/>
      <c r="AA291" s="19"/>
      <c r="AB291" s="19"/>
      <c r="AC291" s="19"/>
      <c r="AD291" s="19"/>
      <c r="AE291" s="747">
        <f>P330</f>
        <v>0</v>
      </c>
      <c r="AF291" s="749">
        <f t="shared" si="15"/>
        <v>0</v>
      </c>
      <c r="AG291" s="869">
        <f>LARGE($AF$281:$AF$293,11)</f>
        <v>0</v>
      </c>
      <c r="AH291" s="684">
        <f t="shared" si="17"/>
        <v>0</v>
      </c>
      <c r="AI291" s="747">
        <f t="shared" si="16"/>
        <v>0</v>
      </c>
      <c r="AJ291" s="19"/>
      <c r="AK291" s="18"/>
      <c r="AL291" s="19"/>
      <c r="AM291" s="18"/>
      <c r="AN291" s="18"/>
      <c r="AO291" s="18"/>
      <c r="AP291" s="18"/>
      <c r="AQ291" s="18"/>
      <c r="AR291" s="18"/>
      <c r="AS291" s="18"/>
      <c r="AT291" s="18"/>
      <c r="AU291" s="18"/>
      <c r="AV291" s="18"/>
      <c r="AW291" s="18"/>
      <c r="AX291" s="18"/>
      <c r="AY291" s="18"/>
      <c r="AZ291" s="18"/>
      <c r="BA291" s="14"/>
      <c r="BB291" s="14"/>
      <c r="BC291" s="14"/>
      <c r="BD291" s="14"/>
      <c r="BE291" s="14"/>
      <c r="BF291" s="14"/>
      <c r="BG291" s="14"/>
      <c r="BH291" s="14"/>
      <c r="BI291" s="14"/>
      <c r="BJ291" s="14"/>
      <c r="BK291" s="14"/>
      <c r="BL291" s="14"/>
      <c r="BM291" s="14"/>
      <c r="BN291" s="14"/>
      <c r="BO291" s="14"/>
      <c r="BP291" s="14"/>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row>
    <row r="292" spans="1:142" s="63" customFormat="1" ht="18" customHeight="1" x14ac:dyDescent="0.25">
      <c r="A292" s="3"/>
      <c r="B292" s="2029"/>
      <c r="C292" s="2029"/>
      <c r="D292" s="2029"/>
      <c r="E292" s="1909"/>
      <c r="F292" s="1909"/>
      <c r="G292" s="1909"/>
      <c r="H292" s="1909"/>
      <c r="I292" s="1909"/>
      <c r="J292" s="1909"/>
      <c r="K292" s="1909"/>
      <c r="L292" s="1909"/>
      <c r="M292" s="478"/>
      <c r="N292" s="1855" t="str">
        <f>IF(M287&gt;0,"Total:",IF(AND(M287=0,P292&gt;0),"Average:",""))</f>
        <v/>
      </c>
      <c r="O292" s="1855"/>
      <c r="P292" s="240">
        <f>IF(AND(P287="",P288="",P289="",P290="",P291=""),0,AVERAGE(P287:P291))</f>
        <v>0</v>
      </c>
      <c r="Q292" s="35"/>
      <c r="R292" s="18"/>
      <c r="S292" s="116"/>
      <c r="T292" s="869" t="s">
        <v>1689</v>
      </c>
      <c r="U292" s="869" t="s">
        <v>1597</v>
      </c>
      <c r="V292" s="869" t="s">
        <v>1692</v>
      </c>
      <c r="W292" s="869" t="s">
        <v>1693</v>
      </c>
      <c r="X292" s="869" t="s">
        <v>1694</v>
      </c>
      <c r="Y292" s="19"/>
      <c r="Z292" s="19"/>
      <c r="AA292" s="19"/>
      <c r="AB292" s="19"/>
      <c r="AC292" s="19"/>
      <c r="AD292" s="19"/>
      <c r="AE292" s="747">
        <f>P335</f>
        <v>0</v>
      </c>
      <c r="AF292" s="749">
        <f t="shared" si="15"/>
        <v>0</v>
      </c>
      <c r="AG292" s="869">
        <f>LARGE($AF$281:$AF$293,12)</f>
        <v>0</v>
      </c>
      <c r="AH292" s="684">
        <f t="shared" si="17"/>
        <v>0</v>
      </c>
      <c r="AI292" s="747">
        <f t="shared" si="16"/>
        <v>0</v>
      </c>
      <c r="AJ292" s="19"/>
      <c r="AK292" s="18"/>
      <c r="AL292" s="19"/>
      <c r="AM292" s="18"/>
      <c r="AN292" s="18"/>
      <c r="AO292" s="18"/>
      <c r="AP292" s="18"/>
      <c r="AQ292" s="18"/>
      <c r="AR292" s="18"/>
      <c r="AS292" s="18"/>
      <c r="AT292" s="18"/>
      <c r="AU292" s="18"/>
      <c r="AV292" s="18"/>
      <c r="AW292" s="18"/>
      <c r="AX292" s="18"/>
      <c r="AY292" s="18"/>
      <c r="AZ292" s="18"/>
      <c r="BA292" s="14"/>
      <c r="BB292" s="14"/>
      <c r="BC292" s="14"/>
      <c r="BD292" s="14"/>
      <c r="BE292" s="14"/>
      <c r="BF292" s="14"/>
      <c r="BG292" s="14"/>
      <c r="BH292" s="14"/>
      <c r="BI292" s="14"/>
      <c r="BJ292" s="14"/>
      <c r="BK292" s="14"/>
      <c r="BL292" s="14"/>
      <c r="BM292" s="14"/>
      <c r="BN292" s="14"/>
      <c r="BO292" s="14"/>
      <c r="BP292" s="14"/>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row>
    <row r="293" spans="1:142" s="63" customFormat="1" ht="27" customHeight="1" x14ac:dyDescent="0.2">
      <c r="A293" s="3"/>
      <c r="B293" s="1906" t="s">
        <v>981</v>
      </c>
      <c r="C293" s="1906"/>
      <c r="D293" s="1906"/>
      <c r="E293" s="454"/>
      <c r="F293" s="1837" t="str">
        <f>IF(OR(Z296=1,Z296=7),"","Peroneal - overall loss at level shown")</f>
        <v/>
      </c>
      <c r="G293" s="1837"/>
      <c r="H293" s="1837"/>
      <c r="I293" s="1837"/>
      <c r="J293" s="1837"/>
      <c r="K293" s="1837"/>
      <c r="L293" s="1837"/>
      <c r="M293" s="88">
        <f t="shared" ref="M293:M298" si="18">IF(OR(F293="",S293=0),0,IF($Z$296=2,0.39,IF(OR($Z$296=3,$Z$296=4),0.28,IF(OR($Z$296=5,$Z$296=6),0.06,0))))</f>
        <v>0</v>
      </c>
      <c r="N293" s="254"/>
      <c r="O293" s="254"/>
      <c r="P293" s="355" t="str">
        <f t="shared" ref="P293:P298" si="19">IF(X293=0,"",X293)</f>
        <v/>
      </c>
      <c r="Q293" s="35"/>
      <c r="R293" s="686" t="b">
        <v>0</v>
      </c>
      <c r="S293" s="736">
        <f t="shared" ref="S293:S298" si="20">IF(R293=TRUE,1,0)</f>
        <v>0</v>
      </c>
      <c r="T293" s="747">
        <f t="shared" ref="T293:T298" si="21">SUMIF($T$278:$AH$278,N293,$T$279:$AH$279)</f>
        <v>0</v>
      </c>
      <c r="U293" s="747">
        <f t="shared" ref="U293:U298" si="22">SUMIF($S$278:$AH$278,O293,$S$279:$AH$279)</f>
        <v>0</v>
      </c>
      <c r="V293" s="747">
        <f t="shared" ref="V293:V298" si="23">M293*T293</f>
        <v>0</v>
      </c>
      <c r="W293" s="747">
        <f t="shared" ref="W293:W298" si="24">M293*U293</f>
        <v>0</v>
      </c>
      <c r="X293" s="747">
        <f t="shared" ref="X293:X298" si="25">(IF(V293-W293&lt;=0,0,V293-W293))</f>
        <v>0</v>
      </c>
      <c r="Y293" s="19"/>
      <c r="Z293" s="19"/>
      <c r="AA293" s="19"/>
      <c r="AB293" s="19"/>
      <c r="AC293" s="19"/>
      <c r="AD293" s="19"/>
      <c r="AE293" s="747">
        <f>P336</f>
        <v>0</v>
      </c>
      <c r="AF293" s="749">
        <f t="shared" si="15"/>
        <v>0</v>
      </c>
      <c r="AG293" s="869">
        <f>LARGE($AF$281:$AF$293,13)</f>
        <v>0</v>
      </c>
      <c r="AH293" s="18"/>
      <c r="AI293" s="18"/>
      <c r="AJ293" s="19"/>
      <c r="AK293" s="18"/>
      <c r="AL293" s="19"/>
      <c r="AM293" s="18"/>
      <c r="AN293" s="18"/>
      <c r="AO293" s="18"/>
      <c r="AP293" s="18"/>
      <c r="AQ293" s="18"/>
      <c r="AR293" s="18"/>
      <c r="AS293" s="18"/>
      <c r="AT293" s="18"/>
      <c r="AU293" s="18"/>
      <c r="AV293" s="18"/>
      <c r="AW293" s="18"/>
      <c r="AX293" s="18"/>
      <c r="AY293" s="18"/>
      <c r="AZ293" s="18"/>
      <c r="BA293" s="14"/>
      <c r="BB293" s="14"/>
      <c r="BC293" s="14"/>
      <c r="BD293" s="14"/>
      <c r="BE293" s="14"/>
      <c r="BF293" s="14"/>
      <c r="BG293" s="14"/>
      <c r="BH293" s="14"/>
      <c r="BI293" s="14"/>
      <c r="BJ293" s="14"/>
      <c r="BK293" s="14"/>
      <c r="BL293" s="14"/>
      <c r="BM293" s="14"/>
      <c r="BN293" s="14"/>
      <c r="BO293" s="14"/>
      <c r="BP293" s="14"/>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row>
    <row r="294" spans="1:142" s="63" customFormat="1" ht="15" customHeight="1" x14ac:dyDescent="0.2">
      <c r="A294" s="3"/>
      <c r="B294" s="1906"/>
      <c r="C294" s="1906"/>
      <c r="D294" s="1906"/>
      <c r="E294" s="454"/>
      <c r="F294" s="1887" t="str">
        <f>IF(OR(Z296=1,Z296=7,S293=1),"","Tibialis anterior")</f>
        <v/>
      </c>
      <c r="G294" s="1887"/>
      <c r="H294" s="1887"/>
      <c r="I294" s="1887"/>
      <c r="J294" s="1887"/>
      <c r="K294" s="1887"/>
      <c r="L294" s="1887"/>
      <c r="M294" s="88">
        <f t="shared" si="18"/>
        <v>0</v>
      </c>
      <c r="N294" s="254"/>
      <c r="O294" s="254"/>
      <c r="P294" s="355" t="str">
        <f t="shared" si="19"/>
        <v/>
      </c>
      <c r="Q294" s="35"/>
      <c r="R294" s="686" t="b">
        <v>0</v>
      </c>
      <c r="S294" s="736">
        <f t="shared" si="20"/>
        <v>0</v>
      </c>
      <c r="T294" s="747">
        <f t="shared" si="21"/>
        <v>0</v>
      </c>
      <c r="U294" s="747">
        <f t="shared" si="22"/>
        <v>0</v>
      </c>
      <c r="V294" s="747">
        <f t="shared" si="23"/>
        <v>0</v>
      </c>
      <c r="W294" s="747">
        <f t="shared" si="24"/>
        <v>0</v>
      </c>
      <c r="X294" s="747">
        <f t="shared" si="25"/>
        <v>0</v>
      </c>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4"/>
      <c r="BB294" s="14"/>
      <c r="BC294" s="14"/>
      <c r="BD294" s="14"/>
      <c r="BE294" s="14"/>
      <c r="BF294" s="14"/>
      <c r="BG294" s="14"/>
      <c r="BH294" s="14"/>
      <c r="BI294" s="14"/>
      <c r="BJ294" s="14"/>
      <c r="BK294" s="14"/>
      <c r="BL294" s="14"/>
      <c r="BM294" s="14"/>
      <c r="BN294" s="14"/>
      <c r="BO294" s="14"/>
      <c r="BP294" s="14"/>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row>
    <row r="295" spans="1:142" s="63" customFormat="1" ht="15" customHeight="1" x14ac:dyDescent="0.2">
      <c r="A295" s="3"/>
      <c r="B295" s="1906"/>
      <c r="C295" s="1906"/>
      <c r="D295" s="1906"/>
      <c r="E295" s="454"/>
      <c r="F295" s="1410" t="str">
        <f>IF(OR(Z296=1,Z296=7,S293=1),"","Extensor hallucis longus")</f>
        <v/>
      </c>
      <c r="G295" s="1410"/>
      <c r="H295" s="1410"/>
      <c r="I295" s="1410"/>
      <c r="J295" s="1410"/>
      <c r="K295" s="1410"/>
      <c r="L295" s="1410"/>
      <c r="M295" s="88">
        <f t="shared" si="18"/>
        <v>0</v>
      </c>
      <c r="N295" s="254"/>
      <c r="O295" s="254"/>
      <c r="P295" s="355" t="str">
        <f t="shared" si="19"/>
        <v/>
      </c>
      <c r="Q295" s="35"/>
      <c r="R295" s="745" t="b">
        <v>0</v>
      </c>
      <c r="S295" s="736">
        <f t="shared" si="20"/>
        <v>0</v>
      </c>
      <c r="T295" s="747">
        <f t="shared" si="21"/>
        <v>0</v>
      </c>
      <c r="U295" s="747">
        <f t="shared" si="22"/>
        <v>0</v>
      </c>
      <c r="V295" s="747">
        <f t="shared" si="23"/>
        <v>0</v>
      </c>
      <c r="W295" s="747">
        <f t="shared" si="24"/>
        <v>0</v>
      </c>
      <c r="X295" s="747">
        <f t="shared" si="25"/>
        <v>0</v>
      </c>
      <c r="Y295" s="19"/>
      <c r="Z295" s="686">
        <v>2</v>
      </c>
      <c r="AA295" s="1410" t="s">
        <v>810</v>
      </c>
      <c r="AB295" s="1410"/>
      <c r="AC295" s="19"/>
      <c r="AD295" s="19"/>
      <c r="AE295" s="19"/>
      <c r="AF295" s="19"/>
      <c r="AG295" s="19"/>
      <c r="AH295" s="18"/>
      <c r="AI295" s="18"/>
      <c r="AJ295" s="18"/>
      <c r="AK295" s="18"/>
      <c r="AL295" s="18"/>
      <c r="AM295" s="18"/>
      <c r="AN295" s="18"/>
      <c r="AO295" s="18"/>
      <c r="AP295" s="18"/>
      <c r="AQ295" s="18"/>
      <c r="AR295" s="18"/>
      <c r="AS295" s="18"/>
      <c r="AT295" s="18"/>
      <c r="AU295" s="18"/>
      <c r="AV295" s="18"/>
      <c r="AW295" s="18"/>
      <c r="AX295" s="18"/>
      <c r="AY295" s="18"/>
      <c r="AZ295" s="18"/>
      <c r="BA295" s="14"/>
      <c r="BB295" s="14"/>
      <c r="BC295" s="14"/>
      <c r="BD295" s="14"/>
      <c r="BE295" s="14"/>
      <c r="BF295" s="14"/>
      <c r="BG295" s="14"/>
      <c r="BH295" s="14"/>
      <c r="BI295" s="14"/>
      <c r="BJ295" s="14"/>
      <c r="BK295" s="14"/>
      <c r="BL295" s="14"/>
      <c r="BM295" s="14"/>
      <c r="BN295" s="14"/>
      <c r="BO295" s="14"/>
      <c r="BP295" s="14"/>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row>
    <row r="296" spans="1:142" s="63" customFormat="1" ht="15" customHeight="1" x14ac:dyDescent="0.2">
      <c r="A296" s="3"/>
      <c r="B296" s="1906"/>
      <c r="C296" s="1906"/>
      <c r="D296" s="1906"/>
      <c r="E296" s="454"/>
      <c r="F296" s="1887" t="str">
        <f>IF(OR(Z296=1,Z296=7,S293=1),"","Extensor digitorum longus")</f>
        <v/>
      </c>
      <c r="G296" s="1887"/>
      <c r="H296" s="1887"/>
      <c r="I296" s="1887"/>
      <c r="J296" s="1887"/>
      <c r="K296" s="1887"/>
      <c r="L296" s="1887"/>
      <c r="M296" s="88">
        <f t="shared" si="18"/>
        <v>0</v>
      </c>
      <c r="N296" s="254"/>
      <c r="O296" s="254"/>
      <c r="P296" s="355" t="str">
        <f t="shared" si="19"/>
        <v/>
      </c>
      <c r="Q296" s="35"/>
      <c r="R296" s="745" t="b">
        <v>0</v>
      </c>
      <c r="S296" s="736">
        <f t="shared" si="20"/>
        <v>0</v>
      </c>
      <c r="T296" s="747">
        <f t="shared" si="21"/>
        <v>0</v>
      </c>
      <c r="U296" s="747">
        <f t="shared" si="22"/>
        <v>0</v>
      </c>
      <c r="V296" s="747">
        <f t="shared" si="23"/>
        <v>0</v>
      </c>
      <c r="W296" s="747">
        <f t="shared" si="24"/>
        <v>0</v>
      </c>
      <c r="X296" s="747">
        <f t="shared" si="25"/>
        <v>0</v>
      </c>
      <c r="Y296" s="18"/>
      <c r="Z296" s="686">
        <v>7</v>
      </c>
      <c r="AA296" s="1789" t="s">
        <v>811</v>
      </c>
      <c r="AB296" s="1789"/>
      <c r="AC296" s="18"/>
      <c r="AD296" s="18"/>
      <c r="AE296" s="18"/>
      <c r="AF296" s="18"/>
      <c r="AG296" s="18"/>
      <c r="AH296" s="18"/>
      <c r="AI296" s="18"/>
      <c r="AJ296" s="18"/>
      <c r="AK296" s="18"/>
      <c r="AL296" s="18"/>
      <c r="AM296" s="19"/>
      <c r="AN296" s="18"/>
      <c r="AO296" s="19"/>
      <c r="AP296" s="18"/>
      <c r="AQ296" s="19"/>
      <c r="AR296" s="19"/>
      <c r="AS296" s="19"/>
      <c r="AT296" s="19"/>
      <c r="AU296" s="18"/>
      <c r="AV296" s="19"/>
      <c r="AW296" s="18"/>
      <c r="AX296" s="18"/>
      <c r="AY296" s="18"/>
      <c r="AZ296" s="18"/>
      <c r="BA296" s="14"/>
      <c r="BB296" s="14"/>
      <c r="BC296" s="14"/>
      <c r="BD296" s="14"/>
      <c r="BE296" s="14"/>
      <c r="BF296" s="14"/>
      <c r="BG296" s="14"/>
      <c r="BH296" s="14"/>
      <c r="BI296" s="14"/>
      <c r="BJ296" s="14"/>
      <c r="BK296" s="14"/>
      <c r="BL296" s="14"/>
      <c r="BM296" s="14"/>
      <c r="BN296" s="14"/>
      <c r="BO296" s="14"/>
      <c r="BP296" s="14"/>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row>
    <row r="297" spans="1:142" s="63" customFormat="1" ht="15" customHeight="1" x14ac:dyDescent="0.2">
      <c r="A297" s="3"/>
      <c r="B297" s="1906"/>
      <c r="C297" s="1906"/>
      <c r="D297" s="1906"/>
      <c r="E297" s="454"/>
      <c r="F297" s="1410" t="str">
        <f>IF(OR(Z296=1,Z296=7,S293=1),"","Peroneus tertius")</f>
        <v/>
      </c>
      <c r="G297" s="1410"/>
      <c r="H297" s="1410"/>
      <c r="I297" s="1410"/>
      <c r="J297" s="1410"/>
      <c r="K297" s="1410"/>
      <c r="L297" s="1410"/>
      <c r="M297" s="88">
        <f t="shared" si="18"/>
        <v>0</v>
      </c>
      <c r="N297" s="254"/>
      <c r="O297" s="254"/>
      <c r="P297" s="355" t="str">
        <f t="shared" si="19"/>
        <v/>
      </c>
      <c r="Q297" s="35"/>
      <c r="R297" s="745" t="b">
        <v>0</v>
      </c>
      <c r="S297" s="736">
        <f t="shared" si="20"/>
        <v>0</v>
      </c>
      <c r="T297" s="747">
        <f t="shared" si="21"/>
        <v>0</v>
      </c>
      <c r="U297" s="747">
        <f t="shared" si="22"/>
        <v>0</v>
      </c>
      <c r="V297" s="747">
        <f t="shared" si="23"/>
        <v>0</v>
      </c>
      <c r="W297" s="747">
        <f t="shared" si="24"/>
        <v>0</v>
      </c>
      <c r="X297" s="747">
        <f t="shared" si="25"/>
        <v>0</v>
      </c>
      <c r="Y297" s="74"/>
      <c r="Z297" s="889">
        <v>2</v>
      </c>
      <c r="AA297" s="1832" t="s">
        <v>1024</v>
      </c>
      <c r="AB297" s="1832"/>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101"/>
      <c r="BB297" s="101"/>
      <c r="BC297" s="101"/>
      <c r="BD297" s="101"/>
      <c r="BE297" s="101"/>
      <c r="BF297" s="14"/>
      <c r="BG297" s="14"/>
      <c r="BH297" s="14"/>
      <c r="BI297" s="14"/>
      <c r="BJ297" s="14"/>
      <c r="BK297" s="14"/>
      <c r="BL297" s="14"/>
      <c r="BM297" s="14"/>
      <c r="BN297" s="14"/>
      <c r="BO297" s="14"/>
      <c r="BP297" s="14"/>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row>
    <row r="298" spans="1:142" s="63" customFormat="1" ht="15" customHeight="1" x14ac:dyDescent="0.2">
      <c r="A298" s="3"/>
      <c r="B298" s="1906"/>
      <c r="C298" s="1906"/>
      <c r="D298" s="1906"/>
      <c r="E298" s="454"/>
      <c r="F298" s="1887" t="str">
        <f>IF(OR(Z296=1,Z296=7,S293=1),"","Extensor digitorum brevis")</f>
        <v/>
      </c>
      <c r="G298" s="1887"/>
      <c r="H298" s="1887"/>
      <c r="I298" s="1887"/>
      <c r="J298" s="1887"/>
      <c r="K298" s="1887"/>
      <c r="L298" s="1887"/>
      <c r="M298" s="88">
        <f t="shared" si="18"/>
        <v>0</v>
      </c>
      <c r="N298" s="254"/>
      <c r="O298" s="254"/>
      <c r="P298" s="355" t="str">
        <f t="shared" si="19"/>
        <v/>
      </c>
      <c r="Q298" s="35"/>
      <c r="R298" s="745" t="b">
        <v>0</v>
      </c>
      <c r="S298" s="736">
        <f t="shared" si="20"/>
        <v>0</v>
      </c>
      <c r="T298" s="747">
        <f t="shared" si="21"/>
        <v>0</v>
      </c>
      <c r="U298" s="747">
        <f t="shared" si="22"/>
        <v>0</v>
      </c>
      <c r="V298" s="747">
        <f t="shared" si="23"/>
        <v>0</v>
      </c>
      <c r="W298" s="747">
        <f t="shared" si="24"/>
        <v>0</v>
      </c>
      <c r="X298" s="747">
        <f t="shared" si="25"/>
        <v>0</v>
      </c>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101"/>
      <c r="BB298" s="101"/>
      <c r="BC298" s="101"/>
      <c r="BD298" s="101"/>
      <c r="BE298" s="101"/>
      <c r="BF298" s="14"/>
      <c r="BG298" s="14"/>
      <c r="BH298" s="14"/>
      <c r="BI298" s="14"/>
      <c r="BJ298" s="14"/>
      <c r="BK298" s="14"/>
      <c r="BL298" s="14"/>
      <c r="BM298" s="14"/>
      <c r="BN298" s="14"/>
      <c r="BO298" s="14"/>
      <c r="BP298" s="14"/>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row>
    <row r="299" spans="1:142" s="63" customFormat="1" ht="15" customHeight="1" x14ac:dyDescent="0.2">
      <c r="A299" s="3"/>
      <c r="B299" s="1906"/>
      <c r="C299" s="1906"/>
      <c r="D299" s="1906"/>
      <c r="E299" s="479"/>
      <c r="F299" s="1568" t="str">
        <f>IF(OR(Z296=1,Z296=2,Z296=3,Z296=5,Z296=7),"",IF(OR(Z296=4,Z296=6),"Total for peroneal except superficial; FOOT impairment:",""))</f>
        <v/>
      </c>
      <c r="G299" s="1568"/>
      <c r="H299" s="1568"/>
      <c r="I299" s="1568"/>
      <c r="J299" s="1568"/>
      <c r="K299" s="1568"/>
      <c r="L299" s="1568"/>
      <c r="M299" s="1568"/>
      <c r="N299" s="1568"/>
      <c r="O299" s="1568"/>
      <c r="P299" s="240" t="str">
        <f>IF(F299="","",IF(AND(P293="",P294="",P295="",P296="",P297="",P298=""),0,IF(Z296&lt;&gt;2,AVERAGE(P293:P298),"")))</f>
        <v/>
      </c>
      <c r="Q299" s="35"/>
      <c r="R299" s="157"/>
      <c r="S299" s="116"/>
      <c r="T299" s="869" t="s">
        <v>1689</v>
      </c>
      <c r="U299" s="869" t="s">
        <v>1597</v>
      </c>
      <c r="V299" s="869" t="s">
        <v>1692</v>
      </c>
      <c r="W299" s="869" t="s">
        <v>1693</v>
      </c>
      <c r="X299" s="869" t="s">
        <v>1694</v>
      </c>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101"/>
      <c r="BB299" s="101"/>
      <c r="BC299" s="101"/>
      <c r="BD299" s="101"/>
      <c r="BE299" s="101"/>
      <c r="BF299" s="14"/>
      <c r="BG299" s="14"/>
      <c r="BH299" s="14"/>
      <c r="BI299" s="14"/>
      <c r="BJ299" s="14"/>
      <c r="BK299" s="14"/>
      <c r="BL299" s="14"/>
      <c r="BM299" s="14"/>
      <c r="BN299" s="14"/>
      <c r="BO299" s="14"/>
      <c r="BP299" s="14"/>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row>
    <row r="300" spans="1:142" s="63" customFormat="1" ht="25.5" customHeight="1" x14ac:dyDescent="0.2">
      <c r="A300" s="3"/>
      <c r="B300" s="1906"/>
      <c r="C300" s="1906"/>
      <c r="D300" s="1906"/>
      <c r="E300" s="454"/>
      <c r="F300" s="1379" t="str">
        <f>IF(OR(Z296=1,Z296=2,Z296=3,Z296=5),"","Superficial peroneal
overall loss; no averaging")</f>
        <v>Superficial peroneal
overall loss; no averaging</v>
      </c>
      <c r="G300" s="1379"/>
      <c r="H300" s="1379"/>
      <c r="I300" s="1379"/>
      <c r="J300" s="1379"/>
      <c r="K300" s="1379"/>
      <c r="L300" s="1379"/>
      <c r="M300" s="88">
        <f>IF(OR(F300="",S300=0),0,IF(Z296=2,0.39,0.11))</f>
        <v>0</v>
      </c>
      <c r="N300" s="254"/>
      <c r="O300" s="254"/>
      <c r="P300" s="355" t="str">
        <f>IF(X300=0,"",X300)</f>
        <v/>
      </c>
      <c r="Q300" s="35"/>
      <c r="R300" s="745" t="b">
        <v>0</v>
      </c>
      <c r="S300" s="736">
        <f>IF(R300=TRUE,1,0)</f>
        <v>0</v>
      </c>
      <c r="T300" s="747">
        <f>SUMIF($T$278:$AH$278,N300,$T$279:$AH$279)</f>
        <v>0</v>
      </c>
      <c r="U300" s="747">
        <f>SUMIF($S$278:$AH$278,O300,$S$279:$AH$279)</f>
        <v>0</v>
      </c>
      <c r="V300" s="747">
        <f>M300*T300</f>
        <v>0</v>
      </c>
      <c r="W300" s="747">
        <f>M300*U300</f>
        <v>0</v>
      </c>
      <c r="X300" s="747">
        <f>(IF(V300-W300&lt;=0,0,V300-W300))</f>
        <v>0</v>
      </c>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101"/>
      <c r="BB300" s="101"/>
      <c r="BC300" s="101"/>
      <c r="BD300" s="101"/>
      <c r="BE300" s="101"/>
      <c r="BF300" s="14"/>
      <c r="BG300" s="14"/>
      <c r="BH300" s="14"/>
      <c r="BI300" s="14"/>
      <c r="BJ300" s="14"/>
      <c r="BK300" s="14"/>
      <c r="BL300" s="14"/>
      <c r="BM300" s="14"/>
      <c r="BN300" s="14"/>
      <c r="BO300" s="14"/>
      <c r="BP300" s="14"/>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row>
    <row r="301" spans="1:142" s="63" customFormat="1" ht="15" customHeight="1" x14ac:dyDescent="0.2">
      <c r="A301" s="3"/>
      <c r="B301" s="1906"/>
      <c r="C301" s="1906"/>
      <c r="D301" s="1906"/>
      <c r="E301" s="454"/>
      <c r="F301" s="1410" t="str">
        <f>IF(AND(Z296=2,S293=1),"",IF(S300=1,"",IF(OR(Z296=2,Z296=4,Z296=6,Z296=7),"Peroneus longus","")))</f>
        <v>Peroneus longus</v>
      </c>
      <c r="G301" s="1410"/>
      <c r="H301" s="1410"/>
      <c r="I301" s="1410"/>
      <c r="J301" s="1410"/>
      <c r="K301" s="1410"/>
      <c r="L301" s="1410"/>
      <c r="M301" s="88">
        <f>IF(OR(F301="",S301=0,Z296=3,Z296=5),0,IF(Z296=2,0.39,0.11))</f>
        <v>0</v>
      </c>
      <c r="N301" s="254"/>
      <c r="O301" s="254"/>
      <c r="P301" s="355" t="str">
        <f>IF(X301=0,"",X301)</f>
        <v/>
      </c>
      <c r="Q301" s="35"/>
      <c r="R301" s="745" t="b">
        <v>0</v>
      </c>
      <c r="S301" s="736">
        <f>IF(R301=TRUE,1,0)</f>
        <v>0</v>
      </c>
      <c r="T301" s="747">
        <f>SUMIF($T$278:$AH$278,N301,$T$279:$AH$279)</f>
        <v>0</v>
      </c>
      <c r="U301" s="747">
        <f>SUMIF($S$278:$AH$278,O301,$S$279:$AH$279)</f>
        <v>0</v>
      </c>
      <c r="V301" s="747">
        <f>M301*T301</f>
        <v>0</v>
      </c>
      <c r="W301" s="747">
        <f>M301*U301</f>
        <v>0</v>
      </c>
      <c r="X301" s="747">
        <f>(IF(V301-W301&lt;=0,0,V301-W301))</f>
        <v>0</v>
      </c>
      <c r="Y301" s="19"/>
      <c r="Z301" s="19"/>
      <c r="AA301" s="19"/>
      <c r="AB301" s="19"/>
      <c r="AC301" s="19"/>
      <c r="AD301" s="19"/>
      <c r="AE301" s="19"/>
      <c r="AF301" s="19"/>
      <c r="AG301" s="19"/>
      <c r="AH301" s="18"/>
      <c r="AI301" s="18"/>
      <c r="AJ301" s="18"/>
      <c r="AK301" s="18"/>
      <c r="AL301" s="18"/>
      <c r="AM301" s="18"/>
      <c r="AN301" s="18"/>
      <c r="AO301" s="18"/>
      <c r="AP301" s="18"/>
      <c r="AQ301" s="18"/>
      <c r="AR301" s="18"/>
      <c r="AS301" s="18"/>
      <c r="AT301" s="18"/>
      <c r="AU301" s="18"/>
      <c r="AV301" s="18"/>
      <c r="AW301" s="18"/>
      <c r="AX301" s="18"/>
      <c r="AY301" s="18"/>
      <c r="AZ301" s="18"/>
      <c r="BA301" s="14"/>
      <c r="BB301" s="14"/>
      <c r="BC301" s="14"/>
      <c r="BD301" s="14"/>
      <c r="BE301" s="14"/>
      <c r="BF301" s="14"/>
      <c r="BG301" s="14"/>
      <c r="BH301" s="14"/>
      <c r="BI301" s="14"/>
      <c r="BJ301" s="14"/>
      <c r="BK301" s="14"/>
      <c r="BL301" s="14"/>
      <c r="BM301" s="14"/>
      <c r="BN301" s="14"/>
      <c r="BO301" s="14"/>
      <c r="BP301" s="14"/>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row>
    <row r="302" spans="1:142" s="63" customFormat="1" ht="15" customHeight="1" x14ac:dyDescent="0.2">
      <c r="A302" s="3"/>
      <c r="B302" s="1906"/>
      <c r="C302" s="1906"/>
      <c r="D302" s="1906"/>
      <c r="E302" s="454"/>
      <c r="F302" s="1887" t="str">
        <f>IF(AND(Z296=2,S293=1),"",IF(S300=1,"",IF(OR(Z296=2,Z296=4,Z296=6,Z296=7),"Peroneus brevis","")))</f>
        <v>Peroneus brevis</v>
      </c>
      <c r="G302" s="1887"/>
      <c r="H302" s="1887"/>
      <c r="I302" s="1887"/>
      <c r="J302" s="1887"/>
      <c r="K302" s="1887"/>
      <c r="L302" s="1887"/>
      <c r="M302" s="88">
        <f>IF(OR(F302="",S302=0,Z296=3,Z296=5),0,IF(Z296=2,0.39,0.11))</f>
        <v>0</v>
      </c>
      <c r="N302" s="254"/>
      <c r="O302" s="254"/>
      <c r="P302" s="355" t="str">
        <f>IF(X302=0,"",X302)</f>
        <v/>
      </c>
      <c r="Q302" s="35"/>
      <c r="R302" s="745" t="b">
        <v>0</v>
      </c>
      <c r="S302" s="736">
        <f>IF(R302=TRUE,1,0)</f>
        <v>0</v>
      </c>
      <c r="T302" s="747">
        <f>SUMIF($T$278:$AH$278,N302,$T$279:$AH$279)</f>
        <v>0</v>
      </c>
      <c r="U302" s="747">
        <f>SUMIF($S$278:$AH$278,O302,$S$279:$AH$279)</f>
        <v>0</v>
      </c>
      <c r="V302" s="747">
        <f>M302*T302</f>
        <v>0</v>
      </c>
      <c r="W302" s="747">
        <f>M302*U302</f>
        <v>0</v>
      </c>
      <c r="X302" s="747">
        <f>(IF(V302-W302&lt;=0,0,V302-W302))</f>
        <v>0</v>
      </c>
      <c r="Y302" s="19"/>
      <c r="Z302" s="19"/>
      <c r="AA302" s="19"/>
      <c r="AB302" s="19"/>
      <c r="AC302" s="19"/>
      <c r="AD302" s="19"/>
      <c r="AE302" s="19"/>
      <c r="AF302" s="19"/>
      <c r="AG302" s="19"/>
      <c r="AH302" s="18"/>
      <c r="AI302" s="18"/>
      <c r="AJ302" s="18"/>
      <c r="AK302" s="18"/>
      <c r="AL302" s="18"/>
      <c r="AM302" s="18"/>
      <c r="AN302" s="18"/>
      <c r="AO302" s="18"/>
      <c r="AP302" s="18"/>
      <c r="AQ302" s="18"/>
      <c r="AR302" s="18"/>
      <c r="AS302" s="18"/>
      <c r="AT302" s="18"/>
      <c r="AU302" s="18"/>
      <c r="AV302" s="18"/>
      <c r="AW302" s="18"/>
      <c r="AX302" s="18"/>
      <c r="AY302" s="18"/>
      <c r="AZ302" s="18"/>
      <c r="BA302" s="14"/>
      <c r="BB302" s="14"/>
      <c r="BC302" s="14"/>
      <c r="BD302" s="14"/>
      <c r="BE302" s="14"/>
      <c r="BF302" s="14"/>
      <c r="BG302" s="14"/>
      <c r="BH302" s="14"/>
      <c r="BI302" s="14"/>
      <c r="BJ302" s="14"/>
      <c r="BK302" s="14"/>
      <c r="BL302" s="14"/>
      <c r="BM302" s="14"/>
      <c r="BN302" s="14"/>
      <c r="BO302" s="14"/>
      <c r="BP302" s="14"/>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row>
    <row r="303" spans="1:142" s="63" customFormat="1" ht="15" customHeight="1" x14ac:dyDescent="0.2">
      <c r="A303" s="3"/>
      <c r="B303" s="1740" t="str">
        <f>IF(Z296=1,"",IF(OR(Z296=2,Z296=3,Z296=5),"Total for peroneal; FOOT impairment:",IF(OR(Z296=4,Z296=6,Z296=7),"Total for superficial peroneal; FOOT impairment:","")))</f>
        <v>Total for superficial peroneal; FOOT impairment:</v>
      </c>
      <c r="C303" s="1741"/>
      <c r="D303" s="1741"/>
      <c r="E303" s="1741"/>
      <c r="F303" s="1741"/>
      <c r="G303" s="1741"/>
      <c r="H303" s="1741"/>
      <c r="I303" s="1741"/>
      <c r="J303" s="1741"/>
      <c r="K303" s="1741"/>
      <c r="L303" s="1741"/>
      <c r="M303" s="1741"/>
      <c r="N303" s="1741"/>
      <c r="O303" s="1742"/>
      <c r="P303" s="355">
        <f>IF(T303=0,0,IF(Z296=2,AVERAGE(P293:P302),IF(OR(Z296=3,Z296=5),AVERAGE(P293:P298),IF(AND(P300="",P301="",P302=""),0,IF(OR(Z296=4,Z296=6,Z296=7),AVERAGE(P300:P302))))))</f>
        <v>0</v>
      </c>
      <c r="Q303" s="35"/>
      <c r="R303" s="871" t="s">
        <v>1720</v>
      </c>
      <c r="S303" s="736">
        <f>SUM(S293:S302)</f>
        <v>0</v>
      </c>
      <c r="T303" s="747">
        <f>SUM(P293,P294,P295,P296,P297,P298,P300,P301,P302)</f>
        <v>0</v>
      </c>
      <c r="U303" s="111"/>
      <c r="V303" s="111"/>
      <c r="W303" s="111"/>
      <c r="X303" s="111"/>
      <c r="Y303" s="19"/>
      <c r="Z303" s="19"/>
      <c r="AA303" s="19"/>
      <c r="AB303" s="19"/>
      <c r="AC303" s="19"/>
      <c r="AD303" s="19"/>
      <c r="AE303" s="19"/>
      <c r="AF303" s="19"/>
      <c r="AG303" s="19"/>
      <c r="AH303" s="18"/>
      <c r="AI303" s="18"/>
      <c r="AJ303" s="18"/>
      <c r="AK303" s="18"/>
      <c r="AL303" s="18"/>
      <c r="AM303" s="18"/>
      <c r="AN303" s="18"/>
      <c r="AO303" s="18"/>
      <c r="AP303" s="18"/>
      <c r="AQ303" s="18"/>
      <c r="AR303" s="18"/>
      <c r="AS303" s="18"/>
      <c r="AT303" s="18"/>
      <c r="AU303" s="18"/>
      <c r="AV303" s="18"/>
      <c r="AW303" s="18"/>
      <c r="AX303" s="18"/>
      <c r="AY303" s="18"/>
      <c r="AZ303" s="18"/>
      <c r="BA303" s="14"/>
      <c r="BB303" s="14"/>
      <c r="BC303" s="14"/>
      <c r="BD303" s="14"/>
      <c r="BE303" s="14"/>
      <c r="BF303" s="14"/>
      <c r="BG303" s="14"/>
      <c r="BH303" s="14"/>
      <c r="BI303" s="14"/>
      <c r="BJ303" s="14"/>
      <c r="BK303" s="14"/>
      <c r="BL303" s="14"/>
      <c r="BM303" s="14"/>
      <c r="BN303" s="14"/>
      <c r="BO303" s="14"/>
      <c r="BP303" s="14"/>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row>
    <row r="304" spans="1:142" s="63" customFormat="1" ht="12" customHeight="1" x14ac:dyDescent="0.2">
      <c r="A304" s="3"/>
      <c r="B304" s="1854"/>
      <c r="C304" s="1854"/>
      <c r="D304" s="1854"/>
      <c r="E304" s="1854"/>
      <c r="F304" s="1854"/>
      <c r="G304" s="1854"/>
      <c r="H304" s="1854"/>
      <c r="I304" s="1854"/>
      <c r="J304" s="1854"/>
      <c r="K304" s="1854"/>
      <c r="L304" s="1854"/>
      <c r="M304" s="1854"/>
      <c r="N304" s="1854"/>
      <c r="O304" s="1854"/>
      <c r="P304" s="1854"/>
      <c r="Q304" s="35"/>
      <c r="R304" s="157"/>
      <c r="S304" s="116"/>
      <c r="T304" s="111"/>
      <c r="U304" s="111"/>
      <c r="V304" s="111"/>
      <c r="W304" s="111"/>
      <c r="X304" s="111"/>
      <c r="Y304" s="19"/>
      <c r="Z304" s="19"/>
      <c r="AA304" s="19"/>
      <c r="AB304" s="19"/>
      <c r="AC304" s="19"/>
      <c r="AD304" s="19"/>
      <c r="AE304" s="19"/>
      <c r="AF304" s="19"/>
      <c r="AG304" s="19"/>
      <c r="AH304" s="18"/>
      <c r="AI304" s="18"/>
      <c r="AJ304" s="18"/>
      <c r="AK304" s="18"/>
      <c r="AL304" s="18"/>
      <c r="AM304" s="18"/>
      <c r="AN304" s="18"/>
      <c r="AO304" s="18"/>
      <c r="AP304" s="18"/>
      <c r="AQ304" s="18"/>
      <c r="AR304" s="18"/>
      <c r="AS304" s="18"/>
      <c r="AT304" s="18"/>
      <c r="AU304" s="18"/>
      <c r="AV304" s="18"/>
      <c r="AW304" s="18"/>
      <c r="AX304" s="18"/>
      <c r="AY304" s="18"/>
      <c r="AZ304" s="18"/>
      <c r="BA304" s="14"/>
      <c r="BB304" s="14"/>
      <c r="BC304" s="14"/>
      <c r="BD304" s="14"/>
      <c r="BE304" s="14"/>
      <c r="BF304" s="14"/>
      <c r="BG304" s="14"/>
      <c r="BH304" s="14"/>
      <c r="BI304" s="14"/>
      <c r="BJ304" s="14"/>
      <c r="BK304" s="14"/>
      <c r="BL304" s="14"/>
      <c r="BM304" s="14"/>
      <c r="BN304" s="14"/>
      <c r="BO304" s="14"/>
      <c r="BP304" s="14"/>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row>
    <row r="305" spans="1:142" s="63" customFormat="1" ht="12" customHeight="1" x14ac:dyDescent="0.2">
      <c r="A305" s="3"/>
      <c r="B305" s="1854"/>
      <c r="C305" s="1854"/>
      <c r="D305" s="1854"/>
      <c r="E305" s="1854"/>
      <c r="F305" s="1854"/>
      <c r="G305" s="1854"/>
      <c r="H305" s="1854"/>
      <c r="I305" s="1854"/>
      <c r="J305" s="1854"/>
      <c r="K305" s="1854"/>
      <c r="L305" s="1854"/>
      <c r="M305" s="1854"/>
      <c r="N305" s="1854"/>
      <c r="O305" s="1854"/>
      <c r="P305" s="1854"/>
      <c r="Q305" s="35"/>
      <c r="R305" s="157"/>
      <c r="S305" s="116"/>
      <c r="T305" s="111"/>
      <c r="U305" s="111"/>
      <c r="V305" s="111"/>
      <c r="W305" s="111"/>
      <c r="X305" s="111"/>
      <c r="Y305" s="19"/>
      <c r="Z305" s="19"/>
      <c r="AA305" s="19"/>
      <c r="AB305" s="19"/>
      <c r="AC305" s="19"/>
      <c r="AD305" s="19"/>
      <c r="AE305" s="19"/>
      <c r="AF305" s="19"/>
      <c r="AG305" s="19"/>
      <c r="AH305" s="18"/>
      <c r="AI305" s="18"/>
      <c r="AJ305" s="18"/>
      <c r="AK305" s="18"/>
      <c r="AL305" s="18"/>
      <c r="AM305" s="18"/>
      <c r="AN305" s="18"/>
      <c r="AO305" s="18"/>
      <c r="AP305" s="18"/>
      <c r="AQ305" s="18"/>
      <c r="AR305" s="18"/>
      <c r="AS305" s="18"/>
      <c r="AT305" s="18"/>
      <c r="AU305" s="18"/>
      <c r="AV305" s="18"/>
      <c r="AW305" s="18"/>
      <c r="AX305" s="18"/>
      <c r="AY305" s="18"/>
      <c r="AZ305" s="18"/>
      <c r="BA305" s="14"/>
      <c r="BB305" s="14"/>
      <c r="BC305" s="14"/>
      <c r="BD305" s="14"/>
      <c r="BE305" s="14"/>
      <c r="BF305" s="14"/>
      <c r="BG305" s="14"/>
      <c r="BH305" s="14"/>
      <c r="BI305" s="14"/>
      <c r="BJ305" s="14"/>
      <c r="BK305" s="14"/>
      <c r="BL305" s="14"/>
      <c r="BM305" s="14"/>
      <c r="BN305" s="14"/>
      <c r="BO305" s="14"/>
      <c r="BP305" s="14"/>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row>
    <row r="306" spans="1:142" s="63" customFormat="1" ht="15" customHeight="1" x14ac:dyDescent="0.2">
      <c r="A306" s="3"/>
      <c r="B306" s="1909"/>
      <c r="C306" s="1909"/>
      <c r="D306" s="1909"/>
      <c r="E306" s="1909"/>
      <c r="F306" s="1909"/>
      <c r="G306" s="1909"/>
      <c r="H306" s="1909"/>
      <c r="I306" s="1909"/>
      <c r="J306" s="1909"/>
      <c r="K306" s="1909"/>
      <c r="L306" s="1909"/>
      <c r="M306" s="1909"/>
      <c r="N306" s="1923" t="s">
        <v>1687</v>
      </c>
      <c r="O306" s="1923"/>
      <c r="P306" s="1923"/>
      <c r="Q306" s="35"/>
      <c r="R306" s="157"/>
      <c r="S306" s="116"/>
      <c r="T306" s="111"/>
      <c r="U306" s="111"/>
      <c r="V306" s="111"/>
      <c r="W306" s="111"/>
      <c r="X306" s="111"/>
      <c r="Y306" s="19"/>
      <c r="Z306" s="19"/>
      <c r="AA306" s="19"/>
      <c r="AB306" s="19"/>
      <c r="AC306" s="19"/>
      <c r="AD306" s="19"/>
      <c r="AE306" s="19"/>
      <c r="AF306" s="19"/>
      <c r="AG306" s="19"/>
      <c r="AH306" s="18"/>
      <c r="AI306" s="18"/>
      <c r="AJ306" s="18"/>
      <c r="AK306" s="18"/>
      <c r="AL306" s="18"/>
      <c r="AM306" s="18"/>
      <c r="AN306" s="18"/>
      <c r="AO306" s="18"/>
      <c r="AP306" s="18"/>
      <c r="AQ306" s="18"/>
      <c r="AR306" s="18"/>
      <c r="AS306" s="18"/>
      <c r="AT306" s="18"/>
      <c r="AU306" s="18"/>
      <c r="AV306" s="18"/>
      <c r="AW306" s="18"/>
      <c r="AX306" s="18"/>
      <c r="AY306" s="18"/>
      <c r="AZ306" s="18"/>
      <c r="BA306" s="14"/>
      <c r="BB306" s="14"/>
      <c r="BC306" s="14"/>
      <c r="BD306" s="14"/>
      <c r="BE306" s="14"/>
      <c r="BF306" s="14"/>
      <c r="BG306" s="14"/>
      <c r="BH306" s="14"/>
      <c r="BI306" s="14"/>
      <c r="BJ306" s="14"/>
      <c r="BK306" s="14"/>
      <c r="BL306" s="14"/>
      <c r="BM306" s="14"/>
      <c r="BN306" s="14"/>
      <c r="BO306" s="14"/>
      <c r="BP306" s="14"/>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row>
    <row r="307" spans="1:142" s="63" customFormat="1" ht="18" customHeight="1" x14ac:dyDescent="0.2">
      <c r="A307" s="3"/>
      <c r="B307" s="1907" t="s">
        <v>421</v>
      </c>
      <c r="C307" s="1403"/>
      <c r="D307" s="1403"/>
      <c r="E307" s="1908"/>
      <c r="F307" s="1908"/>
      <c r="G307" s="1908"/>
      <c r="H307" s="1908"/>
      <c r="I307" s="1908"/>
      <c r="J307" s="1908"/>
      <c r="K307" s="1908"/>
      <c r="L307" s="1908"/>
      <c r="M307" s="1713"/>
      <c r="N307" s="475" t="s">
        <v>1689</v>
      </c>
      <c r="O307" s="475" t="s">
        <v>1690</v>
      </c>
      <c r="P307" s="475" t="s">
        <v>1691</v>
      </c>
      <c r="Q307" s="35"/>
      <c r="R307" s="157"/>
      <c r="S307" s="116"/>
      <c r="T307" s="869" t="s">
        <v>1689</v>
      </c>
      <c r="U307" s="869" t="s">
        <v>1597</v>
      </c>
      <c r="V307" s="869" t="s">
        <v>1692</v>
      </c>
      <c r="W307" s="869" t="s">
        <v>1693</v>
      </c>
      <c r="X307" s="869" t="s">
        <v>1694</v>
      </c>
      <c r="Y307" s="19"/>
      <c r="Z307" s="19"/>
      <c r="AA307" s="19"/>
      <c r="AB307" s="19"/>
      <c r="AC307" s="19"/>
      <c r="AD307" s="19"/>
      <c r="AE307" s="19"/>
      <c r="AF307" s="19"/>
      <c r="AG307" s="19"/>
      <c r="AH307" s="18"/>
      <c r="AI307" s="18"/>
      <c r="AJ307" s="18"/>
      <c r="AK307" s="18"/>
      <c r="AL307" s="18"/>
      <c r="AM307" s="18"/>
      <c r="AN307" s="18"/>
      <c r="AO307" s="18"/>
      <c r="AP307" s="18"/>
      <c r="AQ307" s="18"/>
      <c r="AR307" s="18"/>
      <c r="AS307" s="18"/>
      <c r="AT307" s="18"/>
      <c r="AU307" s="18"/>
      <c r="AV307" s="18"/>
      <c r="AW307" s="18"/>
      <c r="AX307" s="18"/>
      <c r="AY307" s="18"/>
      <c r="AZ307" s="18"/>
      <c r="BA307" s="14"/>
      <c r="BB307" s="14"/>
      <c r="BC307" s="14"/>
      <c r="BD307" s="14"/>
      <c r="BE307" s="14"/>
      <c r="BF307" s="14"/>
      <c r="BG307" s="14"/>
      <c r="BH307" s="14"/>
      <c r="BI307" s="14"/>
      <c r="BJ307" s="14"/>
      <c r="BK307" s="14"/>
      <c r="BL307" s="14"/>
      <c r="BM307" s="14"/>
      <c r="BN307" s="14"/>
      <c r="BO307" s="14"/>
      <c r="BP307" s="14"/>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row>
    <row r="308" spans="1:142" s="63" customFormat="1" ht="27" customHeight="1" x14ac:dyDescent="0.2">
      <c r="A308" s="3"/>
      <c r="B308" s="583" t="s">
        <v>422</v>
      </c>
      <c r="C308" s="584"/>
      <c r="D308" s="585"/>
      <c r="E308" s="567"/>
      <c r="F308" s="1837" t="str">
        <f>IF(Z297=1,"","Tibial - overall loss at level shown; no averaging")</f>
        <v>Tibial - overall loss at level shown; no averaging</v>
      </c>
      <c r="G308" s="1837"/>
      <c r="H308" s="1837"/>
      <c r="I308" s="1837"/>
      <c r="J308" s="1837"/>
      <c r="K308" s="1837"/>
      <c r="L308" s="1837"/>
      <c r="M308" s="88">
        <f>IF(OR(F308="",S308=0),0,IF($Z$297=2,0.35,IF($Z$297=3,0.28,IF($Z$297=4,0.17,IF($Z$297=5,"See
below",IF(OR($Z$297=6,$Z$297=7),0.06,0))))))</f>
        <v>0</v>
      </c>
      <c r="N308" s="254"/>
      <c r="O308" s="254"/>
      <c r="P308" s="355" t="str">
        <f>IF(AND(S308=1,Z297=5),"",IF(X308=0,"",X308))</f>
        <v/>
      </c>
      <c r="Q308" s="35"/>
      <c r="R308" s="745" t="b">
        <v>0</v>
      </c>
      <c r="S308" s="736">
        <f t="shared" ref="S308:S317" si="26">IF(R308=TRUE,1,0)</f>
        <v>0</v>
      </c>
      <c r="T308" s="747">
        <f t="shared" ref="T308:T317" si="27">SUMIF($T$278:$AH$278,N308,$T$279:$AH$279)</f>
        <v>0</v>
      </c>
      <c r="U308" s="747">
        <f t="shared" ref="U308:U317" si="28">SUMIF($S$278:$AH$278,O308,$S$279:$AH$279)</f>
        <v>0</v>
      </c>
      <c r="V308" s="747">
        <f>IF(AND(S308=1,Z297=5),0,M308*T308)</f>
        <v>0</v>
      </c>
      <c r="W308" s="747">
        <f>IF(AND(S308=1,Z297=5),0,M308*U308)</f>
        <v>0</v>
      </c>
      <c r="X308" s="747">
        <f t="shared" ref="X308:X317" si="29">(IF(V308-W308&lt;=0,0,V308-W308))</f>
        <v>0</v>
      </c>
      <c r="Y308" s="19"/>
      <c r="Z308" s="19"/>
      <c r="AA308" s="19"/>
      <c r="AB308" s="19"/>
      <c r="AC308" s="19"/>
      <c r="AD308" s="19"/>
      <c r="AE308" s="19"/>
      <c r="AF308" s="19"/>
      <c r="AG308" s="19"/>
      <c r="AH308" s="18"/>
      <c r="AI308" s="18"/>
      <c r="AJ308" s="18"/>
      <c r="AK308" s="18"/>
      <c r="AL308" s="18"/>
      <c r="AM308" s="18"/>
      <c r="AN308" s="18"/>
      <c r="AO308" s="18"/>
      <c r="AP308" s="18"/>
      <c r="AQ308" s="18"/>
      <c r="AR308" s="18"/>
      <c r="AS308" s="18"/>
      <c r="AT308" s="18"/>
      <c r="AU308" s="18"/>
      <c r="AV308" s="18"/>
      <c r="AW308" s="18"/>
      <c r="AX308" s="18"/>
      <c r="AY308" s="18"/>
      <c r="AZ308" s="18"/>
      <c r="BA308" s="14"/>
      <c r="BB308" s="14"/>
      <c r="BC308" s="14"/>
      <c r="BD308" s="14"/>
      <c r="BE308" s="14"/>
      <c r="BF308" s="14"/>
      <c r="BG308" s="14"/>
      <c r="BH308" s="14"/>
      <c r="BI308" s="14"/>
      <c r="BJ308" s="14"/>
      <c r="BK308" s="14"/>
      <c r="BL308" s="14"/>
      <c r="BM308" s="14"/>
      <c r="BN308" s="14"/>
      <c r="BO308" s="14"/>
      <c r="BP308" s="14"/>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row>
    <row r="309" spans="1:142" s="63" customFormat="1" ht="15" customHeight="1" x14ac:dyDescent="0.2">
      <c r="A309" s="3"/>
      <c r="B309" s="586"/>
      <c r="C309" s="582"/>
      <c r="D309" s="587"/>
      <c r="E309" s="567"/>
      <c r="F309" s="1887" t="str">
        <f>IF(OR(S308=1,Z297=1,Z297=5,Z297=6,Z297=7),"","Gastrocnemius")</f>
        <v>Gastrocnemius</v>
      </c>
      <c r="G309" s="1887"/>
      <c r="H309" s="1887"/>
      <c r="I309" s="1887"/>
      <c r="J309" s="1887"/>
      <c r="K309" s="1887"/>
      <c r="L309" s="1887"/>
      <c r="M309" s="88">
        <f t="shared" ref="M309:M315" si="30">IF(OR(F309="",S309=0),0,IF($Z$297=2,0.35,IF($Z$297=3,0.28,IF($Z$297=4,0.17,0))))</f>
        <v>0</v>
      </c>
      <c r="N309" s="254"/>
      <c r="O309" s="254"/>
      <c r="P309" s="355" t="str">
        <f>IF(X309=0,"",X309)</f>
        <v/>
      </c>
      <c r="Q309" s="35"/>
      <c r="R309" s="745" t="b">
        <v>0</v>
      </c>
      <c r="S309" s="736">
        <f t="shared" si="26"/>
        <v>0</v>
      </c>
      <c r="T309" s="747">
        <f t="shared" si="27"/>
        <v>0</v>
      </c>
      <c r="U309" s="747">
        <f t="shared" si="28"/>
        <v>0</v>
      </c>
      <c r="V309" s="747">
        <f t="shared" ref="V309:V317" si="31">M309*T309</f>
        <v>0</v>
      </c>
      <c r="W309" s="747">
        <f t="shared" ref="W309:W317" si="32">M309*U309</f>
        <v>0</v>
      </c>
      <c r="X309" s="747">
        <f t="shared" si="29"/>
        <v>0</v>
      </c>
      <c r="Y309" s="18"/>
      <c r="Z309" s="18"/>
      <c r="AA309" s="18"/>
      <c r="AB309" s="18"/>
      <c r="AC309" s="19"/>
      <c r="AD309" s="19"/>
      <c r="AE309" s="19"/>
      <c r="AF309" s="19"/>
      <c r="AG309" s="19"/>
      <c r="AH309" s="18"/>
      <c r="AI309" s="18"/>
      <c r="AJ309" s="18"/>
      <c r="AK309" s="18"/>
      <c r="AL309" s="18"/>
      <c r="AM309" s="18"/>
      <c r="AN309" s="18"/>
      <c r="AO309" s="18"/>
      <c r="AP309" s="18"/>
      <c r="AQ309" s="18"/>
      <c r="AR309" s="18"/>
      <c r="AS309" s="18"/>
      <c r="AT309" s="18"/>
      <c r="AU309" s="18"/>
      <c r="AV309" s="18"/>
      <c r="AW309" s="18"/>
      <c r="AX309" s="18"/>
      <c r="AY309" s="18"/>
      <c r="AZ309" s="18"/>
      <c r="BA309" s="14"/>
      <c r="BB309" s="14"/>
      <c r="BC309" s="14"/>
      <c r="BD309" s="14"/>
      <c r="BE309" s="14"/>
      <c r="BF309" s="14"/>
      <c r="BG309" s="14"/>
      <c r="BH309" s="14"/>
      <c r="BI309" s="14"/>
      <c r="BJ309" s="14"/>
      <c r="BK309" s="14"/>
      <c r="BL309" s="14"/>
      <c r="BM309" s="14"/>
      <c r="BN309" s="14"/>
      <c r="BO309" s="14"/>
      <c r="BP309" s="14"/>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row>
    <row r="310" spans="1:142" s="63" customFormat="1" ht="15" customHeight="1" x14ac:dyDescent="0.2">
      <c r="A310" s="3"/>
      <c r="B310" s="586"/>
      <c r="C310" s="582"/>
      <c r="D310" s="587"/>
      <c r="E310" s="567"/>
      <c r="F310" s="1410" t="str">
        <f>IF(OR(S308=1,Z297=1,Z297=5,Z297=6,Z297=7),"","Plantaris")</f>
        <v>Plantaris</v>
      </c>
      <c r="G310" s="1410"/>
      <c r="H310" s="1410"/>
      <c r="I310" s="1410"/>
      <c r="J310" s="1410"/>
      <c r="K310" s="1410"/>
      <c r="L310" s="1410"/>
      <c r="M310" s="88">
        <f t="shared" si="30"/>
        <v>0</v>
      </c>
      <c r="N310" s="254"/>
      <c r="O310" s="254"/>
      <c r="P310" s="355" t="str">
        <f t="shared" ref="P310:P319" si="33">IF(X310=0,"",X310)</f>
        <v/>
      </c>
      <c r="Q310" s="35"/>
      <c r="R310" s="745" t="b">
        <v>0</v>
      </c>
      <c r="S310" s="736">
        <f t="shared" si="26"/>
        <v>0</v>
      </c>
      <c r="T310" s="747">
        <f t="shared" si="27"/>
        <v>0</v>
      </c>
      <c r="U310" s="747">
        <f t="shared" si="28"/>
        <v>0</v>
      </c>
      <c r="V310" s="747">
        <f t="shared" si="31"/>
        <v>0</v>
      </c>
      <c r="W310" s="747">
        <f t="shared" si="32"/>
        <v>0</v>
      </c>
      <c r="X310" s="747">
        <f t="shared" si="29"/>
        <v>0</v>
      </c>
      <c r="Y310" s="18"/>
      <c r="Z310" s="18"/>
      <c r="AA310" s="18"/>
      <c r="AB310" s="19"/>
      <c r="AC310" s="19"/>
      <c r="AD310" s="19"/>
      <c r="AE310" s="19"/>
      <c r="AF310" s="19"/>
      <c r="AG310" s="19"/>
      <c r="AH310" s="18"/>
      <c r="AI310" s="18"/>
      <c r="AJ310" s="18"/>
      <c r="AK310" s="18"/>
      <c r="AL310" s="18"/>
      <c r="AM310" s="18"/>
      <c r="AN310" s="18"/>
      <c r="AO310" s="18"/>
      <c r="AP310" s="18"/>
      <c r="AQ310" s="18"/>
      <c r="AR310" s="18"/>
      <c r="AS310" s="18"/>
      <c r="AT310" s="18"/>
      <c r="AU310" s="18"/>
      <c r="AV310" s="18"/>
      <c r="AW310" s="18"/>
      <c r="AX310" s="18"/>
      <c r="AY310" s="18"/>
      <c r="AZ310" s="18"/>
      <c r="BA310" s="14"/>
      <c r="BB310" s="14"/>
      <c r="BC310" s="14"/>
      <c r="BD310" s="14"/>
      <c r="BE310" s="14"/>
      <c r="BF310" s="14"/>
      <c r="BG310" s="14"/>
      <c r="BH310" s="14"/>
      <c r="BI310" s="14"/>
      <c r="BJ310" s="14"/>
      <c r="BK310" s="14"/>
      <c r="BL310" s="14"/>
      <c r="BM310" s="14"/>
      <c r="BN310" s="14"/>
      <c r="BO310" s="14"/>
      <c r="BP310" s="14"/>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row>
    <row r="311" spans="1:142" s="63" customFormat="1" ht="15" customHeight="1" x14ac:dyDescent="0.2">
      <c r="A311" s="3"/>
      <c r="B311" s="586"/>
      <c r="C311" s="582"/>
      <c r="D311" s="587"/>
      <c r="E311" s="567"/>
      <c r="F311" s="1887" t="str">
        <f>IF(OR(S308=1,Z297=1,Z297=5,Z297=6,Z297=7),"","Popliteus")</f>
        <v>Popliteus</v>
      </c>
      <c r="G311" s="1887"/>
      <c r="H311" s="1887"/>
      <c r="I311" s="1887"/>
      <c r="J311" s="1887"/>
      <c r="K311" s="1887"/>
      <c r="L311" s="1887"/>
      <c r="M311" s="88">
        <f t="shared" si="30"/>
        <v>0</v>
      </c>
      <c r="N311" s="254"/>
      <c r="O311" s="254"/>
      <c r="P311" s="355" t="str">
        <f t="shared" si="33"/>
        <v/>
      </c>
      <c r="Q311" s="35"/>
      <c r="R311" s="745" t="b">
        <v>0</v>
      </c>
      <c r="S311" s="736">
        <f t="shared" si="26"/>
        <v>0</v>
      </c>
      <c r="T311" s="747">
        <f t="shared" si="27"/>
        <v>0</v>
      </c>
      <c r="U311" s="747">
        <f t="shared" si="28"/>
        <v>0</v>
      </c>
      <c r="V311" s="747">
        <f t="shared" si="31"/>
        <v>0</v>
      </c>
      <c r="W311" s="747">
        <f t="shared" si="32"/>
        <v>0</v>
      </c>
      <c r="X311" s="747">
        <f t="shared" si="29"/>
        <v>0</v>
      </c>
      <c r="Y311" s="18"/>
      <c r="Z311" s="18"/>
      <c r="AA311" s="19"/>
      <c r="AB311" s="19"/>
      <c r="AC311" s="19"/>
      <c r="AD311" s="19"/>
      <c r="AE311" s="19"/>
      <c r="AF311" s="19"/>
      <c r="AG311" s="19"/>
      <c r="AH311" s="18"/>
      <c r="AI311" s="18"/>
      <c r="AJ311" s="18"/>
      <c r="AK311" s="18"/>
      <c r="AL311" s="18"/>
      <c r="AM311" s="18"/>
      <c r="AN311" s="18"/>
      <c r="AO311" s="18"/>
      <c r="AP311" s="18"/>
      <c r="AQ311" s="18"/>
      <c r="AR311" s="18"/>
      <c r="AS311" s="18"/>
      <c r="AT311" s="18"/>
      <c r="AU311" s="18"/>
      <c r="AV311" s="18"/>
      <c r="AW311" s="18"/>
      <c r="AX311" s="18"/>
      <c r="AY311" s="18"/>
      <c r="AZ311" s="18"/>
      <c r="BA311" s="14"/>
      <c r="BB311" s="14"/>
      <c r="BC311" s="14"/>
      <c r="BD311" s="14"/>
      <c r="BE311" s="14"/>
      <c r="BF311" s="14"/>
      <c r="BG311" s="14"/>
      <c r="BH311" s="14"/>
      <c r="BI311" s="14"/>
      <c r="BJ311" s="14"/>
      <c r="BK311" s="14"/>
      <c r="BL311" s="14"/>
      <c r="BM311" s="14"/>
      <c r="BN311" s="14"/>
      <c r="BO311" s="14"/>
      <c r="BP311" s="14"/>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c r="CS311" s="14"/>
      <c r="CT311" s="14"/>
      <c r="CU311" s="14"/>
      <c r="CV311" s="14"/>
      <c r="CW311" s="14"/>
      <c r="CX311" s="14"/>
      <c r="CY311" s="14"/>
      <c r="CZ311" s="14"/>
      <c r="DA311" s="14"/>
      <c r="DB311" s="14"/>
      <c r="DC311" s="14"/>
      <c r="DD311" s="14"/>
      <c r="DE311" s="14"/>
      <c r="DF311" s="14"/>
      <c r="DG311" s="14"/>
      <c r="DH311" s="14"/>
      <c r="DI311" s="14"/>
      <c r="DJ311" s="14"/>
      <c r="DK311" s="14"/>
      <c r="DL311" s="14"/>
      <c r="DM311" s="14"/>
      <c r="DN311" s="14"/>
      <c r="DO311" s="14"/>
      <c r="DP311" s="14"/>
      <c r="DQ311" s="14"/>
      <c r="DR311" s="14"/>
      <c r="DS311" s="14"/>
      <c r="DT311" s="14"/>
      <c r="DU311" s="14"/>
      <c r="DV311" s="14"/>
      <c r="DW311" s="14"/>
      <c r="DX311" s="14"/>
      <c r="DY311" s="14"/>
      <c r="DZ311" s="14"/>
      <c r="EA311" s="14"/>
      <c r="EB311" s="14"/>
      <c r="EC311" s="14"/>
      <c r="ED311" s="14"/>
      <c r="EE311" s="14"/>
      <c r="EF311" s="14"/>
      <c r="EG311" s="14"/>
      <c r="EH311" s="14"/>
      <c r="EI311" s="14"/>
      <c r="EJ311" s="14"/>
      <c r="EK311" s="14"/>
      <c r="EL311" s="14"/>
    </row>
    <row r="312" spans="1:142" s="63" customFormat="1" ht="15" customHeight="1" x14ac:dyDescent="0.2">
      <c r="A312" s="3"/>
      <c r="B312" s="586"/>
      <c r="C312" s="582"/>
      <c r="D312" s="587"/>
      <c r="E312" s="567"/>
      <c r="F312" s="1410" t="str">
        <f>IF(OR(S308=1,Z297=1,Z297=5,Z297=6,Z297=7),"","Soleus")</f>
        <v>Soleus</v>
      </c>
      <c r="G312" s="1410"/>
      <c r="H312" s="1410"/>
      <c r="I312" s="1410"/>
      <c r="J312" s="1410"/>
      <c r="K312" s="1410"/>
      <c r="L312" s="1410"/>
      <c r="M312" s="88">
        <f t="shared" si="30"/>
        <v>0</v>
      </c>
      <c r="N312" s="254"/>
      <c r="O312" s="254"/>
      <c r="P312" s="355" t="str">
        <f t="shared" si="33"/>
        <v/>
      </c>
      <c r="Q312" s="35"/>
      <c r="R312" s="686" t="b">
        <v>0</v>
      </c>
      <c r="S312" s="736">
        <f t="shared" si="26"/>
        <v>0</v>
      </c>
      <c r="T312" s="747">
        <f t="shared" si="27"/>
        <v>0</v>
      </c>
      <c r="U312" s="747">
        <f t="shared" si="28"/>
        <v>0</v>
      </c>
      <c r="V312" s="747">
        <f t="shared" si="31"/>
        <v>0</v>
      </c>
      <c r="W312" s="747">
        <f t="shared" si="32"/>
        <v>0</v>
      </c>
      <c r="X312" s="747">
        <f t="shared" si="29"/>
        <v>0</v>
      </c>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4"/>
      <c r="BB312" s="14"/>
      <c r="BC312" s="14"/>
      <c r="BD312" s="14"/>
      <c r="BE312" s="14"/>
      <c r="BF312" s="14"/>
      <c r="BG312" s="14"/>
      <c r="BH312" s="14"/>
      <c r="BI312" s="14"/>
      <c r="BJ312" s="14"/>
      <c r="BK312" s="14"/>
      <c r="BL312" s="14"/>
      <c r="BM312" s="14"/>
      <c r="BN312" s="14"/>
      <c r="BO312" s="14"/>
      <c r="BP312" s="14"/>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c r="CS312" s="14"/>
      <c r="CT312" s="14"/>
      <c r="CU312" s="14"/>
      <c r="CV312" s="14"/>
      <c r="CW312" s="14"/>
      <c r="CX312" s="14"/>
      <c r="CY312" s="14"/>
      <c r="CZ312" s="14"/>
      <c r="DA312" s="14"/>
      <c r="DB312" s="14"/>
      <c r="DC312" s="14"/>
      <c r="DD312" s="14"/>
      <c r="DE312" s="14"/>
      <c r="DF312" s="14"/>
      <c r="DG312" s="14"/>
      <c r="DH312" s="14"/>
      <c r="DI312" s="14"/>
      <c r="DJ312" s="14"/>
      <c r="DK312" s="14"/>
      <c r="DL312" s="14"/>
      <c r="DM312" s="14"/>
      <c r="DN312" s="14"/>
      <c r="DO312" s="14"/>
      <c r="DP312" s="14"/>
      <c r="DQ312" s="14"/>
      <c r="DR312" s="14"/>
      <c r="DS312" s="14"/>
      <c r="DT312" s="14"/>
      <c r="DU312" s="14"/>
      <c r="DV312" s="14"/>
      <c r="DW312" s="14"/>
      <c r="DX312" s="14"/>
      <c r="DY312" s="14"/>
      <c r="DZ312" s="14"/>
      <c r="EA312" s="14"/>
      <c r="EB312" s="14"/>
      <c r="EC312" s="14"/>
      <c r="ED312" s="14"/>
      <c r="EE312" s="14"/>
      <c r="EF312" s="14"/>
      <c r="EG312" s="14"/>
      <c r="EH312" s="14"/>
      <c r="EI312" s="14"/>
      <c r="EJ312" s="14"/>
      <c r="EK312" s="14"/>
      <c r="EL312" s="14"/>
    </row>
    <row r="313" spans="1:142" s="63" customFormat="1" ht="15" customHeight="1" x14ac:dyDescent="0.2">
      <c r="A313" s="3"/>
      <c r="B313" s="586"/>
      <c r="C313" s="582"/>
      <c r="D313" s="587"/>
      <c r="E313" s="567"/>
      <c r="F313" s="1887" t="str">
        <f>IF(OR(S308=1,Z297=1,Z297=5,Z297=6,Z297=7),"","Tibialis posterior")</f>
        <v>Tibialis posterior</v>
      </c>
      <c r="G313" s="1887"/>
      <c r="H313" s="1887"/>
      <c r="I313" s="1887"/>
      <c r="J313" s="1887"/>
      <c r="K313" s="1887"/>
      <c r="L313" s="1887"/>
      <c r="M313" s="88">
        <f t="shared" si="30"/>
        <v>0</v>
      </c>
      <c r="N313" s="254"/>
      <c r="O313" s="254"/>
      <c r="P313" s="355" t="str">
        <f t="shared" si="33"/>
        <v/>
      </c>
      <c r="Q313" s="35"/>
      <c r="R313" s="686" t="b">
        <v>0</v>
      </c>
      <c r="S313" s="736">
        <f t="shared" si="26"/>
        <v>0</v>
      </c>
      <c r="T313" s="747">
        <f t="shared" si="27"/>
        <v>0</v>
      </c>
      <c r="U313" s="747">
        <f t="shared" si="28"/>
        <v>0</v>
      </c>
      <c r="V313" s="747">
        <f t="shared" si="31"/>
        <v>0</v>
      </c>
      <c r="W313" s="747">
        <f t="shared" si="32"/>
        <v>0</v>
      </c>
      <c r="X313" s="747">
        <f t="shared" si="29"/>
        <v>0</v>
      </c>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4"/>
      <c r="BB313" s="14"/>
      <c r="BC313" s="14"/>
      <c r="BD313" s="176"/>
      <c r="BE313" s="15"/>
      <c r="BF313" s="15"/>
      <c r="BG313" s="15"/>
      <c r="BH313" s="15"/>
      <c r="BI313" s="15"/>
      <c r="BJ313" s="15"/>
      <c r="BK313" s="15"/>
      <c r="BL313" s="15"/>
      <c r="BM313" s="15"/>
      <c r="BN313" s="15"/>
      <c r="BO313" s="15"/>
      <c r="BP313" s="15"/>
      <c r="BQ313" s="15"/>
      <c r="BR313" s="14"/>
      <c r="BS313" s="18"/>
      <c r="BT313" s="18"/>
      <c r="BU313" s="18"/>
      <c r="BV313" s="18"/>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4"/>
      <c r="DV313" s="14"/>
      <c r="DW313" s="14"/>
      <c r="DX313" s="14"/>
      <c r="DY313" s="14"/>
      <c r="DZ313" s="14"/>
      <c r="EA313" s="14"/>
      <c r="EB313" s="14"/>
      <c r="EC313" s="14"/>
      <c r="ED313" s="14"/>
      <c r="EE313" s="14"/>
      <c r="EF313" s="14"/>
      <c r="EG313" s="14"/>
      <c r="EH313" s="14"/>
      <c r="EI313" s="14"/>
      <c r="EJ313" s="14"/>
      <c r="EK313" s="14"/>
      <c r="EL313" s="14"/>
    </row>
    <row r="314" spans="1:142" s="63" customFormat="1" ht="15" customHeight="1" x14ac:dyDescent="0.2">
      <c r="A314" s="3"/>
      <c r="B314" s="586"/>
      <c r="C314" s="582"/>
      <c r="D314" s="587"/>
      <c r="E314" s="567"/>
      <c r="F314" s="1410" t="str">
        <f>IF(OR(S308=1,Z297=1,Z297=5,Z297=6,Z297=7),"","Flexor digitorum longus")</f>
        <v>Flexor digitorum longus</v>
      </c>
      <c r="G314" s="1410"/>
      <c r="H314" s="1410"/>
      <c r="I314" s="1410"/>
      <c r="J314" s="1410"/>
      <c r="K314" s="1410"/>
      <c r="L314" s="1410"/>
      <c r="M314" s="88">
        <f t="shared" si="30"/>
        <v>0</v>
      </c>
      <c r="N314" s="254"/>
      <c r="O314" s="254"/>
      <c r="P314" s="355" t="str">
        <f t="shared" si="33"/>
        <v/>
      </c>
      <c r="Q314" s="35"/>
      <c r="R314" s="686" t="b">
        <v>0</v>
      </c>
      <c r="S314" s="736">
        <f t="shared" si="26"/>
        <v>0</v>
      </c>
      <c r="T314" s="747">
        <f t="shared" si="27"/>
        <v>0</v>
      </c>
      <c r="U314" s="747">
        <f t="shared" si="28"/>
        <v>0</v>
      </c>
      <c r="V314" s="747">
        <f t="shared" si="31"/>
        <v>0</v>
      </c>
      <c r="W314" s="747">
        <f t="shared" si="32"/>
        <v>0</v>
      </c>
      <c r="X314" s="747">
        <f t="shared" si="29"/>
        <v>0</v>
      </c>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4"/>
      <c r="BB314" s="14"/>
      <c r="BC314" s="14"/>
      <c r="BD314" s="14"/>
      <c r="BE314" s="14"/>
      <c r="BF314" s="14"/>
      <c r="BG314" s="14"/>
      <c r="BH314" s="14"/>
      <c r="BI314" s="14"/>
      <c r="BJ314" s="14"/>
      <c r="BK314" s="14"/>
      <c r="BL314" s="15"/>
      <c r="BM314" s="15"/>
      <c r="BN314" s="15"/>
      <c r="BO314" s="15"/>
      <c r="BP314" s="15"/>
      <c r="BQ314" s="15"/>
      <c r="BR314" s="14"/>
      <c r="BS314" s="18"/>
      <c r="BT314" s="18"/>
      <c r="BU314" s="18"/>
      <c r="BV314" s="18"/>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14"/>
      <c r="CS314" s="14"/>
      <c r="CT314" s="14"/>
      <c r="CU314" s="14"/>
      <c r="CV314" s="14"/>
      <c r="CW314" s="14"/>
      <c r="CX314" s="14"/>
      <c r="CY314" s="14"/>
      <c r="CZ314" s="14"/>
      <c r="DA314" s="14"/>
      <c r="DB314" s="14"/>
      <c r="DC314" s="14"/>
      <c r="DD314" s="14"/>
      <c r="DE314" s="14"/>
      <c r="DF314" s="14"/>
      <c r="DG314" s="14"/>
      <c r="DH314" s="14"/>
      <c r="DI314" s="14"/>
      <c r="DJ314" s="14"/>
      <c r="DK314" s="14"/>
      <c r="DL314" s="14"/>
      <c r="DM314" s="14"/>
      <c r="DN314" s="14"/>
      <c r="DO314" s="14"/>
      <c r="DP314" s="14"/>
      <c r="DQ314" s="14"/>
      <c r="DR314" s="14"/>
      <c r="DS314" s="14"/>
      <c r="DT314" s="14"/>
      <c r="DU314" s="14"/>
      <c r="DV314" s="14"/>
      <c r="DW314" s="14"/>
      <c r="DX314" s="14"/>
      <c r="DY314" s="14"/>
      <c r="DZ314" s="14"/>
      <c r="EA314" s="14"/>
      <c r="EB314" s="14"/>
      <c r="EC314" s="14"/>
      <c r="ED314" s="14"/>
      <c r="EE314" s="14"/>
      <c r="EF314" s="14"/>
      <c r="EG314" s="14"/>
      <c r="EH314" s="14"/>
      <c r="EI314" s="14"/>
      <c r="EJ314" s="14"/>
      <c r="EK314" s="14"/>
      <c r="EL314" s="14"/>
    </row>
    <row r="315" spans="1:142" s="63" customFormat="1" ht="15" customHeight="1" x14ac:dyDescent="0.2">
      <c r="A315" s="3"/>
      <c r="B315" s="586"/>
      <c r="C315" s="582"/>
      <c r="D315" s="587"/>
      <c r="E315" s="567"/>
      <c r="F315" s="1887" t="str">
        <f>IF(OR(S308=1,Z297=1,Z297=5,Z297=6,Z297=7),"","Flexor hallucis longus")</f>
        <v>Flexor hallucis longus</v>
      </c>
      <c r="G315" s="1887"/>
      <c r="H315" s="1887"/>
      <c r="I315" s="1887"/>
      <c r="J315" s="1887"/>
      <c r="K315" s="1887"/>
      <c r="L315" s="1887"/>
      <c r="M315" s="88">
        <f t="shared" si="30"/>
        <v>0</v>
      </c>
      <c r="N315" s="254"/>
      <c r="O315" s="254"/>
      <c r="P315" s="355" t="str">
        <f t="shared" si="33"/>
        <v/>
      </c>
      <c r="Q315" s="35"/>
      <c r="R315" s="686" t="b">
        <v>0</v>
      </c>
      <c r="S315" s="736">
        <f t="shared" si="26"/>
        <v>0</v>
      </c>
      <c r="T315" s="747">
        <f t="shared" si="27"/>
        <v>0</v>
      </c>
      <c r="U315" s="747">
        <f t="shared" si="28"/>
        <v>0</v>
      </c>
      <c r="V315" s="747">
        <f t="shared" si="31"/>
        <v>0</v>
      </c>
      <c r="W315" s="747">
        <f t="shared" si="32"/>
        <v>0</v>
      </c>
      <c r="X315" s="747">
        <f t="shared" si="29"/>
        <v>0</v>
      </c>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4"/>
      <c r="BB315" s="14"/>
      <c r="BC315" s="14"/>
      <c r="BD315" s="14"/>
      <c r="BE315" s="14"/>
      <c r="BF315" s="14"/>
      <c r="BG315" s="14"/>
      <c r="BH315" s="14"/>
      <c r="BI315" s="14"/>
      <c r="BJ315" s="14"/>
      <c r="BK315" s="14"/>
      <c r="BL315" s="14"/>
      <c r="BM315" s="14"/>
      <c r="BN315" s="14"/>
      <c r="BO315" s="14"/>
      <c r="BP315" s="14"/>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14"/>
      <c r="CS315" s="14"/>
      <c r="CT315" s="14"/>
      <c r="CU315" s="14"/>
      <c r="CV315" s="14"/>
      <c r="CW315" s="14"/>
      <c r="CX315" s="14"/>
      <c r="CY315" s="14"/>
      <c r="CZ315" s="14"/>
      <c r="DA315" s="14"/>
      <c r="DB315" s="14"/>
      <c r="DC315" s="14"/>
      <c r="DD315" s="14"/>
      <c r="DE315" s="14"/>
      <c r="DF315" s="14"/>
      <c r="DG315" s="14"/>
      <c r="DH315" s="14"/>
      <c r="DI315" s="14"/>
      <c r="DJ315" s="14"/>
      <c r="DK315" s="14"/>
      <c r="DL315" s="14"/>
      <c r="DM315" s="14"/>
      <c r="DN315" s="14"/>
      <c r="DO315" s="14"/>
      <c r="DP315" s="14"/>
      <c r="DQ315" s="14"/>
      <c r="DR315" s="14"/>
      <c r="DS315" s="14"/>
      <c r="DT315" s="14"/>
      <c r="DU315" s="14"/>
      <c r="DV315" s="14"/>
      <c r="DW315" s="14"/>
      <c r="DX315" s="14"/>
      <c r="DY315" s="14"/>
      <c r="DZ315" s="14"/>
      <c r="EA315" s="14"/>
      <c r="EB315" s="14"/>
      <c r="EC315" s="14"/>
      <c r="ED315" s="14"/>
      <c r="EE315" s="14"/>
      <c r="EF315" s="14"/>
      <c r="EG315" s="14"/>
      <c r="EH315" s="14"/>
      <c r="EI315" s="14"/>
      <c r="EJ315" s="14"/>
      <c r="EK315" s="14"/>
      <c r="EL315" s="14"/>
    </row>
    <row r="316" spans="1:142" s="63" customFormat="1" ht="15" customHeight="1" x14ac:dyDescent="0.2">
      <c r="A316" s="3"/>
      <c r="B316" s="586"/>
      <c r="C316" s="582"/>
      <c r="D316" s="587"/>
      <c r="E316" s="567"/>
      <c r="F316" s="1887" t="str">
        <f>IF(OR(Z297=1,Z297=7),"",IF(AND(Z297=6,S308=1),"",IF(AND(S308=1,Z297=5),"Lateral plantar branch",IF(S308=1,"","Abductor digiti minimi"))))</f>
        <v>Abductor digiti minimi</v>
      </c>
      <c r="G316" s="1887"/>
      <c r="H316" s="1887"/>
      <c r="I316" s="1887"/>
      <c r="J316" s="1887"/>
      <c r="K316" s="1887"/>
      <c r="L316" s="1887"/>
      <c r="M316" s="88">
        <f>IF(OR(F316="",S316=0),0,0.06)</f>
        <v>0</v>
      </c>
      <c r="N316" s="254"/>
      <c r="O316" s="254"/>
      <c r="P316" s="355" t="str">
        <f t="shared" si="33"/>
        <v/>
      </c>
      <c r="Q316" s="3"/>
      <c r="R316" s="686" t="b">
        <v>0</v>
      </c>
      <c r="S316" s="736">
        <f t="shared" si="26"/>
        <v>0</v>
      </c>
      <c r="T316" s="891">
        <f t="shared" si="27"/>
        <v>0</v>
      </c>
      <c r="U316" s="891">
        <f t="shared" si="28"/>
        <v>0</v>
      </c>
      <c r="V316" s="891">
        <f t="shared" si="31"/>
        <v>0</v>
      </c>
      <c r="W316" s="891">
        <f t="shared" si="32"/>
        <v>0</v>
      </c>
      <c r="X316" s="891">
        <f t="shared" si="29"/>
        <v>0</v>
      </c>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4"/>
      <c r="BB316" s="14"/>
      <c r="BC316" s="14"/>
      <c r="BD316" s="14"/>
      <c r="BE316" s="14"/>
      <c r="BF316" s="14"/>
      <c r="BG316" s="14"/>
      <c r="BH316" s="14"/>
      <c r="BI316" s="14"/>
      <c r="BJ316" s="14"/>
      <c r="BK316" s="14"/>
      <c r="BL316" s="14"/>
      <c r="BM316" s="14"/>
      <c r="BN316" s="14"/>
      <c r="BO316" s="14"/>
      <c r="BP316" s="14"/>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c r="CS316" s="14"/>
      <c r="CT316" s="14"/>
      <c r="CU316" s="14"/>
      <c r="CV316" s="14"/>
      <c r="CW316" s="14"/>
      <c r="CX316" s="14"/>
      <c r="CY316" s="14"/>
      <c r="CZ316" s="14"/>
      <c r="DA316" s="14"/>
      <c r="DB316" s="14"/>
      <c r="DC316" s="14"/>
      <c r="DD316" s="14"/>
      <c r="DE316" s="14"/>
      <c r="DF316" s="14"/>
      <c r="DG316" s="14"/>
      <c r="DH316" s="14"/>
      <c r="DI316" s="14"/>
      <c r="DJ316" s="14"/>
      <c r="DK316" s="14"/>
      <c r="DL316" s="14"/>
      <c r="DM316" s="14"/>
      <c r="DN316" s="14"/>
      <c r="DO316" s="14"/>
      <c r="DP316" s="14"/>
      <c r="DQ316" s="14"/>
      <c r="DR316" s="14"/>
      <c r="DS316" s="14"/>
      <c r="DT316" s="14"/>
      <c r="DU316" s="14"/>
      <c r="DV316" s="14"/>
      <c r="DW316" s="14"/>
      <c r="DX316" s="14"/>
      <c r="DY316" s="14"/>
      <c r="DZ316" s="14"/>
      <c r="EA316" s="14"/>
      <c r="EB316" s="14"/>
      <c r="EC316" s="14"/>
      <c r="ED316" s="14"/>
      <c r="EE316" s="14"/>
      <c r="EF316" s="14"/>
      <c r="EG316" s="14"/>
      <c r="EH316" s="14"/>
      <c r="EI316" s="14"/>
      <c r="EJ316" s="14"/>
      <c r="EK316" s="14"/>
      <c r="EL316" s="14"/>
    </row>
    <row r="317" spans="1:142" s="63" customFormat="1" ht="15" customHeight="1" x14ac:dyDescent="0.2">
      <c r="A317" s="3"/>
      <c r="B317" s="586"/>
      <c r="C317" s="582"/>
      <c r="D317" s="587"/>
      <c r="E317" s="567"/>
      <c r="F317" s="1887" t="str">
        <f>IF(OR(S308=1,Z297=1,Z297=7),"","Dorsal interossei")</f>
        <v>Dorsal interossei</v>
      </c>
      <c r="G317" s="1887"/>
      <c r="H317" s="1887"/>
      <c r="I317" s="1887"/>
      <c r="J317" s="1887"/>
      <c r="K317" s="1887"/>
      <c r="L317" s="1887"/>
      <c r="M317" s="88">
        <f>IF(OR(F317="",S317=0),0,0.06)</f>
        <v>0</v>
      </c>
      <c r="N317" s="254"/>
      <c r="O317" s="254"/>
      <c r="P317" s="355" t="str">
        <f t="shared" si="33"/>
        <v/>
      </c>
      <c r="Q317" s="3"/>
      <c r="R317" s="686" t="b">
        <v>0</v>
      </c>
      <c r="S317" s="736">
        <f t="shared" si="26"/>
        <v>0</v>
      </c>
      <c r="T317" s="747">
        <f t="shared" si="27"/>
        <v>0</v>
      </c>
      <c r="U317" s="747">
        <f t="shared" si="28"/>
        <v>0</v>
      </c>
      <c r="V317" s="747">
        <f t="shared" si="31"/>
        <v>0</v>
      </c>
      <c r="W317" s="747">
        <f t="shared" si="32"/>
        <v>0</v>
      </c>
      <c r="X317" s="747">
        <f t="shared" si="29"/>
        <v>0</v>
      </c>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4"/>
      <c r="BB317" s="14"/>
      <c r="BC317" s="14"/>
      <c r="BD317" s="14"/>
      <c r="BE317" s="14"/>
      <c r="BF317" s="14"/>
      <c r="BG317" s="14"/>
      <c r="BH317" s="14"/>
      <c r="BI317" s="14"/>
      <c r="BJ317" s="14"/>
      <c r="BK317" s="14"/>
      <c r="BL317" s="14"/>
      <c r="BM317" s="14"/>
      <c r="BN317" s="14"/>
      <c r="BO317" s="14"/>
      <c r="BP317" s="14"/>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c r="CS317" s="14"/>
      <c r="CT317" s="14"/>
      <c r="CU317" s="14"/>
      <c r="CV317" s="14"/>
      <c r="CW317" s="14"/>
      <c r="CX317" s="14"/>
      <c r="CY317" s="14"/>
      <c r="CZ317" s="14"/>
      <c r="DA317" s="14"/>
      <c r="DB317" s="14"/>
      <c r="DC317" s="14"/>
      <c r="DD317" s="14"/>
      <c r="DE317" s="14"/>
      <c r="DF317" s="14"/>
      <c r="DG317" s="14"/>
      <c r="DH317" s="14"/>
      <c r="DI317" s="14"/>
      <c r="DJ317" s="14"/>
      <c r="DK317" s="14"/>
      <c r="DL317" s="14"/>
      <c r="DM317" s="14"/>
      <c r="DN317" s="14"/>
      <c r="DO317" s="14"/>
      <c r="DP317" s="14"/>
      <c r="DQ317" s="14"/>
      <c r="DR317" s="14"/>
      <c r="DS317" s="14"/>
      <c r="DT317" s="14"/>
      <c r="DU317" s="14"/>
      <c r="DV317" s="14"/>
      <c r="DW317" s="14"/>
      <c r="DX317" s="14"/>
      <c r="DY317" s="14"/>
      <c r="DZ317" s="14"/>
      <c r="EA317" s="14"/>
      <c r="EB317" s="14"/>
      <c r="EC317" s="14"/>
      <c r="ED317" s="14"/>
      <c r="EE317" s="14"/>
      <c r="EF317" s="14"/>
      <c r="EG317" s="14"/>
      <c r="EH317" s="14"/>
      <c r="EI317" s="14"/>
      <c r="EJ317" s="14"/>
      <c r="EK317" s="14"/>
      <c r="EL317" s="14"/>
    </row>
    <row r="318" spans="1:142" s="63" customFormat="1" ht="15" customHeight="1" x14ac:dyDescent="0.2">
      <c r="A318" s="3"/>
      <c r="B318" s="586"/>
      <c r="C318" s="582"/>
      <c r="D318" s="587"/>
      <c r="E318" s="581"/>
      <c r="F318" s="1740" t="str">
        <f>IF(OR(Z297=5,Z297=6),"Total for lateral plantar branch of the tibial nerve:","")</f>
        <v/>
      </c>
      <c r="G318" s="1741"/>
      <c r="H318" s="1741"/>
      <c r="I318" s="1741"/>
      <c r="J318" s="1741"/>
      <c r="K318" s="1741"/>
      <c r="L318" s="1741"/>
      <c r="M318" s="1741"/>
      <c r="N318" s="1741"/>
      <c r="O318" s="1742"/>
      <c r="P318" s="355" t="str">
        <f>IF(AND(P316="",P317=""),"",IF(OR(Z297=5,Z297=6),AVERAGE(P316:P317),""))</f>
        <v/>
      </c>
      <c r="Q318" s="3"/>
      <c r="R318" s="174"/>
      <c r="S318" s="116"/>
      <c r="T318" s="111"/>
      <c r="U318" s="111"/>
      <c r="V318" s="111"/>
      <c r="W318" s="111"/>
      <c r="X318" s="111"/>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4"/>
      <c r="BB318" s="14"/>
      <c r="BC318" s="14"/>
      <c r="BD318" s="14"/>
      <c r="BE318" s="14"/>
      <c r="BF318" s="14"/>
      <c r="BG318" s="14"/>
      <c r="BH318" s="14"/>
      <c r="BI318" s="14"/>
      <c r="BJ318" s="14"/>
      <c r="BK318" s="14"/>
      <c r="BL318" s="14"/>
      <c r="BM318" s="14"/>
      <c r="BN318" s="14"/>
      <c r="BO318" s="14"/>
      <c r="BP318" s="14"/>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row>
    <row r="319" spans="1:142" s="63" customFormat="1" ht="15" customHeight="1" x14ac:dyDescent="0.2">
      <c r="A319" s="3"/>
      <c r="B319" s="588"/>
      <c r="C319" s="589"/>
      <c r="D319" s="590"/>
      <c r="E319" s="567"/>
      <c r="F319" s="1410" t="str">
        <f>IF(OR(Z297=1,Z297=6),"",IF(AND(Z297=7,S308=1),"",IF(AND(S308=1,Z297=5),"Medial plantar branch",IF(S308=1,"","Abductor hallucis"))))</f>
        <v>Abductor hallucis</v>
      </c>
      <c r="G319" s="1410"/>
      <c r="H319" s="1410"/>
      <c r="I319" s="1410"/>
      <c r="J319" s="1410"/>
      <c r="K319" s="1410"/>
      <c r="L319" s="1410"/>
      <c r="M319" s="88">
        <f>IF(OR(F319="",S319=0),0,0.06)</f>
        <v>0</v>
      </c>
      <c r="N319" s="254"/>
      <c r="O319" s="254"/>
      <c r="P319" s="355" t="str">
        <f t="shared" si="33"/>
        <v/>
      </c>
      <c r="Q319" s="3"/>
      <c r="R319" s="686" t="b">
        <v>0</v>
      </c>
      <c r="S319" s="736">
        <f>IF(R319=TRUE,1,0)</f>
        <v>0</v>
      </c>
      <c r="T319" s="747">
        <f>SUMIF($T$278:$AH$278,N319,$T$279:$AH$279)</f>
        <v>0</v>
      </c>
      <c r="U319" s="747">
        <f>SUMIF($S$278:$AH$278,O319,$S$279:$AH$279)</f>
        <v>0</v>
      </c>
      <c r="V319" s="747">
        <f>M319*T319</f>
        <v>0</v>
      </c>
      <c r="W319" s="747">
        <f>M319*U319</f>
        <v>0</v>
      </c>
      <c r="X319" s="747">
        <f>(IF(V319-W319&lt;=0,0,V319-W319))</f>
        <v>0</v>
      </c>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4"/>
      <c r="BB319" s="14"/>
      <c r="BC319" s="14"/>
      <c r="BD319" s="14"/>
      <c r="BE319" s="14"/>
      <c r="BF319" s="14"/>
      <c r="BG319" s="14"/>
      <c r="BH319" s="14"/>
      <c r="BI319" s="14"/>
      <c r="BJ319" s="14"/>
      <c r="BK319" s="14"/>
      <c r="BL319" s="14"/>
      <c r="BM319" s="14"/>
      <c r="BN319" s="14"/>
      <c r="BO319" s="14"/>
      <c r="BP319" s="14"/>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c r="CO319" s="14"/>
      <c r="CP319" s="14"/>
      <c r="CQ319" s="14"/>
      <c r="CR319" s="14"/>
      <c r="CS319" s="14"/>
      <c r="CT319" s="14"/>
      <c r="CU319" s="14"/>
      <c r="CV319" s="14"/>
      <c r="CW319" s="14"/>
      <c r="CX319" s="14"/>
      <c r="CY319" s="14"/>
      <c r="CZ319" s="14"/>
      <c r="DA319" s="14"/>
      <c r="DB319" s="14"/>
      <c r="DC319" s="14"/>
      <c r="DD319" s="14"/>
      <c r="DE319" s="14"/>
      <c r="DF319" s="14"/>
      <c r="DG319" s="14"/>
      <c r="DH319" s="14"/>
      <c r="DI319" s="14"/>
      <c r="DJ319" s="14"/>
      <c r="DK319" s="14"/>
      <c r="DL319" s="14"/>
      <c r="DM319" s="14"/>
      <c r="DN319" s="14"/>
      <c r="DO319" s="14"/>
      <c r="DP319" s="14"/>
      <c r="DQ319" s="14"/>
      <c r="DR319" s="14"/>
      <c r="DS319" s="14"/>
      <c r="DT319" s="14"/>
      <c r="DU319" s="14"/>
      <c r="DV319" s="14"/>
      <c r="DW319" s="14"/>
      <c r="DX319" s="14"/>
      <c r="DY319" s="14"/>
      <c r="DZ319" s="14"/>
      <c r="EA319" s="14"/>
      <c r="EB319" s="14"/>
      <c r="EC319" s="14"/>
      <c r="ED319" s="14"/>
      <c r="EE319" s="14"/>
      <c r="EF319" s="14"/>
      <c r="EG319" s="14"/>
      <c r="EH319" s="14"/>
      <c r="EI319" s="14"/>
      <c r="EJ319" s="14"/>
      <c r="EK319" s="14"/>
      <c r="EL319" s="14"/>
    </row>
    <row r="320" spans="1:142" s="63" customFormat="1" ht="18" customHeight="1" x14ac:dyDescent="0.2">
      <c r="A320" s="3"/>
      <c r="B320" s="1856" t="str">
        <f>IF(Z297=2,"Total for tibial nerve; LEG impairment:",IF(OR(Z297=3,Z297=4),"Total for tibial nerve; FOOT impairment:",IF(OR(Z297=5,Z297=7),"Total for medial plantar branch of the tibial nerve:","")))</f>
        <v>Total for tibial nerve; LEG impairment:</v>
      </c>
      <c r="C320" s="1856"/>
      <c r="D320" s="1856"/>
      <c r="E320" s="1570"/>
      <c r="F320" s="1570"/>
      <c r="G320" s="1570"/>
      <c r="H320" s="1570"/>
      <c r="I320" s="1570"/>
      <c r="J320" s="1570"/>
      <c r="K320" s="1570"/>
      <c r="L320" s="1570"/>
      <c r="M320" s="1570"/>
      <c r="N320" s="1570"/>
      <c r="O320" s="1570"/>
      <c r="P320" s="355">
        <f>IF(T320=0,0,IF(OR(Z297=1,Z297=6),0,IF(OR(Z297=5,Z297=7),AVERAGE(P319,P308),IF(OR(Z297=2,Z297=3,Z297=4),AVERAGE(P308:P319)))))</f>
        <v>0</v>
      </c>
      <c r="Q320" s="3"/>
      <c r="R320" s="864" t="s">
        <v>1720</v>
      </c>
      <c r="S320" s="736">
        <f>SUM(S308:S319)</f>
        <v>0</v>
      </c>
      <c r="T320" s="747">
        <f>SUM(P308:P319)</f>
        <v>0</v>
      </c>
      <c r="U320" s="747"/>
      <c r="V320" s="684"/>
      <c r="W320" s="684"/>
      <c r="X320" s="684">
        <f>SUM(X308:X319)</f>
        <v>0</v>
      </c>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4"/>
      <c r="BB320" s="14"/>
      <c r="BC320" s="14"/>
      <c r="BD320" s="14"/>
      <c r="BE320" s="14"/>
      <c r="BF320" s="14"/>
      <c r="BG320" s="14"/>
      <c r="BH320" s="14"/>
      <c r="BI320" s="14"/>
      <c r="BJ320" s="14"/>
      <c r="BK320" s="14"/>
      <c r="BL320" s="14"/>
      <c r="BM320" s="14"/>
      <c r="BN320" s="14"/>
      <c r="BO320" s="14"/>
      <c r="BP320" s="14"/>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row>
    <row r="321" spans="1:142" s="63" customFormat="1" ht="15" customHeight="1" x14ac:dyDescent="0.2">
      <c r="A321" s="3"/>
      <c r="B321" s="1367" t="s">
        <v>423</v>
      </c>
      <c r="C321" s="1368"/>
      <c r="D321" s="1369"/>
      <c r="E321" s="565"/>
      <c r="F321" s="1410" t="s">
        <v>985</v>
      </c>
      <c r="G321" s="1410"/>
      <c r="H321" s="1410"/>
      <c r="I321" s="1410"/>
      <c r="J321" s="1410"/>
      <c r="K321" s="1410"/>
      <c r="L321" s="1410"/>
      <c r="M321" s="92">
        <f t="shared" ref="M321:M327" si="34">IF(OR(F321="",S321=0),0,0.3)</f>
        <v>0</v>
      </c>
      <c r="N321" s="254"/>
      <c r="O321" s="254"/>
      <c r="P321" s="355" t="str">
        <f>IF(X321=0,"",X321)</f>
        <v/>
      </c>
      <c r="Q321" s="35"/>
      <c r="R321" s="686" t="b">
        <v>0</v>
      </c>
      <c r="S321" s="736">
        <f t="shared" ref="S321:S327" si="35">IF(R321=TRUE,1,0)</f>
        <v>0</v>
      </c>
      <c r="T321" s="747">
        <f t="shared" ref="T321:T327" si="36">SUMIF($T$278:$AH$278,N321,$T$279:$AH$279)</f>
        <v>0</v>
      </c>
      <c r="U321" s="747">
        <f t="shared" ref="U321:U327" si="37">SUMIF($S$278:$AH$278,O321,$S$279:$AH$279)</f>
        <v>0</v>
      </c>
      <c r="V321" s="747">
        <f t="shared" ref="V321:V327" si="38">M321*T321</f>
        <v>0</v>
      </c>
      <c r="W321" s="747">
        <f t="shared" ref="W321:W327" si="39">M321*U321</f>
        <v>0</v>
      </c>
      <c r="X321" s="747">
        <f t="shared" ref="X321:X327" si="40">(IF(V321-W321&lt;=0,0,V321-W321))</f>
        <v>0</v>
      </c>
      <c r="Y321" s="18"/>
      <c r="Z321" s="18"/>
      <c r="AA321" s="18"/>
      <c r="AB321" s="18"/>
      <c r="AC321" s="18"/>
      <c r="AD321" s="18"/>
      <c r="AE321" s="18"/>
      <c r="AF321" s="18"/>
      <c r="AG321" s="18"/>
      <c r="AH321" s="172"/>
      <c r="AI321" s="18"/>
      <c r="AJ321" s="18"/>
      <c r="AK321" s="18"/>
      <c r="AL321" s="18"/>
      <c r="AM321" s="18"/>
      <c r="AN321" s="18"/>
      <c r="AO321" s="18"/>
      <c r="AP321" s="18"/>
      <c r="AQ321" s="18"/>
      <c r="AR321" s="18"/>
      <c r="AS321" s="18"/>
      <c r="AT321" s="18"/>
      <c r="AU321" s="18"/>
      <c r="AV321" s="18"/>
      <c r="AW321" s="18"/>
      <c r="AX321" s="18"/>
      <c r="AY321" s="18"/>
      <c r="AZ321" s="18"/>
      <c r="BA321" s="14"/>
      <c r="BB321" s="14"/>
      <c r="BC321" s="14"/>
      <c r="BD321" s="14"/>
      <c r="BE321" s="14"/>
      <c r="BF321" s="14"/>
      <c r="BG321" s="14"/>
      <c r="BH321" s="14"/>
      <c r="BI321" s="14"/>
      <c r="BJ321" s="14"/>
      <c r="BK321" s="14"/>
      <c r="BL321" s="14"/>
      <c r="BM321" s="14"/>
      <c r="BN321" s="14"/>
      <c r="BO321" s="14"/>
      <c r="BP321" s="14"/>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row>
    <row r="322" spans="1:142" s="63" customFormat="1" ht="15" customHeight="1" x14ac:dyDescent="0.2">
      <c r="A322" s="3"/>
      <c r="B322" s="1437"/>
      <c r="C322" s="1438"/>
      <c r="D322" s="1439"/>
      <c r="E322" s="565"/>
      <c r="F322" s="1410" t="str">
        <f>IF(S321=1,"","Pectineus")</f>
        <v>Pectineus</v>
      </c>
      <c r="G322" s="1410"/>
      <c r="H322" s="1410"/>
      <c r="I322" s="1410"/>
      <c r="J322" s="1410"/>
      <c r="K322" s="1410"/>
      <c r="L322" s="1410"/>
      <c r="M322" s="92">
        <f t="shared" si="34"/>
        <v>0</v>
      </c>
      <c r="N322" s="254"/>
      <c r="O322" s="254"/>
      <c r="P322" s="355" t="str">
        <f t="shared" ref="P322:P327" si="41">IF(X322=0,"",X322)</f>
        <v/>
      </c>
      <c r="Q322" s="35"/>
      <c r="R322" s="686" t="b">
        <v>0</v>
      </c>
      <c r="S322" s="736">
        <f t="shared" si="35"/>
        <v>0</v>
      </c>
      <c r="T322" s="747">
        <f t="shared" si="36"/>
        <v>0</v>
      </c>
      <c r="U322" s="747">
        <f t="shared" si="37"/>
        <v>0</v>
      </c>
      <c r="V322" s="747">
        <f t="shared" si="38"/>
        <v>0</v>
      </c>
      <c r="W322" s="747">
        <f t="shared" si="39"/>
        <v>0</v>
      </c>
      <c r="X322" s="747">
        <f t="shared" si="40"/>
        <v>0</v>
      </c>
      <c r="Y322" s="18"/>
      <c r="Z322" s="18"/>
      <c r="AA322" s="18"/>
      <c r="AB322" s="18"/>
      <c r="AC322" s="18"/>
      <c r="AD322" s="18"/>
      <c r="AE322" s="18"/>
      <c r="AF322" s="18"/>
      <c r="AG322" s="18"/>
      <c r="AH322" s="172"/>
      <c r="AI322" s="18"/>
      <c r="AJ322" s="18"/>
      <c r="AK322" s="18"/>
      <c r="AL322" s="18"/>
      <c r="AM322" s="18"/>
      <c r="AN322" s="18"/>
      <c r="AO322" s="18"/>
      <c r="AP322" s="18"/>
      <c r="AQ322" s="18"/>
      <c r="AR322" s="18"/>
      <c r="AS322" s="18"/>
      <c r="AT322" s="18"/>
      <c r="AU322" s="18"/>
      <c r="AV322" s="18"/>
      <c r="AW322" s="18"/>
      <c r="AX322" s="18"/>
      <c r="AY322" s="18"/>
      <c r="AZ322" s="18"/>
      <c r="BA322" s="14"/>
      <c r="BB322" s="14"/>
      <c r="BC322" s="14"/>
      <c r="BD322" s="14"/>
      <c r="BE322" s="14"/>
      <c r="BF322" s="14"/>
      <c r="BG322" s="14"/>
      <c r="BH322" s="14"/>
      <c r="BI322" s="14"/>
      <c r="BJ322" s="14"/>
      <c r="BK322" s="14"/>
      <c r="BL322" s="14"/>
      <c r="BM322" s="14"/>
      <c r="BN322" s="14"/>
      <c r="BO322" s="14"/>
      <c r="BP322" s="14"/>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row>
    <row r="323" spans="1:142" s="63" customFormat="1" ht="15" customHeight="1" x14ac:dyDescent="0.2">
      <c r="A323" s="3"/>
      <c r="B323" s="1894"/>
      <c r="C323" s="1894"/>
      <c r="D323" s="1894"/>
      <c r="E323" s="565"/>
      <c r="F323" s="1410" t="str">
        <f>IF(S321=1,"","Sartorius")</f>
        <v>Sartorius</v>
      </c>
      <c r="G323" s="1410"/>
      <c r="H323" s="1410"/>
      <c r="I323" s="1410"/>
      <c r="J323" s="1410"/>
      <c r="K323" s="1410"/>
      <c r="L323" s="1410"/>
      <c r="M323" s="92">
        <f t="shared" si="34"/>
        <v>0</v>
      </c>
      <c r="N323" s="254"/>
      <c r="O323" s="254"/>
      <c r="P323" s="355" t="str">
        <f t="shared" si="41"/>
        <v/>
      </c>
      <c r="Q323" s="35"/>
      <c r="R323" s="686" t="b">
        <v>0</v>
      </c>
      <c r="S323" s="736">
        <f t="shared" si="35"/>
        <v>0</v>
      </c>
      <c r="T323" s="747">
        <f t="shared" si="36"/>
        <v>0</v>
      </c>
      <c r="U323" s="747">
        <f t="shared" si="37"/>
        <v>0</v>
      </c>
      <c r="V323" s="747">
        <f t="shared" si="38"/>
        <v>0</v>
      </c>
      <c r="W323" s="747">
        <f t="shared" si="39"/>
        <v>0</v>
      </c>
      <c r="X323" s="747">
        <f t="shared" si="40"/>
        <v>0</v>
      </c>
      <c r="Y323" s="18"/>
      <c r="Z323" s="18"/>
      <c r="AA323" s="18"/>
      <c r="AB323" s="18"/>
      <c r="AC323" s="18"/>
      <c r="AD323" s="18"/>
      <c r="AE323" s="18"/>
      <c r="AF323" s="18"/>
      <c r="AG323" s="18"/>
      <c r="AH323" s="172"/>
      <c r="AI323" s="18"/>
      <c r="AJ323" s="18"/>
      <c r="AK323" s="18"/>
      <c r="AL323" s="18"/>
      <c r="AM323" s="18"/>
      <c r="AN323" s="18"/>
      <c r="AO323" s="18"/>
      <c r="AP323" s="18"/>
      <c r="AQ323" s="18"/>
      <c r="AR323" s="18"/>
      <c r="AS323" s="18"/>
      <c r="AT323" s="18"/>
      <c r="AU323" s="18"/>
      <c r="AV323" s="18"/>
      <c r="AW323" s="18"/>
      <c r="AX323" s="18"/>
      <c r="AY323" s="18"/>
      <c r="AZ323" s="18"/>
      <c r="BA323" s="14"/>
      <c r="BB323" s="14"/>
      <c r="BC323" s="14"/>
      <c r="BD323" s="14"/>
      <c r="BE323" s="14"/>
      <c r="BF323" s="14"/>
      <c r="BG323" s="14"/>
      <c r="BH323" s="14"/>
      <c r="BI323" s="14"/>
      <c r="BJ323" s="14"/>
      <c r="BK323" s="14"/>
      <c r="BL323" s="14"/>
      <c r="BM323" s="14"/>
      <c r="BN323" s="14"/>
      <c r="BO323" s="14"/>
      <c r="BP323" s="14"/>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14"/>
      <c r="CS323" s="14"/>
      <c r="CT323" s="14"/>
      <c r="CU323" s="14"/>
      <c r="CV323" s="14"/>
      <c r="CW323" s="14"/>
      <c r="CX323" s="14"/>
      <c r="CY323" s="14"/>
      <c r="CZ323" s="14"/>
      <c r="DA323" s="14"/>
      <c r="DB323" s="14"/>
      <c r="DC323" s="14"/>
      <c r="DD323" s="14"/>
      <c r="DE323" s="14"/>
      <c r="DF323" s="14"/>
      <c r="DG323" s="14"/>
      <c r="DH323" s="14"/>
      <c r="DI323" s="14"/>
      <c r="DJ323" s="14"/>
      <c r="DK323" s="14"/>
      <c r="DL323" s="14"/>
      <c r="DM323" s="14"/>
      <c r="DN323" s="14"/>
      <c r="DO323" s="14"/>
      <c r="DP323" s="14"/>
      <c r="DQ323" s="14"/>
      <c r="DR323" s="14"/>
      <c r="DS323" s="14"/>
      <c r="DT323" s="14"/>
      <c r="DU323" s="14"/>
      <c r="DV323" s="14"/>
      <c r="DW323" s="14"/>
      <c r="DX323" s="14"/>
      <c r="DY323" s="14"/>
      <c r="DZ323" s="14"/>
      <c r="EA323" s="14"/>
      <c r="EB323" s="14"/>
      <c r="EC323" s="14"/>
      <c r="ED323" s="14"/>
      <c r="EE323" s="14"/>
      <c r="EF323" s="14"/>
      <c r="EG323" s="14"/>
      <c r="EH323" s="14"/>
      <c r="EI323" s="14"/>
      <c r="EJ323" s="14"/>
      <c r="EK323" s="14"/>
      <c r="EL323" s="14"/>
    </row>
    <row r="324" spans="1:142" s="63" customFormat="1" ht="15" customHeight="1" x14ac:dyDescent="0.2">
      <c r="A324" s="3"/>
      <c r="B324" s="1895"/>
      <c r="C324" s="1895"/>
      <c r="D324" s="1895"/>
      <c r="E324" s="565"/>
      <c r="F324" s="1410" t="str">
        <f>IF(S321=1,"","Rectus femoris")</f>
        <v>Rectus femoris</v>
      </c>
      <c r="G324" s="1410"/>
      <c r="H324" s="1410"/>
      <c r="I324" s="1410"/>
      <c r="J324" s="1410"/>
      <c r="K324" s="1410"/>
      <c r="L324" s="1410"/>
      <c r="M324" s="92">
        <f t="shared" si="34"/>
        <v>0</v>
      </c>
      <c r="N324" s="254"/>
      <c r="O324" s="254"/>
      <c r="P324" s="355" t="str">
        <f t="shared" si="41"/>
        <v/>
      </c>
      <c r="Q324" s="35"/>
      <c r="R324" s="686" t="b">
        <v>0</v>
      </c>
      <c r="S324" s="736">
        <f t="shared" si="35"/>
        <v>0</v>
      </c>
      <c r="T324" s="747">
        <f t="shared" si="36"/>
        <v>0</v>
      </c>
      <c r="U324" s="747">
        <f t="shared" si="37"/>
        <v>0</v>
      </c>
      <c r="V324" s="747">
        <f t="shared" si="38"/>
        <v>0</v>
      </c>
      <c r="W324" s="747">
        <f t="shared" si="39"/>
        <v>0</v>
      </c>
      <c r="X324" s="747">
        <f t="shared" si="40"/>
        <v>0</v>
      </c>
      <c r="Y324" s="18"/>
      <c r="Z324" s="18"/>
      <c r="AA324" s="18"/>
      <c r="AB324" s="18"/>
      <c r="AC324" s="18"/>
      <c r="AD324" s="18"/>
      <c r="AE324" s="18"/>
      <c r="AF324" s="18"/>
      <c r="AG324" s="18"/>
      <c r="AH324" s="172"/>
      <c r="AI324" s="18"/>
      <c r="AJ324" s="18"/>
      <c r="AK324" s="18"/>
      <c r="AL324" s="18"/>
      <c r="AM324" s="18"/>
      <c r="AN324" s="18"/>
      <c r="AO324" s="18"/>
      <c r="AP324" s="18"/>
      <c r="AQ324" s="18"/>
      <c r="AR324" s="18"/>
      <c r="AS324" s="18"/>
      <c r="AT324" s="18"/>
      <c r="AU324" s="18"/>
      <c r="AV324" s="18"/>
      <c r="AW324" s="18"/>
      <c r="AX324" s="18"/>
      <c r="AY324" s="18"/>
      <c r="AZ324" s="18"/>
      <c r="BA324" s="14"/>
      <c r="BB324" s="14"/>
      <c r="BC324" s="14"/>
      <c r="BD324" s="14"/>
      <c r="BE324" s="14"/>
      <c r="BF324" s="14"/>
      <c r="BG324" s="14"/>
      <c r="BH324" s="14"/>
      <c r="BI324" s="14"/>
      <c r="BJ324" s="14"/>
      <c r="BK324" s="14"/>
      <c r="BL324" s="14"/>
      <c r="BM324" s="14"/>
      <c r="BN324" s="14"/>
      <c r="BO324" s="14"/>
      <c r="BP324" s="14"/>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14"/>
      <c r="CS324" s="14"/>
      <c r="CT324" s="14"/>
      <c r="CU324" s="14"/>
      <c r="CV324" s="14"/>
      <c r="CW324" s="14"/>
      <c r="CX324" s="14"/>
      <c r="CY324" s="14"/>
      <c r="CZ324" s="14"/>
      <c r="DA324" s="14"/>
      <c r="DB324" s="14"/>
      <c r="DC324" s="14"/>
      <c r="DD324" s="14"/>
      <c r="DE324" s="14"/>
      <c r="DF324" s="14"/>
      <c r="DG324" s="14"/>
      <c r="DH324" s="14"/>
      <c r="DI324" s="14"/>
      <c r="DJ324" s="14"/>
      <c r="DK324" s="14"/>
      <c r="DL324" s="14"/>
      <c r="DM324" s="14"/>
      <c r="DN324" s="14"/>
      <c r="DO324" s="14"/>
      <c r="DP324" s="14"/>
      <c r="DQ324" s="14"/>
      <c r="DR324" s="14"/>
      <c r="DS324" s="14"/>
      <c r="DT324" s="14"/>
      <c r="DU324" s="14"/>
      <c r="DV324" s="14"/>
      <c r="DW324" s="14"/>
      <c r="DX324" s="14"/>
      <c r="DY324" s="14"/>
      <c r="DZ324" s="14"/>
      <c r="EA324" s="14"/>
      <c r="EB324" s="14"/>
      <c r="EC324" s="14"/>
      <c r="ED324" s="14"/>
      <c r="EE324" s="14"/>
      <c r="EF324" s="14"/>
      <c r="EG324" s="14"/>
      <c r="EH324" s="14"/>
      <c r="EI324" s="14"/>
      <c r="EJ324" s="14"/>
      <c r="EK324" s="14"/>
      <c r="EL324" s="14"/>
    </row>
    <row r="325" spans="1:142" s="63" customFormat="1" ht="15" customHeight="1" x14ac:dyDescent="0.2">
      <c r="A325" s="3"/>
      <c r="B325" s="1895"/>
      <c r="C325" s="1895"/>
      <c r="D325" s="1895"/>
      <c r="E325" s="565"/>
      <c r="F325" s="1410" t="str">
        <f>IF(S321=1,"","Vastus lateralis")</f>
        <v>Vastus lateralis</v>
      </c>
      <c r="G325" s="1410"/>
      <c r="H325" s="1410"/>
      <c r="I325" s="1410"/>
      <c r="J325" s="1410"/>
      <c r="K325" s="1410"/>
      <c r="L325" s="1410"/>
      <c r="M325" s="92">
        <f t="shared" si="34"/>
        <v>0</v>
      </c>
      <c r="N325" s="254"/>
      <c r="O325" s="254"/>
      <c r="P325" s="355" t="str">
        <f t="shared" si="41"/>
        <v/>
      </c>
      <c r="Q325" s="35"/>
      <c r="R325" s="686" t="b">
        <v>0</v>
      </c>
      <c r="S325" s="736">
        <f t="shared" si="35"/>
        <v>0</v>
      </c>
      <c r="T325" s="747">
        <f t="shared" si="36"/>
        <v>0</v>
      </c>
      <c r="U325" s="747">
        <f t="shared" si="37"/>
        <v>0</v>
      </c>
      <c r="V325" s="747">
        <f t="shared" si="38"/>
        <v>0</v>
      </c>
      <c r="W325" s="747">
        <f t="shared" si="39"/>
        <v>0</v>
      </c>
      <c r="X325" s="747">
        <f t="shared" si="40"/>
        <v>0</v>
      </c>
      <c r="Y325" s="18"/>
      <c r="Z325" s="18"/>
      <c r="AA325" s="18"/>
      <c r="AB325" s="18"/>
      <c r="AC325" s="18"/>
      <c r="AD325" s="18"/>
      <c r="AE325" s="18"/>
      <c r="AF325" s="18"/>
      <c r="AG325" s="18"/>
      <c r="AH325" s="172"/>
      <c r="AI325" s="18"/>
      <c r="AJ325" s="18"/>
      <c r="AK325" s="18"/>
      <c r="AL325" s="18"/>
      <c r="AM325" s="18"/>
      <c r="AN325" s="18"/>
      <c r="AO325" s="18"/>
      <c r="AP325" s="18"/>
      <c r="AQ325" s="18"/>
      <c r="AR325" s="18"/>
      <c r="AS325" s="18"/>
      <c r="AT325" s="18"/>
      <c r="AU325" s="18"/>
      <c r="AV325" s="18"/>
      <c r="AW325" s="18"/>
      <c r="AX325" s="18"/>
      <c r="AY325" s="18"/>
      <c r="AZ325" s="18"/>
      <c r="BA325" s="14"/>
      <c r="BB325" s="14"/>
      <c r="BC325" s="14"/>
      <c r="BD325" s="14"/>
      <c r="BE325" s="14"/>
      <c r="BF325" s="14"/>
      <c r="BG325" s="14"/>
      <c r="BH325" s="14"/>
      <c r="BI325" s="14"/>
      <c r="BJ325" s="14"/>
      <c r="BK325" s="14"/>
      <c r="BL325" s="14"/>
      <c r="BM325" s="14"/>
      <c r="BN325" s="14"/>
      <c r="BO325" s="14"/>
      <c r="BP325" s="14"/>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row>
    <row r="326" spans="1:142" s="63" customFormat="1" ht="15" customHeight="1" x14ac:dyDescent="0.2">
      <c r="A326" s="3"/>
      <c r="B326" s="1895"/>
      <c r="C326" s="1895"/>
      <c r="D326" s="1895"/>
      <c r="E326" s="565"/>
      <c r="F326" s="1410" t="str">
        <f>IF(S321=1,"","Vastus intermedius")</f>
        <v>Vastus intermedius</v>
      </c>
      <c r="G326" s="1410"/>
      <c r="H326" s="1410"/>
      <c r="I326" s="1410"/>
      <c r="J326" s="1410"/>
      <c r="K326" s="1410"/>
      <c r="L326" s="1410"/>
      <c r="M326" s="92">
        <f t="shared" si="34"/>
        <v>0</v>
      </c>
      <c r="N326" s="254"/>
      <c r="O326" s="254"/>
      <c r="P326" s="355" t="str">
        <f t="shared" si="41"/>
        <v/>
      </c>
      <c r="Q326" s="35"/>
      <c r="R326" s="686" t="b">
        <v>0</v>
      </c>
      <c r="S326" s="736">
        <f t="shared" si="35"/>
        <v>0</v>
      </c>
      <c r="T326" s="747">
        <f t="shared" si="36"/>
        <v>0</v>
      </c>
      <c r="U326" s="747">
        <f t="shared" si="37"/>
        <v>0</v>
      </c>
      <c r="V326" s="747">
        <f t="shared" si="38"/>
        <v>0</v>
      </c>
      <c r="W326" s="747">
        <f t="shared" si="39"/>
        <v>0</v>
      </c>
      <c r="X326" s="747">
        <f t="shared" si="40"/>
        <v>0</v>
      </c>
      <c r="Y326" s="18"/>
      <c r="Z326" s="18"/>
      <c r="AA326" s="18"/>
      <c r="AB326" s="18"/>
      <c r="AC326" s="18"/>
      <c r="AD326" s="18"/>
      <c r="AE326" s="18"/>
      <c r="AF326" s="18"/>
      <c r="AG326" s="18"/>
      <c r="AH326" s="172"/>
      <c r="AI326" s="18"/>
      <c r="AJ326" s="18"/>
      <c r="AK326" s="18"/>
      <c r="AL326" s="18"/>
      <c r="AM326" s="18"/>
      <c r="AN326" s="18"/>
      <c r="AO326" s="18"/>
      <c r="AP326" s="18"/>
      <c r="AQ326" s="18"/>
      <c r="AR326" s="18"/>
      <c r="AS326" s="18"/>
      <c r="AT326" s="18"/>
      <c r="AU326" s="18"/>
      <c r="AV326" s="18"/>
      <c r="AW326" s="18"/>
      <c r="AX326" s="18"/>
      <c r="AY326" s="18"/>
      <c r="AZ326" s="18"/>
      <c r="BA326" s="14"/>
      <c r="BB326" s="14"/>
      <c r="BC326" s="14"/>
      <c r="BD326" s="14"/>
      <c r="BE326" s="14"/>
      <c r="BF326" s="14"/>
      <c r="BG326" s="14"/>
      <c r="BH326" s="14"/>
      <c r="BI326" s="14"/>
      <c r="BJ326" s="14"/>
      <c r="BK326" s="14"/>
      <c r="BL326" s="14"/>
      <c r="BM326" s="14"/>
      <c r="BN326" s="14"/>
      <c r="BO326" s="14"/>
      <c r="BP326" s="14"/>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row>
    <row r="327" spans="1:142" s="63" customFormat="1" ht="15" customHeight="1" x14ac:dyDescent="0.2">
      <c r="A327" s="3"/>
      <c r="B327" s="1895"/>
      <c r="C327" s="1895"/>
      <c r="D327" s="1895"/>
      <c r="E327" s="565"/>
      <c r="F327" s="1410" t="str">
        <f>IF(S321=1,"","Vastus medialis")</f>
        <v>Vastus medialis</v>
      </c>
      <c r="G327" s="1410"/>
      <c r="H327" s="1410"/>
      <c r="I327" s="1410"/>
      <c r="J327" s="1410"/>
      <c r="K327" s="1410"/>
      <c r="L327" s="1410"/>
      <c r="M327" s="92">
        <f t="shared" si="34"/>
        <v>0</v>
      </c>
      <c r="N327" s="254"/>
      <c r="O327" s="254"/>
      <c r="P327" s="355" t="str">
        <f t="shared" si="41"/>
        <v/>
      </c>
      <c r="Q327" s="35"/>
      <c r="R327" s="686" t="b">
        <v>0</v>
      </c>
      <c r="S327" s="736">
        <f t="shared" si="35"/>
        <v>0</v>
      </c>
      <c r="T327" s="747">
        <f t="shared" si="36"/>
        <v>0</v>
      </c>
      <c r="U327" s="747">
        <f t="shared" si="37"/>
        <v>0</v>
      </c>
      <c r="V327" s="747">
        <f t="shared" si="38"/>
        <v>0</v>
      </c>
      <c r="W327" s="747">
        <f t="shared" si="39"/>
        <v>0</v>
      </c>
      <c r="X327" s="747">
        <f t="shared" si="40"/>
        <v>0</v>
      </c>
      <c r="Y327" s="18"/>
      <c r="Z327" s="18"/>
      <c r="AA327" s="18"/>
      <c r="AB327" s="18"/>
      <c r="AC327" s="18"/>
      <c r="AD327" s="18"/>
      <c r="AE327" s="18"/>
      <c r="AF327" s="18"/>
      <c r="AG327" s="18"/>
      <c r="AH327" s="172"/>
      <c r="AI327" s="18"/>
      <c r="AJ327" s="18"/>
      <c r="AK327" s="18"/>
      <c r="AL327" s="18"/>
      <c r="AM327" s="18"/>
      <c r="AN327" s="18"/>
      <c r="AO327" s="18"/>
      <c r="AP327" s="18"/>
      <c r="AQ327" s="18"/>
      <c r="AR327" s="18"/>
      <c r="AS327" s="18"/>
      <c r="AT327" s="18"/>
      <c r="AU327" s="18"/>
      <c r="AV327" s="18"/>
      <c r="AW327" s="18"/>
      <c r="AX327" s="18"/>
      <c r="AY327" s="18"/>
      <c r="AZ327" s="18"/>
      <c r="BA327" s="14"/>
      <c r="BB327" s="14"/>
      <c r="BC327" s="14"/>
      <c r="BD327" s="14"/>
      <c r="BE327" s="14"/>
      <c r="BF327" s="14"/>
      <c r="BG327" s="14"/>
      <c r="BH327" s="14"/>
      <c r="BI327" s="14"/>
      <c r="BJ327" s="14"/>
      <c r="BK327" s="14"/>
      <c r="BL327" s="14"/>
      <c r="BM327" s="14"/>
      <c r="BN327" s="14"/>
      <c r="BO327" s="14"/>
      <c r="BP327" s="14"/>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c r="CM327" s="14"/>
      <c r="CN327" s="14"/>
      <c r="CO327" s="14"/>
      <c r="CP327" s="14"/>
      <c r="CQ327" s="14"/>
      <c r="CR327" s="14"/>
      <c r="CS327" s="14"/>
      <c r="CT327" s="14"/>
      <c r="CU327" s="14"/>
      <c r="CV327" s="14"/>
      <c r="CW327" s="14"/>
      <c r="CX327" s="14"/>
      <c r="CY327" s="14"/>
      <c r="CZ327" s="14"/>
      <c r="DA327" s="14"/>
      <c r="DB327" s="14"/>
      <c r="DC327" s="14"/>
      <c r="DD327" s="14"/>
      <c r="DE327" s="14"/>
      <c r="DF327" s="14"/>
      <c r="DG327" s="14"/>
      <c r="DH327" s="14"/>
      <c r="DI327" s="14"/>
      <c r="DJ327" s="14"/>
      <c r="DK327" s="14"/>
      <c r="DL327" s="14"/>
      <c r="DM327" s="14"/>
      <c r="DN327" s="14"/>
      <c r="DO327" s="14"/>
      <c r="DP327" s="14"/>
      <c r="DQ327" s="14"/>
      <c r="DR327" s="14"/>
      <c r="DS327" s="14"/>
      <c r="DT327" s="14"/>
      <c r="DU327" s="14"/>
      <c r="DV327" s="14"/>
      <c r="DW327" s="14"/>
      <c r="DX327" s="14"/>
      <c r="DY327" s="14"/>
      <c r="DZ327" s="14"/>
      <c r="EA327" s="14"/>
      <c r="EB327" s="14"/>
      <c r="EC327" s="14"/>
      <c r="ED327" s="14"/>
      <c r="EE327" s="14"/>
      <c r="EF327" s="14"/>
      <c r="EG327" s="14"/>
      <c r="EH327" s="14"/>
      <c r="EI327" s="14"/>
      <c r="EJ327" s="14"/>
      <c r="EK327" s="14"/>
      <c r="EL327" s="14"/>
    </row>
    <row r="328" spans="1:142" s="63" customFormat="1" ht="18" customHeight="1" x14ac:dyDescent="0.2">
      <c r="A328" s="3"/>
      <c r="B328" s="1570" t="str">
        <f>IF(SUM(M321:M327)=0,"","Total for femoral nerve; LEG impairment:")</f>
        <v/>
      </c>
      <c r="C328" s="1570"/>
      <c r="D328" s="1570"/>
      <c r="E328" s="1570"/>
      <c r="F328" s="1570"/>
      <c r="G328" s="1570"/>
      <c r="H328" s="1570"/>
      <c r="I328" s="1570"/>
      <c r="J328" s="1570"/>
      <c r="K328" s="1570"/>
      <c r="L328" s="1570"/>
      <c r="M328" s="1570"/>
      <c r="N328" s="1570"/>
      <c r="O328" s="1570"/>
      <c r="P328" s="240">
        <f>IF(AND(P321="",P322="",P323="",P324="",P325="",P326="",P327=""),0,AVERAGE(P321:P327))</f>
        <v>0</v>
      </c>
      <c r="Q328" s="35"/>
      <c r="R328" s="18"/>
      <c r="S328" s="116"/>
      <c r="T328" s="111"/>
      <c r="U328" s="111"/>
      <c r="V328" s="111"/>
      <c r="W328" s="111"/>
      <c r="X328" s="111"/>
      <c r="Y328" s="18"/>
      <c r="Z328" s="18"/>
      <c r="AA328" s="18"/>
      <c r="AB328" s="18"/>
      <c r="AC328" s="18"/>
      <c r="AD328" s="18"/>
      <c r="AE328" s="18"/>
      <c r="AF328" s="18"/>
      <c r="AG328" s="18"/>
      <c r="AH328" s="172"/>
      <c r="AI328" s="18"/>
      <c r="AJ328" s="18"/>
      <c r="AK328" s="18"/>
      <c r="AL328" s="18"/>
      <c r="AM328" s="18"/>
      <c r="AN328" s="18"/>
      <c r="AO328" s="18"/>
      <c r="AP328" s="18"/>
      <c r="AQ328" s="18"/>
      <c r="AR328" s="18"/>
      <c r="AS328" s="18"/>
      <c r="AT328" s="18"/>
      <c r="AU328" s="18"/>
      <c r="AV328" s="18"/>
      <c r="AW328" s="18"/>
      <c r="AX328" s="18"/>
      <c r="AY328" s="18"/>
      <c r="AZ328" s="18"/>
      <c r="BA328" s="14"/>
      <c r="BB328" s="14"/>
      <c r="BC328" s="14"/>
      <c r="BD328" s="14"/>
      <c r="BE328" s="14"/>
      <c r="BF328" s="14"/>
      <c r="BG328" s="14"/>
      <c r="BH328" s="14"/>
      <c r="BI328" s="14"/>
      <c r="BJ328" s="14"/>
      <c r="BK328" s="14"/>
      <c r="BL328" s="14"/>
      <c r="BM328" s="14"/>
      <c r="BN328" s="14"/>
      <c r="BO328" s="14"/>
      <c r="BP328" s="14"/>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c r="CO328" s="14"/>
      <c r="CP328" s="14"/>
      <c r="CQ328" s="14"/>
      <c r="CR328" s="14"/>
      <c r="CS328" s="14"/>
      <c r="CT328" s="14"/>
      <c r="CU328" s="14"/>
      <c r="CV328" s="14"/>
      <c r="CW328" s="14"/>
      <c r="CX328" s="14"/>
      <c r="CY328" s="14"/>
      <c r="CZ328" s="14"/>
      <c r="DA328" s="14"/>
      <c r="DB328" s="14"/>
      <c r="DC328" s="14"/>
      <c r="DD328" s="14"/>
      <c r="DE328" s="14"/>
      <c r="DF328" s="14"/>
      <c r="DG328" s="14"/>
      <c r="DH328" s="14"/>
      <c r="DI328" s="14"/>
      <c r="DJ328" s="14"/>
      <c r="DK328" s="14"/>
      <c r="DL328" s="14"/>
      <c r="DM328" s="14"/>
      <c r="DN328" s="14"/>
      <c r="DO328" s="14"/>
      <c r="DP328" s="14"/>
      <c r="DQ328" s="14"/>
      <c r="DR328" s="14"/>
      <c r="DS328" s="14"/>
      <c r="DT328" s="14"/>
      <c r="DU328" s="14"/>
      <c r="DV328" s="14"/>
      <c r="DW328" s="14"/>
      <c r="DX328" s="14"/>
      <c r="DY328" s="14"/>
      <c r="DZ328" s="14"/>
      <c r="EA328" s="14"/>
      <c r="EB328" s="14"/>
      <c r="EC328" s="14"/>
      <c r="ED328" s="14"/>
      <c r="EE328" s="14"/>
      <c r="EF328" s="14"/>
      <c r="EG328" s="14"/>
      <c r="EH328" s="14"/>
      <c r="EI328" s="14"/>
      <c r="EJ328" s="14"/>
      <c r="EK328" s="14"/>
      <c r="EL328" s="14"/>
    </row>
    <row r="329" spans="1:142" s="63" customFormat="1" ht="27" customHeight="1" x14ac:dyDescent="0.2">
      <c r="A329" s="3"/>
      <c r="B329" s="1379" t="s">
        <v>986</v>
      </c>
      <c r="C329" s="1379"/>
      <c r="D329" s="1379"/>
      <c r="E329" s="456"/>
      <c r="F329" s="1379" t="s">
        <v>517</v>
      </c>
      <c r="G329" s="1379"/>
      <c r="H329" s="1379"/>
      <c r="I329" s="1379"/>
      <c r="J329" s="1379"/>
      <c r="K329" s="1379"/>
      <c r="L329" s="1379"/>
      <c r="M329" s="92">
        <f>IF(OR(F329="",S329=0),0,0.1)</f>
        <v>0</v>
      </c>
      <c r="N329" s="254"/>
      <c r="O329" s="254"/>
      <c r="P329" s="355">
        <f>IF(X329=0,0,X329)</f>
        <v>0</v>
      </c>
      <c r="Q329" s="35"/>
      <c r="R329" s="686" t="b">
        <v>0</v>
      </c>
      <c r="S329" s="736">
        <f t="shared" ref="S329:S334" si="42">IF(R329=TRUE,1,0)</f>
        <v>0</v>
      </c>
      <c r="T329" s="747">
        <f t="shared" ref="T329:T334" si="43">SUMIF($T$278:$AH$278,N329,$T$279:$AH$279)</f>
        <v>0</v>
      </c>
      <c r="U329" s="747">
        <f t="shared" ref="U329:U334" si="44">SUMIF($S$278:$AH$278,O329,$S$279:$AH$279)</f>
        <v>0</v>
      </c>
      <c r="V329" s="747">
        <f t="shared" ref="V329:V334" si="45">M329*T329</f>
        <v>0</v>
      </c>
      <c r="W329" s="747">
        <f t="shared" ref="W329:W334" si="46">M329*U329</f>
        <v>0</v>
      </c>
      <c r="X329" s="747">
        <f t="shared" ref="X329:X334" si="47">(IF(V329-W329&lt;=0,0,V329-W329))</f>
        <v>0</v>
      </c>
      <c r="Y329" s="18"/>
      <c r="Z329" s="18"/>
      <c r="AA329" s="18"/>
      <c r="AB329" s="18"/>
      <c r="AC329" s="18"/>
      <c r="AD329" s="18"/>
      <c r="AE329" s="18"/>
      <c r="AF329" s="18"/>
      <c r="AG329" s="18"/>
      <c r="AH329" s="172"/>
      <c r="AI329" s="18"/>
      <c r="AJ329" s="18"/>
      <c r="AK329" s="18"/>
      <c r="AL329" s="18"/>
      <c r="AM329" s="18"/>
      <c r="AN329" s="18"/>
      <c r="AO329" s="18"/>
      <c r="AP329" s="18"/>
      <c r="AQ329" s="18"/>
      <c r="AR329" s="18"/>
      <c r="AS329" s="18"/>
      <c r="AT329" s="18"/>
      <c r="AU329" s="18"/>
      <c r="AV329" s="18"/>
      <c r="AW329" s="18"/>
      <c r="AX329" s="18"/>
      <c r="AY329" s="18"/>
      <c r="AZ329" s="18"/>
      <c r="BA329" s="14"/>
      <c r="BB329" s="14"/>
      <c r="BC329" s="14"/>
      <c r="BD329" s="14"/>
      <c r="BE329" s="14"/>
      <c r="BF329" s="14"/>
      <c r="BG329" s="14"/>
      <c r="BH329" s="14"/>
      <c r="BI329" s="14"/>
      <c r="BJ329" s="14"/>
      <c r="BK329" s="14"/>
      <c r="BL329" s="14"/>
      <c r="BM329" s="14"/>
      <c r="BN329" s="14"/>
      <c r="BO329" s="14"/>
      <c r="BP329" s="14"/>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c r="CO329" s="14"/>
      <c r="CP329" s="14"/>
      <c r="CQ329" s="14"/>
      <c r="CR329" s="14"/>
      <c r="CS329" s="14"/>
      <c r="CT329" s="14"/>
      <c r="CU329" s="14"/>
      <c r="CV329" s="14"/>
      <c r="CW329" s="14"/>
      <c r="CX329" s="14"/>
      <c r="CY329" s="14"/>
      <c r="CZ329" s="14"/>
      <c r="DA329" s="14"/>
      <c r="DB329" s="14"/>
      <c r="DC329" s="14"/>
      <c r="DD329" s="14"/>
      <c r="DE329" s="14"/>
      <c r="DF329" s="14"/>
      <c r="DG329" s="14"/>
      <c r="DH329" s="14"/>
      <c r="DI329" s="14"/>
      <c r="DJ329" s="14"/>
      <c r="DK329" s="14"/>
      <c r="DL329" s="14"/>
      <c r="DM329" s="14"/>
      <c r="DN329" s="14"/>
      <c r="DO329" s="14"/>
      <c r="DP329" s="14"/>
      <c r="DQ329" s="14"/>
      <c r="DR329" s="14"/>
      <c r="DS329" s="14"/>
      <c r="DT329" s="14"/>
      <c r="DU329" s="14"/>
      <c r="DV329" s="14"/>
      <c r="DW329" s="14"/>
      <c r="DX329" s="14"/>
      <c r="DY329" s="14"/>
      <c r="DZ329" s="14"/>
      <c r="EA329" s="14"/>
      <c r="EB329" s="14"/>
      <c r="EC329" s="14"/>
      <c r="ED329" s="14"/>
      <c r="EE329" s="14"/>
      <c r="EF329" s="14"/>
      <c r="EG329" s="14"/>
      <c r="EH329" s="14"/>
      <c r="EI329" s="14"/>
      <c r="EJ329" s="14"/>
      <c r="EK329" s="14"/>
      <c r="EL329" s="14"/>
    </row>
    <row r="330" spans="1:142" s="63" customFormat="1" ht="39" customHeight="1" x14ac:dyDescent="0.2">
      <c r="A330" s="3"/>
      <c r="B330" s="1560" t="s">
        <v>815</v>
      </c>
      <c r="C330" s="1560"/>
      <c r="D330" s="1560"/>
      <c r="E330" s="456"/>
      <c r="F330" s="1379" t="s">
        <v>518</v>
      </c>
      <c r="G330" s="1379"/>
      <c r="H330" s="1379"/>
      <c r="I330" s="1379"/>
      <c r="J330" s="1379"/>
      <c r="K330" s="1379"/>
      <c r="L330" s="1379"/>
      <c r="M330" s="92">
        <f>IF(OR(F330="",S330=0),0,0.1)</f>
        <v>0</v>
      </c>
      <c r="N330" s="254"/>
      <c r="O330" s="254"/>
      <c r="P330" s="355">
        <f>IF(X330=0,0,X330)</f>
        <v>0</v>
      </c>
      <c r="Q330" s="35"/>
      <c r="R330" s="686" t="b">
        <v>0</v>
      </c>
      <c r="S330" s="736">
        <f t="shared" si="42"/>
        <v>0</v>
      </c>
      <c r="T330" s="747">
        <f t="shared" si="43"/>
        <v>0</v>
      </c>
      <c r="U330" s="747">
        <f t="shared" si="44"/>
        <v>0</v>
      </c>
      <c r="V330" s="747">
        <f t="shared" si="45"/>
        <v>0</v>
      </c>
      <c r="W330" s="747">
        <f t="shared" si="46"/>
        <v>0</v>
      </c>
      <c r="X330" s="747">
        <f t="shared" si="47"/>
        <v>0</v>
      </c>
      <c r="Y330" s="18"/>
      <c r="Z330" s="18"/>
      <c r="AA330" s="18"/>
      <c r="AB330" s="18"/>
      <c r="AC330" s="18"/>
      <c r="AD330" s="18"/>
      <c r="AE330" s="18"/>
      <c r="AF330" s="18"/>
      <c r="AG330" s="18"/>
      <c r="AH330" s="172"/>
      <c r="AI330" s="18"/>
      <c r="AJ330" s="18"/>
      <c r="AK330" s="18"/>
      <c r="AL330" s="18"/>
      <c r="AM330" s="18"/>
      <c r="AN330" s="18"/>
      <c r="AO330" s="18"/>
      <c r="AP330" s="18"/>
      <c r="AQ330" s="18"/>
      <c r="AR330" s="18"/>
      <c r="AS330" s="18"/>
      <c r="AT330" s="18"/>
      <c r="AU330" s="18"/>
      <c r="AV330" s="18"/>
      <c r="AW330" s="18"/>
      <c r="AX330" s="18"/>
      <c r="AY330" s="18"/>
      <c r="AZ330" s="18"/>
      <c r="BA330" s="14"/>
      <c r="BB330" s="14"/>
      <c r="BC330" s="14"/>
      <c r="BD330" s="14"/>
      <c r="BE330" s="14"/>
      <c r="BF330" s="14"/>
      <c r="BG330" s="14"/>
      <c r="BH330" s="14"/>
      <c r="BI330" s="14"/>
      <c r="BJ330" s="14"/>
      <c r="BK330" s="14"/>
      <c r="BL330" s="14"/>
      <c r="BM330" s="14"/>
      <c r="BN330" s="14"/>
      <c r="BO330" s="14"/>
      <c r="BP330" s="14"/>
      <c r="BQ330" s="14"/>
      <c r="BR330" s="14"/>
      <c r="BS330" s="14"/>
      <c r="BT330" s="14"/>
      <c r="BU330" s="14"/>
      <c r="BV330" s="14"/>
      <c r="BW330" s="14"/>
      <c r="BX330" s="14"/>
      <c r="BY330" s="14"/>
      <c r="BZ330" s="14"/>
      <c r="CA330" s="14"/>
      <c r="CB330" s="14"/>
      <c r="CC330" s="14"/>
      <c r="CD330" s="14"/>
      <c r="CE330" s="14"/>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c r="DJ330" s="14"/>
      <c r="DK330" s="14"/>
      <c r="DL330" s="14"/>
      <c r="DM330" s="14"/>
      <c r="DN330" s="14"/>
      <c r="DO330" s="14"/>
      <c r="DP330" s="14"/>
      <c r="DQ330" s="14"/>
      <c r="DR330" s="14"/>
      <c r="DS330" s="14"/>
      <c r="DT330" s="14"/>
      <c r="DU330" s="14"/>
      <c r="DV330" s="14"/>
      <c r="DW330" s="14"/>
      <c r="DX330" s="14"/>
      <c r="DY330" s="14"/>
      <c r="DZ330" s="14"/>
      <c r="EA330" s="14"/>
      <c r="EB330" s="14"/>
      <c r="EC330" s="14"/>
      <c r="ED330" s="14"/>
      <c r="EE330" s="14"/>
      <c r="EF330" s="14"/>
      <c r="EG330" s="14"/>
      <c r="EH330" s="14"/>
      <c r="EI330" s="14"/>
      <c r="EJ330" s="14"/>
      <c r="EK330" s="14"/>
      <c r="EL330" s="14"/>
    </row>
    <row r="331" spans="1:142" s="63" customFormat="1" ht="15" customHeight="1" x14ac:dyDescent="0.2">
      <c r="A331" s="3"/>
      <c r="B331" s="1367" t="s">
        <v>519</v>
      </c>
      <c r="C331" s="1368"/>
      <c r="D331" s="1369"/>
      <c r="E331" s="565"/>
      <c r="F331" s="1410" t="s">
        <v>985</v>
      </c>
      <c r="G331" s="1410"/>
      <c r="H331" s="1410"/>
      <c r="I331" s="1410"/>
      <c r="J331" s="1410"/>
      <c r="K331" s="1410"/>
      <c r="L331" s="1410"/>
      <c r="M331" s="92">
        <f>IF(OR(F331="",S331=0),0,0.2)</f>
        <v>0</v>
      </c>
      <c r="N331" s="254"/>
      <c r="O331" s="254"/>
      <c r="P331" s="355" t="str">
        <f>IF(X331=0,"",X331)</f>
        <v/>
      </c>
      <c r="Q331" s="35"/>
      <c r="R331" s="686" t="b">
        <v>0</v>
      </c>
      <c r="S331" s="736">
        <f t="shared" si="42"/>
        <v>0</v>
      </c>
      <c r="T331" s="747">
        <f t="shared" si="43"/>
        <v>0</v>
      </c>
      <c r="U331" s="747">
        <f t="shared" si="44"/>
        <v>0</v>
      </c>
      <c r="V331" s="747">
        <f t="shared" si="45"/>
        <v>0</v>
      </c>
      <c r="W331" s="747">
        <f t="shared" si="46"/>
        <v>0</v>
      </c>
      <c r="X331" s="747">
        <f t="shared" si="47"/>
        <v>0</v>
      </c>
      <c r="Y331" s="18"/>
      <c r="Z331" s="18"/>
      <c r="AA331" s="18"/>
      <c r="AB331" s="18"/>
      <c r="AC331" s="18"/>
      <c r="AD331" s="18"/>
      <c r="AE331" s="18"/>
      <c r="AF331" s="18"/>
      <c r="AG331" s="18"/>
      <c r="AH331" s="172"/>
      <c r="AI331" s="18"/>
      <c r="AJ331" s="18"/>
      <c r="AK331" s="18"/>
      <c r="AL331" s="18"/>
      <c r="AM331" s="18"/>
      <c r="AN331" s="18"/>
      <c r="AO331" s="18"/>
      <c r="AP331" s="18"/>
      <c r="AQ331" s="18"/>
      <c r="AR331" s="18"/>
      <c r="AS331" s="18"/>
      <c r="AT331" s="18"/>
      <c r="AU331" s="18"/>
      <c r="AV331" s="18"/>
      <c r="AW331" s="18"/>
      <c r="AX331" s="18"/>
      <c r="AY331" s="18"/>
      <c r="AZ331" s="18"/>
      <c r="BA331" s="14"/>
      <c r="BB331" s="14"/>
      <c r="BC331" s="14"/>
      <c r="BD331" s="14"/>
      <c r="BE331" s="14"/>
      <c r="BF331" s="14"/>
      <c r="BG331" s="14"/>
      <c r="BH331" s="14"/>
      <c r="BI331" s="14"/>
      <c r="BJ331" s="14"/>
      <c r="BK331" s="14"/>
      <c r="BL331" s="14"/>
      <c r="BM331" s="14"/>
      <c r="BN331" s="14"/>
      <c r="BO331" s="14"/>
      <c r="BP331" s="14"/>
      <c r="BQ331" s="14"/>
      <c r="BR331" s="14"/>
      <c r="BS331" s="14"/>
      <c r="BT331" s="14"/>
      <c r="BU331" s="14"/>
      <c r="BV331" s="14"/>
      <c r="BW331" s="14"/>
      <c r="BX331" s="14"/>
      <c r="BY331" s="14"/>
      <c r="BZ331" s="14"/>
      <c r="CA331" s="14"/>
      <c r="CB331" s="14"/>
      <c r="CC331" s="14"/>
      <c r="CD331" s="14"/>
      <c r="CE331" s="14"/>
      <c r="CF331" s="14"/>
      <c r="CG331" s="14"/>
      <c r="CH331" s="14"/>
      <c r="CI331" s="14"/>
      <c r="CJ331" s="14"/>
      <c r="CK331" s="14"/>
      <c r="CL331" s="14"/>
      <c r="CM331" s="14"/>
      <c r="CN331" s="14"/>
      <c r="CO331" s="14"/>
      <c r="CP331" s="14"/>
      <c r="CQ331" s="14"/>
      <c r="CR331" s="14"/>
      <c r="CS331" s="14"/>
      <c r="CT331" s="14"/>
      <c r="CU331" s="14"/>
      <c r="CV331" s="14"/>
      <c r="CW331" s="14"/>
      <c r="CX331" s="14"/>
      <c r="CY331" s="14"/>
      <c r="CZ331" s="14"/>
      <c r="DA331" s="14"/>
      <c r="DB331" s="14"/>
      <c r="DC331" s="14"/>
      <c r="DD331" s="14"/>
      <c r="DE331" s="14"/>
      <c r="DF331" s="14"/>
      <c r="DG331" s="14"/>
      <c r="DH331" s="14"/>
      <c r="DI331" s="14"/>
      <c r="DJ331" s="14"/>
      <c r="DK331" s="14"/>
      <c r="DL331" s="14"/>
      <c r="DM331" s="14"/>
      <c r="DN331" s="14"/>
      <c r="DO331" s="14"/>
      <c r="DP331" s="14"/>
      <c r="DQ331" s="14"/>
      <c r="DR331" s="14"/>
      <c r="DS331" s="14"/>
      <c r="DT331" s="14"/>
      <c r="DU331" s="14"/>
      <c r="DV331" s="14"/>
      <c r="DW331" s="14"/>
      <c r="DX331" s="14"/>
      <c r="DY331" s="14"/>
      <c r="DZ331" s="14"/>
      <c r="EA331" s="14"/>
      <c r="EB331" s="14"/>
      <c r="EC331" s="14"/>
      <c r="ED331" s="14"/>
      <c r="EE331" s="14"/>
      <c r="EF331" s="14"/>
      <c r="EG331" s="14"/>
      <c r="EH331" s="14"/>
      <c r="EI331" s="14"/>
      <c r="EJ331" s="14"/>
      <c r="EK331" s="14"/>
      <c r="EL331" s="14"/>
    </row>
    <row r="332" spans="1:142" s="63" customFormat="1" ht="15" customHeight="1" x14ac:dyDescent="0.2">
      <c r="A332" s="3"/>
      <c r="B332" s="1894"/>
      <c r="C332" s="1894"/>
      <c r="D332" s="1894"/>
      <c r="E332" s="565"/>
      <c r="F332" s="1410" t="str">
        <f>IF(S331=1,"","Gluteus medius")</f>
        <v>Gluteus medius</v>
      </c>
      <c r="G332" s="1410"/>
      <c r="H332" s="1410"/>
      <c r="I332" s="1410"/>
      <c r="J332" s="1410"/>
      <c r="K332" s="1410"/>
      <c r="L332" s="1410"/>
      <c r="M332" s="92">
        <f>IF(OR(F332="",S332=0),0,0.2)</f>
        <v>0</v>
      </c>
      <c r="N332" s="254"/>
      <c r="O332" s="254"/>
      <c r="P332" s="355" t="str">
        <f>IF(X332=0,"",X332)</f>
        <v/>
      </c>
      <c r="Q332" s="35"/>
      <c r="R332" s="686" t="b">
        <v>0</v>
      </c>
      <c r="S332" s="736">
        <f t="shared" si="42"/>
        <v>0</v>
      </c>
      <c r="T332" s="747">
        <f t="shared" si="43"/>
        <v>0</v>
      </c>
      <c r="U332" s="747">
        <f t="shared" si="44"/>
        <v>0</v>
      </c>
      <c r="V332" s="747">
        <f t="shared" si="45"/>
        <v>0</v>
      </c>
      <c r="W332" s="747">
        <f t="shared" si="46"/>
        <v>0</v>
      </c>
      <c r="X332" s="747">
        <f t="shared" si="47"/>
        <v>0</v>
      </c>
      <c r="Y332" s="18"/>
      <c r="Z332" s="18"/>
      <c r="AA332" s="18"/>
      <c r="AB332" s="18"/>
      <c r="AC332" s="18"/>
      <c r="AD332" s="18"/>
      <c r="AE332" s="18"/>
      <c r="AF332" s="18"/>
      <c r="AG332" s="18"/>
      <c r="AH332" s="172"/>
      <c r="AI332" s="18"/>
      <c r="AJ332" s="18"/>
      <c r="AK332" s="18"/>
      <c r="AL332" s="18"/>
      <c r="AM332" s="18"/>
      <c r="AN332" s="18"/>
      <c r="AO332" s="18"/>
      <c r="AP332" s="18"/>
      <c r="AQ332" s="18"/>
      <c r="AR332" s="18"/>
      <c r="AS332" s="18"/>
      <c r="AT332" s="18"/>
      <c r="AU332" s="18"/>
      <c r="AV332" s="18"/>
      <c r="AW332" s="18"/>
      <c r="AX332" s="18"/>
      <c r="AY332" s="18"/>
      <c r="AZ332" s="18"/>
      <c r="BA332" s="14"/>
      <c r="BB332" s="14"/>
      <c r="BC332" s="14"/>
      <c r="BD332" s="14"/>
      <c r="BE332" s="14"/>
      <c r="BF332" s="14"/>
      <c r="BG332" s="14"/>
      <c r="BH332" s="14"/>
      <c r="BI332" s="14"/>
      <c r="BJ332" s="14"/>
      <c r="BK332" s="14"/>
      <c r="BL332" s="14"/>
      <c r="BM332" s="14"/>
      <c r="BN332" s="14"/>
      <c r="BO332" s="14"/>
      <c r="BP332" s="14"/>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c r="DM332" s="14"/>
      <c r="DN332" s="14"/>
      <c r="DO332" s="14"/>
      <c r="DP332" s="14"/>
      <c r="DQ332" s="14"/>
      <c r="DR332" s="14"/>
      <c r="DS332" s="14"/>
      <c r="DT332" s="14"/>
      <c r="DU332" s="14"/>
      <c r="DV332" s="14"/>
      <c r="DW332" s="14"/>
      <c r="DX332" s="14"/>
      <c r="DY332" s="14"/>
      <c r="DZ332" s="14"/>
      <c r="EA332" s="14"/>
      <c r="EB332" s="14"/>
      <c r="EC332" s="14"/>
      <c r="ED332" s="14"/>
      <c r="EE332" s="14"/>
      <c r="EF332" s="14"/>
      <c r="EG332" s="14"/>
      <c r="EH332" s="14"/>
      <c r="EI332" s="14"/>
      <c r="EJ332" s="14"/>
      <c r="EK332" s="14"/>
      <c r="EL332" s="14"/>
    </row>
    <row r="333" spans="1:142" s="63" customFormat="1" ht="15" customHeight="1" x14ac:dyDescent="0.2">
      <c r="A333" s="3"/>
      <c r="B333" s="1895"/>
      <c r="C333" s="1895"/>
      <c r="D333" s="1895"/>
      <c r="E333" s="565"/>
      <c r="F333" s="1410" t="str">
        <f>IF(S331=1,"","Gluteus minimus")</f>
        <v>Gluteus minimus</v>
      </c>
      <c r="G333" s="1410"/>
      <c r="H333" s="1410"/>
      <c r="I333" s="1410"/>
      <c r="J333" s="1410"/>
      <c r="K333" s="1410"/>
      <c r="L333" s="1410"/>
      <c r="M333" s="92">
        <f>IF(OR(F333="",S333=0),0,0.2)</f>
        <v>0</v>
      </c>
      <c r="N333" s="254"/>
      <c r="O333" s="254"/>
      <c r="P333" s="355" t="str">
        <f>IF(X333=0,"",X333)</f>
        <v/>
      </c>
      <c r="Q333" s="35"/>
      <c r="R333" s="686" t="b">
        <v>0</v>
      </c>
      <c r="S333" s="736">
        <f t="shared" si="42"/>
        <v>0</v>
      </c>
      <c r="T333" s="747">
        <f t="shared" si="43"/>
        <v>0</v>
      </c>
      <c r="U333" s="747">
        <f t="shared" si="44"/>
        <v>0</v>
      </c>
      <c r="V333" s="747">
        <f t="shared" si="45"/>
        <v>0</v>
      </c>
      <c r="W333" s="747">
        <f t="shared" si="46"/>
        <v>0</v>
      </c>
      <c r="X333" s="747">
        <f t="shared" si="47"/>
        <v>0</v>
      </c>
      <c r="Y333" s="18"/>
      <c r="Z333" s="18"/>
      <c r="AA333" s="18"/>
      <c r="AB333" s="18"/>
      <c r="AC333" s="18"/>
      <c r="AD333" s="18"/>
      <c r="AE333" s="18"/>
      <c r="AF333" s="18"/>
      <c r="AG333" s="18"/>
      <c r="AH333" s="172"/>
      <c r="AI333" s="18"/>
      <c r="AJ333" s="18"/>
      <c r="AK333" s="18"/>
      <c r="AL333" s="18"/>
      <c r="AM333" s="18"/>
      <c r="AN333" s="18"/>
      <c r="AO333" s="18"/>
      <c r="AP333" s="18"/>
      <c r="AQ333" s="18"/>
      <c r="AR333" s="18"/>
      <c r="AS333" s="18"/>
      <c r="AT333" s="18"/>
      <c r="AU333" s="18"/>
      <c r="AV333" s="18"/>
      <c r="AW333" s="18"/>
      <c r="AX333" s="18"/>
      <c r="AY333" s="18"/>
      <c r="AZ333" s="18"/>
      <c r="BA333" s="14"/>
      <c r="BB333" s="14"/>
      <c r="BC333" s="14"/>
      <c r="BD333" s="14"/>
      <c r="BE333" s="14"/>
      <c r="BF333" s="14"/>
      <c r="BG333" s="14"/>
      <c r="BH333" s="14"/>
      <c r="BI333" s="14"/>
      <c r="BJ333" s="14"/>
      <c r="BK333" s="14"/>
      <c r="BL333" s="14"/>
      <c r="BM333" s="14"/>
      <c r="BN333" s="14"/>
      <c r="BO333" s="14"/>
      <c r="BP333" s="14"/>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c r="CO333" s="14"/>
      <c r="CP333" s="14"/>
      <c r="CQ333" s="14"/>
      <c r="CR333" s="14"/>
      <c r="CS333" s="14"/>
      <c r="CT333" s="14"/>
      <c r="CU333" s="14"/>
      <c r="CV333" s="14"/>
      <c r="CW333" s="14"/>
      <c r="CX333" s="14"/>
      <c r="CY333" s="14"/>
      <c r="CZ333" s="14"/>
      <c r="DA333" s="14"/>
      <c r="DB333" s="14"/>
      <c r="DC333" s="14"/>
      <c r="DD333" s="14"/>
      <c r="DE333" s="14"/>
      <c r="DF333" s="14"/>
      <c r="DG333" s="14"/>
      <c r="DH333" s="14"/>
      <c r="DI333" s="14"/>
      <c r="DJ333" s="14"/>
      <c r="DK333" s="14"/>
      <c r="DL333" s="14"/>
      <c r="DM333" s="14"/>
      <c r="DN333" s="14"/>
      <c r="DO333" s="14"/>
      <c r="DP333" s="14"/>
      <c r="DQ333" s="14"/>
      <c r="DR333" s="14"/>
      <c r="DS333" s="14"/>
      <c r="DT333" s="14"/>
      <c r="DU333" s="14"/>
      <c r="DV333" s="14"/>
      <c r="DW333" s="14"/>
      <c r="DX333" s="14"/>
      <c r="DY333" s="14"/>
      <c r="DZ333" s="14"/>
      <c r="EA333" s="14"/>
      <c r="EB333" s="14"/>
      <c r="EC333" s="14"/>
      <c r="ED333" s="14"/>
      <c r="EE333" s="14"/>
      <c r="EF333" s="14"/>
      <c r="EG333" s="14"/>
      <c r="EH333" s="14"/>
      <c r="EI333" s="14"/>
      <c r="EJ333" s="14"/>
      <c r="EK333" s="14"/>
      <c r="EL333" s="14"/>
    </row>
    <row r="334" spans="1:142" s="63" customFormat="1" ht="15" customHeight="1" x14ac:dyDescent="0.2">
      <c r="A334" s="3"/>
      <c r="B334" s="1895"/>
      <c r="C334" s="1895"/>
      <c r="D334" s="1895"/>
      <c r="E334" s="565"/>
      <c r="F334" s="1410" t="str">
        <f>IF(S331=1,"","Tensor fasciae latae")</f>
        <v>Tensor fasciae latae</v>
      </c>
      <c r="G334" s="1410"/>
      <c r="H334" s="1410"/>
      <c r="I334" s="1410"/>
      <c r="J334" s="1410"/>
      <c r="K334" s="1410"/>
      <c r="L334" s="1410"/>
      <c r="M334" s="92">
        <f>IF(OR(F334="",S334=0),0,0.2)</f>
        <v>0</v>
      </c>
      <c r="N334" s="254"/>
      <c r="O334" s="254"/>
      <c r="P334" s="355" t="str">
        <f>IF(X334=0,"",X334)</f>
        <v/>
      </c>
      <c r="Q334" s="35"/>
      <c r="R334" s="686" t="b">
        <v>0</v>
      </c>
      <c r="S334" s="736">
        <f t="shared" si="42"/>
        <v>0</v>
      </c>
      <c r="T334" s="747">
        <f t="shared" si="43"/>
        <v>0</v>
      </c>
      <c r="U334" s="747">
        <f t="shared" si="44"/>
        <v>0</v>
      </c>
      <c r="V334" s="747">
        <f t="shared" si="45"/>
        <v>0</v>
      </c>
      <c r="W334" s="747">
        <f t="shared" si="46"/>
        <v>0</v>
      </c>
      <c r="X334" s="747">
        <f t="shared" si="47"/>
        <v>0</v>
      </c>
      <c r="Y334" s="18"/>
      <c r="Z334" s="18"/>
      <c r="AA334" s="18"/>
      <c r="AB334" s="18"/>
      <c r="AC334" s="18"/>
      <c r="AD334" s="18"/>
      <c r="AE334" s="18"/>
      <c r="AF334" s="18"/>
      <c r="AG334" s="18"/>
      <c r="AH334" s="172"/>
      <c r="AI334" s="18"/>
      <c r="AJ334" s="18"/>
      <c r="AK334" s="18"/>
      <c r="AL334" s="18"/>
      <c r="AM334" s="18"/>
      <c r="AN334" s="18"/>
      <c r="AO334" s="18"/>
      <c r="AP334" s="18"/>
      <c r="AQ334" s="18"/>
      <c r="AR334" s="18"/>
      <c r="AS334" s="18"/>
      <c r="AT334" s="18"/>
      <c r="AU334" s="18"/>
      <c r="AV334" s="18"/>
      <c r="AW334" s="18"/>
      <c r="AX334" s="18"/>
      <c r="AY334" s="18"/>
      <c r="AZ334" s="18"/>
      <c r="BA334" s="14"/>
      <c r="BB334" s="14"/>
      <c r="BC334" s="14"/>
      <c r="BD334" s="14"/>
      <c r="BE334" s="14"/>
      <c r="BF334" s="14"/>
      <c r="BG334" s="14"/>
      <c r="BH334" s="14"/>
      <c r="BI334" s="14"/>
      <c r="BJ334" s="14"/>
      <c r="BK334" s="14"/>
      <c r="BL334" s="14"/>
      <c r="BM334" s="14"/>
      <c r="BN334" s="14"/>
      <c r="BO334" s="14"/>
      <c r="BP334" s="14"/>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row>
    <row r="335" spans="1:142" s="63" customFormat="1" ht="18" customHeight="1" x14ac:dyDescent="0.2">
      <c r="A335" s="3"/>
      <c r="B335" s="1570" t="str">
        <f>IF(SUM(M331:M334)=0,"","Total for superior gluteal; LEG impairment:")</f>
        <v/>
      </c>
      <c r="C335" s="1570"/>
      <c r="D335" s="1570"/>
      <c r="E335" s="1570"/>
      <c r="F335" s="1570"/>
      <c r="G335" s="1570"/>
      <c r="H335" s="1570"/>
      <c r="I335" s="1570"/>
      <c r="J335" s="1570"/>
      <c r="K335" s="1570"/>
      <c r="L335" s="1570"/>
      <c r="M335" s="1570"/>
      <c r="N335" s="1570"/>
      <c r="O335" s="1570"/>
      <c r="P335" s="240">
        <f>IF(AND(P331="",P332="",P333="",P334=""),0,AVERAGE(P331:P334))</f>
        <v>0</v>
      </c>
      <c r="Q335" s="35"/>
      <c r="R335" s="953"/>
      <c r="S335" s="116"/>
      <c r="T335" s="111"/>
      <c r="U335" s="111"/>
      <c r="V335" s="111"/>
      <c r="W335" s="111"/>
      <c r="X335" s="111"/>
      <c r="Y335" s="18"/>
      <c r="Z335" s="18"/>
      <c r="AA335" s="18"/>
      <c r="AB335" s="18"/>
      <c r="AC335" s="18"/>
      <c r="AD335" s="18"/>
      <c r="AE335" s="18"/>
      <c r="AF335" s="18"/>
      <c r="AG335" s="18"/>
      <c r="AH335" s="172"/>
      <c r="AI335" s="18"/>
      <c r="AJ335" s="18"/>
      <c r="AK335" s="18"/>
      <c r="AL335" s="18"/>
      <c r="AM335" s="18"/>
      <c r="AN335" s="18"/>
      <c r="AO335" s="18"/>
      <c r="AP335" s="18"/>
      <c r="AQ335" s="18"/>
      <c r="AR335" s="18"/>
      <c r="AS335" s="18"/>
      <c r="AT335" s="18"/>
      <c r="AU335" s="18"/>
      <c r="AV335" s="18"/>
      <c r="AW335" s="18"/>
      <c r="AX335" s="18"/>
      <c r="AY335" s="18"/>
      <c r="AZ335" s="18"/>
      <c r="BA335" s="14"/>
      <c r="BB335" s="14"/>
      <c r="BC335" s="14"/>
      <c r="BD335" s="14"/>
      <c r="BE335" s="14"/>
      <c r="BF335" s="14"/>
      <c r="BG335" s="14"/>
      <c r="BH335" s="14"/>
      <c r="BI335" s="14"/>
      <c r="BJ335" s="14"/>
      <c r="BK335" s="14"/>
      <c r="BL335" s="14"/>
      <c r="BM335" s="14"/>
      <c r="BN335" s="14"/>
      <c r="BO335" s="14"/>
      <c r="BP335" s="14"/>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c r="CM335" s="14"/>
      <c r="CN335" s="14"/>
      <c r="CO335" s="14"/>
      <c r="CP335" s="14"/>
      <c r="CQ335" s="14"/>
      <c r="CR335" s="14"/>
      <c r="CS335" s="14"/>
      <c r="CT335" s="14"/>
      <c r="CU335" s="14"/>
      <c r="CV335" s="14"/>
      <c r="CW335" s="14"/>
      <c r="CX335" s="14"/>
      <c r="CY335" s="14"/>
      <c r="CZ335" s="14"/>
      <c r="DA335" s="14"/>
      <c r="DB335" s="14"/>
      <c r="DC335" s="14"/>
      <c r="DD335" s="14"/>
      <c r="DE335" s="14"/>
      <c r="DF335" s="14"/>
      <c r="DG335" s="14"/>
      <c r="DH335" s="14"/>
      <c r="DI335" s="14"/>
      <c r="DJ335" s="14"/>
      <c r="DK335" s="14"/>
      <c r="DL335" s="14"/>
      <c r="DM335" s="14"/>
      <c r="DN335" s="14"/>
      <c r="DO335" s="14"/>
      <c r="DP335" s="14"/>
      <c r="DQ335" s="14"/>
      <c r="DR335" s="14"/>
      <c r="DS335" s="14"/>
      <c r="DT335" s="14"/>
      <c r="DU335" s="14"/>
      <c r="DV335" s="14"/>
      <c r="DW335" s="14"/>
      <c r="DX335" s="14"/>
      <c r="DY335" s="14"/>
      <c r="DZ335" s="14"/>
      <c r="EA335" s="14"/>
      <c r="EB335" s="14"/>
      <c r="EC335" s="14"/>
      <c r="ED335" s="14"/>
      <c r="EE335" s="14"/>
      <c r="EF335" s="14"/>
      <c r="EG335" s="14"/>
      <c r="EH335" s="14"/>
      <c r="EI335" s="14"/>
      <c r="EJ335" s="14"/>
      <c r="EK335" s="14"/>
      <c r="EL335" s="14"/>
    </row>
    <row r="336" spans="1:142" s="63" customFormat="1" ht="15" customHeight="1" x14ac:dyDescent="0.2">
      <c r="A336" s="3"/>
      <c r="B336" s="1379" t="s">
        <v>520</v>
      </c>
      <c r="C336" s="1379"/>
      <c r="D336" s="1379"/>
      <c r="E336" s="456"/>
      <c r="F336" s="1410" t="s">
        <v>521</v>
      </c>
      <c r="G336" s="1410"/>
      <c r="H336" s="1410"/>
      <c r="I336" s="1410"/>
      <c r="J336" s="1410"/>
      <c r="K336" s="1410"/>
      <c r="L336" s="1410"/>
      <c r="M336" s="92">
        <f>IF(OR(F336="",S336=0),0,0.25)</f>
        <v>0</v>
      </c>
      <c r="N336" s="254"/>
      <c r="O336" s="254"/>
      <c r="P336" s="355">
        <f>IF(X336=0,0,X336)</f>
        <v>0</v>
      </c>
      <c r="Q336" s="35"/>
      <c r="R336" s="686" t="b">
        <v>0</v>
      </c>
      <c r="S336" s="736">
        <f>IF(R336=TRUE,1,0)</f>
        <v>0</v>
      </c>
      <c r="T336" s="747">
        <f>SUMIF($T$278:$AH$278,N336,$T$279:$AH$279)</f>
        <v>0</v>
      </c>
      <c r="U336" s="747">
        <f>SUMIF($S$278:$AH$278,O336,$S$279:$AH$279)</f>
        <v>0</v>
      </c>
      <c r="V336" s="747">
        <f>M336*T336</f>
        <v>0</v>
      </c>
      <c r="W336" s="747">
        <f>M336*U336</f>
        <v>0</v>
      </c>
      <c r="X336" s="747">
        <f>(IF(V336-W336&lt;=0,0,V336-W336))</f>
        <v>0</v>
      </c>
      <c r="Y336" s="18"/>
      <c r="Z336" s="18"/>
      <c r="AA336" s="18"/>
      <c r="AB336" s="18"/>
      <c r="AC336" s="18"/>
      <c r="AD336" s="18"/>
      <c r="AE336" s="18"/>
      <c r="AF336" s="18"/>
      <c r="AG336" s="18"/>
      <c r="AH336" s="172"/>
      <c r="AI336" s="18"/>
      <c r="AJ336" s="18"/>
      <c r="AK336" s="18"/>
      <c r="AL336" s="18"/>
      <c r="AM336" s="18"/>
      <c r="AN336" s="18"/>
      <c r="AO336" s="18"/>
      <c r="AP336" s="18"/>
      <c r="AQ336" s="18"/>
      <c r="AR336" s="18"/>
      <c r="AS336" s="18"/>
      <c r="AT336" s="18"/>
      <c r="AU336" s="18"/>
      <c r="AV336" s="18"/>
      <c r="AW336" s="18"/>
      <c r="AX336" s="18"/>
      <c r="AY336" s="18"/>
      <c r="AZ336" s="18"/>
      <c r="BA336" s="14"/>
      <c r="BB336" s="14"/>
      <c r="BC336" s="14"/>
      <c r="BD336" s="14"/>
      <c r="BE336" s="14"/>
      <c r="BF336" s="14"/>
      <c r="BG336" s="14"/>
      <c r="BH336" s="14"/>
      <c r="BI336" s="14"/>
      <c r="BJ336" s="14"/>
      <c r="BK336" s="14"/>
      <c r="BL336" s="14"/>
      <c r="BM336" s="14"/>
      <c r="BN336" s="14"/>
      <c r="BO336" s="14"/>
      <c r="BP336" s="14"/>
      <c r="BQ336" s="14"/>
      <c r="BR336" s="14"/>
      <c r="BS336" s="14"/>
      <c r="BT336" s="14"/>
      <c r="BU336" s="14"/>
      <c r="BV336" s="14"/>
      <c r="BW336" s="14"/>
      <c r="BX336" s="14"/>
      <c r="BY336" s="14"/>
      <c r="BZ336" s="14"/>
      <c r="CA336" s="14"/>
      <c r="CB336" s="14"/>
      <c r="CC336" s="14"/>
      <c r="CD336" s="14"/>
      <c r="CE336" s="14"/>
      <c r="CF336" s="14"/>
      <c r="CG336" s="14"/>
      <c r="CH336" s="14"/>
      <c r="CI336" s="14"/>
      <c r="CJ336" s="14"/>
      <c r="CK336" s="14"/>
      <c r="CL336" s="14"/>
      <c r="CM336" s="14"/>
      <c r="CN336" s="14"/>
      <c r="CO336" s="14"/>
      <c r="CP336" s="14"/>
      <c r="CQ336" s="14"/>
      <c r="CR336" s="14"/>
      <c r="CS336" s="14"/>
      <c r="CT336" s="14"/>
      <c r="CU336" s="14"/>
      <c r="CV336" s="14"/>
      <c r="CW336" s="14"/>
      <c r="CX336" s="14"/>
      <c r="CY336" s="14"/>
      <c r="CZ336" s="14"/>
      <c r="DA336" s="14"/>
      <c r="DB336" s="14"/>
      <c r="DC336" s="14"/>
      <c r="DD336" s="14"/>
      <c r="DE336" s="14"/>
      <c r="DF336" s="14"/>
      <c r="DG336" s="14"/>
      <c r="DH336" s="14"/>
      <c r="DI336" s="14"/>
      <c r="DJ336" s="14"/>
      <c r="DK336" s="14"/>
      <c r="DL336" s="14"/>
      <c r="DM336" s="14"/>
      <c r="DN336" s="14"/>
      <c r="DO336" s="14"/>
      <c r="DP336" s="14"/>
      <c r="DQ336" s="14"/>
      <c r="DR336" s="14"/>
      <c r="DS336" s="14"/>
      <c r="DT336" s="14"/>
      <c r="DU336" s="14"/>
      <c r="DV336" s="14"/>
      <c r="DW336" s="14"/>
      <c r="DX336" s="14"/>
      <c r="DY336" s="14"/>
      <c r="DZ336" s="14"/>
      <c r="EA336" s="14"/>
      <c r="EB336" s="14"/>
      <c r="EC336" s="14"/>
      <c r="ED336" s="14"/>
      <c r="EE336" s="14"/>
      <c r="EF336" s="14"/>
      <c r="EG336" s="14"/>
      <c r="EH336" s="14"/>
      <c r="EI336" s="14"/>
      <c r="EJ336" s="14"/>
      <c r="EK336" s="14"/>
      <c r="EL336" s="14"/>
    </row>
    <row r="337" spans="1:142" s="63" customFormat="1" ht="18" customHeight="1" x14ac:dyDescent="0.2">
      <c r="A337" s="35"/>
      <c r="B337" s="1570" t="s">
        <v>585</v>
      </c>
      <c r="C337" s="1570"/>
      <c r="D337" s="1570"/>
      <c r="E337" s="1570"/>
      <c r="F337" s="1570"/>
      <c r="G337" s="1570"/>
      <c r="H337" s="1570"/>
      <c r="I337" s="1570"/>
      <c r="J337" s="1570"/>
      <c r="K337" s="1570"/>
      <c r="L337" s="1570"/>
      <c r="M337" s="1570"/>
      <c r="N337" s="1570"/>
      <c r="O337" s="1570"/>
      <c r="P337" s="344">
        <f>AD283</f>
        <v>0</v>
      </c>
      <c r="Q337" s="93"/>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4"/>
      <c r="BB337" s="14"/>
      <c r="BC337" s="14"/>
      <c r="BD337" s="14"/>
      <c r="BE337" s="14"/>
      <c r="BF337" s="14"/>
      <c r="BG337" s="14"/>
      <c r="BH337" s="14"/>
      <c r="BI337" s="14"/>
      <c r="BJ337" s="14"/>
      <c r="BK337" s="14"/>
      <c r="BL337" s="14"/>
      <c r="BM337" s="14"/>
      <c r="BN337" s="14"/>
      <c r="BO337" s="14"/>
      <c r="BP337" s="14"/>
      <c r="BQ337" s="14"/>
      <c r="BR337" s="14"/>
      <c r="BS337" s="14"/>
      <c r="BT337" s="14"/>
      <c r="BU337" s="14"/>
      <c r="BV337" s="14"/>
      <c r="BW337" s="14"/>
      <c r="BX337" s="14"/>
      <c r="BY337" s="14"/>
      <c r="BZ337" s="14"/>
      <c r="CA337" s="14"/>
      <c r="CB337" s="14"/>
      <c r="CC337" s="14"/>
      <c r="CD337" s="14"/>
      <c r="CE337" s="14"/>
      <c r="CF337" s="14"/>
      <c r="CG337" s="14"/>
      <c r="CH337" s="14"/>
      <c r="CI337" s="14"/>
      <c r="CJ337" s="14"/>
      <c r="CK337" s="14"/>
      <c r="CL337" s="14"/>
      <c r="CM337" s="14"/>
      <c r="CN337" s="14"/>
      <c r="CO337" s="14"/>
      <c r="CP337" s="14"/>
      <c r="CQ337" s="14"/>
      <c r="CR337" s="14"/>
      <c r="CS337" s="14"/>
      <c r="CT337" s="14"/>
      <c r="CU337" s="14"/>
      <c r="CV337" s="14"/>
      <c r="CW337" s="14"/>
      <c r="CX337" s="14"/>
      <c r="CY337" s="14"/>
      <c r="CZ337" s="14"/>
      <c r="DA337" s="14"/>
      <c r="DB337" s="14"/>
      <c r="DC337" s="14"/>
      <c r="DD337" s="14"/>
      <c r="DE337" s="14"/>
      <c r="DF337" s="14"/>
      <c r="DG337" s="14"/>
      <c r="DH337" s="14"/>
      <c r="DI337" s="14"/>
      <c r="DJ337" s="14"/>
      <c r="DK337" s="14"/>
      <c r="DL337" s="14"/>
      <c r="DM337" s="14"/>
      <c r="DN337" s="14"/>
      <c r="DO337" s="14"/>
      <c r="DP337" s="14"/>
      <c r="DQ337" s="14"/>
      <c r="DR337" s="14"/>
      <c r="DS337" s="14"/>
      <c r="DT337" s="14"/>
      <c r="DU337" s="14"/>
      <c r="DV337" s="14"/>
      <c r="DW337" s="14"/>
      <c r="DX337" s="14"/>
      <c r="DY337" s="14"/>
      <c r="DZ337" s="14"/>
      <c r="EA337" s="14"/>
      <c r="EB337" s="14"/>
      <c r="EC337" s="14"/>
      <c r="ED337" s="14"/>
      <c r="EE337" s="14"/>
      <c r="EF337" s="14"/>
      <c r="EG337" s="14"/>
      <c r="EH337" s="14"/>
      <c r="EI337" s="14"/>
      <c r="EJ337" s="14"/>
      <c r="EK337" s="14"/>
      <c r="EL337" s="14"/>
    </row>
    <row r="338" spans="1:142" s="63" customFormat="1" ht="18" customHeight="1" x14ac:dyDescent="0.2">
      <c r="A338" s="35"/>
      <c r="B338" s="1570" t="s">
        <v>859</v>
      </c>
      <c r="C338" s="1570"/>
      <c r="D338" s="1570"/>
      <c r="E338" s="1570"/>
      <c r="F338" s="1570"/>
      <c r="G338" s="1570"/>
      <c r="H338" s="1570"/>
      <c r="I338" s="1570"/>
      <c r="J338" s="1570"/>
      <c r="K338" s="1570"/>
      <c r="L338" s="1570"/>
      <c r="M338" s="1570"/>
      <c r="N338" s="1570"/>
      <c r="O338" s="1570"/>
      <c r="P338" s="344">
        <f>AI292</f>
        <v>0</v>
      </c>
      <c r="Q338" s="93"/>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4"/>
      <c r="BB338" s="14"/>
      <c r="BC338" s="14"/>
      <c r="BD338" s="14"/>
      <c r="BE338" s="14"/>
      <c r="BF338" s="14"/>
      <c r="BG338" s="14"/>
      <c r="BH338" s="14"/>
      <c r="BI338" s="14"/>
      <c r="BJ338" s="14"/>
      <c r="BK338" s="14"/>
      <c r="BL338" s="14"/>
      <c r="BM338" s="14"/>
      <c r="BN338" s="14"/>
      <c r="BO338" s="14"/>
      <c r="BP338" s="14"/>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row>
    <row r="339" spans="1:142" s="63" customFormat="1" ht="12" customHeight="1" x14ac:dyDescent="0.2">
      <c r="A339" s="35"/>
      <c r="B339" s="1395"/>
      <c r="C339" s="1395"/>
      <c r="D339" s="1395"/>
      <c r="E339" s="1395"/>
      <c r="F339" s="1395"/>
      <c r="G339" s="1395"/>
      <c r="H339" s="1395"/>
      <c r="I339" s="1395"/>
      <c r="J339" s="1395"/>
      <c r="K339" s="1395"/>
      <c r="L339" s="1395"/>
      <c r="M339" s="1395"/>
      <c r="N339" s="1395"/>
      <c r="O339" s="1395"/>
      <c r="P339" s="1395"/>
      <c r="Q339" s="93"/>
      <c r="R339" s="18"/>
      <c r="S339" s="18"/>
      <c r="T339" s="18"/>
      <c r="U339" s="18"/>
      <c r="V339" s="18"/>
      <c r="W339" s="18"/>
      <c r="X339" s="18"/>
      <c r="Y339" s="1083"/>
      <c r="Z339" s="1087"/>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4"/>
      <c r="BB339" s="14"/>
      <c r="BC339" s="14"/>
      <c r="BD339" s="14"/>
      <c r="BE339" s="14"/>
      <c r="BF339" s="14"/>
      <c r="BG339" s="14"/>
      <c r="BH339" s="14"/>
      <c r="BI339" s="14"/>
      <c r="BJ339" s="14"/>
      <c r="BK339" s="14"/>
      <c r="BL339" s="14"/>
      <c r="BM339" s="14"/>
      <c r="BN339" s="14"/>
      <c r="BO339" s="14"/>
      <c r="BP339" s="14"/>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row>
    <row r="340" spans="1:142" s="63" customFormat="1" ht="12.75" customHeight="1" x14ac:dyDescent="0.2">
      <c r="A340" s="35"/>
      <c r="B340" s="1395"/>
      <c r="C340" s="1395"/>
      <c r="D340" s="1395"/>
      <c r="E340" s="1395"/>
      <c r="F340" s="1395"/>
      <c r="G340" s="1395"/>
      <c r="H340" s="1395"/>
      <c r="I340" s="1395"/>
      <c r="J340" s="1395"/>
      <c r="K340" s="1395"/>
      <c r="L340" s="1395"/>
      <c r="M340" s="1395"/>
      <c r="N340" s="1395"/>
      <c r="O340" s="1395"/>
      <c r="P340" s="1395"/>
      <c r="Q340" s="93"/>
      <c r="R340" s="18"/>
      <c r="S340" s="18"/>
      <c r="T340" s="18"/>
      <c r="U340" s="18"/>
      <c r="V340" s="18"/>
      <c r="W340" s="18"/>
      <c r="X340" s="18"/>
      <c r="Y340" s="1083"/>
      <c r="Z340" s="1087"/>
      <c r="AA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4"/>
      <c r="BB340" s="14"/>
      <c r="BC340" s="14"/>
      <c r="BD340" s="14"/>
      <c r="BE340" s="14"/>
      <c r="BF340" s="14"/>
      <c r="BG340" s="14"/>
      <c r="BH340" s="14"/>
      <c r="BI340" s="14"/>
      <c r="BJ340" s="14"/>
      <c r="BK340" s="14"/>
      <c r="BL340" s="14"/>
      <c r="BM340" s="14"/>
      <c r="BN340" s="14"/>
      <c r="BO340" s="14"/>
      <c r="BP340" s="14"/>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row>
    <row r="341" spans="1:142" s="63" customFormat="1" ht="36.75" customHeight="1" x14ac:dyDescent="0.2">
      <c r="A341" s="35"/>
      <c r="B341" s="1659" t="s">
        <v>816</v>
      </c>
      <c r="C341" s="1660"/>
      <c r="D341" s="1660"/>
      <c r="E341" s="1660"/>
      <c r="F341" s="1661"/>
      <c r="G341" s="1626" t="s">
        <v>1525</v>
      </c>
      <c r="H341" s="1627"/>
      <c r="I341" s="1627"/>
      <c r="J341" s="1627"/>
      <c r="K341" s="1628"/>
      <c r="L341" s="1757"/>
      <c r="M341" s="1758"/>
      <c r="N341" s="1758"/>
      <c r="O341" s="1758"/>
      <c r="P341" s="1809">
        <f>V366</f>
        <v>0</v>
      </c>
      <c r="Q341" s="35"/>
      <c r="R341" s="18"/>
      <c r="S341" s="872" t="s">
        <v>1865</v>
      </c>
      <c r="T341" s="864" t="s">
        <v>1305</v>
      </c>
      <c r="U341" s="864" t="s">
        <v>1306</v>
      </c>
      <c r="V341" s="864" t="s">
        <v>1307</v>
      </c>
      <c r="W341" s="864" t="s">
        <v>860</v>
      </c>
      <c r="X341" s="18"/>
      <c r="Y341" s="1083"/>
      <c r="Z341" s="1094"/>
      <c r="AA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4"/>
      <c r="BB341" s="14"/>
      <c r="BC341" s="14"/>
      <c r="BD341" s="14"/>
      <c r="BE341" s="14"/>
      <c r="BF341" s="14"/>
      <c r="BG341" s="14"/>
      <c r="BH341" s="14"/>
      <c r="BI341" s="14"/>
      <c r="BJ341" s="14"/>
      <c r="BK341" s="14"/>
      <c r="BL341" s="14"/>
      <c r="BM341" s="14"/>
      <c r="BN341" s="14"/>
      <c r="BO341" s="14"/>
      <c r="BP341" s="14"/>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row>
    <row r="342" spans="1:142" s="63" customFormat="1" ht="15" customHeight="1" x14ac:dyDescent="0.2">
      <c r="A342" s="35"/>
      <c r="B342" s="1357" t="s">
        <v>861</v>
      </c>
      <c r="C342" s="1358"/>
      <c r="D342" s="1359"/>
      <c r="E342" s="1342">
        <f t="shared" ref="E342:E347" si="48">P207</f>
        <v>0</v>
      </c>
      <c r="F342" s="1344"/>
      <c r="G342" s="1702" t="s">
        <v>1942</v>
      </c>
      <c r="H342" s="1627"/>
      <c r="I342" s="1628"/>
      <c r="J342" s="1838"/>
      <c r="K342" s="1838"/>
      <c r="L342" s="1761"/>
      <c r="M342" s="1761"/>
      <c r="N342" s="1761"/>
      <c r="O342" s="1761"/>
      <c r="P342" s="1809"/>
      <c r="Q342" s="35"/>
      <c r="R342" s="18"/>
      <c r="S342" s="871">
        <f>E342</f>
        <v>0</v>
      </c>
      <c r="T342" s="869">
        <f>LARGE($S$342:$S$367,1)</f>
        <v>0</v>
      </c>
      <c r="U342" s="684">
        <f>T342+T343*(1-T342)</f>
        <v>0</v>
      </c>
      <c r="V342" s="871">
        <f>ROUND(U342,2)</f>
        <v>0</v>
      </c>
      <c r="W342" s="864">
        <f>IF(OR(P215&gt;0,P216&gt;0,P217&gt;0,P218&gt;0,P219&gt;0,P234&gt;0),1,0)</f>
        <v>0</v>
      </c>
      <c r="X342" s="18"/>
      <c r="Y342" s="1094"/>
      <c r="Z342" s="1094"/>
      <c r="AA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4"/>
      <c r="BB342" s="14"/>
      <c r="BC342" s="14"/>
      <c r="BD342" s="14"/>
      <c r="BE342" s="14"/>
      <c r="BF342" s="14"/>
      <c r="BG342" s="14"/>
      <c r="BH342" s="14"/>
      <c r="BI342" s="14"/>
      <c r="BJ342" s="14"/>
      <c r="BK342" s="14"/>
      <c r="BL342" s="14"/>
      <c r="BM342" s="14"/>
      <c r="BN342" s="14"/>
      <c r="BO342" s="14"/>
      <c r="BP342" s="14"/>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row>
    <row r="343" spans="1:142" s="63" customFormat="1" ht="15" customHeight="1" x14ac:dyDescent="0.2">
      <c r="A343" s="35"/>
      <c r="B343" s="269" t="s">
        <v>1895</v>
      </c>
      <c r="C343" s="269"/>
      <c r="D343" s="269"/>
      <c r="E343" s="1342">
        <f t="shared" si="48"/>
        <v>0</v>
      </c>
      <c r="F343" s="1344"/>
      <c r="G343" s="1702" t="s">
        <v>1942</v>
      </c>
      <c r="H343" s="1627"/>
      <c r="I343" s="1628"/>
      <c r="J343" s="1838"/>
      <c r="K343" s="1838"/>
      <c r="L343" s="1761"/>
      <c r="M343" s="1761"/>
      <c r="N343" s="1761"/>
      <c r="O343" s="1761"/>
      <c r="P343" s="1809"/>
      <c r="Q343" s="35"/>
      <c r="R343" s="18"/>
      <c r="S343" s="871">
        <f t="shared" ref="S343:S352" si="49">E343</f>
        <v>0</v>
      </c>
      <c r="T343" s="869">
        <f>LARGE($S$342:$S$367,2)</f>
        <v>0</v>
      </c>
      <c r="U343" s="684">
        <f>V342+T344*(1-V342)</f>
        <v>0</v>
      </c>
      <c r="V343" s="871">
        <f>ROUND(U343,2)</f>
        <v>0</v>
      </c>
      <c r="W343" s="864" t="s">
        <v>1899</v>
      </c>
      <c r="X343" s="18"/>
      <c r="Y343" s="18"/>
      <c r="Z343" s="18"/>
      <c r="AA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4"/>
      <c r="BB343" s="14"/>
      <c r="BC343" s="14"/>
      <c r="BD343" s="14"/>
      <c r="BE343" s="14"/>
      <c r="BF343" s="14"/>
      <c r="BG343" s="14"/>
      <c r="BH343" s="14"/>
      <c r="BI343" s="14"/>
      <c r="BJ343" s="14"/>
      <c r="BK343" s="14"/>
      <c r="BL343" s="14"/>
      <c r="BM343" s="14"/>
      <c r="BN343" s="14"/>
      <c r="BO343" s="14"/>
      <c r="BP343" s="14"/>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row>
    <row r="344" spans="1:142" s="63" customFormat="1" ht="15" customHeight="1" x14ac:dyDescent="0.2">
      <c r="A344" s="35"/>
      <c r="B344" s="269" t="s">
        <v>1897</v>
      </c>
      <c r="C344" s="269"/>
      <c r="D344" s="269"/>
      <c r="E344" s="1342">
        <f t="shared" si="48"/>
        <v>0</v>
      </c>
      <c r="F344" s="1344"/>
      <c r="G344" s="1702" t="s">
        <v>1942</v>
      </c>
      <c r="H344" s="1627"/>
      <c r="I344" s="1628"/>
      <c r="J344" s="1838"/>
      <c r="K344" s="1838"/>
      <c r="L344" s="1761"/>
      <c r="M344" s="1761"/>
      <c r="N344" s="1761"/>
      <c r="O344" s="1761"/>
      <c r="P344" s="1809"/>
      <c r="Q344" s="35"/>
      <c r="R344" s="18"/>
      <c r="S344" s="871">
        <f t="shared" si="49"/>
        <v>0</v>
      </c>
      <c r="T344" s="869">
        <f>LARGE($S$342:$S$367,3)</f>
        <v>0</v>
      </c>
      <c r="U344" s="684">
        <f t="shared" ref="U344:U366" si="50">V343+T345*(1-V343)</f>
        <v>0</v>
      </c>
      <c r="V344" s="871">
        <f t="shared" ref="V344:V366" si="51">ROUND(U344,2)</f>
        <v>0</v>
      </c>
      <c r="W344" s="864">
        <f>IF(P337&gt;0,5,0)</f>
        <v>0</v>
      </c>
      <c r="X344" s="18"/>
      <c r="Y344" s="1094"/>
      <c r="Z344" s="1094"/>
      <c r="AA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4"/>
      <c r="BB344" s="14"/>
      <c r="BC344" s="14"/>
      <c r="BD344" s="14"/>
      <c r="BE344" s="14"/>
      <c r="BF344" s="14"/>
      <c r="BG344" s="14"/>
      <c r="BH344" s="14"/>
      <c r="BI344" s="14"/>
      <c r="BJ344" s="14"/>
      <c r="BK344" s="14"/>
      <c r="BL344" s="14"/>
      <c r="BM344" s="14"/>
      <c r="BN344" s="14"/>
      <c r="BO344" s="14"/>
      <c r="BP344" s="14"/>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row>
    <row r="345" spans="1:142" s="63" customFormat="1" ht="15" customHeight="1" x14ac:dyDescent="0.2">
      <c r="A345" s="35"/>
      <c r="B345" s="269" t="s">
        <v>1898</v>
      </c>
      <c r="C345" s="269"/>
      <c r="D345" s="269"/>
      <c r="E345" s="1342">
        <f t="shared" si="48"/>
        <v>0</v>
      </c>
      <c r="F345" s="1344"/>
      <c r="G345" s="1702" t="s">
        <v>1942</v>
      </c>
      <c r="H345" s="1627"/>
      <c r="I345" s="1628"/>
      <c r="J345" s="1838"/>
      <c r="K345" s="1838"/>
      <c r="L345" s="1761"/>
      <c r="M345" s="1761"/>
      <c r="N345" s="1761"/>
      <c r="O345" s="1761"/>
      <c r="P345" s="1809"/>
      <c r="Q345" s="35"/>
      <c r="R345" s="18"/>
      <c r="S345" s="871">
        <f t="shared" si="49"/>
        <v>0</v>
      </c>
      <c r="T345" s="869">
        <f>LARGE($S$342:$S$367,4)</f>
        <v>0</v>
      </c>
      <c r="U345" s="684">
        <f t="shared" si="50"/>
        <v>0</v>
      </c>
      <c r="V345" s="871">
        <f t="shared" si="51"/>
        <v>0</v>
      </c>
      <c r="W345" s="864" t="s">
        <v>596</v>
      </c>
      <c r="X345" s="18"/>
      <c r="Y345" s="1094"/>
      <c r="Z345" s="1094"/>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4"/>
      <c r="BB345" s="14"/>
      <c r="BC345" s="14"/>
      <c r="BD345" s="14"/>
      <c r="BE345" s="14"/>
      <c r="BF345" s="14"/>
      <c r="BG345" s="14"/>
      <c r="BH345" s="14"/>
      <c r="BI345" s="14"/>
      <c r="BJ345" s="14"/>
      <c r="BK345" s="14"/>
      <c r="BL345" s="14"/>
      <c r="BM345" s="14"/>
      <c r="BN345" s="14"/>
      <c r="BO345" s="14"/>
      <c r="BP345" s="14"/>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row>
    <row r="346" spans="1:142" s="63" customFormat="1" ht="15" customHeight="1" x14ac:dyDescent="0.2">
      <c r="A346" s="35"/>
      <c r="B346" s="269" t="s">
        <v>1900</v>
      </c>
      <c r="C346" s="269"/>
      <c r="D346" s="269"/>
      <c r="E346" s="1342">
        <f t="shared" si="48"/>
        <v>0</v>
      </c>
      <c r="F346" s="1344"/>
      <c r="G346" s="1702" t="s">
        <v>1942</v>
      </c>
      <c r="H346" s="1627"/>
      <c r="I346" s="1628"/>
      <c r="J346" s="1838"/>
      <c r="K346" s="1838"/>
      <c r="L346" s="1761"/>
      <c r="M346" s="1761"/>
      <c r="N346" s="1761"/>
      <c r="O346" s="1761"/>
      <c r="P346" s="1809"/>
      <c r="Q346" s="35"/>
      <c r="R346" s="18"/>
      <c r="S346" s="871">
        <f t="shared" si="49"/>
        <v>0</v>
      </c>
      <c r="T346" s="869">
        <f>LARGE($S$342:$S$367,5)</f>
        <v>0</v>
      </c>
      <c r="U346" s="684">
        <f t="shared" si="50"/>
        <v>0</v>
      </c>
      <c r="V346" s="871">
        <f t="shared" si="51"/>
        <v>0</v>
      </c>
      <c r="W346" s="864">
        <f>IF(P267&gt;0,1,0)</f>
        <v>0</v>
      </c>
      <c r="X346" s="18"/>
      <c r="Y346" s="1094"/>
      <c r="Z346" s="1094"/>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4"/>
      <c r="BB346" s="14"/>
      <c r="BC346" s="14"/>
      <c r="BD346" s="14"/>
      <c r="BE346" s="14"/>
      <c r="BF346" s="14"/>
      <c r="BG346" s="14"/>
      <c r="BH346" s="14"/>
      <c r="BI346" s="14"/>
      <c r="BJ346" s="14"/>
      <c r="BK346" s="14"/>
      <c r="BL346" s="14"/>
      <c r="BM346" s="14"/>
      <c r="BN346" s="14"/>
      <c r="BO346" s="14"/>
      <c r="BP346" s="14"/>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row>
    <row r="347" spans="1:142" s="63" customFormat="1" ht="15" customHeight="1" x14ac:dyDescent="0.2">
      <c r="A347" s="35"/>
      <c r="B347" s="269" t="s">
        <v>1901</v>
      </c>
      <c r="C347" s="269"/>
      <c r="D347" s="269"/>
      <c r="E347" s="1342">
        <f t="shared" si="48"/>
        <v>0</v>
      </c>
      <c r="F347" s="1344"/>
      <c r="G347" s="1702" t="s">
        <v>1942</v>
      </c>
      <c r="H347" s="1627"/>
      <c r="I347" s="1628"/>
      <c r="J347" s="1838"/>
      <c r="K347" s="1838"/>
      <c r="L347" s="1761"/>
      <c r="M347" s="1761"/>
      <c r="N347" s="1761"/>
      <c r="O347" s="1761"/>
      <c r="P347" s="1809"/>
      <c r="Q347" s="35"/>
      <c r="R347" s="18"/>
      <c r="S347" s="871">
        <f t="shared" si="49"/>
        <v>0</v>
      </c>
      <c r="T347" s="869">
        <f>LARGE($S$342:$S$367,6)</f>
        <v>0</v>
      </c>
      <c r="U347" s="684">
        <f t="shared" si="50"/>
        <v>0</v>
      </c>
      <c r="V347" s="871">
        <f t="shared" si="51"/>
        <v>0</v>
      </c>
      <c r="W347" s="864" t="s">
        <v>1902</v>
      </c>
      <c r="X347" s="18"/>
      <c r="Y347" s="1094"/>
      <c r="Z347" s="1094"/>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4"/>
      <c r="BB347" s="14"/>
      <c r="BC347" s="14"/>
      <c r="BD347" s="14"/>
      <c r="BE347" s="14"/>
      <c r="BF347" s="14"/>
      <c r="BG347" s="14"/>
      <c r="BH347" s="14"/>
      <c r="BI347" s="14"/>
      <c r="BJ347" s="14"/>
      <c r="BK347" s="14"/>
      <c r="BL347" s="14"/>
      <c r="BM347" s="14"/>
      <c r="BN347" s="14"/>
      <c r="BO347" s="14"/>
      <c r="BP347" s="14"/>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row>
    <row r="348" spans="1:142" s="63" customFormat="1" ht="15" customHeight="1" x14ac:dyDescent="0.2">
      <c r="A348" s="35"/>
      <c r="B348" s="1843" t="s">
        <v>1903</v>
      </c>
      <c r="C348" s="1844"/>
      <c r="D348" s="1845"/>
      <c r="E348" s="1342">
        <f>IF(P427&gt;0,0,P215)</f>
        <v>0</v>
      </c>
      <c r="F348" s="1344"/>
      <c r="G348" s="1702" t="s">
        <v>1942</v>
      </c>
      <c r="H348" s="1627"/>
      <c r="I348" s="1628"/>
      <c r="J348" s="1838"/>
      <c r="K348" s="1838"/>
      <c r="L348" s="1761"/>
      <c r="M348" s="1761"/>
      <c r="N348" s="1761"/>
      <c r="O348" s="1761"/>
      <c r="P348" s="1809"/>
      <c r="Q348" s="35"/>
      <c r="R348" s="18"/>
      <c r="S348" s="871">
        <f t="shared" si="49"/>
        <v>0</v>
      </c>
      <c r="T348" s="869">
        <f>LARGE($S$342:$S$367,7)</f>
        <v>0</v>
      </c>
      <c r="U348" s="684">
        <f t="shared" si="50"/>
        <v>0</v>
      </c>
      <c r="V348" s="871">
        <f t="shared" si="51"/>
        <v>0</v>
      </c>
      <c r="W348" s="864">
        <f>SUM(W342,W344,W346)</f>
        <v>0</v>
      </c>
      <c r="X348" s="18"/>
      <c r="Y348" s="1094"/>
      <c r="Z348" s="1094"/>
      <c r="AA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4"/>
      <c r="BB348" s="14"/>
      <c r="BC348" s="14"/>
      <c r="BD348" s="14"/>
      <c r="BE348" s="14"/>
      <c r="BF348" s="14"/>
      <c r="BG348" s="14"/>
      <c r="BH348" s="14"/>
      <c r="BI348" s="14"/>
      <c r="BJ348" s="14"/>
      <c r="BK348" s="14"/>
      <c r="BL348" s="14"/>
      <c r="BM348" s="14"/>
      <c r="BN348" s="14"/>
      <c r="BO348" s="14"/>
      <c r="BP348" s="14"/>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row>
    <row r="349" spans="1:142" s="63" customFormat="1" ht="15" customHeight="1" x14ac:dyDescent="0.2">
      <c r="A349" s="35"/>
      <c r="B349" s="1843" t="s">
        <v>1440</v>
      </c>
      <c r="C349" s="1844"/>
      <c r="D349" s="1845"/>
      <c r="E349" s="1342">
        <f>IF(P427&gt;0,0,P216)</f>
        <v>0</v>
      </c>
      <c r="F349" s="1344"/>
      <c r="G349" s="1702" t="s">
        <v>1942</v>
      </c>
      <c r="H349" s="1627"/>
      <c r="I349" s="1628"/>
      <c r="J349" s="1838"/>
      <c r="K349" s="1838"/>
      <c r="L349" s="1761"/>
      <c r="M349" s="1761"/>
      <c r="N349" s="1761"/>
      <c r="O349" s="1761"/>
      <c r="P349" s="1809"/>
      <c r="Q349" s="35"/>
      <c r="R349" s="18"/>
      <c r="S349" s="871">
        <f t="shared" si="49"/>
        <v>0</v>
      </c>
      <c r="T349" s="869">
        <f>LARGE($S$342:$S$367,8)</f>
        <v>0</v>
      </c>
      <c r="U349" s="684">
        <f t="shared" si="50"/>
        <v>0</v>
      </c>
      <c r="V349" s="871">
        <f t="shared" si="51"/>
        <v>0</v>
      </c>
      <c r="W349" s="18"/>
      <c r="X349" s="18"/>
      <c r="Y349" s="1094"/>
      <c r="Z349" s="1094"/>
      <c r="AA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4"/>
      <c r="BB349" s="14"/>
      <c r="BC349" s="14"/>
      <c r="BD349" s="14"/>
      <c r="BE349" s="14"/>
      <c r="BF349" s="14"/>
      <c r="BG349" s="14"/>
      <c r="BH349" s="14"/>
      <c r="BI349" s="14"/>
      <c r="BJ349" s="14"/>
      <c r="BK349" s="14"/>
      <c r="BL349" s="14"/>
      <c r="BM349" s="14"/>
      <c r="BN349" s="14"/>
      <c r="BO349" s="14"/>
      <c r="BP349" s="14"/>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row>
    <row r="350" spans="1:142" s="63" customFormat="1" ht="15" customHeight="1" x14ac:dyDescent="0.2">
      <c r="A350" s="35"/>
      <c r="B350" s="1843" t="s">
        <v>1441</v>
      </c>
      <c r="C350" s="1844"/>
      <c r="D350" s="1845"/>
      <c r="E350" s="1342">
        <f>IF(P427&gt;0,0,P217)</f>
        <v>0</v>
      </c>
      <c r="F350" s="1344"/>
      <c r="G350" s="1702" t="s">
        <v>1942</v>
      </c>
      <c r="H350" s="1627"/>
      <c r="I350" s="1628"/>
      <c r="J350" s="1838"/>
      <c r="K350" s="1838"/>
      <c r="L350" s="1761"/>
      <c r="M350" s="1761"/>
      <c r="N350" s="1761"/>
      <c r="O350" s="1761"/>
      <c r="P350" s="1809"/>
      <c r="Q350" s="35"/>
      <c r="R350" s="18"/>
      <c r="S350" s="871">
        <f t="shared" si="49"/>
        <v>0</v>
      </c>
      <c r="T350" s="869">
        <f>LARGE($S$342:$S$367,9)</f>
        <v>0</v>
      </c>
      <c r="U350" s="684">
        <f t="shared" si="50"/>
        <v>0</v>
      </c>
      <c r="V350" s="871">
        <f t="shared" si="51"/>
        <v>0</v>
      </c>
      <c r="W350" s="1162"/>
      <c r="X350" s="18"/>
      <c r="Y350" s="1"/>
      <c r="Z350" s="18"/>
      <c r="AA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4"/>
      <c r="BB350" s="14"/>
      <c r="BC350" s="14"/>
      <c r="BD350" s="14"/>
      <c r="BE350" s="14"/>
      <c r="BF350" s="14"/>
      <c r="BG350" s="14"/>
      <c r="BH350" s="14"/>
      <c r="BI350" s="14"/>
      <c r="BJ350" s="14"/>
      <c r="BK350" s="14"/>
      <c r="BL350" s="14"/>
      <c r="BM350" s="14"/>
      <c r="BN350" s="14"/>
      <c r="BO350" s="14"/>
      <c r="BP350" s="14"/>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row>
    <row r="351" spans="1:142" s="63" customFormat="1" ht="15" customHeight="1" x14ac:dyDescent="0.2">
      <c r="A351" s="35"/>
      <c r="B351" s="1843" t="s">
        <v>1443</v>
      </c>
      <c r="C351" s="1844"/>
      <c r="D351" s="1845"/>
      <c r="E351" s="1342">
        <f>IF(P427&gt;0,0,P218)</f>
        <v>0</v>
      </c>
      <c r="F351" s="1344"/>
      <c r="G351" s="1702" t="s">
        <v>1942</v>
      </c>
      <c r="H351" s="1627"/>
      <c r="I351" s="1628"/>
      <c r="J351" s="1838"/>
      <c r="K351" s="1838"/>
      <c r="L351" s="1761"/>
      <c r="M351" s="1761"/>
      <c r="N351" s="1761"/>
      <c r="O351" s="1761"/>
      <c r="P351" s="1809"/>
      <c r="Q351" s="35"/>
      <c r="R351" s="18"/>
      <c r="S351" s="871">
        <f t="shared" si="49"/>
        <v>0</v>
      </c>
      <c r="T351" s="869">
        <f>LARGE($S$342:$S$367,10)</f>
        <v>0</v>
      </c>
      <c r="U351" s="684">
        <f t="shared" si="50"/>
        <v>0</v>
      </c>
      <c r="V351" s="871">
        <f t="shared" si="51"/>
        <v>0</v>
      </c>
      <c r="W351" s="1162"/>
      <c r="X351" s="18"/>
      <c r="Y351" s="18"/>
      <c r="Z351" s="18"/>
      <c r="AA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4"/>
      <c r="BB351" s="14"/>
      <c r="BC351" s="14"/>
      <c r="BD351" s="14"/>
      <c r="BE351" s="14"/>
      <c r="BF351" s="14"/>
      <c r="BG351" s="14"/>
      <c r="BH351" s="14"/>
      <c r="BI351" s="14"/>
      <c r="BJ351" s="14"/>
      <c r="BK351" s="14"/>
      <c r="BL351" s="14"/>
      <c r="BM351" s="14"/>
      <c r="BN351" s="14"/>
      <c r="BO351" s="14"/>
      <c r="BP351" s="14"/>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row>
    <row r="352" spans="1:142" s="63" customFormat="1" ht="15" customHeight="1" x14ac:dyDescent="0.2">
      <c r="A352" s="35"/>
      <c r="B352" s="1843" t="s">
        <v>101</v>
      </c>
      <c r="C352" s="1844"/>
      <c r="D352" s="1845"/>
      <c r="E352" s="1342">
        <f>IF(P427&gt;0,0,P219)</f>
        <v>0</v>
      </c>
      <c r="F352" s="1344"/>
      <c r="G352" s="1702" t="s">
        <v>1942</v>
      </c>
      <c r="H352" s="1627"/>
      <c r="I352" s="1628"/>
      <c r="J352" s="1838"/>
      <c r="K352" s="1838"/>
      <c r="L352" s="1761"/>
      <c r="M352" s="1761"/>
      <c r="N352" s="1761"/>
      <c r="O352" s="1761"/>
      <c r="P352" s="1809"/>
      <c r="Q352" s="35"/>
      <c r="R352" s="18"/>
      <c r="S352" s="871">
        <f t="shared" si="49"/>
        <v>0</v>
      </c>
      <c r="T352" s="869">
        <f>LARGE($S$342:$S$367,11)</f>
        <v>0</v>
      </c>
      <c r="U352" s="684">
        <f t="shared" si="50"/>
        <v>0</v>
      </c>
      <c r="V352" s="871">
        <f t="shared" si="51"/>
        <v>0</v>
      </c>
      <c r="W352" s="1162"/>
      <c r="X352" s="18"/>
      <c r="Y352" s="18"/>
      <c r="Z352" s="18"/>
      <c r="AA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4"/>
      <c r="BB352" s="14"/>
      <c r="BC352" s="14"/>
      <c r="BD352" s="14"/>
      <c r="BE352" s="14"/>
      <c r="BF352" s="14"/>
      <c r="BG352" s="14"/>
      <c r="BH352" s="14"/>
      <c r="BI352" s="14"/>
      <c r="BJ352" s="14"/>
      <c r="BK352" s="14"/>
      <c r="BL352" s="14"/>
      <c r="BM352" s="14"/>
      <c r="BN352" s="14"/>
      <c r="BO352" s="14"/>
      <c r="BP352" s="14"/>
      <c r="BQ352" s="14"/>
      <c r="BR352" s="14"/>
      <c r="BS352" s="14"/>
      <c r="BT352" s="14"/>
      <c r="BU352" s="14"/>
      <c r="BV352" s="14"/>
      <c r="BW352" s="14"/>
      <c r="BX352" s="14"/>
      <c r="BY352" s="14"/>
      <c r="BZ352" s="14"/>
      <c r="CA352" s="14"/>
      <c r="CB352" s="14"/>
      <c r="CC352" s="14"/>
      <c r="CD352" s="14"/>
      <c r="CE352" s="14"/>
      <c r="CF352" s="14"/>
      <c r="CG352" s="14"/>
      <c r="CH352" s="14"/>
      <c r="CI352" s="14"/>
      <c r="CJ352" s="14"/>
      <c r="CK352" s="14"/>
      <c r="CL352" s="14"/>
      <c r="CM352" s="14"/>
      <c r="CN352" s="14"/>
      <c r="CO352" s="14"/>
      <c r="CP352" s="14"/>
      <c r="CQ352" s="14"/>
      <c r="CR352" s="14"/>
      <c r="CS352" s="14"/>
      <c r="CT352" s="14"/>
      <c r="CU352" s="14"/>
      <c r="CV352" s="14"/>
      <c r="CW352" s="14"/>
      <c r="CX352" s="14"/>
      <c r="CY352" s="14"/>
      <c r="CZ352" s="14"/>
      <c r="DA352" s="14"/>
      <c r="DB352" s="14"/>
      <c r="DC352" s="14"/>
      <c r="DD352" s="14"/>
      <c r="DE352" s="14"/>
      <c r="DF352" s="14"/>
      <c r="DG352" s="14"/>
      <c r="DH352" s="14"/>
      <c r="DI352" s="14"/>
      <c r="DJ352" s="14"/>
      <c r="DK352" s="14"/>
      <c r="DL352" s="14"/>
      <c r="DM352" s="14"/>
      <c r="DN352" s="14"/>
      <c r="DO352" s="14"/>
      <c r="DP352" s="14"/>
      <c r="DQ352" s="14"/>
      <c r="DR352" s="14"/>
      <c r="DS352" s="14"/>
      <c r="DT352" s="14"/>
      <c r="DU352" s="14"/>
      <c r="DV352" s="14"/>
      <c r="DW352" s="14"/>
      <c r="DX352" s="14"/>
      <c r="DY352" s="14"/>
      <c r="DZ352" s="14"/>
      <c r="EA352" s="14"/>
      <c r="EB352" s="14"/>
      <c r="EC352" s="14"/>
      <c r="ED352" s="14"/>
      <c r="EE352" s="14"/>
      <c r="EF352" s="14"/>
      <c r="EG352" s="14"/>
      <c r="EH352" s="14"/>
      <c r="EI352" s="14"/>
      <c r="EJ352" s="14"/>
      <c r="EK352" s="14"/>
      <c r="EL352" s="14"/>
    </row>
    <row r="353" spans="1:142" s="63" customFormat="1" ht="15" customHeight="1" x14ac:dyDescent="0.2">
      <c r="A353" s="35"/>
      <c r="B353" s="1843" t="s">
        <v>1107</v>
      </c>
      <c r="C353" s="1844"/>
      <c r="D353" s="1845"/>
      <c r="E353" s="1342">
        <f>IF(P427&gt;0,0,P234)</f>
        <v>0</v>
      </c>
      <c r="F353" s="1344"/>
      <c r="G353" s="1833" t="s">
        <v>2260</v>
      </c>
      <c r="H353" s="1834"/>
      <c r="I353" s="1835"/>
      <c r="J353" s="1838"/>
      <c r="K353" s="1838"/>
      <c r="L353" s="1620"/>
      <c r="M353" s="1620"/>
      <c r="N353" s="1620"/>
      <c r="O353" s="1620"/>
      <c r="P353" s="1809"/>
      <c r="Q353" s="35"/>
      <c r="R353" s="18"/>
      <c r="S353" s="869">
        <f t="shared" ref="S353:S358" si="52">IF(J353&gt;0,J353,E353)</f>
        <v>0</v>
      </c>
      <c r="T353" s="869">
        <f>LARGE($S$342:$S$367,12)</f>
        <v>0</v>
      </c>
      <c r="U353" s="684">
        <f t="shared" si="50"/>
        <v>0</v>
      </c>
      <c r="V353" s="871">
        <f t="shared" si="51"/>
        <v>0</v>
      </c>
      <c r="W353" s="1162"/>
      <c r="X353" s="18"/>
      <c r="Y353" s="1087"/>
      <c r="Z353" s="18"/>
      <c r="AA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4"/>
      <c r="BB353" s="14"/>
      <c r="BC353" s="14"/>
      <c r="BD353" s="14"/>
      <c r="BE353" s="14"/>
      <c r="BF353" s="14"/>
      <c r="BG353" s="14"/>
      <c r="BH353" s="14"/>
      <c r="BI353" s="14"/>
      <c r="BJ353" s="14"/>
      <c r="BK353" s="14"/>
      <c r="BL353" s="14"/>
      <c r="BM353" s="14"/>
      <c r="BN353" s="14"/>
      <c r="BO353" s="14"/>
      <c r="BP353" s="14"/>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c r="CM353" s="14"/>
      <c r="CN353" s="14"/>
      <c r="CO353" s="14"/>
      <c r="CP353" s="14"/>
      <c r="CQ353" s="14"/>
      <c r="CR353" s="14"/>
      <c r="CS353" s="14"/>
      <c r="CT353" s="14"/>
      <c r="CU353" s="14"/>
      <c r="CV353" s="14"/>
      <c r="CW353" s="14"/>
      <c r="CX353" s="14"/>
      <c r="CY353" s="14"/>
      <c r="CZ353" s="14"/>
      <c r="DA353" s="14"/>
      <c r="DB353" s="14"/>
      <c r="DC353" s="14"/>
      <c r="DD353" s="14"/>
      <c r="DE353" s="14"/>
      <c r="DF353" s="14"/>
      <c r="DG353" s="14"/>
      <c r="DH353" s="14"/>
      <c r="DI353" s="14"/>
      <c r="DJ353" s="14"/>
      <c r="DK353" s="14"/>
      <c r="DL353" s="14"/>
      <c r="DM353" s="14"/>
      <c r="DN353" s="14"/>
      <c r="DO353" s="14"/>
      <c r="DP353" s="14"/>
      <c r="DQ353" s="14"/>
      <c r="DR353" s="14"/>
      <c r="DS353" s="14"/>
      <c r="DT353" s="14"/>
      <c r="DU353" s="14"/>
      <c r="DV353" s="14"/>
      <c r="DW353" s="14"/>
      <c r="DX353" s="14"/>
      <c r="DY353" s="14"/>
      <c r="DZ353" s="14"/>
      <c r="EA353" s="14"/>
      <c r="EB353" s="14"/>
      <c r="EC353" s="14"/>
      <c r="ED353" s="14"/>
      <c r="EE353" s="14"/>
      <c r="EF353" s="14"/>
      <c r="EG353" s="14"/>
      <c r="EH353" s="14"/>
      <c r="EI353" s="14"/>
      <c r="EJ353" s="14"/>
      <c r="EK353" s="14"/>
      <c r="EL353" s="14"/>
    </row>
    <row r="354" spans="1:142" s="63" customFormat="1" ht="15" customHeight="1" x14ac:dyDescent="0.2">
      <c r="A354" s="35"/>
      <c r="B354" s="1857" t="s">
        <v>2017</v>
      </c>
      <c r="C354" s="1858"/>
      <c r="D354" s="1859"/>
      <c r="E354" s="1342">
        <f>P238</f>
        <v>0</v>
      </c>
      <c r="F354" s="1344"/>
      <c r="G354" s="1577"/>
      <c r="H354" s="1841"/>
      <c r="I354" s="1842"/>
      <c r="J354" s="1847">
        <f t="shared" ref="J354:J358" si="53">IF(AND(Y354&lt;0.01,Y354&gt;0),0.01,ROUND(Y354,2))</f>
        <v>0</v>
      </c>
      <c r="K354" s="1847"/>
      <c r="L354" s="1620"/>
      <c r="M354" s="1620"/>
      <c r="N354" s="1620"/>
      <c r="O354" s="1620"/>
      <c r="P354" s="1809"/>
      <c r="Q354" s="35"/>
      <c r="R354" s="18"/>
      <c r="S354" s="869">
        <f t="shared" si="52"/>
        <v>0</v>
      </c>
      <c r="T354" s="869">
        <f>LARGE($S$342:$S$367,13)</f>
        <v>0</v>
      </c>
      <c r="U354" s="684">
        <f t="shared" si="50"/>
        <v>0</v>
      </c>
      <c r="V354" s="871">
        <f t="shared" si="51"/>
        <v>0</v>
      </c>
      <c r="W354" s="18"/>
      <c r="X354" s="18"/>
      <c r="Y354" s="26">
        <f>G354*E354</f>
        <v>0</v>
      </c>
      <c r="Z354" s="18"/>
      <c r="AA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4"/>
      <c r="BB354" s="14"/>
      <c r="BC354" s="14"/>
      <c r="BD354" s="14"/>
      <c r="BE354" s="14"/>
      <c r="BF354" s="14"/>
      <c r="BG354" s="14"/>
      <c r="BH354" s="14"/>
      <c r="BI354" s="14"/>
      <c r="BJ354" s="14"/>
      <c r="BK354" s="14"/>
      <c r="BL354" s="14"/>
      <c r="BM354" s="14"/>
      <c r="BN354" s="14"/>
      <c r="BO354" s="14"/>
      <c r="BP354" s="14"/>
      <c r="BQ354" s="14"/>
      <c r="BR354" s="14"/>
      <c r="BS354" s="14"/>
      <c r="BT354" s="14"/>
      <c r="BU354" s="14"/>
      <c r="BV354" s="14"/>
      <c r="BW354" s="14"/>
      <c r="BX354" s="14"/>
      <c r="BY354" s="14"/>
      <c r="BZ354" s="14"/>
      <c r="CA354" s="14"/>
      <c r="CB354" s="14"/>
      <c r="CC354" s="14"/>
      <c r="CD354" s="14"/>
      <c r="CE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row>
    <row r="355" spans="1:142" s="63" customFormat="1" ht="15" customHeight="1" x14ac:dyDescent="0.2">
      <c r="A355" s="35"/>
      <c r="B355" s="1362" t="s">
        <v>1227</v>
      </c>
      <c r="C355" s="1363"/>
      <c r="D355" s="1364"/>
      <c r="E355" s="1342">
        <f>P239</f>
        <v>0</v>
      </c>
      <c r="F355" s="1344"/>
      <c r="G355" s="1577"/>
      <c r="H355" s="1841"/>
      <c r="I355" s="1842"/>
      <c r="J355" s="1847">
        <f t="shared" si="53"/>
        <v>0</v>
      </c>
      <c r="K355" s="1847"/>
      <c r="L355" s="1620"/>
      <c r="M355" s="1620"/>
      <c r="N355" s="1620"/>
      <c r="O355" s="1620"/>
      <c r="P355" s="1809"/>
      <c r="Q355" s="35"/>
      <c r="R355" s="18"/>
      <c r="S355" s="869">
        <f t="shared" si="52"/>
        <v>0</v>
      </c>
      <c r="T355" s="869">
        <f>LARGE($S$342:$S$367,14)</f>
        <v>0</v>
      </c>
      <c r="U355" s="684">
        <f t="shared" si="50"/>
        <v>0</v>
      </c>
      <c r="V355" s="871">
        <f t="shared" si="51"/>
        <v>0</v>
      </c>
      <c r="W355" s="18"/>
      <c r="X355" s="18"/>
      <c r="Y355" s="1086">
        <f t="shared" ref="Y355:Y358" si="54">G355*E355</f>
        <v>0</v>
      </c>
      <c r="Z355" s="18"/>
      <c r="AA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4"/>
      <c r="BB355" s="14"/>
      <c r="BC355" s="14"/>
      <c r="BD355" s="14"/>
      <c r="BE355" s="14"/>
      <c r="BF355" s="14"/>
      <c r="BG355" s="14"/>
      <c r="BH355" s="14"/>
      <c r="BI355" s="14"/>
      <c r="BJ355" s="14"/>
      <c r="BK355" s="14"/>
      <c r="BL355" s="14"/>
      <c r="BM355" s="14"/>
      <c r="BN355" s="14"/>
      <c r="BO355" s="14"/>
      <c r="BP355" s="14"/>
      <c r="BQ355" s="14"/>
      <c r="BR355" s="14"/>
      <c r="BS355" s="14"/>
      <c r="BT355" s="14"/>
      <c r="BU355" s="14"/>
      <c r="BV355" s="14"/>
      <c r="BW355" s="14"/>
      <c r="BX355" s="14"/>
      <c r="BY355" s="14"/>
      <c r="BZ355" s="14"/>
      <c r="CA355" s="14"/>
      <c r="CB355" s="14"/>
      <c r="CC355" s="14"/>
      <c r="CD355" s="14"/>
      <c r="CE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row>
    <row r="356" spans="1:142" s="63" customFormat="1" ht="15" customHeight="1" x14ac:dyDescent="0.2">
      <c r="A356" s="35"/>
      <c r="B356" s="1843" t="s">
        <v>37</v>
      </c>
      <c r="C356" s="1844"/>
      <c r="D356" s="1845"/>
      <c r="E356" s="1342">
        <f>P242</f>
        <v>0</v>
      </c>
      <c r="F356" s="1344"/>
      <c r="G356" s="1577"/>
      <c r="H356" s="1841"/>
      <c r="I356" s="1842"/>
      <c r="J356" s="1847">
        <f t="shared" si="53"/>
        <v>0</v>
      </c>
      <c r="K356" s="1847"/>
      <c r="L356" s="1620"/>
      <c r="M356" s="1620"/>
      <c r="N356" s="1620"/>
      <c r="O356" s="1620"/>
      <c r="P356" s="1809"/>
      <c r="Q356" s="35"/>
      <c r="R356" s="18"/>
      <c r="S356" s="869">
        <f t="shared" si="52"/>
        <v>0</v>
      </c>
      <c r="T356" s="869">
        <f>LARGE($S$342:$S$367,15)</f>
        <v>0</v>
      </c>
      <c r="U356" s="684">
        <f t="shared" si="50"/>
        <v>0</v>
      </c>
      <c r="V356" s="871">
        <f t="shared" si="51"/>
        <v>0</v>
      </c>
      <c r="W356" s="18"/>
      <c r="X356" s="18"/>
      <c r="Y356" s="1086">
        <f t="shared" si="54"/>
        <v>0</v>
      </c>
      <c r="Z356" s="18"/>
      <c r="AA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4"/>
      <c r="BB356" s="14"/>
      <c r="BC356" s="14"/>
      <c r="BD356" s="14"/>
      <c r="BE356" s="14"/>
      <c r="BF356" s="14"/>
      <c r="BG356" s="14"/>
      <c r="BH356" s="14"/>
      <c r="BI356" s="14"/>
      <c r="BJ356" s="14"/>
      <c r="BK356" s="14"/>
      <c r="BL356" s="14"/>
      <c r="BM356" s="14"/>
      <c r="BN356" s="14"/>
      <c r="BO356" s="14"/>
      <c r="BP356" s="14"/>
      <c r="BQ356" s="14"/>
      <c r="BR356" s="14"/>
      <c r="BS356" s="14"/>
      <c r="BT356" s="14"/>
      <c r="BU356" s="14"/>
      <c r="BV356" s="14"/>
      <c r="BW356" s="14"/>
      <c r="BX356" s="14"/>
      <c r="BY356" s="14"/>
      <c r="BZ356" s="14"/>
      <c r="CA356" s="14"/>
      <c r="CB356" s="14"/>
      <c r="CC356" s="14"/>
      <c r="CD356" s="14"/>
      <c r="CE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row>
    <row r="357" spans="1:142" s="63" customFormat="1" ht="15" customHeight="1" x14ac:dyDescent="0.2">
      <c r="A357" s="35"/>
      <c r="B357" s="1843" t="s">
        <v>1175</v>
      </c>
      <c r="C357" s="1844"/>
      <c r="D357" s="1845"/>
      <c r="E357" s="1342">
        <f>P243</f>
        <v>0</v>
      </c>
      <c r="F357" s="1344"/>
      <c r="G357" s="1577"/>
      <c r="H357" s="1841"/>
      <c r="I357" s="1842"/>
      <c r="J357" s="1847">
        <f t="shared" si="53"/>
        <v>0</v>
      </c>
      <c r="K357" s="1847"/>
      <c r="L357" s="1620"/>
      <c r="M357" s="1620"/>
      <c r="N357" s="1620"/>
      <c r="O357" s="1620"/>
      <c r="P357" s="1809"/>
      <c r="Q357" s="35"/>
      <c r="R357" s="18"/>
      <c r="S357" s="869">
        <f t="shared" si="52"/>
        <v>0</v>
      </c>
      <c r="T357" s="869">
        <f>LARGE($S$342:$S$367,16)</f>
        <v>0</v>
      </c>
      <c r="U357" s="684">
        <f t="shared" si="50"/>
        <v>0</v>
      </c>
      <c r="V357" s="871">
        <f t="shared" si="51"/>
        <v>0</v>
      </c>
      <c r="W357" s="18"/>
      <c r="X357" s="18"/>
      <c r="Y357" s="1086">
        <f t="shared" si="54"/>
        <v>0</v>
      </c>
      <c r="Z357" s="18"/>
      <c r="AA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4"/>
      <c r="BB357" s="14"/>
      <c r="BC357" s="14"/>
      <c r="BD357" s="14"/>
      <c r="BE357" s="14"/>
      <c r="BF357" s="14"/>
      <c r="BG357" s="14"/>
      <c r="BH357" s="14"/>
      <c r="BI357" s="14"/>
      <c r="BJ357" s="14"/>
      <c r="BK357" s="14"/>
      <c r="BL357" s="14"/>
      <c r="BM357" s="14"/>
      <c r="BN357" s="14"/>
      <c r="BO357" s="14"/>
      <c r="BP357" s="14"/>
      <c r="BQ357" s="14"/>
      <c r="BR357" s="14"/>
      <c r="BS357" s="14"/>
      <c r="BT357" s="14"/>
      <c r="BU357" s="14"/>
      <c r="BV357" s="14"/>
      <c r="BW357" s="14"/>
      <c r="BX357" s="14"/>
      <c r="BY357" s="14"/>
      <c r="BZ357" s="14"/>
      <c r="CA357" s="14"/>
      <c r="CB357" s="14"/>
      <c r="CC357" s="14"/>
      <c r="CD357" s="14"/>
      <c r="CE357" s="14"/>
      <c r="CF357" s="14"/>
      <c r="CG357" s="14"/>
      <c r="CH357" s="14"/>
      <c r="CI357" s="14"/>
      <c r="CJ357" s="14"/>
      <c r="CK357" s="14"/>
      <c r="CL357" s="14"/>
      <c r="CM357" s="14"/>
      <c r="CN357" s="14"/>
      <c r="CO357" s="14"/>
      <c r="CP357" s="14"/>
      <c r="CQ357" s="14"/>
      <c r="CR357" s="14"/>
      <c r="CS357" s="14"/>
      <c r="CT357" s="14"/>
      <c r="CU357" s="14"/>
      <c r="CV357" s="14"/>
      <c r="CW357" s="14"/>
      <c r="CX357" s="14"/>
      <c r="CY357" s="14"/>
      <c r="CZ357" s="14"/>
      <c r="DA357" s="14"/>
      <c r="DB357" s="14"/>
      <c r="DC357" s="14"/>
      <c r="DD357" s="14"/>
      <c r="DE357" s="14"/>
      <c r="DF357" s="14"/>
      <c r="DG357" s="14"/>
      <c r="DH357" s="14"/>
      <c r="DI357" s="14"/>
      <c r="DJ357" s="14"/>
      <c r="DK357" s="14"/>
      <c r="DL357" s="14"/>
      <c r="DM357" s="14"/>
      <c r="DN357" s="14"/>
      <c r="DO357" s="14"/>
      <c r="DP357" s="14"/>
      <c r="DQ357" s="14"/>
      <c r="DR357" s="14"/>
      <c r="DS357" s="14"/>
      <c r="DT357" s="14"/>
      <c r="DU357" s="14"/>
      <c r="DV357" s="14"/>
      <c r="DW357" s="14"/>
      <c r="DX357" s="14"/>
      <c r="DY357" s="14"/>
      <c r="DZ357" s="14"/>
      <c r="EA357" s="14"/>
      <c r="EB357" s="14"/>
      <c r="EC357" s="14"/>
      <c r="ED357" s="14"/>
      <c r="EE357" s="14"/>
      <c r="EF357" s="14"/>
      <c r="EG357" s="14"/>
      <c r="EH357" s="14"/>
      <c r="EI357" s="14"/>
      <c r="EJ357" s="14"/>
      <c r="EK357" s="14"/>
      <c r="EL357" s="14"/>
    </row>
    <row r="358" spans="1:142" s="63" customFormat="1" ht="15" customHeight="1" x14ac:dyDescent="0.2">
      <c r="A358" s="35"/>
      <c r="B358" s="1843" t="s">
        <v>1444</v>
      </c>
      <c r="C358" s="1844"/>
      <c r="D358" s="1845"/>
      <c r="E358" s="1342">
        <f>P244</f>
        <v>0</v>
      </c>
      <c r="F358" s="1344"/>
      <c r="G358" s="1577"/>
      <c r="H358" s="1841"/>
      <c r="I358" s="1842"/>
      <c r="J358" s="1847">
        <f t="shared" si="53"/>
        <v>0</v>
      </c>
      <c r="K358" s="1847"/>
      <c r="L358" s="1620"/>
      <c r="M358" s="1620"/>
      <c r="N358" s="1620"/>
      <c r="O358" s="1620"/>
      <c r="P358" s="1809"/>
      <c r="Q358" s="35"/>
      <c r="R358" s="18"/>
      <c r="S358" s="869">
        <f t="shared" si="52"/>
        <v>0</v>
      </c>
      <c r="T358" s="869">
        <f>LARGE($S$342:$S$367,17)</f>
        <v>0</v>
      </c>
      <c r="U358" s="684">
        <f t="shared" si="50"/>
        <v>0</v>
      </c>
      <c r="V358" s="871">
        <f t="shared" si="51"/>
        <v>0</v>
      </c>
      <c r="W358" s="18"/>
      <c r="X358" s="18"/>
      <c r="Y358" s="1086">
        <f t="shared" si="54"/>
        <v>0</v>
      </c>
      <c r="Z358" s="18"/>
      <c r="AA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4"/>
      <c r="BB358" s="14"/>
      <c r="BC358" s="14"/>
      <c r="BD358" s="14"/>
      <c r="BE358" s="14"/>
      <c r="BF358" s="14"/>
      <c r="BG358" s="14"/>
      <c r="BH358" s="14"/>
      <c r="BI358" s="14"/>
      <c r="BJ358" s="14"/>
      <c r="BK358" s="14"/>
      <c r="BL358" s="14"/>
      <c r="BM358" s="14"/>
      <c r="BN358" s="14"/>
      <c r="BO358" s="14"/>
      <c r="BP358" s="14"/>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row>
    <row r="359" spans="1:142" s="63" customFormat="1" ht="15" customHeight="1" x14ac:dyDescent="0.2">
      <c r="A359" s="35"/>
      <c r="B359" s="1843" t="s">
        <v>1445</v>
      </c>
      <c r="C359" s="1844"/>
      <c r="D359" s="1845"/>
      <c r="E359" s="1342">
        <f>P247</f>
        <v>0</v>
      </c>
      <c r="F359" s="1344"/>
      <c r="G359" s="1702" t="s">
        <v>1942</v>
      </c>
      <c r="H359" s="1627"/>
      <c r="I359" s="1628"/>
      <c r="J359" s="1838"/>
      <c r="K359" s="1838"/>
      <c r="L359" s="1099"/>
      <c r="M359" s="1099"/>
      <c r="N359" s="1099"/>
      <c r="O359" s="1099"/>
      <c r="P359" s="1809"/>
      <c r="Q359" s="35"/>
      <c r="R359" s="18"/>
      <c r="S359" s="871">
        <f>E359</f>
        <v>0</v>
      </c>
      <c r="T359" s="869">
        <f>LARGE($S$342:$S$367,18)</f>
        <v>0</v>
      </c>
      <c r="U359" s="684">
        <f t="shared" si="50"/>
        <v>0</v>
      </c>
      <c r="V359" s="871">
        <f t="shared" si="51"/>
        <v>0</v>
      </c>
      <c r="W359" s="18"/>
      <c r="X359" s="18"/>
      <c r="Y359" s="246"/>
      <c r="Z359" s="18"/>
      <c r="AA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4"/>
      <c r="BB359" s="14"/>
      <c r="BC359" s="14"/>
      <c r="BD359" s="14"/>
      <c r="BE359" s="14"/>
      <c r="BF359" s="14"/>
      <c r="BG359" s="14"/>
      <c r="BH359" s="14"/>
      <c r="BI359" s="14"/>
      <c r="BJ359" s="14"/>
      <c r="BK359" s="14"/>
      <c r="BL359" s="14"/>
      <c r="BM359" s="14"/>
      <c r="BN359" s="14"/>
      <c r="BO359" s="14"/>
      <c r="BP359" s="14"/>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c r="CO359" s="14"/>
      <c r="CP359" s="14"/>
      <c r="CQ359" s="14"/>
      <c r="CR359" s="14"/>
      <c r="CS359" s="14"/>
      <c r="CT359" s="14"/>
      <c r="CU359" s="14"/>
      <c r="CV359" s="14"/>
      <c r="CW359" s="14"/>
      <c r="CX359" s="14"/>
      <c r="CY359" s="14"/>
      <c r="CZ359" s="14"/>
      <c r="DA359" s="14"/>
      <c r="DB359" s="14"/>
      <c r="DC359" s="14"/>
      <c r="DD359" s="14"/>
      <c r="DE359" s="14"/>
      <c r="DF359" s="14"/>
      <c r="DG359" s="14"/>
      <c r="DH359" s="14"/>
      <c r="DI359" s="14"/>
      <c r="DJ359" s="14"/>
      <c r="DK359" s="14"/>
      <c r="DL359" s="14"/>
      <c r="DM359" s="14"/>
      <c r="DN359" s="14"/>
      <c r="DO359" s="14"/>
      <c r="DP359" s="14"/>
      <c r="DQ359" s="14"/>
      <c r="DR359" s="14"/>
      <c r="DS359" s="14"/>
      <c r="DT359" s="14"/>
      <c r="DU359" s="14"/>
      <c r="DV359" s="14"/>
      <c r="DW359" s="14"/>
      <c r="DX359" s="14"/>
      <c r="DY359" s="14"/>
      <c r="DZ359" s="14"/>
      <c r="EA359" s="14"/>
      <c r="EB359" s="14"/>
      <c r="EC359" s="14"/>
      <c r="ED359" s="14"/>
      <c r="EE359" s="14"/>
      <c r="EF359" s="14"/>
      <c r="EG359" s="14"/>
      <c r="EH359" s="14"/>
      <c r="EI359" s="14"/>
      <c r="EJ359" s="14"/>
      <c r="EK359" s="14"/>
      <c r="EL359" s="14"/>
    </row>
    <row r="360" spans="1:142" s="63" customFormat="1" ht="15" customHeight="1" x14ac:dyDescent="0.2">
      <c r="A360" s="35"/>
      <c r="B360" s="269" t="s">
        <v>1870</v>
      </c>
      <c r="C360" s="269"/>
      <c r="D360" s="269"/>
      <c r="E360" s="1342">
        <f>P248</f>
        <v>0</v>
      </c>
      <c r="F360" s="1344"/>
      <c r="G360" s="1702" t="s">
        <v>1942</v>
      </c>
      <c r="H360" s="1627"/>
      <c r="I360" s="1628"/>
      <c r="J360" s="1838"/>
      <c r="K360" s="1838"/>
      <c r="L360" s="1099"/>
      <c r="M360" s="1099"/>
      <c r="N360" s="1099"/>
      <c r="O360" s="1099"/>
      <c r="P360" s="1809"/>
      <c r="Q360" s="35"/>
      <c r="R360" s="18"/>
      <c r="S360" s="871">
        <f>E360</f>
        <v>0</v>
      </c>
      <c r="T360" s="869">
        <f>LARGE($S$342:$S$367,19)</f>
        <v>0</v>
      </c>
      <c r="U360" s="684">
        <f t="shared" si="50"/>
        <v>0</v>
      </c>
      <c r="V360" s="871">
        <f t="shared" si="51"/>
        <v>0</v>
      </c>
      <c r="W360" s="18"/>
      <c r="X360" s="18"/>
      <c r="Y360" s="247"/>
      <c r="Z360" s="18"/>
      <c r="AA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4"/>
      <c r="BB360" s="14"/>
      <c r="BC360" s="14"/>
      <c r="BD360" s="14"/>
      <c r="BE360" s="14"/>
      <c r="BF360" s="14"/>
      <c r="BG360" s="14"/>
      <c r="BH360" s="14"/>
      <c r="BI360" s="14"/>
      <c r="BJ360" s="14"/>
      <c r="BK360" s="14"/>
      <c r="BL360" s="14"/>
      <c r="BM360" s="14"/>
      <c r="BN360" s="14"/>
      <c r="BO360" s="14"/>
      <c r="BP360" s="14"/>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c r="CM360" s="14"/>
      <c r="CN360" s="14"/>
      <c r="CO360" s="14"/>
      <c r="CP360" s="14"/>
      <c r="CQ360" s="14"/>
      <c r="CR360" s="14"/>
      <c r="CS360" s="14"/>
      <c r="CT360" s="14"/>
      <c r="CU360" s="14"/>
      <c r="CV360" s="14"/>
      <c r="CW360" s="14"/>
      <c r="CX360" s="14"/>
      <c r="CY360" s="14"/>
      <c r="CZ360" s="14"/>
      <c r="DA360" s="14"/>
      <c r="DB360" s="14"/>
      <c r="DC360" s="14"/>
      <c r="DD360" s="14"/>
      <c r="DE360" s="14"/>
      <c r="DF360" s="14"/>
      <c r="DG360" s="14"/>
      <c r="DH360" s="14"/>
      <c r="DI360" s="14"/>
      <c r="DJ360" s="14"/>
      <c r="DK360" s="14"/>
      <c r="DL360" s="14"/>
      <c r="DM360" s="14"/>
      <c r="DN360" s="14"/>
      <c r="DO360" s="14"/>
      <c r="DP360" s="14"/>
      <c r="DQ360" s="14"/>
      <c r="DR360" s="14"/>
      <c r="DS360" s="14"/>
      <c r="DT360" s="14"/>
      <c r="DU360" s="14"/>
      <c r="DV360" s="14"/>
      <c r="DW360" s="14"/>
      <c r="DX360" s="14"/>
      <c r="DY360" s="14"/>
      <c r="DZ360" s="14"/>
      <c r="EA360" s="14"/>
      <c r="EB360" s="14"/>
      <c r="EC360" s="14"/>
      <c r="ED360" s="14"/>
      <c r="EE360" s="14"/>
      <c r="EF360" s="14"/>
      <c r="EG360" s="14"/>
      <c r="EH360" s="14"/>
      <c r="EI360" s="14"/>
      <c r="EJ360" s="14"/>
      <c r="EK360" s="14"/>
      <c r="EL360" s="14"/>
    </row>
    <row r="361" spans="1:142" s="63" customFormat="1" ht="15" customHeight="1" x14ac:dyDescent="0.2">
      <c r="A361" s="35"/>
      <c r="B361" s="1843" t="s">
        <v>1446</v>
      </c>
      <c r="C361" s="1844"/>
      <c r="D361" s="1845"/>
      <c r="E361" s="1342">
        <f>P250</f>
        <v>0</v>
      </c>
      <c r="F361" s="1344"/>
      <c r="G361" s="1702" t="s">
        <v>1942</v>
      </c>
      <c r="H361" s="1627"/>
      <c r="I361" s="1628"/>
      <c r="J361" s="1838"/>
      <c r="K361" s="1838"/>
      <c r="L361" s="1099"/>
      <c r="M361" s="1099"/>
      <c r="N361" s="1099"/>
      <c r="O361" s="1099"/>
      <c r="P361" s="1809"/>
      <c r="Q361" s="35"/>
      <c r="R361" s="18"/>
      <c r="S361" s="871">
        <f>E361</f>
        <v>0</v>
      </c>
      <c r="T361" s="869">
        <f>LARGE($S$342:$S$367,20)</f>
        <v>0</v>
      </c>
      <c r="U361" s="684">
        <f t="shared" si="50"/>
        <v>0</v>
      </c>
      <c r="V361" s="871">
        <f t="shared" si="51"/>
        <v>0</v>
      </c>
      <c r="W361" s="18"/>
      <c r="X361" s="18"/>
      <c r="Y361" s="247"/>
      <c r="Z361" s="18"/>
      <c r="AA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4"/>
      <c r="BB361" s="14"/>
      <c r="BC361" s="14"/>
      <c r="BD361" s="14"/>
      <c r="BE361" s="14"/>
      <c r="BF361" s="14"/>
      <c r="BG361" s="14"/>
      <c r="BH361" s="14"/>
      <c r="BI361" s="14"/>
      <c r="BJ361" s="14"/>
      <c r="BK361" s="14"/>
      <c r="BL361" s="14"/>
      <c r="BM361" s="14"/>
      <c r="BN361" s="14"/>
      <c r="BO361" s="14"/>
      <c r="BP361" s="14"/>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c r="CM361" s="14"/>
      <c r="CN361" s="14"/>
      <c r="CO361" s="14"/>
      <c r="CP361" s="14"/>
      <c r="CQ361" s="14"/>
      <c r="CR361" s="14"/>
      <c r="CS361" s="14"/>
      <c r="CT361" s="14"/>
      <c r="CU361" s="14"/>
      <c r="CV361" s="14"/>
      <c r="CW361" s="14"/>
      <c r="CX361" s="14"/>
      <c r="CY361" s="14"/>
      <c r="CZ361" s="14"/>
      <c r="DA361" s="14"/>
      <c r="DB361" s="14"/>
      <c r="DC361" s="14"/>
      <c r="DD361" s="14"/>
      <c r="DE361" s="14"/>
      <c r="DF361" s="14"/>
      <c r="DG361" s="14"/>
      <c r="DH361" s="14"/>
      <c r="DI361" s="14"/>
      <c r="DJ361" s="14"/>
      <c r="DK361" s="14"/>
      <c r="DL361" s="14"/>
      <c r="DM361" s="14"/>
      <c r="DN361" s="14"/>
      <c r="DO361" s="14"/>
      <c r="DP361" s="14"/>
      <c r="DQ361" s="14"/>
      <c r="DR361" s="14"/>
      <c r="DS361" s="14"/>
      <c r="DT361" s="14"/>
      <c r="DU361" s="14"/>
      <c r="DV361" s="14"/>
      <c r="DW361" s="14"/>
      <c r="DX361" s="14"/>
      <c r="DY361" s="14"/>
      <c r="DZ361" s="14"/>
      <c r="EA361" s="14"/>
      <c r="EB361" s="14"/>
      <c r="EC361" s="14"/>
      <c r="ED361" s="14"/>
      <c r="EE361" s="14"/>
      <c r="EF361" s="14"/>
      <c r="EG361" s="14"/>
      <c r="EH361" s="14"/>
      <c r="EI361" s="14"/>
      <c r="EJ361" s="14"/>
      <c r="EK361" s="14"/>
      <c r="EL361" s="14"/>
    </row>
    <row r="362" spans="1:142" s="63" customFormat="1" ht="15" customHeight="1" x14ac:dyDescent="0.2">
      <c r="A362" s="35"/>
      <c r="B362" s="1843" t="s">
        <v>1447</v>
      </c>
      <c r="C362" s="1844"/>
      <c r="D362" s="1845"/>
      <c r="E362" s="1342">
        <f>P253</f>
        <v>0</v>
      </c>
      <c r="F362" s="1344"/>
      <c r="G362" s="1577"/>
      <c r="H362" s="1841"/>
      <c r="I362" s="1842"/>
      <c r="J362" s="1847">
        <f t="shared" ref="J362:J366" si="55">IF(AND(Y362&lt;0.01,Y362&gt;0),0.01,ROUND(Y362,2))</f>
        <v>0</v>
      </c>
      <c r="K362" s="1847"/>
      <c r="L362" s="1912" t="str">
        <f>IF(AND(P427&gt;0,W348&gt;0),"The worker has motor loss impairment. Additional impairment values are not allowed for chronic condition, reduced range of motion, or strength loss.","")</f>
        <v/>
      </c>
      <c r="M362" s="1913"/>
      <c r="N362" s="1913"/>
      <c r="O362" s="1914"/>
      <c r="P362" s="1809"/>
      <c r="Q362" s="35"/>
      <c r="R362" s="18"/>
      <c r="S362" s="869">
        <f t="shared" ref="S362:S367" si="56">IF(J362&gt;0,J362,E362)</f>
        <v>0</v>
      </c>
      <c r="T362" s="869">
        <f>LARGE($S$342:$S$367,21)</f>
        <v>0</v>
      </c>
      <c r="U362" s="684">
        <f t="shared" si="50"/>
        <v>0</v>
      </c>
      <c r="V362" s="871">
        <f t="shared" si="51"/>
        <v>0</v>
      </c>
      <c r="W362" s="18"/>
      <c r="X362" s="18"/>
      <c r="Y362" s="1086">
        <f t="shared" ref="Y362:Y366" si="57">G362*E362</f>
        <v>0</v>
      </c>
      <c r="Z362" s="18"/>
      <c r="AA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4"/>
      <c r="BB362" s="14"/>
      <c r="BC362" s="14"/>
      <c r="BD362" s="14"/>
      <c r="BE362" s="14"/>
      <c r="BF362" s="14"/>
      <c r="BG362" s="14"/>
      <c r="BH362" s="14"/>
      <c r="BI362" s="14"/>
      <c r="BJ362" s="14"/>
      <c r="BK362" s="14"/>
      <c r="BL362" s="14"/>
      <c r="BM362" s="14"/>
      <c r="BN362" s="14"/>
      <c r="BO362" s="14"/>
      <c r="BP362" s="14"/>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c r="CM362" s="14"/>
      <c r="CN362" s="14"/>
      <c r="CO362" s="14"/>
      <c r="CP362" s="14"/>
      <c r="CQ362" s="14"/>
      <c r="CR362" s="14"/>
      <c r="CS362" s="14"/>
      <c r="CT362" s="14"/>
      <c r="CU362" s="14"/>
      <c r="CV362" s="14"/>
      <c r="CW362" s="14"/>
      <c r="CX362" s="14"/>
      <c r="CY362" s="14"/>
      <c r="CZ362" s="14"/>
      <c r="DA362" s="14"/>
      <c r="DB362" s="14"/>
      <c r="DC362" s="14"/>
      <c r="DD362" s="14"/>
      <c r="DE362" s="14"/>
      <c r="DF362" s="14"/>
      <c r="DG362" s="14"/>
      <c r="DH362" s="14"/>
      <c r="DI362" s="14"/>
      <c r="DJ362" s="14"/>
      <c r="DK362" s="14"/>
      <c r="DL362" s="14"/>
      <c r="DM362" s="14"/>
      <c r="DN362" s="14"/>
      <c r="DO362" s="14"/>
      <c r="DP362" s="14"/>
      <c r="DQ362" s="14"/>
      <c r="DR362" s="14"/>
      <c r="DS362" s="14"/>
      <c r="DT362" s="14"/>
      <c r="DU362" s="14"/>
      <c r="DV362" s="14"/>
      <c r="DW362" s="14"/>
      <c r="DX362" s="14"/>
      <c r="DY362" s="14"/>
      <c r="DZ362" s="14"/>
      <c r="EA362" s="14"/>
      <c r="EB362" s="14"/>
      <c r="EC362" s="14"/>
      <c r="ED362" s="14"/>
      <c r="EE362" s="14"/>
      <c r="EF362" s="14"/>
      <c r="EG362" s="14"/>
      <c r="EH362" s="14"/>
      <c r="EI362" s="14"/>
      <c r="EJ362" s="14"/>
      <c r="EK362" s="14"/>
      <c r="EL362" s="14"/>
    </row>
    <row r="363" spans="1:142" s="63" customFormat="1" ht="15" customHeight="1" x14ac:dyDescent="0.2">
      <c r="A363" s="35"/>
      <c r="B363" s="1843" t="s">
        <v>1448</v>
      </c>
      <c r="C363" s="1844"/>
      <c r="D363" s="1845"/>
      <c r="E363" s="1342">
        <f>P254</f>
        <v>0</v>
      </c>
      <c r="F363" s="1344"/>
      <c r="G363" s="1577"/>
      <c r="H363" s="1841"/>
      <c r="I363" s="1842"/>
      <c r="J363" s="1847">
        <f t="shared" si="55"/>
        <v>0</v>
      </c>
      <c r="K363" s="1847"/>
      <c r="L363" s="1912"/>
      <c r="M363" s="1913"/>
      <c r="N363" s="1913"/>
      <c r="O363" s="1914"/>
      <c r="P363" s="1809"/>
      <c r="Q363" s="35"/>
      <c r="R363" s="18"/>
      <c r="S363" s="869">
        <f t="shared" si="56"/>
        <v>0</v>
      </c>
      <c r="T363" s="869">
        <f>LARGE($S$342:$S$367,22)</f>
        <v>0</v>
      </c>
      <c r="U363" s="684">
        <f t="shared" si="50"/>
        <v>0</v>
      </c>
      <c r="V363" s="871">
        <f t="shared" si="51"/>
        <v>0</v>
      </c>
      <c r="W363" s="18"/>
      <c r="X363" s="18"/>
      <c r="Y363" s="1086">
        <f t="shared" si="57"/>
        <v>0</v>
      </c>
      <c r="Z363" s="18"/>
      <c r="AA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4"/>
      <c r="BB363" s="14"/>
      <c r="BC363" s="14"/>
      <c r="BD363" s="14"/>
      <c r="BE363" s="14"/>
      <c r="BF363" s="14"/>
      <c r="BG363" s="14"/>
      <c r="BH363" s="14"/>
      <c r="BI363" s="14"/>
      <c r="BJ363" s="14"/>
      <c r="BK363" s="14"/>
      <c r="BL363" s="14"/>
      <c r="BM363" s="14"/>
      <c r="BN363" s="14"/>
      <c r="BO363" s="14"/>
      <c r="BP363" s="14"/>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c r="CM363" s="14"/>
      <c r="CN363" s="14"/>
      <c r="CO363" s="14"/>
      <c r="CP363" s="14"/>
      <c r="CQ363" s="14"/>
      <c r="CR363" s="14"/>
      <c r="CS363" s="14"/>
      <c r="CT363" s="14"/>
      <c r="CU363" s="14"/>
      <c r="CV363" s="14"/>
      <c r="CW363" s="14"/>
      <c r="CX363" s="14"/>
      <c r="CY363" s="14"/>
      <c r="CZ363" s="14"/>
      <c r="DA363" s="14"/>
      <c r="DB363" s="14"/>
      <c r="DC363" s="14"/>
      <c r="DD363" s="14"/>
      <c r="DE363" s="14"/>
      <c r="DF363" s="14"/>
      <c r="DG363" s="14"/>
      <c r="DH363" s="14"/>
      <c r="DI363" s="14"/>
      <c r="DJ363" s="14"/>
      <c r="DK363" s="14"/>
      <c r="DL363" s="14"/>
      <c r="DM363" s="14"/>
      <c r="DN363" s="14"/>
      <c r="DO363" s="14"/>
      <c r="DP363" s="14"/>
      <c r="DQ363" s="14"/>
      <c r="DR363" s="14"/>
      <c r="DS363" s="14"/>
      <c r="DT363" s="14"/>
      <c r="DU363" s="14"/>
      <c r="DV363" s="14"/>
      <c r="DW363" s="14"/>
      <c r="DX363" s="14"/>
      <c r="DY363" s="14"/>
      <c r="DZ363" s="14"/>
      <c r="EA363" s="14"/>
      <c r="EB363" s="14"/>
      <c r="EC363" s="14"/>
      <c r="ED363" s="14"/>
      <c r="EE363" s="14"/>
      <c r="EF363" s="14"/>
      <c r="EG363" s="14"/>
      <c r="EH363" s="14"/>
      <c r="EI363" s="14"/>
      <c r="EJ363" s="14"/>
      <c r="EK363" s="14"/>
      <c r="EL363" s="14"/>
    </row>
    <row r="364" spans="1:142" s="63" customFormat="1" ht="15" customHeight="1" x14ac:dyDescent="0.2">
      <c r="A364" s="35"/>
      <c r="B364" s="1843" t="s">
        <v>1449</v>
      </c>
      <c r="C364" s="1844"/>
      <c r="D364" s="1845"/>
      <c r="E364" s="1342">
        <f>P257</f>
        <v>0</v>
      </c>
      <c r="F364" s="1344"/>
      <c r="G364" s="1577"/>
      <c r="H364" s="1841"/>
      <c r="I364" s="1842"/>
      <c r="J364" s="1847">
        <f t="shared" si="55"/>
        <v>0</v>
      </c>
      <c r="K364" s="1847"/>
      <c r="L364" s="1912"/>
      <c r="M364" s="1913"/>
      <c r="N364" s="1913"/>
      <c r="O364" s="1914"/>
      <c r="P364" s="1809"/>
      <c r="Q364" s="35"/>
      <c r="R364" s="18"/>
      <c r="S364" s="869">
        <f t="shared" si="56"/>
        <v>0</v>
      </c>
      <c r="T364" s="869">
        <f>LARGE($S$342:$S$367,23)</f>
        <v>0</v>
      </c>
      <c r="U364" s="684">
        <f t="shared" si="50"/>
        <v>0</v>
      </c>
      <c r="V364" s="871">
        <f t="shared" si="51"/>
        <v>0</v>
      </c>
      <c r="W364" s="18"/>
      <c r="X364" s="18"/>
      <c r="Y364" s="1086">
        <f t="shared" si="57"/>
        <v>0</v>
      </c>
      <c r="Z364" s="18"/>
      <c r="AA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4"/>
      <c r="BB364" s="14"/>
      <c r="BC364" s="14"/>
      <c r="BD364" s="14"/>
      <c r="BE364" s="14"/>
      <c r="BF364" s="14"/>
      <c r="BG364" s="14"/>
      <c r="BH364" s="14"/>
      <c r="BI364" s="14"/>
      <c r="BJ364" s="14"/>
      <c r="BK364" s="14"/>
      <c r="BL364" s="14"/>
      <c r="BM364" s="14"/>
      <c r="BN364" s="14"/>
      <c r="BO364" s="14"/>
      <c r="BP364" s="14"/>
      <c r="BQ364" s="14"/>
      <c r="BR364" s="14"/>
      <c r="BS364" s="14"/>
      <c r="BT364" s="14"/>
      <c r="BU364" s="14"/>
      <c r="BV364" s="14"/>
      <c r="BW364" s="14"/>
      <c r="BX364" s="14"/>
      <c r="BY364" s="14"/>
      <c r="BZ364" s="14"/>
      <c r="CA364" s="14"/>
      <c r="CB364" s="14"/>
      <c r="CC364" s="14"/>
      <c r="CD364" s="14"/>
      <c r="CE364" s="14"/>
      <c r="CF364" s="14"/>
      <c r="CG364" s="14"/>
      <c r="CH364" s="14"/>
      <c r="CI364" s="14"/>
      <c r="CJ364" s="14"/>
      <c r="CK364" s="14"/>
      <c r="CL364" s="14"/>
      <c r="CM364" s="14"/>
      <c r="CN364" s="14"/>
      <c r="CO364" s="14"/>
      <c r="CP364" s="14"/>
      <c r="CQ364" s="14"/>
      <c r="CR364" s="14"/>
      <c r="CS364" s="14"/>
      <c r="CT364" s="14"/>
      <c r="CU364" s="14"/>
      <c r="CV364" s="14"/>
      <c r="CW364" s="14"/>
      <c r="CX364" s="14"/>
      <c r="CY364" s="14"/>
      <c r="CZ364" s="14"/>
      <c r="DA364" s="14"/>
      <c r="DB364" s="14"/>
      <c r="DC364" s="14"/>
      <c r="DD364" s="14"/>
      <c r="DE364" s="14"/>
      <c r="DF364" s="14"/>
      <c r="DG364" s="14"/>
      <c r="DH364" s="14"/>
      <c r="DI364" s="14"/>
      <c r="DJ364" s="14"/>
      <c r="DK364" s="14"/>
      <c r="DL364" s="14"/>
      <c r="DM364" s="14"/>
      <c r="DN364" s="14"/>
      <c r="DO364" s="14"/>
      <c r="DP364" s="14"/>
      <c r="DQ364" s="14"/>
      <c r="DR364" s="14"/>
      <c r="DS364" s="14"/>
      <c r="DT364" s="14"/>
      <c r="DU364" s="14"/>
      <c r="DV364" s="14"/>
      <c r="DW364" s="14"/>
      <c r="DX364" s="14"/>
      <c r="DY364" s="14"/>
      <c r="DZ364" s="14"/>
      <c r="EA364" s="14"/>
      <c r="EB364" s="14"/>
      <c r="EC364" s="14"/>
      <c r="ED364" s="14"/>
      <c r="EE364" s="14"/>
      <c r="EF364" s="14"/>
      <c r="EG364" s="14"/>
      <c r="EH364" s="14"/>
      <c r="EI364" s="14"/>
      <c r="EJ364" s="14"/>
      <c r="EK364" s="14"/>
      <c r="EL364" s="14"/>
    </row>
    <row r="365" spans="1:142" s="63" customFormat="1" ht="15" customHeight="1" x14ac:dyDescent="0.2">
      <c r="A365" s="35"/>
      <c r="B365" s="1843" t="s">
        <v>596</v>
      </c>
      <c r="C365" s="1844"/>
      <c r="D365" s="1845"/>
      <c r="E365" s="1342">
        <f>IF(P427&gt;0,0,P267)</f>
        <v>0</v>
      </c>
      <c r="F365" s="1344"/>
      <c r="G365" s="1577"/>
      <c r="H365" s="1841"/>
      <c r="I365" s="1842"/>
      <c r="J365" s="1847">
        <f t="shared" si="55"/>
        <v>0</v>
      </c>
      <c r="K365" s="1847"/>
      <c r="L365" s="1912"/>
      <c r="M365" s="1913"/>
      <c r="N365" s="1913"/>
      <c r="O365" s="1914"/>
      <c r="P365" s="1809"/>
      <c r="Q365" s="35"/>
      <c r="R365" s="18"/>
      <c r="S365" s="869">
        <f t="shared" si="56"/>
        <v>0</v>
      </c>
      <c r="T365" s="869">
        <f>LARGE($S$342:$S$367,24)</f>
        <v>0</v>
      </c>
      <c r="U365" s="684">
        <f t="shared" si="50"/>
        <v>0</v>
      </c>
      <c r="V365" s="871">
        <f t="shared" si="51"/>
        <v>0</v>
      </c>
      <c r="W365" s="18"/>
      <c r="X365" s="18"/>
      <c r="Y365" s="1086">
        <f t="shared" si="57"/>
        <v>0</v>
      </c>
      <c r="Z365" s="18"/>
      <c r="AA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4"/>
      <c r="BB365" s="14"/>
      <c r="BC365" s="14"/>
      <c r="BD365" s="14"/>
      <c r="BE365" s="14"/>
      <c r="BF365" s="14"/>
      <c r="BG365" s="14"/>
      <c r="BH365" s="14"/>
      <c r="BI365" s="14"/>
      <c r="BJ365" s="14"/>
      <c r="BK365" s="14"/>
      <c r="BL365" s="14"/>
      <c r="BM365" s="14"/>
      <c r="BN365" s="14"/>
      <c r="BO365" s="14"/>
      <c r="BP365" s="14"/>
      <c r="BQ365" s="14"/>
      <c r="BR365" s="14"/>
      <c r="BS365" s="14"/>
      <c r="BT365" s="14"/>
      <c r="BU365" s="14"/>
      <c r="BV365" s="14"/>
      <c r="BW365" s="14"/>
      <c r="BX365" s="14"/>
      <c r="BY365" s="14"/>
      <c r="BZ365" s="14"/>
      <c r="CA365" s="14"/>
      <c r="CB365" s="14"/>
      <c r="CC365" s="14"/>
      <c r="CD365" s="14"/>
      <c r="CE365" s="14"/>
      <c r="CF365" s="14"/>
      <c r="CG365" s="14"/>
      <c r="CH365" s="14"/>
      <c r="CI365" s="14"/>
      <c r="CJ365" s="14"/>
      <c r="CK365" s="14"/>
      <c r="CL365" s="14"/>
      <c r="CM365" s="14"/>
      <c r="CN365" s="14"/>
      <c r="CO365" s="14"/>
      <c r="CP365" s="14"/>
      <c r="CQ365" s="14"/>
      <c r="CR365" s="14"/>
      <c r="CS365" s="14"/>
      <c r="CT365" s="14"/>
      <c r="CU365" s="14"/>
      <c r="CV365" s="14"/>
      <c r="CW365" s="14"/>
      <c r="CX365" s="14"/>
      <c r="CY365" s="14"/>
      <c r="CZ365" s="14"/>
      <c r="DA365" s="14"/>
      <c r="DB365" s="14"/>
      <c r="DC365" s="14"/>
      <c r="DD365" s="14"/>
      <c r="DE365" s="14"/>
      <c r="DF365" s="14"/>
      <c r="DG365" s="14"/>
      <c r="DH365" s="14"/>
      <c r="DI365" s="14"/>
      <c r="DJ365" s="14"/>
      <c r="DK365" s="14"/>
      <c r="DL365" s="14"/>
      <c r="DM365" s="14"/>
      <c r="DN365" s="14"/>
      <c r="DO365" s="14"/>
      <c r="DP365" s="14"/>
      <c r="DQ365" s="14"/>
      <c r="DR365" s="14"/>
      <c r="DS365" s="14"/>
      <c r="DT365" s="14"/>
      <c r="DU365" s="14"/>
      <c r="DV365" s="14"/>
      <c r="DW365" s="14"/>
      <c r="DX365" s="14"/>
      <c r="DY365" s="14"/>
      <c r="DZ365" s="14"/>
      <c r="EA365" s="14"/>
      <c r="EB365" s="14"/>
      <c r="EC365" s="14"/>
      <c r="ED365" s="14"/>
      <c r="EE365" s="14"/>
      <c r="EF365" s="14"/>
      <c r="EG365" s="14"/>
      <c r="EH365" s="14"/>
      <c r="EI365" s="14"/>
      <c r="EJ365" s="14"/>
      <c r="EK365" s="14"/>
      <c r="EL365" s="14"/>
    </row>
    <row r="366" spans="1:142" s="63" customFormat="1" ht="15" customHeight="1" x14ac:dyDescent="0.2">
      <c r="A366" s="35"/>
      <c r="B366" s="1843" t="s">
        <v>1639</v>
      </c>
      <c r="C366" s="1844"/>
      <c r="D366" s="1845"/>
      <c r="E366" s="1342">
        <f>IF(P427&gt;0,0,P337)</f>
        <v>0</v>
      </c>
      <c r="F366" s="1344"/>
      <c r="G366" s="1577"/>
      <c r="H366" s="1841"/>
      <c r="I366" s="1842"/>
      <c r="J366" s="1847">
        <f t="shared" si="55"/>
        <v>0</v>
      </c>
      <c r="K366" s="1847"/>
      <c r="L366" s="1912"/>
      <c r="M366" s="1913"/>
      <c r="N366" s="1913"/>
      <c r="O366" s="1914"/>
      <c r="P366" s="1809"/>
      <c r="Q366" s="35"/>
      <c r="R366" s="18"/>
      <c r="S366" s="869">
        <f t="shared" si="56"/>
        <v>0</v>
      </c>
      <c r="T366" s="869">
        <f>LARGE($S$342:$S$367,25)</f>
        <v>0</v>
      </c>
      <c r="U366" s="684">
        <f t="shared" si="50"/>
        <v>0</v>
      </c>
      <c r="V366" s="871">
        <f t="shared" si="51"/>
        <v>0</v>
      </c>
      <c r="W366" s="18"/>
      <c r="X366" s="18"/>
      <c r="Y366" s="1086">
        <f t="shared" si="57"/>
        <v>0</v>
      </c>
      <c r="Z366" s="18"/>
      <c r="AA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4"/>
      <c r="BB366" s="14"/>
      <c r="BC366" s="14"/>
      <c r="BD366" s="14"/>
      <c r="BE366" s="14"/>
      <c r="BF366" s="14"/>
      <c r="BG366" s="14"/>
      <c r="BH366" s="14"/>
      <c r="BI366" s="14"/>
      <c r="BJ366" s="14"/>
      <c r="BK366" s="14"/>
      <c r="BL366" s="14"/>
      <c r="BM366" s="14"/>
      <c r="BN366" s="14"/>
      <c r="BO366" s="14"/>
      <c r="BP366" s="14"/>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row>
    <row r="367" spans="1:142" s="63" customFormat="1" ht="15" customHeight="1" x14ac:dyDescent="0.2">
      <c r="A367" s="35"/>
      <c r="B367" s="1891" t="s">
        <v>1451</v>
      </c>
      <c r="C367" s="1892"/>
      <c r="D367" s="1893"/>
      <c r="E367" s="1728">
        <f>P270</f>
        <v>0</v>
      </c>
      <c r="F367" s="1846"/>
      <c r="G367" s="1702" t="s">
        <v>1942</v>
      </c>
      <c r="H367" s="1627"/>
      <c r="I367" s="1628"/>
      <c r="J367" s="1838"/>
      <c r="K367" s="1838"/>
      <c r="L367" s="1915"/>
      <c r="M367" s="1916"/>
      <c r="N367" s="1916"/>
      <c r="O367" s="1917"/>
      <c r="P367" s="1809"/>
      <c r="Q367" s="35"/>
      <c r="R367" s="18"/>
      <c r="S367" s="869">
        <f t="shared" si="56"/>
        <v>0</v>
      </c>
      <c r="T367" s="869">
        <f>LARGE($S$342:$S$367,26)</f>
        <v>0</v>
      </c>
      <c r="U367" s="18"/>
      <c r="V367" s="18"/>
      <c r="W367" s="18"/>
      <c r="X367" s="18"/>
      <c r="Y367" s="1087"/>
      <c r="Z367" s="18"/>
      <c r="AA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4"/>
      <c r="BB367" s="14"/>
      <c r="BC367" s="14"/>
      <c r="BD367" s="14"/>
      <c r="BE367" s="14"/>
      <c r="BF367" s="14"/>
      <c r="BG367" s="14"/>
      <c r="BH367" s="14"/>
      <c r="BI367" s="14"/>
      <c r="BJ367" s="14"/>
      <c r="BK367" s="14"/>
      <c r="BL367" s="14"/>
      <c r="BM367" s="14"/>
      <c r="BN367" s="14"/>
      <c r="BO367" s="14"/>
      <c r="BP367" s="14"/>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c r="CO367" s="14"/>
      <c r="CP367" s="14"/>
      <c r="CQ367" s="14"/>
      <c r="CR367" s="14"/>
      <c r="CS367" s="14"/>
      <c r="CT367" s="14"/>
      <c r="CU367" s="14"/>
      <c r="CV367" s="14"/>
      <c r="CW367" s="14"/>
      <c r="CX367" s="14"/>
      <c r="CY367" s="14"/>
      <c r="CZ367" s="14"/>
      <c r="DA367" s="14"/>
      <c r="DB367" s="14"/>
      <c r="DC367" s="14"/>
      <c r="DD367" s="14"/>
      <c r="DE367" s="14"/>
      <c r="DF367" s="14"/>
      <c r="DG367" s="14"/>
      <c r="DH367" s="14"/>
      <c r="DI367" s="14"/>
      <c r="DJ367" s="14"/>
      <c r="DK367" s="14"/>
      <c r="DL367" s="14"/>
      <c r="DM367" s="14"/>
      <c r="DN367" s="14"/>
      <c r="DO367" s="14"/>
      <c r="DP367" s="14"/>
      <c r="DQ367" s="14"/>
      <c r="DR367" s="14"/>
      <c r="DS367" s="14"/>
      <c r="DT367" s="14"/>
      <c r="DU367" s="14"/>
      <c r="DV367" s="14"/>
      <c r="DW367" s="14"/>
      <c r="DX367" s="14"/>
      <c r="DY367" s="14"/>
      <c r="DZ367" s="14"/>
      <c r="EA367" s="14"/>
      <c r="EB367" s="14"/>
      <c r="EC367" s="14"/>
      <c r="ED367" s="14"/>
      <c r="EE367" s="14"/>
      <c r="EF367" s="14"/>
      <c r="EG367" s="14"/>
      <c r="EH367" s="14"/>
      <c r="EI367" s="14"/>
      <c r="EJ367" s="14"/>
      <c r="EK367" s="14"/>
      <c r="EL367" s="14"/>
    </row>
    <row r="368" spans="1:142" s="63" customFormat="1" ht="15" customHeight="1" x14ac:dyDescent="0.2">
      <c r="A368" s="35"/>
      <c r="B368" s="1681" t="s">
        <v>180</v>
      </c>
      <c r="C368" s="1681"/>
      <c r="D368" s="1681"/>
      <c r="E368" s="1681"/>
      <c r="F368" s="1681"/>
      <c r="G368" s="1681"/>
      <c r="H368" s="1681"/>
      <c r="I368" s="1681"/>
      <c r="J368" s="1681"/>
      <c r="K368" s="1681"/>
      <c r="L368" s="1681"/>
      <c r="M368" s="1681"/>
      <c r="N368" s="1681"/>
      <c r="O368" s="1681"/>
      <c r="P368" s="1809"/>
      <c r="Q368" s="35"/>
      <c r="R368" s="18"/>
      <c r="S368" s="18"/>
      <c r="T368" s="18"/>
      <c r="U368" s="18"/>
      <c r="V368" s="18"/>
      <c r="W368" s="18"/>
      <c r="X368" s="18"/>
      <c r="Y368" s="1087"/>
      <c r="Z368" s="1087"/>
      <c r="AA368" s="1094"/>
      <c r="AB368" s="1094"/>
      <c r="AC368" s="1094"/>
      <c r="AD368" s="1094"/>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4"/>
      <c r="BB368" s="14"/>
      <c r="BC368" s="14"/>
      <c r="BD368" s="14"/>
      <c r="BE368" s="14"/>
      <c r="BF368" s="14"/>
      <c r="BG368" s="14"/>
      <c r="BH368" s="14"/>
      <c r="BI368" s="14"/>
      <c r="BJ368" s="14"/>
      <c r="BK368" s="14"/>
      <c r="BL368" s="14"/>
      <c r="BM368" s="14"/>
      <c r="BN368" s="14"/>
      <c r="BO368" s="14"/>
      <c r="BP368" s="14"/>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14"/>
      <c r="CS368" s="14"/>
      <c r="CT368" s="14"/>
      <c r="CU368" s="14"/>
      <c r="CV368" s="14"/>
      <c r="CW368" s="14"/>
      <c r="CX368" s="14"/>
      <c r="CY368" s="14"/>
      <c r="CZ368" s="14"/>
      <c r="DA368" s="14"/>
      <c r="DB368" s="14"/>
      <c r="DC368" s="14"/>
      <c r="DD368" s="14"/>
      <c r="DE368" s="14"/>
      <c r="DF368" s="14"/>
      <c r="DG368" s="14"/>
      <c r="DH368" s="14"/>
      <c r="DI368" s="14"/>
      <c r="DJ368" s="14"/>
      <c r="DK368" s="14"/>
      <c r="DL368" s="14"/>
      <c r="DM368" s="14"/>
      <c r="DN368" s="14"/>
      <c r="DO368" s="14"/>
      <c r="DP368" s="14"/>
      <c r="DQ368" s="14"/>
      <c r="DR368" s="14"/>
      <c r="DS368" s="14"/>
      <c r="DT368" s="14"/>
      <c r="DU368" s="14"/>
      <c r="DV368" s="14"/>
      <c r="DW368" s="14"/>
      <c r="DX368" s="14"/>
      <c r="DY368" s="14"/>
      <c r="DZ368" s="14"/>
      <c r="EA368" s="14"/>
      <c r="EB368" s="14"/>
      <c r="EC368" s="14"/>
      <c r="ED368" s="14"/>
      <c r="EE368" s="14"/>
      <c r="EF368" s="14"/>
      <c r="EG368" s="14"/>
      <c r="EH368" s="14"/>
      <c r="EI368" s="14"/>
      <c r="EJ368" s="14"/>
      <c r="EK368" s="14"/>
      <c r="EL368" s="14"/>
    </row>
    <row r="369" spans="1:142" s="63" customFormat="1" ht="12" customHeight="1" x14ac:dyDescent="0.2">
      <c r="A369" s="35"/>
      <c r="B369" s="1469"/>
      <c r="C369" s="1469"/>
      <c r="D369" s="1469"/>
      <c r="E369" s="1469"/>
      <c r="F369" s="1469"/>
      <c r="G369" s="1469"/>
      <c r="H369" s="1469"/>
      <c r="I369" s="1469"/>
      <c r="J369" s="1469"/>
      <c r="K369" s="1469"/>
      <c r="L369" s="1469"/>
      <c r="M369" s="1469"/>
      <c r="N369" s="1469"/>
      <c r="O369" s="1469"/>
      <c r="P369" s="1469"/>
      <c r="Q369" s="35"/>
      <c r="R369" s="18"/>
      <c r="S369" s="18"/>
      <c r="T369" s="18"/>
      <c r="U369" s="18"/>
      <c r="V369" s="18"/>
      <c r="W369" s="18"/>
      <c r="X369" s="18"/>
      <c r="Y369" s="1087"/>
      <c r="Z369" s="1087"/>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4"/>
      <c r="BB369" s="14"/>
      <c r="BC369" s="14"/>
      <c r="BD369" s="14"/>
      <c r="BE369" s="14"/>
      <c r="BF369" s="14"/>
      <c r="BG369" s="14"/>
      <c r="BH369" s="14"/>
      <c r="BI369" s="14"/>
      <c r="BJ369" s="14"/>
      <c r="BK369" s="14"/>
      <c r="BL369" s="14"/>
      <c r="BM369" s="14"/>
      <c r="BN369" s="14"/>
      <c r="BO369" s="14"/>
      <c r="BP369" s="14"/>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14"/>
      <c r="CS369" s="14"/>
      <c r="CT369" s="14"/>
      <c r="CU369" s="14"/>
      <c r="CV369" s="14"/>
      <c r="CW369" s="14"/>
      <c r="CX369" s="14"/>
      <c r="CY369" s="14"/>
      <c r="CZ369" s="14"/>
      <c r="DA369" s="14"/>
      <c r="DB369" s="14"/>
      <c r="DC369" s="14"/>
      <c r="DD369" s="14"/>
      <c r="DE369" s="14"/>
      <c r="DF369" s="14"/>
      <c r="DG369" s="14"/>
      <c r="DH369" s="14"/>
      <c r="DI369" s="14"/>
      <c r="DJ369" s="14"/>
      <c r="DK369" s="14"/>
      <c r="DL369" s="14"/>
      <c r="DM369" s="14"/>
      <c r="DN369" s="14"/>
      <c r="DO369" s="14"/>
      <c r="DP369" s="14"/>
      <c r="DQ369" s="14"/>
      <c r="DR369" s="14"/>
      <c r="DS369" s="14"/>
      <c r="DT369" s="14"/>
      <c r="DU369" s="14"/>
      <c r="DV369" s="14"/>
      <c r="DW369" s="14"/>
      <c r="DX369" s="14"/>
      <c r="DY369" s="14"/>
      <c r="DZ369" s="14"/>
      <c r="EA369" s="14"/>
      <c r="EB369" s="14"/>
      <c r="EC369" s="14"/>
      <c r="ED369" s="14"/>
      <c r="EE369" s="14"/>
      <c r="EF369" s="14"/>
      <c r="EG369" s="14"/>
      <c r="EH369" s="14"/>
      <c r="EI369" s="14"/>
      <c r="EJ369" s="14"/>
      <c r="EK369" s="14"/>
      <c r="EL369" s="14"/>
    </row>
    <row r="370" spans="1:142" s="63" customFormat="1" ht="12" customHeight="1" x14ac:dyDescent="0.25">
      <c r="A370" s="8"/>
      <c r="B370" s="1903"/>
      <c r="C370" s="1903"/>
      <c r="D370" s="1903"/>
      <c r="E370" s="1903"/>
      <c r="F370" s="1903"/>
      <c r="G370" s="1903"/>
      <c r="H370" s="1903"/>
      <c r="I370" s="1903"/>
      <c r="J370" s="1903"/>
      <c r="K370" s="1903"/>
      <c r="L370" s="1903"/>
      <c r="M370" s="1903"/>
      <c r="N370" s="1903"/>
      <c r="O370" s="1903"/>
      <c r="P370" s="1903"/>
      <c r="Q370" s="35"/>
      <c r="R370" s="18"/>
      <c r="S370" s="19"/>
      <c r="T370" s="114"/>
      <c r="U370" s="157"/>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4"/>
      <c r="BB370" s="14"/>
      <c r="BC370" s="14"/>
      <c r="BD370" s="14"/>
      <c r="BE370" s="14"/>
      <c r="BF370" s="14"/>
      <c r="BG370" s="14"/>
      <c r="BH370" s="14"/>
      <c r="BI370" s="14"/>
      <c r="BJ370" s="14"/>
      <c r="BK370" s="14"/>
      <c r="BL370" s="14"/>
      <c r="BM370" s="14"/>
      <c r="BN370" s="14"/>
      <c r="BO370" s="14"/>
      <c r="BP370" s="14"/>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14"/>
      <c r="CS370" s="14"/>
      <c r="CT370" s="14"/>
      <c r="CU370" s="14"/>
      <c r="CV370" s="14"/>
      <c r="CW370" s="14"/>
      <c r="CX370" s="14"/>
      <c r="CY370" s="14"/>
      <c r="CZ370" s="14"/>
      <c r="DA370" s="14"/>
      <c r="DB370" s="14"/>
      <c r="DC370" s="14"/>
      <c r="DD370" s="14"/>
      <c r="DE370" s="14"/>
      <c r="DF370" s="14"/>
      <c r="DG370" s="14"/>
      <c r="DH370" s="14"/>
      <c r="DI370" s="14"/>
      <c r="DJ370" s="14"/>
      <c r="DK370" s="14"/>
      <c r="DL370" s="14"/>
      <c r="DM370" s="14"/>
      <c r="DN370" s="14"/>
      <c r="DO370" s="14"/>
      <c r="DP370" s="14"/>
      <c r="DQ370" s="14"/>
      <c r="DR370" s="14"/>
      <c r="DS370" s="14"/>
      <c r="DT370" s="14"/>
      <c r="DU370" s="14"/>
      <c r="DV370" s="14"/>
      <c r="DW370" s="14"/>
      <c r="DX370" s="14"/>
      <c r="DY370" s="14"/>
      <c r="DZ370" s="14"/>
      <c r="EA370" s="14"/>
      <c r="EB370" s="14"/>
      <c r="EC370" s="14"/>
      <c r="ED370" s="14"/>
      <c r="EE370" s="14"/>
      <c r="EF370" s="14"/>
      <c r="EG370" s="14"/>
      <c r="EH370" s="14"/>
      <c r="EI370" s="14"/>
      <c r="EJ370" s="14"/>
      <c r="EK370" s="14"/>
      <c r="EL370" s="14"/>
    </row>
    <row r="371" spans="1:142" s="63" customFormat="1" ht="27.75" customHeight="1" x14ac:dyDescent="0.2">
      <c r="A371" s="8"/>
      <c r="B371" s="1679" t="s">
        <v>712</v>
      </c>
      <c r="C371" s="1680"/>
      <c r="D371" s="1680"/>
      <c r="E371" s="1680"/>
      <c r="F371" s="1680"/>
      <c r="G371" s="1680"/>
      <c r="H371" s="1680"/>
      <c r="I371" s="1680"/>
      <c r="J371" s="1680"/>
      <c r="K371" s="1680"/>
      <c r="L371" s="1680"/>
      <c r="M371" s="1680"/>
      <c r="N371" s="1680"/>
      <c r="O371" s="1680"/>
      <c r="P371" s="481" t="s">
        <v>713</v>
      </c>
      <c r="Q371" s="35"/>
      <c r="R371" s="18"/>
      <c r="S371" s="116"/>
      <c r="T371" s="114"/>
      <c r="U371" s="157"/>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4"/>
      <c r="BB371" s="14"/>
      <c r="BC371" s="14"/>
      <c r="BD371" s="14"/>
      <c r="BE371" s="14"/>
      <c r="BF371" s="14"/>
      <c r="BG371" s="14"/>
      <c r="BH371" s="14"/>
      <c r="BI371" s="14"/>
      <c r="BJ371" s="14"/>
      <c r="BK371" s="14"/>
      <c r="BL371" s="14"/>
      <c r="BM371" s="14"/>
      <c r="BN371" s="14"/>
      <c r="BO371" s="14"/>
      <c r="BP371" s="14"/>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4"/>
      <c r="CQ371" s="14"/>
      <c r="CR371" s="14"/>
      <c r="CS371" s="14"/>
      <c r="CT371" s="14"/>
      <c r="CU371" s="14"/>
      <c r="CV371" s="14"/>
      <c r="CW371" s="14"/>
      <c r="CX371" s="14"/>
      <c r="CY371" s="14"/>
      <c r="CZ371" s="14"/>
      <c r="DA371" s="14"/>
      <c r="DB371" s="14"/>
      <c r="DC371" s="14"/>
      <c r="DD371" s="14"/>
      <c r="DE371" s="14"/>
      <c r="DF371" s="14"/>
      <c r="DG371" s="14"/>
      <c r="DH371" s="14"/>
      <c r="DI371" s="14"/>
      <c r="DJ371" s="14"/>
      <c r="DK371" s="14"/>
      <c r="DL371" s="14"/>
      <c r="DM371" s="14"/>
      <c r="DN371" s="14"/>
      <c r="DO371" s="14"/>
      <c r="DP371" s="14"/>
      <c r="DQ371" s="14"/>
      <c r="DR371" s="14"/>
      <c r="DS371" s="14"/>
      <c r="DT371" s="14"/>
      <c r="DU371" s="14"/>
      <c r="DV371" s="14"/>
      <c r="DW371" s="14"/>
      <c r="DX371" s="14"/>
      <c r="DY371" s="14"/>
      <c r="DZ371" s="14"/>
      <c r="EA371" s="14"/>
      <c r="EB371" s="14"/>
      <c r="EC371" s="14"/>
      <c r="ED371" s="14"/>
      <c r="EE371" s="14"/>
      <c r="EF371" s="14"/>
      <c r="EG371" s="14"/>
      <c r="EH371" s="14"/>
      <c r="EI371" s="14"/>
      <c r="EJ371" s="14"/>
      <c r="EK371" s="14"/>
      <c r="EL371" s="14"/>
    </row>
    <row r="372" spans="1:142" s="63" customFormat="1" ht="9" customHeight="1" x14ac:dyDescent="0.3">
      <c r="A372" s="8"/>
      <c r="B372" s="1922"/>
      <c r="C372" s="1922"/>
      <c r="D372" s="1922"/>
      <c r="E372" s="1922"/>
      <c r="F372" s="1922"/>
      <c r="G372" s="1922"/>
      <c r="H372" s="1922"/>
      <c r="I372" s="1922"/>
      <c r="J372" s="1922"/>
      <c r="K372" s="1922"/>
      <c r="L372" s="1922"/>
      <c r="M372" s="1922"/>
      <c r="N372" s="1922"/>
      <c r="O372" s="1922"/>
      <c r="P372" s="472"/>
      <c r="Q372" s="35"/>
      <c r="R372" s="18"/>
      <c r="S372" s="19"/>
      <c r="T372" s="114"/>
      <c r="U372" s="157"/>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4"/>
      <c r="BB372" s="14"/>
      <c r="BC372" s="14"/>
      <c r="BD372" s="14"/>
      <c r="BE372" s="14"/>
      <c r="BF372" s="14"/>
      <c r="BG372" s="14"/>
      <c r="BH372" s="14"/>
      <c r="BI372" s="14"/>
      <c r="BJ372" s="14"/>
      <c r="BK372" s="14"/>
      <c r="BL372" s="14"/>
      <c r="BM372" s="14"/>
      <c r="BN372" s="14"/>
      <c r="BO372" s="14"/>
      <c r="BP372" s="14"/>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4"/>
      <c r="CQ372" s="14"/>
      <c r="CR372" s="14"/>
      <c r="CS372" s="14"/>
      <c r="CT372" s="14"/>
      <c r="CU372" s="14"/>
      <c r="CV372" s="14"/>
      <c r="CW372" s="14"/>
      <c r="CX372" s="14"/>
      <c r="CY372" s="14"/>
      <c r="CZ372" s="14"/>
      <c r="DA372" s="14"/>
      <c r="DB372" s="14"/>
      <c r="DC372" s="14"/>
      <c r="DD372" s="14"/>
      <c r="DE372" s="14"/>
      <c r="DF372" s="14"/>
      <c r="DG372" s="14"/>
      <c r="DH372" s="14"/>
      <c r="DI372" s="14"/>
      <c r="DJ372" s="14"/>
      <c r="DK372" s="14"/>
      <c r="DL372" s="14"/>
      <c r="DM372" s="14"/>
      <c r="DN372" s="14"/>
      <c r="DO372" s="14"/>
      <c r="DP372" s="14"/>
      <c r="DQ372" s="14"/>
      <c r="DR372" s="14"/>
      <c r="DS372" s="14"/>
      <c r="DT372" s="14"/>
      <c r="DU372" s="14"/>
      <c r="DV372" s="14"/>
      <c r="DW372" s="14"/>
      <c r="DX372" s="14"/>
      <c r="DY372" s="14"/>
      <c r="DZ372" s="14"/>
      <c r="EA372" s="14"/>
      <c r="EB372" s="14"/>
      <c r="EC372" s="14"/>
      <c r="ED372" s="14"/>
      <c r="EE372" s="14"/>
      <c r="EF372" s="14"/>
      <c r="EG372" s="14"/>
      <c r="EH372" s="14"/>
      <c r="EI372" s="14"/>
      <c r="EJ372" s="14"/>
      <c r="EK372" s="14"/>
      <c r="EL372" s="14"/>
    </row>
    <row r="373" spans="1:142" s="63" customFormat="1" ht="21" customHeight="1" x14ac:dyDescent="0.2">
      <c r="A373" s="20"/>
      <c r="B373" s="1921" t="s">
        <v>1200</v>
      </c>
      <c r="C373" s="1921"/>
      <c r="D373" s="1921"/>
      <c r="E373" s="1921"/>
      <c r="F373" s="1921"/>
      <c r="G373" s="1921"/>
      <c r="H373" s="1921"/>
      <c r="I373" s="1921"/>
      <c r="J373" s="1921"/>
      <c r="K373" s="1921"/>
      <c r="L373" s="1921"/>
      <c r="M373" s="1921"/>
      <c r="N373" s="1921"/>
      <c r="O373" s="1921"/>
      <c r="P373" s="26">
        <f>IF(R373=2,1,0)</f>
        <v>0</v>
      </c>
      <c r="Q373" s="35"/>
      <c r="R373" s="686">
        <v>1</v>
      </c>
      <c r="S373" s="19"/>
      <c r="T373" s="114"/>
      <c r="U373" s="157"/>
      <c r="V373" s="18"/>
      <c r="W373" s="18">
        <v>1E-4</v>
      </c>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4"/>
      <c r="BB373" s="14"/>
      <c r="BC373" s="14"/>
      <c r="BD373" s="14"/>
      <c r="BE373" s="14"/>
      <c r="BF373" s="14"/>
      <c r="BG373" s="14"/>
      <c r="BH373" s="14"/>
      <c r="BI373" s="14"/>
      <c r="BJ373" s="14"/>
      <c r="BK373" s="14"/>
      <c r="BL373" s="14"/>
      <c r="BM373" s="14"/>
      <c r="BN373" s="14"/>
      <c r="BO373" s="14"/>
      <c r="BP373" s="14"/>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4"/>
      <c r="CQ373" s="14"/>
      <c r="CR373" s="14"/>
      <c r="CS373" s="14"/>
      <c r="CT373" s="14"/>
      <c r="CU373" s="14"/>
      <c r="CV373" s="14"/>
      <c r="CW373" s="14"/>
      <c r="CX373" s="14"/>
      <c r="CY373" s="14"/>
      <c r="CZ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row>
    <row r="374" spans="1:142" s="63" customFormat="1" ht="9" customHeight="1" x14ac:dyDescent="0.25">
      <c r="A374" s="8"/>
      <c r="B374" s="1903"/>
      <c r="C374" s="1903"/>
      <c r="D374" s="1903"/>
      <c r="E374" s="1903"/>
      <c r="F374" s="1903"/>
      <c r="G374" s="1903"/>
      <c r="H374" s="1903"/>
      <c r="I374" s="1903"/>
      <c r="J374" s="1903"/>
      <c r="K374" s="1903"/>
      <c r="L374" s="1903"/>
      <c r="M374" s="1903"/>
      <c r="N374" s="1903"/>
      <c r="O374" s="1903"/>
      <c r="P374" s="94"/>
      <c r="Q374" s="35"/>
      <c r="R374" s="18"/>
      <c r="S374" s="19"/>
      <c r="T374" s="114"/>
      <c r="U374" s="157"/>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4"/>
      <c r="BB374" s="14"/>
      <c r="BC374" s="14"/>
      <c r="BD374" s="14"/>
      <c r="BE374" s="14"/>
      <c r="BF374" s="14"/>
      <c r="BG374" s="14"/>
      <c r="BH374" s="14"/>
      <c r="BI374" s="14"/>
      <c r="BJ374" s="14"/>
      <c r="BK374" s="14"/>
      <c r="BL374" s="14"/>
      <c r="BM374" s="14"/>
      <c r="BN374" s="14"/>
      <c r="BO374" s="14"/>
      <c r="BP374" s="14"/>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row>
    <row r="375" spans="1:142" s="63" customFormat="1" ht="18" customHeight="1" x14ac:dyDescent="0.2">
      <c r="A375" s="35"/>
      <c r="B375" s="1555" t="s">
        <v>1595</v>
      </c>
      <c r="C375" s="1555"/>
      <c r="D375" s="1555"/>
      <c r="E375" s="1555"/>
      <c r="F375" s="1555"/>
      <c r="G375" s="1555"/>
      <c r="H375" s="1555"/>
      <c r="I375" s="1555"/>
      <c r="J375" s="1555"/>
      <c r="K375" s="1555"/>
      <c r="L375" s="1555"/>
      <c r="M375" s="1555"/>
      <c r="N375" s="1555"/>
      <c r="O375" s="1555"/>
      <c r="P375" s="1534"/>
      <c r="Q375" s="35"/>
      <c r="R375" s="18"/>
      <c r="S375" s="18"/>
      <c r="T375" s="47"/>
      <c r="U375" s="47"/>
      <c r="V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4"/>
      <c r="BB375" s="14"/>
      <c r="BC375" s="14"/>
      <c r="BD375" s="14"/>
      <c r="BE375" s="14"/>
      <c r="BF375" s="14"/>
      <c r="BG375" s="14"/>
      <c r="BH375" s="14"/>
      <c r="BI375" s="14"/>
      <c r="BJ375" s="14"/>
      <c r="BK375" s="14"/>
      <c r="BL375" s="14"/>
      <c r="BM375" s="14"/>
      <c r="BN375" s="14"/>
      <c r="BO375" s="14"/>
      <c r="BP375" s="14"/>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c r="CO375" s="14"/>
      <c r="CP375" s="14"/>
      <c r="CQ375" s="14"/>
      <c r="CR375" s="14"/>
      <c r="CS375" s="14"/>
      <c r="CT375" s="14"/>
      <c r="CU375" s="14"/>
      <c r="CV375" s="14"/>
      <c r="CW375" s="14"/>
      <c r="CX375" s="14"/>
      <c r="CY375" s="14"/>
      <c r="CZ375" s="14"/>
      <c r="DA375" s="14"/>
      <c r="DB375" s="14"/>
      <c r="DC375" s="14"/>
      <c r="DD375" s="14"/>
      <c r="DE375" s="14"/>
      <c r="DF375" s="14"/>
      <c r="DG375" s="14"/>
      <c r="DH375" s="14"/>
      <c r="DI375" s="14"/>
      <c r="DJ375" s="14"/>
      <c r="DK375" s="14"/>
      <c r="DL375" s="14"/>
      <c r="DM375" s="14"/>
      <c r="DN375" s="14"/>
      <c r="DO375" s="14"/>
      <c r="DP375" s="14"/>
      <c r="DQ375" s="14"/>
      <c r="DR375" s="14"/>
      <c r="DS375" s="14"/>
      <c r="DT375" s="14"/>
      <c r="DU375" s="14"/>
      <c r="DV375" s="14"/>
      <c r="DW375" s="14"/>
      <c r="DX375" s="14"/>
      <c r="DY375" s="14"/>
      <c r="DZ375" s="14"/>
      <c r="EA375" s="14"/>
      <c r="EB375" s="14"/>
      <c r="EC375" s="14"/>
      <c r="ED375" s="14"/>
      <c r="EE375" s="14"/>
      <c r="EF375" s="14"/>
      <c r="EG375" s="14"/>
      <c r="EH375" s="14"/>
      <c r="EI375" s="14"/>
      <c r="EJ375" s="14"/>
      <c r="EK375" s="14"/>
      <c r="EL375" s="14"/>
    </row>
    <row r="376" spans="1:142" s="63" customFormat="1" ht="27" customHeight="1" x14ac:dyDescent="0.25">
      <c r="A376" s="35"/>
      <c r="B376" s="336"/>
      <c r="C376" s="1555" t="s">
        <v>1596</v>
      </c>
      <c r="D376" s="1555"/>
      <c r="E376" s="1555"/>
      <c r="F376" s="1555"/>
      <c r="G376" s="1536" t="s">
        <v>1081</v>
      </c>
      <c r="H376" s="1536"/>
      <c r="I376" s="1536"/>
      <c r="J376" s="1536"/>
      <c r="K376" s="1536"/>
      <c r="L376" s="1896"/>
      <c r="M376" s="1897"/>
      <c r="N376" s="1897"/>
      <c r="O376" s="1898"/>
      <c r="P376" s="1534"/>
      <c r="Q376" s="35"/>
      <c r="R376" s="18"/>
      <c r="S376" s="864" t="s">
        <v>1573</v>
      </c>
      <c r="T376" s="862" t="s">
        <v>1596</v>
      </c>
      <c r="U376" s="862" t="s">
        <v>1597</v>
      </c>
      <c r="V376" s="1555" t="s">
        <v>1083</v>
      </c>
      <c r="W376" s="1555"/>
      <c r="X376" s="1555"/>
      <c r="Y376" s="1555"/>
      <c r="Z376" s="862" t="s">
        <v>2229</v>
      </c>
      <c r="AA376" s="862" t="s">
        <v>2230</v>
      </c>
      <c r="AB376" s="870" t="s">
        <v>1207</v>
      </c>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4"/>
      <c r="BB376" s="14"/>
      <c r="BC376" s="14"/>
      <c r="BD376" s="14"/>
      <c r="BE376" s="14"/>
      <c r="BF376" s="14"/>
      <c r="BG376" s="14"/>
      <c r="BH376" s="14"/>
      <c r="BI376" s="14"/>
      <c r="BJ376" s="14"/>
      <c r="BK376" s="14"/>
      <c r="BL376" s="14"/>
      <c r="BM376" s="14"/>
      <c r="BN376" s="14"/>
      <c r="BO376" s="14"/>
      <c r="BP376" s="14"/>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row>
    <row r="377" spans="1:142" s="63" customFormat="1" ht="13.5" customHeight="1" x14ac:dyDescent="0.2">
      <c r="A377" s="35"/>
      <c r="B377" s="186" t="s">
        <v>1201</v>
      </c>
      <c r="C377" s="1308"/>
      <c r="D377" s="1308"/>
      <c r="E377" s="1558">
        <f>LETable!AJ55</f>
        <v>0</v>
      </c>
      <c r="F377" s="1558"/>
      <c r="G377" s="1308"/>
      <c r="H377" s="1308"/>
      <c r="I377" s="1308"/>
      <c r="J377" s="1538">
        <f>IF(C377="",0,IF(OR(C377&lt;=0,G377&lt;=0),E377,IF(G377&lt;C377,0,LETable!AO55)))</f>
        <v>0</v>
      </c>
      <c r="K377" s="1538"/>
      <c r="L377" s="1556" t="str">
        <f>IF(OR(C377="NA",G377="NA"),"",IF(AND(C377&lt;&gt;"",G377=""),"Enter contralateral or NA.",IF(AND(C377="",G377&lt;&gt;""),"Need data","")))</f>
        <v/>
      </c>
      <c r="M377" s="1556"/>
      <c r="N377" s="1556"/>
      <c r="O377" s="1556"/>
      <c r="P377" s="1534"/>
      <c r="Q377" s="35"/>
      <c r="R377" s="864" t="s">
        <v>1202</v>
      </c>
      <c r="S377" s="861">
        <v>150</v>
      </c>
      <c r="T377" s="864" t="str">
        <f>IF(OR(C377="",C377="NA"),"",IF(C377&gt;S377,S377,IF(C377&lt;0,0,C377)))</f>
        <v/>
      </c>
      <c r="U377" s="864" t="str">
        <f>IF(OR(G377="",G377="NA"),"",IF(G377&gt;S377,S377,IF(G377&lt;0,0,G377)))</f>
        <v/>
      </c>
      <c r="V377" s="696" t="str">
        <f>IF(Y377="","",ROUND(Y377,0))</f>
        <v/>
      </c>
      <c r="W377" s="1555" t="s">
        <v>1203</v>
      </c>
      <c r="X377" s="1555"/>
      <c r="Y377" s="697" t="str">
        <f>IF(T377="","",IF(OR(U377="",U377=0,U377&lt;T377),T377,(T377*S377)/U377))</f>
        <v/>
      </c>
      <c r="Z377" s="864">
        <f>IF(AND(C378&lt;&gt;"",C378&lt;&gt;"NA"),1,0)</f>
        <v>0</v>
      </c>
      <c r="AA377" s="864">
        <f>IF(AND(C377&lt;&gt;"",C377&lt;&gt;"NA"),1,0)</f>
        <v>0</v>
      </c>
      <c r="AB377" s="141">
        <f>MAX(E378,E380)</f>
        <v>0</v>
      </c>
      <c r="AD377" s="18"/>
      <c r="AE377" s="18"/>
      <c r="AF377" s="18"/>
      <c r="AG377" s="18"/>
      <c r="AH377" s="18"/>
      <c r="AI377" s="111"/>
      <c r="AJ377" s="18"/>
      <c r="AK377" s="18"/>
      <c r="AL377" s="18"/>
      <c r="AM377" s="18"/>
      <c r="AN377" s="18"/>
      <c r="AO377" s="18"/>
      <c r="AP377" s="18"/>
      <c r="AQ377" s="18"/>
      <c r="AR377" s="18"/>
      <c r="AS377" s="18"/>
      <c r="AT377" s="18"/>
      <c r="AU377" s="18"/>
      <c r="AV377" s="18"/>
      <c r="AW377" s="18"/>
      <c r="AX377" s="18"/>
      <c r="AY377" s="18"/>
      <c r="AZ377" s="18"/>
      <c r="BA377" s="14"/>
      <c r="BB377" s="14"/>
      <c r="BC377" s="14"/>
      <c r="BD377" s="14"/>
      <c r="BE377" s="14"/>
      <c r="BF377" s="14"/>
      <c r="BG377" s="14"/>
      <c r="BH377" s="14"/>
      <c r="BI377" s="14"/>
      <c r="BJ377" s="14"/>
      <c r="BK377" s="14"/>
      <c r="BL377" s="14"/>
      <c r="BM377" s="14"/>
      <c r="BN377" s="14"/>
      <c r="BO377" s="14"/>
      <c r="BP377" s="14"/>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row>
    <row r="378" spans="1:142" s="63" customFormat="1" ht="13.5" customHeight="1" x14ac:dyDescent="0.2">
      <c r="A378" s="35"/>
      <c r="B378" s="186" t="s">
        <v>1204</v>
      </c>
      <c r="C378" s="1308"/>
      <c r="D378" s="1308"/>
      <c r="E378" s="1558">
        <f>IF(AND($Z$379&gt;0,$AA$379&gt;0),"ERROR",LETable!AJ56)</f>
        <v>0</v>
      </c>
      <c r="F378" s="1558"/>
      <c r="G378" s="1918" t="str">
        <f>IF(E378="ERROR","Cannot rate ROM and ankylosis.","")</f>
        <v/>
      </c>
      <c r="H378" s="1919"/>
      <c r="I378" s="1919"/>
      <c r="J378" s="1919"/>
      <c r="K378" s="1919"/>
      <c r="L378" s="1919"/>
      <c r="M378" s="1919"/>
      <c r="N378" s="1919"/>
      <c r="O378" s="1920"/>
      <c r="P378" s="1534"/>
      <c r="Q378" s="35"/>
      <c r="R378" s="864">
        <f>IF(R379="ERROR",1,0)</f>
        <v>0</v>
      </c>
      <c r="S378" s="861">
        <v>150</v>
      </c>
      <c r="T378" s="864" t="str">
        <f>IF(OR(C378="",C378="NA"),"",IF(C378&gt;S378,S378,IF(C378&lt;0,0,C378)))</f>
        <v/>
      </c>
      <c r="U378" s="18"/>
      <c r="V378" s="73"/>
      <c r="W378" s="18"/>
      <c r="X378" s="18"/>
      <c r="Y378" s="159"/>
      <c r="Z378" s="864">
        <f>IF(AND(C380&lt;&gt;"",C380&lt;&gt;"NA"),1,0)</f>
        <v>0</v>
      </c>
      <c r="AA378" s="864">
        <f>IF(AND(C379&lt;&gt;"",C379&lt;&gt;"NA"),1,0)</f>
        <v>0</v>
      </c>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4"/>
      <c r="BB378" s="14"/>
      <c r="BC378" s="14"/>
      <c r="BD378" s="14"/>
      <c r="BE378" s="14"/>
      <c r="BF378" s="14"/>
      <c r="BG378" s="14"/>
      <c r="BH378" s="14"/>
      <c r="BI378" s="14"/>
      <c r="BJ378" s="14"/>
      <c r="BK378" s="14"/>
      <c r="BL378" s="14"/>
      <c r="BM378" s="14"/>
      <c r="BN378" s="14"/>
      <c r="BO378" s="14"/>
      <c r="BP378" s="14"/>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C378" s="14"/>
      <c r="DD378" s="14"/>
      <c r="DE378" s="14"/>
      <c r="DF378" s="14"/>
      <c r="DG378" s="14"/>
      <c r="DH378" s="14"/>
      <c r="DI378" s="14"/>
      <c r="DJ378" s="14"/>
      <c r="DK378" s="14"/>
      <c r="DL378" s="14"/>
      <c r="DM378" s="14"/>
      <c r="DN378" s="14"/>
      <c r="DO378" s="14"/>
      <c r="DP378" s="14"/>
      <c r="DQ378" s="14"/>
      <c r="DR378" s="14"/>
      <c r="DS378" s="14"/>
      <c r="DT378" s="14"/>
      <c r="DU378" s="14"/>
      <c r="DV378" s="14"/>
      <c r="DW378" s="14"/>
      <c r="DX378" s="14"/>
      <c r="DY378" s="14"/>
      <c r="DZ378" s="14"/>
      <c r="EA378" s="14"/>
      <c r="EB378" s="14"/>
      <c r="EC378" s="14"/>
      <c r="ED378" s="14"/>
      <c r="EE378" s="14"/>
      <c r="EF378" s="14"/>
      <c r="EG378" s="14"/>
      <c r="EH378" s="14"/>
      <c r="EI378" s="14"/>
      <c r="EJ378" s="14"/>
      <c r="EK378" s="14"/>
      <c r="EL378" s="14"/>
    </row>
    <row r="379" spans="1:142" s="63" customFormat="1" ht="13.5" customHeight="1" x14ac:dyDescent="0.2">
      <c r="A379" s="35"/>
      <c r="B379" s="186" t="s">
        <v>1205</v>
      </c>
      <c r="C379" s="1308"/>
      <c r="D379" s="1308"/>
      <c r="E379" s="1558">
        <f>LETable!AJ57</f>
        <v>0</v>
      </c>
      <c r="F379" s="1558"/>
      <c r="G379" s="1308"/>
      <c r="H379" s="1308"/>
      <c r="I379" s="1308"/>
      <c r="J379" s="1538">
        <f>IF(C379="",0,IF(OR(C379&gt;=150,G379&gt;=150),E379,IF(G379&gt;C379,0,LETable!AO57)))</f>
        <v>0</v>
      </c>
      <c r="K379" s="1538"/>
      <c r="L379" s="1556" t="str">
        <f>IF(OR(C379="NA",G379="NA"),"",IF(AND(C379&lt;&gt;"",G379=""),"Enter contralateral or NA.",IF(AND(C379="",G379&lt;&gt;""),"Need data","")))</f>
        <v/>
      </c>
      <c r="M379" s="1556"/>
      <c r="N379" s="1556"/>
      <c r="O379" s="1556"/>
      <c r="P379" s="1534"/>
      <c r="Q379" s="35"/>
      <c r="R379" s="892">
        <f>IF(OR(E378="ERROR",E380="ERROR"),"ERROR",J377+J379+AB377)</f>
        <v>0</v>
      </c>
      <c r="S379" s="861">
        <v>150</v>
      </c>
      <c r="T379" s="864" t="str">
        <f>IF(OR(C379="",C379="NA"),"",IF(C379&gt;S379,S379,IF(C379&lt;0,0,C379)))</f>
        <v/>
      </c>
      <c r="U379" s="864" t="str">
        <f>IF(OR(G379="",G379="NA"),"",IF(G379&gt;S379,S379,IF(G379&lt;0,0,G379)))</f>
        <v/>
      </c>
      <c r="V379" s="696" t="str">
        <f>IF(Y379="","",ROUND(Y379,0))</f>
        <v/>
      </c>
      <c r="W379" s="864">
        <f>IF(T379="",0,S379-T379)</f>
        <v>0</v>
      </c>
      <c r="X379" s="864">
        <f>IF(U379="",0,S379-U379)</f>
        <v>0</v>
      </c>
      <c r="Y379" s="697" t="str">
        <f>IF(T379="","",IF(OR(U379="",U379=0,U379&gt;T379),T379,S379-(W379*S379)/X379))</f>
        <v/>
      </c>
      <c r="Z379" s="864">
        <f>Z377+Z378</f>
        <v>0</v>
      </c>
      <c r="AA379" s="864">
        <f>AA377+AA378</f>
        <v>0</v>
      </c>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4"/>
      <c r="BB379" s="14"/>
      <c r="BC379" s="14"/>
      <c r="BD379" s="14"/>
      <c r="BE379" s="14"/>
      <c r="BF379" s="14"/>
      <c r="BG379" s="14"/>
      <c r="BH379" s="14"/>
      <c r="BI379" s="14"/>
      <c r="BJ379" s="14"/>
      <c r="BK379" s="14"/>
      <c r="BL379" s="14"/>
      <c r="BM379" s="14"/>
      <c r="BN379" s="14"/>
      <c r="BO379" s="14"/>
      <c r="BP379" s="14"/>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4"/>
      <c r="CQ379" s="14"/>
      <c r="CR379" s="14"/>
      <c r="CS379" s="14"/>
      <c r="CT379" s="14"/>
      <c r="CU379" s="14"/>
      <c r="CV379" s="14"/>
      <c r="CW379" s="14"/>
      <c r="CX379" s="14"/>
      <c r="CY379" s="14"/>
      <c r="CZ379" s="14"/>
      <c r="DA379" s="14"/>
      <c r="DB379" s="14"/>
      <c r="DC379" s="14"/>
      <c r="DD379" s="14"/>
      <c r="DE379" s="14"/>
      <c r="DF379" s="14"/>
      <c r="DG379" s="14"/>
      <c r="DH379" s="14"/>
      <c r="DI379" s="14"/>
      <c r="DJ379" s="14"/>
      <c r="DK379" s="14"/>
      <c r="DL379" s="14"/>
      <c r="DM379" s="14"/>
      <c r="DN379" s="14"/>
      <c r="DO379" s="14"/>
      <c r="DP379" s="14"/>
      <c r="DQ379" s="14"/>
      <c r="DR379" s="14"/>
      <c r="DS379" s="14"/>
      <c r="DT379" s="14"/>
      <c r="DU379" s="14"/>
      <c r="DV379" s="14"/>
      <c r="DW379" s="14"/>
      <c r="DX379" s="14"/>
      <c r="DY379" s="14"/>
      <c r="DZ379" s="14"/>
      <c r="EA379" s="14"/>
      <c r="EB379" s="14"/>
      <c r="EC379" s="14"/>
      <c r="ED379" s="14"/>
      <c r="EE379" s="14"/>
      <c r="EF379" s="14"/>
      <c r="EG379" s="14"/>
      <c r="EH379" s="14"/>
      <c r="EI379" s="14"/>
      <c r="EJ379" s="14"/>
      <c r="EK379" s="14"/>
      <c r="EL379" s="14"/>
    </row>
    <row r="380" spans="1:142" s="63" customFormat="1" ht="15" customHeight="1" x14ac:dyDescent="0.2">
      <c r="A380" s="35"/>
      <c r="B380" s="186" t="s">
        <v>1206</v>
      </c>
      <c r="C380" s="1308"/>
      <c r="D380" s="1308"/>
      <c r="E380" s="1558">
        <f>IF(AND($Z$379&gt;0,$AA$379&gt;0),"ERROR",LETable!AJ58)</f>
        <v>0</v>
      </c>
      <c r="F380" s="1558"/>
      <c r="G380" s="1866" t="str">
        <f>IF(E380="ERROR","Cannot rate ROM and ankylosis.",IF(AND(C378&lt;&gt;"",C378&lt;&gt;"NA",C380&lt;&gt;"",C380&lt;&gt;"NA"),"Multiple ankylosis values; use higher value only.",""))</f>
        <v/>
      </c>
      <c r="H380" s="1867"/>
      <c r="I380" s="1867"/>
      <c r="J380" s="1867"/>
      <c r="K380" s="1867"/>
      <c r="L380" s="1867"/>
      <c r="M380" s="1867"/>
      <c r="N380" s="1867"/>
      <c r="O380" s="1868"/>
      <c r="P380" s="1534"/>
      <c r="Q380" s="35"/>
      <c r="R380" s="749">
        <f>IF(R378=1,"ERROR",IF(AND(R379&gt;0,R379&lt;0.01),0.01,ROUND(R379,2)))</f>
        <v>0</v>
      </c>
      <c r="S380" s="861">
        <v>150</v>
      </c>
      <c r="T380" s="864" t="str">
        <f>IF(OR(C380="",C380="NA"),"",IF(C380&gt;S380,S380,IF(C380&lt;0,0,C380)))</f>
        <v/>
      </c>
      <c r="V380" s="698"/>
      <c r="W380" s="698"/>
      <c r="Y380" s="18"/>
      <c r="Z380" s="18"/>
      <c r="AA380" s="18"/>
      <c r="AB380" s="18"/>
      <c r="AC380" s="18"/>
      <c r="AD380" s="18"/>
      <c r="AE380" s="18"/>
      <c r="AF380" s="18"/>
      <c r="AG380" s="18"/>
      <c r="AH380" s="18"/>
      <c r="AI380" s="18"/>
      <c r="AJ380" s="47"/>
      <c r="AK380" s="47"/>
      <c r="AL380" s="47"/>
      <c r="AM380" s="47"/>
      <c r="AN380" s="18"/>
      <c r="AO380" s="18"/>
      <c r="AP380" s="18"/>
      <c r="AQ380" s="18"/>
      <c r="AR380" s="18"/>
      <c r="AS380" s="18"/>
      <c r="AT380" s="18"/>
      <c r="AU380" s="18"/>
      <c r="AV380" s="18"/>
      <c r="AW380" s="18"/>
      <c r="AX380" s="18"/>
      <c r="AY380" s="18"/>
      <c r="AZ380" s="18"/>
      <c r="BA380" s="14"/>
      <c r="BB380" s="14"/>
      <c r="BC380" s="14"/>
      <c r="BD380" s="14"/>
      <c r="BE380" s="14"/>
      <c r="BF380" s="14"/>
      <c r="BG380" s="14"/>
      <c r="BH380" s="14"/>
      <c r="BI380" s="14"/>
      <c r="BJ380" s="14"/>
      <c r="BK380" s="14"/>
      <c r="BL380" s="14"/>
      <c r="BM380" s="14"/>
      <c r="BN380" s="14"/>
      <c r="BO380" s="14"/>
      <c r="BP380" s="14"/>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4"/>
      <c r="CQ380" s="14"/>
      <c r="CR380" s="14"/>
      <c r="CS380" s="14"/>
      <c r="CT380" s="14"/>
      <c r="CU380" s="14"/>
      <c r="CV380" s="14"/>
      <c r="CW380" s="14"/>
      <c r="CX380" s="14"/>
      <c r="CY380" s="14"/>
      <c r="CZ380" s="14"/>
      <c r="DA380" s="14"/>
      <c r="DB380" s="14"/>
      <c r="DC380" s="14"/>
      <c r="DD380" s="14"/>
      <c r="DE380" s="14"/>
      <c r="DF380" s="14"/>
      <c r="DG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row>
    <row r="381" spans="1:142" s="63" customFormat="1" ht="13.5" customHeight="1" x14ac:dyDescent="0.25">
      <c r="A381" s="35"/>
      <c r="B381" s="1899"/>
      <c r="C381" s="1899"/>
      <c r="D381" s="1899"/>
      <c r="E381" s="1899"/>
      <c r="F381" s="1899"/>
      <c r="G381" s="1899"/>
      <c r="H381" s="1740" t="s">
        <v>1734</v>
      </c>
      <c r="I381" s="1741"/>
      <c r="J381" s="1741"/>
      <c r="K381" s="1741"/>
      <c r="L381" s="1741"/>
      <c r="M381" s="1741"/>
      <c r="N381" s="1741"/>
      <c r="O381" s="1742"/>
      <c r="P381" s="303">
        <f>IF(R380="ERROR","ERROR",IF(R380&gt;1,1,R380))</f>
        <v>0</v>
      </c>
      <c r="Q381" s="35"/>
      <c r="R381" s="1087"/>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4"/>
      <c r="BB381" s="14"/>
      <c r="BC381" s="14"/>
      <c r="BD381" s="14"/>
      <c r="BE381" s="14"/>
      <c r="BF381" s="14"/>
      <c r="BG381" s="14"/>
      <c r="BH381" s="14"/>
      <c r="BI381" s="14"/>
      <c r="BJ381" s="14"/>
      <c r="BK381" s="14"/>
      <c r="BL381" s="14"/>
      <c r="BM381" s="14"/>
      <c r="BN381" s="14"/>
      <c r="BO381" s="14"/>
      <c r="BP381" s="14"/>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DP381" s="14"/>
      <c r="DQ381" s="14"/>
      <c r="DR381" s="14"/>
      <c r="DS381" s="14"/>
      <c r="DT381" s="14"/>
      <c r="DU381" s="14"/>
      <c r="DV381" s="14"/>
      <c r="DW381" s="14"/>
      <c r="DX381" s="14"/>
      <c r="DY381" s="14"/>
      <c r="DZ381" s="14"/>
      <c r="EA381" s="14"/>
      <c r="EB381" s="14"/>
      <c r="EC381" s="14"/>
      <c r="ED381" s="14"/>
      <c r="EE381" s="14"/>
      <c r="EF381" s="14"/>
      <c r="EG381" s="14"/>
      <c r="EH381" s="14"/>
      <c r="EI381" s="14"/>
      <c r="EJ381" s="14"/>
      <c r="EK381" s="14"/>
      <c r="EL381" s="14"/>
    </row>
    <row r="382" spans="1:142" s="63" customFormat="1" ht="15" customHeight="1" x14ac:dyDescent="0.2">
      <c r="A382" s="35"/>
      <c r="B382" s="186" t="s">
        <v>172</v>
      </c>
      <c r="C382" s="1308"/>
      <c r="D382" s="1308"/>
      <c r="E382" s="1558">
        <f>LETable!AJ61</f>
        <v>0</v>
      </c>
      <c r="F382" s="1558"/>
      <c r="G382" s="1308"/>
      <c r="H382" s="1308"/>
      <c r="I382" s="1308"/>
      <c r="J382" s="1538">
        <f>IF(C382="",0,IF(OR(C382&lt;=0,G382&lt;=0),E382,IF(G382&lt;C382,0,LETable!AO61)))</f>
        <v>0</v>
      </c>
      <c r="K382" s="1538"/>
      <c r="L382" s="1829" t="str">
        <f t="shared" ref="L382:L387" si="58">IF(OR(C382="NA",G382="NA"),"",IF(AND(C382&lt;&gt;"",G382=""),"Enter contralateral or NA.",IF(AND(C382="",G382&lt;&gt;""),"Need data","")))</f>
        <v/>
      </c>
      <c r="M382" s="1829"/>
      <c r="N382" s="1829"/>
      <c r="O382" s="1829"/>
      <c r="P382" s="1911"/>
      <c r="Q382" s="35"/>
      <c r="R382" s="18"/>
      <c r="S382" s="864">
        <v>100</v>
      </c>
      <c r="T382" s="864" t="str">
        <f t="shared" ref="T382:T387" si="59">IF(OR(C382="",C382="NA"),"",IF(C382&gt;S382,S382,IF(C382&lt;0,0,C382)))</f>
        <v/>
      </c>
      <c r="U382" s="864" t="str">
        <f t="shared" ref="U382:U387" si="60">IF(OR(G382="",G382="NA"),"",IF(G382&gt;S382,S382,IF(G382&lt;0,0,G382)))</f>
        <v/>
      </c>
      <c r="V382" s="696" t="str">
        <f t="shared" ref="V382:V387" si="61">IF(Y382="","",ROUND(Y382,0))</f>
        <v/>
      </c>
      <c r="W382" s="865"/>
      <c r="X382" s="865"/>
      <c r="Y382" s="697" t="str">
        <f t="shared" ref="Y382:Y387" si="62">IF(T382="","",IF(OR(U382="",U382=0,U382&lt;T382),T382,(T382*S382)/U382))</f>
        <v/>
      </c>
      <c r="Z382" s="18"/>
      <c r="AA382" s="18"/>
      <c r="AB382" s="18"/>
      <c r="AC382" s="18"/>
      <c r="AD382" s="18"/>
      <c r="AE382" s="18"/>
      <c r="AF382" s="18"/>
      <c r="AG382" s="18"/>
      <c r="AH382" s="18"/>
      <c r="AI382" s="111"/>
      <c r="AJ382" s="18"/>
      <c r="AK382" s="18"/>
      <c r="AL382" s="18"/>
      <c r="AM382" s="18"/>
      <c r="AN382" s="18"/>
      <c r="AO382" s="18"/>
      <c r="AP382" s="18"/>
      <c r="AQ382" s="18"/>
      <c r="AR382" s="18"/>
      <c r="AS382" s="18"/>
      <c r="AT382" s="18"/>
      <c r="AU382" s="18"/>
      <c r="AV382" s="18"/>
      <c r="AW382" s="18"/>
      <c r="AX382" s="18"/>
      <c r="AY382" s="18"/>
      <c r="AZ382" s="18"/>
      <c r="BA382" s="14"/>
      <c r="BB382" s="14"/>
      <c r="BC382" s="14"/>
      <c r="BD382" s="14"/>
      <c r="BE382" s="14"/>
      <c r="BF382" s="14"/>
      <c r="BG382" s="14"/>
      <c r="BH382" s="14"/>
      <c r="BI382" s="14"/>
      <c r="BJ382" s="14"/>
      <c r="BK382" s="14"/>
      <c r="BL382" s="14"/>
      <c r="BM382" s="14"/>
      <c r="BN382" s="14"/>
      <c r="BO382" s="14"/>
      <c r="BP382" s="14"/>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row>
    <row r="383" spans="1:142" s="63" customFormat="1" ht="15" customHeight="1" x14ac:dyDescent="0.2">
      <c r="A383" s="35"/>
      <c r="B383" s="186" t="s">
        <v>1020</v>
      </c>
      <c r="C383" s="1308"/>
      <c r="D383" s="1308"/>
      <c r="E383" s="1558">
        <f>LETable!AJ62</f>
        <v>0</v>
      </c>
      <c r="F383" s="1558"/>
      <c r="G383" s="1308"/>
      <c r="H383" s="1308"/>
      <c r="I383" s="1308"/>
      <c r="J383" s="1538">
        <f>IF(C383="",0,IF(OR(C383&lt;=0,G383&lt;=0),E383,IF(G383&lt;C383,0,LETable!AO62)))</f>
        <v>0</v>
      </c>
      <c r="K383" s="1538"/>
      <c r="L383" s="1829" t="str">
        <f t="shared" si="58"/>
        <v/>
      </c>
      <c r="M383" s="1829"/>
      <c r="N383" s="1829"/>
      <c r="O383" s="1829"/>
      <c r="P383" s="1911"/>
      <c r="Q383" s="35"/>
      <c r="R383" s="18"/>
      <c r="S383" s="864">
        <v>30</v>
      </c>
      <c r="T383" s="864" t="str">
        <f t="shared" si="59"/>
        <v/>
      </c>
      <c r="U383" s="864" t="str">
        <f t="shared" si="60"/>
        <v/>
      </c>
      <c r="V383" s="696" t="str">
        <f t="shared" si="61"/>
        <v/>
      </c>
      <c r="W383" s="866"/>
      <c r="X383" s="866"/>
      <c r="Y383" s="697" t="str">
        <f t="shared" si="62"/>
        <v/>
      </c>
      <c r="Z383" s="18"/>
      <c r="AA383" s="18"/>
      <c r="AB383" s="18"/>
      <c r="AC383" s="18"/>
      <c r="AD383" s="18"/>
      <c r="AE383" s="18"/>
      <c r="AF383" s="18"/>
      <c r="AG383" s="18"/>
      <c r="AH383" s="18"/>
      <c r="AI383" s="111"/>
      <c r="AJ383" s="18"/>
      <c r="AK383" s="18"/>
      <c r="AL383" s="18"/>
      <c r="AM383" s="18"/>
      <c r="AN383" s="18"/>
      <c r="AO383" s="18"/>
      <c r="AP383" s="18"/>
      <c r="AQ383" s="18"/>
      <c r="AR383" s="18"/>
      <c r="AS383" s="18"/>
      <c r="AT383" s="18"/>
      <c r="AU383" s="18"/>
      <c r="AV383" s="18"/>
      <c r="AW383" s="18"/>
      <c r="AX383" s="18"/>
      <c r="AY383" s="18"/>
      <c r="AZ383" s="18"/>
      <c r="BA383" s="14"/>
      <c r="BB383" s="14"/>
      <c r="BC383" s="14"/>
      <c r="BD383" s="14"/>
      <c r="BE383" s="14"/>
      <c r="BF383" s="14"/>
      <c r="BG383" s="14"/>
      <c r="BH383" s="14"/>
      <c r="BI383" s="14"/>
      <c r="BJ383" s="14"/>
      <c r="BK383" s="14"/>
      <c r="BL383" s="14"/>
      <c r="BM383" s="14"/>
      <c r="BN383" s="14"/>
      <c r="BO383" s="14"/>
      <c r="BP383" s="14"/>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4"/>
      <c r="CQ383" s="14"/>
      <c r="CR383" s="14"/>
      <c r="CS383" s="14"/>
      <c r="CT383" s="14"/>
      <c r="CU383" s="14"/>
      <c r="CV383" s="14"/>
      <c r="CW383" s="14"/>
      <c r="CX383" s="14"/>
      <c r="CY383" s="14"/>
      <c r="CZ383" s="14"/>
      <c r="DA383" s="14"/>
      <c r="DB383" s="14"/>
      <c r="DC383" s="14"/>
      <c r="DD383" s="14"/>
      <c r="DE383" s="14"/>
      <c r="DF383" s="14"/>
      <c r="DG383" s="14"/>
      <c r="DH383" s="14"/>
      <c r="DI383" s="14"/>
      <c r="DJ383" s="14"/>
      <c r="DK383" s="14"/>
      <c r="DL383" s="14"/>
      <c r="DM383" s="14"/>
      <c r="DN383" s="14"/>
      <c r="DO383" s="14"/>
      <c r="DP383" s="14"/>
      <c r="DQ383" s="14"/>
      <c r="DR383" s="14"/>
      <c r="DS383" s="14"/>
      <c r="DT383" s="14"/>
      <c r="DU383" s="14"/>
      <c r="DV383" s="14"/>
      <c r="DW383" s="14"/>
      <c r="DX383" s="14"/>
      <c r="DY383" s="14"/>
      <c r="DZ383" s="14"/>
      <c r="EA383" s="14"/>
      <c r="EB383" s="14"/>
      <c r="EC383" s="14"/>
      <c r="ED383" s="14"/>
      <c r="EE383" s="14"/>
      <c r="EF383" s="14"/>
      <c r="EG383" s="14"/>
      <c r="EH383" s="14"/>
      <c r="EI383" s="14"/>
      <c r="EJ383" s="14"/>
      <c r="EK383" s="14"/>
      <c r="EL383" s="14"/>
    </row>
    <row r="384" spans="1:142" s="63" customFormat="1" ht="15" customHeight="1" x14ac:dyDescent="0.2">
      <c r="A384" s="35"/>
      <c r="B384" s="186" t="s">
        <v>1021</v>
      </c>
      <c r="C384" s="1308"/>
      <c r="D384" s="1308"/>
      <c r="E384" s="1558">
        <f>LETable!AJ63</f>
        <v>0</v>
      </c>
      <c r="F384" s="1558"/>
      <c r="G384" s="1308"/>
      <c r="H384" s="1308"/>
      <c r="I384" s="1308"/>
      <c r="J384" s="1538">
        <f>IF(C384="",0,IF(OR(C384&lt;=0,G384&lt;=0),E384,IF(G384&lt;C384,0,LETable!AO63)))</f>
        <v>0</v>
      </c>
      <c r="K384" s="1538"/>
      <c r="L384" s="1829" t="str">
        <f t="shared" si="58"/>
        <v/>
      </c>
      <c r="M384" s="1829"/>
      <c r="N384" s="1829"/>
      <c r="O384" s="1829"/>
      <c r="P384" s="1911"/>
      <c r="Q384" s="35"/>
      <c r="R384" s="18"/>
      <c r="S384" s="864">
        <v>40</v>
      </c>
      <c r="T384" s="864" t="str">
        <f t="shared" si="59"/>
        <v/>
      </c>
      <c r="U384" s="864" t="str">
        <f t="shared" si="60"/>
        <v/>
      </c>
      <c r="V384" s="696" t="str">
        <f t="shared" si="61"/>
        <v/>
      </c>
      <c r="W384" s="866"/>
      <c r="X384" s="866"/>
      <c r="Y384" s="697" t="str">
        <f t="shared" si="62"/>
        <v/>
      </c>
      <c r="Z384" s="18"/>
      <c r="AA384" s="18"/>
      <c r="AB384" s="18"/>
      <c r="AC384" s="18"/>
      <c r="AD384" s="18"/>
      <c r="AE384" s="18"/>
      <c r="AF384" s="18"/>
      <c r="AG384" s="18"/>
      <c r="AH384" s="18"/>
      <c r="AI384" s="111"/>
      <c r="AJ384" s="18"/>
      <c r="AK384" s="18"/>
      <c r="AL384" s="18"/>
      <c r="AM384" s="18"/>
      <c r="AN384" s="18"/>
      <c r="AO384" s="18"/>
      <c r="AP384" s="18"/>
      <c r="AQ384" s="18"/>
      <c r="AR384" s="18"/>
      <c r="AS384" s="18"/>
      <c r="AT384" s="18"/>
      <c r="AU384" s="18"/>
      <c r="AV384" s="18"/>
      <c r="AW384" s="18"/>
      <c r="AX384" s="18"/>
      <c r="AY384" s="18"/>
      <c r="AZ384" s="18"/>
      <c r="BA384" s="14"/>
      <c r="BB384" s="14"/>
      <c r="BC384" s="14"/>
      <c r="BD384" s="14"/>
      <c r="BE384" s="14"/>
      <c r="BF384" s="14"/>
      <c r="BG384" s="14"/>
      <c r="BH384" s="14"/>
      <c r="BI384" s="14"/>
      <c r="BJ384" s="14"/>
      <c r="BK384" s="14"/>
      <c r="BL384" s="14"/>
      <c r="BM384" s="14"/>
      <c r="BN384" s="14"/>
      <c r="BO384" s="14"/>
      <c r="BP384" s="14"/>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row>
    <row r="385" spans="1:142" s="63" customFormat="1" ht="15" customHeight="1" x14ac:dyDescent="0.2">
      <c r="A385" s="35"/>
      <c r="B385" s="186" t="s">
        <v>1022</v>
      </c>
      <c r="C385" s="1308"/>
      <c r="D385" s="1308"/>
      <c r="E385" s="1558">
        <f>LETable!AJ64</f>
        <v>0</v>
      </c>
      <c r="F385" s="1558"/>
      <c r="G385" s="1308"/>
      <c r="H385" s="1308"/>
      <c r="I385" s="1308"/>
      <c r="J385" s="1538">
        <f>IF(C385="",0,IF(OR(C385&lt;=0,G385&lt;=0),E385,IF(G385&lt;C385,0,LETable!AO64)))</f>
        <v>0</v>
      </c>
      <c r="K385" s="1538"/>
      <c r="L385" s="1829" t="str">
        <f t="shared" si="58"/>
        <v/>
      </c>
      <c r="M385" s="1829"/>
      <c r="N385" s="1829"/>
      <c r="O385" s="1829"/>
      <c r="P385" s="1911"/>
      <c r="Q385" s="35"/>
      <c r="R385" s="18"/>
      <c r="S385" s="864">
        <v>20</v>
      </c>
      <c r="T385" s="864" t="str">
        <f t="shared" si="59"/>
        <v/>
      </c>
      <c r="U385" s="864" t="str">
        <f t="shared" si="60"/>
        <v/>
      </c>
      <c r="V385" s="696" t="str">
        <f t="shared" si="61"/>
        <v/>
      </c>
      <c r="W385" s="866"/>
      <c r="X385" s="866"/>
      <c r="Y385" s="697" t="str">
        <f t="shared" si="62"/>
        <v/>
      </c>
      <c r="Z385" s="18"/>
      <c r="AA385" s="18"/>
      <c r="AB385" s="18"/>
      <c r="AC385" s="18"/>
      <c r="AD385" s="18"/>
      <c r="AE385" s="18"/>
      <c r="AF385" s="18"/>
      <c r="AG385" s="18"/>
      <c r="AH385" s="18"/>
      <c r="AI385" s="111"/>
      <c r="AJ385" s="18"/>
      <c r="AK385" s="18"/>
      <c r="AL385" s="18"/>
      <c r="AM385" s="18"/>
      <c r="AN385" s="18"/>
      <c r="AO385" s="18"/>
      <c r="AP385" s="18"/>
      <c r="AQ385" s="18"/>
      <c r="AR385" s="18"/>
      <c r="AS385" s="18"/>
      <c r="AT385" s="18"/>
      <c r="AU385" s="18"/>
      <c r="AV385" s="18"/>
      <c r="AW385" s="18"/>
      <c r="AX385" s="18"/>
      <c r="AY385" s="18"/>
      <c r="AZ385" s="18"/>
      <c r="BA385" s="14"/>
      <c r="BB385" s="14"/>
      <c r="BC385" s="14"/>
      <c r="BD385" s="14"/>
      <c r="BE385" s="14"/>
      <c r="BF385" s="14"/>
      <c r="BG385" s="14"/>
      <c r="BH385" s="14"/>
      <c r="BI385" s="14"/>
      <c r="BJ385" s="14"/>
      <c r="BK385" s="14"/>
      <c r="BL385" s="14"/>
      <c r="BM385" s="14"/>
      <c r="BN385" s="14"/>
      <c r="BO385" s="14"/>
      <c r="BP385" s="14"/>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14"/>
      <c r="DT385" s="14"/>
      <c r="DU385" s="14"/>
      <c r="DV385" s="14"/>
      <c r="DW385" s="14"/>
      <c r="DX385" s="14"/>
      <c r="DY385" s="14"/>
      <c r="DZ385" s="14"/>
      <c r="EA385" s="14"/>
      <c r="EB385" s="14"/>
      <c r="EC385" s="14"/>
      <c r="ED385" s="14"/>
      <c r="EE385" s="14"/>
      <c r="EF385" s="14"/>
      <c r="EG385" s="14"/>
      <c r="EH385" s="14"/>
      <c r="EI385" s="14"/>
      <c r="EJ385" s="14"/>
      <c r="EK385" s="14"/>
      <c r="EL385" s="14"/>
    </row>
    <row r="386" spans="1:142" s="63" customFormat="1" ht="15" customHeight="1" x14ac:dyDescent="0.2">
      <c r="A386" s="35"/>
      <c r="B386" s="186" t="s">
        <v>629</v>
      </c>
      <c r="C386" s="1308"/>
      <c r="D386" s="1308"/>
      <c r="E386" s="1558">
        <f>LETable!AJ65</f>
        <v>0</v>
      </c>
      <c r="F386" s="1558"/>
      <c r="G386" s="1308"/>
      <c r="H386" s="1308"/>
      <c r="I386" s="1308"/>
      <c r="J386" s="1538">
        <f>IF(C386="",0,IF(OR(C386&lt;=0,G386&lt;=0),E386,IF(G386&lt;C386,0,LETable!AO65)))</f>
        <v>0</v>
      </c>
      <c r="K386" s="1538"/>
      <c r="L386" s="1829" t="str">
        <f t="shared" si="58"/>
        <v/>
      </c>
      <c r="M386" s="1829"/>
      <c r="N386" s="1829"/>
      <c r="O386" s="1829"/>
      <c r="P386" s="1911"/>
      <c r="Q386" s="35"/>
      <c r="R386" s="684">
        <f>SUM(J382:K387)</f>
        <v>0</v>
      </c>
      <c r="S386" s="864">
        <v>40</v>
      </c>
      <c r="T386" s="864" t="str">
        <f t="shared" si="59"/>
        <v/>
      </c>
      <c r="U386" s="864" t="str">
        <f t="shared" si="60"/>
        <v/>
      </c>
      <c r="V386" s="696" t="str">
        <f t="shared" si="61"/>
        <v/>
      </c>
      <c r="W386" s="866"/>
      <c r="X386" s="866"/>
      <c r="Y386" s="697" t="str">
        <f t="shared" si="62"/>
        <v/>
      </c>
      <c r="Z386" s="18"/>
      <c r="AA386" s="18"/>
      <c r="AB386" s="18"/>
      <c r="AC386" s="18"/>
      <c r="AD386" s="18"/>
      <c r="AE386" s="18"/>
      <c r="AF386" s="18"/>
      <c r="AG386" s="18"/>
      <c r="AH386" s="18"/>
      <c r="AI386" s="111"/>
      <c r="AJ386" s="18"/>
      <c r="AK386" s="18"/>
      <c r="AL386" s="18"/>
      <c r="AM386" s="18"/>
      <c r="AN386" s="18"/>
      <c r="AO386" s="18"/>
      <c r="AP386" s="18"/>
      <c r="AQ386" s="18"/>
      <c r="AR386" s="18"/>
      <c r="AS386" s="18"/>
      <c r="AT386" s="18"/>
      <c r="AU386" s="18"/>
      <c r="AV386" s="18"/>
      <c r="AW386" s="18"/>
      <c r="AX386" s="18"/>
      <c r="AY386" s="18"/>
      <c r="AZ386" s="18"/>
      <c r="BA386" s="14"/>
      <c r="BB386" s="14"/>
      <c r="BC386" s="14"/>
      <c r="BD386" s="14"/>
      <c r="BE386" s="14"/>
      <c r="BF386" s="14"/>
      <c r="BG386" s="14"/>
      <c r="BH386" s="14"/>
      <c r="BI386" s="14"/>
      <c r="BJ386" s="14"/>
      <c r="BK386" s="14"/>
      <c r="BL386" s="14"/>
      <c r="BM386" s="14"/>
      <c r="BN386" s="14"/>
      <c r="BO386" s="14"/>
      <c r="BP386" s="14"/>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4"/>
      <c r="CQ386" s="14"/>
      <c r="CR386" s="14"/>
      <c r="CS386" s="14"/>
      <c r="CT386" s="14"/>
      <c r="CU386" s="14"/>
      <c r="CV386" s="14"/>
      <c r="CW386" s="14"/>
      <c r="CX386" s="14"/>
      <c r="CY386" s="14"/>
      <c r="CZ386" s="14"/>
      <c r="DA386" s="14"/>
      <c r="DB386" s="14"/>
      <c r="DC386" s="14"/>
      <c r="DD386" s="14"/>
      <c r="DE386" s="14"/>
      <c r="DF386" s="14"/>
      <c r="DG386" s="14"/>
      <c r="DH386" s="14"/>
      <c r="DI386" s="14"/>
      <c r="DJ386" s="14"/>
      <c r="DK386" s="14"/>
      <c r="DL386" s="14"/>
      <c r="DM386" s="14"/>
      <c r="DN386" s="14"/>
      <c r="DO386" s="14"/>
      <c r="DP386" s="14"/>
      <c r="DQ386" s="14"/>
      <c r="DR386" s="14"/>
      <c r="DS386" s="14"/>
      <c r="DT386" s="14"/>
      <c r="DU386" s="14"/>
      <c r="DV386" s="14"/>
      <c r="DW386" s="14"/>
      <c r="DX386" s="14"/>
      <c r="DY386" s="14"/>
      <c r="DZ386" s="14"/>
      <c r="EA386" s="14"/>
      <c r="EB386" s="14"/>
      <c r="EC386" s="14"/>
      <c r="ED386" s="14"/>
      <c r="EE386" s="14"/>
      <c r="EF386" s="14"/>
      <c r="EG386" s="14"/>
      <c r="EH386" s="14"/>
      <c r="EI386" s="14"/>
      <c r="EJ386" s="14"/>
      <c r="EK386" s="14"/>
      <c r="EL386" s="14"/>
    </row>
    <row r="387" spans="1:142" s="63" customFormat="1" ht="15" customHeight="1" x14ac:dyDescent="0.2">
      <c r="A387" s="35"/>
      <c r="B387" s="186" t="s">
        <v>630</v>
      </c>
      <c r="C387" s="1308"/>
      <c r="D387" s="1308"/>
      <c r="E387" s="1558">
        <f>LETable!AJ66</f>
        <v>0</v>
      </c>
      <c r="F387" s="1558"/>
      <c r="G387" s="1308"/>
      <c r="H387" s="1308"/>
      <c r="I387" s="1308"/>
      <c r="J387" s="1538">
        <f>IF(C387="",0,IF(OR(C387&lt;=0,G387&lt;=0),E387,IF(G387&lt;C387,0,LETable!AO66)))</f>
        <v>0</v>
      </c>
      <c r="K387" s="1538"/>
      <c r="L387" s="1829" t="str">
        <f t="shared" si="58"/>
        <v/>
      </c>
      <c r="M387" s="1829"/>
      <c r="N387" s="1829"/>
      <c r="O387" s="1829"/>
      <c r="P387" s="1911"/>
      <c r="Q387" s="35"/>
      <c r="R387" s="749">
        <f>IF(AND(R386&gt;0,R386&lt;0.01),0.01,ROUND(R386,2))</f>
        <v>0</v>
      </c>
      <c r="S387" s="864">
        <v>50</v>
      </c>
      <c r="T387" s="864" t="str">
        <f t="shared" si="59"/>
        <v/>
      </c>
      <c r="U387" s="864" t="str">
        <f t="shared" si="60"/>
        <v/>
      </c>
      <c r="V387" s="696" t="str">
        <f t="shared" si="61"/>
        <v/>
      </c>
      <c r="W387" s="868"/>
      <c r="X387" s="868"/>
      <c r="Y387" s="697" t="str">
        <f t="shared" si="62"/>
        <v/>
      </c>
      <c r="Z387" s="18"/>
      <c r="AA387" s="18"/>
      <c r="AB387" s="18"/>
      <c r="AC387" s="18"/>
      <c r="AD387" s="18"/>
      <c r="AE387" s="18"/>
      <c r="AF387" s="18"/>
      <c r="AG387" s="18"/>
      <c r="AH387" s="18"/>
      <c r="AI387" s="111"/>
      <c r="AJ387" s="18"/>
      <c r="AK387" s="18"/>
      <c r="AL387" s="18"/>
      <c r="AM387" s="18"/>
      <c r="AN387" s="18"/>
      <c r="AO387" s="18"/>
      <c r="AP387" s="18"/>
      <c r="AQ387" s="18"/>
      <c r="AR387" s="18"/>
      <c r="AS387" s="18"/>
      <c r="AT387" s="18"/>
      <c r="AU387" s="18"/>
      <c r="AV387" s="18"/>
      <c r="AW387" s="18"/>
      <c r="AX387" s="18"/>
      <c r="AY387" s="18"/>
      <c r="AZ387" s="18"/>
      <c r="BA387" s="14"/>
      <c r="BB387" s="14"/>
      <c r="BC387" s="14"/>
      <c r="BD387" s="14"/>
      <c r="BE387" s="14"/>
      <c r="BF387" s="14"/>
      <c r="BG387" s="14"/>
      <c r="BH387" s="14"/>
      <c r="BI387" s="14"/>
      <c r="BJ387" s="14"/>
      <c r="BK387" s="14"/>
      <c r="BL387" s="14"/>
      <c r="BM387" s="14"/>
      <c r="BN387" s="14"/>
      <c r="BO387" s="14"/>
      <c r="BP387" s="14"/>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14"/>
      <c r="CS387" s="14"/>
      <c r="CT387" s="14"/>
      <c r="CU387" s="14"/>
      <c r="CV387" s="14"/>
      <c r="CW387" s="14"/>
      <c r="CX387" s="14"/>
      <c r="CY387" s="14"/>
      <c r="CZ387" s="14"/>
      <c r="DA387" s="14"/>
      <c r="DB387" s="14"/>
      <c r="DC387" s="14"/>
      <c r="DD387" s="14"/>
      <c r="DE387" s="14"/>
      <c r="DF387" s="14"/>
      <c r="DG387" s="14"/>
      <c r="DH387" s="14"/>
      <c r="DI387" s="14"/>
      <c r="DJ387" s="14"/>
      <c r="DK387" s="14"/>
      <c r="DL387" s="14"/>
      <c r="DM387" s="14"/>
      <c r="DN387" s="14"/>
      <c r="DO387" s="14"/>
      <c r="DP387" s="14"/>
      <c r="DQ387" s="14"/>
      <c r="DR387" s="14"/>
      <c r="DS387" s="14"/>
      <c r="DT387" s="14"/>
      <c r="DU387" s="14"/>
      <c r="DV387" s="14"/>
      <c r="DW387" s="14"/>
      <c r="DX387" s="14"/>
      <c r="DY387" s="14"/>
      <c r="DZ387" s="14"/>
      <c r="EA387" s="14"/>
      <c r="EB387" s="14"/>
      <c r="EC387" s="14"/>
      <c r="ED387" s="14"/>
      <c r="EE387" s="14"/>
      <c r="EF387" s="14"/>
      <c r="EG387" s="14"/>
      <c r="EH387" s="14"/>
      <c r="EI387" s="14"/>
      <c r="EJ387" s="14"/>
      <c r="EK387" s="14"/>
      <c r="EL387" s="14"/>
    </row>
    <row r="388" spans="1:142" s="63" customFormat="1" ht="15" customHeight="1" x14ac:dyDescent="0.2">
      <c r="A388" s="35"/>
      <c r="B388" s="1740" t="s">
        <v>1735</v>
      </c>
      <c r="C388" s="1741"/>
      <c r="D388" s="1741"/>
      <c r="E388" s="1741"/>
      <c r="F388" s="1741"/>
      <c r="G388" s="1741"/>
      <c r="H388" s="1741"/>
      <c r="I388" s="1741"/>
      <c r="J388" s="1741"/>
      <c r="K388" s="1741"/>
      <c r="L388" s="1741"/>
      <c r="M388" s="1741"/>
      <c r="N388" s="1741"/>
      <c r="O388" s="1742"/>
      <c r="P388" s="303">
        <f>IF(R387&gt;1,1,R387)</f>
        <v>0</v>
      </c>
      <c r="Q388" s="35"/>
      <c r="R388" s="60"/>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4"/>
      <c r="BB388" s="14"/>
      <c r="BC388" s="14"/>
      <c r="BD388" s="14"/>
      <c r="BE388" s="14"/>
      <c r="BF388" s="14"/>
      <c r="BG388" s="14"/>
      <c r="BH388" s="14"/>
      <c r="BI388" s="14"/>
      <c r="BJ388" s="14"/>
      <c r="BK388" s="14"/>
      <c r="BL388" s="14"/>
      <c r="BM388" s="14"/>
      <c r="BN388" s="14"/>
      <c r="BO388" s="14"/>
      <c r="BP388" s="14"/>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14"/>
      <c r="CS388" s="14"/>
      <c r="CT388" s="14"/>
      <c r="CU388" s="14"/>
      <c r="CV388" s="14"/>
      <c r="CW388" s="14"/>
      <c r="CX388" s="14"/>
      <c r="CY388" s="14"/>
      <c r="CZ388" s="14"/>
      <c r="DA388" s="14"/>
      <c r="DB388" s="14"/>
      <c r="DC388" s="14"/>
      <c r="DD388" s="14"/>
      <c r="DE388" s="14"/>
      <c r="DF388" s="14"/>
      <c r="DG388" s="14"/>
      <c r="DH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row>
    <row r="389" spans="1:142" s="63" customFormat="1" ht="12" customHeight="1" x14ac:dyDescent="0.25">
      <c r="A389" s="8"/>
      <c r="B389" s="1825"/>
      <c r="C389" s="1825"/>
      <c r="D389" s="1825"/>
      <c r="E389" s="1825"/>
      <c r="F389" s="1825"/>
      <c r="G389" s="1825"/>
      <c r="H389" s="1825"/>
      <c r="I389" s="1825"/>
      <c r="J389" s="1825"/>
      <c r="K389" s="1825"/>
      <c r="L389" s="1825"/>
      <c r="M389" s="1825"/>
      <c r="N389" s="1825"/>
      <c r="O389" s="1825"/>
      <c r="P389" s="75"/>
      <c r="Q389" s="8"/>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14"/>
      <c r="BG389" s="14"/>
      <c r="BH389" s="14"/>
      <c r="BI389" s="14"/>
      <c r="BJ389" s="14"/>
      <c r="BK389" s="14"/>
      <c r="BL389" s="14"/>
      <c r="BM389" s="14"/>
      <c r="BN389" s="14"/>
      <c r="BO389" s="14"/>
      <c r="BP389" s="14"/>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4"/>
      <c r="CQ389" s="14"/>
      <c r="CR389" s="14"/>
      <c r="CS389" s="14"/>
      <c r="CT389" s="14"/>
      <c r="CU389" s="14"/>
      <c r="CV389" s="14"/>
      <c r="CW389" s="14"/>
      <c r="CX389" s="14"/>
      <c r="CY389" s="14"/>
      <c r="CZ389" s="14"/>
      <c r="DA389" s="14"/>
      <c r="DB389" s="14"/>
      <c r="DC389" s="14"/>
      <c r="DD389" s="14"/>
      <c r="DE389" s="14"/>
      <c r="DF389" s="14"/>
      <c r="DG389" s="14"/>
      <c r="DH389" s="14"/>
      <c r="DI389" s="14"/>
      <c r="DJ389" s="14"/>
      <c r="DK389" s="14"/>
      <c r="DL389" s="14"/>
      <c r="DM389" s="14"/>
      <c r="DN389" s="14"/>
      <c r="DO389" s="14"/>
      <c r="DP389" s="14"/>
      <c r="DQ389" s="14"/>
      <c r="DR389" s="14"/>
      <c r="DS389" s="14"/>
      <c r="DT389" s="14"/>
      <c r="DU389" s="14"/>
      <c r="DV389" s="14"/>
      <c r="DW389" s="14"/>
      <c r="DX389" s="14"/>
      <c r="DY389" s="14"/>
      <c r="DZ389" s="14"/>
      <c r="EA389" s="14"/>
      <c r="EB389" s="14"/>
      <c r="EC389" s="14"/>
      <c r="ED389" s="14"/>
      <c r="EE389" s="14"/>
      <c r="EF389" s="14"/>
      <c r="EG389" s="14"/>
      <c r="EH389" s="14"/>
      <c r="EI389" s="14"/>
      <c r="EJ389" s="14"/>
      <c r="EK389" s="14"/>
      <c r="EL389" s="14"/>
    </row>
    <row r="390" spans="1:142" s="63" customFormat="1" ht="18" customHeight="1" x14ac:dyDescent="0.2">
      <c r="A390" s="8"/>
      <c r="B390" s="1848" t="s">
        <v>1461</v>
      </c>
      <c r="C390" s="1848"/>
      <c r="D390" s="1848"/>
      <c r="E390" s="1848"/>
      <c r="F390" s="1848"/>
      <c r="G390" s="1848"/>
      <c r="H390" s="1848"/>
      <c r="I390" s="1848"/>
      <c r="J390" s="1848"/>
      <c r="K390" s="1848"/>
      <c r="L390" s="1848"/>
      <c r="M390" s="1848"/>
      <c r="N390" s="1848"/>
      <c r="O390" s="1848"/>
      <c r="P390" s="1905"/>
      <c r="Q390" s="8"/>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14"/>
      <c r="BG390" s="14"/>
      <c r="BH390" s="14"/>
      <c r="BI390" s="14"/>
      <c r="BJ390" s="14"/>
      <c r="BK390" s="14"/>
      <c r="BL390" s="14"/>
      <c r="BM390" s="14"/>
      <c r="BN390" s="14"/>
      <c r="BO390" s="14"/>
      <c r="BP390" s="14"/>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row>
    <row r="391" spans="1:142" s="63" customFormat="1" ht="27" customHeight="1" x14ac:dyDescent="0.2">
      <c r="A391" s="8"/>
      <c r="B391" s="1379" t="s">
        <v>608</v>
      </c>
      <c r="C391" s="1379"/>
      <c r="D391" s="1379"/>
      <c r="E391" s="1379"/>
      <c r="F391" s="1379"/>
      <c r="G391" s="1379"/>
      <c r="H391" s="1379"/>
      <c r="I391" s="1379"/>
      <c r="J391" s="1379"/>
      <c r="K391" s="1379"/>
      <c r="L391" s="1379"/>
      <c r="M391" s="1379"/>
      <c r="N391" s="1379"/>
      <c r="O391" s="1379"/>
      <c r="P391" s="1905"/>
      <c r="Q391" s="8"/>
      <c r="R391" s="60"/>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14"/>
      <c r="BG391" s="14"/>
      <c r="BH391" s="14"/>
      <c r="BI391" s="14"/>
      <c r="BJ391" s="14"/>
      <c r="BK391" s="14"/>
      <c r="BL391" s="14"/>
      <c r="BM391" s="14"/>
      <c r="BN391" s="14"/>
      <c r="BO391" s="14"/>
      <c r="BP391" s="14"/>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DG391" s="14"/>
      <c r="DH391" s="14"/>
      <c r="DI391" s="14"/>
      <c r="DJ391" s="14"/>
      <c r="DK391" s="14"/>
      <c r="DL391" s="14"/>
      <c r="DM391" s="14"/>
      <c r="DN391" s="14"/>
      <c r="DO391" s="14"/>
      <c r="DP391" s="14"/>
      <c r="DQ391" s="14"/>
      <c r="DR391" s="14"/>
      <c r="DS391" s="14"/>
      <c r="DT391" s="14"/>
      <c r="DU391" s="14"/>
      <c r="DV391" s="14"/>
      <c r="DW391" s="14"/>
      <c r="DX391" s="14"/>
      <c r="DY391" s="14"/>
      <c r="DZ391" s="14"/>
      <c r="EA391" s="14"/>
      <c r="EB391" s="14"/>
      <c r="EC391" s="14"/>
      <c r="ED391" s="14"/>
      <c r="EE391" s="14"/>
      <c r="EF391" s="14"/>
      <c r="EG391" s="14"/>
      <c r="EH391" s="14"/>
      <c r="EI391" s="14"/>
      <c r="EJ391" s="14"/>
      <c r="EK391" s="14"/>
      <c r="EL391" s="14"/>
    </row>
    <row r="392" spans="1:142" s="63" customFormat="1" ht="18" customHeight="1" x14ac:dyDescent="0.2">
      <c r="A392" s="8"/>
      <c r="B392" s="353" t="s">
        <v>154</v>
      </c>
      <c r="C392" s="1652"/>
      <c r="D392" s="1904"/>
      <c r="E392" s="1904"/>
      <c r="F392" s="1904"/>
      <c r="G392" s="1904"/>
      <c r="H392" s="1904"/>
      <c r="I392" s="1904"/>
      <c r="J392" s="1904"/>
      <c r="K392" s="1904"/>
      <c r="L392" s="1904"/>
      <c r="M392" s="1904"/>
      <c r="N392" s="1904"/>
      <c r="O392" s="1904"/>
      <c r="P392" s="95">
        <f>IF(C392=S392,0,IF(C392=T392,0.05,IF(C392=U392,0.1,IF(C392=V392,0.15,IF(C392=W392,0.2,0)))))</f>
        <v>0</v>
      </c>
      <c r="Q392" s="8"/>
      <c r="R392" s="416" t="s">
        <v>2197</v>
      </c>
      <c r="S392" s="885" t="s">
        <v>1942</v>
      </c>
      <c r="T392" s="885" t="s">
        <v>609</v>
      </c>
      <c r="U392" s="885" t="s">
        <v>610</v>
      </c>
      <c r="V392" s="885" t="s">
        <v>152</v>
      </c>
      <c r="W392" s="885" t="s">
        <v>153</v>
      </c>
      <c r="X392" s="885"/>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14"/>
      <c r="BG392" s="14"/>
      <c r="BH392" s="14"/>
      <c r="BI392" s="14"/>
      <c r="BJ392" s="14"/>
      <c r="BK392" s="14"/>
      <c r="BL392" s="14"/>
      <c r="BM392" s="14"/>
      <c r="BN392" s="14"/>
      <c r="BO392" s="14"/>
      <c r="BP392" s="14"/>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DG392" s="14"/>
      <c r="DH392" s="14"/>
      <c r="DI392" s="14"/>
      <c r="DJ392" s="14"/>
      <c r="DK392" s="14"/>
      <c r="DL392" s="14"/>
      <c r="DM392" s="14"/>
      <c r="DN392" s="14"/>
      <c r="DO392" s="14"/>
      <c r="DP392" s="14"/>
      <c r="DQ392" s="14"/>
      <c r="DR392" s="14"/>
      <c r="DS392" s="14"/>
      <c r="DT392" s="14"/>
      <c r="DU392" s="14"/>
      <c r="DV392" s="14"/>
      <c r="DW392" s="14"/>
      <c r="DX392" s="14"/>
      <c r="DY392" s="14"/>
      <c r="DZ392" s="14"/>
      <c r="EA392" s="14"/>
      <c r="EB392" s="14"/>
      <c r="EC392" s="14"/>
      <c r="ED392" s="14"/>
      <c r="EE392" s="14"/>
      <c r="EF392" s="14"/>
      <c r="EG392" s="14"/>
      <c r="EH392" s="14"/>
      <c r="EI392" s="14"/>
      <c r="EJ392" s="14"/>
      <c r="EK392" s="14"/>
      <c r="EL392" s="14"/>
    </row>
    <row r="393" spans="1:142" s="63" customFormat="1" ht="12" customHeight="1" x14ac:dyDescent="0.25">
      <c r="A393" s="8"/>
      <c r="B393" s="1825"/>
      <c r="C393" s="1825"/>
      <c r="D393" s="1825"/>
      <c r="E393" s="1825"/>
      <c r="F393" s="1825"/>
      <c r="G393" s="1825"/>
      <c r="H393" s="1825"/>
      <c r="I393" s="1825"/>
      <c r="J393" s="1825"/>
      <c r="K393" s="1825"/>
      <c r="L393" s="1825"/>
      <c r="M393" s="1825"/>
      <c r="N393" s="1825"/>
      <c r="O393" s="1825"/>
      <c r="P393" s="75"/>
      <c r="Q393" s="8"/>
      <c r="R393" s="60"/>
      <c r="S393" s="60"/>
      <c r="T393" s="60"/>
      <c r="U393" s="60"/>
      <c r="V393" s="60"/>
      <c r="W393" s="60"/>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14"/>
      <c r="BG393" s="14"/>
      <c r="BH393" s="14"/>
      <c r="BI393" s="14"/>
      <c r="BJ393" s="14"/>
      <c r="BK393" s="14"/>
      <c r="BL393" s="14"/>
      <c r="BM393" s="14"/>
      <c r="BN393" s="14"/>
      <c r="BO393" s="14"/>
      <c r="BP393" s="14"/>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DG393" s="14"/>
      <c r="DH393" s="14"/>
      <c r="DI393" s="14"/>
      <c r="DJ393" s="14"/>
      <c r="DK393" s="14"/>
      <c r="DL393" s="14"/>
      <c r="DM393" s="14"/>
      <c r="DN393" s="14"/>
      <c r="DO393" s="14"/>
      <c r="DP393" s="14"/>
      <c r="DQ393" s="14"/>
      <c r="DR393" s="14"/>
      <c r="DS393" s="14"/>
      <c r="DT393" s="14"/>
      <c r="DU393" s="14"/>
      <c r="DV393" s="14"/>
      <c r="DW393" s="14"/>
      <c r="DX393" s="14"/>
      <c r="DY393" s="14"/>
      <c r="DZ393" s="14"/>
      <c r="EA393" s="14"/>
      <c r="EB393" s="14"/>
      <c r="EC393" s="14"/>
      <c r="ED393" s="14"/>
      <c r="EE393" s="14"/>
      <c r="EF393" s="14"/>
      <c r="EG393" s="14"/>
      <c r="EH393" s="14"/>
      <c r="EI393" s="14"/>
      <c r="EJ393" s="14"/>
      <c r="EK393" s="14"/>
      <c r="EL393" s="14"/>
    </row>
    <row r="394" spans="1:142" s="63" customFormat="1" ht="18" customHeight="1" x14ac:dyDescent="0.2">
      <c r="A394" s="8"/>
      <c r="B394" s="1848" t="s">
        <v>1462</v>
      </c>
      <c r="C394" s="1848"/>
      <c r="D394" s="1848"/>
      <c r="E394" s="1848"/>
      <c r="F394" s="1848"/>
      <c r="G394" s="1848"/>
      <c r="H394" s="1848"/>
      <c r="I394" s="1848"/>
      <c r="J394" s="1848"/>
      <c r="K394" s="1848"/>
      <c r="L394" s="1848"/>
      <c r="M394" s="1848"/>
      <c r="N394" s="1848"/>
      <c r="O394" s="1848"/>
      <c r="P394" s="1905"/>
      <c r="Q394" s="8"/>
      <c r="R394" s="60"/>
      <c r="S394" s="60"/>
      <c r="T394" s="60"/>
      <c r="U394" s="60"/>
      <c r="V394" s="60"/>
      <c r="W394" s="60"/>
      <c r="X394" s="60"/>
      <c r="Y394" s="60"/>
      <c r="Z394" s="60"/>
      <c r="AA394" s="60"/>
      <c r="AB394" s="60"/>
      <c r="AC394" s="60"/>
      <c r="AD394" s="60"/>
      <c r="AE394" s="60"/>
      <c r="AF394" s="60"/>
      <c r="AG394" s="60"/>
      <c r="AH394" s="60"/>
      <c r="AI394" s="60"/>
      <c r="AJ394" s="60"/>
      <c r="AK394" s="60"/>
      <c r="AL394" s="60"/>
      <c r="AM394" s="60"/>
      <c r="AN394" s="60"/>
      <c r="AO394" s="60"/>
      <c r="AP394" s="60"/>
      <c r="AQ394" s="60"/>
      <c r="AR394" s="60"/>
      <c r="AS394" s="60"/>
      <c r="AT394" s="60"/>
      <c r="AU394" s="60"/>
      <c r="AV394" s="60"/>
      <c r="AW394" s="60"/>
      <c r="AX394" s="60"/>
      <c r="AY394" s="60"/>
      <c r="AZ394" s="60"/>
      <c r="BA394" s="60"/>
      <c r="BB394" s="60"/>
      <c r="BC394" s="60"/>
      <c r="BD394" s="60"/>
      <c r="BE394" s="60"/>
      <c r="BF394" s="14"/>
      <c r="BG394" s="14"/>
      <c r="BH394" s="14"/>
      <c r="BI394" s="14"/>
      <c r="BJ394" s="14"/>
      <c r="BK394" s="14"/>
      <c r="BL394" s="14"/>
      <c r="BM394" s="14"/>
      <c r="BN394" s="14"/>
      <c r="BO394" s="14"/>
      <c r="BP394" s="14"/>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DG394" s="14"/>
      <c r="DH394" s="14"/>
      <c r="DI394" s="14"/>
      <c r="DJ394" s="14"/>
      <c r="DK394" s="14"/>
      <c r="DL394" s="14"/>
      <c r="DM394" s="14"/>
      <c r="DN394" s="14"/>
      <c r="DO394" s="14"/>
      <c r="DP394" s="14"/>
      <c r="DQ394" s="14"/>
      <c r="DR394" s="14"/>
      <c r="DS394" s="14"/>
      <c r="DT394" s="14"/>
      <c r="DU394" s="14"/>
      <c r="DV394" s="14"/>
      <c r="DW394" s="14"/>
      <c r="DX394" s="14"/>
      <c r="DY394" s="14"/>
      <c r="DZ394" s="14"/>
      <c r="EA394" s="14"/>
      <c r="EB394" s="14"/>
      <c r="EC394" s="14"/>
      <c r="ED394" s="14"/>
      <c r="EE394" s="14"/>
      <c r="EF394" s="14"/>
      <c r="EG394" s="14"/>
      <c r="EH394" s="14"/>
      <c r="EI394" s="14"/>
      <c r="EJ394" s="14"/>
      <c r="EK394" s="14"/>
      <c r="EL394" s="14"/>
    </row>
    <row r="395" spans="1:142" s="63" customFormat="1" ht="40.5" customHeight="1" x14ac:dyDescent="0.2">
      <c r="A395" s="8"/>
      <c r="B395" s="1379" t="s">
        <v>343</v>
      </c>
      <c r="C395" s="1379"/>
      <c r="D395" s="1379"/>
      <c r="E395" s="1379"/>
      <c r="F395" s="1379"/>
      <c r="G395" s="1379"/>
      <c r="H395" s="1379"/>
      <c r="I395" s="1379"/>
      <c r="J395" s="1379"/>
      <c r="K395" s="1379"/>
      <c r="L395" s="1379"/>
      <c r="M395" s="1379"/>
      <c r="N395" s="1379"/>
      <c r="O395" s="1379"/>
      <c r="P395" s="1905"/>
      <c r="Q395" s="8"/>
      <c r="R395" s="60"/>
      <c r="S395" s="885" t="s">
        <v>1942</v>
      </c>
      <c r="T395" s="957" t="s">
        <v>156</v>
      </c>
      <c r="U395" s="957" t="s">
        <v>157</v>
      </c>
      <c r="V395" s="884" t="s">
        <v>1308</v>
      </c>
      <c r="W395" s="60"/>
      <c r="X395" s="60"/>
      <c r="Y395" s="877" t="s">
        <v>1305</v>
      </c>
      <c r="Z395" s="877" t="s">
        <v>1306</v>
      </c>
      <c r="AA395" s="877" t="s">
        <v>1307</v>
      </c>
      <c r="AB395" s="60"/>
      <c r="AC395" s="60"/>
      <c r="AD395" s="60"/>
      <c r="AE395" s="60"/>
      <c r="AF395" s="60"/>
      <c r="AG395" s="60"/>
      <c r="AH395" s="60"/>
      <c r="AI395" s="60"/>
      <c r="AJ395" s="60"/>
      <c r="AK395" s="60"/>
      <c r="AL395" s="60"/>
      <c r="AM395" s="60"/>
      <c r="AN395" s="60"/>
      <c r="AO395" s="60"/>
      <c r="AP395" s="60"/>
      <c r="AQ395" s="60"/>
      <c r="AR395" s="60"/>
      <c r="AS395" s="60"/>
      <c r="AT395" s="60"/>
      <c r="AU395" s="60"/>
      <c r="AV395" s="60"/>
      <c r="AW395" s="60"/>
      <c r="AX395" s="60"/>
      <c r="AY395" s="60"/>
      <c r="AZ395" s="60"/>
      <c r="BA395" s="60"/>
      <c r="BB395" s="60"/>
      <c r="BC395" s="60"/>
      <c r="BD395" s="60"/>
      <c r="BE395" s="60"/>
      <c r="BF395" s="14"/>
      <c r="BG395" s="14"/>
      <c r="BH395" s="14"/>
      <c r="BI395" s="14"/>
      <c r="BJ395" s="14"/>
      <c r="BK395" s="14"/>
      <c r="BL395" s="14"/>
      <c r="BM395" s="14"/>
      <c r="BN395" s="14"/>
      <c r="BO395" s="14"/>
      <c r="BP395" s="14"/>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c r="CO395" s="14"/>
      <c r="CP395" s="14"/>
      <c r="CQ395" s="14"/>
      <c r="CR395" s="14"/>
      <c r="CS395" s="14"/>
      <c r="CT395" s="14"/>
      <c r="CU395" s="14"/>
      <c r="CV395" s="14"/>
      <c r="CW395" s="14"/>
      <c r="CX395" s="14"/>
      <c r="CY395" s="14"/>
      <c r="CZ395" s="14"/>
      <c r="DA395" s="14"/>
      <c r="DB395" s="14"/>
      <c r="DC395" s="14"/>
      <c r="DD395" s="14"/>
      <c r="DE395" s="14"/>
      <c r="DF395" s="14"/>
      <c r="DG395" s="14"/>
      <c r="DH395" s="14"/>
      <c r="DI395" s="14"/>
      <c r="DJ395" s="14"/>
      <c r="DK395" s="14"/>
      <c r="DL395" s="14"/>
      <c r="DM395" s="14"/>
      <c r="DN395" s="14"/>
      <c r="DO395" s="14"/>
      <c r="DP395" s="14"/>
      <c r="DQ395" s="14"/>
      <c r="DR395" s="14"/>
      <c r="DS395" s="14"/>
      <c r="DT395" s="14"/>
      <c r="DU395" s="14"/>
      <c r="DV395" s="14"/>
      <c r="DW395" s="14"/>
      <c r="DX395" s="14"/>
      <c r="DY395" s="14"/>
      <c r="DZ395" s="14"/>
      <c r="EA395" s="14"/>
      <c r="EB395" s="14"/>
      <c r="EC395" s="14"/>
      <c r="ED395" s="14"/>
      <c r="EE395" s="14"/>
      <c r="EF395" s="14"/>
      <c r="EG395" s="14"/>
      <c r="EH395" s="14"/>
      <c r="EI395" s="14"/>
      <c r="EJ395" s="14"/>
      <c r="EK395" s="14"/>
      <c r="EL395" s="14"/>
    </row>
    <row r="396" spans="1:142" s="63" customFormat="1" ht="18" customHeight="1" x14ac:dyDescent="0.25">
      <c r="A396" s="8"/>
      <c r="B396" s="24" t="s">
        <v>1309</v>
      </c>
      <c r="C396" s="1536" t="s">
        <v>1310</v>
      </c>
      <c r="D396" s="1536"/>
      <c r="E396" s="1536"/>
      <c r="F396" s="1536"/>
      <c r="G396" s="1536"/>
      <c r="H396" s="1536"/>
      <c r="I396" s="1536"/>
      <c r="J396" s="1536"/>
      <c r="K396" s="1536"/>
      <c r="L396" s="1536"/>
      <c r="M396" s="1536"/>
      <c r="N396" s="1536"/>
      <c r="O396" s="1536"/>
      <c r="P396" s="361"/>
      <c r="Q396" s="8"/>
      <c r="R396" s="60"/>
      <c r="S396" s="883">
        <v>0</v>
      </c>
      <c r="T396" s="883">
        <v>0.05</v>
      </c>
      <c r="U396" s="883">
        <v>0.1</v>
      </c>
      <c r="V396" s="883">
        <v>0.15</v>
      </c>
      <c r="W396" s="60"/>
      <c r="X396" s="60"/>
      <c r="Y396" s="646">
        <f>LARGE($O$397:$O$400,1)</f>
        <v>0</v>
      </c>
      <c r="Z396" s="684">
        <f>Y396+Y397*(1-Y396)</f>
        <v>0</v>
      </c>
      <c r="AA396" s="881">
        <f>ROUND(Z396,2)</f>
        <v>0</v>
      </c>
      <c r="AB396" s="60"/>
      <c r="AC396" s="60"/>
      <c r="AD396" s="60"/>
      <c r="AE396" s="60"/>
      <c r="AF396" s="60"/>
      <c r="AG396" s="60"/>
      <c r="AH396" s="60"/>
      <c r="AI396" s="60"/>
      <c r="AJ396" s="60"/>
      <c r="AK396" s="60"/>
      <c r="AL396" s="60"/>
      <c r="AM396" s="60"/>
      <c r="AN396" s="60"/>
      <c r="AO396" s="60"/>
      <c r="AP396" s="60"/>
      <c r="AQ396" s="60"/>
      <c r="AR396" s="60"/>
      <c r="AS396" s="60"/>
      <c r="AT396" s="60"/>
      <c r="AU396" s="60"/>
      <c r="AV396" s="60"/>
      <c r="AW396" s="60"/>
      <c r="AX396" s="60"/>
      <c r="AY396" s="60"/>
      <c r="AZ396" s="60"/>
      <c r="BA396" s="60"/>
      <c r="BB396" s="60"/>
      <c r="BC396" s="60"/>
      <c r="BD396" s="60"/>
      <c r="BE396" s="60"/>
      <c r="BF396" s="14"/>
      <c r="BG396" s="14"/>
      <c r="BH396" s="14"/>
      <c r="BI396" s="14"/>
      <c r="BJ396" s="14"/>
      <c r="BK396" s="14"/>
      <c r="BL396" s="14"/>
      <c r="BM396" s="14"/>
      <c r="BN396" s="14"/>
      <c r="BO396" s="14"/>
      <c r="BP396" s="14"/>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c r="DJ396" s="14"/>
      <c r="DK396" s="14"/>
      <c r="DL396" s="14"/>
      <c r="DM396" s="14"/>
      <c r="DN396" s="14"/>
      <c r="DO396" s="14"/>
      <c r="DP396" s="14"/>
      <c r="DQ396" s="14"/>
      <c r="DR396" s="14"/>
      <c r="DS396" s="14"/>
      <c r="DT396" s="14"/>
      <c r="DU396" s="14"/>
      <c r="DV396" s="14"/>
      <c r="DW396" s="14"/>
      <c r="DX396" s="14"/>
      <c r="DY396" s="14"/>
      <c r="DZ396" s="14"/>
      <c r="EA396" s="14"/>
      <c r="EB396" s="14"/>
      <c r="EC396" s="14"/>
      <c r="ED396" s="14"/>
      <c r="EE396" s="14"/>
      <c r="EF396" s="14"/>
      <c r="EG396" s="14"/>
      <c r="EH396" s="14"/>
      <c r="EI396" s="14"/>
      <c r="EJ396" s="14"/>
      <c r="EK396" s="14"/>
      <c r="EL396" s="14"/>
    </row>
    <row r="397" spans="1:142" s="63" customFormat="1" ht="15" customHeight="1" x14ac:dyDescent="0.2">
      <c r="A397" s="8"/>
      <c r="B397" s="353" t="s">
        <v>1311</v>
      </c>
      <c r="C397" s="1652"/>
      <c r="D397" s="1652"/>
      <c r="E397" s="1652"/>
      <c r="F397" s="1652"/>
      <c r="G397" s="1652"/>
      <c r="H397" s="1652"/>
      <c r="I397" s="1652"/>
      <c r="J397" s="1652"/>
      <c r="K397" s="1652"/>
      <c r="L397" s="1652"/>
      <c r="M397" s="1652"/>
      <c r="N397" s="1652"/>
      <c r="O397" s="95">
        <f>IF(AND(S417=1,R397=1),0,SUMIF(S395:V395,C397,S396:W396))</f>
        <v>0</v>
      </c>
      <c r="P397" s="1555"/>
      <c r="Q397" s="8"/>
      <c r="R397" s="880">
        <f>IF(C397=$T$395,1,0)</f>
        <v>0</v>
      </c>
      <c r="S397" s="883">
        <v>0</v>
      </c>
      <c r="T397" s="883">
        <v>0.1</v>
      </c>
      <c r="U397" s="883">
        <v>0.15</v>
      </c>
      <c r="V397" s="883">
        <v>0.2</v>
      </c>
      <c r="W397" s="729"/>
      <c r="X397" s="60"/>
      <c r="Y397" s="646">
        <f>LARGE($O$397:$O$400,2)</f>
        <v>0</v>
      </c>
      <c r="Z397" s="684">
        <f>AA396+Y398*(1-AA396)</f>
        <v>0</v>
      </c>
      <c r="AA397" s="881">
        <f>ROUND(Z397,2)</f>
        <v>0</v>
      </c>
      <c r="AB397" s="60"/>
      <c r="AC397" s="60"/>
      <c r="AD397" s="60"/>
      <c r="AE397" s="60"/>
      <c r="AF397" s="60"/>
      <c r="AG397" s="60"/>
      <c r="AH397" s="60"/>
      <c r="AI397" s="60"/>
      <c r="AJ397" s="60"/>
      <c r="AK397" s="60"/>
      <c r="AL397" s="60"/>
      <c r="AM397" s="60"/>
      <c r="AN397" s="60"/>
      <c r="AO397" s="60"/>
      <c r="AP397" s="60"/>
      <c r="AQ397" s="60"/>
      <c r="AR397" s="60"/>
      <c r="AS397" s="60"/>
      <c r="AT397" s="60"/>
      <c r="AU397" s="60"/>
      <c r="AV397" s="60"/>
      <c r="AW397" s="60"/>
      <c r="AX397" s="60"/>
      <c r="AY397" s="60"/>
      <c r="AZ397" s="60"/>
      <c r="BA397" s="60"/>
      <c r="BB397" s="60"/>
      <c r="BC397" s="60"/>
      <c r="BD397" s="60"/>
      <c r="BE397" s="60"/>
      <c r="BF397" s="14"/>
      <c r="BG397" s="14"/>
      <c r="BH397" s="14"/>
      <c r="BI397" s="14"/>
      <c r="BJ397" s="14"/>
      <c r="BK397" s="14"/>
      <c r="BL397" s="14"/>
      <c r="BM397" s="14"/>
      <c r="BN397" s="14"/>
      <c r="BO397" s="14"/>
      <c r="BP397" s="14"/>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DG397" s="14"/>
      <c r="DH397" s="14"/>
      <c r="DI397" s="14"/>
      <c r="DJ397" s="14"/>
      <c r="DK397" s="14"/>
      <c r="DL397" s="14"/>
      <c r="DM397" s="14"/>
      <c r="DN397" s="14"/>
      <c r="DO397" s="14"/>
      <c r="DP397" s="14"/>
      <c r="DQ397" s="14"/>
      <c r="DR397" s="14"/>
      <c r="DS397" s="14"/>
      <c r="DT397" s="14"/>
      <c r="DU397" s="14"/>
      <c r="DV397" s="14"/>
      <c r="DW397" s="14"/>
      <c r="DX397" s="14"/>
      <c r="DY397" s="14"/>
      <c r="DZ397" s="14"/>
      <c r="EA397" s="14"/>
      <c r="EB397" s="14"/>
      <c r="EC397" s="14"/>
      <c r="ED397" s="14"/>
      <c r="EE397" s="14"/>
      <c r="EF397" s="14"/>
      <c r="EG397" s="14"/>
      <c r="EH397" s="14"/>
      <c r="EI397" s="14"/>
      <c r="EJ397" s="14"/>
      <c r="EK397" s="14"/>
      <c r="EL397" s="14"/>
    </row>
    <row r="398" spans="1:142" s="63" customFormat="1" ht="15" customHeight="1" x14ac:dyDescent="0.2">
      <c r="A398" s="8"/>
      <c r="B398" s="353" t="s">
        <v>1312</v>
      </c>
      <c r="C398" s="1652"/>
      <c r="D398" s="1652"/>
      <c r="E398" s="1652"/>
      <c r="F398" s="1652"/>
      <c r="G398" s="1652"/>
      <c r="H398" s="1652"/>
      <c r="I398" s="1652"/>
      <c r="J398" s="1652"/>
      <c r="K398" s="1652"/>
      <c r="L398" s="1652"/>
      <c r="M398" s="1652"/>
      <c r="N398" s="1652"/>
      <c r="O398" s="95">
        <f>IF(AND(S417=1,R398=1),0,SUMIF(S395:V395,C398,S396:V396))</f>
        <v>0</v>
      </c>
      <c r="P398" s="1555"/>
      <c r="Q398" s="8"/>
      <c r="R398" s="885">
        <f>IF(C398=$T$395,1,0)</f>
        <v>0</v>
      </c>
      <c r="S398" s="60"/>
      <c r="T398" s="60"/>
      <c r="U398" s="60"/>
      <c r="V398" s="60"/>
      <c r="W398" s="60"/>
      <c r="X398" s="60"/>
      <c r="Y398" s="646">
        <f>LARGE($O$397:$O$400,3)</f>
        <v>0</v>
      </c>
      <c r="Z398" s="684">
        <f>AA397+Y399*(1-AA397)</f>
        <v>0</v>
      </c>
      <c r="AA398" s="881">
        <f>ROUND(Z398,2)</f>
        <v>0</v>
      </c>
      <c r="AB398" s="60"/>
      <c r="AC398" s="60"/>
      <c r="AD398" s="60"/>
      <c r="AE398" s="60"/>
      <c r="AF398" s="60"/>
      <c r="AG398" s="60"/>
      <c r="AH398" s="60"/>
      <c r="AI398" s="60"/>
      <c r="AJ398" s="60"/>
      <c r="AK398" s="60"/>
      <c r="AL398" s="60"/>
      <c r="AM398" s="60"/>
      <c r="AN398" s="60"/>
      <c r="AO398" s="60"/>
      <c r="AP398" s="60"/>
      <c r="AQ398" s="60"/>
      <c r="AR398" s="60"/>
      <c r="AS398" s="60"/>
      <c r="AT398" s="60"/>
      <c r="AU398" s="60"/>
      <c r="AV398" s="60"/>
      <c r="AW398" s="60"/>
      <c r="AX398" s="60"/>
      <c r="AY398" s="60"/>
      <c r="AZ398" s="60"/>
      <c r="BA398" s="60"/>
      <c r="BB398" s="60"/>
      <c r="BC398" s="60"/>
      <c r="BD398" s="60"/>
      <c r="BE398" s="60"/>
      <c r="BF398" s="14"/>
      <c r="BG398" s="14"/>
      <c r="BH398" s="14"/>
      <c r="BI398" s="14"/>
      <c r="BJ398" s="14"/>
      <c r="BK398" s="14"/>
      <c r="BL398" s="14"/>
      <c r="BM398" s="14"/>
      <c r="BN398" s="14"/>
      <c r="BO398" s="14"/>
      <c r="BP398" s="14"/>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row>
    <row r="399" spans="1:142" s="63" customFormat="1" ht="15" customHeight="1" x14ac:dyDescent="0.2">
      <c r="A399" s="8"/>
      <c r="B399" s="353" t="s">
        <v>1313</v>
      </c>
      <c r="C399" s="1652"/>
      <c r="D399" s="1652"/>
      <c r="E399" s="1652"/>
      <c r="F399" s="1652"/>
      <c r="G399" s="1652"/>
      <c r="H399" s="1652"/>
      <c r="I399" s="1652"/>
      <c r="J399" s="1652"/>
      <c r="K399" s="1652"/>
      <c r="L399" s="1652"/>
      <c r="M399" s="1652"/>
      <c r="N399" s="1652"/>
      <c r="O399" s="95">
        <f>IF(AND(S417=1,R399=1),0,SUMIF(S395:V395,C399,S397:V397))</f>
        <v>0</v>
      </c>
      <c r="P399" s="1555"/>
      <c r="Q399" s="8"/>
      <c r="R399" s="885">
        <f>IF(C399=$T$395,1,0)</f>
        <v>0</v>
      </c>
      <c r="S399" s="60"/>
      <c r="T399" s="60"/>
      <c r="U399" s="60"/>
      <c r="V399" s="60"/>
      <c r="W399" s="60"/>
      <c r="X399" s="60"/>
      <c r="Y399" s="646">
        <f>LARGE($O$397:$O$400,4)</f>
        <v>0</v>
      </c>
      <c r="Z399" s="60"/>
      <c r="AA399" s="60"/>
      <c r="AB399" s="60"/>
      <c r="AC399" s="60"/>
      <c r="AD399" s="60"/>
      <c r="AE399" s="60"/>
      <c r="AF399" s="60"/>
      <c r="AG399" s="60"/>
      <c r="AH399" s="60"/>
      <c r="AI399" s="60"/>
      <c r="AJ399" s="60"/>
      <c r="AK399" s="60"/>
      <c r="AL399" s="60"/>
      <c r="AM399" s="60"/>
      <c r="AN399" s="60"/>
      <c r="AO399" s="60"/>
      <c r="AP399" s="60"/>
      <c r="AQ399" s="60"/>
      <c r="AR399" s="60"/>
      <c r="AS399" s="60"/>
      <c r="AT399" s="60"/>
      <c r="AU399" s="60"/>
      <c r="AV399" s="60"/>
      <c r="AW399" s="60"/>
      <c r="AX399" s="60"/>
      <c r="AY399" s="60"/>
      <c r="AZ399" s="60"/>
      <c r="BA399" s="60"/>
      <c r="BB399" s="60"/>
      <c r="BC399" s="60"/>
      <c r="BD399" s="60"/>
      <c r="BE399" s="60"/>
      <c r="BF399" s="14"/>
      <c r="BG399" s="14"/>
      <c r="BH399" s="14"/>
      <c r="BI399" s="14"/>
      <c r="BJ399" s="14"/>
      <c r="BK399" s="14"/>
      <c r="BL399" s="14"/>
      <c r="BM399" s="14"/>
      <c r="BN399" s="14"/>
      <c r="BO399" s="14"/>
      <c r="BP399" s="14"/>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4"/>
      <c r="DV399" s="14"/>
      <c r="DW399" s="14"/>
      <c r="DX399" s="14"/>
      <c r="DY399" s="14"/>
      <c r="DZ399" s="14"/>
      <c r="EA399" s="14"/>
      <c r="EB399" s="14"/>
      <c r="EC399" s="14"/>
      <c r="ED399" s="14"/>
      <c r="EE399" s="14"/>
      <c r="EF399" s="14"/>
      <c r="EG399" s="14"/>
      <c r="EH399" s="14"/>
      <c r="EI399" s="14"/>
      <c r="EJ399" s="14"/>
      <c r="EK399" s="14"/>
      <c r="EL399" s="14"/>
    </row>
    <row r="400" spans="1:142" s="63" customFormat="1" ht="15" customHeight="1" x14ac:dyDescent="0.2">
      <c r="A400" s="8"/>
      <c r="B400" s="353" t="s">
        <v>1314</v>
      </c>
      <c r="C400" s="1652"/>
      <c r="D400" s="1652"/>
      <c r="E400" s="1652"/>
      <c r="F400" s="1652"/>
      <c r="G400" s="1652"/>
      <c r="H400" s="1652"/>
      <c r="I400" s="1652"/>
      <c r="J400" s="1652"/>
      <c r="K400" s="1652"/>
      <c r="L400" s="1652"/>
      <c r="M400" s="1652"/>
      <c r="N400" s="1652"/>
      <c r="O400" s="95">
        <f>IF(AND(S417=1,R400=1),0,SUMIF(S395:V395,C400,S397:V397))</f>
        <v>0</v>
      </c>
      <c r="P400" s="1555"/>
      <c r="Q400" s="8"/>
      <c r="R400" s="885">
        <f>IF(C400=$T$395,1,0)</f>
        <v>0</v>
      </c>
      <c r="S400" s="60"/>
      <c r="T400" s="60"/>
      <c r="U400" s="60"/>
      <c r="V400" s="60"/>
      <c r="W400" s="60"/>
      <c r="X400" s="60"/>
      <c r="Y400" s="60"/>
      <c r="Z400" s="60"/>
      <c r="AA400" s="60"/>
      <c r="AB400" s="60"/>
      <c r="AC400" s="60"/>
      <c r="AD400" s="60"/>
      <c r="AE400" s="60"/>
      <c r="AF400" s="60"/>
      <c r="AG400" s="60"/>
      <c r="AH400" s="60"/>
      <c r="AI400" s="60"/>
      <c r="AJ400" s="60"/>
      <c r="AK400" s="60"/>
      <c r="AL400" s="60"/>
      <c r="AM400" s="60"/>
      <c r="AN400" s="60"/>
      <c r="AO400" s="60"/>
      <c r="AP400" s="60"/>
      <c r="AQ400" s="60"/>
      <c r="AR400" s="60"/>
      <c r="AS400" s="60"/>
      <c r="AT400" s="60"/>
      <c r="AU400" s="60"/>
      <c r="AV400" s="60"/>
      <c r="AW400" s="60"/>
      <c r="AX400" s="60"/>
      <c r="AY400" s="60"/>
      <c r="AZ400" s="60"/>
      <c r="BA400" s="60"/>
      <c r="BB400" s="60"/>
      <c r="BC400" s="60"/>
      <c r="BD400" s="60"/>
      <c r="BE400" s="60"/>
      <c r="BF400" s="14"/>
      <c r="BG400" s="14"/>
      <c r="BH400" s="14"/>
      <c r="BI400" s="14"/>
      <c r="BJ400" s="14"/>
      <c r="BK400" s="14"/>
      <c r="BL400" s="14"/>
      <c r="BM400" s="14"/>
      <c r="BN400" s="14"/>
      <c r="BO400" s="14"/>
      <c r="BP400" s="14"/>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c r="CR400" s="14"/>
      <c r="CS400" s="14"/>
      <c r="CT400" s="14"/>
      <c r="CU400" s="14"/>
      <c r="CV400" s="14"/>
      <c r="CW400" s="14"/>
      <c r="CX400" s="14"/>
      <c r="CY400" s="14"/>
      <c r="CZ400" s="14"/>
      <c r="DA400" s="14"/>
      <c r="DB400" s="14"/>
      <c r="DC400" s="14"/>
      <c r="DD400" s="14"/>
      <c r="DE400" s="14"/>
      <c r="DF400" s="14"/>
      <c r="DG400" s="14"/>
      <c r="DH400" s="14"/>
      <c r="DI400" s="14"/>
      <c r="DJ400" s="14"/>
      <c r="DK400" s="14"/>
      <c r="DL400" s="14"/>
      <c r="DM400" s="14"/>
      <c r="DN400" s="14"/>
      <c r="DO400" s="14"/>
      <c r="DP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row>
    <row r="401" spans="1:142" s="63" customFormat="1" ht="27" customHeight="1" x14ac:dyDescent="0.2">
      <c r="A401" s="8"/>
      <c r="B401" s="1861" t="str">
        <f>IF(AND(S417=1,R401&gt;0),"When there is a prosthetic knee replacement, instability only receives a value if the severity is Grade 2 or greater.","")</f>
        <v/>
      </c>
      <c r="C401" s="1862"/>
      <c r="D401" s="1862"/>
      <c r="E401" s="1862"/>
      <c r="F401" s="1862"/>
      <c r="G401" s="1862"/>
      <c r="H401" s="1862"/>
      <c r="I401" s="1863"/>
      <c r="J401" s="2034" t="s">
        <v>1315</v>
      </c>
      <c r="K401" s="2034"/>
      <c r="L401" s="2034"/>
      <c r="M401" s="2034"/>
      <c r="N401" s="2034"/>
      <c r="O401" s="2034"/>
      <c r="P401" s="95">
        <f>AA398</f>
        <v>0</v>
      </c>
      <c r="Q401" s="8"/>
      <c r="R401" s="885">
        <f>SUM(R397:R400)</f>
        <v>0</v>
      </c>
      <c r="S401" s="60"/>
      <c r="T401" s="60"/>
      <c r="U401" s="60"/>
      <c r="V401" s="60"/>
      <c r="W401" s="60"/>
      <c r="X401" s="60"/>
      <c r="Y401" s="60"/>
      <c r="Z401" s="60"/>
      <c r="AA401" s="60"/>
      <c r="AB401" s="60"/>
      <c r="AC401" s="60"/>
      <c r="AD401" s="60"/>
      <c r="AE401" s="60"/>
      <c r="AF401" s="60"/>
      <c r="AG401" s="60"/>
      <c r="AH401" s="60"/>
      <c r="AI401" s="60"/>
      <c r="AJ401" s="60"/>
      <c r="AK401" s="60"/>
      <c r="AL401" s="60"/>
      <c r="AM401" s="60"/>
      <c r="AN401" s="60"/>
      <c r="AO401" s="60"/>
      <c r="AP401" s="60"/>
      <c r="AQ401" s="60"/>
      <c r="AR401" s="60"/>
      <c r="AS401" s="60"/>
      <c r="AT401" s="60"/>
      <c r="AU401" s="60"/>
      <c r="AV401" s="60"/>
      <c r="AW401" s="60"/>
      <c r="AX401" s="60"/>
      <c r="AY401" s="60"/>
      <c r="AZ401" s="60"/>
      <c r="BA401" s="60"/>
      <c r="BB401" s="60"/>
      <c r="BC401" s="60"/>
      <c r="BD401" s="60"/>
      <c r="BE401" s="60"/>
      <c r="BF401" s="14"/>
      <c r="BG401" s="14"/>
      <c r="BH401" s="14"/>
      <c r="BI401" s="14"/>
      <c r="BJ401" s="14"/>
      <c r="BK401" s="14"/>
      <c r="BL401" s="14"/>
      <c r="BM401" s="14"/>
      <c r="BN401" s="14"/>
      <c r="BO401" s="14"/>
      <c r="BP401" s="14"/>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4"/>
      <c r="CQ401" s="14"/>
      <c r="CR401" s="14"/>
      <c r="CS401" s="14"/>
      <c r="CT401" s="14"/>
      <c r="CU401" s="14"/>
      <c r="CV401" s="14"/>
      <c r="CW401" s="14"/>
      <c r="CX401" s="14"/>
      <c r="CY401" s="14"/>
      <c r="CZ401" s="14"/>
      <c r="DA401" s="14"/>
      <c r="DB401" s="14"/>
      <c r="DC401" s="14"/>
      <c r="DD401" s="14"/>
      <c r="DE401" s="14"/>
      <c r="DF401" s="14"/>
      <c r="DG401" s="14"/>
      <c r="DH401" s="14"/>
      <c r="DI401" s="14"/>
      <c r="DJ401" s="14"/>
      <c r="DK401" s="14"/>
      <c r="DL401" s="14"/>
      <c r="DM401" s="14"/>
      <c r="DN401" s="14"/>
      <c r="DO401" s="14"/>
      <c r="DP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row>
    <row r="402" spans="1:142" s="63" customFormat="1" ht="12" customHeight="1" x14ac:dyDescent="0.25">
      <c r="A402" s="8"/>
      <c r="B402" s="1825"/>
      <c r="C402" s="1825"/>
      <c r="D402" s="1825"/>
      <c r="E402" s="1825"/>
      <c r="F402" s="1825"/>
      <c r="G402" s="1825"/>
      <c r="H402" s="1825"/>
      <c r="I402" s="1825"/>
      <c r="J402" s="1825"/>
      <c r="K402" s="1825"/>
      <c r="L402" s="1825"/>
      <c r="M402" s="1825"/>
      <c r="N402" s="1825"/>
      <c r="O402" s="1825"/>
      <c r="P402" s="35"/>
      <c r="Q402" s="8"/>
      <c r="R402" s="60"/>
      <c r="S402" s="60"/>
      <c r="T402" s="60"/>
      <c r="U402" s="60"/>
      <c r="V402" s="60"/>
      <c r="W402" s="60"/>
      <c r="X402" s="60"/>
      <c r="Y402" s="60"/>
      <c r="Z402" s="60"/>
      <c r="AA402" s="60"/>
      <c r="AB402" s="60"/>
      <c r="AC402" s="60"/>
      <c r="AD402" s="60"/>
      <c r="AE402" s="60"/>
      <c r="AF402" s="60"/>
      <c r="AG402" s="60"/>
      <c r="AH402" s="60"/>
      <c r="AI402" s="60"/>
      <c r="AJ402" s="60"/>
      <c r="AK402" s="60"/>
      <c r="AL402" s="60"/>
      <c r="AM402" s="60"/>
      <c r="AN402" s="60"/>
      <c r="AO402" s="60"/>
      <c r="AP402" s="60"/>
      <c r="AQ402" s="60"/>
      <c r="AR402" s="60"/>
      <c r="AS402" s="60"/>
      <c r="AT402" s="60"/>
      <c r="AU402" s="60"/>
      <c r="AV402" s="60"/>
      <c r="AW402" s="60"/>
      <c r="AX402" s="60"/>
      <c r="AY402" s="60"/>
      <c r="AZ402" s="60"/>
      <c r="BA402" s="60"/>
      <c r="BB402" s="60"/>
      <c r="BC402" s="60"/>
      <c r="BD402" s="60"/>
      <c r="BE402" s="60"/>
      <c r="BF402" s="14"/>
      <c r="BG402" s="14"/>
      <c r="BH402" s="14"/>
      <c r="BI402" s="14"/>
      <c r="BJ402" s="14"/>
      <c r="BK402" s="14"/>
      <c r="BL402" s="14"/>
      <c r="BM402" s="14"/>
      <c r="BN402" s="14"/>
      <c r="BO402" s="14"/>
      <c r="BP402" s="14"/>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4"/>
      <c r="CQ402" s="14"/>
      <c r="CR402" s="14"/>
      <c r="CS402" s="14"/>
      <c r="CT402" s="14"/>
      <c r="CU402" s="14"/>
      <c r="CV402" s="14"/>
      <c r="CW402" s="14"/>
      <c r="CX402" s="14"/>
      <c r="CY402" s="14"/>
      <c r="CZ402" s="14"/>
      <c r="DA402" s="14"/>
      <c r="DB402" s="14"/>
      <c r="DC402" s="14"/>
      <c r="DD402" s="14"/>
      <c r="DE402" s="14"/>
      <c r="DF402" s="14"/>
      <c r="DG402" s="14"/>
      <c r="DH402" s="14"/>
      <c r="DI402" s="14"/>
      <c r="DJ402" s="14"/>
      <c r="DK402" s="14"/>
      <c r="DL402" s="14"/>
      <c r="DM402" s="14"/>
      <c r="DN402" s="14"/>
      <c r="DO402" s="14"/>
      <c r="DP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row>
    <row r="403" spans="1:142" s="63" customFormat="1" ht="15" x14ac:dyDescent="0.25">
      <c r="A403" s="8"/>
      <c r="B403" s="1555" t="s">
        <v>950</v>
      </c>
      <c r="C403" s="1555"/>
      <c r="D403" s="1555"/>
      <c r="E403" s="1555"/>
      <c r="F403" s="1555"/>
      <c r="G403" s="1555"/>
      <c r="H403" s="1555"/>
      <c r="I403" s="1555"/>
      <c r="J403" s="1555"/>
      <c r="K403" s="1555"/>
      <c r="L403" s="1555"/>
      <c r="M403" s="1555"/>
      <c r="N403" s="1555"/>
      <c r="O403" s="1555"/>
      <c r="P403" s="470"/>
      <c r="Q403" s="8"/>
      <c r="R403" s="60"/>
      <c r="S403" s="60"/>
      <c r="T403" s="60"/>
      <c r="U403" s="60"/>
      <c r="V403" s="60"/>
      <c r="W403" s="60"/>
      <c r="X403" s="60"/>
      <c r="Y403" s="60"/>
      <c r="Z403" s="60"/>
      <c r="AA403" s="60"/>
      <c r="AB403" s="60"/>
      <c r="AC403" s="60"/>
      <c r="AD403" s="60"/>
      <c r="AE403" s="60"/>
      <c r="AF403" s="60"/>
      <c r="AG403" s="60"/>
      <c r="AH403" s="60"/>
      <c r="AI403" s="60"/>
      <c r="AJ403" s="60"/>
      <c r="AK403" s="60"/>
      <c r="AL403" s="60"/>
      <c r="AM403" s="60"/>
      <c r="AN403" s="60"/>
      <c r="AO403" s="60"/>
      <c r="AP403" s="60"/>
      <c r="AQ403" s="60"/>
      <c r="AR403" s="60"/>
      <c r="AS403" s="60"/>
      <c r="AT403" s="60"/>
      <c r="AU403" s="60"/>
      <c r="AV403" s="60"/>
      <c r="AW403" s="60"/>
      <c r="AX403" s="60"/>
      <c r="AY403" s="60"/>
      <c r="AZ403" s="60"/>
      <c r="BA403" s="60"/>
      <c r="BB403" s="60"/>
      <c r="BC403" s="60"/>
      <c r="BD403" s="60"/>
      <c r="BE403" s="60"/>
      <c r="BF403" s="14"/>
      <c r="BG403" s="14"/>
      <c r="BH403" s="14"/>
      <c r="BI403" s="14"/>
      <c r="BJ403" s="14"/>
      <c r="BK403" s="14"/>
      <c r="BL403" s="14"/>
      <c r="BM403" s="14"/>
      <c r="BN403" s="14"/>
      <c r="BO403" s="14"/>
      <c r="BP403" s="14"/>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c r="CO403" s="14"/>
      <c r="CP403" s="14"/>
      <c r="CQ403" s="14"/>
      <c r="CR403" s="14"/>
      <c r="CS403" s="14"/>
      <c r="CT403" s="14"/>
      <c r="CU403" s="14"/>
      <c r="CV403" s="14"/>
      <c r="CW403" s="14"/>
      <c r="CX403" s="14"/>
      <c r="CY403" s="14"/>
      <c r="CZ403" s="14"/>
      <c r="DA403" s="14"/>
      <c r="DB403" s="14"/>
      <c r="DC403" s="14"/>
      <c r="DD403" s="14"/>
      <c r="DE403" s="14"/>
      <c r="DF403" s="14"/>
      <c r="DG403" s="14"/>
      <c r="DH403" s="14"/>
      <c r="DI403" s="14"/>
      <c r="DJ403" s="14"/>
      <c r="DK403" s="14"/>
      <c r="DL403" s="14"/>
      <c r="DM403" s="14"/>
      <c r="DN403" s="14"/>
      <c r="DO403" s="14"/>
      <c r="DP403" s="14"/>
      <c r="DQ403" s="14"/>
      <c r="DR403" s="14"/>
      <c r="DS403" s="14"/>
      <c r="DT403" s="14"/>
      <c r="DU403" s="14"/>
      <c r="DV403" s="14"/>
      <c r="DW403" s="14"/>
      <c r="DX403" s="14"/>
      <c r="DY403" s="14"/>
      <c r="DZ403" s="14"/>
      <c r="EA403" s="14"/>
      <c r="EB403" s="14"/>
      <c r="EC403" s="14"/>
      <c r="ED403" s="14"/>
      <c r="EE403" s="14"/>
      <c r="EF403" s="14"/>
      <c r="EG403" s="14"/>
      <c r="EH403" s="14"/>
      <c r="EI403" s="14"/>
      <c r="EJ403" s="14"/>
      <c r="EK403" s="14"/>
      <c r="EL403" s="14"/>
    </row>
    <row r="404" spans="1:142" s="63" customFormat="1" ht="18" customHeight="1" x14ac:dyDescent="0.2">
      <c r="A404" s="20"/>
      <c r="B404" s="185" t="s">
        <v>1317</v>
      </c>
      <c r="C404" s="1534"/>
      <c r="D404" s="1534"/>
      <c r="E404" s="1534"/>
      <c r="F404" s="1534"/>
      <c r="G404" s="1534"/>
      <c r="H404" s="1534"/>
      <c r="I404" s="1534"/>
      <c r="J404" s="1534"/>
      <c r="K404" s="1534"/>
      <c r="L404" s="1534"/>
      <c r="M404" s="1534"/>
      <c r="N404" s="1534"/>
      <c r="O404" s="1534"/>
      <c r="P404" s="95">
        <f>IF(R404=1,0,IF(R404=2,0.1,IF(R404=3,0.1)))</f>
        <v>0</v>
      </c>
      <c r="Q404" s="8"/>
      <c r="R404" s="873">
        <v>1</v>
      </c>
      <c r="S404" s="60"/>
      <c r="T404" s="60"/>
      <c r="U404" s="60"/>
      <c r="V404" s="60"/>
      <c r="W404" s="60">
        <v>1E-4</v>
      </c>
      <c r="X404" s="60"/>
      <c r="Y404" s="60"/>
      <c r="Z404" s="60"/>
      <c r="AA404" s="60"/>
      <c r="AB404" s="60"/>
      <c r="AC404" s="60"/>
      <c r="AD404" s="60"/>
      <c r="AE404" s="60"/>
      <c r="AF404" s="60"/>
      <c r="AG404" s="60"/>
      <c r="AH404" s="60"/>
      <c r="AI404" s="60"/>
      <c r="AJ404" s="60"/>
      <c r="AK404" s="60"/>
      <c r="AL404" s="60"/>
      <c r="AM404" s="60"/>
      <c r="AN404" s="60"/>
      <c r="AO404" s="60"/>
      <c r="AP404" s="60"/>
      <c r="AQ404" s="60"/>
      <c r="AR404" s="60"/>
      <c r="AS404" s="60"/>
      <c r="AT404" s="60"/>
      <c r="AU404" s="60"/>
      <c r="AV404" s="60"/>
      <c r="AW404" s="60"/>
      <c r="AX404" s="60"/>
      <c r="AY404" s="60"/>
      <c r="AZ404" s="60"/>
      <c r="BA404" s="60"/>
      <c r="BB404" s="60"/>
      <c r="BC404" s="60"/>
      <c r="BD404" s="60"/>
      <c r="BE404" s="60"/>
      <c r="BF404" s="14"/>
      <c r="BG404" s="14"/>
      <c r="BH404" s="14"/>
      <c r="BI404" s="14"/>
      <c r="BJ404" s="14"/>
      <c r="BK404" s="14"/>
      <c r="BL404" s="14"/>
      <c r="BM404" s="14"/>
      <c r="BN404" s="14"/>
      <c r="BO404" s="14"/>
      <c r="BP404" s="14"/>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c r="CO404" s="14"/>
      <c r="CP404" s="14"/>
      <c r="CQ404" s="14"/>
      <c r="CR404" s="14"/>
      <c r="CS404" s="14"/>
      <c r="CT404" s="14"/>
      <c r="CU404" s="14"/>
      <c r="CV404" s="14"/>
      <c r="CW404" s="14"/>
      <c r="CX404" s="14"/>
      <c r="CY404" s="14"/>
      <c r="CZ404" s="14"/>
      <c r="DA404" s="14"/>
      <c r="DB404" s="14"/>
      <c r="DC404" s="14"/>
      <c r="DD404" s="14"/>
      <c r="DE404" s="14"/>
      <c r="DF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row>
    <row r="405" spans="1:142" s="63" customFormat="1" ht="12" customHeight="1" x14ac:dyDescent="0.25">
      <c r="A405" s="8"/>
      <c r="B405" s="1825"/>
      <c r="C405" s="1825"/>
      <c r="D405" s="1825"/>
      <c r="E405" s="1825"/>
      <c r="F405" s="1825"/>
      <c r="G405" s="1825"/>
      <c r="H405" s="1825"/>
      <c r="I405" s="1825"/>
      <c r="J405" s="1825"/>
      <c r="K405" s="1825"/>
      <c r="L405" s="1825"/>
      <c r="M405" s="1825"/>
      <c r="N405" s="1825"/>
      <c r="O405" s="1825"/>
      <c r="P405" s="35"/>
      <c r="Q405" s="8"/>
      <c r="R405" s="60"/>
      <c r="S405" s="60"/>
      <c r="T405" s="60"/>
      <c r="U405" s="60"/>
      <c r="V405" s="60"/>
      <c r="W405" s="60"/>
      <c r="X405" s="60"/>
      <c r="Y405" s="60"/>
      <c r="Z405" s="60"/>
      <c r="AA405" s="60"/>
      <c r="AB405" s="60"/>
      <c r="AC405" s="60"/>
      <c r="AD405" s="60"/>
      <c r="AE405" s="60"/>
      <c r="AF405" s="60"/>
      <c r="AG405" s="60"/>
      <c r="AH405" s="60"/>
      <c r="AI405" s="60"/>
      <c r="AJ405" s="60"/>
      <c r="AK405" s="60"/>
      <c r="AL405" s="60"/>
      <c r="AM405" s="60"/>
      <c r="AN405" s="60"/>
      <c r="AO405" s="60"/>
      <c r="AP405" s="60"/>
      <c r="AQ405" s="60"/>
      <c r="AR405" s="60"/>
      <c r="AS405" s="60"/>
      <c r="AT405" s="60"/>
      <c r="AU405" s="60"/>
      <c r="AV405" s="60"/>
      <c r="AW405" s="60"/>
      <c r="AX405" s="60"/>
      <c r="AY405" s="60"/>
      <c r="AZ405" s="60"/>
      <c r="BA405" s="60"/>
      <c r="BB405" s="60"/>
      <c r="BC405" s="60"/>
      <c r="BD405" s="60"/>
      <c r="BE405" s="60"/>
      <c r="BF405" s="14"/>
      <c r="BG405" s="14"/>
      <c r="BH405" s="14"/>
      <c r="BI405" s="14"/>
      <c r="BJ405" s="14"/>
      <c r="BK405" s="14"/>
      <c r="BL405" s="14"/>
      <c r="BM405" s="14"/>
      <c r="BN405" s="14"/>
      <c r="BO405" s="14"/>
      <c r="BP405" s="14"/>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c r="CO405" s="14"/>
      <c r="CP405" s="14"/>
      <c r="CQ405" s="14"/>
      <c r="CR405" s="14"/>
      <c r="CS405" s="14"/>
      <c r="CT405" s="14"/>
      <c r="CU405" s="14"/>
      <c r="CV405" s="14"/>
      <c r="CW405" s="14"/>
      <c r="CX405" s="14"/>
      <c r="CY405" s="14"/>
      <c r="CZ405" s="14"/>
      <c r="DA405" s="14"/>
      <c r="DB405" s="14"/>
      <c r="DC405" s="14"/>
      <c r="DD405" s="14"/>
      <c r="DE405" s="14"/>
      <c r="DF405" s="14"/>
      <c r="DG405" s="14"/>
      <c r="DH405" s="14"/>
      <c r="DI405" s="14"/>
      <c r="DJ405" s="14"/>
      <c r="DK405" s="14"/>
      <c r="DL405" s="14"/>
      <c r="DM405" s="14"/>
      <c r="DN405" s="14"/>
      <c r="DO405" s="14"/>
      <c r="DP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row>
    <row r="406" spans="1:142" s="63" customFormat="1" ht="18" customHeight="1" x14ac:dyDescent="0.25">
      <c r="A406" s="8"/>
      <c r="B406" s="1555" t="s">
        <v>1922</v>
      </c>
      <c r="C406" s="1555"/>
      <c r="D406" s="1555"/>
      <c r="E406" s="1555"/>
      <c r="F406" s="1555"/>
      <c r="G406" s="1555"/>
      <c r="H406" s="1555"/>
      <c r="I406" s="1555"/>
      <c r="J406" s="1555"/>
      <c r="K406" s="1555"/>
      <c r="L406" s="1555"/>
      <c r="M406" s="1555"/>
      <c r="N406" s="1555"/>
      <c r="O406" s="1555"/>
      <c r="P406" s="470"/>
      <c r="Q406" s="8"/>
      <c r="R406" s="1860" t="s">
        <v>2231</v>
      </c>
      <c r="S406" s="885" t="s">
        <v>1942</v>
      </c>
      <c r="T406" s="885" t="s">
        <v>1851</v>
      </c>
      <c r="U406" s="885" t="s">
        <v>1852</v>
      </c>
      <c r="V406" s="885" t="s">
        <v>1853</v>
      </c>
      <c r="W406" s="885" t="s">
        <v>1854</v>
      </c>
      <c r="X406" s="885" t="s">
        <v>1855</v>
      </c>
      <c r="Y406" s="885" t="s">
        <v>1856</v>
      </c>
      <c r="Z406" s="885" t="s">
        <v>1857</v>
      </c>
      <c r="AA406" s="885" t="s">
        <v>1858</v>
      </c>
      <c r="AB406" s="885" t="s">
        <v>1859</v>
      </c>
      <c r="AC406" s="885" t="s">
        <v>1337</v>
      </c>
      <c r="AD406" s="885" t="s">
        <v>489</v>
      </c>
      <c r="AE406" s="885" t="s">
        <v>490</v>
      </c>
      <c r="AF406" s="885" t="s">
        <v>491</v>
      </c>
      <c r="AG406" s="885" t="s">
        <v>492</v>
      </c>
      <c r="AH406" s="885" t="s">
        <v>493</v>
      </c>
      <c r="AI406" s="885" t="s">
        <v>494</v>
      </c>
      <c r="AJ406" s="885" t="s">
        <v>495</v>
      </c>
      <c r="AK406" s="885" t="s">
        <v>496</v>
      </c>
      <c r="AL406" s="885" t="s">
        <v>497</v>
      </c>
      <c r="AM406" s="958" t="s">
        <v>1767</v>
      </c>
      <c r="AN406" s="60"/>
      <c r="AO406" s="60"/>
      <c r="AP406" s="60"/>
      <c r="AQ406" s="60"/>
      <c r="AR406" s="60"/>
      <c r="AS406" s="60"/>
      <c r="AT406" s="60"/>
      <c r="AU406" s="60"/>
      <c r="AV406" s="60"/>
      <c r="AW406" s="60"/>
      <c r="AX406" s="60"/>
      <c r="AY406" s="60"/>
      <c r="AZ406" s="60"/>
      <c r="BA406" s="60"/>
      <c r="BB406" s="60"/>
      <c r="BC406" s="60"/>
      <c r="BD406" s="60"/>
      <c r="BE406" s="60"/>
      <c r="BF406" s="14"/>
      <c r="BG406" s="14"/>
      <c r="BH406" s="14"/>
      <c r="BI406" s="14"/>
      <c r="BJ406" s="14"/>
      <c r="BK406" s="14"/>
      <c r="BL406" s="14"/>
      <c r="BM406" s="14"/>
      <c r="BN406" s="14"/>
      <c r="BO406" s="14"/>
      <c r="BP406" s="14"/>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row>
    <row r="407" spans="1:142" s="63" customFormat="1" ht="18" customHeight="1" x14ac:dyDescent="0.2">
      <c r="A407" s="8"/>
      <c r="B407" s="185" t="s">
        <v>1768</v>
      </c>
      <c r="C407" s="1652"/>
      <c r="D407" s="1652"/>
      <c r="E407" s="1652"/>
      <c r="F407" s="1652"/>
      <c r="G407" s="1652"/>
      <c r="H407" s="1652"/>
      <c r="I407" s="1652"/>
      <c r="J407" s="1652"/>
      <c r="K407" s="1652"/>
      <c r="L407" s="1652"/>
      <c r="M407" s="1652"/>
      <c r="N407" s="1652"/>
      <c r="O407" s="1652"/>
      <c r="P407" s="95">
        <f>SUMIF(S406:AM406,C407,S407:AM407)</f>
        <v>0</v>
      </c>
      <c r="Q407" s="8"/>
      <c r="R407" s="1959"/>
      <c r="S407" s="646">
        <v>0</v>
      </c>
      <c r="T407" s="646">
        <v>0.17</v>
      </c>
      <c r="U407" s="646">
        <v>0.26</v>
      </c>
      <c r="V407" s="646">
        <v>0.26</v>
      </c>
      <c r="W407" s="646">
        <v>0.27</v>
      </c>
      <c r="X407" s="646">
        <v>0.28000000000000003</v>
      </c>
      <c r="Y407" s="646">
        <v>0.28999999999999998</v>
      </c>
      <c r="Z407" s="646">
        <v>0.3</v>
      </c>
      <c r="AA407" s="646">
        <v>0.31</v>
      </c>
      <c r="AB407" s="646">
        <v>0.32</v>
      </c>
      <c r="AC407" s="646">
        <v>0.33</v>
      </c>
      <c r="AD407" s="646">
        <v>0.34</v>
      </c>
      <c r="AE407" s="646">
        <v>0.35</v>
      </c>
      <c r="AF407" s="646">
        <v>0.36</v>
      </c>
      <c r="AG407" s="646">
        <v>0.37</v>
      </c>
      <c r="AH407" s="646">
        <v>0.38</v>
      </c>
      <c r="AI407" s="646">
        <v>0.39</v>
      </c>
      <c r="AJ407" s="646">
        <v>0.4</v>
      </c>
      <c r="AK407" s="646">
        <v>0.41</v>
      </c>
      <c r="AL407" s="646">
        <v>0.42</v>
      </c>
      <c r="AM407" s="646">
        <v>0.43</v>
      </c>
      <c r="AN407" s="60"/>
      <c r="AO407" s="60"/>
      <c r="AP407" s="60"/>
      <c r="AQ407" s="60"/>
      <c r="AR407" s="60"/>
      <c r="AS407" s="60"/>
      <c r="AT407" s="60"/>
      <c r="AU407" s="60"/>
      <c r="AV407" s="60"/>
      <c r="AW407" s="60"/>
      <c r="AX407" s="60"/>
      <c r="AY407" s="60"/>
      <c r="AZ407" s="60"/>
      <c r="BA407" s="60"/>
      <c r="BB407" s="60"/>
      <c r="BC407" s="60"/>
      <c r="BD407" s="60"/>
      <c r="BE407" s="60"/>
      <c r="BF407" s="14"/>
      <c r="BG407" s="14"/>
      <c r="BH407" s="14"/>
      <c r="BI407" s="14"/>
      <c r="BJ407" s="14"/>
      <c r="BK407" s="14"/>
      <c r="BL407" s="14"/>
      <c r="BM407" s="14"/>
      <c r="BN407" s="14"/>
      <c r="BO407" s="14"/>
      <c r="BP407" s="14"/>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c r="CO407" s="14"/>
      <c r="CP407" s="14"/>
      <c r="CQ407" s="14"/>
      <c r="CR407" s="14"/>
      <c r="CS407" s="14"/>
      <c r="CT407" s="14"/>
      <c r="CU407" s="14"/>
      <c r="CV407" s="14"/>
      <c r="CW407" s="14"/>
      <c r="CX407" s="14"/>
      <c r="CY407" s="14"/>
      <c r="CZ407" s="14"/>
      <c r="DA407" s="14"/>
      <c r="DB407" s="14"/>
      <c r="DC407" s="14"/>
      <c r="DD407" s="14"/>
      <c r="DE407" s="14"/>
      <c r="DF407" s="14"/>
      <c r="DG407" s="14"/>
      <c r="DH407" s="14"/>
      <c r="DI407" s="14"/>
      <c r="DJ407" s="14"/>
      <c r="DK407" s="14"/>
      <c r="DL407" s="14"/>
      <c r="DM407" s="14"/>
      <c r="DN407" s="14"/>
      <c r="DO407" s="14"/>
      <c r="DP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row>
    <row r="408" spans="1:142" s="63" customFormat="1" ht="12" customHeight="1" x14ac:dyDescent="0.2">
      <c r="A408" s="8"/>
      <c r="B408" s="1395"/>
      <c r="C408" s="1395"/>
      <c r="D408" s="1395"/>
      <c r="E408" s="1395"/>
      <c r="F408" s="1395"/>
      <c r="G408" s="1395"/>
      <c r="H408" s="1395"/>
      <c r="I408" s="1395"/>
      <c r="J408" s="1395"/>
      <c r="K408" s="1395"/>
      <c r="L408" s="1395"/>
      <c r="M408" s="1395"/>
      <c r="N408" s="1395"/>
      <c r="O408" s="1395"/>
      <c r="P408" s="1395"/>
      <c r="Q408" s="8"/>
      <c r="R408" s="60"/>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60"/>
      <c r="AO408" s="60"/>
      <c r="AP408" s="60"/>
      <c r="AQ408" s="60"/>
      <c r="AR408" s="60"/>
      <c r="AS408" s="60"/>
      <c r="AT408" s="60"/>
      <c r="AU408" s="60"/>
      <c r="AV408" s="60"/>
      <c r="AW408" s="60"/>
      <c r="AX408" s="60"/>
      <c r="AY408" s="60"/>
      <c r="AZ408" s="60"/>
      <c r="BA408" s="60"/>
      <c r="BB408" s="60"/>
      <c r="BC408" s="60"/>
      <c r="BD408" s="60"/>
      <c r="BE408" s="60"/>
      <c r="BF408" s="14"/>
      <c r="BG408" s="14"/>
      <c r="BH408" s="14"/>
      <c r="BI408" s="14"/>
      <c r="BJ408" s="14"/>
      <c r="BK408" s="14"/>
      <c r="BL408" s="14"/>
      <c r="BM408" s="14"/>
      <c r="BN408" s="14"/>
      <c r="BO408" s="14"/>
      <c r="BP408" s="14"/>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c r="CO408" s="14"/>
      <c r="CP408" s="14"/>
      <c r="CQ408" s="14"/>
      <c r="CR408" s="14"/>
      <c r="CS408" s="14"/>
      <c r="CT408" s="14"/>
      <c r="CU408" s="14"/>
      <c r="CV408" s="14"/>
      <c r="CW408" s="14"/>
      <c r="CX408" s="14"/>
      <c r="CY408" s="14"/>
      <c r="CZ408" s="14"/>
      <c r="DA408" s="14"/>
      <c r="DB408" s="14"/>
      <c r="DC408" s="14"/>
      <c r="DD408" s="14"/>
      <c r="DE408" s="14"/>
      <c r="DF408" s="14"/>
      <c r="DG408" s="14"/>
      <c r="DH408" s="14"/>
      <c r="DI408" s="14"/>
      <c r="DJ408" s="14"/>
      <c r="DK408" s="14"/>
      <c r="DL408" s="14"/>
      <c r="DM408" s="14"/>
      <c r="DN408" s="14"/>
      <c r="DO408" s="14"/>
      <c r="DP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row>
    <row r="409" spans="1:142" s="63" customFormat="1" ht="7.5" customHeight="1" x14ac:dyDescent="0.25">
      <c r="A409" s="8"/>
      <c r="B409" s="1825"/>
      <c r="C409" s="1825"/>
      <c r="D409" s="1825"/>
      <c r="E409" s="1825"/>
      <c r="F409" s="1825"/>
      <c r="G409" s="1825"/>
      <c r="H409" s="1825"/>
      <c r="I409" s="1825"/>
      <c r="J409" s="1825"/>
      <c r="K409" s="1825"/>
      <c r="L409" s="1825"/>
      <c r="M409" s="1825"/>
      <c r="N409" s="1825"/>
      <c r="O409" s="1825"/>
      <c r="P409" s="1825"/>
      <c r="Q409" s="8"/>
      <c r="R409" s="60"/>
      <c r="S409" s="18"/>
      <c r="T409" s="18"/>
      <c r="U409" s="18"/>
      <c r="V409" s="18"/>
      <c r="W409" s="18"/>
      <c r="X409" s="18"/>
      <c r="Y409" s="18"/>
      <c r="Z409" s="18"/>
      <c r="AA409" s="18"/>
      <c r="AB409" s="18"/>
      <c r="AC409" s="18"/>
      <c r="AD409" s="18"/>
      <c r="AE409" s="18"/>
      <c r="AF409" s="18"/>
      <c r="AG409" s="18"/>
      <c r="AH409" s="18"/>
      <c r="AI409" s="18"/>
      <c r="AJ409" s="18"/>
      <c r="AK409" s="18"/>
      <c r="AL409" s="18"/>
      <c r="AM409" s="18"/>
      <c r="AN409" s="115"/>
      <c r="AO409" s="115"/>
      <c r="AP409" s="115"/>
      <c r="AQ409" s="115"/>
      <c r="AR409" s="115"/>
      <c r="AS409" s="115"/>
      <c r="AT409" s="115"/>
      <c r="AU409" s="115"/>
      <c r="AV409" s="115"/>
      <c r="AW409" s="115"/>
      <c r="AX409" s="115"/>
      <c r="AY409" s="115"/>
      <c r="AZ409" s="60"/>
      <c r="BA409" s="60"/>
      <c r="BB409" s="60"/>
      <c r="BC409" s="60"/>
      <c r="BD409" s="60"/>
      <c r="BE409" s="60"/>
      <c r="BF409" s="14"/>
      <c r="BG409" s="14"/>
      <c r="BH409" s="14"/>
      <c r="BI409" s="14"/>
      <c r="BJ409" s="14"/>
      <c r="BK409" s="14"/>
      <c r="BL409" s="14"/>
      <c r="BM409" s="14"/>
      <c r="BN409" s="14"/>
      <c r="BO409" s="14"/>
      <c r="BP409" s="14"/>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4"/>
      <c r="CQ409" s="14"/>
      <c r="CR409" s="14"/>
      <c r="CS409" s="14"/>
      <c r="CT409" s="14"/>
      <c r="CU409" s="14"/>
      <c r="CV409" s="14"/>
      <c r="CW409" s="14"/>
      <c r="CX409" s="14"/>
      <c r="CY409" s="14"/>
      <c r="CZ409" s="14"/>
      <c r="DA409" s="14"/>
      <c r="DB409" s="14"/>
      <c r="DC409" s="14"/>
      <c r="DD409" s="14"/>
      <c r="DE409" s="14"/>
      <c r="DF409" s="14"/>
      <c r="DG409" s="14"/>
      <c r="DH409" s="14"/>
      <c r="DI409" s="14"/>
      <c r="DJ409" s="14"/>
      <c r="DK409" s="14"/>
      <c r="DL409" s="14"/>
      <c r="DM409" s="14"/>
      <c r="DN409" s="14"/>
      <c r="DO409" s="14"/>
      <c r="DP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row>
    <row r="410" spans="1:142" s="63" customFormat="1" ht="18" customHeight="1" x14ac:dyDescent="0.25">
      <c r="A410" s="8"/>
      <c r="B410" s="1555" t="s">
        <v>1923</v>
      </c>
      <c r="C410" s="1555"/>
      <c r="D410" s="1555"/>
      <c r="E410" s="1555"/>
      <c r="F410" s="1555"/>
      <c r="G410" s="1555"/>
      <c r="H410" s="1555"/>
      <c r="I410" s="1555"/>
      <c r="J410" s="1555"/>
      <c r="K410" s="1555"/>
      <c r="L410" s="1555"/>
      <c r="M410" s="1555"/>
      <c r="N410" s="1555"/>
      <c r="O410" s="1555"/>
      <c r="P410" s="361"/>
      <c r="Q410" s="8"/>
      <c r="R410" s="1860" t="s">
        <v>2231</v>
      </c>
      <c r="S410" s="883" t="s">
        <v>311</v>
      </c>
      <c r="T410" s="877" t="s">
        <v>312</v>
      </c>
      <c r="U410" s="877" t="s">
        <v>1501</v>
      </c>
      <c r="V410" s="877" t="s">
        <v>313</v>
      </c>
      <c r="W410" s="877" t="s">
        <v>1358</v>
      </c>
      <c r="X410" s="18"/>
      <c r="Y410" s="165"/>
      <c r="Z410" s="18"/>
      <c r="AA410" s="18"/>
      <c r="AB410" s="18"/>
      <c r="AC410" s="60"/>
      <c r="AD410" s="60"/>
      <c r="AE410" s="60"/>
      <c r="AF410" s="60"/>
      <c r="AG410" s="60"/>
      <c r="AH410" s="60"/>
      <c r="AI410" s="60"/>
      <c r="AJ410" s="60"/>
      <c r="AK410" s="60"/>
      <c r="AL410" s="60"/>
      <c r="AM410" s="60"/>
      <c r="AN410" s="60"/>
      <c r="AO410" s="60"/>
      <c r="AP410" s="60"/>
      <c r="AQ410" s="60"/>
      <c r="AR410" s="60"/>
      <c r="AS410" s="60"/>
      <c r="AT410" s="60"/>
      <c r="AU410" s="60"/>
      <c r="AV410" s="60"/>
      <c r="AW410" s="60"/>
      <c r="AX410" s="60"/>
      <c r="AY410" s="60"/>
      <c r="AZ410" s="60"/>
      <c r="BA410" s="60"/>
      <c r="BB410" s="60"/>
      <c r="BC410" s="60"/>
      <c r="BD410" s="60"/>
      <c r="BE410" s="60"/>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I410" s="14"/>
      <c r="DJ410" s="14"/>
      <c r="DK410" s="14"/>
      <c r="DL410" s="14"/>
      <c r="DM410" s="14"/>
      <c r="DN410" s="14"/>
      <c r="DO410" s="14"/>
      <c r="DP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row>
    <row r="411" spans="1:142" s="63" customFormat="1" ht="18" customHeight="1" x14ac:dyDescent="0.2">
      <c r="A411" s="20"/>
      <c r="B411" s="1839" t="s">
        <v>1500</v>
      </c>
      <c r="C411" s="1308"/>
      <c r="D411" s="1308"/>
      <c r="E411" s="1308"/>
      <c r="F411" s="1308"/>
      <c r="G411" s="1308"/>
      <c r="H411" s="1308"/>
      <c r="I411" s="1308"/>
      <c r="J411" s="1308"/>
      <c r="K411" s="1308"/>
      <c r="L411" s="1308"/>
      <c r="M411" s="1308"/>
      <c r="N411" s="1308"/>
      <c r="O411" s="1308"/>
      <c r="P411" s="26">
        <f>IF(S417=1,0,SUMIF(S410:X410,C411,S411:X411))</f>
        <v>0</v>
      </c>
      <c r="Q411" s="35"/>
      <c r="R411" s="1959"/>
      <c r="S411" s="883">
        <v>0.05</v>
      </c>
      <c r="T411" s="883">
        <v>0.1</v>
      </c>
      <c r="U411" s="881">
        <v>0.05</v>
      </c>
      <c r="V411" s="883">
        <v>0.15</v>
      </c>
      <c r="W411" s="883">
        <v>0.25</v>
      </c>
      <c r="X411" s="19"/>
      <c r="Y411" s="115"/>
      <c r="Z411" s="19"/>
      <c r="AA411" s="18"/>
      <c r="AB411" s="19"/>
      <c r="AC411" s="18"/>
      <c r="AD411" s="18"/>
      <c r="AE411" s="18"/>
      <c r="AF411" s="18"/>
      <c r="AG411" s="18"/>
      <c r="AH411" s="18"/>
      <c r="AI411" s="111"/>
      <c r="AJ411" s="1569"/>
      <c r="AK411" s="1569"/>
      <c r="AL411" s="1569"/>
      <c r="AM411" s="1569"/>
      <c r="AN411" s="1569"/>
      <c r="AO411" s="18"/>
      <c r="AP411" s="18"/>
      <c r="AQ411" s="18"/>
      <c r="AR411" s="18"/>
      <c r="AS411" s="18"/>
      <c r="AT411" s="18"/>
      <c r="AU411" s="18"/>
      <c r="AV411" s="18"/>
      <c r="AW411" s="18"/>
      <c r="AX411" s="18"/>
      <c r="AY411" s="18"/>
      <c r="AZ411" s="18"/>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row>
    <row r="412" spans="1:142" s="63" customFormat="1" ht="18" customHeight="1" x14ac:dyDescent="0.2">
      <c r="A412" s="20"/>
      <c r="B412" s="1840"/>
      <c r="C412" s="1549" t="str">
        <f>IF(S417=1,"",IF(P412&gt;0,"(For partial loss of both menisci, each loss is valued at 5%.)",""))</f>
        <v/>
      </c>
      <c r="D412" s="1550"/>
      <c r="E412" s="1550"/>
      <c r="F412" s="1550"/>
      <c r="G412" s="1550"/>
      <c r="H412" s="1550"/>
      <c r="I412" s="1550"/>
      <c r="J412" s="1550"/>
      <c r="K412" s="1550"/>
      <c r="L412" s="1550"/>
      <c r="M412" s="1550"/>
      <c r="N412" s="1550"/>
      <c r="O412" s="1551"/>
      <c r="P412" s="26">
        <f>IF(S417=1,0,IF(C411=U410,0.05,0))</f>
        <v>0</v>
      </c>
      <c r="Q412" s="35"/>
      <c r="R412" s="18"/>
      <c r="S412" s="19"/>
      <c r="T412" s="19"/>
      <c r="U412" s="19"/>
      <c r="V412" s="19"/>
      <c r="W412" s="19"/>
      <c r="X412" s="19"/>
      <c r="Y412" s="115"/>
      <c r="Z412" s="19"/>
      <c r="AA412" s="18"/>
      <c r="AB412" s="19"/>
      <c r="AC412" s="18"/>
      <c r="AD412" s="18"/>
      <c r="AE412" s="18"/>
      <c r="AF412" s="18"/>
      <c r="AG412" s="18"/>
      <c r="AH412" s="18"/>
      <c r="AI412" s="111"/>
      <c r="AJ412" s="18"/>
      <c r="AK412" s="18"/>
      <c r="AL412" s="18"/>
      <c r="AM412" s="18"/>
      <c r="AN412" s="18"/>
      <c r="AO412" s="18"/>
      <c r="AP412" s="18"/>
      <c r="AQ412" s="18"/>
      <c r="AR412" s="18"/>
      <c r="AS412" s="18"/>
      <c r="AT412" s="18"/>
      <c r="AU412" s="18"/>
      <c r="AV412" s="18"/>
      <c r="AW412" s="18"/>
      <c r="AX412" s="18"/>
      <c r="AY412" s="18"/>
      <c r="AZ412" s="18"/>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I412" s="14"/>
      <c r="DJ412" s="14"/>
      <c r="DK412" s="14"/>
      <c r="DL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row>
    <row r="413" spans="1:142" s="63" customFormat="1" ht="18" customHeight="1" x14ac:dyDescent="0.2">
      <c r="A413" s="35"/>
      <c r="B413" s="2005" t="str">
        <f>IF(AND(S413=1,S417=1),"Prosthetic knee replacement - no separate award is given for meniscectomy or patellectomy.","")</f>
        <v/>
      </c>
      <c r="C413" s="1649"/>
      <c r="D413" s="1639"/>
      <c r="E413" s="1639"/>
      <c r="F413" s="1639"/>
      <c r="G413" s="1639"/>
      <c r="H413" s="1639"/>
      <c r="I413" s="1639"/>
      <c r="J413" s="1639"/>
      <c r="K413" s="1639"/>
      <c r="L413" s="1639"/>
      <c r="M413" s="1639"/>
      <c r="N413" s="1639"/>
      <c r="O413" s="1639"/>
      <c r="P413" s="26">
        <f>IF($S$417=1,0,IF(OR(R413=2,R413=3,R413=4,R413=5),0.05,0))</f>
        <v>0</v>
      </c>
      <c r="Q413" s="35"/>
      <c r="R413" s="686">
        <v>1</v>
      </c>
      <c r="S413" s="877">
        <f>IF(OR(C411&lt;&gt;"",R413&gt;1),1,0)</f>
        <v>0</v>
      </c>
      <c r="T413" s="18"/>
      <c r="U413" s="18"/>
      <c r="V413" s="18"/>
      <c r="W413" s="18">
        <v>1E-4</v>
      </c>
      <c r="X413" s="18"/>
      <c r="Y413" s="18"/>
      <c r="Z413" s="18"/>
      <c r="AA413" s="18"/>
      <c r="AB413" s="18"/>
      <c r="AC413" s="18"/>
      <c r="AD413" s="18"/>
      <c r="AE413" s="18"/>
      <c r="AF413" s="18"/>
      <c r="AG413" s="18"/>
      <c r="AH413" s="18"/>
      <c r="AI413" s="111"/>
      <c r="AJ413" s="18"/>
      <c r="AK413" s="18"/>
      <c r="AL413" s="18"/>
      <c r="AM413" s="18"/>
      <c r="AN413" s="18"/>
      <c r="AO413" s="18"/>
      <c r="AP413" s="18"/>
      <c r="AQ413" s="18"/>
      <c r="AR413" s="18"/>
      <c r="AS413" s="18"/>
      <c r="AT413" s="18"/>
      <c r="AU413" s="18"/>
      <c r="AV413" s="18"/>
      <c r="AW413" s="18"/>
      <c r="AX413" s="18"/>
      <c r="AY413" s="18"/>
      <c r="AZ413" s="18"/>
      <c r="BA413" s="14"/>
      <c r="BB413" s="14"/>
      <c r="BC413" s="14"/>
      <c r="BD413" s="14"/>
      <c r="BE413" s="14"/>
      <c r="BF413" s="14"/>
      <c r="BG413" s="14"/>
      <c r="BH413" s="14"/>
      <c r="BI413" s="14"/>
      <c r="BJ413" s="14"/>
      <c r="BK413" s="14"/>
      <c r="BL413" s="14"/>
      <c r="BM413" s="14"/>
      <c r="BN413" s="14"/>
      <c r="BO413" s="14"/>
      <c r="BP413" s="14"/>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I413" s="14"/>
      <c r="DJ413" s="14"/>
      <c r="DK413" s="14"/>
      <c r="DL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row>
    <row r="414" spans="1:142" s="63" customFormat="1" ht="18" customHeight="1" x14ac:dyDescent="0.2">
      <c r="A414" s="35"/>
      <c r="B414" s="2006"/>
      <c r="C414" s="1649"/>
      <c r="D414" s="1639"/>
      <c r="E414" s="1639"/>
      <c r="F414" s="1639"/>
      <c r="G414" s="1639"/>
      <c r="H414" s="1639"/>
      <c r="I414" s="1639"/>
      <c r="J414" s="1639"/>
      <c r="K414" s="1639"/>
      <c r="L414" s="1639"/>
      <c r="M414" s="1639"/>
      <c r="N414" s="1639"/>
      <c r="O414" s="1639"/>
      <c r="P414" s="26">
        <f>IF($S$417=1,0,IF(OR(R413=3,R413=4,R413=5),0.05,0))</f>
        <v>0</v>
      </c>
      <c r="Q414" s="35"/>
      <c r="R414" s="18"/>
      <c r="S414" s="18"/>
      <c r="T414" s="18"/>
      <c r="U414" s="18"/>
      <c r="V414" s="18"/>
      <c r="W414" s="18"/>
      <c r="X414" s="18"/>
      <c r="Y414" s="18"/>
      <c r="Z414" s="18"/>
      <c r="AA414" s="18"/>
      <c r="AB414" s="18"/>
      <c r="AC414" s="18"/>
      <c r="AD414" s="18"/>
      <c r="AE414" s="18"/>
      <c r="AF414" s="18"/>
      <c r="AG414" s="18"/>
      <c r="AH414" s="18"/>
      <c r="AI414" s="111"/>
      <c r="AJ414" s="18"/>
      <c r="AK414" s="18"/>
      <c r="AL414" s="18"/>
      <c r="AM414" s="18"/>
      <c r="AN414" s="18"/>
      <c r="AO414" s="18"/>
      <c r="AP414" s="18"/>
      <c r="AQ414" s="18"/>
      <c r="AR414" s="18"/>
      <c r="AS414" s="18"/>
      <c r="AT414" s="18"/>
      <c r="AU414" s="18"/>
      <c r="AV414" s="18"/>
      <c r="AW414" s="18"/>
      <c r="AX414" s="18"/>
      <c r="AY414" s="18"/>
      <c r="AZ414" s="18"/>
      <c r="BA414" s="14"/>
      <c r="BB414" s="14"/>
      <c r="BC414" s="14"/>
      <c r="BD414" s="14"/>
      <c r="BE414" s="14"/>
      <c r="BF414" s="14"/>
      <c r="BG414" s="14"/>
      <c r="BH414" s="14"/>
      <c r="BI414" s="14"/>
      <c r="BJ414" s="14"/>
      <c r="BK414" s="14"/>
      <c r="BL414" s="14"/>
      <c r="BM414" s="14"/>
      <c r="BN414" s="14"/>
      <c r="BO414" s="14"/>
      <c r="BP414" s="14"/>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row>
    <row r="415" spans="1:142" s="63" customFormat="1" ht="18" customHeight="1" x14ac:dyDescent="0.2">
      <c r="A415" s="35"/>
      <c r="B415" s="2006"/>
      <c r="C415" s="1649"/>
      <c r="D415" s="1639"/>
      <c r="E415" s="1639"/>
      <c r="F415" s="1639"/>
      <c r="G415" s="1639"/>
      <c r="H415" s="1639"/>
      <c r="I415" s="1639"/>
      <c r="J415" s="1639"/>
      <c r="K415" s="1639"/>
      <c r="L415" s="1639"/>
      <c r="M415" s="1639"/>
      <c r="N415" s="1639"/>
      <c r="O415" s="1639"/>
      <c r="P415" s="26">
        <f>IF($S$417=1,0,IF(OR(R413=4,R413=5),0.05,0))</f>
        <v>0</v>
      </c>
      <c r="Q415" s="35"/>
      <c r="R415" s="18"/>
      <c r="S415" s="18"/>
      <c r="T415" s="18"/>
      <c r="U415" s="18"/>
      <c r="V415" s="18"/>
      <c r="W415" s="18"/>
      <c r="X415" s="18"/>
      <c r="Y415" s="18"/>
      <c r="Z415" s="18"/>
      <c r="AA415" s="18"/>
      <c r="AB415" s="18"/>
      <c r="AC415" s="18"/>
      <c r="AD415" s="18"/>
      <c r="AE415" s="18"/>
      <c r="AF415" s="18"/>
      <c r="AG415" s="18"/>
      <c r="AH415" s="18"/>
      <c r="AI415" s="111"/>
      <c r="AJ415" s="18"/>
      <c r="AK415" s="18"/>
      <c r="AL415" s="18"/>
      <c r="AM415" s="18"/>
      <c r="AN415" s="18"/>
      <c r="AO415" s="18"/>
      <c r="AP415" s="18"/>
      <c r="AQ415" s="18"/>
      <c r="AR415" s="18"/>
      <c r="AS415" s="18"/>
      <c r="AT415" s="18"/>
      <c r="AU415" s="18"/>
      <c r="AV415" s="18"/>
      <c r="AW415" s="18"/>
      <c r="AX415" s="18"/>
      <c r="AY415" s="18"/>
      <c r="AZ415" s="18"/>
      <c r="BA415" s="14"/>
      <c r="BB415" s="14"/>
      <c r="BC415" s="14"/>
      <c r="BD415" s="14"/>
      <c r="BE415" s="14"/>
      <c r="BF415" s="14"/>
      <c r="BG415" s="14"/>
      <c r="BH415" s="14"/>
      <c r="BI415" s="14"/>
      <c r="BJ415" s="14"/>
      <c r="BK415" s="14"/>
      <c r="BL415" s="14"/>
      <c r="BM415" s="14"/>
      <c r="BN415" s="14"/>
      <c r="BO415" s="14"/>
      <c r="BP415" s="14"/>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c r="CR415" s="14"/>
      <c r="CS415" s="14"/>
      <c r="CT415" s="14"/>
      <c r="CU415" s="14"/>
      <c r="CV415" s="14"/>
      <c r="CW415" s="14"/>
      <c r="CX415" s="14"/>
      <c r="CY415" s="14"/>
      <c r="CZ415" s="14"/>
      <c r="DA415" s="14"/>
      <c r="DB415" s="14"/>
      <c r="DC415" s="14"/>
      <c r="DD415" s="14"/>
      <c r="DE415" s="14"/>
      <c r="DF415" s="14"/>
      <c r="DG415" s="14"/>
      <c r="DH415" s="14"/>
      <c r="DI415" s="14"/>
      <c r="DJ415" s="14"/>
      <c r="DK415" s="14"/>
      <c r="DL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row>
    <row r="416" spans="1:142" s="63" customFormat="1" ht="18" customHeight="1" x14ac:dyDescent="0.2">
      <c r="A416" s="35"/>
      <c r="B416" s="2006"/>
      <c r="C416" s="1649"/>
      <c r="D416" s="1639"/>
      <c r="E416" s="1639"/>
      <c r="F416" s="1639"/>
      <c r="G416" s="1639"/>
      <c r="H416" s="1639"/>
      <c r="I416" s="1639"/>
      <c r="J416" s="1639"/>
      <c r="K416" s="1639"/>
      <c r="L416" s="1639"/>
      <c r="M416" s="1639"/>
      <c r="N416" s="1639"/>
      <c r="O416" s="1639"/>
      <c r="P416" s="26">
        <f>IF($S$417=1,0,IF(R413=5,0.05,0))</f>
        <v>0</v>
      </c>
      <c r="Q416" s="35"/>
      <c r="R416" s="18"/>
      <c r="S416" s="18"/>
      <c r="T416" s="18"/>
      <c r="U416" s="18"/>
      <c r="V416" s="18"/>
      <c r="W416" s="18"/>
      <c r="X416" s="18"/>
      <c r="Y416" s="18"/>
      <c r="Z416" s="18"/>
      <c r="AA416" s="18"/>
      <c r="AB416" s="18"/>
      <c r="AC416" s="18"/>
      <c r="AD416" s="18"/>
      <c r="AE416" s="18"/>
      <c r="AF416" s="18"/>
      <c r="AG416" s="18"/>
      <c r="AH416" s="18"/>
      <c r="AI416" s="111"/>
      <c r="AJ416" s="18"/>
      <c r="AK416" s="18"/>
      <c r="AL416" s="18"/>
      <c r="AM416" s="18"/>
      <c r="AN416" s="18"/>
      <c r="AO416" s="18"/>
      <c r="AP416" s="18"/>
      <c r="AQ416" s="18"/>
      <c r="AR416" s="18"/>
      <c r="AS416" s="18"/>
      <c r="AT416" s="18"/>
      <c r="AU416" s="18"/>
      <c r="AV416" s="18"/>
      <c r="AW416" s="18"/>
      <c r="AX416" s="18"/>
      <c r="AY416" s="18"/>
      <c r="AZ416" s="18"/>
      <c r="BA416" s="14"/>
      <c r="BB416" s="14"/>
      <c r="BC416" s="14"/>
      <c r="BD416" s="14"/>
      <c r="BE416" s="14"/>
      <c r="BF416" s="14"/>
      <c r="BG416" s="14"/>
      <c r="BH416" s="14"/>
      <c r="BI416" s="14"/>
      <c r="BJ416" s="14"/>
      <c r="BK416" s="14"/>
      <c r="BL416" s="14"/>
      <c r="BM416" s="14"/>
      <c r="BN416" s="14"/>
      <c r="BO416" s="14"/>
      <c r="BP416" s="14"/>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4"/>
      <c r="CQ416" s="14"/>
      <c r="CR416" s="14"/>
      <c r="CS416" s="14"/>
      <c r="CT416" s="14"/>
      <c r="CU416" s="14"/>
      <c r="CV416" s="14"/>
      <c r="CW416" s="14"/>
      <c r="CX416" s="14"/>
      <c r="CY416" s="14"/>
      <c r="CZ416" s="14"/>
      <c r="DA416" s="14"/>
      <c r="DB416" s="14"/>
      <c r="DC416" s="14"/>
      <c r="DD416" s="14"/>
      <c r="DE416" s="14"/>
      <c r="DF416" s="14"/>
      <c r="DG416" s="14"/>
      <c r="DH416" s="14"/>
      <c r="DI416" s="14"/>
      <c r="DJ416" s="14"/>
      <c r="DK416" s="14"/>
      <c r="DL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row>
    <row r="417" spans="1:142" s="63" customFormat="1" ht="18" customHeight="1" x14ac:dyDescent="0.2">
      <c r="A417" s="8"/>
      <c r="B417" s="482"/>
      <c r="C417" s="155"/>
      <c r="D417" s="1656" t="s">
        <v>1860</v>
      </c>
      <c r="E417" s="1656"/>
      <c r="F417" s="1656"/>
      <c r="G417" s="1656"/>
      <c r="H417" s="1656"/>
      <c r="I417" s="1656"/>
      <c r="J417" s="1656"/>
      <c r="K417" s="1656"/>
      <c r="L417" s="1656"/>
      <c r="M417" s="1656"/>
      <c r="N417" s="1656"/>
      <c r="O417" s="1656"/>
      <c r="P417" s="26">
        <f>IF(S417=1,0.2,0)</f>
        <v>0</v>
      </c>
      <c r="Q417" s="8"/>
      <c r="R417" s="873" t="b">
        <v>0</v>
      </c>
      <c r="S417" s="877">
        <f>IF(R417=TRUE,1,0)</f>
        <v>0</v>
      </c>
      <c r="T417" s="18"/>
      <c r="U417" s="18"/>
      <c r="V417" s="18"/>
      <c r="W417" s="18"/>
      <c r="X417" s="18"/>
      <c r="Y417" s="18"/>
      <c r="Z417" s="18"/>
      <c r="AA417" s="18"/>
      <c r="AB417" s="18"/>
      <c r="AC417" s="18"/>
      <c r="AD417" s="18"/>
      <c r="AE417" s="18"/>
      <c r="AF417" s="18"/>
      <c r="AG417" s="18"/>
      <c r="AH417" s="18"/>
      <c r="AI417" s="18"/>
      <c r="AJ417" s="18"/>
      <c r="AK417" s="18"/>
      <c r="AL417" s="18"/>
      <c r="AM417" s="18"/>
      <c r="AN417" s="115"/>
      <c r="AO417" s="115"/>
      <c r="AP417" s="115"/>
      <c r="AQ417" s="115"/>
      <c r="AR417" s="115"/>
      <c r="AS417" s="115"/>
      <c r="AT417" s="115"/>
      <c r="AU417" s="115"/>
      <c r="AV417" s="115"/>
      <c r="AW417" s="115"/>
      <c r="AX417" s="115"/>
      <c r="AY417" s="115"/>
      <c r="AZ417" s="60"/>
      <c r="BA417" s="60"/>
      <c r="BB417" s="60"/>
      <c r="BC417" s="60"/>
      <c r="BD417" s="60"/>
      <c r="BE417" s="60"/>
      <c r="BF417" s="14"/>
      <c r="BG417" s="14"/>
      <c r="BH417" s="14"/>
      <c r="BI417" s="14"/>
      <c r="BJ417" s="14"/>
      <c r="BK417" s="14"/>
      <c r="BL417" s="14"/>
      <c r="BM417" s="14"/>
      <c r="BN417" s="14"/>
      <c r="BO417" s="14"/>
      <c r="BP417" s="14"/>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c r="CR417" s="14"/>
      <c r="CS417" s="14"/>
      <c r="CT417" s="14"/>
      <c r="CU417" s="14"/>
      <c r="CV417" s="14"/>
      <c r="CW417" s="14"/>
      <c r="CX417" s="14"/>
      <c r="CY417" s="14"/>
      <c r="CZ417" s="14"/>
      <c r="DA417" s="14"/>
      <c r="DB417" s="14"/>
      <c r="DC417" s="14"/>
      <c r="DD417" s="14"/>
      <c r="DE417" s="14"/>
      <c r="DF417" s="14"/>
      <c r="DG417" s="14"/>
      <c r="DH417" s="14"/>
      <c r="DI417" s="14"/>
      <c r="DJ417" s="14"/>
      <c r="DK417" s="14"/>
      <c r="DL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row>
    <row r="418" spans="1:142" s="63" customFormat="1" ht="18" customHeight="1" x14ac:dyDescent="0.2">
      <c r="A418" s="8"/>
      <c r="B418" s="483"/>
      <c r="C418" s="155"/>
      <c r="D418" s="1656" t="s">
        <v>1861</v>
      </c>
      <c r="E418" s="1656"/>
      <c r="F418" s="1656"/>
      <c r="G418" s="1656"/>
      <c r="H418" s="1656"/>
      <c r="I418" s="1656"/>
      <c r="J418" s="1656"/>
      <c r="K418" s="1656"/>
      <c r="L418" s="1656"/>
      <c r="M418" s="1656"/>
      <c r="N418" s="1656"/>
      <c r="O418" s="1656"/>
      <c r="P418" s="26">
        <f>IF(S418=1,0.15,0)</f>
        <v>0</v>
      </c>
      <c r="Q418" s="8"/>
      <c r="R418" s="873" t="b">
        <v>0</v>
      </c>
      <c r="S418" s="877">
        <f>IF(R418=TRUE,1,0)</f>
        <v>0</v>
      </c>
      <c r="T418" s="60"/>
      <c r="U418" s="60"/>
      <c r="V418" s="60"/>
      <c r="W418" s="60"/>
      <c r="X418" s="60"/>
      <c r="Y418" s="60"/>
      <c r="Z418" s="60"/>
      <c r="AA418" s="60"/>
      <c r="AB418" s="60"/>
      <c r="AC418" s="60"/>
      <c r="AD418" s="60"/>
      <c r="AE418" s="60"/>
      <c r="AF418" s="60"/>
      <c r="AG418" s="60"/>
      <c r="AH418" s="60"/>
      <c r="AI418" s="60"/>
      <c r="AJ418" s="60"/>
      <c r="AK418" s="60"/>
      <c r="AL418" s="60"/>
      <c r="AM418" s="60"/>
      <c r="AN418" s="60"/>
      <c r="AO418" s="60"/>
      <c r="AP418" s="60"/>
      <c r="AQ418" s="60"/>
      <c r="AR418" s="60"/>
      <c r="AS418" s="60"/>
      <c r="AT418" s="60"/>
      <c r="AU418" s="60"/>
      <c r="AV418" s="60"/>
      <c r="AW418" s="60"/>
      <c r="AX418" s="60"/>
      <c r="AY418" s="60"/>
      <c r="AZ418" s="60"/>
      <c r="BA418" s="60"/>
      <c r="BB418" s="60"/>
      <c r="BC418" s="60"/>
      <c r="BD418" s="60"/>
      <c r="BE418" s="60"/>
      <c r="BF418" s="14"/>
      <c r="BG418" s="14"/>
      <c r="BH418" s="14"/>
      <c r="BI418" s="14"/>
      <c r="BJ418" s="14"/>
      <c r="BK418" s="14"/>
      <c r="BL418" s="14"/>
      <c r="BM418" s="14"/>
      <c r="BN418" s="14"/>
      <c r="BO418" s="14"/>
      <c r="BP418" s="14"/>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c r="CW418" s="14"/>
      <c r="CX418" s="14"/>
      <c r="CY418" s="14"/>
      <c r="CZ418" s="14"/>
      <c r="DA418" s="14"/>
      <c r="DB418" s="14"/>
      <c r="DC418" s="14"/>
      <c r="DD418" s="14"/>
      <c r="DE418" s="14"/>
      <c r="DF418" s="14"/>
      <c r="DG418" s="14"/>
      <c r="DH418" s="14"/>
      <c r="DI418" s="14"/>
      <c r="DJ418" s="14"/>
      <c r="DK418" s="14"/>
      <c r="DL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row>
    <row r="419" spans="1:142" s="63" customFormat="1" ht="12" customHeight="1" x14ac:dyDescent="0.25">
      <c r="A419" s="8"/>
      <c r="B419" s="1825"/>
      <c r="C419" s="1825"/>
      <c r="D419" s="1825"/>
      <c r="E419" s="1825"/>
      <c r="F419" s="1825"/>
      <c r="G419" s="1825"/>
      <c r="H419" s="1825"/>
      <c r="I419" s="1825"/>
      <c r="J419" s="1825"/>
      <c r="K419" s="1825"/>
      <c r="L419" s="1825"/>
      <c r="M419" s="1825"/>
      <c r="N419" s="1825"/>
      <c r="O419" s="1825"/>
      <c r="P419" s="35"/>
      <c r="Q419" s="8"/>
      <c r="R419" s="60"/>
      <c r="S419" s="60"/>
      <c r="T419" s="60"/>
      <c r="U419" s="60"/>
      <c r="V419" s="60"/>
      <c r="W419" s="60"/>
      <c r="X419" s="60"/>
      <c r="Y419" s="60"/>
      <c r="Z419" s="60"/>
      <c r="AA419" s="60"/>
      <c r="AB419" s="60"/>
      <c r="AC419" s="60"/>
      <c r="AD419" s="60"/>
      <c r="AE419" s="60"/>
      <c r="AF419" s="60"/>
      <c r="AG419" s="60"/>
      <c r="AH419" s="60"/>
      <c r="AI419" s="60"/>
      <c r="AJ419" s="60"/>
      <c r="AK419" s="60"/>
      <c r="AL419" s="60"/>
      <c r="AM419" s="60"/>
      <c r="AN419" s="60"/>
      <c r="AO419" s="60"/>
      <c r="AP419" s="60"/>
      <c r="AQ419" s="60"/>
      <c r="AR419" s="60"/>
      <c r="AS419" s="60"/>
      <c r="AT419" s="60"/>
      <c r="AU419" s="60"/>
      <c r="AV419" s="60"/>
      <c r="AW419" s="60"/>
      <c r="AX419" s="60"/>
      <c r="AY419" s="60"/>
      <c r="AZ419" s="60"/>
      <c r="BA419" s="60"/>
      <c r="BB419" s="60"/>
      <c r="BC419" s="60"/>
      <c r="BD419" s="60"/>
      <c r="BE419" s="60"/>
      <c r="BF419" s="14"/>
      <c r="BG419" s="14"/>
      <c r="BH419" s="14"/>
      <c r="BI419" s="14"/>
      <c r="BJ419" s="14"/>
      <c r="BK419" s="14"/>
      <c r="BL419" s="14"/>
      <c r="BM419" s="14"/>
      <c r="BN419" s="14"/>
      <c r="BO419" s="14"/>
      <c r="BP419" s="14"/>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C419" s="14"/>
      <c r="DD419" s="14"/>
      <c r="DE419" s="14"/>
      <c r="DF419" s="14"/>
      <c r="DG419" s="14"/>
      <c r="DH419" s="14"/>
      <c r="DI419" s="14"/>
      <c r="DJ419" s="14"/>
      <c r="DK419" s="14"/>
      <c r="DL419" s="14"/>
      <c r="DM419" s="14"/>
      <c r="DN419" s="14"/>
      <c r="DO419" s="14"/>
      <c r="DP419" s="14"/>
      <c r="DQ419" s="14"/>
      <c r="DR419" s="14"/>
      <c r="DS419" s="14"/>
      <c r="DT419" s="14"/>
      <c r="DU419" s="14"/>
      <c r="DV419" s="14"/>
      <c r="DW419" s="14"/>
      <c r="DX419" s="14"/>
      <c r="DY419" s="14"/>
      <c r="DZ419" s="14"/>
      <c r="EA419" s="14"/>
      <c r="EB419" s="14"/>
      <c r="EC419" s="14"/>
      <c r="ED419" s="14"/>
      <c r="EE419" s="14"/>
      <c r="EF419" s="14"/>
      <c r="EG419" s="14"/>
      <c r="EH419" s="14"/>
      <c r="EI419" s="14"/>
      <c r="EJ419" s="14"/>
      <c r="EK419" s="14"/>
      <c r="EL419" s="14"/>
    </row>
    <row r="420" spans="1:142" s="63" customFormat="1" ht="18" customHeight="1" x14ac:dyDescent="0.2">
      <c r="A420" s="35"/>
      <c r="B420" s="1379" t="s">
        <v>551</v>
      </c>
      <c r="C420" s="1379"/>
      <c r="D420" s="1379"/>
      <c r="E420" s="1379"/>
      <c r="F420" s="1379"/>
      <c r="G420" s="1379"/>
      <c r="H420" s="1379"/>
      <c r="I420" s="1379"/>
      <c r="J420" s="1379"/>
      <c r="K420" s="1379"/>
      <c r="L420" s="1379"/>
      <c r="M420" s="1379"/>
      <c r="N420" s="1308"/>
      <c r="O420" s="1308"/>
      <c r="P420" s="26">
        <f>IF(N420=S420,0.03,IF(N420=T420,0.15,IF(N420=U420,0.38,IF(N420=V420,0.68,IF(N420=W420,0.9,0)))))</f>
        <v>0</v>
      </c>
      <c r="Q420" s="35"/>
      <c r="R420" s="1557" t="s">
        <v>2197</v>
      </c>
      <c r="S420" s="878" t="s">
        <v>1969</v>
      </c>
      <c r="T420" s="877" t="s">
        <v>1970</v>
      </c>
      <c r="U420" s="883" t="s">
        <v>1972</v>
      </c>
      <c r="V420" s="877" t="s">
        <v>945</v>
      </c>
      <c r="W420" s="883" t="s">
        <v>558</v>
      </c>
      <c r="Y420" s="60"/>
      <c r="Z420" s="18"/>
      <c r="AA420" s="18"/>
      <c r="AB420" s="19"/>
      <c r="AC420" s="18"/>
      <c r="AD420" s="19"/>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4"/>
      <c r="BB420" s="14"/>
      <c r="BC420" s="14"/>
      <c r="BD420" s="14"/>
      <c r="BE420" s="14"/>
      <c r="BF420" s="14"/>
      <c r="BG420" s="14"/>
      <c r="BH420" s="14"/>
      <c r="BI420" s="14"/>
      <c r="BJ420" s="14"/>
      <c r="BK420" s="14"/>
      <c r="BL420" s="14"/>
      <c r="BM420" s="14"/>
      <c r="BN420" s="14"/>
      <c r="BO420" s="14"/>
      <c r="BP420" s="14"/>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4"/>
      <c r="DP420" s="14"/>
      <c r="DQ420" s="14"/>
      <c r="DR420" s="14"/>
      <c r="DS420" s="14"/>
      <c r="DT420" s="14"/>
      <c r="DU420" s="14"/>
      <c r="DV420" s="14"/>
      <c r="DW420" s="14"/>
      <c r="DX420" s="14"/>
      <c r="DY420" s="14"/>
      <c r="DZ420" s="14"/>
      <c r="EA420" s="14"/>
      <c r="EB420" s="14"/>
      <c r="EC420" s="14"/>
      <c r="ED420" s="14"/>
      <c r="EE420" s="14"/>
      <c r="EF420" s="14"/>
      <c r="EG420" s="14"/>
      <c r="EH420" s="14"/>
      <c r="EI420" s="14"/>
      <c r="EJ420" s="14"/>
      <c r="EK420" s="14"/>
      <c r="EL420" s="14"/>
    </row>
    <row r="421" spans="1:142" s="63" customFormat="1" ht="18" customHeight="1" x14ac:dyDescent="0.2">
      <c r="A421" s="35"/>
      <c r="B421" s="1379" t="s">
        <v>552</v>
      </c>
      <c r="C421" s="1379"/>
      <c r="D421" s="1379"/>
      <c r="E421" s="1379"/>
      <c r="F421" s="1379"/>
      <c r="G421" s="1379"/>
      <c r="H421" s="1379"/>
      <c r="I421" s="1379"/>
      <c r="J421" s="1379"/>
      <c r="K421" s="1379"/>
      <c r="L421" s="1379"/>
      <c r="M421" s="1379"/>
      <c r="N421" s="1308"/>
      <c r="O421" s="1308"/>
      <c r="P421" s="26">
        <f>IF(N421=S420,0.03,IF(N421=T420,0.15,IF(N421=U420,0.35,IF(N421=V420,0.63,IF(N421=W420,0.88,0)))))</f>
        <v>0</v>
      </c>
      <c r="Q421" s="35"/>
      <c r="R421" s="1557"/>
      <c r="T421" s="19"/>
      <c r="U421" s="19"/>
      <c r="V421" s="19"/>
      <c r="W421" s="19"/>
      <c r="X421" s="19"/>
      <c r="Y421" s="60"/>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4"/>
      <c r="BB421" s="14"/>
      <c r="BC421" s="14"/>
      <c r="BD421" s="14"/>
      <c r="BE421" s="14"/>
      <c r="BF421" s="14"/>
      <c r="BG421" s="14"/>
      <c r="BH421" s="14"/>
      <c r="BI421" s="14"/>
      <c r="BJ421" s="14"/>
      <c r="BK421" s="14"/>
      <c r="BL421" s="14"/>
      <c r="BM421" s="14"/>
      <c r="BN421" s="14"/>
      <c r="BO421" s="14"/>
      <c r="BP421" s="14"/>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4"/>
      <c r="CQ421" s="14"/>
      <c r="CR421" s="14"/>
      <c r="CS421" s="14"/>
      <c r="CT421" s="14"/>
      <c r="CU421" s="14"/>
      <c r="CV421" s="14"/>
      <c r="CW421" s="14"/>
      <c r="CX421" s="14"/>
      <c r="CY421" s="14"/>
      <c r="CZ421" s="14"/>
      <c r="DA421" s="14"/>
      <c r="DB421" s="14"/>
      <c r="DC421" s="14"/>
      <c r="DD421" s="14"/>
      <c r="DE421" s="14"/>
      <c r="DF421" s="14"/>
      <c r="DG421" s="14"/>
      <c r="DH421" s="14"/>
      <c r="DI421" s="14"/>
      <c r="DJ421" s="14"/>
      <c r="DK421" s="14"/>
      <c r="DL421" s="14"/>
      <c r="DM421" s="14"/>
      <c r="DN421" s="14"/>
      <c r="DO421" s="14"/>
      <c r="DP421" s="14"/>
      <c r="DQ421" s="14"/>
      <c r="DR421" s="14"/>
      <c r="DS421" s="14"/>
      <c r="DT421" s="14"/>
      <c r="DU421" s="14"/>
      <c r="DV421" s="14"/>
      <c r="DW421" s="14"/>
      <c r="DX421" s="14"/>
      <c r="DY421" s="14"/>
      <c r="DZ421" s="14"/>
      <c r="EA421" s="14"/>
      <c r="EB421" s="14"/>
      <c r="EC421" s="14"/>
      <c r="ED421" s="14"/>
      <c r="EE421" s="14"/>
      <c r="EF421" s="14"/>
      <c r="EG421" s="14"/>
      <c r="EH421" s="14"/>
      <c r="EI421" s="14"/>
      <c r="EJ421" s="14"/>
      <c r="EK421" s="14"/>
      <c r="EL421" s="14"/>
    </row>
    <row r="422" spans="1:142" s="63" customFormat="1" x14ac:dyDescent="0.2">
      <c r="A422" s="35"/>
      <c r="B422" s="1395"/>
      <c r="C422" s="1395"/>
      <c r="D422" s="1395"/>
      <c r="E422" s="1395"/>
      <c r="F422" s="1395"/>
      <c r="G422" s="1395"/>
      <c r="H422" s="1395"/>
      <c r="I422" s="1395"/>
      <c r="J422" s="1395"/>
      <c r="K422" s="1395"/>
      <c r="L422" s="1395"/>
      <c r="M422" s="1395"/>
      <c r="N422" s="1395"/>
      <c r="O422" s="1395"/>
      <c r="P422" s="35"/>
      <c r="Q422" s="35"/>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4"/>
      <c r="BB422" s="14"/>
      <c r="BC422" s="14"/>
      <c r="BD422" s="14"/>
      <c r="BE422" s="14"/>
      <c r="BF422" s="14"/>
      <c r="BG422" s="14"/>
      <c r="BH422" s="14"/>
      <c r="BI422" s="14"/>
      <c r="BJ422" s="14"/>
      <c r="BK422" s="14"/>
      <c r="BL422" s="14"/>
      <c r="BM422" s="14"/>
      <c r="BN422" s="14"/>
      <c r="BO422" s="14"/>
      <c r="BP422" s="14"/>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row>
    <row r="423" spans="1:142" s="63" customFormat="1" ht="18" customHeight="1" x14ac:dyDescent="0.25">
      <c r="A423" s="35"/>
      <c r="B423" s="1811" t="s">
        <v>1218</v>
      </c>
      <c r="C423" s="1555"/>
      <c r="D423" s="1555"/>
      <c r="E423" s="1555"/>
      <c r="F423" s="1555"/>
      <c r="G423" s="1555"/>
      <c r="H423" s="1555"/>
      <c r="I423" s="1555"/>
      <c r="J423" s="1555"/>
      <c r="K423" s="1555"/>
      <c r="L423" s="1555"/>
      <c r="M423" s="1555"/>
      <c r="N423" s="1555"/>
      <c r="O423" s="1549"/>
      <c r="P423" s="368"/>
      <c r="Q423" s="35"/>
      <c r="R423" s="882"/>
      <c r="S423" s="18"/>
      <c r="T423" s="18"/>
      <c r="U423" s="18"/>
      <c r="V423" s="18"/>
      <c r="W423" s="18"/>
      <c r="X423" s="19"/>
      <c r="Y423" s="60"/>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4"/>
      <c r="BB423" s="14"/>
      <c r="BC423" s="14"/>
      <c r="BD423" s="14"/>
      <c r="BE423" s="14"/>
      <c r="BF423" s="14"/>
      <c r="BG423" s="14"/>
      <c r="BH423" s="14"/>
      <c r="BI423" s="14"/>
      <c r="BJ423" s="14"/>
      <c r="BK423" s="14"/>
      <c r="BL423" s="14"/>
      <c r="BM423" s="14"/>
      <c r="BN423" s="14"/>
      <c r="BO423" s="14"/>
      <c r="BP423" s="14"/>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4"/>
      <c r="CQ423" s="14"/>
      <c r="CR423" s="14"/>
      <c r="CS423" s="14"/>
      <c r="CT423" s="14"/>
      <c r="CU423" s="14"/>
      <c r="CV423" s="14"/>
      <c r="CW423" s="14"/>
      <c r="CX423" s="14"/>
      <c r="CY423" s="14"/>
      <c r="CZ423" s="14"/>
      <c r="DA423" s="14"/>
      <c r="DB423" s="14"/>
      <c r="DC423" s="14"/>
      <c r="DD423" s="14"/>
      <c r="DE423" s="14"/>
      <c r="DF423" s="14"/>
      <c r="DG423" s="14"/>
      <c r="DH423" s="14"/>
      <c r="DI423" s="14"/>
      <c r="DJ423" s="14"/>
      <c r="DK423" s="14"/>
      <c r="DL423" s="14"/>
      <c r="DM423" s="14"/>
      <c r="DN423" s="14"/>
      <c r="DO423" s="14"/>
      <c r="DP423" s="14"/>
      <c r="DQ423" s="14"/>
      <c r="DR423" s="14"/>
      <c r="DS423" s="14"/>
      <c r="DT423" s="14"/>
      <c r="DU423" s="14"/>
      <c r="DV423" s="14"/>
      <c r="DW423" s="14"/>
      <c r="DX423" s="14"/>
      <c r="DY423" s="14"/>
      <c r="DZ423" s="14"/>
      <c r="EA423" s="14"/>
      <c r="EB423" s="14"/>
      <c r="EC423" s="14"/>
      <c r="ED423" s="14"/>
      <c r="EE423" s="14"/>
      <c r="EF423" s="14"/>
      <c r="EG423" s="14"/>
      <c r="EH423" s="14"/>
      <c r="EI423" s="14"/>
      <c r="EJ423" s="14"/>
      <c r="EK423" s="14"/>
      <c r="EL423" s="14"/>
    </row>
    <row r="424" spans="1:142" s="63" customFormat="1" ht="27" customHeight="1" x14ac:dyDescent="0.2">
      <c r="A424" s="20"/>
      <c r="B424" s="591" t="s">
        <v>1768</v>
      </c>
      <c r="C424" s="1998" t="s">
        <v>2022</v>
      </c>
      <c r="D424" s="1999"/>
      <c r="E424" s="1999"/>
      <c r="F424" s="1999"/>
      <c r="G424" s="1999"/>
      <c r="H424" s="1999"/>
      <c r="I424" s="1999"/>
      <c r="J424" s="1999"/>
      <c r="K424" s="1999"/>
      <c r="L424" s="1999"/>
      <c r="M424" s="1999"/>
      <c r="N424" s="1999"/>
      <c r="O424" s="2004"/>
      <c r="P424" s="253"/>
      <c r="Q424" s="35"/>
      <c r="R424" s="882"/>
      <c r="S424" s="18"/>
      <c r="T424" s="19"/>
      <c r="U424" s="19"/>
      <c r="V424" s="19"/>
      <c r="W424" s="116">
        <v>1E-4</v>
      </c>
      <c r="X424" s="19"/>
      <c r="Y424" s="60"/>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4"/>
      <c r="BB424" s="14"/>
      <c r="BC424" s="14"/>
      <c r="BD424" s="14"/>
      <c r="BE424" s="14"/>
      <c r="BF424" s="14"/>
      <c r="BG424" s="14"/>
      <c r="BH424" s="14"/>
      <c r="BI424" s="14"/>
      <c r="BJ424" s="14"/>
      <c r="BK424" s="14"/>
      <c r="BL424" s="14"/>
      <c r="BM424" s="14"/>
      <c r="BN424" s="14"/>
      <c r="BO424" s="14"/>
      <c r="BP424" s="14"/>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c r="CR424" s="14"/>
      <c r="CS424" s="14"/>
      <c r="CT424" s="14"/>
      <c r="CU424" s="14"/>
      <c r="CV424" s="14"/>
      <c r="CW424" s="14"/>
      <c r="CX424" s="14"/>
      <c r="CY424" s="14"/>
      <c r="CZ424" s="14"/>
      <c r="DA424" s="14"/>
      <c r="DB424" s="14"/>
      <c r="DC424" s="14"/>
      <c r="DD424" s="14"/>
      <c r="DE424" s="14"/>
      <c r="DF424" s="14"/>
      <c r="DG424" s="14"/>
      <c r="DH424" s="14"/>
      <c r="DI424" s="14"/>
      <c r="DJ424" s="14"/>
      <c r="DK424" s="14"/>
      <c r="DL424" s="14"/>
      <c r="DM424" s="14"/>
      <c r="DN424" s="14"/>
      <c r="DO424" s="14"/>
      <c r="DP424" s="14"/>
      <c r="DQ424" s="14"/>
      <c r="DR424" s="14"/>
      <c r="DS424" s="14"/>
      <c r="DT424" s="14"/>
      <c r="DU424" s="14"/>
      <c r="DV424" s="14"/>
      <c r="DW424" s="14"/>
      <c r="DX424" s="14"/>
      <c r="DY424" s="14"/>
      <c r="DZ424" s="14"/>
      <c r="EA424" s="14"/>
      <c r="EB424" s="14"/>
      <c r="EC424" s="14"/>
      <c r="ED424" s="14"/>
      <c r="EE424" s="14"/>
      <c r="EF424" s="14"/>
      <c r="EG424" s="14"/>
      <c r="EH424" s="14"/>
      <c r="EI424" s="14"/>
      <c r="EJ424" s="14"/>
      <c r="EK424" s="14"/>
      <c r="EL424" s="14"/>
    </row>
    <row r="425" spans="1:142" s="63" customFormat="1" ht="37.5" customHeight="1" x14ac:dyDescent="0.2">
      <c r="A425" s="35"/>
      <c r="B425" s="592"/>
      <c r="C425" s="1998" t="s">
        <v>2023</v>
      </c>
      <c r="D425" s="1999"/>
      <c r="E425" s="1999"/>
      <c r="F425" s="1999"/>
      <c r="G425" s="1999"/>
      <c r="H425" s="1999"/>
      <c r="I425" s="1999"/>
      <c r="J425" s="1999"/>
      <c r="K425" s="1999"/>
      <c r="L425" s="1999"/>
      <c r="M425" s="1999"/>
      <c r="N425" s="1999"/>
      <c r="O425" s="2004"/>
      <c r="P425" s="253"/>
      <c r="Q425" s="35"/>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4"/>
      <c r="BB425" s="14"/>
      <c r="BC425" s="14"/>
      <c r="BD425" s="14"/>
      <c r="BE425" s="14"/>
      <c r="BF425" s="14"/>
      <c r="BG425" s="14"/>
      <c r="BH425" s="14"/>
      <c r="BI425" s="14"/>
      <c r="BJ425" s="14"/>
      <c r="BK425" s="14"/>
      <c r="BL425" s="14"/>
      <c r="BM425" s="14"/>
      <c r="BN425" s="14"/>
      <c r="BO425" s="14"/>
      <c r="BP425" s="14"/>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c r="CR425" s="14"/>
      <c r="CS425" s="14"/>
      <c r="CT425" s="14"/>
      <c r="CU425" s="14"/>
      <c r="CV425" s="14"/>
      <c r="CW425" s="14"/>
      <c r="CX425" s="14"/>
      <c r="CY425" s="14"/>
      <c r="CZ425" s="14"/>
      <c r="DA425" s="14"/>
      <c r="DB425" s="14"/>
      <c r="DC425" s="14"/>
      <c r="DD425" s="14"/>
      <c r="DE425" s="14"/>
      <c r="DF425" s="14"/>
      <c r="DG425" s="14"/>
      <c r="DH425" s="14"/>
      <c r="DI425" s="14"/>
      <c r="DJ425" s="14"/>
      <c r="DK425" s="14"/>
      <c r="DL425" s="14"/>
      <c r="DM425" s="14"/>
      <c r="DN425" s="14"/>
      <c r="DO425" s="14"/>
      <c r="DP425" s="14"/>
      <c r="DQ425" s="14"/>
      <c r="DR425" s="14"/>
      <c r="DS425" s="14"/>
      <c r="DT425" s="14"/>
      <c r="DU425" s="14"/>
      <c r="DV425" s="14"/>
      <c r="DW425" s="14"/>
      <c r="DX425" s="14"/>
      <c r="DY425" s="14"/>
      <c r="DZ425" s="14"/>
      <c r="EA425" s="14"/>
      <c r="EB425" s="14"/>
      <c r="EC425" s="14"/>
      <c r="ED425" s="14"/>
      <c r="EE425" s="14"/>
      <c r="EF425" s="14"/>
      <c r="EG425" s="14"/>
      <c r="EH425" s="14"/>
      <c r="EI425" s="14"/>
      <c r="EJ425" s="14"/>
      <c r="EK425" s="14"/>
      <c r="EL425" s="14"/>
    </row>
    <row r="426" spans="1:142" s="63" customFormat="1" ht="27" customHeight="1" x14ac:dyDescent="0.2">
      <c r="A426" s="35"/>
      <c r="B426" s="592"/>
      <c r="C426" s="2007" t="s">
        <v>2024</v>
      </c>
      <c r="D426" s="2008"/>
      <c r="E426" s="2008"/>
      <c r="F426" s="2008"/>
      <c r="G426" s="2008"/>
      <c r="H426" s="2008"/>
      <c r="I426" s="2008"/>
      <c r="J426" s="2008"/>
      <c r="K426" s="2008"/>
      <c r="L426" s="2008"/>
      <c r="M426" s="2008"/>
      <c r="N426" s="2008"/>
      <c r="O426" s="2009"/>
      <c r="P426" s="25"/>
      <c r="Q426" s="35"/>
      <c r="R426" s="686">
        <v>5</v>
      </c>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4"/>
      <c r="BB426" s="14"/>
      <c r="BC426" s="14"/>
      <c r="BD426" s="14"/>
      <c r="BE426" s="14"/>
      <c r="BF426" s="14"/>
      <c r="BG426" s="14"/>
      <c r="BH426" s="14"/>
      <c r="BI426" s="14"/>
      <c r="BJ426" s="14"/>
      <c r="BK426" s="14"/>
      <c r="BL426" s="14"/>
      <c r="BM426" s="14"/>
      <c r="BN426" s="14"/>
      <c r="BO426" s="14"/>
      <c r="BP426" s="14"/>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c r="CR426" s="14"/>
      <c r="CS426" s="14"/>
      <c r="CT426" s="14"/>
      <c r="CU426" s="14"/>
      <c r="CV426" s="14"/>
      <c r="CW426" s="14"/>
      <c r="CX426" s="14"/>
      <c r="CY426" s="14"/>
      <c r="CZ426" s="14"/>
      <c r="DA426" s="14"/>
      <c r="DB426" s="14"/>
      <c r="DC426" s="14"/>
      <c r="DD426" s="14"/>
      <c r="DE426" s="14"/>
      <c r="DF426" s="14"/>
      <c r="DG426" s="14"/>
      <c r="DH426" s="14"/>
      <c r="DI426" s="14"/>
      <c r="DJ426" s="14"/>
      <c r="DK426" s="14"/>
      <c r="DL426" s="14"/>
      <c r="DM426" s="14"/>
      <c r="DN426" s="14"/>
      <c r="DO426" s="14"/>
      <c r="DP426" s="14"/>
      <c r="DQ426" s="14"/>
      <c r="DR426" s="14"/>
      <c r="DS426" s="14"/>
      <c r="DT426" s="14"/>
      <c r="DU426" s="14"/>
      <c r="DV426" s="14"/>
      <c r="DW426" s="14"/>
      <c r="DX426" s="14"/>
      <c r="DY426" s="14"/>
      <c r="DZ426" s="14"/>
      <c r="EA426" s="14"/>
      <c r="EB426" s="14"/>
      <c r="EC426" s="14"/>
      <c r="ED426" s="14"/>
      <c r="EE426" s="14"/>
      <c r="EF426" s="14"/>
      <c r="EG426" s="14"/>
      <c r="EH426" s="14"/>
      <c r="EI426" s="14"/>
      <c r="EJ426" s="14"/>
      <c r="EK426" s="14"/>
      <c r="EL426" s="14"/>
    </row>
    <row r="427" spans="1:142" s="63" customFormat="1" ht="27" customHeight="1" x14ac:dyDescent="0.2">
      <c r="A427" s="35"/>
      <c r="B427" s="593"/>
      <c r="C427" s="1998" t="s">
        <v>2025</v>
      </c>
      <c r="D427" s="1999"/>
      <c r="E427" s="1999"/>
      <c r="F427" s="1999"/>
      <c r="G427" s="1999"/>
      <c r="H427" s="1999"/>
      <c r="I427" s="1999"/>
      <c r="J427" s="1999"/>
      <c r="K427" s="1999"/>
      <c r="L427" s="1999"/>
      <c r="M427" s="1999"/>
      <c r="N427" s="1999"/>
      <c r="O427" s="1999"/>
      <c r="P427" s="356">
        <f>IF(R426=1,0.23,IF(R426=2,0.48,IF(R426=3,0.76,IF(R426=4,1,0))))</f>
        <v>0</v>
      </c>
      <c r="Q427" s="35"/>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4"/>
      <c r="BB427" s="14"/>
      <c r="BC427" s="14"/>
      <c r="BD427" s="14"/>
      <c r="BE427" s="14"/>
      <c r="BF427" s="14"/>
      <c r="BG427" s="14"/>
      <c r="BH427" s="14"/>
      <c r="BI427" s="14"/>
      <c r="BJ427" s="14"/>
      <c r="BK427" s="14"/>
      <c r="BL427" s="14"/>
      <c r="BM427" s="14"/>
      <c r="BN427" s="14"/>
      <c r="BO427" s="14"/>
      <c r="BP427" s="14"/>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c r="CR427" s="14"/>
      <c r="CS427" s="14"/>
      <c r="CT427" s="14"/>
      <c r="CU427" s="14"/>
      <c r="CV427" s="14"/>
      <c r="CW427" s="14"/>
      <c r="CX427" s="14"/>
      <c r="CY427" s="14"/>
      <c r="CZ427" s="14"/>
      <c r="DA427" s="14"/>
      <c r="DB427" s="14"/>
      <c r="DC427" s="14"/>
      <c r="DD427" s="14"/>
      <c r="DE427" s="14"/>
      <c r="DF427" s="14"/>
      <c r="DG427" s="14"/>
      <c r="DH427" s="14"/>
      <c r="DI427" s="14"/>
      <c r="DJ427" s="14"/>
      <c r="DK427" s="14"/>
      <c r="DL427" s="14"/>
      <c r="DM427" s="14"/>
      <c r="DN427" s="14"/>
      <c r="DO427" s="14"/>
      <c r="DP427" s="14"/>
      <c r="DQ427" s="14"/>
      <c r="DR427" s="14"/>
      <c r="DS427" s="14"/>
      <c r="DT427" s="14"/>
      <c r="DU427" s="14"/>
      <c r="DV427" s="14"/>
      <c r="DW427" s="14"/>
      <c r="DX427" s="14"/>
      <c r="DY427" s="14"/>
      <c r="DZ427" s="14"/>
      <c r="EA427" s="14"/>
      <c r="EB427" s="14"/>
      <c r="EC427" s="14"/>
      <c r="ED427" s="14"/>
      <c r="EE427" s="14"/>
      <c r="EF427" s="14"/>
      <c r="EG427" s="14"/>
      <c r="EH427" s="14"/>
      <c r="EI427" s="14"/>
      <c r="EJ427" s="14"/>
      <c r="EK427" s="14"/>
      <c r="EL427" s="14"/>
    </row>
    <row r="428" spans="1:142" s="63" customFormat="1" ht="12" customHeight="1" x14ac:dyDescent="0.2">
      <c r="A428" s="35"/>
      <c r="B428" s="1395"/>
      <c r="C428" s="1395"/>
      <c r="D428" s="1395"/>
      <c r="E428" s="1395"/>
      <c r="F428" s="1395"/>
      <c r="G428" s="1395"/>
      <c r="H428" s="1395"/>
      <c r="I428" s="1395"/>
      <c r="J428" s="1395"/>
      <c r="K428" s="1395"/>
      <c r="L428" s="1395"/>
      <c r="M428" s="1395"/>
      <c r="N428" s="1395"/>
      <c r="O428" s="1395"/>
      <c r="P428" s="35"/>
      <c r="Q428" s="35"/>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4"/>
      <c r="BB428" s="14"/>
      <c r="BC428" s="14"/>
      <c r="BD428" s="14"/>
      <c r="BE428" s="14"/>
      <c r="BF428" s="14"/>
      <c r="BG428" s="14"/>
      <c r="BH428" s="14"/>
      <c r="BI428" s="14"/>
      <c r="BJ428" s="14"/>
      <c r="BK428" s="14"/>
      <c r="BL428" s="14"/>
      <c r="BM428" s="14"/>
      <c r="BN428" s="14"/>
      <c r="BO428" s="14"/>
      <c r="BP428" s="14"/>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4"/>
      <c r="CQ428" s="14"/>
      <c r="CR428" s="14"/>
      <c r="CS428" s="14"/>
      <c r="CT428" s="14"/>
      <c r="CU428" s="14"/>
      <c r="CV428" s="14"/>
      <c r="CW428" s="14"/>
      <c r="CX428" s="14"/>
      <c r="CY428" s="14"/>
      <c r="CZ428" s="14"/>
      <c r="DA428" s="14"/>
      <c r="DB428" s="14"/>
      <c r="DC428" s="14"/>
      <c r="DD428" s="14"/>
      <c r="DE428" s="14"/>
      <c r="DF428" s="14"/>
      <c r="DG428" s="14"/>
      <c r="DH428" s="14"/>
      <c r="DI428" s="14"/>
      <c r="DJ428" s="14"/>
      <c r="DK428" s="14"/>
      <c r="DL428" s="14"/>
      <c r="DM428" s="14"/>
      <c r="DN428" s="14"/>
      <c r="DO428" s="14"/>
      <c r="DP428" s="14"/>
      <c r="DQ428" s="14"/>
      <c r="DR428" s="14"/>
      <c r="DS428" s="14"/>
      <c r="DT428" s="14"/>
      <c r="DU428" s="14"/>
      <c r="DV428" s="14"/>
      <c r="DW428" s="14"/>
      <c r="DX428" s="14"/>
      <c r="DY428" s="14"/>
      <c r="DZ428" s="14"/>
      <c r="EA428" s="14"/>
      <c r="EB428" s="14"/>
      <c r="EC428" s="14"/>
      <c r="ED428" s="14"/>
      <c r="EE428" s="14"/>
      <c r="EF428" s="14"/>
      <c r="EG428" s="14"/>
      <c r="EH428" s="14"/>
      <c r="EI428" s="14"/>
      <c r="EJ428" s="14"/>
      <c r="EK428" s="14"/>
      <c r="EL428" s="14"/>
    </row>
    <row r="429" spans="1:142" s="63" customFormat="1" ht="18" customHeight="1" x14ac:dyDescent="0.25">
      <c r="A429" s="8"/>
      <c r="B429" s="1848" t="s">
        <v>1219</v>
      </c>
      <c r="C429" s="1848"/>
      <c r="D429" s="1848"/>
      <c r="E429" s="1848"/>
      <c r="F429" s="1848"/>
      <c r="G429" s="1864"/>
      <c r="H429" s="1864"/>
      <c r="I429" s="1864"/>
      <c r="J429" s="1864"/>
      <c r="K429" s="1864"/>
      <c r="L429" s="1864"/>
      <c r="M429" s="1864"/>
      <c r="N429" s="1864"/>
      <c r="O429" s="1864"/>
      <c r="P429" s="361"/>
      <c r="Q429" s="8"/>
      <c r="R429" s="60"/>
      <c r="S429" s="60"/>
      <c r="T429" s="60"/>
      <c r="U429" s="60"/>
      <c r="V429" s="60"/>
      <c r="W429" s="60"/>
      <c r="X429" s="60"/>
      <c r="Y429" s="60"/>
      <c r="Z429" s="60"/>
      <c r="AA429" s="60"/>
      <c r="AB429" s="60"/>
      <c r="AC429" s="60"/>
      <c r="AD429" s="60"/>
      <c r="AE429" s="60"/>
      <c r="AF429" s="60"/>
      <c r="AG429" s="60"/>
      <c r="AH429" s="60"/>
      <c r="AI429" s="60"/>
      <c r="AJ429" s="60"/>
      <c r="AK429" s="60"/>
      <c r="AL429" s="60"/>
      <c r="AM429" s="60"/>
      <c r="AN429" s="60"/>
      <c r="AO429" s="60"/>
      <c r="AP429" s="60"/>
      <c r="AQ429" s="60"/>
      <c r="AR429" s="60"/>
      <c r="AS429" s="60"/>
      <c r="AT429" s="60"/>
      <c r="AU429" s="60"/>
      <c r="AV429" s="60"/>
      <c r="AW429" s="60"/>
      <c r="AX429" s="60"/>
      <c r="AY429" s="60"/>
      <c r="AZ429" s="60"/>
      <c r="BA429" s="60"/>
      <c r="BB429" s="60"/>
      <c r="BC429" s="60"/>
      <c r="BD429" s="60"/>
      <c r="BE429" s="60"/>
      <c r="BF429" s="14"/>
      <c r="BG429" s="14"/>
      <c r="BH429" s="14"/>
      <c r="BI429" s="14"/>
      <c r="BJ429" s="14"/>
      <c r="BK429" s="14"/>
      <c r="BL429" s="14"/>
      <c r="BM429" s="14"/>
      <c r="BN429" s="14"/>
      <c r="BO429" s="14"/>
      <c r="BP429" s="14"/>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c r="CO429" s="14"/>
      <c r="CP429" s="14"/>
      <c r="CQ429" s="14"/>
      <c r="CR429" s="14"/>
      <c r="CS429" s="14"/>
      <c r="CT429" s="14"/>
      <c r="CU429" s="14"/>
      <c r="CV429" s="14"/>
      <c r="CW429" s="14"/>
      <c r="CX429" s="14"/>
      <c r="CY429" s="14"/>
      <c r="CZ429" s="14"/>
      <c r="DA429" s="14"/>
      <c r="DB429" s="14"/>
      <c r="DC429" s="14"/>
      <c r="DD429" s="14"/>
      <c r="DE429" s="14"/>
      <c r="DF429" s="14"/>
      <c r="DG429" s="14"/>
      <c r="DH429" s="14"/>
      <c r="DI429" s="14"/>
      <c r="DJ429" s="14"/>
      <c r="DK429" s="14"/>
      <c r="DL429" s="14"/>
      <c r="DM429" s="14"/>
      <c r="DN429" s="14"/>
      <c r="DO429" s="14"/>
      <c r="DP429" s="14"/>
      <c r="DQ429" s="14"/>
      <c r="DR429" s="14"/>
      <c r="DS429" s="14"/>
      <c r="DT429" s="14"/>
      <c r="DU429" s="14"/>
      <c r="DV429" s="14"/>
      <c r="DW429" s="14"/>
      <c r="DX429" s="14"/>
      <c r="DY429" s="14"/>
      <c r="DZ429" s="14"/>
      <c r="EA429" s="14"/>
      <c r="EB429" s="14"/>
      <c r="EC429" s="14"/>
      <c r="ED429" s="14"/>
      <c r="EE429" s="14"/>
      <c r="EF429" s="14"/>
      <c r="EG429" s="14"/>
      <c r="EH429" s="14"/>
      <c r="EI429" s="14"/>
      <c r="EJ429" s="14"/>
      <c r="EK429" s="14"/>
      <c r="EL429" s="14"/>
    </row>
    <row r="430" spans="1:142" s="63" customFormat="1" ht="18" customHeight="1" x14ac:dyDescent="0.2">
      <c r="A430" s="8"/>
      <c r="B430" s="1999" t="s">
        <v>2242</v>
      </c>
      <c r="C430" s="1999"/>
      <c r="D430" s="1999"/>
      <c r="E430" s="1639"/>
      <c r="F430" s="1714"/>
      <c r="G430" s="1367" t="s">
        <v>975</v>
      </c>
      <c r="H430" s="1368"/>
      <c r="I430" s="1368"/>
      <c r="J430" s="1368"/>
      <c r="K430" s="1368"/>
      <c r="L430" s="1368"/>
      <c r="M430" s="1368"/>
      <c r="N430" s="1368"/>
      <c r="O430" s="1369"/>
      <c r="P430" s="1344">
        <f>U436</f>
        <v>0</v>
      </c>
      <c r="Q430" s="8"/>
      <c r="R430" s="873" t="b">
        <v>0</v>
      </c>
      <c r="S430" s="885">
        <f t="shared" ref="S430:S436" si="63">IF(R430=TRUE,1,0)</f>
        <v>0</v>
      </c>
      <c r="T430" s="60"/>
      <c r="U430" s="60"/>
      <c r="V430" s="60"/>
      <c r="W430" s="60"/>
      <c r="X430" s="60"/>
      <c r="Y430" s="60"/>
      <c r="Z430" s="60"/>
      <c r="AA430" s="60"/>
      <c r="AB430" s="60"/>
      <c r="AC430" s="60"/>
      <c r="AD430" s="60"/>
      <c r="AE430" s="60"/>
      <c r="AF430" s="60"/>
      <c r="AG430" s="60"/>
      <c r="AH430" s="60"/>
      <c r="AI430" s="60"/>
      <c r="AJ430" s="60"/>
      <c r="AK430" s="60"/>
      <c r="AL430" s="60"/>
      <c r="AM430" s="60"/>
      <c r="AN430" s="60"/>
      <c r="AO430" s="60"/>
      <c r="AP430" s="60"/>
      <c r="AQ430" s="60"/>
      <c r="AR430" s="60"/>
      <c r="AS430" s="60"/>
      <c r="AT430" s="60"/>
      <c r="AU430" s="60"/>
      <c r="AV430" s="60"/>
      <c r="AW430" s="60"/>
      <c r="AX430" s="60"/>
      <c r="AY430" s="60"/>
      <c r="AZ430" s="60"/>
      <c r="BA430" s="60"/>
      <c r="BB430" s="60"/>
      <c r="BC430" s="60"/>
      <c r="BD430" s="60"/>
      <c r="BE430" s="60"/>
      <c r="BF430" s="14"/>
      <c r="BG430" s="14"/>
      <c r="BH430" s="14"/>
      <c r="BI430" s="14"/>
      <c r="BJ430" s="14"/>
      <c r="BK430" s="14"/>
      <c r="BL430" s="14"/>
      <c r="BM430" s="14"/>
      <c r="BN430" s="14"/>
      <c r="BO430" s="14"/>
      <c r="BP430" s="14"/>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row>
    <row r="431" spans="1:142" s="63" customFormat="1" ht="18" customHeight="1" x14ac:dyDescent="0.2">
      <c r="A431" s="20"/>
      <c r="B431" s="1999"/>
      <c r="C431" s="1999"/>
      <c r="D431" s="1999"/>
      <c r="E431" s="1639"/>
      <c r="F431" s="1714"/>
      <c r="G431" s="1437" t="s">
        <v>976</v>
      </c>
      <c r="H431" s="1438"/>
      <c r="I431" s="1438"/>
      <c r="J431" s="1438"/>
      <c r="K431" s="1438"/>
      <c r="L431" s="1438"/>
      <c r="M431" s="1438"/>
      <c r="N431" s="1438"/>
      <c r="O431" s="1439"/>
      <c r="P431" s="1352"/>
      <c r="Q431" s="8"/>
      <c r="R431" s="873" t="b">
        <v>0</v>
      </c>
      <c r="S431" s="885">
        <f t="shared" si="63"/>
        <v>0</v>
      </c>
      <c r="T431" s="967" t="s">
        <v>1023</v>
      </c>
      <c r="U431" s="60"/>
      <c r="V431" s="60"/>
      <c r="W431" s="60">
        <v>1E-4</v>
      </c>
      <c r="X431" s="60"/>
      <c r="Y431" s="60"/>
      <c r="Z431" s="60"/>
      <c r="AA431" s="60"/>
      <c r="AB431" s="60"/>
      <c r="AC431" s="60"/>
      <c r="AD431" s="60"/>
      <c r="AE431" s="60"/>
      <c r="AF431" s="60"/>
      <c r="AG431" s="60"/>
      <c r="AH431" s="60"/>
      <c r="AI431" s="60"/>
      <c r="AJ431" s="60"/>
      <c r="AK431" s="60"/>
      <c r="AL431" s="60"/>
      <c r="AM431" s="60"/>
      <c r="AN431" s="60"/>
      <c r="AO431" s="60"/>
      <c r="AP431" s="60"/>
      <c r="AQ431" s="60"/>
      <c r="AR431" s="60"/>
      <c r="AS431" s="60"/>
      <c r="AT431" s="60"/>
      <c r="AU431" s="60"/>
      <c r="AV431" s="60"/>
      <c r="AW431" s="60"/>
      <c r="AX431" s="60"/>
      <c r="AY431" s="60"/>
      <c r="AZ431" s="60"/>
      <c r="BA431" s="60"/>
      <c r="BB431" s="60"/>
      <c r="BC431" s="60"/>
      <c r="BD431" s="60"/>
      <c r="BE431" s="60"/>
      <c r="BF431" s="14"/>
      <c r="BG431" s="14"/>
      <c r="BH431" s="14"/>
      <c r="BI431" s="14"/>
      <c r="BJ431" s="14"/>
      <c r="BK431" s="14"/>
      <c r="BL431" s="14"/>
      <c r="BM431" s="14"/>
      <c r="BN431" s="14"/>
      <c r="BO431" s="14"/>
      <c r="BP431" s="14"/>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4"/>
      <c r="CQ431" s="14"/>
      <c r="CR431" s="14"/>
      <c r="CS431" s="14"/>
      <c r="CT431" s="14"/>
      <c r="CU431" s="14"/>
      <c r="CV431" s="14"/>
      <c r="CW431" s="14"/>
      <c r="CX431" s="14"/>
      <c r="CY431" s="14"/>
      <c r="CZ431" s="14"/>
      <c r="DA431" s="14"/>
      <c r="DB431" s="14"/>
      <c r="DC431" s="14"/>
      <c r="DD431" s="14"/>
      <c r="DE431" s="14"/>
      <c r="DF431" s="14"/>
      <c r="DG431" s="14"/>
      <c r="DH431" s="14"/>
      <c r="DI431" s="14"/>
      <c r="DJ431" s="14"/>
      <c r="DK431" s="14"/>
      <c r="DL431" s="14"/>
      <c r="DM431" s="14"/>
      <c r="DN431" s="14"/>
      <c r="DO431" s="14"/>
      <c r="DP431" s="14"/>
      <c r="DQ431" s="14"/>
      <c r="DR431" s="14"/>
      <c r="DS431" s="14"/>
      <c r="DT431" s="14"/>
      <c r="DU431" s="14"/>
      <c r="DV431" s="14"/>
      <c r="DW431" s="14"/>
      <c r="DX431" s="14"/>
      <c r="DY431" s="14"/>
      <c r="DZ431" s="14"/>
      <c r="EA431" s="14"/>
      <c r="EB431" s="14"/>
      <c r="EC431" s="14"/>
      <c r="ED431" s="14"/>
      <c r="EE431" s="14"/>
      <c r="EF431" s="14"/>
      <c r="EG431" s="14"/>
      <c r="EH431" s="14"/>
      <c r="EI431" s="14"/>
      <c r="EJ431" s="14"/>
      <c r="EK431" s="14"/>
      <c r="EL431" s="14"/>
    </row>
    <row r="432" spans="1:142" s="63" customFormat="1" ht="18" customHeight="1" x14ac:dyDescent="0.2">
      <c r="A432" s="8"/>
      <c r="B432" s="1999"/>
      <c r="C432" s="1999"/>
      <c r="D432" s="1999"/>
      <c r="E432" s="1639"/>
      <c r="F432" s="1714"/>
      <c r="G432" s="1437" t="s">
        <v>977</v>
      </c>
      <c r="H432" s="1438"/>
      <c r="I432" s="1438"/>
      <c r="J432" s="1438"/>
      <c r="K432" s="1438"/>
      <c r="L432" s="1438"/>
      <c r="M432" s="1438"/>
      <c r="N432" s="1438"/>
      <c r="O432" s="1439"/>
      <c r="P432" s="1352"/>
      <c r="Q432" s="8"/>
      <c r="R432" s="873" t="b">
        <v>0</v>
      </c>
      <c r="S432" s="885">
        <f t="shared" si="63"/>
        <v>0</v>
      </c>
      <c r="T432" s="885">
        <f>SUM(S430:S432)</f>
        <v>0</v>
      </c>
      <c r="U432" s="60"/>
      <c r="V432" s="60"/>
      <c r="W432" s="60"/>
      <c r="X432" s="60"/>
      <c r="Y432" s="60"/>
      <c r="Z432" s="60"/>
      <c r="AA432" s="60"/>
      <c r="AB432" s="60"/>
      <c r="AC432" s="60"/>
      <c r="AD432" s="60"/>
      <c r="AE432" s="60"/>
      <c r="AF432" s="60"/>
      <c r="AG432" s="60"/>
      <c r="AH432" s="60"/>
      <c r="AI432" s="60"/>
      <c r="AJ432" s="60"/>
      <c r="AK432" s="60"/>
      <c r="AL432" s="60"/>
      <c r="AM432" s="60"/>
      <c r="AN432" s="60"/>
      <c r="AO432" s="60"/>
      <c r="AP432" s="60"/>
      <c r="AQ432" s="60"/>
      <c r="AR432" s="60"/>
      <c r="AS432" s="60"/>
      <c r="AT432" s="60"/>
      <c r="AU432" s="60"/>
      <c r="AV432" s="60"/>
      <c r="AW432" s="60"/>
      <c r="AX432" s="60"/>
      <c r="AY432" s="60"/>
      <c r="AZ432" s="60"/>
      <c r="BA432" s="60"/>
      <c r="BB432" s="60"/>
      <c r="BC432" s="60"/>
      <c r="BD432" s="60"/>
      <c r="BE432" s="60"/>
      <c r="BF432" s="14"/>
      <c r="BG432" s="14"/>
      <c r="BH432" s="14"/>
      <c r="BI432" s="14"/>
      <c r="BJ432" s="14"/>
      <c r="BK432" s="14"/>
      <c r="BL432" s="14"/>
      <c r="BM432" s="14"/>
      <c r="BN432" s="14"/>
      <c r="BO432" s="14"/>
      <c r="BP432" s="14"/>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c r="CR432" s="14"/>
      <c r="CS432" s="14"/>
      <c r="CT432" s="14"/>
      <c r="CU432" s="14"/>
      <c r="CV432" s="14"/>
      <c r="CW432" s="14"/>
      <c r="CX432" s="14"/>
      <c r="CY432" s="14"/>
      <c r="CZ432" s="14"/>
      <c r="DA432" s="14"/>
      <c r="DB432" s="14"/>
      <c r="DC432" s="14"/>
      <c r="DD432" s="14"/>
      <c r="DE432" s="14"/>
      <c r="DF432" s="14"/>
      <c r="DG432" s="14"/>
      <c r="DH432" s="14"/>
      <c r="DI432" s="14"/>
      <c r="DJ432" s="14"/>
      <c r="DK432" s="14"/>
      <c r="DL432" s="14"/>
      <c r="DM432" s="14"/>
      <c r="DN432" s="14"/>
      <c r="DO432" s="14"/>
      <c r="DP432" s="14"/>
      <c r="DQ432" s="14"/>
      <c r="DR432" s="14"/>
      <c r="DS432" s="14"/>
      <c r="DT432" s="14"/>
      <c r="DU432" s="14"/>
      <c r="DV432" s="14"/>
      <c r="DW432" s="14"/>
      <c r="DX432" s="14"/>
      <c r="DY432" s="14"/>
      <c r="DZ432" s="14"/>
      <c r="EA432" s="14"/>
      <c r="EB432" s="14"/>
      <c r="EC432" s="14"/>
      <c r="ED432" s="14"/>
      <c r="EE432" s="14"/>
      <c r="EF432" s="14"/>
      <c r="EG432" s="14"/>
      <c r="EH432" s="14"/>
      <c r="EI432" s="14"/>
      <c r="EJ432" s="14"/>
      <c r="EK432" s="14"/>
      <c r="EL432" s="14"/>
    </row>
    <row r="433" spans="1:142" s="63" customFormat="1" ht="18" customHeight="1" x14ac:dyDescent="0.2">
      <c r="A433" s="8"/>
      <c r="B433" s="1999"/>
      <c r="C433" s="1999"/>
      <c r="D433" s="1999"/>
      <c r="E433" s="1984"/>
      <c r="F433" s="1650"/>
      <c r="G433" s="2031" t="s">
        <v>978</v>
      </c>
      <c r="H433" s="2032"/>
      <c r="I433" s="2032"/>
      <c r="J433" s="2032"/>
      <c r="K433" s="2032"/>
      <c r="L433" s="2032"/>
      <c r="M433" s="2032"/>
      <c r="N433" s="2032"/>
      <c r="O433" s="2033"/>
      <c r="P433" s="1352"/>
      <c r="Q433" s="8"/>
      <c r="R433" s="873" t="b">
        <v>0</v>
      </c>
      <c r="S433" s="885">
        <f t="shared" si="63"/>
        <v>0</v>
      </c>
      <c r="T433" s="60"/>
      <c r="U433" s="60"/>
      <c r="V433" s="60"/>
      <c r="W433" s="60"/>
      <c r="X433" s="60"/>
      <c r="Y433" s="60"/>
      <c r="Z433" s="60"/>
      <c r="AA433" s="60"/>
      <c r="AB433" s="60"/>
      <c r="AC433" s="60"/>
      <c r="AD433" s="60"/>
      <c r="AE433" s="60"/>
      <c r="AF433" s="60"/>
      <c r="AG433" s="60"/>
      <c r="AH433" s="60"/>
      <c r="AI433" s="60"/>
      <c r="AJ433" s="60"/>
      <c r="AK433" s="60"/>
      <c r="AL433" s="60"/>
      <c r="AM433" s="60"/>
      <c r="AN433" s="60"/>
      <c r="AO433" s="60"/>
      <c r="AP433" s="60"/>
      <c r="AQ433" s="60"/>
      <c r="AR433" s="60"/>
      <c r="AS433" s="60"/>
      <c r="AT433" s="60"/>
      <c r="AU433" s="60"/>
      <c r="AV433" s="60"/>
      <c r="AW433" s="60"/>
      <c r="AX433" s="60"/>
      <c r="AY433" s="60"/>
      <c r="AZ433" s="60"/>
      <c r="BA433" s="60"/>
      <c r="BB433" s="60"/>
      <c r="BC433" s="60"/>
      <c r="BD433" s="60"/>
      <c r="BE433" s="60"/>
      <c r="BF433" s="14"/>
      <c r="BG433" s="14"/>
      <c r="BH433" s="14"/>
      <c r="BI433" s="14"/>
      <c r="BJ433" s="14"/>
      <c r="BK433" s="14"/>
      <c r="BL433" s="14"/>
      <c r="BM433" s="14"/>
      <c r="BN433" s="14"/>
      <c r="BO433" s="14"/>
      <c r="BP433" s="14"/>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c r="CO433" s="14"/>
      <c r="CP433" s="14"/>
      <c r="CQ433" s="14"/>
      <c r="CR433" s="14"/>
      <c r="CS433" s="14"/>
      <c r="CT433" s="14"/>
      <c r="CU433" s="14"/>
      <c r="CV433" s="14"/>
      <c r="CW433" s="14"/>
      <c r="CX433" s="14"/>
      <c r="CY433" s="14"/>
      <c r="CZ433" s="14"/>
      <c r="DA433" s="14"/>
      <c r="DB433" s="14"/>
      <c r="DC433" s="14"/>
      <c r="DD433" s="14"/>
      <c r="DE433" s="14"/>
      <c r="DF433" s="14"/>
      <c r="DG433" s="14"/>
      <c r="DH433" s="14"/>
      <c r="DI433" s="14"/>
      <c r="DJ433" s="14"/>
      <c r="DK433" s="14"/>
      <c r="DL433" s="14"/>
      <c r="DM433" s="14"/>
      <c r="DN433" s="14"/>
      <c r="DO433" s="14"/>
      <c r="DP433" s="14"/>
      <c r="DQ433" s="14"/>
      <c r="DR433" s="14"/>
      <c r="DS433" s="14"/>
      <c r="DT433" s="14"/>
      <c r="DU433" s="14"/>
      <c r="DV433" s="14"/>
      <c r="DW433" s="14"/>
      <c r="DX433" s="14"/>
      <c r="DY433" s="14"/>
      <c r="DZ433" s="14"/>
      <c r="EA433" s="14"/>
      <c r="EB433" s="14"/>
      <c r="EC433" s="14"/>
      <c r="ED433" s="14"/>
      <c r="EE433" s="14"/>
      <c r="EF433" s="14"/>
      <c r="EG433" s="14"/>
      <c r="EH433" s="14"/>
      <c r="EI433" s="14"/>
      <c r="EJ433" s="14"/>
      <c r="EK433" s="14"/>
      <c r="EL433" s="14"/>
    </row>
    <row r="434" spans="1:142" s="63" customFormat="1" ht="18" customHeight="1" x14ac:dyDescent="0.2">
      <c r="A434" s="8"/>
      <c r="B434" s="1999"/>
      <c r="C434" s="1999"/>
      <c r="D434" s="1999"/>
      <c r="E434" s="1639"/>
      <c r="F434" s="1714"/>
      <c r="G434" s="1826" t="s">
        <v>979</v>
      </c>
      <c r="H434" s="1827"/>
      <c r="I434" s="1827"/>
      <c r="J434" s="1827"/>
      <c r="K434" s="1827"/>
      <c r="L434" s="1827"/>
      <c r="M434" s="1827"/>
      <c r="N434" s="1827"/>
      <c r="O434" s="1828"/>
      <c r="P434" s="1352"/>
      <c r="Q434" s="8"/>
      <c r="R434" s="873" t="b">
        <v>0</v>
      </c>
      <c r="S434" s="885">
        <f t="shared" si="63"/>
        <v>0</v>
      </c>
      <c r="T434" s="60"/>
      <c r="U434" s="60"/>
      <c r="V434" s="60"/>
      <c r="W434" s="60"/>
      <c r="X434" s="60"/>
      <c r="Y434" s="60"/>
      <c r="Z434" s="60"/>
      <c r="AA434" s="60"/>
      <c r="AB434" s="60"/>
      <c r="AC434" s="60"/>
      <c r="AD434" s="60"/>
      <c r="AE434" s="60"/>
      <c r="AF434" s="60"/>
      <c r="AG434" s="60"/>
      <c r="AH434" s="60"/>
      <c r="AI434" s="60"/>
      <c r="AJ434" s="60"/>
      <c r="AK434" s="60"/>
      <c r="AL434" s="60"/>
      <c r="AM434" s="60"/>
      <c r="AN434" s="60"/>
      <c r="AO434" s="60"/>
      <c r="AP434" s="60"/>
      <c r="AQ434" s="60"/>
      <c r="AR434" s="60"/>
      <c r="AS434" s="60"/>
      <c r="AT434" s="60"/>
      <c r="AU434" s="60"/>
      <c r="AV434" s="60"/>
      <c r="AW434" s="60"/>
      <c r="AX434" s="60"/>
      <c r="AY434" s="60"/>
      <c r="AZ434" s="60"/>
      <c r="BA434" s="60"/>
      <c r="BB434" s="60"/>
      <c r="BC434" s="60"/>
      <c r="BD434" s="60"/>
      <c r="BE434" s="60"/>
      <c r="BF434" s="14"/>
      <c r="BG434" s="14"/>
      <c r="BH434" s="14"/>
      <c r="BI434" s="14"/>
      <c r="BJ434" s="14"/>
      <c r="BK434" s="14"/>
      <c r="BL434" s="14"/>
      <c r="BM434" s="14"/>
      <c r="BN434" s="14"/>
      <c r="BO434" s="14"/>
      <c r="BP434" s="14"/>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4"/>
      <c r="DV434" s="14"/>
      <c r="DW434" s="14"/>
      <c r="DX434" s="14"/>
      <c r="DY434" s="14"/>
      <c r="DZ434" s="14"/>
      <c r="EA434" s="14"/>
      <c r="EB434" s="14"/>
      <c r="EC434" s="14"/>
      <c r="ED434" s="14"/>
      <c r="EE434" s="14"/>
      <c r="EF434" s="14"/>
      <c r="EG434" s="14"/>
      <c r="EH434" s="14"/>
      <c r="EI434" s="14"/>
      <c r="EJ434" s="14"/>
      <c r="EK434" s="14"/>
      <c r="EL434" s="14"/>
    </row>
    <row r="435" spans="1:142" s="63" customFormat="1" ht="18" customHeight="1" x14ac:dyDescent="0.2">
      <c r="A435" s="8"/>
      <c r="B435" s="1999"/>
      <c r="C435" s="1999"/>
      <c r="D435" s="1999"/>
      <c r="E435" s="1639"/>
      <c r="F435" s="1714"/>
      <c r="G435" s="1826" t="s">
        <v>1862</v>
      </c>
      <c r="H435" s="1827"/>
      <c r="I435" s="1827"/>
      <c r="J435" s="1827"/>
      <c r="K435" s="1827"/>
      <c r="L435" s="1827"/>
      <c r="M435" s="1827"/>
      <c r="N435" s="1827"/>
      <c r="O435" s="1828"/>
      <c r="P435" s="1352"/>
      <c r="Q435" s="8"/>
      <c r="R435" s="873" t="b">
        <v>0</v>
      </c>
      <c r="S435" s="885">
        <f t="shared" si="63"/>
        <v>0</v>
      </c>
      <c r="T435" s="967" t="s">
        <v>1023</v>
      </c>
      <c r="U435" s="60"/>
      <c r="V435" s="60"/>
      <c r="W435" s="60"/>
      <c r="X435" s="60"/>
      <c r="Y435" s="60"/>
      <c r="Z435" s="60"/>
      <c r="AA435" s="60"/>
      <c r="AB435" s="60"/>
      <c r="AC435" s="60"/>
      <c r="AD435" s="60"/>
      <c r="AE435" s="60"/>
      <c r="AF435" s="60"/>
      <c r="AG435" s="60"/>
      <c r="AH435" s="60"/>
      <c r="AI435" s="60"/>
      <c r="AJ435" s="60"/>
      <c r="AK435" s="60"/>
      <c r="AL435" s="60"/>
      <c r="AM435" s="60"/>
      <c r="AN435" s="60"/>
      <c r="AO435" s="60"/>
      <c r="AP435" s="60"/>
      <c r="AQ435" s="60"/>
      <c r="AR435" s="60"/>
      <c r="AS435" s="60"/>
      <c r="AT435" s="60"/>
      <c r="AU435" s="60"/>
      <c r="AV435" s="60"/>
      <c r="AW435" s="60"/>
      <c r="AX435" s="60"/>
      <c r="AY435" s="60"/>
      <c r="AZ435" s="60"/>
      <c r="BA435" s="60"/>
      <c r="BB435" s="60"/>
      <c r="BC435" s="60"/>
      <c r="BD435" s="60"/>
      <c r="BE435" s="60"/>
      <c r="BF435" s="14"/>
      <c r="BG435" s="14"/>
      <c r="BH435" s="14"/>
      <c r="BI435" s="14"/>
      <c r="BJ435" s="14"/>
      <c r="BK435" s="14"/>
      <c r="BL435" s="14"/>
      <c r="BM435" s="14"/>
      <c r="BN435" s="14"/>
      <c r="BO435" s="14"/>
      <c r="BP435" s="14"/>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4"/>
      <c r="CQ435" s="14"/>
      <c r="CR435" s="14"/>
      <c r="CS435" s="14"/>
      <c r="CT435" s="14"/>
      <c r="CU435" s="14"/>
      <c r="CV435" s="14"/>
      <c r="CW435" s="14"/>
      <c r="CX435" s="14"/>
      <c r="CY435" s="14"/>
      <c r="CZ435" s="14"/>
      <c r="DA435" s="14"/>
      <c r="DB435" s="14"/>
      <c r="DC435" s="14"/>
      <c r="DD435" s="14"/>
      <c r="DE435" s="14"/>
      <c r="DF435" s="14"/>
      <c r="DG435" s="14"/>
      <c r="DH435" s="14"/>
      <c r="DI435" s="14"/>
      <c r="DJ435" s="14"/>
      <c r="DK435" s="14"/>
      <c r="DL435" s="14"/>
      <c r="DM435" s="14"/>
      <c r="DN435" s="14"/>
      <c r="DO435" s="14"/>
      <c r="DP435" s="14"/>
      <c r="DQ435" s="14"/>
      <c r="DR435" s="14"/>
      <c r="DS435" s="14"/>
      <c r="DT435" s="14"/>
      <c r="DU435" s="14"/>
      <c r="DV435" s="14"/>
      <c r="DW435" s="14"/>
      <c r="DX435" s="14"/>
      <c r="DY435" s="14"/>
      <c r="DZ435" s="14"/>
      <c r="EA435" s="14"/>
      <c r="EB435" s="14"/>
      <c r="EC435" s="14"/>
      <c r="ED435" s="14"/>
      <c r="EE435" s="14"/>
      <c r="EF435" s="14"/>
      <c r="EG435" s="14"/>
      <c r="EH435" s="14"/>
      <c r="EI435" s="14"/>
      <c r="EJ435" s="14"/>
      <c r="EK435" s="14"/>
      <c r="EL435" s="14"/>
    </row>
    <row r="436" spans="1:142" s="63" customFormat="1" ht="18" customHeight="1" x14ac:dyDescent="0.2">
      <c r="A436" s="8"/>
      <c r="B436" s="1999"/>
      <c r="C436" s="1999"/>
      <c r="D436" s="1999"/>
      <c r="E436" s="1639"/>
      <c r="F436" s="1714"/>
      <c r="G436" s="1888" t="s">
        <v>1599</v>
      </c>
      <c r="H436" s="1889"/>
      <c r="I436" s="1889"/>
      <c r="J436" s="1889"/>
      <c r="K436" s="1889"/>
      <c r="L436" s="1889"/>
      <c r="M436" s="1889"/>
      <c r="N436" s="1889"/>
      <c r="O436" s="1910"/>
      <c r="P436" s="1352"/>
      <c r="Q436" s="8"/>
      <c r="R436" s="873" t="b">
        <v>0</v>
      </c>
      <c r="S436" s="885">
        <f t="shared" si="63"/>
        <v>0</v>
      </c>
      <c r="T436" s="885">
        <f>SUM(S433:S436)</f>
        <v>0</v>
      </c>
      <c r="U436" s="646">
        <f>IF(AND(T432&gt;0,T436&gt;0),0.05,0)</f>
        <v>0</v>
      </c>
      <c r="V436" s="115"/>
      <c r="W436" s="60"/>
      <c r="X436" s="60"/>
      <c r="Y436" s="60"/>
      <c r="Z436" s="60"/>
      <c r="AA436" s="60"/>
      <c r="AB436" s="60"/>
      <c r="AC436" s="60"/>
      <c r="AD436" s="60"/>
      <c r="AE436" s="60"/>
      <c r="AF436" s="60"/>
      <c r="AG436" s="60"/>
      <c r="AH436" s="60"/>
      <c r="AI436" s="60"/>
      <c r="AJ436" s="60"/>
      <c r="AK436" s="60"/>
      <c r="AL436" s="60"/>
      <c r="AM436" s="60"/>
      <c r="AN436" s="60"/>
      <c r="AO436" s="60"/>
      <c r="AP436" s="60"/>
      <c r="AQ436" s="60"/>
      <c r="AR436" s="60"/>
      <c r="AS436" s="60"/>
      <c r="AT436" s="60"/>
      <c r="AU436" s="60"/>
      <c r="AV436" s="60"/>
      <c r="AW436" s="60"/>
      <c r="AX436" s="60"/>
      <c r="AY436" s="60"/>
      <c r="AZ436" s="60"/>
      <c r="BA436" s="60"/>
      <c r="BB436" s="60"/>
      <c r="BC436" s="60"/>
      <c r="BD436" s="60"/>
      <c r="BE436" s="60"/>
      <c r="BF436" s="14"/>
      <c r="BG436" s="14"/>
      <c r="BH436" s="14"/>
      <c r="BI436" s="14"/>
      <c r="BJ436" s="14"/>
      <c r="BK436" s="14"/>
      <c r="BL436" s="14"/>
      <c r="BM436" s="14"/>
      <c r="BN436" s="14"/>
      <c r="BO436" s="14"/>
      <c r="BP436" s="14"/>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4"/>
      <c r="CQ436" s="14"/>
      <c r="CR436" s="14"/>
      <c r="CS436" s="14"/>
      <c r="CT436" s="14"/>
      <c r="CU436" s="14"/>
      <c r="CV436" s="14"/>
      <c r="CW436" s="14"/>
      <c r="CX436" s="14"/>
      <c r="CY436" s="14"/>
      <c r="CZ436" s="14"/>
      <c r="DA436" s="14"/>
      <c r="DB436" s="14"/>
      <c r="DC436" s="14"/>
      <c r="DD436" s="14"/>
      <c r="DE436" s="14"/>
      <c r="DF436" s="14"/>
      <c r="DG436" s="14"/>
      <c r="DH436" s="14"/>
      <c r="DI436" s="14"/>
      <c r="DJ436" s="14"/>
      <c r="DK436" s="14"/>
      <c r="DL436" s="14"/>
      <c r="DM436" s="14"/>
      <c r="DN436" s="14"/>
      <c r="DO436" s="14"/>
      <c r="DP436" s="14"/>
      <c r="DQ436" s="14"/>
      <c r="DR436" s="14"/>
      <c r="DS436" s="14"/>
      <c r="DT436" s="14"/>
      <c r="DU436" s="14"/>
      <c r="DV436" s="14"/>
      <c r="DW436" s="14"/>
      <c r="DX436" s="14"/>
      <c r="DY436" s="14"/>
      <c r="DZ436" s="14"/>
      <c r="EA436" s="14"/>
      <c r="EB436" s="14"/>
      <c r="EC436" s="14"/>
      <c r="ED436" s="14"/>
      <c r="EE436" s="14"/>
      <c r="EF436" s="14"/>
      <c r="EG436" s="14"/>
      <c r="EH436" s="14"/>
      <c r="EI436" s="14"/>
      <c r="EJ436" s="14"/>
      <c r="EK436" s="14"/>
      <c r="EL436" s="14"/>
    </row>
    <row r="437" spans="1:142" s="63" customFormat="1" ht="12" customHeight="1" x14ac:dyDescent="0.2">
      <c r="A437" s="35"/>
      <c r="B437" s="1395"/>
      <c r="C437" s="1395"/>
      <c r="D437" s="1395"/>
      <c r="E437" s="1395"/>
      <c r="F437" s="1395"/>
      <c r="G437" s="1395"/>
      <c r="H437" s="1395"/>
      <c r="I437" s="1395"/>
      <c r="J437" s="1395"/>
      <c r="K437" s="1395"/>
      <c r="L437" s="1395"/>
      <c r="M437" s="1395"/>
      <c r="N437" s="1395"/>
      <c r="O437" s="1395"/>
      <c r="P437" s="35"/>
      <c r="Q437" s="35"/>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4"/>
      <c r="BB437" s="14"/>
      <c r="BC437" s="14"/>
      <c r="BD437" s="14"/>
      <c r="BE437" s="14"/>
      <c r="BF437" s="14"/>
      <c r="BG437" s="14"/>
      <c r="BH437" s="14"/>
      <c r="BI437" s="14"/>
      <c r="BJ437" s="14"/>
      <c r="BK437" s="14"/>
      <c r="BL437" s="14"/>
      <c r="BM437" s="14"/>
      <c r="BN437" s="14"/>
      <c r="BO437" s="14"/>
      <c r="BP437" s="14"/>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c r="CR437" s="14"/>
      <c r="CS437" s="14"/>
      <c r="CT437" s="14"/>
      <c r="CU437" s="14"/>
      <c r="CV437" s="14"/>
      <c r="CW437" s="14"/>
      <c r="CX437" s="14"/>
      <c r="CY437" s="14"/>
      <c r="CZ437" s="14"/>
      <c r="DA437" s="14"/>
      <c r="DB437" s="14"/>
      <c r="DC437" s="14"/>
      <c r="DD437" s="14"/>
      <c r="DE437" s="14"/>
      <c r="DF437" s="14"/>
      <c r="DG437" s="14"/>
      <c r="DH437" s="14"/>
      <c r="DI437" s="14"/>
      <c r="DJ437" s="14"/>
      <c r="DK437" s="14"/>
      <c r="DL437" s="14"/>
      <c r="DM437" s="14"/>
      <c r="DN437" s="14"/>
      <c r="DO437" s="14"/>
      <c r="DP437" s="14"/>
      <c r="DQ437" s="14"/>
      <c r="DR437" s="14"/>
      <c r="DS437" s="14"/>
      <c r="DT437" s="14"/>
      <c r="DU437" s="14"/>
      <c r="DV437" s="14"/>
      <c r="DW437" s="14"/>
      <c r="DX437" s="14"/>
      <c r="DY437" s="14"/>
      <c r="DZ437" s="14"/>
      <c r="EA437" s="14"/>
      <c r="EB437" s="14"/>
      <c r="EC437" s="14"/>
      <c r="ED437" s="14"/>
      <c r="EE437" s="14"/>
      <c r="EF437" s="14"/>
      <c r="EG437" s="14"/>
      <c r="EH437" s="14"/>
      <c r="EI437" s="14"/>
      <c r="EJ437" s="14"/>
      <c r="EK437" s="14"/>
      <c r="EL437" s="14"/>
    </row>
    <row r="438" spans="1:142" s="63" customFormat="1" ht="18" customHeight="1" x14ac:dyDescent="0.25">
      <c r="A438" s="8"/>
      <c r="B438" s="1848" t="s">
        <v>1219</v>
      </c>
      <c r="C438" s="1848"/>
      <c r="D438" s="1848"/>
      <c r="E438" s="1848"/>
      <c r="F438" s="1848"/>
      <c r="G438" s="1848"/>
      <c r="H438" s="1848"/>
      <c r="I438" s="1848"/>
      <c r="J438" s="1848"/>
      <c r="K438" s="1848"/>
      <c r="L438" s="1848"/>
      <c r="M438" s="1848"/>
      <c r="N438" s="1848"/>
      <c r="O438" s="1848"/>
      <c r="P438" s="361"/>
      <c r="Q438" s="8"/>
      <c r="R438" s="60"/>
      <c r="S438" s="60"/>
      <c r="T438" s="60"/>
      <c r="U438" s="60"/>
      <c r="V438" s="60"/>
      <c r="W438" s="60"/>
      <c r="X438" s="60"/>
      <c r="Y438" s="60"/>
      <c r="Z438" s="60"/>
      <c r="AA438" s="60"/>
      <c r="AB438" s="60"/>
      <c r="AC438" s="60"/>
      <c r="AD438" s="60"/>
      <c r="AE438" s="60"/>
      <c r="AF438" s="60"/>
      <c r="AG438" s="60"/>
      <c r="AH438" s="60"/>
      <c r="AI438" s="60"/>
      <c r="AJ438" s="60"/>
      <c r="AK438" s="60"/>
      <c r="AL438" s="60"/>
      <c r="AM438" s="60"/>
      <c r="AN438" s="60"/>
      <c r="AO438" s="60"/>
      <c r="AP438" s="60"/>
      <c r="AQ438" s="60"/>
      <c r="AR438" s="60"/>
      <c r="AS438" s="60"/>
      <c r="AT438" s="60"/>
      <c r="AU438" s="60"/>
      <c r="AV438" s="60"/>
      <c r="AW438" s="60"/>
      <c r="AX438" s="60"/>
      <c r="AY438" s="60"/>
      <c r="AZ438" s="60"/>
      <c r="BA438" s="60"/>
      <c r="BB438" s="60"/>
      <c r="BC438" s="60"/>
      <c r="BD438" s="60"/>
      <c r="BE438" s="60"/>
      <c r="BF438" s="14"/>
      <c r="BG438" s="14"/>
      <c r="BH438" s="14"/>
      <c r="BI438" s="14"/>
      <c r="BJ438" s="14"/>
      <c r="BK438" s="14"/>
      <c r="BL438" s="14"/>
      <c r="BM438" s="14"/>
      <c r="BN438" s="14"/>
      <c r="BO438" s="14"/>
      <c r="BP438" s="14"/>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row>
    <row r="439" spans="1:142" s="63" customFormat="1" ht="39" customHeight="1" x14ac:dyDescent="0.2">
      <c r="A439" s="20"/>
      <c r="B439" s="1981" t="s">
        <v>2265</v>
      </c>
      <c r="C439" s="1982"/>
      <c r="D439" s="1982"/>
      <c r="E439" s="1982"/>
      <c r="F439" s="1982"/>
      <c r="G439" s="1982"/>
      <c r="H439" s="1982"/>
      <c r="I439" s="1982"/>
      <c r="J439" s="1982"/>
      <c r="K439" s="1982"/>
      <c r="L439" s="1982"/>
      <c r="M439" s="1983"/>
      <c r="N439" s="2021"/>
      <c r="O439" s="2021"/>
      <c r="P439" s="95">
        <f>IF(R439=1,0.15,0)</f>
        <v>0</v>
      </c>
      <c r="Q439" s="8"/>
      <c r="R439" s="873">
        <v>2</v>
      </c>
      <c r="S439" s="60"/>
      <c r="T439" s="60"/>
      <c r="U439" s="60"/>
      <c r="V439" s="115"/>
      <c r="W439" s="60">
        <v>1E-4</v>
      </c>
      <c r="X439" s="60"/>
      <c r="Y439" s="60"/>
      <c r="Z439" s="60"/>
      <c r="AA439" s="60"/>
      <c r="AB439" s="60"/>
      <c r="AC439" s="60"/>
      <c r="AD439" s="60"/>
      <c r="AE439" s="60"/>
      <c r="AF439" s="60"/>
      <c r="AG439" s="60"/>
      <c r="AH439" s="60"/>
      <c r="AI439" s="60"/>
      <c r="AJ439" s="60"/>
      <c r="AK439" s="60"/>
      <c r="AL439" s="60"/>
      <c r="AM439" s="60"/>
      <c r="AN439" s="60"/>
      <c r="AO439" s="60"/>
      <c r="AP439" s="60"/>
      <c r="AQ439" s="60"/>
      <c r="AR439" s="60"/>
      <c r="AS439" s="60"/>
      <c r="AT439" s="60"/>
      <c r="AU439" s="60"/>
      <c r="AV439" s="60"/>
      <c r="AW439" s="60"/>
      <c r="AX439" s="60"/>
      <c r="AY439" s="60"/>
      <c r="AZ439" s="60"/>
      <c r="BA439" s="60"/>
      <c r="BB439" s="60"/>
      <c r="BC439" s="60"/>
      <c r="BD439" s="60"/>
      <c r="BE439" s="60"/>
      <c r="BF439" s="14"/>
      <c r="BG439" s="14"/>
      <c r="BH439" s="14"/>
      <c r="BI439" s="14"/>
      <c r="BJ439" s="14"/>
      <c r="BK439" s="14"/>
      <c r="BL439" s="14"/>
      <c r="BM439" s="14"/>
      <c r="BN439" s="14"/>
      <c r="BO439" s="14"/>
      <c r="BP439" s="14"/>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4"/>
      <c r="CQ439" s="14"/>
      <c r="CR439" s="14"/>
      <c r="CS439" s="14"/>
      <c r="CT439" s="14"/>
      <c r="CU439" s="14"/>
      <c r="CV439" s="14"/>
      <c r="CW439" s="14"/>
      <c r="CX439" s="14"/>
      <c r="CY439" s="14"/>
      <c r="CZ439" s="14"/>
      <c r="DA439" s="14"/>
      <c r="DB439" s="14"/>
      <c r="DC439" s="14"/>
      <c r="DD439" s="14"/>
      <c r="DE439" s="14"/>
      <c r="DF439" s="14"/>
      <c r="DG439" s="14"/>
      <c r="DH439" s="14"/>
      <c r="DI439" s="14"/>
      <c r="DJ439" s="14"/>
      <c r="DK439" s="14"/>
      <c r="DL439" s="14"/>
      <c r="DM439" s="14"/>
      <c r="DN439" s="14"/>
      <c r="DO439" s="14"/>
      <c r="DP439" s="14"/>
      <c r="DQ439" s="14"/>
      <c r="DR439" s="14"/>
      <c r="DS439" s="14"/>
      <c r="DT439" s="14"/>
      <c r="DU439" s="14"/>
      <c r="DV439" s="14"/>
      <c r="DW439" s="14"/>
      <c r="DX439" s="14"/>
      <c r="DY439" s="14"/>
      <c r="DZ439" s="14"/>
      <c r="EA439" s="14"/>
      <c r="EB439" s="14"/>
      <c r="EC439" s="14"/>
      <c r="ED439" s="14"/>
      <c r="EE439" s="14"/>
      <c r="EF439" s="14"/>
      <c r="EG439" s="14"/>
      <c r="EH439" s="14"/>
      <c r="EI439" s="14"/>
      <c r="EJ439" s="14"/>
      <c r="EK439" s="14"/>
      <c r="EL439" s="14"/>
    </row>
    <row r="440" spans="1:142" s="63" customFormat="1" ht="9" customHeight="1" x14ac:dyDescent="0.2">
      <c r="A440" s="35"/>
      <c r="B440" s="1395"/>
      <c r="C440" s="1395"/>
      <c r="D440" s="1395"/>
      <c r="E440" s="1395"/>
      <c r="F440" s="1395"/>
      <c r="G440" s="1395"/>
      <c r="H440" s="1395"/>
      <c r="I440" s="1395"/>
      <c r="J440" s="1395"/>
      <c r="K440" s="1395"/>
      <c r="L440" s="1395"/>
      <c r="M440" s="1395"/>
      <c r="N440" s="1395"/>
      <c r="O440" s="1395"/>
      <c r="P440" s="1395"/>
      <c r="Q440" s="35"/>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4"/>
      <c r="BB440" s="14"/>
      <c r="BC440" s="14"/>
      <c r="BD440" s="14"/>
      <c r="BE440" s="14"/>
      <c r="BF440" s="14"/>
      <c r="BG440" s="14"/>
      <c r="BH440" s="14"/>
      <c r="BI440" s="14"/>
      <c r="BJ440" s="14"/>
      <c r="BK440" s="14"/>
      <c r="BL440" s="14"/>
      <c r="BM440" s="14"/>
      <c r="BN440" s="14"/>
      <c r="BO440" s="14"/>
      <c r="BP440" s="14"/>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4"/>
      <c r="CQ440" s="14"/>
      <c r="CR440" s="14"/>
      <c r="CS440" s="14"/>
      <c r="CT440" s="14"/>
      <c r="CU440" s="14"/>
      <c r="CV440" s="14"/>
      <c r="CW440" s="14"/>
      <c r="CX440" s="14"/>
      <c r="CY440" s="14"/>
      <c r="CZ440" s="14"/>
      <c r="DA440" s="14"/>
      <c r="DB440" s="14"/>
      <c r="DC440" s="14"/>
      <c r="DD440" s="14"/>
      <c r="DE440" s="14"/>
      <c r="DF440" s="14"/>
      <c r="DG440" s="14"/>
      <c r="DH440" s="14"/>
      <c r="DI440" s="14"/>
      <c r="DJ440" s="14"/>
      <c r="DK440" s="14"/>
      <c r="DL440" s="14"/>
      <c r="DM440" s="14"/>
      <c r="DN440" s="14"/>
      <c r="DO440" s="14"/>
      <c r="DP440" s="14"/>
      <c r="DQ440" s="14"/>
      <c r="DR440" s="14"/>
      <c r="DS440" s="14"/>
      <c r="DT440" s="14"/>
      <c r="DU440" s="14"/>
      <c r="DV440" s="14"/>
      <c r="DW440" s="14"/>
      <c r="DX440" s="14"/>
      <c r="DY440" s="14"/>
      <c r="DZ440" s="14"/>
      <c r="EA440" s="14"/>
      <c r="EB440" s="14"/>
      <c r="EC440" s="14"/>
      <c r="ED440" s="14"/>
      <c r="EE440" s="14"/>
      <c r="EF440" s="14"/>
      <c r="EG440" s="14"/>
      <c r="EH440" s="14"/>
      <c r="EI440" s="14"/>
      <c r="EJ440" s="14"/>
      <c r="EK440" s="14"/>
      <c r="EL440" s="14"/>
    </row>
    <row r="441" spans="1:142" s="63" customFormat="1" ht="18" customHeight="1" x14ac:dyDescent="0.2">
      <c r="A441" s="35"/>
      <c r="B441" s="1687" t="s">
        <v>245</v>
      </c>
      <c r="C441" s="1534"/>
      <c r="D441" s="1534"/>
      <c r="E441" s="1534"/>
      <c r="F441" s="1534"/>
      <c r="G441" s="1534"/>
      <c r="H441" s="1534"/>
      <c r="I441" s="1534"/>
      <c r="J441" s="1534"/>
      <c r="K441" s="1534"/>
      <c r="L441" s="1534"/>
      <c r="M441" s="1534"/>
      <c r="N441" s="1534"/>
      <c r="O441" s="1534"/>
      <c r="P441" s="1555"/>
      <c r="Q441" s="35"/>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4"/>
      <c r="BB441" s="14"/>
      <c r="BC441" s="14"/>
      <c r="BD441" s="14"/>
      <c r="BE441" s="14"/>
      <c r="BF441" s="14"/>
      <c r="BG441" s="14"/>
      <c r="BH441" s="14"/>
      <c r="BI441" s="14"/>
      <c r="BJ441" s="14"/>
      <c r="BK441" s="14"/>
      <c r="BL441" s="14"/>
      <c r="BM441" s="14"/>
      <c r="BN441" s="14"/>
      <c r="BO441" s="14"/>
      <c r="BP441" s="14"/>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4"/>
      <c r="CQ441" s="14"/>
      <c r="CR441" s="14"/>
      <c r="CS441" s="14"/>
      <c r="CT441" s="14"/>
      <c r="CU441" s="14"/>
      <c r="CV441" s="14"/>
      <c r="CW441" s="14"/>
      <c r="CX441" s="14"/>
      <c r="CY441" s="14"/>
      <c r="CZ441" s="14"/>
      <c r="DA441" s="14"/>
      <c r="DB441" s="14"/>
      <c r="DC441" s="14"/>
      <c r="DD441" s="14"/>
      <c r="DE441" s="14"/>
      <c r="DF441" s="14"/>
      <c r="DG441" s="14"/>
      <c r="DH441" s="14"/>
      <c r="DI441" s="14"/>
      <c r="DJ441" s="14"/>
      <c r="DK441" s="14"/>
      <c r="DL441" s="14"/>
      <c r="DM441" s="14"/>
      <c r="DN441" s="14"/>
      <c r="DO441" s="14"/>
      <c r="DP441" s="14"/>
      <c r="DQ441" s="14"/>
      <c r="DR441" s="14"/>
      <c r="DS441" s="14"/>
      <c r="DT441" s="14"/>
      <c r="DU441" s="14"/>
      <c r="DV441" s="14"/>
      <c r="DW441" s="14"/>
      <c r="DX441" s="14"/>
      <c r="DY441" s="14"/>
      <c r="DZ441" s="14"/>
      <c r="EA441" s="14"/>
      <c r="EB441" s="14"/>
      <c r="EC441" s="14"/>
      <c r="ED441" s="14"/>
      <c r="EE441" s="14"/>
      <c r="EF441" s="14"/>
      <c r="EG441" s="14"/>
      <c r="EH441" s="14"/>
      <c r="EI441" s="14"/>
      <c r="EJ441" s="14"/>
      <c r="EK441" s="14"/>
      <c r="EL441" s="14"/>
    </row>
    <row r="442" spans="1:142" s="63" customFormat="1" ht="40.5" customHeight="1" x14ac:dyDescent="0.2">
      <c r="A442" s="35"/>
      <c r="B442" s="1379" t="s">
        <v>586</v>
      </c>
      <c r="C442" s="1379"/>
      <c r="D442" s="1379"/>
      <c r="E442" s="1379"/>
      <c r="F442" s="1379"/>
      <c r="G442" s="1379"/>
      <c r="H442" s="1379"/>
      <c r="I442" s="1379"/>
      <c r="J442" s="1379"/>
      <c r="K442" s="1379"/>
      <c r="L442" s="1379"/>
      <c r="M442" s="1379"/>
      <c r="N442" s="1379"/>
      <c r="O442" s="1379"/>
      <c r="P442" s="1555"/>
      <c r="Q442" s="35"/>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4"/>
      <c r="BB442" s="14"/>
      <c r="BC442" s="14"/>
      <c r="BD442" s="14"/>
      <c r="BE442" s="14"/>
      <c r="BF442" s="14"/>
      <c r="BG442" s="14"/>
      <c r="BH442" s="14"/>
      <c r="BI442" s="14"/>
      <c r="BJ442" s="14"/>
      <c r="BK442" s="14"/>
      <c r="BL442" s="14"/>
      <c r="BM442" s="14"/>
      <c r="BN442" s="14"/>
      <c r="BO442" s="14"/>
      <c r="BP442" s="14"/>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c r="CO442" s="14"/>
      <c r="CP442" s="14"/>
      <c r="CQ442" s="14"/>
      <c r="CR442" s="14"/>
      <c r="CS442" s="14"/>
      <c r="CT442" s="14"/>
      <c r="CU442" s="14"/>
      <c r="CV442" s="14"/>
      <c r="CW442" s="14"/>
      <c r="CX442" s="14"/>
      <c r="CY442" s="14"/>
      <c r="CZ442" s="14"/>
      <c r="DA442" s="14"/>
      <c r="DB442" s="14"/>
      <c r="DC442" s="14"/>
      <c r="DD442" s="14"/>
      <c r="DE442" s="14"/>
      <c r="DF442" s="14"/>
      <c r="DG442" s="14"/>
      <c r="DH442" s="14"/>
      <c r="DI442" s="14"/>
      <c r="DJ442" s="14"/>
      <c r="DK442" s="14"/>
      <c r="DL442" s="14"/>
      <c r="DM442" s="14"/>
      <c r="DN442" s="14"/>
      <c r="DO442" s="14"/>
      <c r="DP442" s="14"/>
      <c r="DQ442" s="14"/>
      <c r="DR442" s="14"/>
      <c r="DS442" s="14"/>
      <c r="DT442" s="14"/>
      <c r="DU442" s="14"/>
      <c r="DV442" s="14"/>
      <c r="DW442" s="14"/>
      <c r="DX442" s="14"/>
      <c r="DY442" s="14"/>
      <c r="DZ442" s="14"/>
      <c r="EA442" s="14"/>
      <c r="EB442" s="14"/>
      <c r="EC442" s="14"/>
      <c r="ED442" s="14"/>
      <c r="EE442" s="14"/>
      <c r="EF442" s="14"/>
      <c r="EG442" s="14"/>
      <c r="EH442" s="14"/>
      <c r="EI442" s="14"/>
      <c r="EJ442" s="14"/>
      <c r="EK442" s="14"/>
      <c r="EL442" s="14"/>
    </row>
    <row r="443" spans="1:142" s="63" customFormat="1" ht="18" customHeight="1" x14ac:dyDescent="0.2">
      <c r="A443" s="20"/>
      <c r="B443" s="1890" t="s">
        <v>1242</v>
      </c>
      <c r="C443" s="1890"/>
      <c r="D443" s="1890"/>
      <c r="E443" s="1890"/>
      <c r="F443" s="1890"/>
      <c r="G443" s="1890"/>
      <c r="H443" s="1890"/>
      <c r="I443" s="1890"/>
      <c r="J443" s="1890"/>
      <c r="K443" s="1890"/>
      <c r="L443" s="1890"/>
      <c r="M443" s="1890"/>
      <c r="N443" s="1543"/>
      <c r="O443" s="1543"/>
      <c r="P443" s="26">
        <f>IF(R443=1,0.05,0)</f>
        <v>0</v>
      </c>
      <c r="Q443" s="35"/>
      <c r="R443" s="686">
        <v>2</v>
      </c>
      <c r="S443" s="18"/>
      <c r="T443" s="18"/>
      <c r="U443" s="18"/>
      <c r="V443" s="18"/>
      <c r="W443" s="18">
        <v>1E-4</v>
      </c>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4"/>
      <c r="BB443" s="14"/>
      <c r="BC443" s="14"/>
      <c r="BD443" s="14"/>
      <c r="BE443" s="14"/>
      <c r="BF443" s="14"/>
      <c r="BG443" s="14"/>
      <c r="BH443" s="14"/>
      <c r="BI443" s="14"/>
      <c r="BJ443" s="14"/>
      <c r="BK443" s="14"/>
      <c r="BL443" s="14"/>
      <c r="BM443" s="14"/>
      <c r="BN443" s="14"/>
      <c r="BO443" s="14"/>
      <c r="BP443" s="14"/>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C443" s="14"/>
      <c r="DD443" s="14"/>
      <c r="DE443" s="14"/>
      <c r="DF443" s="14"/>
      <c r="DG443" s="14"/>
      <c r="DH443" s="14"/>
      <c r="DI443" s="14"/>
      <c r="DJ443" s="14"/>
      <c r="DK443" s="14"/>
      <c r="DL443" s="14"/>
      <c r="DM443" s="14"/>
      <c r="DN443" s="14"/>
      <c r="DO443" s="14"/>
      <c r="DP443" s="14"/>
      <c r="DQ443" s="14"/>
      <c r="DR443" s="14"/>
      <c r="DS443" s="14"/>
      <c r="DT443" s="14"/>
      <c r="DU443" s="14"/>
      <c r="DV443" s="14"/>
      <c r="DW443" s="14"/>
      <c r="DX443" s="14"/>
      <c r="DY443" s="14"/>
      <c r="DZ443" s="14"/>
      <c r="EA443" s="14"/>
      <c r="EB443" s="14"/>
      <c r="EC443" s="14"/>
      <c r="ED443" s="14"/>
      <c r="EE443" s="14"/>
      <c r="EF443" s="14"/>
      <c r="EG443" s="14"/>
      <c r="EH443" s="14"/>
      <c r="EI443" s="14"/>
      <c r="EJ443" s="14"/>
      <c r="EK443" s="14"/>
      <c r="EL443" s="14"/>
    </row>
    <row r="444" spans="1:142" s="63" customFormat="1" ht="12" customHeight="1" x14ac:dyDescent="0.2">
      <c r="A444" s="35"/>
      <c r="B444" s="1395"/>
      <c r="C444" s="1395"/>
      <c r="D444" s="1395"/>
      <c r="E444" s="1395"/>
      <c r="F444" s="1395"/>
      <c r="G444" s="1395"/>
      <c r="H444" s="1395"/>
      <c r="I444" s="1395"/>
      <c r="J444" s="1395"/>
      <c r="K444" s="1395"/>
      <c r="L444" s="1395"/>
      <c r="M444" s="1395"/>
      <c r="N444" s="1395"/>
      <c r="O444" s="1395"/>
      <c r="P444" s="35"/>
      <c r="Q444" s="35"/>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4"/>
      <c r="BB444" s="14"/>
      <c r="BC444" s="14"/>
      <c r="BD444" s="14"/>
      <c r="BE444" s="14"/>
      <c r="BF444" s="14"/>
      <c r="BG444" s="14"/>
      <c r="BH444" s="14"/>
      <c r="BI444" s="14"/>
      <c r="BJ444" s="14"/>
      <c r="BK444" s="14"/>
      <c r="BL444" s="14"/>
      <c r="BM444" s="14"/>
      <c r="BN444" s="14"/>
      <c r="BO444" s="14"/>
      <c r="BP444" s="14"/>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c r="CO444" s="14"/>
      <c r="CP444" s="14"/>
      <c r="CQ444" s="14"/>
      <c r="CR444" s="14"/>
      <c r="CS444" s="14"/>
      <c r="CT444" s="14"/>
      <c r="CU444" s="14"/>
      <c r="CV444" s="14"/>
      <c r="CW444" s="14"/>
      <c r="CX444" s="14"/>
      <c r="CY444" s="14"/>
      <c r="CZ444" s="14"/>
      <c r="DA444" s="14"/>
      <c r="DB444" s="14"/>
      <c r="DC444" s="14"/>
      <c r="DD444" s="14"/>
      <c r="DE444" s="14"/>
      <c r="DF444" s="14"/>
      <c r="DG444" s="14"/>
      <c r="DH444" s="14"/>
      <c r="DI444" s="14"/>
      <c r="DJ444" s="14"/>
      <c r="DK444" s="14"/>
      <c r="DL444" s="14"/>
      <c r="DM444" s="14"/>
      <c r="DN444" s="14"/>
      <c r="DO444" s="14"/>
      <c r="DP444" s="14"/>
      <c r="DQ444" s="14"/>
      <c r="DR444" s="14"/>
      <c r="DS444" s="14"/>
      <c r="DT444" s="14"/>
      <c r="DU444" s="14"/>
      <c r="DV444" s="14"/>
      <c r="DW444" s="14"/>
      <c r="DX444" s="14"/>
      <c r="DY444" s="14"/>
      <c r="DZ444" s="14"/>
      <c r="EA444" s="14"/>
      <c r="EB444" s="14"/>
      <c r="EC444" s="14"/>
      <c r="ED444" s="14"/>
      <c r="EE444" s="14"/>
      <c r="EF444" s="14"/>
      <c r="EG444" s="14"/>
      <c r="EH444" s="14"/>
      <c r="EI444" s="14"/>
      <c r="EJ444" s="14"/>
      <c r="EK444" s="14"/>
      <c r="EL444" s="14"/>
    </row>
    <row r="445" spans="1:142" s="63" customFormat="1" ht="18" customHeight="1" x14ac:dyDescent="0.2">
      <c r="A445" s="8"/>
      <c r="B445" s="1534" t="s">
        <v>1243</v>
      </c>
      <c r="C445" s="1534"/>
      <c r="D445" s="1534"/>
      <c r="E445" s="1534"/>
      <c r="F445" s="1534"/>
      <c r="G445" s="1534"/>
      <c r="H445" s="1534"/>
      <c r="I445" s="1534"/>
      <c r="J445" s="1534"/>
      <c r="K445" s="1534"/>
      <c r="L445" s="1534"/>
      <c r="M445" s="1534"/>
      <c r="N445" s="1534"/>
      <c r="O445" s="1534"/>
      <c r="P445" s="185"/>
      <c r="Q445" s="8"/>
      <c r="R445" s="60"/>
      <c r="S445" s="60"/>
      <c r="T445" s="60"/>
      <c r="U445" s="60"/>
      <c r="V445" s="60"/>
      <c r="W445" s="60"/>
      <c r="X445" s="60"/>
      <c r="Y445" s="60"/>
      <c r="Z445" s="60"/>
      <c r="AA445" s="60"/>
      <c r="AB445" s="60"/>
      <c r="AC445" s="60"/>
      <c r="AD445" s="60"/>
      <c r="AE445" s="60"/>
      <c r="AF445" s="60"/>
      <c r="AG445" s="60"/>
      <c r="AH445" s="60"/>
      <c r="AI445" s="60"/>
      <c r="AJ445" s="60"/>
      <c r="AK445" s="60"/>
      <c r="AL445" s="60"/>
      <c r="AM445" s="60"/>
      <c r="AN445" s="60"/>
      <c r="AO445" s="60"/>
      <c r="AP445" s="60"/>
      <c r="AQ445" s="60"/>
      <c r="AR445" s="60"/>
      <c r="AS445" s="60"/>
      <c r="AT445" s="60"/>
      <c r="AU445" s="60"/>
      <c r="AV445" s="60"/>
      <c r="AW445" s="60"/>
      <c r="AX445" s="60"/>
      <c r="AY445" s="60"/>
      <c r="AZ445" s="60"/>
      <c r="BA445" s="60"/>
      <c r="BB445" s="60"/>
      <c r="BC445" s="60"/>
      <c r="BD445" s="60"/>
      <c r="BE445" s="60"/>
      <c r="BF445" s="14"/>
      <c r="BG445" s="14"/>
      <c r="BH445" s="14"/>
      <c r="BI445" s="14"/>
      <c r="BJ445" s="14"/>
      <c r="BK445" s="14"/>
      <c r="BL445" s="14"/>
      <c r="BM445" s="14"/>
      <c r="BN445" s="14"/>
      <c r="BO445" s="14"/>
      <c r="BP445" s="14"/>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c r="CO445" s="14"/>
      <c r="CP445" s="14"/>
      <c r="CQ445" s="14"/>
      <c r="CR445" s="14"/>
      <c r="CS445" s="14"/>
      <c r="CT445" s="14"/>
      <c r="CU445" s="14"/>
      <c r="CV445" s="14"/>
      <c r="CW445" s="14"/>
      <c r="CX445" s="14"/>
      <c r="CY445" s="14"/>
      <c r="CZ445" s="14"/>
      <c r="DA445" s="14"/>
      <c r="DB445" s="14"/>
      <c r="DC445" s="14"/>
      <c r="DD445" s="14"/>
      <c r="DE445" s="14"/>
      <c r="DF445" s="14"/>
      <c r="DG445" s="14"/>
      <c r="DH445" s="14"/>
      <c r="DI445" s="14"/>
      <c r="DJ445" s="14"/>
      <c r="DK445" s="14"/>
      <c r="DL445" s="14"/>
      <c r="DM445" s="14"/>
      <c r="DN445" s="14"/>
      <c r="DO445" s="14"/>
      <c r="DP445" s="14"/>
      <c r="DQ445" s="14"/>
      <c r="DR445" s="14"/>
      <c r="DS445" s="14"/>
      <c r="DT445" s="14"/>
      <c r="DU445" s="14"/>
      <c r="DV445" s="14"/>
      <c r="DW445" s="14"/>
      <c r="DX445" s="14"/>
      <c r="DY445" s="14"/>
      <c r="DZ445" s="14"/>
      <c r="EA445" s="14"/>
      <c r="EB445" s="14"/>
      <c r="EC445" s="14"/>
      <c r="ED445" s="14"/>
      <c r="EE445" s="14"/>
      <c r="EF445" s="14"/>
      <c r="EG445" s="14"/>
      <c r="EH445" s="14"/>
      <c r="EI445" s="14"/>
      <c r="EJ445" s="14"/>
      <c r="EK445" s="14"/>
      <c r="EL445" s="14"/>
    </row>
    <row r="446" spans="1:142" s="63" customFormat="1" ht="15" customHeight="1" x14ac:dyDescent="0.2">
      <c r="A446" s="8"/>
      <c r="B446" s="353" t="s">
        <v>1345</v>
      </c>
      <c r="C446" s="1849">
        <f>IF(SUM($E$449:$E$470)&gt;0,P341,0)</f>
        <v>0</v>
      </c>
      <c r="D446" s="1850"/>
      <c r="E446" s="1850"/>
      <c r="F446" s="1848" t="s">
        <v>1164</v>
      </c>
      <c r="G446" s="1848"/>
      <c r="H446" s="1848"/>
      <c r="I446" s="1848"/>
      <c r="J446" s="1848"/>
      <c r="K446" s="1848"/>
      <c r="L446" s="1849">
        <f>LETable!AJ68</f>
        <v>0</v>
      </c>
      <c r="M446" s="1849"/>
      <c r="N446" s="1848" t="s">
        <v>1364</v>
      </c>
      <c r="O446" s="1848"/>
      <c r="P446" s="95">
        <f>L446</f>
        <v>0</v>
      </c>
      <c r="Q446" s="8"/>
      <c r="R446" s="60"/>
      <c r="S446" s="60"/>
      <c r="T446" s="60"/>
      <c r="U446" s="60"/>
      <c r="V446" s="60"/>
      <c r="W446" s="60"/>
      <c r="X446" s="60"/>
      <c r="Y446" s="1549" t="s">
        <v>1004</v>
      </c>
      <c r="Z446" s="1551"/>
      <c r="AA446" s="60"/>
      <c r="AB446" s="60"/>
      <c r="AC446" s="60"/>
      <c r="AD446" s="60"/>
      <c r="AE446" s="60"/>
      <c r="AF446" s="60"/>
      <c r="AG446" s="60"/>
      <c r="AH446" s="60"/>
      <c r="AI446" s="60"/>
      <c r="AJ446" s="60"/>
      <c r="AK446" s="60"/>
      <c r="AL446" s="60"/>
      <c r="AM446" s="60"/>
      <c r="AN446" s="60"/>
      <c r="AO446" s="60"/>
      <c r="AP446" s="60"/>
      <c r="AQ446" s="60"/>
      <c r="AR446" s="60"/>
      <c r="AS446" s="60"/>
      <c r="AT446" s="60"/>
      <c r="AU446" s="60"/>
      <c r="AV446" s="60"/>
      <c r="AW446" s="60"/>
      <c r="AX446" s="60"/>
      <c r="AY446" s="60"/>
      <c r="AZ446" s="60"/>
      <c r="BA446" s="60"/>
      <c r="BB446" s="60"/>
      <c r="BC446" s="60"/>
      <c r="BD446" s="60"/>
      <c r="BE446" s="60"/>
      <c r="BF446" s="14"/>
      <c r="BG446" s="14"/>
      <c r="BH446" s="14"/>
      <c r="BI446" s="14"/>
      <c r="BJ446" s="14"/>
      <c r="BK446" s="14"/>
      <c r="BL446" s="14"/>
      <c r="BM446" s="14"/>
      <c r="BN446" s="14"/>
      <c r="BO446" s="14"/>
      <c r="BP446" s="14"/>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row>
    <row r="447" spans="1:142" s="63" customFormat="1" ht="12" customHeight="1" x14ac:dyDescent="0.2">
      <c r="A447" s="35"/>
      <c r="B447" s="1395"/>
      <c r="C447" s="1395"/>
      <c r="D447" s="1395"/>
      <c r="E447" s="1395"/>
      <c r="F447" s="1395"/>
      <c r="G447" s="1395"/>
      <c r="H447" s="1395"/>
      <c r="I447" s="1395"/>
      <c r="J447" s="1395"/>
      <c r="K447" s="1395"/>
      <c r="L447" s="1395"/>
      <c r="M447" s="1395"/>
      <c r="N447" s="1395"/>
      <c r="O447" s="1395"/>
      <c r="P447" s="35"/>
      <c r="Q447" s="35"/>
      <c r="R447" s="18"/>
      <c r="S447" s="18"/>
      <c r="T447" s="18"/>
      <c r="U447" s="18"/>
      <c r="V447" s="18"/>
      <c r="W447" s="18"/>
      <c r="X447" s="18"/>
      <c r="Y447" s="840">
        <f>Y449+Y448</f>
        <v>0</v>
      </c>
      <c r="Z447" s="838" t="s">
        <v>303</v>
      </c>
      <c r="AA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4"/>
      <c r="BB447" s="14"/>
      <c r="BC447" s="14"/>
      <c r="BD447" s="14"/>
      <c r="BE447" s="14"/>
      <c r="BF447" s="14"/>
      <c r="BG447" s="14"/>
      <c r="BH447" s="14"/>
      <c r="BI447" s="14"/>
      <c r="BJ447" s="14"/>
      <c r="BK447" s="14"/>
      <c r="BL447" s="14"/>
      <c r="BM447" s="14"/>
      <c r="BN447" s="14"/>
      <c r="BO447" s="14"/>
      <c r="BP447" s="14"/>
      <c r="BQ447" s="14"/>
      <c r="BR447" s="14"/>
      <c r="BS447" s="14"/>
      <c r="BT447" s="14"/>
      <c r="BU447" s="14"/>
      <c r="BV447" s="14"/>
      <c r="BW447" s="14"/>
      <c r="BX447" s="14"/>
      <c r="BY447" s="14"/>
      <c r="BZ447" s="14"/>
      <c r="CA447" s="14"/>
      <c r="CB447" s="14"/>
      <c r="CC447" s="14"/>
      <c r="CD447" s="14"/>
      <c r="CE447" s="14"/>
      <c r="CF447" s="14"/>
      <c r="CG447" s="14"/>
      <c r="CH447" s="14"/>
      <c r="CI447" s="14"/>
      <c r="CJ447" s="14"/>
      <c r="CK447" s="14"/>
      <c r="CL447" s="14"/>
      <c r="CM447" s="14"/>
      <c r="CN447" s="14"/>
      <c r="CO447" s="14"/>
      <c r="CP447" s="14"/>
      <c r="CQ447" s="14"/>
      <c r="CR447" s="14"/>
      <c r="CS447" s="14"/>
      <c r="CT447" s="14"/>
      <c r="CU447" s="14"/>
      <c r="CV447" s="14"/>
      <c r="CW447" s="14"/>
      <c r="CX447" s="14"/>
      <c r="CY447" s="14"/>
      <c r="CZ447" s="14"/>
      <c r="DA447" s="14"/>
      <c r="DB447" s="14"/>
      <c r="DC447" s="14"/>
      <c r="DD447" s="14"/>
      <c r="DE447" s="14"/>
      <c r="DF447" s="14"/>
      <c r="DG447" s="14"/>
      <c r="DH447" s="14"/>
      <c r="DI447" s="14"/>
      <c r="DJ447" s="14"/>
      <c r="DK447" s="14"/>
      <c r="DL447" s="14"/>
      <c r="DM447" s="14"/>
      <c r="DN447" s="14"/>
      <c r="DO447" s="14"/>
      <c r="DP447" s="14"/>
      <c r="DQ447" s="14"/>
      <c r="DR447" s="14"/>
      <c r="DS447" s="14"/>
      <c r="DT447" s="14"/>
      <c r="DU447" s="14"/>
      <c r="DV447" s="14"/>
      <c r="DW447" s="14"/>
      <c r="DX447" s="14"/>
      <c r="DY447" s="14"/>
      <c r="DZ447" s="14"/>
      <c r="EA447" s="14"/>
      <c r="EB447" s="14"/>
      <c r="EC447" s="14"/>
      <c r="ED447" s="14"/>
      <c r="EE447" s="14"/>
      <c r="EF447" s="14"/>
      <c r="EG447" s="14"/>
      <c r="EH447" s="14"/>
      <c r="EI447" s="14"/>
      <c r="EJ447" s="14"/>
      <c r="EK447" s="14"/>
      <c r="EL447" s="14"/>
    </row>
    <row r="448" spans="1:142" s="63" customFormat="1" ht="27.75" customHeight="1" x14ac:dyDescent="0.2">
      <c r="A448" s="35"/>
      <c r="B448" s="1632" t="s">
        <v>246</v>
      </c>
      <c r="C448" s="1633"/>
      <c r="D448" s="1633"/>
      <c r="E448" s="1633"/>
      <c r="F448" s="1634"/>
      <c r="G448" s="1626" t="s">
        <v>1525</v>
      </c>
      <c r="H448" s="1627"/>
      <c r="I448" s="1627"/>
      <c r="J448" s="1627"/>
      <c r="K448" s="1628"/>
      <c r="L448" s="1702"/>
      <c r="M448" s="1627"/>
      <c r="N448" s="1627"/>
      <c r="O448" s="1628"/>
      <c r="P448" s="1481">
        <f>V470</f>
        <v>0</v>
      </c>
      <c r="Q448" s="35"/>
      <c r="R448" s="18"/>
      <c r="S448" s="886" t="s">
        <v>1865</v>
      </c>
      <c r="T448" s="877" t="s">
        <v>1305</v>
      </c>
      <c r="U448" s="877" t="s">
        <v>1306</v>
      </c>
      <c r="V448" s="969" t="s">
        <v>1307</v>
      </c>
      <c r="W448" s="972" t="s">
        <v>860</v>
      </c>
      <c r="X448" s="18"/>
      <c r="Y448" s="840">
        <f>IF(OR(AB377&gt;0,E449&gt;0,E452&gt;0,E454&gt;0,E455&gt;0,E456&gt;0,E457&gt;0,E458&gt;0,E459&gt;0,E460&gt;0,E461&gt;0,E462&gt;0,E463&gt;0),1,0)</f>
        <v>0</v>
      </c>
      <c r="Z448" s="838" t="s">
        <v>28</v>
      </c>
      <c r="AA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4"/>
      <c r="BB448" s="14"/>
      <c r="BC448" s="14"/>
      <c r="BD448" s="14"/>
      <c r="BE448" s="14"/>
      <c r="BF448" s="14"/>
      <c r="BG448" s="14"/>
      <c r="BH448" s="14"/>
      <c r="BI448" s="14"/>
      <c r="BJ448" s="14"/>
      <c r="BK448" s="14"/>
      <c r="BL448" s="14"/>
      <c r="BM448" s="14"/>
      <c r="BN448" s="14"/>
      <c r="BO448" s="14"/>
      <c r="BP448" s="14"/>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c r="CM448" s="14"/>
      <c r="CN448" s="14"/>
      <c r="CO448" s="14"/>
      <c r="CP448" s="14"/>
      <c r="CQ448" s="14"/>
      <c r="CR448" s="14"/>
      <c r="CS448" s="14"/>
      <c r="CT448" s="14"/>
      <c r="CU448" s="14"/>
      <c r="CV448" s="14"/>
      <c r="CW448" s="14"/>
      <c r="CX448" s="14"/>
      <c r="CY448" s="14"/>
      <c r="CZ448" s="14"/>
      <c r="DA448" s="14"/>
      <c r="DB448" s="14"/>
      <c r="DC448" s="14"/>
      <c r="DD448" s="14"/>
      <c r="DE448" s="14"/>
      <c r="DF448" s="14"/>
      <c r="DG448" s="14"/>
      <c r="DH448" s="14"/>
      <c r="DI448" s="14"/>
      <c r="DJ448" s="14"/>
      <c r="DK448" s="14"/>
      <c r="DL448" s="14"/>
      <c r="DM448" s="14"/>
      <c r="DN448" s="14"/>
      <c r="DO448" s="14"/>
      <c r="DP448" s="14"/>
      <c r="DQ448" s="14"/>
      <c r="DR448" s="14"/>
      <c r="DS448" s="14"/>
      <c r="DT448" s="14"/>
      <c r="DU448" s="14"/>
      <c r="DV448" s="14"/>
      <c r="DW448" s="14"/>
      <c r="DX448" s="14"/>
      <c r="DY448" s="14"/>
      <c r="DZ448" s="14"/>
      <c r="EA448" s="14"/>
      <c r="EB448" s="14"/>
      <c r="EC448" s="14"/>
      <c r="ED448" s="14"/>
      <c r="EE448" s="14"/>
      <c r="EF448" s="14"/>
      <c r="EG448" s="14"/>
      <c r="EH448" s="14"/>
      <c r="EI448" s="14"/>
      <c r="EJ448" s="14"/>
      <c r="EK448" s="14"/>
      <c r="EL448" s="14"/>
    </row>
    <row r="449" spans="1:142" s="63" customFormat="1" ht="15" customHeight="1" x14ac:dyDescent="0.2">
      <c r="A449" s="35"/>
      <c r="B449" s="1357" t="s">
        <v>1526</v>
      </c>
      <c r="C449" s="1358"/>
      <c r="D449" s="1359"/>
      <c r="E449" s="1342">
        <f>P373</f>
        <v>0</v>
      </c>
      <c r="F449" s="1344"/>
      <c r="G449" s="1702" t="s">
        <v>1942</v>
      </c>
      <c r="H449" s="1627"/>
      <c r="I449" s="1628"/>
      <c r="J449" s="1838"/>
      <c r="K449" s="1838"/>
      <c r="M449" s="1096"/>
      <c r="N449" s="1096"/>
      <c r="O449" s="1097"/>
      <c r="P449" s="1731"/>
      <c r="Q449" s="35"/>
      <c r="R449" s="18"/>
      <c r="S449" s="881">
        <f>E449</f>
        <v>0</v>
      </c>
      <c r="T449" s="883">
        <f>LARGE($S$449:$S$471,1)</f>
        <v>0</v>
      </c>
      <c r="U449" s="684">
        <f>T449+T450*(1-T449)</f>
        <v>0</v>
      </c>
      <c r="V449" s="983">
        <f t="shared" ref="V449:V470" si="64">ROUND(U449,2)</f>
        <v>0</v>
      </c>
      <c r="W449" s="971">
        <f>IF(OR(P381&gt;0,P388&gt;0),1,0)</f>
        <v>0</v>
      </c>
      <c r="X449" s="18"/>
      <c r="Y449" s="840">
        <f>IF(P427&gt;0,0,IF(AB377&gt;0,1,0))</f>
        <v>0</v>
      </c>
      <c r="Z449" s="843" t="s">
        <v>1405</v>
      </c>
      <c r="AA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4"/>
      <c r="BB449" s="14"/>
      <c r="BC449" s="14"/>
      <c r="BD449" s="14"/>
      <c r="BE449" s="14"/>
      <c r="BF449" s="14"/>
      <c r="BG449" s="14"/>
      <c r="BH449" s="14"/>
      <c r="BI449" s="14"/>
      <c r="BJ449" s="14"/>
      <c r="BK449" s="14"/>
      <c r="BL449" s="14"/>
      <c r="BM449" s="14"/>
      <c r="BN449" s="14"/>
      <c r="BO449" s="14"/>
      <c r="BP449" s="14"/>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c r="CM449" s="14"/>
      <c r="CN449" s="14"/>
      <c r="CO449" s="14"/>
      <c r="CP449" s="14"/>
      <c r="CQ449" s="14"/>
      <c r="CR449" s="14"/>
      <c r="CS449" s="14"/>
      <c r="CT449" s="14"/>
      <c r="CU449" s="14"/>
      <c r="CV449" s="14"/>
      <c r="CW449" s="14"/>
      <c r="CX449" s="14"/>
      <c r="CY449" s="14"/>
      <c r="CZ449" s="14"/>
      <c r="DA449" s="14"/>
      <c r="DB449" s="14"/>
      <c r="DC449" s="14"/>
      <c r="DD449" s="14"/>
      <c r="DE449" s="14"/>
      <c r="DF449" s="14"/>
      <c r="DG449" s="14"/>
      <c r="DH449" s="14"/>
      <c r="DI449" s="14"/>
      <c r="DJ449" s="14"/>
      <c r="DK449" s="14"/>
      <c r="DL449" s="14"/>
      <c r="DM449" s="14"/>
      <c r="DN449" s="14"/>
      <c r="DO449" s="14"/>
      <c r="DP449" s="14"/>
      <c r="DQ449" s="14"/>
      <c r="DR449" s="14"/>
      <c r="DS449" s="14"/>
      <c r="DT449" s="14"/>
      <c r="DU449" s="14"/>
      <c r="DV449" s="14"/>
      <c r="DW449" s="14"/>
      <c r="DX449" s="14"/>
      <c r="DY449" s="14"/>
      <c r="DZ449" s="14"/>
      <c r="EA449" s="14"/>
      <c r="EB449" s="14"/>
      <c r="EC449" s="14"/>
      <c r="ED449" s="14"/>
      <c r="EE449" s="14"/>
      <c r="EF449" s="14"/>
      <c r="EG449" s="14"/>
      <c r="EH449" s="14"/>
      <c r="EI449" s="14"/>
      <c r="EJ449" s="14"/>
      <c r="EK449" s="14"/>
      <c r="EL449" s="14"/>
    </row>
    <row r="450" spans="1:142" s="63" customFormat="1" ht="15" customHeight="1" x14ac:dyDescent="0.2">
      <c r="A450" s="35"/>
      <c r="B450" s="1357" t="s">
        <v>1527</v>
      </c>
      <c r="C450" s="1358"/>
      <c r="D450" s="1359"/>
      <c r="E450" s="1342">
        <f>IF(P427&gt;0,0,P381)</f>
        <v>0</v>
      </c>
      <c r="F450" s="1344"/>
      <c r="G450" s="1544"/>
      <c r="H450" s="1544"/>
      <c r="I450" s="1544"/>
      <c r="J450" s="1847">
        <f>IF(AND(Y450&lt;0.01,Y450&gt;0),0.01,ROUND(Y450,2))</f>
        <v>0</v>
      </c>
      <c r="K450" s="1852"/>
      <c r="L450" s="1760" t="str">
        <f>IF(AND(Y449=1,G450&gt;0),"Ankylosis cannot be apportioned.","")</f>
        <v/>
      </c>
      <c r="M450" s="1761"/>
      <c r="N450" s="1761"/>
      <c r="O450" s="1762"/>
      <c r="P450" s="1731"/>
      <c r="Q450" s="35"/>
      <c r="R450" s="18"/>
      <c r="S450" s="883">
        <f>IF(J450&gt;0,J450,E450)</f>
        <v>0</v>
      </c>
      <c r="T450" s="883">
        <f>LARGE($S$449:$S$471,2)</f>
        <v>0</v>
      </c>
      <c r="U450" s="684">
        <f>V449+T451*(1-V449)</f>
        <v>0</v>
      </c>
      <c r="V450" s="983">
        <f t="shared" si="64"/>
        <v>0</v>
      </c>
      <c r="W450" s="972" t="s">
        <v>1896</v>
      </c>
      <c r="X450" s="18"/>
      <c r="Y450" s="26">
        <f>IF(Y449=1,0,G450*E450)</f>
        <v>0</v>
      </c>
      <c r="Z450" s="18"/>
      <c r="AA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4"/>
      <c r="BB450" s="14"/>
      <c r="BC450" s="14"/>
      <c r="BD450" s="14"/>
      <c r="BE450" s="14"/>
      <c r="BF450" s="14"/>
      <c r="BG450" s="14"/>
      <c r="BH450" s="14"/>
      <c r="BI450" s="14"/>
      <c r="BJ450" s="14"/>
      <c r="BK450" s="14"/>
      <c r="BL450" s="14"/>
      <c r="BM450" s="14"/>
      <c r="BN450" s="14"/>
      <c r="BO450" s="14"/>
      <c r="BP450" s="14"/>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c r="CR450" s="14"/>
      <c r="CS450" s="14"/>
      <c r="CT450" s="14"/>
      <c r="CU450" s="14"/>
      <c r="CV450" s="14"/>
      <c r="CW450" s="14"/>
      <c r="CX450" s="14"/>
      <c r="CY450" s="14"/>
      <c r="CZ450" s="14"/>
      <c r="DA450" s="14"/>
      <c r="DB450" s="14"/>
      <c r="DC450" s="14"/>
      <c r="DD450" s="14"/>
      <c r="DE450" s="14"/>
      <c r="DF450" s="14"/>
      <c r="DG450" s="14"/>
      <c r="DH450" s="14"/>
      <c r="DI450" s="14"/>
      <c r="DJ450" s="14"/>
      <c r="DK450" s="14"/>
      <c r="DL450" s="14"/>
      <c r="DM450" s="14"/>
      <c r="DN450" s="14"/>
      <c r="DO450" s="14"/>
      <c r="DP450" s="14"/>
      <c r="DQ450" s="14"/>
      <c r="DR450" s="14"/>
      <c r="DS450" s="14"/>
      <c r="DT450" s="14"/>
      <c r="DU450" s="14"/>
      <c r="DV450" s="14"/>
      <c r="DW450" s="14"/>
      <c r="DX450" s="14"/>
      <c r="DY450" s="14"/>
      <c r="DZ450" s="14"/>
      <c r="EA450" s="14"/>
      <c r="EB450" s="14"/>
      <c r="EC450" s="14"/>
      <c r="ED450" s="14"/>
      <c r="EE450" s="14"/>
      <c r="EF450" s="14"/>
      <c r="EG450" s="14"/>
      <c r="EH450" s="14"/>
      <c r="EI450" s="14"/>
      <c r="EJ450" s="14"/>
      <c r="EK450" s="14"/>
      <c r="EL450" s="14"/>
    </row>
    <row r="451" spans="1:142" s="63" customFormat="1" ht="15" customHeight="1" x14ac:dyDescent="0.2">
      <c r="A451" s="35"/>
      <c r="B451" s="1357" t="s">
        <v>1528</v>
      </c>
      <c r="C451" s="1358"/>
      <c r="D451" s="1359"/>
      <c r="E451" s="1342">
        <f>IF(P427&gt;0,0,P388)</f>
        <v>0</v>
      </c>
      <c r="F451" s="1344"/>
      <c r="G451" s="1544"/>
      <c r="H451" s="1544"/>
      <c r="I451" s="1544"/>
      <c r="J451" s="1847">
        <f>IF(AND(Y451&lt;0.01,Y451&gt;0),0.01,ROUND(Y451,2))</f>
        <v>0</v>
      </c>
      <c r="K451" s="1852"/>
      <c r="L451" s="1098"/>
      <c r="M451" s="1099"/>
      <c r="N451" s="1099"/>
      <c r="O451" s="1100"/>
      <c r="P451" s="1731"/>
      <c r="Q451" s="35"/>
      <c r="R451" s="18"/>
      <c r="S451" s="883">
        <f>IF(J451&gt;0,J451,E451)</f>
        <v>0</v>
      </c>
      <c r="T451" s="883">
        <f>LARGE($S$449:$S$471,3)</f>
        <v>0</v>
      </c>
      <c r="U451" s="684">
        <f>V450+T452*(1-V450)</f>
        <v>0</v>
      </c>
      <c r="V451" s="983">
        <f t="shared" si="64"/>
        <v>0</v>
      </c>
      <c r="W451" s="971">
        <f>IF(P439&gt;0,3,0)</f>
        <v>0</v>
      </c>
      <c r="X451" s="18"/>
      <c r="Y451" s="26">
        <f>G451*E451</f>
        <v>0</v>
      </c>
      <c r="Z451" s="18"/>
      <c r="AA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4"/>
      <c r="BB451" s="14"/>
      <c r="BC451" s="14"/>
      <c r="BD451" s="14"/>
      <c r="BE451" s="14"/>
      <c r="BF451" s="14"/>
      <c r="BG451" s="14"/>
      <c r="BH451" s="14"/>
      <c r="BI451" s="14"/>
      <c r="BJ451" s="14"/>
      <c r="BK451" s="14"/>
      <c r="BL451" s="14"/>
      <c r="BM451" s="14"/>
      <c r="BN451" s="14"/>
      <c r="BO451" s="14"/>
      <c r="BP451" s="14"/>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c r="CR451" s="14"/>
      <c r="CS451" s="14"/>
      <c r="CT451" s="14"/>
      <c r="CU451" s="14"/>
      <c r="CV451" s="14"/>
      <c r="CW451" s="14"/>
      <c r="CX451" s="14"/>
      <c r="CY451" s="14"/>
      <c r="CZ451" s="14"/>
      <c r="DA451" s="14"/>
      <c r="DB451" s="14"/>
      <c r="DC451" s="14"/>
      <c r="DD451" s="14"/>
      <c r="DE451" s="14"/>
      <c r="DF451" s="14"/>
      <c r="DG451" s="14"/>
      <c r="DH451" s="14"/>
      <c r="DI451" s="14"/>
      <c r="DJ451" s="14"/>
      <c r="DK451" s="14"/>
      <c r="DL451" s="14"/>
      <c r="DM451" s="14"/>
      <c r="DN451" s="14"/>
      <c r="DO451" s="14"/>
      <c r="DP451" s="14"/>
      <c r="DQ451" s="14"/>
      <c r="DR451" s="14"/>
      <c r="DS451" s="14"/>
      <c r="DT451" s="14"/>
      <c r="DU451" s="14"/>
      <c r="DV451" s="14"/>
      <c r="DW451" s="14"/>
      <c r="DX451" s="14"/>
      <c r="DY451" s="14"/>
      <c r="DZ451" s="14"/>
      <c r="EA451" s="14"/>
      <c r="EB451" s="14"/>
      <c r="EC451" s="14"/>
      <c r="ED451" s="14"/>
      <c r="EE451" s="14"/>
      <c r="EF451" s="14"/>
      <c r="EG451" s="14"/>
      <c r="EH451" s="14"/>
      <c r="EI451" s="14"/>
      <c r="EJ451" s="14"/>
      <c r="EK451" s="14"/>
      <c r="EL451" s="14"/>
    </row>
    <row r="452" spans="1:142" s="63" customFormat="1" ht="15" customHeight="1" x14ac:dyDescent="0.2">
      <c r="A452" s="35"/>
      <c r="B452" s="1357" t="s">
        <v>1529</v>
      </c>
      <c r="C452" s="1358"/>
      <c r="D452" s="1359"/>
      <c r="E452" s="1342">
        <f>P392</f>
        <v>0</v>
      </c>
      <c r="F452" s="1344"/>
      <c r="G452" s="1702" t="s">
        <v>1942</v>
      </c>
      <c r="H452" s="1627"/>
      <c r="I452" s="1628"/>
      <c r="J452" s="1838"/>
      <c r="K452" s="1851"/>
      <c r="L452" s="1098"/>
      <c r="M452" s="1099"/>
      <c r="N452" s="1099"/>
      <c r="O452" s="1100"/>
      <c r="P452" s="1731"/>
      <c r="Q452" s="35"/>
      <c r="R452" s="18"/>
      <c r="S452" s="881">
        <f>E452</f>
        <v>0</v>
      </c>
      <c r="T452" s="883">
        <f>LARGE($S$449:$S$471,4)</f>
        <v>0</v>
      </c>
      <c r="U452" s="684">
        <f>V451+T453*(1-V451)</f>
        <v>0</v>
      </c>
      <c r="V452" s="983">
        <f t="shared" si="64"/>
        <v>0</v>
      </c>
      <c r="W452" s="972" t="s">
        <v>1899</v>
      </c>
      <c r="X452" s="18"/>
      <c r="Y452" s="248"/>
      <c r="Z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4"/>
      <c r="BB452" s="14"/>
      <c r="BC452" s="14"/>
      <c r="BD452" s="14"/>
      <c r="BE452" s="14"/>
      <c r="BF452" s="14"/>
      <c r="BG452" s="14"/>
      <c r="BH452" s="14"/>
      <c r="BI452" s="14"/>
      <c r="BJ452" s="14"/>
      <c r="BK452" s="14"/>
      <c r="BL452" s="14"/>
      <c r="BM452" s="14"/>
      <c r="BN452" s="14"/>
      <c r="BO452" s="14"/>
      <c r="BP452" s="14"/>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C452" s="14"/>
      <c r="DD452" s="14"/>
      <c r="DE452" s="14"/>
      <c r="DF452" s="14"/>
      <c r="DG452" s="14"/>
      <c r="DH452" s="14"/>
      <c r="DI452" s="14"/>
      <c r="DJ452" s="14"/>
      <c r="DK452" s="14"/>
      <c r="DL452" s="14"/>
      <c r="DM452" s="14"/>
      <c r="DN452" s="14"/>
      <c r="DO452" s="14"/>
      <c r="DP452" s="14"/>
      <c r="DQ452" s="14"/>
      <c r="DR452" s="14"/>
      <c r="DS452" s="14"/>
      <c r="DT452" s="14"/>
      <c r="DU452" s="14"/>
      <c r="DV452" s="14"/>
      <c r="DW452" s="14"/>
      <c r="DX452" s="14"/>
      <c r="DY452" s="14"/>
      <c r="DZ452" s="14"/>
      <c r="EA452" s="14"/>
      <c r="EB452" s="14"/>
      <c r="EC452" s="14"/>
      <c r="ED452" s="14"/>
      <c r="EE452" s="14"/>
      <c r="EF452" s="14"/>
      <c r="EG452" s="14"/>
      <c r="EH452" s="14"/>
      <c r="EI452" s="14"/>
      <c r="EJ452" s="14"/>
      <c r="EK452" s="14"/>
      <c r="EL452" s="14"/>
    </row>
    <row r="453" spans="1:142" s="63" customFormat="1" ht="15" customHeight="1" x14ac:dyDescent="0.2">
      <c r="A453" s="35"/>
      <c r="B453" s="2001" t="s">
        <v>1530</v>
      </c>
      <c r="C453" s="2002"/>
      <c r="D453" s="2003"/>
      <c r="E453" s="1342">
        <f>P401</f>
        <v>0</v>
      </c>
      <c r="F453" s="1344"/>
      <c r="G453" s="1544"/>
      <c r="H453" s="1544"/>
      <c r="I453" s="1544"/>
      <c r="J453" s="1847">
        <f>IF(AND(Y453&lt;0.01,Y453&gt;0),0.01,ROUND(Y453,2))</f>
        <v>0</v>
      </c>
      <c r="K453" s="1852"/>
      <c r="L453" s="1760"/>
      <c r="M453" s="1761"/>
      <c r="N453" s="1761"/>
      <c r="O453" s="1762"/>
      <c r="P453" s="1731"/>
      <c r="Q453" s="35"/>
      <c r="R453" s="18"/>
      <c r="S453" s="883">
        <f>IF(J453&gt;0,J453,E453)</f>
        <v>0</v>
      </c>
      <c r="T453" s="883">
        <f>LARGE($S$449:$S$471,5)</f>
        <v>0</v>
      </c>
      <c r="U453" s="684">
        <f>V452+T454*(1-V452)</f>
        <v>0</v>
      </c>
      <c r="V453" s="983">
        <f t="shared" si="64"/>
        <v>0</v>
      </c>
      <c r="W453" s="971">
        <f>IF(P338&gt;0,5,0)</f>
        <v>0</v>
      </c>
      <c r="X453" s="18"/>
      <c r="Y453" s="1086">
        <f>G453*E453</f>
        <v>0</v>
      </c>
      <c r="Z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4"/>
      <c r="BB453" s="14"/>
      <c r="BC453" s="14"/>
      <c r="BD453" s="14"/>
      <c r="BE453" s="14"/>
      <c r="BF453" s="14"/>
      <c r="BG453" s="14"/>
      <c r="BH453" s="14"/>
      <c r="BI453" s="14"/>
      <c r="BJ453" s="14"/>
      <c r="BK453" s="14"/>
      <c r="BL453" s="14"/>
      <c r="BM453" s="14"/>
      <c r="BN453" s="14"/>
      <c r="BO453" s="14"/>
      <c r="BP453" s="14"/>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c r="CR453" s="14"/>
      <c r="CS453" s="14"/>
      <c r="CT453" s="14"/>
      <c r="CU453" s="14"/>
      <c r="CV453" s="14"/>
      <c r="CW453" s="14"/>
      <c r="CX453" s="14"/>
      <c r="CY453" s="14"/>
      <c r="CZ453" s="14"/>
      <c r="DA453" s="14"/>
      <c r="DB453" s="14"/>
      <c r="DC453" s="14"/>
      <c r="DD453" s="14"/>
      <c r="DE453" s="14"/>
      <c r="DF453" s="14"/>
      <c r="DG453" s="14"/>
      <c r="DH453" s="14"/>
      <c r="DI453" s="14"/>
      <c r="DJ453" s="14"/>
      <c r="DK453" s="14"/>
      <c r="DL453" s="14"/>
      <c r="DM453" s="14"/>
      <c r="DN453" s="14"/>
      <c r="DO453" s="14"/>
      <c r="DP453" s="14"/>
      <c r="DQ453" s="14"/>
      <c r="DR453" s="14"/>
      <c r="DS453" s="14"/>
      <c r="DT453" s="14"/>
      <c r="DU453" s="14"/>
      <c r="DV453" s="14"/>
      <c r="DW453" s="14"/>
      <c r="DX453" s="14"/>
      <c r="DY453" s="14"/>
      <c r="DZ453" s="14"/>
      <c r="EA453" s="14"/>
      <c r="EB453" s="14"/>
      <c r="EC453" s="14"/>
      <c r="ED453" s="14"/>
      <c r="EE453" s="14"/>
      <c r="EF453" s="14"/>
      <c r="EG453" s="14"/>
      <c r="EH453" s="14"/>
      <c r="EI453" s="14"/>
      <c r="EJ453" s="14"/>
      <c r="EK453" s="14"/>
      <c r="EL453" s="14"/>
    </row>
    <row r="454" spans="1:142" s="63" customFormat="1" ht="15" customHeight="1" x14ac:dyDescent="0.2">
      <c r="A454" s="35"/>
      <c r="B454" s="2001" t="s">
        <v>1531</v>
      </c>
      <c r="C454" s="2002"/>
      <c r="D454" s="2003"/>
      <c r="E454" s="1342">
        <f>P404</f>
        <v>0</v>
      </c>
      <c r="F454" s="1344"/>
      <c r="G454" s="1702" t="s">
        <v>1942</v>
      </c>
      <c r="H454" s="1627"/>
      <c r="I454" s="1628"/>
      <c r="J454" s="1838"/>
      <c r="K454" s="1851"/>
      <c r="L454" s="1760"/>
      <c r="M454" s="1761"/>
      <c r="N454" s="1761"/>
      <c r="O454" s="1762"/>
      <c r="P454" s="1731"/>
      <c r="Q454" s="35"/>
      <c r="R454" s="18"/>
      <c r="S454" s="881">
        <f t="shared" ref="S454:S463" si="65">E454</f>
        <v>0</v>
      </c>
      <c r="T454" s="883">
        <f>LARGE($S$449:$S$471,6)</f>
        <v>0</v>
      </c>
      <c r="U454" s="684">
        <f t="shared" ref="U454:U470" si="66">V453+T455*(1-V453)</f>
        <v>0</v>
      </c>
      <c r="V454" s="983">
        <f t="shared" si="64"/>
        <v>0</v>
      </c>
      <c r="W454" s="972" t="s">
        <v>596</v>
      </c>
      <c r="X454" s="18"/>
      <c r="Y454" s="273"/>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4"/>
      <c r="BB454" s="14"/>
      <c r="BC454" s="14"/>
      <c r="BD454" s="14"/>
      <c r="BE454" s="14"/>
      <c r="BF454" s="14"/>
      <c r="BG454" s="14"/>
      <c r="BH454" s="14"/>
      <c r="BI454" s="14"/>
      <c r="BJ454" s="14"/>
      <c r="BK454" s="14"/>
      <c r="BL454" s="14"/>
      <c r="BM454" s="14"/>
      <c r="BN454" s="14"/>
      <c r="BO454" s="14"/>
      <c r="BP454" s="14"/>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row>
    <row r="455" spans="1:142" s="63" customFormat="1" ht="27" customHeight="1" x14ac:dyDescent="0.2">
      <c r="A455" s="35"/>
      <c r="B455" s="1981" t="s">
        <v>1532</v>
      </c>
      <c r="C455" s="1982"/>
      <c r="D455" s="1983"/>
      <c r="E455" s="1342">
        <f>P407</f>
        <v>0</v>
      </c>
      <c r="F455" s="1344"/>
      <c r="G455" s="1702" t="s">
        <v>1942</v>
      </c>
      <c r="H455" s="1627"/>
      <c r="I455" s="1628"/>
      <c r="J455" s="1838"/>
      <c r="K455" s="1851"/>
      <c r="L455" s="1760"/>
      <c r="M455" s="1761"/>
      <c r="N455" s="1761"/>
      <c r="O455" s="1762"/>
      <c r="P455" s="1731"/>
      <c r="Q455" s="35"/>
      <c r="R455" s="18"/>
      <c r="S455" s="881">
        <f t="shared" si="65"/>
        <v>0</v>
      </c>
      <c r="T455" s="883">
        <f>LARGE($S$449:$S$471,7)</f>
        <v>0</v>
      </c>
      <c r="U455" s="684">
        <f t="shared" si="66"/>
        <v>0</v>
      </c>
      <c r="V455" s="983">
        <f t="shared" si="64"/>
        <v>0</v>
      </c>
      <c r="W455" s="971">
        <f>IF(P443&gt;0,1,0)</f>
        <v>0</v>
      </c>
      <c r="X455" s="18"/>
      <c r="Y455" s="273"/>
      <c r="Z455" s="974"/>
      <c r="AA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4"/>
      <c r="BB455" s="14"/>
      <c r="BC455" s="14"/>
      <c r="BD455" s="14"/>
      <c r="BE455" s="14"/>
      <c r="BF455" s="14"/>
      <c r="BG455" s="14"/>
      <c r="BH455" s="14"/>
      <c r="BI455" s="14"/>
      <c r="BJ455" s="14"/>
      <c r="BK455" s="14"/>
      <c r="BL455" s="14"/>
      <c r="BM455" s="14"/>
      <c r="BN455" s="14"/>
      <c r="BO455" s="14"/>
      <c r="BP455" s="14"/>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c r="CR455" s="14"/>
      <c r="CS455" s="14"/>
      <c r="CT455" s="14"/>
      <c r="CU455" s="14"/>
      <c r="CV455" s="14"/>
      <c r="CW455" s="14"/>
      <c r="CX455" s="14"/>
      <c r="CY455" s="14"/>
      <c r="CZ455" s="14"/>
      <c r="DA455" s="14"/>
      <c r="DB455" s="14"/>
      <c r="DC455" s="14"/>
      <c r="DD455" s="14"/>
      <c r="DE455" s="14"/>
      <c r="DF455" s="14"/>
      <c r="DG455" s="14"/>
      <c r="DH455" s="14"/>
      <c r="DI455" s="14"/>
      <c r="DJ455" s="14"/>
      <c r="DK455" s="14"/>
      <c r="DL455" s="14"/>
      <c r="DM455" s="14"/>
      <c r="DN455" s="14"/>
      <c r="DO455" s="14"/>
      <c r="DP455" s="14"/>
      <c r="DQ455" s="14"/>
      <c r="DR455" s="14"/>
      <c r="DS455" s="14"/>
      <c r="DT455" s="14"/>
      <c r="DU455" s="14"/>
      <c r="DV455" s="14"/>
      <c r="DW455" s="14"/>
      <c r="DX455" s="14"/>
      <c r="DY455" s="14"/>
      <c r="DZ455" s="14"/>
      <c r="EA455" s="14"/>
      <c r="EB455" s="14"/>
      <c r="EC455" s="14"/>
      <c r="ED455" s="14"/>
      <c r="EE455" s="14"/>
      <c r="EF455" s="14"/>
      <c r="EG455" s="14"/>
      <c r="EH455" s="14"/>
      <c r="EI455" s="14"/>
      <c r="EJ455" s="14"/>
      <c r="EK455" s="14"/>
      <c r="EL455" s="14"/>
    </row>
    <row r="456" spans="1:142" s="63" customFormat="1" ht="15" customHeight="1" x14ac:dyDescent="0.2">
      <c r="A456" s="35"/>
      <c r="B456" s="2001" t="str">
        <f>IF(P412&gt;0,"Surgery: Partial loss of one menisus","Surgery: Menisci")</f>
        <v>Surgery: Menisci</v>
      </c>
      <c r="C456" s="2002"/>
      <c r="D456" s="2003"/>
      <c r="E456" s="1342">
        <f>P411</f>
        <v>0</v>
      </c>
      <c r="F456" s="1344"/>
      <c r="G456" s="1702" t="s">
        <v>1942</v>
      </c>
      <c r="H456" s="1627"/>
      <c r="I456" s="1628"/>
      <c r="J456" s="1838"/>
      <c r="K456" s="1851"/>
      <c r="L456" s="1760"/>
      <c r="M456" s="1761"/>
      <c r="N456" s="1761"/>
      <c r="O456" s="1762"/>
      <c r="P456" s="1731"/>
      <c r="Q456" s="35"/>
      <c r="R456" s="18"/>
      <c r="S456" s="881">
        <f t="shared" si="65"/>
        <v>0</v>
      </c>
      <c r="T456" s="883">
        <f>LARGE($S$449:$S$471,8)</f>
        <v>0</v>
      </c>
      <c r="U456" s="684">
        <f t="shared" si="66"/>
        <v>0</v>
      </c>
      <c r="V456" s="983">
        <f t="shared" si="64"/>
        <v>0</v>
      </c>
      <c r="W456" s="972" t="s">
        <v>2243</v>
      </c>
      <c r="X456" s="18"/>
      <c r="Y456" s="273"/>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4"/>
      <c r="BB456" s="14"/>
      <c r="BC456" s="14"/>
      <c r="BD456" s="14"/>
      <c r="BE456" s="14"/>
      <c r="BF456" s="14"/>
      <c r="BG456" s="14"/>
      <c r="BH456" s="14"/>
      <c r="BI456" s="14"/>
      <c r="BJ456" s="14"/>
      <c r="BK456" s="14"/>
      <c r="BL456" s="14"/>
      <c r="BM456" s="14"/>
      <c r="BN456" s="14"/>
      <c r="BO456" s="14"/>
      <c r="BP456" s="14"/>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c r="CR456" s="14"/>
      <c r="CS456" s="14"/>
      <c r="CT456" s="14"/>
      <c r="CU456" s="14"/>
      <c r="CV456" s="14"/>
      <c r="CW456" s="14"/>
      <c r="CX456" s="14"/>
      <c r="CY456" s="14"/>
      <c r="CZ456" s="14"/>
      <c r="DA456" s="14"/>
      <c r="DB456" s="14"/>
      <c r="DC456" s="14"/>
      <c r="DD456" s="14"/>
      <c r="DE456" s="14"/>
      <c r="DF456" s="14"/>
      <c r="DG456" s="14"/>
      <c r="DH456" s="14"/>
      <c r="DI456" s="14"/>
      <c r="DJ456" s="14"/>
      <c r="DK456" s="14"/>
      <c r="DL456" s="14"/>
      <c r="DM456" s="14"/>
      <c r="DN456" s="14"/>
      <c r="DO456" s="14"/>
      <c r="DP456" s="14"/>
      <c r="DQ456" s="14"/>
      <c r="DR456" s="14"/>
      <c r="DS456" s="14"/>
      <c r="DT456" s="14"/>
      <c r="DU456" s="14"/>
      <c r="DV456" s="14"/>
      <c r="DW456" s="14"/>
      <c r="DX456" s="14"/>
      <c r="DY456" s="14"/>
      <c r="DZ456" s="14"/>
      <c r="EA456" s="14"/>
      <c r="EB456" s="14"/>
      <c r="EC456" s="14"/>
      <c r="ED456" s="14"/>
      <c r="EE456" s="14"/>
      <c r="EF456" s="14"/>
      <c r="EG456" s="14"/>
      <c r="EH456" s="14"/>
      <c r="EI456" s="14"/>
      <c r="EJ456" s="14"/>
      <c r="EK456" s="14"/>
      <c r="EL456" s="14"/>
    </row>
    <row r="457" spans="1:142" s="63" customFormat="1" ht="15" customHeight="1" x14ac:dyDescent="0.2">
      <c r="A457" s="35"/>
      <c r="B457" s="2001" t="str">
        <f>IF(P412&gt;0,"Surgery: Partial loss of 2nd meniscus","")</f>
        <v/>
      </c>
      <c r="C457" s="2002"/>
      <c r="D457" s="2003"/>
      <c r="E457" s="1342">
        <f>P412</f>
        <v>0</v>
      </c>
      <c r="F457" s="1344"/>
      <c r="G457" s="1702" t="s">
        <v>1942</v>
      </c>
      <c r="H457" s="1627"/>
      <c r="I457" s="1628"/>
      <c r="J457" s="1851"/>
      <c r="K457" s="1853"/>
      <c r="L457" s="1760"/>
      <c r="M457" s="1761"/>
      <c r="N457" s="1761"/>
      <c r="O457" s="1762"/>
      <c r="P457" s="1731"/>
      <c r="Q457" s="35"/>
      <c r="R457" s="18"/>
      <c r="S457" s="881">
        <f t="shared" si="65"/>
        <v>0</v>
      </c>
      <c r="T457" s="883">
        <f>LARGE($S$449:$S$471,9)</f>
        <v>0</v>
      </c>
      <c r="U457" s="684">
        <f t="shared" si="66"/>
        <v>0</v>
      </c>
      <c r="V457" s="983">
        <f t="shared" si="64"/>
        <v>0</v>
      </c>
      <c r="W457" s="971">
        <f>SUM(W449,W451,W453,W455)</f>
        <v>0</v>
      </c>
      <c r="X457" s="18"/>
      <c r="Y457" s="273"/>
      <c r="Z457" s="1094"/>
      <c r="AA457" s="1094"/>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4"/>
      <c r="BB457" s="14"/>
      <c r="BC457" s="14"/>
      <c r="BD457" s="14"/>
      <c r="BE457" s="14"/>
      <c r="BF457" s="14"/>
      <c r="BG457" s="14"/>
      <c r="BH457" s="14"/>
      <c r="BI457" s="14"/>
      <c r="BJ457" s="14"/>
      <c r="BK457" s="14"/>
      <c r="BL457" s="14"/>
      <c r="BM457" s="14"/>
      <c r="BN457" s="14"/>
      <c r="BO457" s="14"/>
      <c r="BP457" s="14"/>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c r="CR457" s="14"/>
      <c r="CS457" s="14"/>
      <c r="CT457" s="14"/>
      <c r="CU457" s="14"/>
      <c r="CV457" s="14"/>
      <c r="CW457" s="14"/>
      <c r="CX457" s="14"/>
      <c r="CY457" s="14"/>
      <c r="CZ457" s="14"/>
      <c r="DA457" s="14"/>
      <c r="DB457" s="14"/>
      <c r="DC457" s="14"/>
      <c r="DD457" s="14"/>
      <c r="DE457" s="14"/>
      <c r="DF457" s="14"/>
      <c r="DG457" s="14"/>
      <c r="DH457" s="14"/>
      <c r="DI457" s="14"/>
      <c r="DJ457" s="14"/>
      <c r="DK457" s="14"/>
      <c r="DL457" s="14"/>
      <c r="DM457" s="14"/>
      <c r="DN457" s="14"/>
      <c r="DO457" s="14"/>
      <c r="DP457" s="14"/>
      <c r="DQ457" s="14"/>
      <c r="DR457" s="14"/>
      <c r="DS457" s="14"/>
      <c r="DT457" s="14"/>
      <c r="DU457" s="14"/>
      <c r="DV457" s="14"/>
      <c r="DW457" s="14"/>
      <c r="DX457" s="14"/>
      <c r="DY457" s="14"/>
      <c r="DZ457" s="14"/>
      <c r="EA457" s="14"/>
      <c r="EB457" s="14"/>
      <c r="EC457" s="14"/>
      <c r="ED457" s="14"/>
      <c r="EE457" s="14"/>
      <c r="EF457" s="14"/>
      <c r="EG457" s="14"/>
      <c r="EH457" s="14"/>
      <c r="EI457" s="14"/>
      <c r="EJ457" s="14"/>
      <c r="EK457" s="14"/>
      <c r="EL457" s="14"/>
    </row>
    <row r="458" spans="1:142" s="63" customFormat="1" ht="15" customHeight="1" x14ac:dyDescent="0.2">
      <c r="A458" s="35"/>
      <c r="B458" s="1357" t="s">
        <v>1916</v>
      </c>
      <c r="C458" s="1358"/>
      <c r="D458" s="1359"/>
      <c r="E458" s="1342">
        <f t="shared" ref="E458:E463" si="67">P413</f>
        <v>0</v>
      </c>
      <c r="F458" s="1344"/>
      <c r="G458" s="1702" t="s">
        <v>1942</v>
      </c>
      <c r="H458" s="1627"/>
      <c r="I458" s="1628"/>
      <c r="J458" s="1838"/>
      <c r="K458" s="1851"/>
      <c r="L458" s="1760"/>
      <c r="M458" s="1761"/>
      <c r="N458" s="1761"/>
      <c r="O458" s="1762"/>
      <c r="P458" s="1731"/>
      <c r="Q458" s="35"/>
      <c r="R458" s="18"/>
      <c r="S458" s="881">
        <f t="shared" si="65"/>
        <v>0</v>
      </c>
      <c r="T458" s="883">
        <f>LARGE($S$449:$S$471,10)</f>
        <v>0</v>
      </c>
      <c r="U458" s="684">
        <f t="shared" si="66"/>
        <v>0</v>
      </c>
      <c r="V458" s="983">
        <f t="shared" si="64"/>
        <v>0</v>
      </c>
      <c r="W458" s="1811" t="s">
        <v>987</v>
      </c>
      <c r="X458" s="18"/>
      <c r="Y458" s="273"/>
      <c r="Z458" s="1094"/>
      <c r="AA458" s="1094"/>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4"/>
      <c r="BB458" s="14"/>
      <c r="BC458" s="14"/>
      <c r="BD458" s="14"/>
      <c r="BE458" s="14"/>
      <c r="BF458" s="14"/>
      <c r="BG458" s="14"/>
      <c r="BH458" s="14"/>
      <c r="BI458" s="14"/>
      <c r="BJ458" s="14"/>
      <c r="BK458" s="14"/>
      <c r="BL458" s="14"/>
      <c r="BM458" s="14"/>
      <c r="BN458" s="14"/>
      <c r="BO458" s="14"/>
      <c r="BP458" s="14"/>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c r="CR458" s="14"/>
      <c r="CS458" s="14"/>
      <c r="CT458" s="14"/>
      <c r="CU458" s="14"/>
      <c r="CV458" s="14"/>
      <c r="CW458" s="14"/>
      <c r="CX458" s="14"/>
      <c r="CY458" s="14"/>
      <c r="CZ458" s="14"/>
      <c r="DA458" s="14"/>
      <c r="DB458" s="14"/>
      <c r="DC458" s="14"/>
      <c r="DD458" s="14"/>
      <c r="DE458" s="14"/>
      <c r="DF458" s="14"/>
      <c r="DG458" s="14"/>
      <c r="DH458" s="14"/>
      <c r="DI458" s="14"/>
      <c r="DJ458" s="14"/>
      <c r="DK458" s="14"/>
      <c r="DL458" s="14"/>
      <c r="DM458" s="14"/>
      <c r="DN458" s="14"/>
      <c r="DO458" s="14"/>
      <c r="DP458" s="14"/>
      <c r="DQ458" s="14"/>
      <c r="DR458" s="14"/>
      <c r="DS458" s="14"/>
      <c r="DT458" s="14"/>
      <c r="DU458" s="14"/>
      <c r="DV458" s="14"/>
      <c r="DW458" s="14"/>
      <c r="DX458" s="14"/>
      <c r="DY458" s="14"/>
      <c r="DZ458" s="14"/>
      <c r="EA458" s="14"/>
      <c r="EB458" s="14"/>
      <c r="EC458" s="14"/>
      <c r="ED458" s="14"/>
      <c r="EE458" s="14"/>
      <c r="EF458" s="14"/>
      <c r="EG458" s="14"/>
      <c r="EH458" s="14"/>
      <c r="EI458" s="14"/>
      <c r="EJ458" s="14"/>
      <c r="EK458" s="14"/>
      <c r="EL458" s="14"/>
    </row>
    <row r="459" spans="1:142" s="63" customFormat="1" ht="15" customHeight="1" x14ac:dyDescent="0.2">
      <c r="A459" s="35"/>
      <c r="B459" s="1357" t="s">
        <v>1917</v>
      </c>
      <c r="C459" s="1358"/>
      <c r="D459" s="1359"/>
      <c r="E459" s="1342">
        <f t="shared" si="67"/>
        <v>0</v>
      </c>
      <c r="F459" s="1344"/>
      <c r="G459" s="1702" t="s">
        <v>1942</v>
      </c>
      <c r="H459" s="1627"/>
      <c r="I459" s="1628"/>
      <c r="J459" s="1838"/>
      <c r="K459" s="1851"/>
      <c r="L459" s="1760"/>
      <c r="M459" s="1761"/>
      <c r="N459" s="1761"/>
      <c r="O459" s="1762"/>
      <c r="P459" s="1731"/>
      <c r="Q459" s="35"/>
      <c r="R459" s="18"/>
      <c r="S459" s="881">
        <f t="shared" si="65"/>
        <v>0</v>
      </c>
      <c r="T459" s="883">
        <f>LARGE($S$449:$S$471,11)</f>
        <v>0</v>
      </c>
      <c r="U459" s="684">
        <f t="shared" si="66"/>
        <v>0</v>
      </c>
      <c r="V459" s="983">
        <f t="shared" si="64"/>
        <v>0</v>
      </c>
      <c r="W459" s="1836"/>
      <c r="X459" s="18"/>
      <c r="Y459" s="273"/>
      <c r="Z459" s="1094"/>
      <c r="AA459" s="1094"/>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4"/>
      <c r="BB459" s="14"/>
      <c r="BC459" s="14"/>
      <c r="BD459" s="14"/>
      <c r="BE459" s="14"/>
      <c r="BF459" s="14"/>
      <c r="BG459" s="14"/>
      <c r="BH459" s="14"/>
      <c r="BI459" s="14"/>
      <c r="BJ459" s="14"/>
      <c r="BK459" s="14"/>
      <c r="BL459" s="14"/>
      <c r="BM459" s="14"/>
      <c r="BN459" s="14"/>
      <c r="BO459" s="14"/>
      <c r="BP459" s="14"/>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c r="CZ459" s="14"/>
      <c r="DA459" s="14"/>
      <c r="DB459" s="14"/>
      <c r="DC459" s="14"/>
      <c r="DD459" s="14"/>
      <c r="DE459" s="14"/>
      <c r="DF459" s="14"/>
      <c r="DG459" s="14"/>
      <c r="DH459" s="14"/>
      <c r="DI459" s="14"/>
      <c r="DJ459" s="14"/>
      <c r="DK459" s="14"/>
      <c r="DL459" s="14"/>
      <c r="DM459" s="14"/>
      <c r="DN459" s="14"/>
      <c r="DO459" s="14"/>
      <c r="DP459" s="14"/>
      <c r="DQ459" s="14"/>
      <c r="DR459" s="14"/>
      <c r="DS459" s="14"/>
      <c r="DT459" s="14"/>
      <c r="DU459" s="14"/>
      <c r="DV459" s="14"/>
      <c r="DW459" s="14"/>
      <c r="DX459" s="14"/>
      <c r="DY459" s="14"/>
      <c r="DZ459" s="14"/>
      <c r="EA459" s="14"/>
      <c r="EB459" s="14"/>
      <c r="EC459" s="14"/>
      <c r="ED459" s="14"/>
      <c r="EE459" s="14"/>
      <c r="EF459" s="14"/>
      <c r="EG459" s="14"/>
      <c r="EH459" s="14"/>
      <c r="EI459" s="14"/>
      <c r="EJ459" s="14"/>
      <c r="EK459" s="14"/>
      <c r="EL459" s="14"/>
    </row>
    <row r="460" spans="1:142" s="63" customFormat="1" ht="15" customHeight="1" x14ac:dyDescent="0.2">
      <c r="A460" s="35"/>
      <c r="B460" s="1357" t="s">
        <v>1918</v>
      </c>
      <c r="C460" s="1358"/>
      <c r="D460" s="1359"/>
      <c r="E460" s="1342">
        <f t="shared" si="67"/>
        <v>0</v>
      </c>
      <c r="F460" s="1344"/>
      <c r="G460" s="1702" t="s">
        <v>1942</v>
      </c>
      <c r="H460" s="1627"/>
      <c r="I460" s="1628"/>
      <c r="J460" s="1838"/>
      <c r="K460" s="1851"/>
      <c r="L460" s="1760"/>
      <c r="M460" s="1761"/>
      <c r="N460" s="1761"/>
      <c r="O460" s="1762"/>
      <c r="P460" s="1731"/>
      <c r="Q460" s="35"/>
      <c r="R460" s="18"/>
      <c r="S460" s="881">
        <f t="shared" si="65"/>
        <v>0</v>
      </c>
      <c r="T460" s="883">
        <f>LARGE($S$449:$S$471,12)</f>
        <v>0</v>
      </c>
      <c r="U460" s="684">
        <f t="shared" si="66"/>
        <v>0</v>
      </c>
      <c r="V460" s="983">
        <f t="shared" si="64"/>
        <v>0</v>
      </c>
      <c r="W460" s="1836"/>
      <c r="X460" s="18"/>
      <c r="Y460" s="273"/>
      <c r="Z460" s="1094"/>
      <c r="AA460" s="1094"/>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4"/>
      <c r="BB460" s="14"/>
      <c r="BC460" s="14"/>
      <c r="BD460" s="14"/>
      <c r="BE460" s="14"/>
      <c r="BF460" s="14"/>
      <c r="BG460" s="14"/>
      <c r="BH460" s="14"/>
      <c r="BI460" s="14"/>
      <c r="BJ460" s="14"/>
      <c r="BK460" s="14"/>
      <c r="BL460" s="14"/>
      <c r="BM460" s="14"/>
      <c r="BN460" s="14"/>
      <c r="BO460" s="14"/>
      <c r="BP460" s="14"/>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c r="CO460" s="14"/>
      <c r="CP460" s="14"/>
      <c r="CQ460" s="14"/>
      <c r="CR460" s="14"/>
      <c r="CS460" s="14"/>
      <c r="CT460" s="14"/>
      <c r="CU460" s="14"/>
      <c r="CV460" s="14"/>
      <c r="CW460" s="14"/>
      <c r="CX460" s="14"/>
      <c r="CY460" s="14"/>
      <c r="CZ460" s="14"/>
      <c r="DA460" s="14"/>
      <c r="DB460" s="14"/>
      <c r="DC460" s="14"/>
      <c r="DD460" s="14"/>
      <c r="DE460" s="14"/>
      <c r="DF460" s="14"/>
      <c r="DG460" s="14"/>
      <c r="DH460" s="14"/>
      <c r="DI460" s="14"/>
      <c r="DJ460" s="14"/>
      <c r="DK460" s="14"/>
      <c r="DL460" s="14"/>
      <c r="DM460" s="14"/>
      <c r="DN460" s="14"/>
      <c r="DO460" s="14"/>
      <c r="DP460" s="14"/>
      <c r="DQ460" s="14"/>
      <c r="DR460" s="14"/>
      <c r="DS460" s="14"/>
      <c r="DT460" s="14"/>
      <c r="DU460" s="14"/>
      <c r="DV460" s="14"/>
      <c r="DW460" s="14"/>
      <c r="DX460" s="14"/>
      <c r="DY460" s="14"/>
      <c r="DZ460" s="14"/>
      <c r="EA460" s="14"/>
      <c r="EB460" s="14"/>
      <c r="EC460" s="14"/>
      <c r="ED460" s="14"/>
      <c r="EE460" s="14"/>
      <c r="EF460" s="14"/>
      <c r="EG460" s="14"/>
      <c r="EH460" s="14"/>
      <c r="EI460" s="14"/>
      <c r="EJ460" s="14"/>
      <c r="EK460" s="14"/>
      <c r="EL460" s="14"/>
    </row>
    <row r="461" spans="1:142" s="63" customFormat="1" ht="15" customHeight="1" x14ac:dyDescent="0.2">
      <c r="A461" s="35"/>
      <c r="B461" s="1357" t="s">
        <v>711</v>
      </c>
      <c r="C461" s="1358"/>
      <c r="D461" s="1359"/>
      <c r="E461" s="1342">
        <f t="shared" si="67"/>
        <v>0</v>
      </c>
      <c r="F461" s="1344"/>
      <c r="G461" s="1702" t="s">
        <v>1942</v>
      </c>
      <c r="H461" s="1627"/>
      <c r="I461" s="1628"/>
      <c r="J461" s="1838"/>
      <c r="K461" s="1851"/>
      <c r="L461" s="1760"/>
      <c r="M461" s="1761"/>
      <c r="N461" s="1761"/>
      <c r="O461" s="1762"/>
      <c r="P461" s="1731"/>
      <c r="Q461" s="35"/>
      <c r="R461" s="18"/>
      <c r="S461" s="881">
        <f t="shared" si="65"/>
        <v>0</v>
      </c>
      <c r="T461" s="883">
        <f>LARGE($S$449:$S$471,13)</f>
        <v>0</v>
      </c>
      <c r="U461" s="684">
        <f t="shared" si="66"/>
        <v>0</v>
      </c>
      <c r="V461" s="983">
        <f t="shared" si="64"/>
        <v>0</v>
      </c>
      <c r="W461" s="245">
        <f>SUM(AB377,E449,E452,E454:E463)</f>
        <v>0</v>
      </c>
      <c r="X461" s="18"/>
      <c r="Y461" s="273"/>
      <c r="Z461" s="1094"/>
      <c r="AA461" s="1094"/>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4"/>
      <c r="BB461" s="14"/>
      <c r="BC461" s="14"/>
      <c r="BD461" s="14"/>
      <c r="BE461" s="14"/>
      <c r="BF461" s="14"/>
      <c r="BG461" s="14"/>
      <c r="BH461" s="14"/>
      <c r="BI461" s="14"/>
      <c r="BJ461" s="14"/>
      <c r="BK461" s="14"/>
      <c r="BL461" s="14"/>
      <c r="BM461" s="14"/>
      <c r="BN461" s="14"/>
      <c r="BO461" s="14"/>
      <c r="BP461" s="14"/>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c r="CO461" s="14"/>
      <c r="CP461" s="14"/>
      <c r="CQ461" s="14"/>
      <c r="CR461" s="14"/>
      <c r="CS461" s="14"/>
      <c r="CT461" s="14"/>
      <c r="CU461" s="14"/>
      <c r="CV461" s="14"/>
      <c r="CW461" s="14"/>
      <c r="CX461" s="14"/>
      <c r="CY461" s="14"/>
      <c r="CZ461" s="14"/>
      <c r="DA461" s="14"/>
      <c r="DB461" s="14"/>
      <c r="DC461" s="14"/>
      <c r="DD461" s="14"/>
      <c r="DE461" s="14"/>
      <c r="DF461" s="14"/>
      <c r="DG461" s="14"/>
      <c r="DH461" s="14"/>
      <c r="DI461" s="14"/>
      <c r="DJ461" s="14"/>
      <c r="DK461" s="14"/>
      <c r="DL461" s="14"/>
      <c r="DM461" s="14"/>
      <c r="DN461" s="14"/>
      <c r="DO461" s="14"/>
      <c r="DP461" s="14"/>
      <c r="DQ461" s="14"/>
      <c r="DR461" s="14"/>
      <c r="DS461" s="14"/>
      <c r="DT461" s="14"/>
      <c r="DU461" s="14"/>
      <c r="DV461" s="14"/>
      <c r="DW461" s="14"/>
      <c r="DX461" s="14"/>
      <c r="DY461" s="14"/>
      <c r="DZ461" s="14"/>
      <c r="EA461" s="14"/>
      <c r="EB461" s="14"/>
      <c r="EC461" s="14"/>
      <c r="ED461" s="14"/>
      <c r="EE461" s="14"/>
      <c r="EF461" s="14"/>
      <c r="EG461" s="14"/>
      <c r="EH461" s="14"/>
      <c r="EI461" s="14"/>
      <c r="EJ461" s="14"/>
      <c r="EK461" s="14"/>
      <c r="EL461" s="14"/>
    </row>
    <row r="462" spans="1:142" s="63" customFormat="1" ht="27" customHeight="1" x14ac:dyDescent="0.2">
      <c r="A462" s="35"/>
      <c r="B462" s="1374" t="s">
        <v>1860</v>
      </c>
      <c r="C462" s="1375"/>
      <c r="D462" s="1376"/>
      <c r="E462" s="1342">
        <f t="shared" si="67"/>
        <v>0</v>
      </c>
      <c r="F462" s="1344"/>
      <c r="G462" s="1702" t="s">
        <v>1942</v>
      </c>
      <c r="H462" s="1627"/>
      <c r="I462" s="1628"/>
      <c r="J462" s="1838"/>
      <c r="K462" s="1851"/>
      <c r="L462" s="1760"/>
      <c r="M462" s="1761"/>
      <c r="N462" s="1761"/>
      <c r="O462" s="1762"/>
      <c r="P462" s="1731"/>
      <c r="Q462" s="35"/>
      <c r="R462" s="18"/>
      <c r="S462" s="881">
        <f t="shared" si="65"/>
        <v>0</v>
      </c>
      <c r="T462" s="883">
        <f>LARGE($S$449:$S$471,14)</f>
        <v>0</v>
      </c>
      <c r="U462" s="684">
        <f t="shared" si="66"/>
        <v>0</v>
      </c>
      <c r="V462" s="881">
        <f t="shared" si="64"/>
        <v>0</v>
      </c>
      <c r="W462" s="18"/>
      <c r="X462" s="18"/>
      <c r="Y462" s="273"/>
      <c r="Z462" s="1094"/>
      <c r="AA462" s="1094"/>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4"/>
      <c r="BB462" s="14"/>
      <c r="BC462" s="14"/>
      <c r="BD462" s="14"/>
      <c r="BE462" s="14"/>
      <c r="BF462" s="14"/>
      <c r="BG462" s="14"/>
      <c r="BH462" s="14"/>
      <c r="BI462" s="14"/>
      <c r="BJ462" s="14"/>
      <c r="BK462" s="14"/>
      <c r="BL462" s="14"/>
      <c r="BM462" s="14"/>
      <c r="BN462" s="14"/>
      <c r="BO462" s="14"/>
      <c r="BP462" s="14"/>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c r="DJ462" s="14"/>
      <c r="DK462" s="14"/>
      <c r="DL462" s="14"/>
      <c r="DM462" s="14"/>
      <c r="DN462" s="14"/>
      <c r="DO462" s="14"/>
      <c r="DP462" s="14"/>
      <c r="DQ462" s="14"/>
      <c r="DR462" s="14"/>
      <c r="DS462" s="14"/>
      <c r="DT462" s="14"/>
      <c r="DU462" s="14"/>
      <c r="DV462" s="14"/>
      <c r="DW462" s="14"/>
      <c r="DX462" s="14"/>
      <c r="DY462" s="14"/>
      <c r="DZ462" s="14"/>
      <c r="EA462" s="14"/>
      <c r="EB462" s="14"/>
      <c r="EC462" s="14"/>
      <c r="ED462" s="14"/>
      <c r="EE462" s="14"/>
      <c r="EF462" s="14"/>
      <c r="EG462" s="14"/>
      <c r="EH462" s="14"/>
      <c r="EI462" s="14"/>
      <c r="EJ462" s="14"/>
      <c r="EK462" s="14"/>
      <c r="EL462" s="14"/>
    </row>
    <row r="463" spans="1:142" s="63" customFormat="1" ht="15" customHeight="1" x14ac:dyDescent="0.2">
      <c r="A463" s="35"/>
      <c r="B463" s="1357" t="s">
        <v>1861</v>
      </c>
      <c r="C463" s="1358"/>
      <c r="D463" s="1359"/>
      <c r="E463" s="1342">
        <f t="shared" si="67"/>
        <v>0</v>
      </c>
      <c r="F463" s="1344"/>
      <c r="G463" s="1702" t="s">
        <v>1942</v>
      </c>
      <c r="H463" s="1627"/>
      <c r="I463" s="1628"/>
      <c r="J463" s="1838"/>
      <c r="K463" s="1838"/>
      <c r="L463" s="1030"/>
      <c r="M463" s="1031"/>
      <c r="N463" s="1031"/>
      <c r="O463" s="1032"/>
      <c r="P463" s="1631"/>
      <c r="Q463" s="35"/>
      <c r="R463" s="18"/>
      <c r="S463" s="881">
        <f t="shared" si="65"/>
        <v>0</v>
      </c>
      <c r="T463" s="883">
        <f>LARGE($S$449:$S$471,15)</f>
        <v>0</v>
      </c>
      <c r="U463" s="684">
        <f t="shared" si="66"/>
        <v>0</v>
      </c>
      <c r="V463" s="881">
        <f t="shared" si="64"/>
        <v>0</v>
      </c>
      <c r="W463" s="18"/>
      <c r="X463" s="18"/>
      <c r="Y463" s="273"/>
      <c r="Z463" s="18"/>
      <c r="AA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4"/>
      <c r="BB463" s="14"/>
      <c r="BC463" s="14"/>
      <c r="BD463" s="14"/>
      <c r="BE463" s="14"/>
      <c r="BF463" s="14"/>
      <c r="BG463" s="14"/>
      <c r="BH463" s="14"/>
      <c r="BI463" s="14"/>
      <c r="BJ463" s="14"/>
      <c r="BK463" s="14"/>
      <c r="BL463" s="14"/>
      <c r="BM463" s="14"/>
      <c r="BN463" s="14"/>
      <c r="BO463" s="14"/>
      <c r="BP463" s="14"/>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c r="CM463" s="14"/>
      <c r="CN463" s="14"/>
      <c r="CO463" s="14"/>
      <c r="CP463" s="14"/>
      <c r="CQ463" s="14"/>
      <c r="CR463" s="14"/>
      <c r="CS463" s="14"/>
      <c r="CT463" s="14"/>
      <c r="CU463" s="14"/>
      <c r="CV463" s="14"/>
      <c r="CW463" s="14"/>
      <c r="CX463" s="14"/>
      <c r="CY463" s="14"/>
      <c r="CZ463" s="14"/>
      <c r="DA463" s="14"/>
      <c r="DB463" s="14"/>
      <c r="DC463" s="14"/>
      <c r="DD463" s="14"/>
      <c r="DE463" s="14"/>
      <c r="DF463" s="14"/>
      <c r="DG463" s="14"/>
      <c r="DH463" s="14"/>
      <c r="DI463" s="14"/>
      <c r="DJ463" s="14"/>
      <c r="DK463" s="14"/>
      <c r="DL463" s="14"/>
      <c r="DM463" s="14"/>
      <c r="DN463" s="14"/>
      <c r="DO463" s="14"/>
      <c r="DP463" s="14"/>
      <c r="DQ463" s="14"/>
      <c r="DR463" s="14"/>
      <c r="DS463" s="14"/>
      <c r="DT463" s="14"/>
      <c r="DU463" s="14"/>
      <c r="DV463" s="14"/>
      <c r="DW463" s="14"/>
      <c r="DX463" s="14"/>
      <c r="DY463" s="14"/>
      <c r="DZ463" s="14"/>
      <c r="EA463" s="14"/>
      <c r="EB463" s="14"/>
      <c r="EC463" s="14"/>
      <c r="ED463" s="14"/>
      <c r="EE463" s="14"/>
      <c r="EF463" s="14"/>
      <c r="EG463" s="14"/>
      <c r="EH463" s="14"/>
      <c r="EI463" s="14"/>
      <c r="EJ463" s="14"/>
      <c r="EK463" s="14"/>
      <c r="EL463" s="14"/>
    </row>
    <row r="464" spans="1:142" s="63" customFormat="1" ht="15" customHeight="1" x14ac:dyDescent="0.2">
      <c r="A464" s="35"/>
      <c r="B464" s="1357" t="s">
        <v>1447</v>
      </c>
      <c r="C464" s="1358"/>
      <c r="D464" s="1359"/>
      <c r="E464" s="1342">
        <f>P420</f>
        <v>0</v>
      </c>
      <c r="F464" s="1344"/>
      <c r="G464" s="1544"/>
      <c r="H464" s="1544"/>
      <c r="I464" s="1544"/>
      <c r="J464" s="1847">
        <f t="shared" ref="J464:J470" si="68">IF(AND(Y464&lt;0.01,Y464&gt;0),0.01,ROUND(Y464,2))</f>
        <v>0</v>
      </c>
      <c r="K464" s="1847"/>
      <c r="L464" s="1030"/>
      <c r="M464" s="1031"/>
      <c r="N464" s="1031"/>
      <c r="O464" s="1032"/>
      <c r="P464" s="1631"/>
      <c r="Q464" s="35"/>
      <c r="R464" s="18"/>
      <c r="S464" s="883">
        <f>IF(J464&gt;0,J464,E464)</f>
        <v>0</v>
      </c>
      <c r="T464" s="883">
        <f>LARGE($S$449:$S$471,16)</f>
        <v>0</v>
      </c>
      <c r="U464" s="684">
        <f t="shared" si="66"/>
        <v>0</v>
      </c>
      <c r="V464" s="881">
        <f t="shared" si="64"/>
        <v>0</v>
      </c>
      <c r="W464" s="18"/>
      <c r="X464" s="18"/>
      <c r="Y464" s="1086">
        <f t="shared" ref="Y464:Y470" si="69">G464*E464</f>
        <v>0</v>
      </c>
      <c r="Z464" s="18"/>
      <c r="AA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4"/>
      <c r="BB464" s="14"/>
      <c r="BC464" s="14"/>
      <c r="BD464" s="14"/>
      <c r="BE464" s="14"/>
      <c r="BF464" s="14"/>
      <c r="BG464" s="14"/>
      <c r="BH464" s="14"/>
      <c r="BI464" s="14"/>
      <c r="BJ464" s="14"/>
      <c r="BK464" s="14"/>
      <c r="BL464" s="14"/>
      <c r="BM464" s="14"/>
      <c r="BN464" s="14"/>
      <c r="BO464" s="14"/>
      <c r="BP464" s="14"/>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c r="DJ464" s="14"/>
      <c r="DK464" s="14"/>
      <c r="DL464" s="14"/>
      <c r="DM464" s="14"/>
      <c r="DN464" s="14"/>
      <c r="DO464" s="14"/>
      <c r="DP464" s="14"/>
      <c r="DQ464" s="14"/>
      <c r="DR464" s="14"/>
      <c r="DS464" s="14"/>
      <c r="DT464" s="14"/>
      <c r="DU464" s="14"/>
      <c r="DV464" s="14"/>
      <c r="DW464" s="14"/>
      <c r="DX464" s="14"/>
      <c r="DY464" s="14"/>
      <c r="DZ464" s="14"/>
      <c r="EA464" s="14"/>
      <c r="EB464" s="14"/>
      <c r="EC464" s="14"/>
      <c r="ED464" s="14"/>
      <c r="EE464" s="14"/>
      <c r="EF464" s="14"/>
      <c r="EG464" s="14"/>
      <c r="EH464" s="14"/>
      <c r="EI464" s="14"/>
      <c r="EJ464" s="14"/>
      <c r="EK464" s="14"/>
      <c r="EL464" s="14"/>
    </row>
    <row r="465" spans="1:142" s="63" customFormat="1" ht="15" customHeight="1" x14ac:dyDescent="0.2">
      <c r="A465" s="35"/>
      <c r="B465" s="1357" t="s">
        <v>925</v>
      </c>
      <c r="C465" s="1358"/>
      <c r="D465" s="1359"/>
      <c r="E465" s="1342">
        <f>P421</f>
        <v>0</v>
      </c>
      <c r="F465" s="1344"/>
      <c r="G465" s="1544"/>
      <c r="H465" s="1544"/>
      <c r="I465" s="1544"/>
      <c r="J465" s="1847">
        <f t="shared" si="68"/>
        <v>0</v>
      </c>
      <c r="K465" s="1847"/>
      <c r="L465" s="1030"/>
      <c r="M465" s="1031"/>
      <c r="N465" s="1031"/>
      <c r="O465" s="1032"/>
      <c r="P465" s="1631"/>
      <c r="Q465" s="35"/>
      <c r="R465" s="18"/>
      <c r="S465" s="883">
        <f>IF(J465&gt;0,J465,E465)</f>
        <v>0</v>
      </c>
      <c r="T465" s="883">
        <f>LARGE($S$449:$S$471,17)</f>
        <v>0</v>
      </c>
      <c r="U465" s="684">
        <f t="shared" si="66"/>
        <v>0</v>
      </c>
      <c r="V465" s="881">
        <f t="shared" si="64"/>
        <v>0</v>
      </c>
      <c r="W465" s="18"/>
      <c r="X465" s="18"/>
      <c r="Y465" s="1086">
        <f t="shared" si="69"/>
        <v>0</v>
      </c>
      <c r="Z465" s="18"/>
      <c r="AA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4"/>
      <c r="BB465" s="14"/>
      <c r="BC465" s="14"/>
      <c r="BD465" s="14"/>
      <c r="BE465" s="14"/>
      <c r="BF465" s="14"/>
      <c r="BG465" s="14"/>
      <c r="BH465" s="14"/>
      <c r="BI465" s="14"/>
      <c r="BJ465" s="14"/>
      <c r="BK465" s="14"/>
      <c r="BL465" s="14"/>
      <c r="BM465" s="14"/>
      <c r="BN465" s="14"/>
      <c r="BO465" s="14"/>
      <c r="BP465" s="14"/>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c r="CR465" s="14"/>
      <c r="CS465" s="14"/>
      <c r="CT465" s="14"/>
      <c r="CU465" s="14"/>
      <c r="CV465" s="14"/>
      <c r="CW465" s="14"/>
      <c r="CX465" s="14"/>
      <c r="CY465" s="14"/>
      <c r="CZ465" s="14"/>
      <c r="DA465" s="14"/>
      <c r="DB465" s="14"/>
      <c r="DC465" s="14"/>
      <c r="DD465" s="14"/>
      <c r="DE465" s="14"/>
      <c r="DF465" s="14"/>
      <c r="DG465" s="14"/>
      <c r="DH465" s="14"/>
      <c r="DI465" s="14"/>
      <c r="DJ465" s="14"/>
      <c r="DK465" s="14"/>
      <c r="DL465" s="14"/>
      <c r="DM465" s="14"/>
      <c r="DN465" s="14"/>
      <c r="DO465" s="14"/>
      <c r="DP465" s="14"/>
      <c r="DQ465" s="14"/>
      <c r="DR465" s="14"/>
      <c r="DS465" s="14"/>
      <c r="DT465" s="14"/>
      <c r="DU465" s="14"/>
      <c r="DV465" s="14"/>
      <c r="DW465" s="14"/>
      <c r="DX465" s="14"/>
      <c r="DY465" s="14"/>
      <c r="DZ465" s="14"/>
      <c r="EA465" s="14"/>
      <c r="EB465" s="14"/>
      <c r="EC465" s="14"/>
      <c r="ED465" s="14"/>
      <c r="EE465" s="14"/>
      <c r="EF465" s="14"/>
      <c r="EG465" s="14"/>
      <c r="EH465" s="14"/>
      <c r="EI465" s="14"/>
      <c r="EJ465" s="14"/>
      <c r="EK465" s="14"/>
      <c r="EL465" s="14"/>
    </row>
    <row r="466" spans="1:142" s="63" customFormat="1" ht="15" customHeight="1" x14ac:dyDescent="0.2">
      <c r="A466" s="35"/>
      <c r="B466" s="1357" t="s">
        <v>926</v>
      </c>
      <c r="C466" s="1358"/>
      <c r="D466" s="1359"/>
      <c r="E466" s="1342">
        <f>P427</f>
        <v>0</v>
      </c>
      <c r="F466" s="1344"/>
      <c r="G466" s="1544"/>
      <c r="H466" s="1544"/>
      <c r="I466" s="1544"/>
      <c r="J466" s="1847">
        <f t="shared" si="68"/>
        <v>0</v>
      </c>
      <c r="K466" s="1847"/>
      <c r="L466" s="1760" t="str">
        <f>IF(AND(P427&gt;0,W457&gt;0),"The worker has motor loss impairment. Additional impairment values are not allowed for chronic condition, a walking/standing limitation, reduced range of motion, or strength loss.","")</f>
        <v/>
      </c>
      <c r="M466" s="1761"/>
      <c r="N466" s="1761"/>
      <c r="O466" s="1762"/>
      <c r="P466" s="1631"/>
      <c r="Q466" s="35"/>
      <c r="R466" s="18"/>
      <c r="S466" s="883">
        <f t="shared" ref="S466:S471" si="70">IF(J466&gt;0,J466,E466)</f>
        <v>0</v>
      </c>
      <c r="T466" s="883">
        <f>LARGE($S$449:$S$471,18)</f>
        <v>0</v>
      </c>
      <c r="U466" s="684">
        <f t="shared" si="66"/>
        <v>0</v>
      </c>
      <c r="V466" s="881">
        <f t="shared" si="64"/>
        <v>0</v>
      </c>
      <c r="W466" s="18"/>
      <c r="X466" s="18"/>
      <c r="Y466" s="1086">
        <f t="shared" si="69"/>
        <v>0</v>
      </c>
      <c r="Z466" s="18"/>
      <c r="AA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4"/>
      <c r="BB466" s="14"/>
      <c r="BC466" s="14"/>
      <c r="BD466" s="14"/>
      <c r="BE466" s="14"/>
      <c r="BF466" s="14"/>
      <c r="BG466" s="14"/>
      <c r="BH466" s="14"/>
      <c r="BI466" s="14"/>
      <c r="BJ466" s="14"/>
      <c r="BK466" s="14"/>
      <c r="BL466" s="14"/>
      <c r="BM466" s="14"/>
      <c r="BN466" s="14"/>
      <c r="BO466" s="14"/>
      <c r="BP466" s="14"/>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c r="CR466" s="14"/>
      <c r="CS466" s="14"/>
      <c r="CT466" s="14"/>
      <c r="CU466" s="14"/>
      <c r="CV466" s="14"/>
      <c r="CW466" s="14"/>
      <c r="CX466" s="14"/>
      <c r="CY466" s="14"/>
      <c r="CZ466" s="14"/>
      <c r="DA466" s="14"/>
      <c r="DB466" s="14"/>
      <c r="DC466" s="14"/>
      <c r="DD466" s="14"/>
      <c r="DE466" s="14"/>
      <c r="DF466" s="14"/>
      <c r="DG466" s="14"/>
      <c r="DH466" s="14"/>
      <c r="DI466" s="14"/>
      <c r="DJ466" s="14"/>
      <c r="DK466" s="14"/>
      <c r="DL466" s="14"/>
      <c r="DM466" s="14"/>
      <c r="DN466" s="14"/>
      <c r="DO466" s="14"/>
      <c r="DP466" s="14"/>
      <c r="DQ466" s="14"/>
      <c r="DR466" s="14"/>
      <c r="DS466" s="14"/>
      <c r="DT466" s="14"/>
      <c r="DU466" s="14"/>
      <c r="DV466" s="14"/>
      <c r="DW466" s="14"/>
      <c r="DX466" s="14"/>
      <c r="DY466" s="14"/>
      <c r="DZ466" s="14"/>
      <c r="EA466" s="14"/>
      <c r="EB466" s="14"/>
      <c r="EC466" s="14"/>
      <c r="ED466" s="14"/>
      <c r="EE466" s="14"/>
      <c r="EF466" s="14"/>
      <c r="EG466" s="14"/>
      <c r="EH466" s="14"/>
      <c r="EI466" s="14"/>
      <c r="EJ466" s="14"/>
      <c r="EK466" s="14"/>
      <c r="EL466" s="14"/>
    </row>
    <row r="467" spans="1:142" s="63" customFormat="1" ht="15" customHeight="1" x14ac:dyDescent="0.2">
      <c r="A467" s="35"/>
      <c r="B467" s="1357" t="s">
        <v>1449</v>
      </c>
      <c r="C467" s="1358"/>
      <c r="D467" s="1359"/>
      <c r="E467" s="1342">
        <f>P430</f>
        <v>0</v>
      </c>
      <c r="F467" s="1344"/>
      <c r="G467" s="1544"/>
      <c r="H467" s="1544"/>
      <c r="I467" s="1544"/>
      <c r="J467" s="1847">
        <f t="shared" si="68"/>
        <v>0</v>
      </c>
      <c r="K467" s="1847"/>
      <c r="L467" s="1760"/>
      <c r="M467" s="1761"/>
      <c r="N467" s="1761"/>
      <c r="O467" s="1762"/>
      <c r="P467" s="1631"/>
      <c r="Q467" s="35"/>
      <c r="R467" s="18"/>
      <c r="S467" s="883">
        <f t="shared" si="70"/>
        <v>0</v>
      </c>
      <c r="T467" s="883">
        <f>LARGE($S$449:$S$471,19)</f>
        <v>0</v>
      </c>
      <c r="U467" s="684">
        <f t="shared" si="66"/>
        <v>0</v>
      </c>
      <c r="V467" s="881">
        <f t="shared" si="64"/>
        <v>0</v>
      </c>
      <c r="Y467" s="1086">
        <f t="shared" si="69"/>
        <v>0</v>
      </c>
      <c r="AA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4"/>
      <c r="BB467" s="14"/>
      <c r="BC467" s="14"/>
      <c r="BD467" s="14"/>
      <c r="BE467" s="14"/>
      <c r="BF467" s="14"/>
      <c r="BG467" s="14"/>
      <c r="BH467" s="14"/>
      <c r="BI467" s="14"/>
      <c r="BJ467" s="14"/>
      <c r="BK467" s="14"/>
      <c r="BL467" s="14"/>
      <c r="BM467" s="14"/>
      <c r="BN467" s="14"/>
      <c r="BO467" s="14"/>
      <c r="BP467" s="14"/>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c r="CM467" s="14"/>
      <c r="CN467" s="14"/>
      <c r="CO467" s="14"/>
      <c r="CP467" s="14"/>
      <c r="CQ467" s="14"/>
      <c r="CR467" s="14"/>
      <c r="CS467" s="14"/>
      <c r="CT467" s="14"/>
      <c r="CU467" s="14"/>
      <c r="CV467" s="14"/>
      <c r="CW467" s="14"/>
      <c r="CX467" s="14"/>
      <c r="CY467" s="14"/>
      <c r="CZ467" s="14"/>
      <c r="DA467" s="14"/>
      <c r="DB467" s="14"/>
      <c r="DC467" s="14"/>
      <c r="DD467" s="14"/>
      <c r="DE467" s="14"/>
      <c r="DF467" s="14"/>
      <c r="DG467" s="14"/>
      <c r="DH467" s="14"/>
      <c r="DI467" s="14"/>
      <c r="DJ467" s="14"/>
      <c r="DK467" s="14"/>
      <c r="DL467" s="14"/>
      <c r="DM467" s="14"/>
      <c r="DN467" s="14"/>
      <c r="DO467" s="14"/>
      <c r="DP467" s="14"/>
      <c r="DQ467" s="14"/>
      <c r="DR467" s="14"/>
      <c r="DS467" s="14"/>
      <c r="DT467" s="14"/>
      <c r="DU467" s="14"/>
      <c r="DV467" s="14"/>
      <c r="DW467" s="14"/>
      <c r="DX467" s="14"/>
      <c r="DY467" s="14"/>
      <c r="DZ467" s="14"/>
      <c r="EA467" s="14"/>
      <c r="EB467" s="14"/>
      <c r="EC467" s="14"/>
      <c r="ED467" s="14"/>
      <c r="EE467" s="14"/>
      <c r="EF467" s="14"/>
      <c r="EG467" s="14"/>
      <c r="EH467" s="14"/>
      <c r="EI467" s="14"/>
      <c r="EJ467" s="14"/>
      <c r="EK467" s="14"/>
      <c r="EL467" s="14"/>
    </row>
    <row r="468" spans="1:142" s="63" customFormat="1" ht="15" customHeight="1" x14ac:dyDescent="0.2">
      <c r="A468" s="35"/>
      <c r="B468" s="1357" t="s">
        <v>1450</v>
      </c>
      <c r="C468" s="1358"/>
      <c r="D468" s="1359"/>
      <c r="E468" s="1342">
        <f>IF(P427&gt;0,0,P439)</f>
        <v>0</v>
      </c>
      <c r="F468" s="1344"/>
      <c r="G468" s="1544"/>
      <c r="H468" s="1544"/>
      <c r="I468" s="1544"/>
      <c r="J468" s="1847">
        <f t="shared" si="68"/>
        <v>0</v>
      </c>
      <c r="K468" s="1847"/>
      <c r="L468" s="1760"/>
      <c r="M468" s="1761"/>
      <c r="N468" s="1761"/>
      <c r="O468" s="1762"/>
      <c r="P468" s="1631"/>
      <c r="Q468" s="35"/>
      <c r="R468" s="18"/>
      <c r="S468" s="883">
        <f t="shared" si="70"/>
        <v>0</v>
      </c>
      <c r="T468" s="883">
        <f>LARGE($S$449:$S$471,20)</f>
        <v>0</v>
      </c>
      <c r="U468" s="684">
        <f t="shared" si="66"/>
        <v>0</v>
      </c>
      <c r="V468" s="881">
        <f t="shared" si="64"/>
        <v>0</v>
      </c>
      <c r="W468" s="18"/>
      <c r="X468" s="18"/>
      <c r="Y468" s="1086">
        <f t="shared" si="69"/>
        <v>0</v>
      </c>
      <c r="AA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4"/>
      <c r="BB468" s="14"/>
      <c r="BC468" s="14"/>
      <c r="BD468" s="14"/>
      <c r="BE468" s="14"/>
      <c r="BF468" s="14"/>
      <c r="BG468" s="14"/>
      <c r="BH468" s="14"/>
      <c r="BI468" s="14"/>
      <c r="BJ468" s="14"/>
      <c r="BK468" s="14"/>
      <c r="BL468" s="14"/>
      <c r="BM468" s="14"/>
      <c r="BN468" s="14"/>
      <c r="BO468" s="14"/>
      <c r="BP468" s="14"/>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c r="CM468" s="14"/>
      <c r="CN468" s="14"/>
      <c r="CO468" s="14"/>
      <c r="CP468" s="14"/>
      <c r="CQ468" s="14"/>
      <c r="CR468" s="14"/>
      <c r="CS468" s="14"/>
      <c r="CT468" s="14"/>
      <c r="CU468" s="14"/>
      <c r="CV468" s="14"/>
      <c r="CW468" s="14"/>
      <c r="CX468" s="14"/>
      <c r="CY468" s="14"/>
      <c r="CZ468" s="14"/>
      <c r="DA468" s="14"/>
      <c r="DB468" s="14"/>
      <c r="DC468" s="14"/>
      <c r="DD468" s="14"/>
      <c r="DE468" s="14"/>
      <c r="DF468" s="14"/>
      <c r="DG468" s="14"/>
      <c r="DH468" s="14"/>
      <c r="DI468" s="14"/>
      <c r="DJ468" s="14"/>
      <c r="DK468" s="14"/>
      <c r="DL468" s="14"/>
      <c r="DM468" s="14"/>
      <c r="DN468" s="14"/>
      <c r="DO468" s="14"/>
      <c r="DP468" s="14"/>
      <c r="DQ468" s="14"/>
      <c r="DR468" s="14"/>
      <c r="DS468" s="14"/>
      <c r="DT468" s="14"/>
      <c r="DU468" s="14"/>
      <c r="DV468" s="14"/>
      <c r="DW468" s="14"/>
      <c r="DX468" s="14"/>
      <c r="DY468" s="14"/>
      <c r="DZ468" s="14"/>
      <c r="EA468" s="14"/>
      <c r="EB468" s="14"/>
      <c r="EC468" s="14"/>
      <c r="ED468" s="14"/>
      <c r="EE468" s="14"/>
      <c r="EF468" s="14"/>
      <c r="EG468" s="14"/>
      <c r="EH468" s="14"/>
      <c r="EI468" s="14"/>
      <c r="EJ468" s="14"/>
      <c r="EK468" s="14"/>
      <c r="EL468" s="14"/>
    </row>
    <row r="469" spans="1:142" s="63" customFormat="1" ht="15" customHeight="1" x14ac:dyDescent="0.2">
      <c r="A469" s="35"/>
      <c r="B469" s="1357" t="s">
        <v>596</v>
      </c>
      <c r="C469" s="1358"/>
      <c r="D469" s="1359"/>
      <c r="E469" s="1342">
        <f>IF(P427&gt;0,0,P443)</f>
        <v>0</v>
      </c>
      <c r="F469" s="1344"/>
      <c r="G469" s="1544"/>
      <c r="H469" s="1544"/>
      <c r="I469" s="1544"/>
      <c r="J469" s="1847">
        <f t="shared" si="68"/>
        <v>0</v>
      </c>
      <c r="K469" s="1847"/>
      <c r="L469" s="1760"/>
      <c r="M469" s="1761"/>
      <c r="N469" s="1761"/>
      <c r="O469" s="1762"/>
      <c r="P469" s="1631"/>
      <c r="Q469" s="35"/>
      <c r="R469" s="18"/>
      <c r="S469" s="883">
        <f t="shared" si="70"/>
        <v>0</v>
      </c>
      <c r="T469" s="883">
        <f>LARGE($S$449:$S$471,21)</f>
        <v>0</v>
      </c>
      <c r="U469" s="684">
        <f t="shared" si="66"/>
        <v>0</v>
      </c>
      <c r="V469" s="881">
        <f t="shared" si="64"/>
        <v>0</v>
      </c>
      <c r="Y469" s="1086">
        <f t="shared" si="69"/>
        <v>0</v>
      </c>
      <c r="AA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4"/>
      <c r="BB469" s="14"/>
      <c r="BC469" s="14"/>
      <c r="BD469" s="14"/>
      <c r="BE469" s="14"/>
      <c r="BF469" s="14"/>
      <c r="BG469" s="14"/>
      <c r="BH469" s="14"/>
      <c r="BI469" s="14"/>
      <c r="BJ469" s="14"/>
      <c r="BK469" s="14"/>
      <c r="BL469" s="14"/>
      <c r="BM469" s="14"/>
      <c r="BN469" s="14"/>
      <c r="BO469" s="14"/>
      <c r="BP469" s="14"/>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4"/>
      <c r="DV469" s="14"/>
      <c r="DW469" s="14"/>
      <c r="DX469" s="14"/>
      <c r="DY469" s="14"/>
      <c r="DZ469" s="14"/>
      <c r="EA469" s="14"/>
      <c r="EB469" s="14"/>
      <c r="EC469" s="14"/>
      <c r="ED469" s="14"/>
      <c r="EE469" s="14"/>
      <c r="EF469" s="14"/>
      <c r="EG469" s="14"/>
      <c r="EH469" s="14"/>
      <c r="EI469" s="14"/>
      <c r="EJ469" s="14"/>
      <c r="EK469" s="14"/>
      <c r="EL469" s="14"/>
    </row>
    <row r="470" spans="1:142" s="63" customFormat="1" ht="15" customHeight="1" x14ac:dyDescent="0.2">
      <c r="A470" s="35"/>
      <c r="B470" s="1357" t="s">
        <v>1639</v>
      </c>
      <c r="C470" s="1358"/>
      <c r="D470" s="1359"/>
      <c r="E470" s="1342">
        <f>IF(P427&gt;0,0,P338)</f>
        <v>0</v>
      </c>
      <c r="F470" s="1344"/>
      <c r="G470" s="1544"/>
      <c r="H470" s="1544"/>
      <c r="I470" s="1544"/>
      <c r="J470" s="1847">
        <f t="shared" si="68"/>
        <v>0</v>
      </c>
      <c r="K470" s="1847"/>
      <c r="L470" s="1760"/>
      <c r="M470" s="1761"/>
      <c r="N470" s="1761"/>
      <c r="O470" s="1762"/>
      <c r="P470" s="1631"/>
      <c r="Q470" s="35"/>
      <c r="R470" s="18"/>
      <c r="S470" s="883">
        <f t="shared" si="70"/>
        <v>0</v>
      </c>
      <c r="T470" s="883">
        <f>LARGE($S$449:$S$471,22)</f>
        <v>0</v>
      </c>
      <c r="U470" s="684">
        <f t="shared" si="66"/>
        <v>0</v>
      </c>
      <c r="V470" s="881">
        <f t="shared" si="64"/>
        <v>0</v>
      </c>
      <c r="W470" s="18"/>
      <c r="X470" s="18"/>
      <c r="Y470" s="1086">
        <f t="shared" si="69"/>
        <v>0</v>
      </c>
      <c r="AA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4"/>
      <c r="BB470" s="14"/>
      <c r="BC470" s="14"/>
      <c r="BD470" s="14"/>
      <c r="BE470" s="14"/>
      <c r="BF470" s="14"/>
      <c r="BG470" s="14"/>
      <c r="BH470" s="14"/>
      <c r="BI470" s="14"/>
      <c r="BJ470" s="14"/>
      <c r="BK470" s="14"/>
      <c r="BL470" s="14"/>
      <c r="BM470" s="14"/>
      <c r="BN470" s="14"/>
      <c r="BO470" s="14"/>
      <c r="BP470" s="14"/>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c r="CZ470" s="14"/>
      <c r="DA470" s="14"/>
      <c r="DB470" s="14"/>
      <c r="DC470" s="14"/>
      <c r="DD470" s="14"/>
      <c r="DE470" s="14"/>
      <c r="DF470" s="14"/>
      <c r="DG470" s="14"/>
      <c r="DH470" s="14"/>
      <c r="DI470" s="14"/>
      <c r="DJ470" s="14"/>
      <c r="DK470" s="14"/>
      <c r="DL470" s="14"/>
      <c r="DM470" s="14"/>
      <c r="DN470" s="14"/>
      <c r="DO470" s="14"/>
      <c r="DP470" s="14"/>
      <c r="DQ470" s="14"/>
      <c r="DR470" s="14"/>
      <c r="DS470" s="14"/>
      <c r="DT470" s="14"/>
      <c r="DU470" s="14"/>
      <c r="DV470" s="14"/>
      <c r="DW470" s="14"/>
      <c r="DX470" s="14"/>
      <c r="DY470" s="14"/>
      <c r="DZ470" s="14"/>
      <c r="EA470" s="14"/>
      <c r="EB470" s="14"/>
      <c r="EC470" s="14"/>
      <c r="ED470" s="14"/>
      <c r="EE470" s="14"/>
      <c r="EF470" s="14"/>
      <c r="EG470" s="14"/>
      <c r="EH470" s="14"/>
      <c r="EI470" s="14"/>
      <c r="EJ470" s="14"/>
      <c r="EK470" s="14"/>
      <c r="EL470" s="14"/>
    </row>
    <row r="471" spans="1:142" s="63" customFormat="1" ht="15" customHeight="1" x14ac:dyDescent="0.2">
      <c r="A471" s="35"/>
      <c r="B471" s="1400" t="s">
        <v>927</v>
      </c>
      <c r="C471" s="1401"/>
      <c r="D471" s="1402"/>
      <c r="E471" s="1728">
        <f>P446</f>
        <v>0</v>
      </c>
      <c r="F471" s="1846"/>
      <c r="G471" s="1702" t="s">
        <v>1942</v>
      </c>
      <c r="H471" s="1627"/>
      <c r="I471" s="1628"/>
      <c r="J471" s="1838"/>
      <c r="K471" s="1838"/>
      <c r="L471" s="2018"/>
      <c r="M471" s="2019"/>
      <c r="N471" s="2019"/>
      <c r="O471" s="2020"/>
      <c r="P471" s="1631"/>
      <c r="Q471" s="35"/>
      <c r="R471" s="18"/>
      <c r="S471" s="883">
        <f t="shared" si="70"/>
        <v>0</v>
      </c>
      <c r="T471" s="883">
        <f>LARGE($S$449:$S$471,23)</f>
        <v>0</v>
      </c>
      <c r="U471" s="114"/>
      <c r="V471" s="157"/>
      <c r="W471" s="18"/>
      <c r="X471" s="18"/>
      <c r="Y471" s="1087"/>
      <c r="AA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4"/>
      <c r="BB471" s="14"/>
      <c r="BC471" s="14"/>
      <c r="BD471" s="14"/>
      <c r="BE471" s="14"/>
      <c r="BF471" s="14"/>
      <c r="BG471" s="14"/>
      <c r="BH471" s="14"/>
      <c r="BI471" s="14"/>
      <c r="BJ471" s="14"/>
      <c r="BK471" s="14"/>
      <c r="BL471" s="14"/>
      <c r="BM471" s="14"/>
      <c r="BN471" s="14"/>
      <c r="BO471" s="14"/>
      <c r="BP471" s="14"/>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c r="CR471" s="14"/>
      <c r="CS471" s="14"/>
      <c r="CT471" s="14"/>
      <c r="CU471" s="14"/>
      <c r="CV471" s="14"/>
      <c r="CW471" s="14"/>
      <c r="CX471" s="14"/>
      <c r="CY471" s="14"/>
      <c r="CZ471" s="14"/>
      <c r="DA471" s="14"/>
      <c r="DB471" s="14"/>
      <c r="DC471" s="14"/>
      <c r="DD471" s="14"/>
      <c r="DE471" s="14"/>
      <c r="DF471" s="14"/>
      <c r="DG471" s="14"/>
      <c r="DH471" s="14"/>
      <c r="DI471" s="14"/>
      <c r="DJ471" s="14"/>
      <c r="DK471" s="14"/>
      <c r="DL471" s="14"/>
      <c r="DM471" s="14"/>
      <c r="DN471" s="14"/>
      <c r="DO471" s="14"/>
      <c r="DP471" s="14"/>
      <c r="DQ471" s="14"/>
      <c r="DR471" s="14"/>
      <c r="DS471" s="14"/>
      <c r="DT471" s="14"/>
      <c r="DU471" s="14"/>
      <c r="DV471" s="14"/>
      <c r="DW471" s="14"/>
      <c r="DX471" s="14"/>
      <c r="DY471" s="14"/>
      <c r="DZ471" s="14"/>
      <c r="EA471" s="14"/>
      <c r="EB471" s="14"/>
      <c r="EC471" s="14"/>
      <c r="ED471" s="14"/>
      <c r="EE471" s="14"/>
      <c r="EF471" s="14"/>
      <c r="EG471" s="14"/>
      <c r="EH471" s="14"/>
      <c r="EI471" s="14"/>
      <c r="EJ471" s="14"/>
      <c r="EK471" s="14"/>
      <c r="EL471" s="14"/>
    </row>
    <row r="472" spans="1:142" s="63" customFormat="1" ht="15" customHeight="1" x14ac:dyDescent="0.2">
      <c r="A472" s="35"/>
      <c r="B472" s="1681" t="s">
        <v>247</v>
      </c>
      <c r="C472" s="1681"/>
      <c r="D472" s="1681"/>
      <c r="E472" s="1681"/>
      <c r="F472" s="1681"/>
      <c r="G472" s="1681"/>
      <c r="H472" s="1681"/>
      <c r="I472" s="1681"/>
      <c r="J472" s="1681"/>
      <c r="K472" s="1681"/>
      <c r="L472" s="1681"/>
      <c r="M472" s="1681"/>
      <c r="N472" s="1681"/>
      <c r="O472" s="1681"/>
      <c r="P472" s="1623"/>
      <c r="Q472" s="35"/>
      <c r="R472" s="18"/>
      <c r="T472" s="18"/>
      <c r="U472" s="18"/>
      <c r="V472" s="18"/>
      <c r="W472" s="18"/>
      <c r="X472" s="18"/>
      <c r="Y472" s="1087"/>
      <c r="AA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4"/>
      <c r="BB472" s="14"/>
      <c r="BC472" s="14"/>
      <c r="BD472" s="14"/>
      <c r="BE472" s="14"/>
      <c r="BF472" s="14"/>
      <c r="BG472" s="14"/>
      <c r="BH472" s="14"/>
      <c r="BI472" s="14"/>
      <c r="BJ472" s="14"/>
      <c r="BK472" s="14"/>
      <c r="BL472" s="14"/>
      <c r="BM472" s="14"/>
      <c r="BN472" s="14"/>
      <c r="BO472" s="14"/>
      <c r="BP472" s="14"/>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c r="CR472" s="14"/>
      <c r="CS472" s="14"/>
      <c r="CT472" s="14"/>
      <c r="CU472" s="14"/>
      <c r="CV472" s="14"/>
      <c r="CW472" s="14"/>
      <c r="CX472" s="14"/>
      <c r="CY472" s="14"/>
      <c r="CZ472" s="14"/>
      <c r="DA472" s="14"/>
      <c r="DB472" s="14"/>
      <c r="DC472" s="14"/>
      <c r="DD472" s="14"/>
      <c r="DE472" s="14"/>
      <c r="DF472" s="14"/>
      <c r="DG472" s="14"/>
      <c r="DH472" s="14"/>
      <c r="DI472" s="14"/>
      <c r="DJ472" s="14"/>
      <c r="DK472" s="14"/>
      <c r="DL472" s="14"/>
      <c r="DM472" s="14"/>
      <c r="DN472" s="14"/>
      <c r="DO472" s="14"/>
      <c r="DP472" s="14"/>
      <c r="DQ472" s="14"/>
      <c r="DR472" s="14"/>
      <c r="DS472" s="14"/>
      <c r="DT472" s="14"/>
      <c r="DU472" s="14"/>
      <c r="DV472" s="14"/>
      <c r="DW472" s="14"/>
      <c r="DX472" s="14"/>
      <c r="DY472" s="14"/>
      <c r="DZ472" s="14"/>
      <c r="EA472" s="14"/>
      <c r="EB472" s="14"/>
      <c r="EC472" s="14"/>
      <c r="ED472" s="14"/>
      <c r="EE472" s="14"/>
      <c r="EF472" s="14"/>
      <c r="EG472" s="14"/>
      <c r="EH472" s="14"/>
      <c r="EI472" s="14"/>
      <c r="EJ472" s="14"/>
      <c r="EK472" s="14"/>
      <c r="EL472" s="14"/>
    </row>
    <row r="473" spans="1:142" s="63" customFormat="1" ht="15" customHeight="1" x14ac:dyDescent="0.2">
      <c r="A473" s="35"/>
      <c r="B473" s="1469"/>
      <c r="C473" s="1469"/>
      <c r="D473" s="1469"/>
      <c r="E473" s="1469"/>
      <c r="F473" s="1469"/>
      <c r="G473" s="1469"/>
      <c r="H473" s="1469"/>
      <c r="I473" s="1469"/>
      <c r="J473" s="1469"/>
      <c r="K473" s="1469"/>
      <c r="L473" s="1469"/>
      <c r="M473" s="1469"/>
      <c r="N473" s="1469"/>
      <c r="O473" s="1469"/>
      <c r="P473" s="1469"/>
      <c r="Q473" s="35"/>
      <c r="R473" s="18"/>
      <c r="S473" s="18"/>
      <c r="T473" s="18"/>
      <c r="U473" s="18"/>
      <c r="V473" s="18"/>
      <c r="W473" s="18"/>
      <c r="X473" s="18"/>
      <c r="Y473" s="1087"/>
      <c r="Z473" s="18"/>
      <c r="AA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4"/>
      <c r="BB473" s="14"/>
      <c r="BC473" s="14"/>
      <c r="BD473" s="14"/>
      <c r="BE473" s="14"/>
      <c r="BF473" s="14"/>
      <c r="BG473" s="14"/>
      <c r="BH473" s="14"/>
      <c r="BI473" s="14"/>
      <c r="BJ473" s="14"/>
      <c r="BK473" s="14"/>
      <c r="BL473" s="14"/>
      <c r="BM473" s="14"/>
      <c r="BN473" s="14"/>
      <c r="BO473" s="14"/>
      <c r="BP473" s="14"/>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c r="CR473" s="14"/>
      <c r="CS473" s="14"/>
      <c r="CT473" s="14"/>
      <c r="CU473" s="14"/>
      <c r="CV473" s="14"/>
      <c r="CW473" s="14"/>
      <c r="CX473" s="14"/>
      <c r="CY473" s="14"/>
      <c r="CZ473" s="14"/>
      <c r="DA473" s="14"/>
      <c r="DB473" s="14"/>
      <c r="DC473" s="14"/>
      <c r="DD473" s="14"/>
      <c r="DE473" s="14"/>
      <c r="DF473" s="14"/>
      <c r="DG473" s="14"/>
      <c r="DH473" s="14"/>
      <c r="DI473" s="14"/>
      <c r="DJ473" s="14"/>
      <c r="DK473" s="14"/>
      <c r="DL473" s="14"/>
      <c r="DM473" s="14"/>
      <c r="DN473" s="14"/>
      <c r="DO473" s="14"/>
      <c r="DP473" s="14"/>
      <c r="DQ473" s="14"/>
      <c r="DR473" s="14"/>
      <c r="DS473" s="14"/>
      <c r="DT473" s="14"/>
      <c r="DU473" s="14"/>
      <c r="DV473" s="14"/>
      <c r="DW473" s="14"/>
      <c r="DX473" s="14"/>
      <c r="DY473" s="14"/>
      <c r="DZ473" s="14"/>
      <c r="EA473" s="14"/>
      <c r="EB473" s="14"/>
      <c r="EC473" s="14"/>
      <c r="ED473" s="14"/>
      <c r="EE473" s="14"/>
      <c r="EF473" s="14"/>
      <c r="EG473" s="14"/>
      <c r="EH473" s="14"/>
      <c r="EI473" s="14"/>
      <c r="EJ473" s="14"/>
      <c r="EK473" s="14"/>
      <c r="EL473" s="14"/>
    </row>
    <row r="474" spans="1:142" s="63" customFormat="1" x14ac:dyDescent="0.2">
      <c r="A474" s="35"/>
      <c r="B474" s="1395"/>
      <c r="C474" s="1395"/>
      <c r="D474" s="1395"/>
      <c r="E474" s="1395"/>
      <c r="F474" s="1395"/>
      <c r="G474" s="1395"/>
      <c r="H474" s="1395"/>
      <c r="I474" s="1395"/>
      <c r="J474" s="1395"/>
      <c r="K474" s="1395"/>
      <c r="L474" s="1395"/>
      <c r="M474" s="1395"/>
      <c r="N474" s="1395"/>
      <c r="O474" s="1395"/>
      <c r="P474" s="1395"/>
      <c r="Q474" s="35"/>
      <c r="R474" s="18"/>
      <c r="S474" s="18"/>
      <c r="T474" s="18"/>
      <c r="U474" s="18"/>
      <c r="V474" s="18"/>
      <c r="W474" s="18"/>
      <c r="X474" s="18"/>
      <c r="AA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4"/>
      <c r="BB474" s="14"/>
      <c r="BC474" s="14"/>
      <c r="BD474" s="14"/>
      <c r="BE474" s="14"/>
      <c r="BF474" s="14"/>
      <c r="BG474" s="14"/>
      <c r="BH474" s="14"/>
      <c r="BI474" s="14"/>
      <c r="BJ474" s="14"/>
      <c r="BK474" s="14"/>
      <c r="BL474" s="14"/>
      <c r="BM474" s="14"/>
      <c r="BN474" s="14"/>
      <c r="BO474" s="14"/>
      <c r="BP474" s="14"/>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c r="CM474" s="14"/>
      <c r="CN474" s="14"/>
      <c r="CO474" s="14"/>
      <c r="CP474" s="14"/>
      <c r="CQ474" s="14"/>
      <c r="CR474" s="14"/>
      <c r="CS474" s="14"/>
      <c r="CT474" s="14"/>
      <c r="CU474" s="14"/>
      <c r="CV474" s="14"/>
      <c r="CW474" s="14"/>
      <c r="CX474" s="14"/>
      <c r="CY474" s="14"/>
      <c r="CZ474" s="14"/>
      <c r="DA474" s="14"/>
      <c r="DB474" s="14"/>
      <c r="DC474" s="14"/>
      <c r="DD474" s="14"/>
      <c r="DE474" s="14"/>
      <c r="DF474" s="14"/>
      <c r="DG474" s="14"/>
      <c r="DH474" s="14"/>
      <c r="DI474" s="14"/>
      <c r="DJ474" s="14"/>
      <c r="DK474" s="14"/>
      <c r="DL474" s="14"/>
      <c r="DM474" s="14"/>
      <c r="DN474" s="14"/>
      <c r="DO474" s="14"/>
      <c r="DP474" s="14"/>
      <c r="DQ474" s="14"/>
      <c r="DR474" s="14"/>
      <c r="DS474" s="14"/>
      <c r="DT474" s="14"/>
      <c r="DU474" s="14"/>
      <c r="DV474" s="14"/>
      <c r="DW474" s="14"/>
      <c r="DX474" s="14"/>
      <c r="DY474" s="14"/>
      <c r="DZ474" s="14"/>
      <c r="EA474" s="14"/>
      <c r="EB474" s="14"/>
      <c r="EC474" s="14"/>
      <c r="ED474" s="14"/>
      <c r="EE474" s="14"/>
      <c r="EF474" s="14"/>
      <c r="EG474" s="14"/>
      <c r="EH474" s="14"/>
      <c r="EI474" s="14"/>
      <c r="EJ474" s="14"/>
      <c r="EK474" s="14"/>
      <c r="EL474" s="14"/>
    </row>
    <row r="475" spans="1:142" s="63" customFormat="1" ht="36" customHeight="1" x14ac:dyDescent="0.2">
      <c r="A475" s="35"/>
      <c r="B475" s="1626" t="s">
        <v>1354</v>
      </c>
      <c r="C475" s="1627"/>
      <c r="D475" s="1627"/>
      <c r="E475" s="1627"/>
      <c r="F475" s="1627"/>
      <c r="G475" s="1627"/>
      <c r="H475" s="1627"/>
      <c r="I475" s="1627"/>
      <c r="J475" s="1627"/>
      <c r="K475" s="1627"/>
      <c r="L475" s="1627"/>
      <c r="M475" s="1627"/>
      <c r="N475" s="1627"/>
      <c r="O475" s="1627"/>
      <c r="P475" s="1628"/>
      <c r="Q475" s="35"/>
      <c r="R475" s="18"/>
      <c r="S475" s="18"/>
      <c r="T475" s="18"/>
      <c r="U475" s="18"/>
      <c r="V475" s="18"/>
      <c r="W475" s="18"/>
      <c r="X475" s="18"/>
      <c r="AA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4"/>
      <c r="BB475" s="14"/>
      <c r="BC475" s="14"/>
      <c r="BD475" s="14"/>
      <c r="BE475" s="14"/>
      <c r="BF475" s="14"/>
      <c r="BG475" s="14"/>
      <c r="BH475" s="14"/>
      <c r="BI475" s="14"/>
      <c r="BJ475" s="14"/>
      <c r="BK475" s="14"/>
      <c r="BL475" s="14"/>
      <c r="BM475" s="14"/>
      <c r="BN475" s="14"/>
      <c r="BO475" s="14"/>
      <c r="BP475" s="14"/>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c r="CM475" s="14"/>
      <c r="CN475" s="14"/>
      <c r="CO475" s="14"/>
      <c r="CP475" s="14"/>
      <c r="CQ475" s="14"/>
      <c r="CR475" s="14"/>
      <c r="CS475" s="14"/>
      <c r="CT475" s="14"/>
      <c r="CU475" s="14"/>
      <c r="CV475" s="14"/>
      <c r="CW475" s="14"/>
      <c r="CX475" s="14"/>
      <c r="CY475" s="14"/>
      <c r="CZ475" s="14"/>
      <c r="DA475" s="14"/>
      <c r="DB475" s="14"/>
      <c r="DC475" s="14"/>
      <c r="DD475" s="14"/>
      <c r="DE475" s="14"/>
      <c r="DF475" s="14"/>
      <c r="DG475" s="14"/>
      <c r="DH475" s="14"/>
      <c r="DI475" s="14"/>
      <c r="DJ475" s="14"/>
      <c r="DK475" s="14"/>
      <c r="DL475" s="14"/>
      <c r="DM475" s="14"/>
      <c r="DN475" s="14"/>
      <c r="DO475" s="14"/>
      <c r="DP475" s="14"/>
      <c r="DQ475" s="14"/>
      <c r="DR475" s="14"/>
      <c r="DS475" s="14"/>
      <c r="DT475" s="14"/>
      <c r="DU475" s="14"/>
      <c r="DV475" s="14"/>
      <c r="DW475" s="14"/>
      <c r="DX475" s="14"/>
      <c r="DY475" s="14"/>
      <c r="DZ475" s="14"/>
      <c r="EA475" s="14"/>
      <c r="EB475" s="14"/>
      <c r="EC475" s="14"/>
      <c r="ED475" s="14"/>
      <c r="EE475" s="14"/>
      <c r="EF475" s="14"/>
      <c r="EG475" s="14"/>
      <c r="EH475" s="14"/>
      <c r="EI475" s="14"/>
      <c r="EJ475" s="14"/>
      <c r="EK475" s="14"/>
      <c r="EL475" s="14"/>
    </row>
    <row r="476" spans="1:142" s="63" customFormat="1" ht="12" customHeight="1" x14ac:dyDescent="0.25">
      <c r="A476" s="35"/>
      <c r="B476" s="1922"/>
      <c r="C476" s="1922"/>
      <c r="D476" s="1922"/>
      <c r="E476" s="1922"/>
      <c r="F476" s="1922"/>
      <c r="G476" s="1922"/>
      <c r="H476" s="1922"/>
      <c r="I476" s="1922"/>
      <c r="J476" s="1922"/>
      <c r="K476" s="1922"/>
      <c r="L476" s="1922"/>
      <c r="M476" s="1922"/>
      <c r="N476" s="1922"/>
      <c r="O476" s="1922"/>
      <c r="P476" s="1922"/>
      <c r="Q476" s="35"/>
      <c r="R476" s="18"/>
      <c r="S476" s="18"/>
      <c r="T476" s="18"/>
      <c r="U476" s="18"/>
      <c r="V476" s="18"/>
      <c r="W476" s="18"/>
      <c r="X476" s="18"/>
      <c r="AA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4"/>
      <c r="BB476" s="14"/>
      <c r="BC476" s="14"/>
      <c r="BD476" s="14"/>
      <c r="BE476" s="14"/>
      <c r="BF476" s="14"/>
      <c r="BG476" s="14"/>
      <c r="BH476" s="14"/>
      <c r="BI476" s="14"/>
      <c r="BJ476" s="14"/>
      <c r="BK476" s="14"/>
      <c r="BL476" s="14"/>
      <c r="BM476" s="14"/>
      <c r="BN476" s="14"/>
      <c r="BO476" s="14"/>
      <c r="BP476" s="14"/>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c r="CM476" s="14"/>
      <c r="CN476" s="14"/>
      <c r="CO476" s="14"/>
      <c r="CP476" s="14"/>
      <c r="CQ476" s="14"/>
      <c r="CR476" s="14"/>
      <c r="CS476" s="14"/>
      <c r="CT476" s="14"/>
      <c r="CU476" s="14"/>
      <c r="CV476" s="14"/>
      <c r="CW476" s="14"/>
      <c r="CX476" s="14"/>
      <c r="CY476" s="14"/>
      <c r="CZ476" s="14"/>
      <c r="DA476" s="14"/>
      <c r="DB476" s="14"/>
      <c r="DC476" s="14"/>
      <c r="DD476" s="14"/>
      <c r="DE476" s="14"/>
      <c r="DF476" s="14"/>
      <c r="DG476" s="14"/>
      <c r="DH476" s="14"/>
      <c r="DI476" s="14"/>
      <c r="DJ476" s="14"/>
      <c r="DK476" s="14"/>
      <c r="DL476" s="14"/>
      <c r="DM476" s="14"/>
      <c r="DN476" s="14"/>
      <c r="DO476" s="14"/>
      <c r="DP476" s="14"/>
      <c r="DQ476" s="14"/>
      <c r="DR476" s="14"/>
      <c r="DS476" s="14"/>
      <c r="DT476" s="14"/>
      <c r="DU476" s="14"/>
      <c r="DV476" s="14"/>
      <c r="DW476" s="14"/>
      <c r="DX476" s="14"/>
      <c r="DY476" s="14"/>
      <c r="DZ476" s="14"/>
      <c r="EA476" s="14"/>
      <c r="EB476" s="14"/>
      <c r="EC476" s="14"/>
      <c r="ED476" s="14"/>
      <c r="EE476" s="14"/>
      <c r="EF476" s="14"/>
      <c r="EG476" s="14"/>
      <c r="EH476" s="14"/>
      <c r="EI476" s="14"/>
      <c r="EJ476" s="14"/>
      <c r="EK476" s="14"/>
      <c r="EL476" s="14"/>
    </row>
    <row r="477" spans="1:142" s="63" customFormat="1" ht="40.5" customHeight="1" x14ac:dyDescent="0.2">
      <c r="A477" s="35"/>
      <c r="B477" s="1591" t="s">
        <v>107</v>
      </c>
      <c r="C477" s="1591"/>
      <c r="D477" s="1591"/>
      <c r="E477" s="1591"/>
      <c r="F477" s="1591"/>
      <c r="G477" s="1591"/>
      <c r="H477" s="1591"/>
      <c r="I477" s="1591"/>
      <c r="J477" s="1591"/>
      <c r="K477" s="1591"/>
      <c r="L477" s="1591"/>
      <c r="M477" s="1591"/>
      <c r="N477" s="1591"/>
      <c r="O477" s="1591"/>
      <c r="P477" s="1591"/>
      <c r="Q477" s="35"/>
      <c r="R477" s="18"/>
      <c r="S477" s="18"/>
      <c r="T477" s="18"/>
      <c r="U477" s="175"/>
      <c r="V477" s="18"/>
      <c r="W477" s="18"/>
      <c r="X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4"/>
      <c r="BB477" s="14"/>
      <c r="BC477" s="14"/>
      <c r="BD477" s="14"/>
      <c r="BE477" s="14"/>
      <c r="BF477" s="14"/>
      <c r="BG477" s="14"/>
      <c r="BH477" s="14"/>
      <c r="BI477" s="14"/>
      <c r="BJ477" s="14"/>
      <c r="BK477" s="14"/>
      <c r="BL477" s="14"/>
      <c r="BM477" s="14"/>
      <c r="BN477" s="14"/>
      <c r="BO477" s="14"/>
      <c r="BP477" s="14"/>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c r="CM477" s="14"/>
      <c r="CN477" s="14"/>
      <c r="CO477" s="14"/>
      <c r="CP477" s="14"/>
      <c r="CQ477" s="14"/>
      <c r="CR477" s="14"/>
      <c r="CS477" s="14"/>
      <c r="CT477" s="14"/>
      <c r="CU477" s="14"/>
      <c r="CV477" s="14"/>
      <c r="CW477" s="14"/>
      <c r="CX477" s="14"/>
      <c r="CY477" s="14"/>
      <c r="CZ477" s="14"/>
      <c r="DA477" s="14"/>
      <c r="DB477" s="14"/>
      <c r="DC477" s="14"/>
      <c r="DD477" s="14"/>
      <c r="DE477" s="14"/>
      <c r="DF477" s="14"/>
      <c r="DG477" s="14"/>
      <c r="DH477" s="14"/>
      <c r="DI477" s="14"/>
      <c r="DJ477" s="14"/>
      <c r="DK477" s="14"/>
      <c r="DL477" s="14"/>
      <c r="DM477" s="14"/>
      <c r="DN477" s="14"/>
      <c r="DO477" s="14"/>
      <c r="DP477" s="14"/>
      <c r="DQ477" s="14"/>
      <c r="DR477" s="14"/>
      <c r="DS477" s="14"/>
      <c r="DT477" s="14"/>
      <c r="DU477" s="14"/>
      <c r="DV477" s="14"/>
      <c r="DW477" s="14"/>
      <c r="DX477" s="14"/>
      <c r="DY477" s="14"/>
      <c r="DZ477" s="14"/>
      <c r="EA477" s="14"/>
      <c r="EB477" s="14"/>
      <c r="EC477" s="14"/>
      <c r="ED477" s="14"/>
      <c r="EE477" s="14"/>
      <c r="EF477" s="14"/>
      <c r="EG477" s="14"/>
      <c r="EH477" s="14"/>
      <c r="EI477" s="14"/>
      <c r="EJ477" s="14"/>
      <c r="EK477" s="14"/>
      <c r="EL477" s="14"/>
    </row>
    <row r="478" spans="1:142" s="63" customFormat="1" ht="33.75" customHeight="1" x14ac:dyDescent="0.2">
      <c r="A478" s="35"/>
      <c r="B478" s="185"/>
      <c r="C478" s="1536" t="s">
        <v>1796</v>
      </c>
      <c r="D478" s="1555"/>
      <c r="E478" s="185"/>
      <c r="F478" s="1536" t="s">
        <v>1277</v>
      </c>
      <c r="G478" s="1536"/>
      <c r="H478" s="1555"/>
      <c r="I478" s="1555"/>
      <c r="J478" s="1555" t="s">
        <v>1796</v>
      </c>
      <c r="K478" s="1555"/>
      <c r="L478" s="1555"/>
      <c r="M478" s="1555"/>
      <c r="N478" s="1555" t="s">
        <v>1738</v>
      </c>
      <c r="O478" s="1555"/>
      <c r="P478" s="1555"/>
      <c r="Q478" s="35"/>
      <c r="R478" s="18"/>
      <c r="S478" s="877" t="s">
        <v>1737</v>
      </c>
      <c r="T478" s="877" t="s">
        <v>1307</v>
      </c>
      <c r="U478" s="879" t="s">
        <v>1122</v>
      </c>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4"/>
      <c r="BB478" s="14"/>
      <c r="BC478" s="14"/>
      <c r="BD478" s="14"/>
      <c r="BE478" s="14"/>
      <c r="BF478" s="14"/>
      <c r="BG478" s="14"/>
      <c r="BH478" s="14"/>
      <c r="BI478" s="14"/>
      <c r="BJ478" s="14"/>
      <c r="BK478" s="14"/>
      <c r="BL478" s="14"/>
      <c r="BM478" s="14"/>
      <c r="BN478" s="14"/>
      <c r="BO478" s="14"/>
      <c r="BP478" s="14"/>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c r="CO478" s="14"/>
      <c r="CP478" s="14"/>
      <c r="CQ478" s="14"/>
      <c r="CR478" s="14"/>
      <c r="CS478" s="14"/>
      <c r="CT478" s="14"/>
      <c r="CU478" s="14"/>
      <c r="CV478" s="14"/>
      <c r="CW478" s="14"/>
      <c r="CX478" s="14"/>
      <c r="CY478" s="14"/>
      <c r="CZ478" s="14"/>
      <c r="DA478" s="14"/>
      <c r="DB478" s="14"/>
      <c r="DC478" s="14"/>
      <c r="DD478" s="14"/>
      <c r="DE478" s="14"/>
      <c r="DF478" s="14"/>
      <c r="DG478" s="14"/>
      <c r="DH478" s="14"/>
      <c r="DI478" s="14"/>
      <c r="DJ478" s="14"/>
      <c r="DK478" s="14"/>
      <c r="DL478" s="14"/>
      <c r="DM478" s="14"/>
      <c r="DN478" s="14"/>
      <c r="DO478" s="14"/>
      <c r="DP478" s="14"/>
      <c r="DQ478" s="14"/>
      <c r="DR478" s="14"/>
      <c r="DS478" s="14"/>
      <c r="DT478" s="14"/>
      <c r="DU478" s="14"/>
      <c r="DV478" s="14"/>
      <c r="DW478" s="14"/>
      <c r="DX478" s="14"/>
      <c r="DY478" s="14"/>
      <c r="DZ478" s="14"/>
      <c r="EA478" s="14"/>
      <c r="EB478" s="14"/>
      <c r="EC478" s="14"/>
      <c r="ED478" s="14"/>
      <c r="EE478" s="14"/>
      <c r="EF478" s="14"/>
      <c r="EG478" s="14"/>
      <c r="EH478" s="14"/>
      <c r="EI478" s="14"/>
      <c r="EJ478" s="14"/>
      <c r="EK478" s="14"/>
      <c r="EL478" s="14"/>
    </row>
    <row r="479" spans="1:142" s="63" customFormat="1" ht="18" customHeight="1" x14ac:dyDescent="0.2">
      <c r="A479" s="35"/>
      <c r="B479" s="185" t="s">
        <v>1359</v>
      </c>
      <c r="C479" s="1373">
        <f>P33</f>
        <v>0</v>
      </c>
      <c r="D479" s="1346"/>
      <c r="E479" s="42" t="s">
        <v>1791</v>
      </c>
      <c r="F479" s="1657">
        <v>0.06</v>
      </c>
      <c r="G479" s="1657"/>
      <c r="H479" s="2000" t="s">
        <v>1793</v>
      </c>
      <c r="I479" s="2000"/>
      <c r="J479" s="2013">
        <f>IF(C489&lt;R1,"DOI&lt;2005",IF($P$270&gt;0,0,T479))</f>
        <v>0</v>
      </c>
      <c r="K479" s="2013"/>
      <c r="L479" s="2013"/>
      <c r="M479" s="2013"/>
      <c r="N479" s="2014" t="str">
        <f>IF(C479=0,"",IF($P$270&gt;0,"Converted",""))</f>
        <v/>
      </c>
      <c r="O479" s="2014"/>
      <c r="P479" s="2014"/>
      <c r="Q479" s="35"/>
      <c r="R479" s="18"/>
      <c r="S479" s="750">
        <f>IF(AND(C479*F479&gt;0,C479*F479&lt;0.01),0.01,C479*F479)</f>
        <v>0</v>
      </c>
      <c r="T479" s="749">
        <f t="shared" ref="T479:T485" si="71">ROUND(S479,2)</f>
        <v>0</v>
      </c>
      <c r="U479" s="749">
        <f>SUM(E342:E367)</f>
        <v>0</v>
      </c>
      <c r="V479" s="877" t="s">
        <v>2233</v>
      </c>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4"/>
      <c r="BB479" s="14"/>
      <c r="BC479" s="14"/>
      <c r="BD479" s="14"/>
      <c r="BE479" s="14"/>
      <c r="BF479" s="14"/>
      <c r="BG479" s="14"/>
      <c r="BH479" s="14"/>
      <c r="BI479" s="14"/>
      <c r="BJ479" s="14"/>
      <c r="BK479" s="14"/>
      <c r="BL479" s="14"/>
      <c r="BM479" s="14"/>
      <c r="BN479" s="14"/>
      <c r="BO479" s="14"/>
      <c r="BP479" s="14"/>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c r="CO479" s="14"/>
      <c r="CP479" s="14"/>
      <c r="CQ479" s="14"/>
      <c r="CR479" s="14"/>
      <c r="CS479" s="14"/>
      <c r="CT479" s="14"/>
      <c r="CU479" s="14"/>
      <c r="CV479" s="14"/>
      <c r="CW479" s="14"/>
      <c r="CX479" s="14"/>
      <c r="CY479" s="14"/>
      <c r="CZ479" s="14"/>
      <c r="DA479" s="14"/>
      <c r="DB479" s="14"/>
      <c r="DC479" s="14"/>
      <c r="DD479" s="14"/>
      <c r="DE479" s="14"/>
      <c r="DF479" s="14"/>
      <c r="DG479" s="14"/>
      <c r="DH479" s="14"/>
      <c r="DI479" s="14"/>
      <c r="DJ479" s="14"/>
      <c r="DK479" s="14"/>
      <c r="DL479" s="14"/>
      <c r="DM479" s="14"/>
      <c r="DN479" s="14"/>
      <c r="DO479" s="14"/>
      <c r="DP479" s="14"/>
      <c r="DQ479" s="14"/>
      <c r="DR479" s="14"/>
      <c r="DS479" s="14"/>
      <c r="DT479" s="14"/>
      <c r="DU479" s="14"/>
      <c r="DV479" s="14"/>
      <c r="DW479" s="14"/>
      <c r="DX479" s="14"/>
      <c r="DY479" s="14"/>
      <c r="DZ479" s="14"/>
      <c r="EA479" s="14"/>
      <c r="EB479" s="14"/>
      <c r="EC479" s="14"/>
      <c r="ED479" s="14"/>
      <c r="EE479" s="14"/>
      <c r="EF479" s="14"/>
      <c r="EG479" s="14"/>
      <c r="EH479" s="14"/>
      <c r="EI479" s="14"/>
      <c r="EJ479" s="14"/>
      <c r="EK479" s="14"/>
      <c r="EL479" s="14"/>
    </row>
    <row r="480" spans="1:142" s="63" customFormat="1" ht="18" customHeight="1" x14ac:dyDescent="0.2">
      <c r="A480" s="35"/>
      <c r="B480" s="185" t="s">
        <v>1360</v>
      </c>
      <c r="C480" s="1373">
        <f>P72</f>
        <v>0</v>
      </c>
      <c r="D480" s="1346"/>
      <c r="E480" s="42" t="s">
        <v>1791</v>
      </c>
      <c r="F480" s="1657">
        <v>0.01</v>
      </c>
      <c r="G480" s="1657"/>
      <c r="H480" s="2000" t="s">
        <v>1793</v>
      </c>
      <c r="I480" s="2000"/>
      <c r="J480" s="2013">
        <f>IF(C489&lt;R1,"DOI&lt;2005",IF($P$270&gt;0,0,T480))</f>
        <v>0</v>
      </c>
      <c r="K480" s="2013"/>
      <c r="L480" s="2013"/>
      <c r="M480" s="2013"/>
      <c r="N480" s="2014" t="str">
        <f>IF(C480=0,"",IF($P$270&gt;0,"Converted",""))</f>
        <v/>
      </c>
      <c r="O480" s="2014"/>
      <c r="P480" s="2014"/>
      <c r="Q480" s="35"/>
      <c r="R480" s="18"/>
      <c r="S480" s="750">
        <f t="shared" ref="S480:S485" si="72">IF(AND(C480*F480&gt;0,C480*F480&lt;0.01),0.01,C480*F480)</f>
        <v>0</v>
      </c>
      <c r="T480" s="749">
        <f t="shared" si="71"/>
        <v>0</v>
      </c>
      <c r="U480" s="749">
        <f>SUM(E449:E471)</f>
        <v>0</v>
      </c>
      <c r="V480" s="877" t="s">
        <v>2232</v>
      </c>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4"/>
      <c r="BB480" s="14"/>
      <c r="BC480" s="14"/>
      <c r="BD480" s="14"/>
      <c r="BE480" s="14"/>
      <c r="BF480" s="14"/>
      <c r="BG480" s="14"/>
      <c r="BH480" s="14"/>
      <c r="BI480" s="14"/>
      <c r="BJ480" s="14"/>
      <c r="BK480" s="14"/>
      <c r="BL480" s="14"/>
      <c r="BM480" s="14"/>
      <c r="BN480" s="14"/>
      <c r="BO480" s="14"/>
      <c r="BP480" s="14"/>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c r="CO480" s="14"/>
      <c r="CP480" s="14"/>
      <c r="CQ480" s="14"/>
      <c r="CR480" s="14"/>
      <c r="CS480" s="14"/>
      <c r="CT480" s="14"/>
      <c r="CU480" s="14"/>
      <c r="CV480" s="14"/>
      <c r="CW480" s="14"/>
      <c r="CX480" s="14"/>
      <c r="CY480" s="14"/>
      <c r="CZ480" s="14"/>
      <c r="DA480" s="14"/>
      <c r="DB480" s="14"/>
      <c r="DC480" s="14"/>
      <c r="DD480" s="14"/>
      <c r="DE480" s="14"/>
      <c r="DF480" s="14"/>
      <c r="DG480" s="14"/>
      <c r="DH480" s="14"/>
      <c r="DI480" s="14"/>
      <c r="DJ480" s="14"/>
      <c r="DK480" s="14"/>
      <c r="DL480" s="14"/>
      <c r="DM480" s="14"/>
      <c r="DN480" s="14"/>
      <c r="DO480" s="14"/>
      <c r="DP480" s="14"/>
      <c r="DQ480" s="14"/>
      <c r="DR480" s="14"/>
      <c r="DS480" s="14"/>
      <c r="DT480" s="14"/>
      <c r="DU480" s="14"/>
      <c r="DV480" s="14"/>
      <c r="DW480" s="14"/>
      <c r="DX480" s="14"/>
      <c r="DY480" s="14"/>
      <c r="DZ480" s="14"/>
      <c r="EA480" s="14"/>
      <c r="EB480" s="14"/>
      <c r="EC480" s="14"/>
      <c r="ED480" s="14"/>
      <c r="EE480" s="14"/>
      <c r="EF480" s="14"/>
      <c r="EG480" s="14"/>
      <c r="EH480" s="14"/>
      <c r="EI480" s="14"/>
      <c r="EJ480" s="14"/>
      <c r="EK480" s="14"/>
      <c r="EL480" s="14"/>
    </row>
    <row r="481" spans="1:142" s="63" customFormat="1" ht="18" customHeight="1" x14ac:dyDescent="0.2">
      <c r="A481" s="35"/>
      <c r="B481" s="185" t="s">
        <v>1361</v>
      </c>
      <c r="C481" s="1373">
        <f>P112</f>
        <v>0</v>
      </c>
      <c r="D481" s="1346"/>
      <c r="E481" s="42" t="s">
        <v>1791</v>
      </c>
      <c r="F481" s="1657">
        <v>0.01</v>
      </c>
      <c r="G481" s="1657"/>
      <c r="H481" s="2000" t="s">
        <v>1793</v>
      </c>
      <c r="I481" s="2000"/>
      <c r="J481" s="2013">
        <f>IF(C489&lt;R1,"DOI&lt;2005",IF($P$270&gt;0,0,T481))</f>
        <v>0</v>
      </c>
      <c r="K481" s="2013"/>
      <c r="L481" s="2013"/>
      <c r="M481" s="2013"/>
      <c r="N481" s="2014" t="str">
        <f>IF(C481=0,"",IF($P$270&gt;0,"Converted",""))</f>
        <v/>
      </c>
      <c r="O481" s="2014"/>
      <c r="P481" s="2014"/>
      <c r="Q481" s="35"/>
      <c r="R481" s="18"/>
      <c r="S481" s="750">
        <f t="shared" si="72"/>
        <v>0</v>
      </c>
      <c r="T481" s="749">
        <f t="shared" si="71"/>
        <v>0</v>
      </c>
      <c r="U481" s="890">
        <f>IF(AND(U479&gt;0,U480&gt;0),1,0)</f>
        <v>0</v>
      </c>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4"/>
      <c r="BB481" s="14"/>
      <c r="BC481" s="14"/>
      <c r="BD481" s="14"/>
      <c r="BE481" s="14"/>
      <c r="BF481" s="14"/>
      <c r="BG481" s="14"/>
      <c r="BH481" s="14"/>
      <c r="BI481" s="14"/>
      <c r="BJ481" s="14"/>
      <c r="BK481" s="14"/>
      <c r="BL481" s="14"/>
      <c r="BM481" s="14"/>
      <c r="BN481" s="14"/>
      <c r="BO481" s="14"/>
      <c r="BP481" s="14"/>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c r="CO481" s="14"/>
      <c r="CP481" s="14"/>
      <c r="CQ481" s="14"/>
      <c r="CR481" s="14"/>
      <c r="CS481" s="14"/>
      <c r="CT481" s="14"/>
      <c r="CU481" s="14"/>
      <c r="CV481" s="14"/>
      <c r="CW481" s="14"/>
      <c r="CX481" s="14"/>
      <c r="CY481" s="14"/>
      <c r="CZ481" s="14"/>
      <c r="DA481" s="14"/>
      <c r="DB481" s="14"/>
      <c r="DC481" s="14"/>
      <c r="DD481" s="14"/>
      <c r="DE481" s="14"/>
      <c r="DF481" s="14"/>
      <c r="DG481" s="14"/>
      <c r="DH481" s="14"/>
      <c r="DI481" s="14"/>
      <c r="DJ481" s="14"/>
      <c r="DK481" s="14"/>
      <c r="DL481" s="14"/>
      <c r="DM481" s="14"/>
      <c r="DN481" s="14"/>
      <c r="DO481" s="14"/>
      <c r="DP481" s="14"/>
      <c r="DQ481" s="14"/>
      <c r="DR481" s="14"/>
      <c r="DS481" s="14"/>
      <c r="DT481" s="14"/>
      <c r="DU481" s="14"/>
      <c r="DV481" s="14"/>
      <c r="DW481" s="14"/>
      <c r="DX481" s="14"/>
      <c r="DY481" s="14"/>
      <c r="DZ481" s="14"/>
      <c r="EA481" s="14"/>
      <c r="EB481" s="14"/>
      <c r="EC481" s="14"/>
      <c r="ED481" s="14"/>
      <c r="EE481" s="14"/>
      <c r="EF481" s="14"/>
      <c r="EG481" s="14"/>
      <c r="EH481" s="14"/>
      <c r="EI481" s="14"/>
      <c r="EJ481" s="14"/>
      <c r="EK481" s="14"/>
      <c r="EL481" s="14"/>
    </row>
    <row r="482" spans="1:142" s="63" customFormat="1" ht="18" customHeight="1" x14ac:dyDescent="0.2">
      <c r="A482" s="35"/>
      <c r="B482" s="185" t="s">
        <v>1362</v>
      </c>
      <c r="C482" s="1373">
        <f>P152</f>
        <v>0</v>
      </c>
      <c r="D482" s="1346"/>
      <c r="E482" s="42" t="s">
        <v>1791</v>
      </c>
      <c r="F482" s="1657">
        <v>0.01</v>
      </c>
      <c r="G482" s="1657"/>
      <c r="H482" s="2000" t="s">
        <v>1793</v>
      </c>
      <c r="I482" s="2000"/>
      <c r="J482" s="2013">
        <f>IF(C489&lt;R1,"DOI&lt;2005",IF($P$270&gt;0,0,T482))</f>
        <v>0</v>
      </c>
      <c r="K482" s="2013"/>
      <c r="L482" s="2013"/>
      <c r="M482" s="2013"/>
      <c r="N482" s="2014" t="str">
        <f>IF(C482=0,"",IF($P$270&gt;0,"Converted",""))</f>
        <v/>
      </c>
      <c r="O482" s="2014"/>
      <c r="P482" s="2014"/>
      <c r="Q482" s="35"/>
      <c r="R482" s="18"/>
      <c r="S482" s="750">
        <f t="shared" si="72"/>
        <v>0</v>
      </c>
      <c r="T482" s="749">
        <f t="shared" si="71"/>
        <v>0</v>
      </c>
      <c r="U482" s="112"/>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4"/>
      <c r="BB482" s="14"/>
      <c r="BC482" s="14"/>
      <c r="BD482" s="14"/>
      <c r="BE482" s="14"/>
      <c r="BF482" s="14"/>
      <c r="BG482" s="14"/>
      <c r="BH482" s="14"/>
      <c r="BI482" s="14"/>
      <c r="BJ482" s="14"/>
      <c r="BK482" s="14"/>
      <c r="BL482" s="14"/>
      <c r="BM482" s="14"/>
      <c r="BN482" s="14"/>
      <c r="BO482" s="14"/>
      <c r="BP482" s="14"/>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c r="CO482" s="14"/>
      <c r="CP482" s="14"/>
      <c r="CQ482" s="14"/>
      <c r="CR482" s="14"/>
      <c r="CS482" s="14"/>
      <c r="CT482" s="14"/>
      <c r="CU482" s="14"/>
      <c r="CV482" s="14"/>
      <c r="CW482" s="14"/>
      <c r="CX482" s="14"/>
      <c r="CY482" s="14"/>
      <c r="CZ482" s="14"/>
      <c r="DA482" s="14"/>
      <c r="DB482" s="14"/>
      <c r="DC482" s="14"/>
      <c r="DD482" s="14"/>
      <c r="DE482" s="14"/>
      <c r="DF482" s="14"/>
      <c r="DG482" s="14"/>
      <c r="DH482" s="14"/>
      <c r="DI482" s="14"/>
      <c r="DJ482" s="14"/>
      <c r="DK482" s="14"/>
      <c r="DL482" s="14"/>
      <c r="DM482" s="14"/>
      <c r="DN482" s="14"/>
      <c r="DO482" s="14"/>
      <c r="DP482" s="14"/>
      <c r="DQ482" s="14"/>
      <c r="DR482" s="14"/>
      <c r="DS482" s="14"/>
      <c r="DT482" s="14"/>
      <c r="DU482" s="14"/>
      <c r="DV482" s="14"/>
      <c r="DW482" s="14"/>
      <c r="DX482" s="14"/>
      <c r="DY482" s="14"/>
      <c r="DZ482" s="14"/>
      <c r="EA482" s="14"/>
      <c r="EB482" s="14"/>
      <c r="EC482" s="14"/>
      <c r="ED482" s="14"/>
      <c r="EE482" s="14"/>
      <c r="EF482" s="14"/>
      <c r="EG482" s="14"/>
      <c r="EH482" s="14"/>
      <c r="EI482" s="14"/>
      <c r="EJ482" s="14"/>
      <c r="EK482" s="14"/>
      <c r="EL482" s="14"/>
    </row>
    <row r="483" spans="1:142" s="63" customFormat="1" ht="18" customHeight="1" x14ac:dyDescent="0.2">
      <c r="A483" s="35"/>
      <c r="B483" s="185" t="s">
        <v>1363</v>
      </c>
      <c r="C483" s="1373">
        <f>P192</f>
        <v>0</v>
      </c>
      <c r="D483" s="1346"/>
      <c r="E483" s="42" t="s">
        <v>1791</v>
      </c>
      <c r="F483" s="1657">
        <v>0.01</v>
      </c>
      <c r="G483" s="1657"/>
      <c r="H483" s="2000" t="s">
        <v>1793</v>
      </c>
      <c r="I483" s="2000"/>
      <c r="J483" s="2013">
        <f>IF(C489&lt;R1,"DOI&lt;2005",IF($P$270&gt;0,0,T483))</f>
        <v>0</v>
      </c>
      <c r="K483" s="2013"/>
      <c r="L483" s="2013"/>
      <c r="M483" s="2013"/>
      <c r="N483" s="2014" t="str">
        <f>IF(C483=0,"",IF($P$270&gt;0,"Converted",""))</f>
        <v/>
      </c>
      <c r="O483" s="2014"/>
      <c r="P483" s="2014"/>
      <c r="Q483" s="35"/>
      <c r="R483" s="18"/>
      <c r="S483" s="750">
        <f t="shared" si="72"/>
        <v>0</v>
      </c>
      <c r="T483" s="749">
        <f t="shared" si="71"/>
        <v>0</v>
      </c>
      <c r="U483" s="112"/>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4"/>
      <c r="BB483" s="14"/>
      <c r="BC483" s="14"/>
      <c r="BD483" s="14"/>
      <c r="BE483" s="14"/>
      <c r="BF483" s="14"/>
      <c r="BG483" s="14"/>
      <c r="BH483" s="14"/>
      <c r="BI483" s="14"/>
      <c r="BJ483" s="14"/>
      <c r="BK483" s="14"/>
      <c r="BL483" s="14"/>
      <c r="BM483" s="14"/>
      <c r="BN483" s="14"/>
      <c r="BO483" s="14"/>
      <c r="BP483" s="14"/>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c r="CT483" s="14"/>
      <c r="CU483" s="14"/>
      <c r="CV483" s="14"/>
      <c r="CW483" s="14"/>
      <c r="CX483" s="14"/>
      <c r="CY483" s="14"/>
      <c r="CZ483" s="14"/>
      <c r="DA483" s="14"/>
      <c r="DB483" s="14"/>
      <c r="DC483" s="14"/>
      <c r="DD483" s="14"/>
      <c r="DE483" s="14"/>
      <c r="DF483" s="14"/>
      <c r="DG483" s="14"/>
      <c r="DH483" s="14"/>
      <c r="DI483" s="14"/>
      <c r="DJ483" s="14"/>
      <c r="DK483" s="14"/>
      <c r="DL483" s="14"/>
      <c r="DM483" s="14"/>
      <c r="DN483" s="14"/>
      <c r="DO483" s="14"/>
      <c r="DP483" s="14"/>
      <c r="DQ483" s="14"/>
      <c r="DR483" s="14"/>
      <c r="DS483" s="14"/>
      <c r="DT483" s="14"/>
      <c r="DU483" s="14"/>
      <c r="DV483" s="14"/>
      <c r="DW483" s="14"/>
      <c r="DX483" s="14"/>
      <c r="DY483" s="14"/>
      <c r="DZ483" s="14"/>
      <c r="EA483" s="14"/>
      <c r="EB483" s="14"/>
      <c r="EC483" s="14"/>
      <c r="ED483" s="14"/>
      <c r="EE483" s="14"/>
      <c r="EF483" s="14"/>
      <c r="EG483" s="14"/>
      <c r="EH483" s="14"/>
      <c r="EI483" s="14"/>
      <c r="EJ483" s="14"/>
      <c r="EK483" s="14"/>
      <c r="EL483" s="14"/>
    </row>
    <row r="484" spans="1:142" s="63" customFormat="1" ht="18" customHeight="1" x14ac:dyDescent="0.2">
      <c r="A484" s="35"/>
      <c r="B484" s="185" t="s">
        <v>1345</v>
      </c>
      <c r="C484" s="1373">
        <f>P341</f>
        <v>0</v>
      </c>
      <c r="D484" s="1346"/>
      <c r="E484" s="42" t="s">
        <v>1791</v>
      </c>
      <c r="F484" s="1657">
        <v>0.42</v>
      </c>
      <c r="G484" s="1657"/>
      <c r="H484" s="2000" t="s">
        <v>1793</v>
      </c>
      <c r="I484" s="2000"/>
      <c r="J484" s="2013">
        <f>IF(C489&lt;R1,"DOI&lt;2005",IF(AND(C484&gt;0,C485&gt;0),0,T484))</f>
        <v>0</v>
      </c>
      <c r="K484" s="2013"/>
      <c r="L484" s="2013"/>
      <c r="M484" s="2013"/>
      <c r="N484" s="2014" t="str">
        <f>IF(C484=0,"",IF(U481=1,"Converted",""))</f>
        <v/>
      </c>
      <c r="O484" s="2014"/>
      <c r="P484" s="2014"/>
      <c r="Q484" s="35"/>
      <c r="R484" s="18"/>
      <c r="S484" s="750">
        <f t="shared" si="72"/>
        <v>0</v>
      </c>
      <c r="T484" s="749">
        <f t="shared" si="71"/>
        <v>0</v>
      </c>
      <c r="U484" s="112"/>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4"/>
      <c r="BB484" s="14"/>
      <c r="BC484" s="14"/>
      <c r="BD484" s="14"/>
      <c r="BE484" s="14"/>
      <c r="BF484" s="14"/>
      <c r="BG484" s="14"/>
      <c r="BH484" s="14"/>
      <c r="BI484" s="14"/>
      <c r="BJ484" s="14"/>
      <c r="BK484" s="14"/>
      <c r="BL484" s="14"/>
      <c r="BM484" s="14"/>
      <c r="BN484" s="14"/>
      <c r="BO484" s="14"/>
      <c r="BP484" s="14"/>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c r="CR484" s="14"/>
      <c r="CS484" s="14"/>
      <c r="CT484" s="14"/>
      <c r="CU484" s="14"/>
      <c r="CV484" s="14"/>
      <c r="CW484" s="14"/>
      <c r="CX484" s="14"/>
      <c r="CY484" s="14"/>
      <c r="CZ484" s="14"/>
      <c r="DA484" s="14"/>
      <c r="DB484" s="14"/>
      <c r="DC484" s="14"/>
      <c r="DD484" s="14"/>
      <c r="DE484" s="14"/>
      <c r="DF484" s="14"/>
      <c r="DG484" s="14"/>
      <c r="DH484" s="14"/>
      <c r="DI484" s="14"/>
      <c r="DJ484" s="14"/>
      <c r="DK484" s="14"/>
      <c r="DL484" s="14"/>
      <c r="DM484" s="14"/>
      <c r="DN484" s="14"/>
      <c r="DO484" s="14"/>
      <c r="DP484" s="14"/>
      <c r="DQ484" s="14"/>
      <c r="DR484" s="14"/>
      <c r="DS484" s="14"/>
      <c r="DT484" s="14"/>
      <c r="DU484" s="14"/>
      <c r="DV484" s="14"/>
      <c r="DW484" s="14"/>
      <c r="DX484" s="14"/>
      <c r="DY484" s="14"/>
      <c r="DZ484" s="14"/>
      <c r="EA484" s="14"/>
      <c r="EB484" s="14"/>
      <c r="EC484" s="14"/>
      <c r="ED484" s="14"/>
      <c r="EE484" s="14"/>
      <c r="EF484" s="14"/>
      <c r="EG484" s="14"/>
      <c r="EH484" s="14"/>
      <c r="EI484" s="14"/>
      <c r="EJ484" s="14"/>
      <c r="EK484" s="14"/>
      <c r="EL484" s="14"/>
    </row>
    <row r="485" spans="1:142" s="63" customFormat="1" ht="18" customHeight="1" x14ac:dyDescent="0.2">
      <c r="A485" s="35"/>
      <c r="B485" s="185" t="s">
        <v>1364</v>
      </c>
      <c r="C485" s="1373">
        <f>P448</f>
        <v>0</v>
      </c>
      <c r="D485" s="1346"/>
      <c r="E485" s="42" t="s">
        <v>1791</v>
      </c>
      <c r="F485" s="1657">
        <v>0.47</v>
      </c>
      <c r="G485" s="1657"/>
      <c r="H485" s="2000" t="s">
        <v>1793</v>
      </c>
      <c r="I485" s="2000"/>
      <c r="J485" s="2013">
        <f>IF(C489&lt;R1,"DOI&lt;2005",T485)</f>
        <v>0</v>
      </c>
      <c r="K485" s="2013"/>
      <c r="L485" s="2013"/>
      <c r="M485" s="2013"/>
      <c r="N485" s="2014"/>
      <c r="O485" s="2014"/>
      <c r="P485" s="2014"/>
      <c r="Q485" s="35"/>
      <c r="R485" s="18"/>
      <c r="S485" s="750">
        <f t="shared" si="72"/>
        <v>0</v>
      </c>
      <c r="T485" s="749">
        <f t="shared" si="71"/>
        <v>0</v>
      </c>
      <c r="U485" s="112"/>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4"/>
      <c r="BB485" s="14"/>
      <c r="BC485" s="14"/>
      <c r="BD485" s="14"/>
      <c r="BE485" s="14"/>
      <c r="BF485" s="14"/>
      <c r="BG485" s="14"/>
      <c r="BH485" s="14"/>
      <c r="BI485" s="14"/>
      <c r="BJ485" s="14"/>
      <c r="BK485" s="14"/>
      <c r="BL485" s="14"/>
      <c r="BM485" s="14"/>
      <c r="BN485" s="14"/>
      <c r="BO485" s="14"/>
      <c r="BP485" s="14"/>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c r="CO485" s="14"/>
      <c r="CP485" s="14"/>
      <c r="CQ485" s="14"/>
      <c r="CR485" s="14"/>
      <c r="CS485" s="14"/>
      <c r="CT485" s="14"/>
      <c r="CU485" s="14"/>
      <c r="CV485" s="14"/>
      <c r="CW485" s="14"/>
      <c r="CX485" s="14"/>
      <c r="CY485" s="14"/>
      <c r="CZ485" s="14"/>
      <c r="DA485" s="14"/>
      <c r="DB485" s="14"/>
      <c r="DC485" s="14"/>
      <c r="DD485" s="14"/>
      <c r="DE485" s="14"/>
      <c r="DF485" s="14"/>
      <c r="DG485" s="14"/>
      <c r="DH485" s="14"/>
      <c r="DI485" s="14"/>
      <c r="DJ485" s="14"/>
      <c r="DK485" s="14"/>
      <c r="DL485" s="14"/>
      <c r="DM485" s="14"/>
      <c r="DN485" s="14"/>
      <c r="DO485" s="14"/>
      <c r="DP485" s="14"/>
      <c r="DQ485" s="14"/>
      <c r="DR485" s="14"/>
      <c r="DS485" s="14"/>
      <c r="DT485" s="14"/>
      <c r="DU485" s="14"/>
      <c r="DV485" s="14"/>
      <c r="DW485" s="14"/>
      <c r="DX485" s="14"/>
      <c r="DY485" s="14"/>
      <c r="DZ485" s="14"/>
      <c r="EA485" s="14"/>
      <c r="EB485" s="14"/>
      <c r="EC485" s="14"/>
      <c r="ED485" s="14"/>
      <c r="EE485" s="14"/>
      <c r="EF485" s="14"/>
      <c r="EG485" s="14"/>
      <c r="EH485" s="14"/>
      <c r="EI485" s="14"/>
      <c r="EJ485" s="14"/>
      <c r="EK485" s="14"/>
      <c r="EL485" s="14"/>
    </row>
    <row r="486" spans="1:142" x14ac:dyDescent="0.2">
      <c r="A486" s="8"/>
      <c r="B486" s="87"/>
      <c r="C486" s="213"/>
      <c r="D486" s="213"/>
      <c r="E486" s="213"/>
      <c r="F486" s="213"/>
      <c r="G486" s="213"/>
      <c r="H486" s="213"/>
      <c r="I486" s="213"/>
      <c r="J486" s="213"/>
      <c r="K486" s="213"/>
      <c r="L486" s="213"/>
      <c r="M486" s="213"/>
      <c r="N486" s="213"/>
      <c r="O486" s="213"/>
      <c r="P486" s="85"/>
      <c r="Q486" s="8"/>
      <c r="R486" s="60"/>
      <c r="S486" s="60"/>
      <c r="T486" s="60"/>
      <c r="U486" s="60"/>
      <c r="V486" s="60"/>
      <c r="W486" s="60"/>
      <c r="X486" s="60"/>
      <c r="Y486" s="60"/>
      <c r="Z486" s="60"/>
      <c r="AA486" s="60"/>
      <c r="AB486" s="60"/>
      <c r="AC486" s="60"/>
      <c r="AD486" s="60"/>
      <c r="AE486" s="60"/>
      <c r="AF486" s="60"/>
      <c r="AG486" s="60"/>
      <c r="AH486" s="60"/>
      <c r="AI486" s="60"/>
      <c r="AJ486" s="60"/>
      <c r="AK486" s="60"/>
      <c r="AL486" s="60"/>
      <c r="AM486" s="60"/>
      <c r="AN486" s="60"/>
      <c r="AO486" s="60"/>
      <c r="AP486" s="60"/>
      <c r="AQ486" s="60"/>
      <c r="AR486" s="60"/>
      <c r="AS486" s="60"/>
      <c r="AT486" s="60"/>
      <c r="AU486" s="60"/>
      <c r="AV486" s="60"/>
      <c r="AW486" s="60"/>
      <c r="AX486" s="60"/>
      <c r="AY486" s="60"/>
      <c r="AZ486" s="60"/>
      <c r="BA486" s="60"/>
      <c r="BB486" s="60"/>
      <c r="BC486" s="60"/>
      <c r="BD486" s="60"/>
      <c r="BE486" s="60"/>
      <c r="BF486" s="14"/>
      <c r="BG486" s="14"/>
      <c r="BH486" s="14"/>
      <c r="BI486" s="14"/>
      <c r="BJ486" s="14"/>
      <c r="BK486" s="14"/>
      <c r="BL486" s="14"/>
      <c r="BM486" s="14"/>
      <c r="BN486" s="14"/>
      <c r="BO486" s="14"/>
      <c r="BP486" s="14"/>
      <c r="BQ486" s="14"/>
      <c r="BR486" s="14"/>
      <c r="BS486" s="14"/>
      <c r="BT486" s="14"/>
      <c r="BU486" s="14"/>
      <c r="BV486" s="14"/>
      <c r="BW486" s="14"/>
      <c r="BX486" s="14"/>
      <c r="BY486" s="14"/>
      <c r="BZ486" s="14"/>
      <c r="CA486" s="14"/>
      <c r="CB486" s="14"/>
      <c r="CC486" s="14"/>
      <c r="CD486" s="14"/>
      <c r="CE486" s="14"/>
      <c r="CF486" s="14"/>
      <c r="CG486" s="14"/>
      <c r="CH486" s="14"/>
      <c r="CI486" s="14"/>
      <c r="CJ486" s="14"/>
      <c r="CK486" s="14"/>
      <c r="CL486" s="14"/>
      <c r="CM486" s="14"/>
      <c r="CN486" s="14"/>
      <c r="CO486" s="14"/>
      <c r="CP486" s="14"/>
      <c r="CQ486" s="14"/>
      <c r="CR486" s="14"/>
      <c r="CS486" s="14"/>
      <c r="CT486" s="14"/>
      <c r="CU486" s="14"/>
      <c r="CV486" s="14"/>
      <c r="CW486" s="14"/>
      <c r="CX486" s="14"/>
      <c r="CY486" s="14"/>
      <c r="CZ486" s="14"/>
      <c r="DA486" s="14"/>
      <c r="DB486" s="14"/>
      <c r="DC486" s="14"/>
      <c r="DD486" s="14"/>
      <c r="DE486" s="14"/>
      <c r="DF486" s="14"/>
      <c r="DG486" s="14"/>
      <c r="DH486" s="14"/>
      <c r="DI486" s="14"/>
      <c r="DJ486" s="14"/>
      <c r="DK486" s="14"/>
      <c r="DL486" s="14"/>
      <c r="DM486" s="14"/>
      <c r="DN486" s="14"/>
      <c r="DO486" s="14"/>
      <c r="DP486" s="14"/>
      <c r="DQ486" s="14"/>
      <c r="DR486" s="14"/>
      <c r="DS486" s="14"/>
      <c r="DT486" s="14"/>
      <c r="DU486" s="14"/>
      <c r="DV486" s="14"/>
      <c r="DW486" s="14"/>
      <c r="DX486" s="14"/>
      <c r="DY486" s="14"/>
      <c r="DZ486" s="14"/>
      <c r="EA486" s="14"/>
      <c r="EB486" s="14"/>
      <c r="EC486" s="14"/>
      <c r="ED486" s="14"/>
      <c r="EE486" s="14"/>
      <c r="EF486" s="14"/>
      <c r="EG486" s="14"/>
      <c r="EH486" s="14"/>
      <c r="EI486" s="14"/>
      <c r="EJ486" s="14"/>
      <c r="EK486" s="14"/>
      <c r="EL486" s="14"/>
    </row>
    <row r="487" spans="1:142" ht="30.75" customHeight="1" x14ac:dyDescent="0.2">
      <c r="A487" s="8"/>
      <c r="B487" s="1687" t="s">
        <v>1355</v>
      </c>
      <c r="C487" s="1534"/>
      <c r="D487" s="1534"/>
      <c r="E487" s="1534"/>
      <c r="F487" s="1534"/>
      <c r="G487" s="1534"/>
      <c r="H487" s="1534"/>
      <c r="I487" s="1534"/>
      <c r="J487" s="1534"/>
      <c r="K487" s="1534"/>
      <c r="L487" s="1534"/>
      <c r="M487" s="1534"/>
      <c r="N487" s="1534"/>
      <c r="O487" s="1534"/>
      <c r="P487" s="1534"/>
      <c r="Q487" s="8"/>
      <c r="R487" s="60"/>
      <c r="S487" s="60"/>
      <c r="T487" s="60"/>
      <c r="U487" s="60"/>
      <c r="V487" s="60"/>
      <c r="W487" s="60"/>
      <c r="X487" s="60"/>
      <c r="Y487" s="60"/>
      <c r="Z487" s="60"/>
      <c r="AA487" s="60"/>
      <c r="AB487" s="60"/>
      <c r="AC487" s="60"/>
      <c r="AD487" s="60"/>
      <c r="AE487" s="60"/>
      <c r="AF487" s="60"/>
      <c r="AG487" s="60"/>
      <c r="AH487" s="60"/>
      <c r="AI487" s="60"/>
      <c r="AJ487" s="60"/>
      <c r="AK487" s="60"/>
      <c r="AL487" s="60"/>
      <c r="AM487" s="60"/>
      <c r="AN487" s="60"/>
      <c r="AO487" s="60"/>
      <c r="AP487" s="60"/>
      <c r="AQ487" s="60"/>
      <c r="AR487" s="60"/>
      <c r="AS487" s="60"/>
      <c r="AT487" s="60"/>
      <c r="AU487" s="60"/>
      <c r="AV487" s="60"/>
      <c r="AW487" s="60"/>
      <c r="AX487" s="60"/>
      <c r="AY487" s="60"/>
      <c r="AZ487" s="60"/>
      <c r="BA487" s="60"/>
      <c r="BB487" s="60"/>
      <c r="BC487" s="60"/>
      <c r="BD487" s="60"/>
      <c r="BE487" s="60"/>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c r="CR487" s="14"/>
      <c r="CS487" s="14"/>
      <c r="CT487" s="14"/>
      <c r="CU487" s="14"/>
      <c r="CV487" s="14"/>
      <c r="CW487" s="14"/>
      <c r="CX487" s="14"/>
      <c r="CY487" s="14"/>
      <c r="CZ487" s="14"/>
      <c r="DA487" s="14"/>
      <c r="DB487" s="14"/>
      <c r="DC487" s="14"/>
      <c r="DD487" s="14"/>
      <c r="DE487" s="14"/>
      <c r="DF487" s="14"/>
      <c r="DG487" s="14"/>
      <c r="DH487" s="14"/>
      <c r="DI487" s="14"/>
      <c r="DJ487" s="14"/>
      <c r="DK487" s="14"/>
      <c r="DL487" s="14"/>
      <c r="DM487" s="14"/>
      <c r="DN487" s="14"/>
      <c r="DO487" s="14"/>
      <c r="DP487" s="14"/>
      <c r="DQ487" s="14"/>
      <c r="DR487" s="14"/>
      <c r="DS487" s="14"/>
      <c r="DT487" s="14"/>
      <c r="DU487" s="14"/>
      <c r="DV487" s="14"/>
      <c r="DW487" s="14"/>
      <c r="DX487" s="14"/>
      <c r="DY487" s="14"/>
      <c r="DZ487" s="14"/>
      <c r="EA487" s="14"/>
      <c r="EB487" s="14"/>
      <c r="EC487" s="14"/>
      <c r="ED487" s="14"/>
      <c r="EE487" s="14"/>
      <c r="EF487" s="14"/>
      <c r="EG487" s="14"/>
      <c r="EH487" s="14"/>
      <c r="EI487" s="14"/>
      <c r="EJ487" s="14"/>
      <c r="EK487" s="14"/>
      <c r="EL487" s="14"/>
    </row>
    <row r="488" spans="1:142" x14ac:dyDescent="0.2">
      <c r="A488" s="8"/>
      <c r="B488" s="2010"/>
      <c r="C488" s="2011"/>
      <c r="D488" s="2011"/>
      <c r="E488" s="2011"/>
      <c r="F488" s="2011"/>
      <c r="G488" s="2011"/>
      <c r="H488" s="2011"/>
      <c r="I488" s="2011"/>
      <c r="J488" s="2011"/>
      <c r="K488" s="2011"/>
      <c r="L488" s="2011"/>
      <c r="M488" s="2011"/>
      <c r="N488" s="2011"/>
      <c r="O488" s="2011"/>
      <c r="P488" s="2012"/>
      <c r="Q488" s="8"/>
      <c r="R488" s="60"/>
      <c r="S488" s="60"/>
      <c r="T488" s="60"/>
      <c r="U488" s="60"/>
      <c r="V488" s="60"/>
      <c r="W488" s="60"/>
      <c r="X488" s="60"/>
      <c r="Y488" s="60"/>
      <c r="Z488" s="60"/>
      <c r="AA488" s="60"/>
      <c r="AB488" s="60"/>
      <c r="AC488" s="60"/>
      <c r="AD488" s="60"/>
      <c r="AE488" s="60"/>
      <c r="AF488" s="60"/>
      <c r="AG488" s="60"/>
      <c r="AH488" s="60"/>
      <c r="AI488" s="60"/>
      <c r="AJ488" s="60"/>
      <c r="AK488" s="60"/>
      <c r="AL488" s="60"/>
      <c r="AM488" s="60"/>
      <c r="AN488" s="60"/>
      <c r="AO488" s="60"/>
      <c r="AP488" s="60"/>
      <c r="AQ488" s="60"/>
      <c r="AR488" s="60"/>
      <c r="AS488" s="60"/>
      <c r="AT488" s="60"/>
      <c r="AU488" s="60"/>
      <c r="AV488" s="60"/>
      <c r="AW488" s="60"/>
      <c r="AX488" s="60"/>
      <c r="AY488" s="60"/>
      <c r="AZ488" s="60"/>
      <c r="BA488" s="60"/>
      <c r="BB488" s="60"/>
      <c r="BC488" s="60"/>
      <c r="BD488" s="60"/>
      <c r="BE488" s="60"/>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c r="CR488" s="14"/>
      <c r="CS488" s="14"/>
      <c r="CT488" s="14"/>
      <c r="CU488" s="14"/>
      <c r="CV488" s="14"/>
      <c r="CW488" s="14"/>
      <c r="CX488" s="14"/>
      <c r="CY488" s="14"/>
      <c r="CZ488" s="14"/>
      <c r="DA488" s="14"/>
      <c r="DB488" s="14"/>
      <c r="DC488" s="14"/>
      <c r="DD488" s="14"/>
      <c r="DE488" s="14"/>
      <c r="DF488" s="14"/>
      <c r="DG488" s="14"/>
      <c r="DH488" s="14"/>
      <c r="DI488" s="14"/>
      <c r="DJ488" s="14"/>
      <c r="DK488" s="14"/>
      <c r="DL488" s="14"/>
      <c r="DM488" s="14"/>
      <c r="DN488" s="14"/>
      <c r="DO488" s="14"/>
      <c r="DP488" s="14"/>
      <c r="DQ488" s="14"/>
      <c r="DR488" s="14"/>
      <c r="DS488" s="14"/>
      <c r="DT488" s="14"/>
      <c r="DU488" s="14"/>
      <c r="DV488" s="14"/>
      <c r="DW488" s="14"/>
      <c r="DX488" s="14"/>
      <c r="DY488" s="14"/>
      <c r="DZ488" s="14"/>
      <c r="EA488" s="14"/>
      <c r="EB488" s="14"/>
      <c r="EC488" s="14"/>
      <c r="ED488" s="14"/>
      <c r="EE488" s="14"/>
      <c r="EF488" s="14"/>
      <c r="EG488" s="14"/>
      <c r="EH488" s="14"/>
      <c r="EI488" s="14"/>
      <c r="EJ488" s="14"/>
      <c r="EK488" s="14"/>
      <c r="EL488" s="14"/>
    </row>
    <row r="489" spans="1:142" x14ac:dyDescent="0.2">
      <c r="A489" s="8"/>
      <c r="B489" s="364" t="s">
        <v>1189</v>
      </c>
      <c r="C489" s="2024" t="str">
        <f>IF('Start here'!A8="","",'Start here'!A8)</f>
        <v/>
      </c>
      <c r="D489" s="2025"/>
      <c r="E489" s="2026"/>
      <c r="F489" s="1685" t="str">
        <f>IF(C489="","Enter date of injury on worksheet: Start here.","")</f>
        <v>Enter date of injury on worksheet: Start here.</v>
      </c>
      <c r="G489" s="1686"/>
      <c r="H489" s="1686"/>
      <c r="I489" s="1686"/>
      <c r="J489" s="1686"/>
      <c r="K489" s="1686"/>
      <c r="L489" s="1686"/>
      <c r="M489" s="1686"/>
      <c r="N489" s="1686"/>
      <c r="O489" s="1686"/>
      <c r="P489" s="2027"/>
      <c r="Q489" s="8"/>
      <c r="R489" s="60"/>
      <c r="S489" s="60"/>
      <c r="T489" s="60"/>
      <c r="U489" s="60"/>
      <c r="V489" s="60"/>
      <c r="W489" s="60"/>
      <c r="X489" s="60"/>
      <c r="Y489" s="60"/>
      <c r="Z489" s="60"/>
      <c r="AA489" s="60"/>
      <c r="AB489" s="60"/>
      <c r="AC489" s="60"/>
      <c r="AD489" s="60"/>
      <c r="AE489" s="60"/>
      <c r="AF489" s="60"/>
      <c r="AG489" s="60"/>
      <c r="AH489" s="60"/>
      <c r="AI489" s="60"/>
      <c r="AJ489" s="60"/>
      <c r="AK489" s="60"/>
      <c r="AL489" s="60"/>
      <c r="AM489" s="60"/>
      <c r="AN489" s="60"/>
      <c r="AO489" s="60"/>
      <c r="AP489" s="60"/>
      <c r="AQ489" s="60"/>
      <c r="AR489" s="60"/>
      <c r="AS489" s="60"/>
      <c r="AT489" s="60"/>
      <c r="AU489" s="60"/>
      <c r="AV489" s="60"/>
      <c r="AW489" s="60"/>
      <c r="AX489" s="60"/>
      <c r="AY489" s="60"/>
      <c r="AZ489" s="60"/>
      <c r="BA489" s="60"/>
      <c r="BB489" s="60"/>
      <c r="BC489" s="60"/>
      <c r="BD489" s="60"/>
      <c r="BE489" s="60"/>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c r="CR489" s="14"/>
      <c r="CS489" s="14"/>
      <c r="CT489" s="14"/>
      <c r="CU489" s="14"/>
      <c r="CV489" s="14"/>
      <c r="CW489" s="14"/>
      <c r="CX489" s="14"/>
      <c r="CY489" s="14"/>
      <c r="CZ489" s="14"/>
      <c r="DA489" s="14"/>
      <c r="DB489" s="14"/>
      <c r="DC489" s="14"/>
      <c r="DD489" s="14"/>
      <c r="DE489" s="14"/>
      <c r="DF489" s="14"/>
      <c r="DG489" s="14"/>
      <c r="DH489" s="14"/>
      <c r="DI489" s="14"/>
      <c r="DJ489" s="14"/>
      <c r="DK489" s="14"/>
      <c r="DL489" s="14"/>
      <c r="DM489" s="14"/>
      <c r="DN489" s="14"/>
      <c r="DO489" s="14"/>
      <c r="DP489" s="14"/>
      <c r="DQ489" s="14"/>
      <c r="DR489" s="14"/>
      <c r="DS489" s="14"/>
      <c r="DT489" s="14"/>
      <c r="DU489" s="14"/>
      <c r="DV489" s="14"/>
      <c r="DW489" s="14"/>
      <c r="DX489" s="14"/>
      <c r="DY489" s="14"/>
      <c r="DZ489" s="14"/>
      <c r="EA489" s="14"/>
      <c r="EB489" s="14"/>
      <c r="EC489" s="14"/>
      <c r="ED489" s="14"/>
      <c r="EE489" s="14"/>
      <c r="EF489" s="14"/>
      <c r="EG489" s="14"/>
      <c r="EH489" s="14"/>
      <c r="EI489" s="14"/>
      <c r="EJ489" s="14"/>
      <c r="EK489" s="14"/>
      <c r="EL489" s="14"/>
    </row>
    <row r="490" spans="1:142" x14ac:dyDescent="0.2">
      <c r="A490" s="8"/>
      <c r="B490" s="2022"/>
      <c r="C490" s="1900"/>
      <c r="D490" s="1900"/>
      <c r="E490" s="1900"/>
      <c r="F490" s="1900"/>
      <c r="G490" s="1900"/>
      <c r="H490" s="1900"/>
      <c r="I490" s="1900"/>
      <c r="J490" s="1900"/>
      <c r="K490" s="1900"/>
      <c r="L490" s="1900"/>
      <c r="M490" s="1900"/>
      <c r="N490" s="1900"/>
      <c r="O490" s="1900"/>
      <c r="P490" s="2023"/>
      <c r="Q490" s="8"/>
      <c r="R490" s="60"/>
      <c r="S490" s="60"/>
      <c r="T490" s="60"/>
      <c r="U490" s="60"/>
      <c r="V490" s="60"/>
      <c r="W490" s="60"/>
      <c r="X490" s="60"/>
      <c r="Y490" s="60"/>
      <c r="Z490" s="60"/>
      <c r="AA490" s="60"/>
      <c r="AB490" s="60"/>
      <c r="AC490" s="60"/>
      <c r="AD490" s="60"/>
      <c r="AE490" s="60"/>
      <c r="AF490" s="60"/>
      <c r="AG490" s="60"/>
      <c r="AH490" s="60"/>
      <c r="AI490" s="60"/>
      <c r="AJ490" s="60"/>
      <c r="AK490" s="60"/>
      <c r="AL490" s="60"/>
      <c r="AM490" s="60"/>
      <c r="AN490" s="60"/>
      <c r="AO490" s="60"/>
      <c r="AP490" s="60"/>
      <c r="AQ490" s="60"/>
      <c r="AR490" s="60"/>
      <c r="AS490" s="60"/>
      <c r="AT490" s="60"/>
      <c r="AU490" s="60"/>
      <c r="AV490" s="60"/>
      <c r="AW490" s="60"/>
      <c r="AX490" s="60"/>
      <c r="AY490" s="60"/>
      <c r="AZ490" s="60"/>
      <c r="BA490" s="60"/>
      <c r="BB490" s="60"/>
      <c r="BC490" s="60"/>
      <c r="BD490" s="60"/>
      <c r="BE490" s="60"/>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c r="CR490" s="14"/>
      <c r="CS490" s="14"/>
      <c r="CT490" s="14"/>
      <c r="CU490" s="14"/>
      <c r="CV490" s="14"/>
      <c r="CW490" s="14"/>
      <c r="CX490" s="14"/>
      <c r="CY490" s="14"/>
      <c r="CZ490" s="14"/>
      <c r="DA490" s="14"/>
      <c r="DB490" s="14"/>
      <c r="DC490" s="14"/>
      <c r="DD490" s="14"/>
      <c r="DE490" s="14"/>
      <c r="DF490" s="14"/>
      <c r="DG490" s="14"/>
      <c r="DH490" s="14"/>
      <c r="DI490" s="14"/>
      <c r="DJ490" s="14"/>
      <c r="DK490" s="14"/>
      <c r="DL490" s="14"/>
      <c r="DM490" s="14"/>
      <c r="DN490" s="14"/>
      <c r="DO490" s="14"/>
      <c r="DP490" s="14"/>
      <c r="DQ490" s="14"/>
      <c r="DR490" s="14"/>
      <c r="DS490" s="14"/>
      <c r="DT490" s="14"/>
      <c r="DU490" s="14"/>
      <c r="DV490" s="14"/>
      <c r="DW490" s="14"/>
      <c r="DX490" s="14"/>
      <c r="DY490" s="14"/>
      <c r="DZ490" s="14"/>
      <c r="EA490" s="14"/>
      <c r="EB490" s="14"/>
      <c r="EC490" s="14"/>
      <c r="ED490" s="14"/>
      <c r="EE490" s="14"/>
      <c r="EF490" s="14"/>
      <c r="EG490" s="14"/>
      <c r="EH490" s="14"/>
      <c r="EI490" s="14"/>
      <c r="EJ490" s="14"/>
      <c r="EK490" s="14"/>
      <c r="EL490" s="14"/>
    </row>
    <row r="491" spans="1:142" ht="38.25" customHeight="1" x14ac:dyDescent="0.2">
      <c r="A491" s="8"/>
      <c r="B491" s="1830" t="s">
        <v>107</v>
      </c>
      <c r="C491" s="1830"/>
      <c r="D491" s="1830"/>
      <c r="E491" s="1830"/>
      <c r="F491" s="1830"/>
      <c r="G491" s="1830"/>
      <c r="H491" s="1830"/>
      <c r="I491" s="1830"/>
      <c r="J491" s="1830"/>
      <c r="K491" s="1830"/>
      <c r="L491" s="1830"/>
      <c r="M491" s="1830"/>
      <c r="N491" s="1830"/>
      <c r="O491" s="1830"/>
      <c r="P491" s="1830"/>
      <c r="Q491" s="8"/>
      <c r="R491" s="885">
        <f>IF(OR(V366&gt;0,V470&gt;0),1,0)</f>
        <v>0</v>
      </c>
      <c r="S491" s="60"/>
      <c r="T491" s="60"/>
      <c r="U491" s="60"/>
      <c r="V491" s="60"/>
      <c r="W491" s="60"/>
      <c r="X491" s="60"/>
      <c r="Y491" s="60"/>
      <c r="Z491" s="60"/>
      <c r="AA491" s="60"/>
      <c r="AB491" s="60"/>
      <c r="AC491" s="60"/>
      <c r="AD491" s="60"/>
      <c r="AE491" s="60"/>
      <c r="AF491" s="60"/>
      <c r="AG491" s="60"/>
      <c r="AH491" s="60"/>
      <c r="AI491" s="60"/>
      <c r="AJ491" s="60"/>
      <c r="AK491" s="60"/>
      <c r="AL491" s="60"/>
      <c r="AM491" s="60"/>
      <c r="AN491" s="60"/>
      <c r="AO491" s="60"/>
      <c r="AP491" s="60"/>
      <c r="AQ491" s="60"/>
      <c r="AR491" s="60"/>
      <c r="AS491" s="60"/>
      <c r="AT491" s="60"/>
      <c r="AU491" s="60"/>
      <c r="AV491" s="60"/>
      <c r="AW491" s="60"/>
      <c r="AX491" s="60"/>
      <c r="AY491" s="60"/>
      <c r="AZ491" s="60"/>
      <c r="BA491" s="60"/>
      <c r="BB491" s="60"/>
      <c r="BC491" s="60"/>
      <c r="BD491" s="60"/>
      <c r="BE491" s="60"/>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c r="CR491" s="14"/>
      <c r="CS491" s="14"/>
      <c r="CT491" s="14"/>
      <c r="CU491" s="14"/>
      <c r="CV491" s="14"/>
      <c r="CW491" s="14"/>
      <c r="CX491" s="14"/>
      <c r="CY491" s="14"/>
      <c r="CZ491" s="14"/>
      <c r="DA491" s="14"/>
      <c r="DB491" s="14"/>
      <c r="DC491" s="14"/>
      <c r="DD491" s="14"/>
      <c r="DE491" s="14"/>
      <c r="DF491" s="14"/>
      <c r="DG491" s="14"/>
      <c r="DH491" s="14"/>
      <c r="DI491" s="14"/>
      <c r="DJ491" s="14"/>
      <c r="DK491" s="14"/>
      <c r="DL491" s="14"/>
      <c r="DM491" s="14"/>
      <c r="DN491" s="14"/>
      <c r="DO491" s="14"/>
      <c r="DP491" s="14"/>
      <c r="DQ491" s="14"/>
      <c r="DR491" s="14"/>
      <c r="DS491" s="14"/>
      <c r="DT491" s="14"/>
      <c r="DU491" s="14"/>
      <c r="DV491" s="14"/>
      <c r="DW491" s="14"/>
      <c r="DX491" s="14"/>
      <c r="DY491" s="14"/>
      <c r="DZ491" s="14"/>
      <c r="EA491" s="14"/>
      <c r="EB491" s="14"/>
      <c r="EC491" s="14"/>
      <c r="ED491" s="14"/>
      <c r="EE491" s="14"/>
      <c r="EF491" s="14"/>
      <c r="EG491" s="14"/>
      <c r="EH491" s="14"/>
      <c r="EI491" s="14"/>
      <c r="EJ491" s="14"/>
      <c r="EK491" s="14"/>
      <c r="EL491" s="14"/>
    </row>
    <row r="492" spans="1:142" ht="27" customHeight="1" x14ac:dyDescent="0.2">
      <c r="A492" s="8"/>
      <c r="B492" s="353"/>
      <c r="C492" s="1848" t="s">
        <v>1796</v>
      </c>
      <c r="D492" s="1848"/>
      <c r="E492" s="44"/>
      <c r="F492" s="2030" t="s">
        <v>1356</v>
      </c>
      <c r="G492" s="1848"/>
      <c r="H492" s="1848" t="s">
        <v>365</v>
      </c>
      <c r="I492" s="1848"/>
      <c r="J492" s="1848"/>
      <c r="K492" s="44"/>
      <c r="L492" s="2030" t="s">
        <v>1357</v>
      </c>
      <c r="M492" s="1848"/>
      <c r="N492" s="44"/>
      <c r="O492" s="1848" t="s">
        <v>1192</v>
      </c>
      <c r="P492" s="1848"/>
      <c r="Q492" s="8"/>
      <c r="R492" s="893" t="s">
        <v>2197</v>
      </c>
      <c r="S492" s="60"/>
      <c r="U492" s="60"/>
      <c r="V492" s="60"/>
      <c r="W492" s="60"/>
      <c r="X492" s="60"/>
      <c r="Y492" s="60"/>
      <c r="Z492" s="60"/>
      <c r="AA492" s="60"/>
      <c r="AB492" s="60"/>
      <c r="AC492" s="60"/>
      <c r="AD492" s="60"/>
      <c r="AE492" s="60"/>
      <c r="AF492" s="60"/>
      <c r="AG492" s="60"/>
      <c r="AH492" s="60"/>
      <c r="AI492" s="60"/>
      <c r="AJ492" s="60"/>
      <c r="AK492" s="60"/>
      <c r="AL492" s="60"/>
      <c r="AM492" s="60"/>
      <c r="AN492" s="60"/>
      <c r="AO492" s="60"/>
      <c r="AP492" s="60"/>
      <c r="AQ492" s="60"/>
      <c r="AR492" s="60"/>
      <c r="AS492" s="60"/>
      <c r="AT492" s="60"/>
      <c r="AU492" s="60"/>
      <c r="AV492" s="60"/>
      <c r="AW492" s="60"/>
      <c r="AX492" s="60"/>
      <c r="AY492" s="60"/>
      <c r="AZ492" s="60"/>
      <c r="BA492" s="60"/>
      <c r="BB492" s="60"/>
      <c r="BC492" s="60"/>
      <c r="BD492" s="60"/>
      <c r="BE492" s="60"/>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c r="CO492" s="14"/>
      <c r="CP492" s="14"/>
      <c r="CQ492" s="14"/>
      <c r="CR492" s="14"/>
      <c r="CS492" s="14"/>
      <c r="CT492" s="14"/>
      <c r="CU492" s="14"/>
      <c r="CV492" s="14"/>
      <c r="CW492" s="14"/>
      <c r="CX492" s="14"/>
      <c r="CY492" s="14"/>
      <c r="CZ492" s="14"/>
      <c r="DA492" s="14"/>
      <c r="DB492" s="14"/>
      <c r="DC492" s="14"/>
      <c r="DD492" s="14"/>
      <c r="DE492" s="14"/>
      <c r="DF492" s="14"/>
      <c r="DG492" s="14"/>
      <c r="DH492" s="14"/>
      <c r="DI492" s="14"/>
      <c r="DJ492" s="14"/>
      <c r="DK492" s="14"/>
      <c r="DL492" s="14"/>
      <c r="DM492" s="14"/>
      <c r="DN492" s="14"/>
      <c r="DO492" s="14"/>
      <c r="DP492" s="14"/>
      <c r="DQ492" s="14"/>
      <c r="DR492" s="14"/>
      <c r="DS492" s="14"/>
      <c r="DT492" s="14"/>
      <c r="DU492" s="14"/>
      <c r="DV492" s="14"/>
      <c r="DW492" s="14"/>
      <c r="DX492" s="14"/>
      <c r="DY492" s="14"/>
      <c r="DZ492" s="14"/>
      <c r="EA492" s="14"/>
      <c r="EB492" s="14"/>
      <c r="EC492" s="14"/>
      <c r="ED492" s="14"/>
      <c r="EE492" s="14"/>
      <c r="EF492" s="14"/>
      <c r="EG492" s="14"/>
      <c r="EH492" s="14"/>
      <c r="EI492" s="14"/>
      <c r="EJ492" s="14"/>
      <c r="EK492" s="14"/>
      <c r="EL492" s="14"/>
    </row>
    <row r="493" spans="1:142" ht="18" customHeight="1" x14ac:dyDescent="0.2">
      <c r="A493" s="8"/>
      <c r="B493" s="353" t="s">
        <v>377</v>
      </c>
      <c r="C493" s="1849">
        <f>P33</f>
        <v>0</v>
      </c>
      <c r="D493" s="1850"/>
      <c r="E493" s="44" t="s">
        <v>1791</v>
      </c>
      <c r="F493" s="44">
        <v>18</v>
      </c>
      <c r="G493" s="44" t="s">
        <v>1793</v>
      </c>
      <c r="H493" s="2015">
        <f>C493*F493</f>
        <v>0</v>
      </c>
      <c r="I493" s="2015"/>
      <c r="J493" s="2015"/>
      <c r="K493" s="44" t="s">
        <v>1791</v>
      </c>
      <c r="L493" s="2017" t="e">
        <f>'Dol Per Deg'!$H$11</f>
        <v>#N/A</v>
      </c>
      <c r="M493" s="1850"/>
      <c r="N493" s="44" t="s">
        <v>1793</v>
      </c>
      <c r="O493" s="2016" t="str">
        <f>IF(C489&gt;=R1,"DOI&gt;2004",IF(C493=0,0,IF(AND($R$491=1,C493&gt;0),"Converted",H493*L493)))</f>
        <v>DOI&gt;2004</v>
      </c>
      <c r="P493" s="2016"/>
      <c r="Q493" s="8"/>
      <c r="R493" s="452">
        <f t="shared" ref="R493:R498" si="73">IF(O493="Converted",0,C493)</f>
        <v>0</v>
      </c>
      <c r="S493" s="60"/>
      <c r="T493" s="60"/>
      <c r="U493" s="60"/>
      <c r="V493" s="60"/>
      <c r="W493" s="60"/>
      <c r="X493" s="60"/>
      <c r="Y493" s="60"/>
      <c r="Z493" s="60"/>
      <c r="AA493" s="60"/>
      <c r="AB493" s="60"/>
      <c r="AC493" s="60"/>
      <c r="AD493" s="60"/>
      <c r="AE493" s="60"/>
      <c r="AF493" s="60"/>
      <c r="AG493" s="60"/>
      <c r="AH493" s="60"/>
      <c r="AI493" s="60"/>
      <c r="AJ493" s="60"/>
      <c r="AK493" s="60"/>
      <c r="AL493" s="60"/>
      <c r="AM493" s="60"/>
      <c r="AN493" s="60"/>
      <c r="AO493" s="60"/>
      <c r="AP493" s="60"/>
      <c r="AQ493" s="60"/>
      <c r="AR493" s="60"/>
      <c r="AS493" s="60"/>
      <c r="AT493" s="60"/>
      <c r="AU493" s="60"/>
      <c r="AV493" s="60"/>
      <c r="AW493" s="60"/>
      <c r="AX493" s="60"/>
      <c r="AY493" s="60"/>
      <c r="AZ493" s="60"/>
      <c r="BA493" s="60"/>
      <c r="BB493" s="60"/>
      <c r="BC493" s="60"/>
      <c r="BD493" s="60"/>
      <c r="BE493" s="60"/>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c r="CR493" s="14"/>
      <c r="CS493" s="14"/>
      <c r="CT493" s="14"/>
      <c r="CU493" s="14"/>
      <c r="CV493" s="14"/>
      <c r="CW493" s="14"/>
      <c r="CX493" s="14"/>
      <c r="CY493" s="14"/>
      <c r="CZ493" s="14"/>
      <c r="DA493" s="14"/>
      <c r="DB493" s="14"/>
      <c r="DC493" s="14"/>
      <c r="DD493" s="14"/>
      <c r="DE493" s="14"/>
      <c r="DF493" s="14"/>
      <c r="DG493" s="14"/>
      <c r="DH493" s="14"/>
      <c r="DI493" s="14"/>
      <c r="DJ493" s="14"/>
      <c r="DK493" s="14"/>
      <c r="DL493" s="14"/>
      <c r="DM493" s="14"/>
      <c r="DN493" s="14"/>
      <c r="DO493" s="14"/>
      <c r="DP493" s="14"/>
      <c r="DQ493" s="14"/>
      <c r="DR493" s="14"/>
      <c r="DS493" s="14"/>
      <c r="DT493" s="14"/>
      <c r="DU493" s="14"/>
      <c r="DV493" s="14"/>
      <c r="DW493" s="14"/>
      <c r="DX493" s="14"/>
      <c r="DY493" s="14"/>
      <c r="DZ493" s="14"/>
      <c r="EA493" s="14"/>
      <c r="EB493" s="14"/>
      <c r="EC493" s="14"/>
      <c r="ED493" s="14"/>
      <c r="EE493" s="14"/>
      <c r="EF493" s="14"/>
      <c r="EG493" s="14"/>
      <c r="EH493" s="14"/>
      <c r="EI493" s="14"/>
      <c r="EJ493" s="14"/>
      <c r="EK493" s="14"/>
      <c r="EL493" s="14"/>
    </row>
    <row r="494" spans="1:142" ht="18" customHeight="1" x14ac:dyDescent="0.2">
      <c r="A494" s="8"/>
      <c r="B494" s="353" t="s">
        <v>876</v>
      </c>
      <c r="C494" s="1849">
        <f>P72</f>
        <v>0</v>
      </c>
      <c r="D494" s="1850"/>
      <c r="E494" s="44" t="s">
        <v>1791</v>
      </c>
      <c r="F494" s="44">
        <v>4</v>
      </c>
      <c r="G494" s="44" t="s">
        <v>1793</v>
      </c>
      <c r="H494" s="2015">
        <f t="shared" ref="H494:H499" si="74">C494*F494</f>
        <v>0</v>
      </c>
      <c r="I494" s="2015"/>
      <c r="J494" s="2015"/>
      <c r="K494" s="44" t="s">
        <v>1791</v>
      </c>
      <c r="L494" s="2017" t="e">
        <f>'Dol Per Deg'!$H$11</f>
        <v>#N/A</v>
      </c>
      <c r="M494" s="1850"/>
      <c r="N494" s="44" t="s">
        <v>1793</v>
      </c>
      <c r="O494" s="2016" t="str">
        <f>IF(C489&gt;=R1,"DOI&gt;2004",IF(C494=0,0,IF(AND($R$491=1,C494&gt;0),"Converted",H494*L494)))</f>
        <v>DOI&gt;2004</v>
      </c>
      <c r="P494" s="2016"/>
      <c r="Q494" s="8"/>
      <c r="R494" s="452">
        <f t="shared" si="73"/>
        <v>0</v>
      </c>
      <c r="S494" s="60"/>
      <c r="T494" s="60"/>
      <c r="U494" s="60"/>
      <c r="V494" s="60"/>
      <c r="W494" s="60"/>
      <c r="X494" s="60"/>
      <c r="Y494" s="60"/>
      <c r="Z494" s="60"/>
      <c r="AA494" s="60"/>
      <c r="AB494" s="60"/>
      <c r="AC494" s="60"/>
      <c r="AD494" s="60"/>
      <c r="AE494" s="60"/>
      <c r="AF494" s="60"/>
      <c r="AG494" s="60"/>
      <c r="AH494" s="60"/>
      <c r="AI494" s="60"/>
      <c r="AJ494" s="60"/>
      <c r="AK494" s="60"/>
      <c r="AL494" s="60"/>
      <c r="AM494" s="60"/>
      <c r="AN494" s="60"/>
      <c r="AO494" s="60"/>
      <c r="AP494" s="60"/>
      <c r="AQ494" s="60"/>
      <c r="AR494" s="60"/>
      <c r="AS494" s="60"/>
      <c r="AT494" s="60"/>
      <c r="AU494" s="60"/>
      <c r="AV494" s="60"/>
      <c r="AW494" s="60"/>
      <c r="AX494" s="60"/>
      <c r="AY494" s="60"/>
      <c r="AZ494" s="60"/>
      <c r="BA494" s="60"/>
      <c r="BB494" s="60"/>
      <c r="BC494" s="60"/>
      <c r="BD494" s="60"/>
      <c r="BE494" s="60"/>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c r="CZ494" s="14"/>
      <c r="DA494" s="14"/>
      <c r="DB494" s="14"/>
      <c r="DC494" s="14"/>
      <c r="DD494" s="14"/>
      <c r="DE494" s="14"/>
      <c r="DF494" s="14"/>
      <c r="DG494" s="14"/>
      <c r="DH494" s="14"/>
      <c r="DI494" s="14"/>
      <c r="DJ494" s="14"/>
      <c r="DK494" s="14"/>
      <c r="DL494" s="14"/>
      <c r="DM494" s="14"/>
      <c r="DN494" s="14"/>
      <c r="DO494" s="14"/>
      <c r="DP494" s="14"/>
      <c r="DQ494" s="14"/>
      <c r="DR494" s="14"/>
      <c r="DS494" s="14"/>
      <c r="DT494" s="14"/>
      <c r="DU494" s="14"/>
      <c r="DV494" s="14"/>
      <c r="DW494" s="14"/>
      <c r="DX494" s="14"/>
      <c r="DY494" s="14"/>
      <c r="DZ494" s="14"/>
      <c r="EA494" s="14"/>
      <c r="EB494" s="14"/>
      <c r="EC494" s="14"/>
      <c r="ED494" s="14"/>
      <c r="EE494" s="14"/>
      <c r="EF494" s="14"/>
      <c r="EG494" s="14"/>
      <c r="EH494" s="14"/>
      <c r="EI494" s="14"/>
      <c r="EJ494" s="14"/>
      <c r="EK494" s="14"/>
      <c r="EL494" s="14"/>
    </row>
    <row r="495" spans="1:142" ht="18" customHeight="1" x14ac:dyDescent="0.2">
      <c r="A495" s="8"/>
      <c r="B495" s="353" t="s">
        <v>539</v>
      </c>
      <c r="C495" s="1849">
        <f>P112</f>
        <v>0</v>
      </c>
      <c r="D495" s="1850"/>
      <c r="E495" s="44" t="s">
        <v>1791</v>
      </c>
      <c r="F495" s="44">
        <v>4</v>
      </c>
      <c r="G495" s="44" t="s">
        <v>1793</v>
      </c>
      <c r="H495" s="2015">
        <f t="shared" si="74"/>
        <v>0</v>
      </c>
      <c r="I495" s="2015"/>
      <c r="J495" s="2015"/>
      <c r="K495" s="44" t="s">
        <v>1791</v>
      </c>
      <c r="L495" s="2017" t="e">
        <f>'Dol Per Deg'!$H$11</f>
        <v>#N/A</v>
      </c>
      <c r="M495" s="1850"/>
      <c r="N495" s="44" t="s">
        <v>1793</v>
      </c>
      <c r="O495" s="2016" t="str">
        <f>IF(C489&gt;=R1,"DOI&gt;2004",IF(C495=0,0,IF(AND($R$491=1,C495&gt;0),"Converted",H495*L495)))</f>
        <v>DOI&gt;2004</v>
      </c>
      <c r="P495" s="2016"/>
      <c r="Q495" s="8"/>
      <c r="R495" s="452">
        <f t="shared" si="73"/>
        <v>0</v>
      </c>
      <c r="S495" s="60"/>
      <c r="T495" s="60"/>
      <c r="U495" s="60"/>
      <c r="V495" s="60"/>
      <c r="W495" s="60"/>
      <c r="X495" s="60"/>
      <c r="Y495" s="60"/>
      <c r="Z495" s="60"/>
      <c r="AA495" s="60"/>
      <c r="AB495" s="60"/>
      <c r="AC495" s="60"/>
      <c r="AD495" s="60"/>
      <c r="AE495" s="60"/>
      <c r="AF495" s="60"/>
      <c r="AG495" s="60"/>
      <c r="AH495" s="60"/>
      <c r="AI495" s="60"/>
      <c r="AJ495" s="60"/>
      <c r="AK495" s="60"/>
      <c r="AL495" s="60"/>
      <c r="AM495" s="60"/>
      <c r="AN495" s="60"/>
      <c r="AO495" s="60"/>
      <c r="AP495" s="60"/>
      <c r="AQ495" s="60"/>
      <c r="AR495" s="60"/>
      <c r="AS495" s="60"/>
      <c r="AT495" s="60"/>
      <c r="AU495" s="60"/>
      <c r="AV495" s="60"/>
      <c r="AW495" s="60"/>
      <c r="AX495" s="60"/>
      <c r="AY495" s="60"/>
      <c r="AZ495" s="60"/>
      <c r="BA495" s="60"/>
      <c r="BB495" s="60"/>
      <c r="BC495" s="60"/>
      <c r="BD495" s="60"/>
      <c r="BE495" s="60"/>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14"/>
      <c r="DT495" s="14"/>
      <c r="DU495" s="14"/>
      <c r="DV495" s="14"/>
      <c r="DW495" s="14"/>
      <c r="DX495" s="14"/>
      <c r="DY495" s="14"/>
      <c r="DZ495" s="14"/>
      <c r="EA495" s="14"/>
      <c r="EB495" s="14"/>
      <c r="EC495" s="14"/>
      <c r="ED495" s="14"/>
      <c r="EE495" s="14"/>
      <c r="EF495" s="14"/>
      <c r="EG495" s="14"/>
      <c r="EH495" s="14"/>
      <c r="EI495" s="14"/>
      <c r="EJ495" s="14"/>
      <c r="EK495" s="14"/>
      <c r="EL495" s="14"/>
    </row>
    <row r="496" spans="1:142" ht="18" customHeight="1" x14ac:dyDescent="0.2">
      <c r="A496" s="8"/>
      <c r="B496" s="353" t="s">
        <v>540</v>
      </c>
      <c r="C496" s="1849">
        <f>P152</f>
        <v>0</v>
      </c>
      <c r="D496" s="1850"/>
      <c r="E496" s="44" t="s">
        <v>1791</v>
      </c>
      <c r="F496" s="44">
        <v>4</v>
      </c>
      <c r="G496" s="44" t="s">
        <v>1793</v>
      </c>
      <c r="H496" s="2015">
        <f t="shared" si="74"/>
        <v>0</v>
      </c>
      <c r="I496" s="2015"/>
      <c r="J496" s="2015"/>
      <c r="K496" s="44" t="s">
        <v>1791</v>
      </c>
      <c r="L496" s="2017" t="e">
        <f>'Dol Per Deg'!$H$11</f>
        <v>#N/A</v>
      </c>
      <c r="M496" s="1850"/>
      <c r="N496" s="44" t="s">
        <v>1793</v>
      </c>
      <c r="O496" s="2016" t="str">
        <f>IF(C489&gt;=R1,"DOI&gt;2004",IF(C496=0,0,IF(AND($R$491=1,C496&gt;0),"Converted",H496*L496)))</f>
        <v>DOI&gt;2004</v>
      </c>
      <c r="P496" s="2016"/>
      <c r="Q496" s="8"/>
      <c r="R496" s="452">
        <f t="shared" si="73"/>
        <v>0</v>
      </c>
      <c r="S496" s="60"/>
      <c r="T496" s="60"/>
      <c r="U496" s="60"/>
      <c r="V496" s="60"/>
      <c r="W496" s="60"/>
      <c r="X496" s="60"/>
      <c r="Y496" s="60"/>
      <c r="Z496" s="60"/>
      <c r="AA496" s="60"/>
      <c r="AB496" s="60"/>
      <c r="AC496" s="60"/>
      <c r="AD496" s="60"/>
      <c r="AE496" s="60"/>
      <c r="AF496" s="60"/>
      <c r="AG496" s="60"/>
      <c r="AH496" s="60"/>
      <c r="AI496" s="60"/>
      <c r="AJ496" s="60"/>
      <c r="AK496" s="60"/>
      <c r="AL496" s="60"/>
      <c r="AM496" s="60"/>
      <c r="AN496" s="60"/>
      <c r="AO496" s="60"/>
      <c r="AP496" s="60"/>
      <c r="AQ496" s="60"/>
      <c r="AR496" s="60"/>
      <c r="AS496" s="60"/>
      <c r="AT496" s="60"/>
      <c r="AU496" s="60"/>
      <c r="AV496" s="60"/>
      <c r="AW496" s="60"/>
      <c r="AX496" s="60"/>
      <c r="AY496" s="60"/>
      <c r="AZ496" s="60"/>
      <c r="BA496" s="60"/>
      <c r="BB496" s="60"/>
      <c r="BC496" s="60"/>
      <c r="BD496" s="60"/>
      <c r="BE496" s="60"/>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c r="CR496" s="14"/>
      <c r="CS496" s="14"/>
      <c r="CT496" s="14"/>
      <c r="CU496" s="14"/>
      <c r="CV496" s="14"/>
      <c r="CW496" s="14"/>
      <c r="CX496" s="14"/>
      <c r="CY496" s="14"/>
      <c r="CZ496" s="14"/>
      <c r="DA496" s="14"/>
      <c r="DB496" s="14"/>
      <c r="DC496" s="14"/>
      <c r="DD496" s="14"/>
      <c r="DE496" s="14"/>
      <c r="DF496" s="14"/>
      <c r="DG496" s="14"/>
      <c r="DH496" s="14"/>
      <c r="DI496" s="14"/>
      <c r="DJ496" s="14"/>
      <c r="DK496" s="14"/>
      <c r="DL496" s="14"/>
      <c r="DM496" s="14"/>
      <c r="DN496" s="14"/>
      <c r="DO496" s="14"/>
      <c r="DP496" s="14"/>
      <c r="DQ496" s="14"/>
      <c r="DR496" s="14"/>
      <c r="DS496" s="14"/>
      <c r="DT496" s="14"/>
      <c r="DU496" s="14"/>
      <c r="DV496" s="14"/>
      <c r="DW496" s="14"/>
      <c r="DX496" s="14"/>
      <c r="DY496" s="14"/>
      <c r="DZ496" s="14"/>
      <c r="EA496" s="14"/>
      <c r="EB496" s="14"/>
      <c r="EC496" s="14"/>
      <c r="ED496" s="14"/>
      <c r="EE496" s="14"/>
      <c r="EF496" s="14"/>
      <c r="EG496" s="14"/>
      <c r="EH496" s="14"/>
      <c r="EI496" s="14"/>
      <c r="EJ496" s="14"/>
      <c r="EK496" s="14"/>
      <c r="EL496" s="14"/>
    </row>
    <row r="497" spans="1:241" ht="18" customHeight="1" x14ac:dyDescent="0.2">
      <c r="A497" s="8"/>
      <c r="B497" s="353" t="s">
        <v>541</v>
      </c>
      <c r="C497" s="1849">
        <f>P192</f>
        <v>0</v>
      </c>
      <c r="D497" s="1850"/>
      <c r="E497" s="44" t="s">
        <v>1791</v>
      </c>
      <c r="F497" s="44">
        <v>4</v>
      </c>
      <c r="G497" s="44" t="s">
        <v>1793</v>
      </c>
      <c r="H497" s="2015">
        <f t="shared" si="74"/>
        <v>0</v>
      </c>
      <c r="I497" s="2015"/>
      <c r="J497" s="2015"/>
      <c r="K497" s="44" t="s">
        <v>1791</v>
      </c>
      <c r="L497" s="2017" t="e">
        <f>'Dol Per Deg'!$H$11</f>
        <v>#N/A</v>
      </c>
      <c r="M497" s="1850"/>
      <c r="N497" s="44" t="s">
        <v>1793</v>
      </c>
      <c r="O497" s="2016" t="str">
        <f>IF(C489&gt;=R1,"DOI&gt;2004",IF(C497=0,0,IF(AND($R$491=1,C497&gt;0),"Converted",H497*L497)))</f>
        <v>DOI&gt;2004</v>
      </c>
      <c r="P497" s="2016"/>
      <c r="Q497" s="8"/>
      <c r="R497" s="452">
        <f t="shared" si="73"/>
        <v>0</v>
      </c>
      <c r="S497" s="60"/>
      <c r="T497" s="60"/>
      <c r="U497" s="60"/>
      <c r="V497" s="60"/>
      <c r="W497" s="60"/>
      <c r="X497" s="60"/>
      <c r="Y497" s="60"/>
      <c r="Z497" s="60"/>
      <c r="AA497" s="60"/>
      <c r="AB497" s="60"/>
      <c r="AC497" s="60"/>
      <c r="AD497" s="60"/>
      <c r="AE497" s="60"/>
      <c r="AF497" s="60"/>
      <c r="AG497" s="60"/>
      <c r="AH497" s="60"/>
      <c r="AI497" s="60"/>
      <c r="AJ497" s="60"/>
      <c r="AK497" s="60"/>
      <c r="AL497" s="60"/>
      <c r="AM497" s="60"/>
      <c r="AN497" s="60"/>
      <c r="AO497" s="60"/>
      <c r="AP497" s="60"/>
      <c r="AQ497" s="60"/>
      <c r="AR497" s="60"/>
      <c r="AS497" s="60"/>
      <c r="AT497" s="60"/>
      <c r="AU497" s="60"/>
      <c r="AV497" s="60"/>
      <c r="AW497" s="60"/>
      <c r="AX497" s="60"/>
      <c r="AY497" s="60"/>
      <c r="AZ497" s="60"/>
      <c r="BA497" s="60"/>
      <c r="BB497" s="60"/>
      <c r="BC497" s="60"/>
      <c r="BD497" s="60"/>
      <c r="BE497" s="60"/>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c r="CZ497" s="14"/>
      <c r="DA497" s="14"/>
      <c r="DB497" s="14"/>
      <c r="DC497" s="14"/>
      <c r="DD497" s="14"/>
      <c r="DE497" s="14"/>
      <c r="DF497" s="14"/>
      <c r="DG497" s="14"/>
      <c r="DH497" s="14"/>
      <c r="DI497" s="14"/>
      <c r="DJ497" s="14"/>
      <c r="DK497" s="14"/>
      <c r="DL497" s="14"/>
      <c r="DM497" s="14"/>
      <c r="DN497" s="14"/>
      <c r="DO497" s="14"/>
      <c r="DP497" s="14"/>
      <c r="DQ497" s="14"/>
      <c r="DR497" s="14"/>
      <c r="DS497" s="14"/>
      <c r="DT497" s="14"/>
      <c r="DU497" s="14"/>
      <c r="DV497" s="14"/>
      <c r="DW497" s="14"/>
      <c r="DX497" s="14"/>
      <c r="DY497" s="14"/>
      <c r="DZ497" s="14"/>
      <c r="EA497" s="14"/>
      <c r="EB497" s="14"/>
      <c r="EC497" s="14"/>
      <c r="ED497" s="14"/>
      <c r="EE497" s="14"/>
      <c r="EF497" s="14"/>
      <c r="EG497" s="14"/>
      <c r="EH497" s="14"/>
      <c r="EI497" s="14"/>
      <c r="EJ497" s="14"/>
      <c r="EK497" s="14"/>
      <c r="EL497" s="14"/>
    </row>
    <row r="498" spans="1:241" ht="18" customHeight="1" x14ac:dyDescent="0.2">
      <c r="A498" s="8"/>
      <c r="B498" s="353" t="s">
        <v>542</v>
      </c>
      <c r="C498" s="1849">
        <f>P341</f>
        <v>0</v>
      </c>
      <c r="D498" s="1850"/>
      <c r="E498" s="44" t="s">
        <v>1791</v>
      </c>
      <c r="F498" s="44">
        <v>135</v>
      </c>
      <c r="G498" s="44" t="s">
        <v>1793</v>
      </c>
      <c r="H498" s="2015">
        <f t="shared" si="74"/>
        <v>0</v>
      </c>
      <c r="I498" s="2015"/>
      <c r="J498" s="2015"/>
      <c r="K498" s="44" t="s">
        <v>1791</v>
      </c>
      <c r="L498" s="2017" t="e">
        <f>'Dol Per Deg'!$H$11</f>
        <v>#N/A</v>
      </c>
      <c r="M498" s="1850"/>
      <c r="N498" s="44" t="s">
        <v>1793</v>
      </c>
      <c r="O498" s="2016" t="str">
        <f>IF(C489&gt;=R1,"DOI&gt;2004",IF(C498=0,0,IF(AND(C498&gt;0,C499&gt;0),"Converted",H498*L498)))</f>
        <v>DOI&gt;2004</v>
      </c>
      <c r="P498" s="2016"/>
      <c r="Q498" s="8"/>
      <c r="R498" s="452">
        <f t="shared" si="73"/>
        <v>0</v>
      </c>
      <c r="S498" s="60"/>
      <c r="T498" s="60"/>
      <c r="U498" s="60"/>
      <c r="V498" s="60"/>
      <c r="W498" s="60"/>
      <c r="X498" s="60"/>
      <c r="Y498" s="60"/>
      <c r="Z498" s="60"/>
      <c r="AA498" s="60"/>
      <c r="AB498" s="60"/>
      <c r="AC498" s="60"/>
      <c r="AD498" s="60"/>
      <c r="AE498" s="60"/>
      <c r="AF498" s="60"/>
      <c r="AG498" s="60"/>
      <c r="AH498" s="60"/>
      <c r="AI498" s="60"/>
      <c r="AJ498" s="60"/>
      <c r="AK498" s="60"/>
      <c r="AL498" s="60"/>
      <c r="AM498" s="60"/>
      <c r="AN498" s="60"/>
      <c r="AO498" s="60"/>
      <c r="AP498" s="60"/>
      <c r="AQ498" s="60"/>
      <c r="AR498" s="60"/>
      <c r="AS498" s="60"/>
      <c r="AT498" s="60"/>
      <c r="AU498" s="60"/>
      <c r="AV498" s="60"/>
      <c r="AW498" s="60"/>
      <c r="AX498" s="60"/>
      <c r="AY498" s="60"/>
      <c r="AZ498" s="60"/>
      <c r="BA498" s="60"/>
      <c r="BB498" s="60"/>
      <c r="BC498" s="60"/>
      <c r="BD498" s="60"/>
      <c r="BE498" s="60"/>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c r="CR498" s="14"/>
      <c r="CS498" s="14"/>
      <c r="CT498" s="14"/>
      <c r="CU498" s="14"/>
      <c r="CV498" s="14"/>
      <c r="CW498" s="14"/>
      <c r="CX498" s="14"/>
      <c r="CY498" s="14"/>
      <c r="CZ498" s="14"/>
      <c r="DA498" s="14"/>
      <c r="DB498" s="14"/>
      <c r="DC498" s="14"/>
      <c r="DD498" s="14"/>
      <c r="DE498" s="14"/>
      <c r="DF498" s="14"/>
      <c r="DG498" s="14"/>
      <c r="DH498" s="14"/>
      <c r="DI498" s="14"/>
      <c r="DJ498" s="14"/>
      <c r="DK498" s="14"/>
      <c r="DL498" s="14"/>
      <c r="DM498" s="14"/>
      <c r="DN498" s="14"/>
      <c r="DO498" s="14"/>
      <c r="DP498" s="14"/>
      <c r="DQ498" s="14"/>
      <c r="DR498" s="14"/>
      <c r="DS498" s="14"/>
      <c r="DT498" s="14"/>
      <c r="DU498" s="14"/>
      <c r="DV498" s="14"/>
      <c r="DW498" s="14"/>
      <c r="DX498" s="14"/>
      <c r="DY498" s="14"/>
      <c r="DZ498" s="14"/>
      <c r="EA498" s="14"/>
      <c r="EB498" s="14"/>
      <c r="EC498" s="14"/>
      <c r="ED498" s="14"/>
      <c r="EE498" s="14"/>
      <c r="EF498" s="14"/>
      <c r="EG498" s="14"/>
      <c r="EH498" s="14"/>
      <c r="EI498" s="14"/>
      <c r="EJ498" s="14"/>
      <c r="EK498" s="14"/>
      <c r="EL498" s="14"/>
    </row>
    <row r="499" spans="1:241" ht="18" customHeight="1" x14ac:dyDescent="0.2">
      <c r="A499" s="8"/>
      <c r="B499" s="353" t="s">
        <v>543</v>
      </c>
      <c r="C499" s="1849">
        <f>P448</f>
        <v>0</v>
      </c>
      <c r="D499" s="1850"/>
      <c r="E499" s="44" t="s">
        <v>1791</v>
      </c>
      <c r="F499" s="44">
        <v>150</v>
      </c>
      <c r="G499" s="44" t="s">
        <v>1793</v>
      </c>
      <c r="H499" s="2015">
        <f t="shared" si="74"/>
        <v>0</v>
      </c>
      <c r="I499" s="2015"/>
      <c r="J499" s="2015"/>
      <c r="K499" s="44" t="s">
        <v>1791</v>
      </c>
      <c r="L499" s="2017" t="e">
        <f>'Dol Per Deg'!$H$11</f>
        <v>#N/A</v>
      </c>
      <c r="M499" s="1850"/>
      <c r="N499" s="44" t="s">
        <v>1793</v>
      </c>
      <c r="O499" s="2017" t="str">
        <f>IF(C489&gt;=R1,"DOI&gt;2004",IF(C499=0,0,H499*L499))</f>
        <v>DOI&gt;2004</v>
      </c>
      <c r="P499" s="1850"/>
      <c r="Q499" s="8"/>
      <c r="R499" s="452">
        <f>C499</f>
        <v>0</v>
      </c>
      <c r="S499" s="60"/>
      <c r="T499" s="60"/>
      <c r="U499" s="60"/>
      <c r="V499" s="60"/>
      <c r="W499" s="60"/>
      <c r="X499" s="60"/>
      <c r="Y499" s="60"/>
      <c r="Z499" s="60"/>
      <c r="AA499" s="60"/>
      <c r="AB499" s="60"/>
      <c r="AC499" s="60"/>
      <c r="AD499" s="60"/>
      <c r="AE499" s="60"/>
      <c r="AF499" s="60"/>
      <c r="AG499" s="60"/>
      <c r="AH499" s="60"/>
      <c r="AI499" s="60"/>
      <c r="AJ499" s="60"/>
      <c r="AK499" s="60"/>
      <c r="AL499" s="60"/>
      <c r="AM499" s="60"/>
      <c r="AN499" s="60"/>
      <c r="AO499" s="60"/>
      <c r="AP499" s="60"/>
      <c r="AQ499" s="60"/>
      <c r="AR499" s="60"/>
      <c r="AS499" s="60"/>
      <c r="AT499" s="60"/>
      <c r="AU499" s="60"/>
      <c r="AV499" s="60"/>
      <c r="AW499" s="60"/>
      <c r="AX499" s="60"/>
      <c r="AY499" s="60"/>
      <c r="AZ499" s="60"/>
      <c r="BA499" s="60"/>
      <c r="BB499" s="60"/>
      <c r="BC499" s="60"/>
      <c r="BD499" s="60"/>
      <c r="BE499" s="60"/>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c r="CR499" s="14"/>
      <c r="CS499" s="14"/>
      <c r="CT499" s="14"/>
      <c r="CU499" s="14"/>
      <c r="CV499" s="14"/>
      <c r="CW499" s="14"/>
      <c r="CX499" s="14"/>
      <c r="CY499" s="14"/>
      <c r="CZ499" s="14"/>
      <c r="DA499" s="14"/>
      <c r="DB499" s="14"/>
      <c r="DC499" s="14"/>
      <c r="DD499" s="14"/>
      <c r="DE499" s="14"/>
      <c r="DF499" s="14"/>
      <c r="DG499" s="14"/>
      <c r="DH499" s="14"/>
      <c r="DI499" s="14"/>
      <c r="DJ499" s="14"/>
      <c r="DK499" s="14"/>
      <c r="DL499" s="14"/>
      <c r="DM499" s="14"/>
      <c r="DN499" s="14"/>
      <c r="DO499" s="14"/>
      <c r="DP499" s="14"/>
      <c r="DQ499" s="14"/>
      <c r="DR499" s="14"/>
      <c r="DS499" s="14"/>
      <c r="DT499" s="14"/>
      <c r="DU499" s="14"/>
      <c r="DV499" s="14"/>
      <c r="DW499" s="14"/>
      <c r="DX499" s="14"/>
      <c r="DY499" s="14"/>
      <c r="DZ499" s="14"/>
      <c r="EA499" s="14"/>
      <c r="EB499" s="14"/>
      <c r="EC499" s="14"/>
      <c r="ED499" s="14"/>
      <c r="EE499" s="14"/>
      <c r="EF499" s="14"/>
      <c r="EG499" s="14"/>
      <c r="EH499" s="14"/>
      <c r="EI499" s="14"/>
      <c r="EJ499" s="14"/>
      <c r="EK499" s="14"/>
      <c r="EL499" s="14"/>
    </row>
    <row r="500" spans="1:241" s="63" customFormat="1" ht="33.75" customHeight="1" x14ac:dyDescent="0.25">
      <c r="A500" s="35"/>
      <c r="B500" s="1682" t="s">
        <v>947</v>
      </c>
      <c r="C500" s="1682"/>
      <c r="D500" s="1682"/>
      <c r="E500" s="1682"/>
      <c r="F500" s="1682"/>
      <c r="G500" s="1682"/>
      <c r="H500" s="1682"/>
      <c r="I500" s="1682"/>
      <c r="J500" s="1682"/>
      <c r="K500" s="1682"/>
      <c r="L500" s="1682"/>
      <c r="M500" s="1682"/>
      <c r="N500" s="1682"/>
      <c r="O500" s="1682"/>
      <c r="P500" s="1682"/>
      <c r="Q500" s="35"/>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4"/>
      <c r="BB500" s="14"/>
      <c r="BC500" s="14"/>
      <c r="BD500" s="14"/>
      <c r="BE500" s="14"/>
      <c r="BF500" s="14"/>
      <c r="BG500" s="14"/>
      <c r="BH500" s="14"/>
      <c r="BI500" s="14"/>
      <c r="BJ500" s="14"/>
      <c r="BK500" s="14"/>
      <c r="BL500" s="14"/>
      <c r="BM500" s="14"/>
      <c r="BN500" s="14"/>
      <c r="BO500" s="14"/>
      <c r="BP500" s="14"/>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c r="CR500" s="14"/>
      <c r="CS500" s="14"/>
      <c r="CT500" s="14"/>
      <c r="CU500" s="14"/>
      <c r="CV500" s="14"/>
      <c r="CW500" s="14"/>
      <c r="CX500" s="14"/>
      <c r="CY500" s="14"/>
      <c r="CZ500" s="14"/>
      <c r="DA500" s="14"/>
      <c r="DB500" s="14"/>
      <c r="DC500" s="14"/>
      <c r="DD500" s="14"/>
      <c r="DE500" s="14"/>
      <c r="DF500" s="14"/>
      <c r="DG500" s="14"/>
      <c r="DH500" s="14"/>
      <c r="DI500" s="14"/>
      <c r="DJ500" s="14"/>
      <c r="DK500" s="14"/>
      <c r="DL500" s="14"/>
      <c r="DM500" s="14"/>
      <c r="DN500" s="14"/>
      <c r="DO500" s="14"/>
      <c r="DP500" s="14"/>
      <c r="DQ500" s="14"/>
      <c r="DR500" s="14"/>
      <c r="DS500" s="14"/>
      <c r="DT500" s="14"/>
      <c r="DU500" s="14"/>
      <c r="DV500" s="14"/>
      <c r="DW500" s="14"/>
      <c r="DX500" s="14"/>
      <c r="DY500" s="14"/>
      <c r="DZ500" s="14"/>
      <c r="EA500" s="14"/>
      <c r="EB500" s="14"/>
      <c r="EC500" s="14"/>
      <c r="ED500" s="14"/>
      <c r="EE500" s="14"/>
      <c r="EF500" s="14"/>
      <c r="EG500" s="14"/>
      <c r="EH500" s="14"/>
      <c r="EI500" s="14"/>
      <c r="EJ500" s="14"/>
      <c r="EK500" s="14"/>
      <c r="EL500" s="14"/>
    </row>
    <row r="501" spans="1:241" x14ac:dyDescent="0.2">
      <c r="A501" s="8"/>
      <c r="B501" s="301" t="s">
        <v>790</v>
      </c>
      <c r="C501" s="2028" t="str">
        <f>IF(S1&lt;&gt;"",S1,"")</f>
        <v>Go to PPD Worksheet</v>
      </c>
      <c r="D501" s="2028"/>
      <c r="E501" s="2028"/>
      <c r="F501" s="2028"/>
      <c r="G501" s="2028"/>
      <c r="H501" s="2028" t="str">
        <f>IF(S2&lt;&gt;"",S2,"")</f>
        <v/>
      </c>
      <c r="I501" s="2028"/>
      <c r="J501" s="2028"/>
      <c r="K501" s="2028"/>
      <c r="L501" s="2028"/>
      <c r="M501" s="2028"/>
      <c r="N501" s="213"/>
      <c r="O501" s="213"/>
      <c r="P501" s="220"/>
      <c r="Q501" s="8"/>
      <c r="R501" s="60"/>
      <c r="S501" s="60"/>
      <c r="T501" s="60"/>
      <c r="U501" s="60"/>
      <c r="V501" s="60"/>
      <c r="W501" s="60"/>
      <c r="X501" s="60"/>
      <c r="Y501" s="60"/>
      <c r="Z501" s="60"/>
      <c r="AA501" s="60"/>
      <c r="AB501" s="60"/>
      <c r="AC501" s="60"/>
      <c r="AD501" s="60"/>
      <c r="AE501" s="60"/>
      <c r="AF501" s="60"/>
      <c r="AG501" s="60"/>
      <c r="AH501" s="60"/>
      <c r="AI501" s="60"/>
      <c r="AJ501" s="60"/>
      <c r="AK501" s="60"/>
      <c r="AL501" s="60"/>
      <c r="AM501" s="60"/>
      <c r="AN501" s="60"/>
      <c r="AO501" s="60"/>
      <c r="AP501" s="60"/>
      <c r="AQ501" s="60"/>
      <c r="AR501" s="60"/>
      <c r="AS501" s="60"/>
      <c r="AT501" s="60"/>
      <c r="AU501" s="60"/>
      <c r="AV501" s="60"/>
      <c r="AW501" s="60"/>
      <c r="AX501" s="60"/>
      <c r="AY501" s="60"/>
      <c r="AZ501" s="60"/>
      <c r="BA501" s="60"/>
      <c r="BB501" s="60"/>
      <c r="BC501" s="60"/>
      <c r="BD501" s="60"/>
      <c r="BE501" s="60"/>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c r="CR501" s="14"/>
      <c r="CS501" s="14"/>
      <c r="CT501" s="14"/>
      <c r="CU501" s="14"/>
      <c r="CV501" s="14"/>
      <c r="CW501" s="14"/>
      <c r="CX501" s="14"/>
      <c r="CY501" s="14"/>
      <c r="CZ501" s="14"/>
      <c r="DA501" s="14"/>
      <c r="DB501" s="14"/>
      <c r="DC501" s="14"/>
      <c r="DD501" s="14"/>
      <c r="DE501" s="14"/>
      <c r="DF501" s="14"/>
      <c r="DG501" s="14"/>
      <c r="DH501" s="14"/>
      <c r="DI501" s="14"/>
      <c r="DJ501" s="14"/>
      <c r="DK501" s="14"/>
      <c r="DL501" s="14"/>
      <c r="DM501" s="14"/>
      <c r="DN501" s="14"/>
      <c r="DO501" s="14"/>
      <c r="DP501" s="14"/>
      <c r="DQ501" s="14"/>
      <c r="DR501" s="14"/>
      <c r="DS501" s="14"/>
      <c r="DT501" s="14"/>
      <c r="DU501" s="14"/>
      <c r="DV501" s="14"/>
      <c r="DW501" s="14"/>
      <c r="DX501" s="14"/>
      <c r="DY501" s="14"/>
      <c r="DZ501" s="14"/>
      <c r="EA501" s="14"/>
      <c r="EB501" s="14"/>
      <c r="EC501" s="14"/>
      <c r="ED501" s="14"/>
      <c r="EE501" s="14"/>
      <c r="EF501" s="14"/>
      <c r="EG501" s="14"/>
      <c r="EH501" s="14"/>
      <c r="EI501" s="14"/>
      <c r="EJ501" s="14"/>
      <c r="EK501" s="14"/>
      <c r="EL501" s="14"/>
    </row>
    <row r="502" spans="1:241" ht="15" x14ac:dyDescent="0.25">
      <c r="A502" s="8"/>
      <c r="B502" s="96"/>
      <c r="C502" s="84"/>
      <c r="D502" s="84"/>
      <c r="E502" s="84"/>
      <c r="F502" s="84"/>
      <c r="G502" s="84"/>
      <c r="H502" s="84"/>
      <c r="I502" s="84"/>
      <c r="J502" s="84"/>
      <c r="K502" s="84"/>
      <c r="L502" s="84"/>
      <c r="M502" s="84"/>
      <c r="N502" s="84"/>
      <c r="O502" s="84"/>
      <c r="P502" s="75"/>
      <c r="Q502" s="8"/>
      <c r="R502" s="60"/>
      <c r="S502" s="60"/>
      <c r="T502" s="60"/>
      <c r="U502" s="60"/>
      <c r="V502" s="60"/>
      <c r="W502" s="60"/>
      <c r="X502" s="60"/>
      <c r="Y502" s="60"/>
      <c r="Z502" s="60"/>
      <c r="AA502" s="60"/>
      <c r="AB502" s="60"/>
      <c r="AC502" s="60"/>
      <c r="AD502" s="60"/>
      <c r="AE502" s="60"/>
      <c r="AF502" s="60"/>
      <c r="AG502" s="60"/>
      <c r="AH502" s="60"/>
      <c r="AI502" s="60"/>
      <c r="AJ502" s="60"/>
      <c r="AK502" s="60"/>
      <c r="AL502" s="60"/>
      <c r="AM502" s="60"/>
      <c r="AN502" s="60"/>
      <c r="AO502" s="60"/>
      <c r="AP502" s="60"/>
      <c r="AQ502" s="60"/>
      <c r="AR502" s="60"/>
      <c r="AS502" s="60"/>
      <c r="AT502" s="60"/>
      <c r="AU502" s="60"/>
      <c r="AV502" s="60"/>
      <c r="AW502" s="60"/>
      <c r="AX502" s="60"/>
      <c r="AY502" s="60"/>
      <c r="AZ502" s="60"/>
      <c r="BA502" s="60"/>
      <c r="BB502" s="60"/>
      <c r="BC502" s="60"/>
      <c r="BD502" s="60"/>
      <c r="BE502" s="60"/>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C502" s="14"/>
      <c r="DD502" s="14"/>
      <c r="DE502" s="14"/>
      <c r="DF502" s="14"/>
      <c r="DG502" s="14"/>
      <c r="DH502" s="14"/>
      <c r="DI502" s="14"/>
      <c r="DJ502" s="14"/>
      <c r="DK502" s="14"/>
      <c r="DL502" s="14"/>
      <c r="DM502" s="14"/>
      <c r="DN502" s="14"/>
      <c r="DO502" s="14"/>
      <c r="DP502" s="14"/>
      <c r="DQ502" s="14"/>
      <c r="DR502" s="14"/>
      <c r="DS502" s="14"/>
      <c r="DT502" s="14"/>
      <c r="DU502" s="14"/>
      <c r="DV502" s="14"/>
      <c r="DW502" s="14"/>
      <c r="DX502" s="14"/>
      <c r="DY502" s="14"/>
      <c r="DZ502" s="14"/>
      <c r="EA502" s="14"/>
      <c r="EB502" s="14"/>
      <c r="EC502" s="14"/>
      <c r="ED502" s="14"/>
      <c r="EE502" s="14"/>
      <c r="EF502" s="14"/>
      <c r="EG502" s="14"/>
      <c r="EH502" s="14"/>
      <c r="EI502" s="14"/>
      <c r="EJ502" s="14"/>
      <c r="EK502" s="14"/>
      <c r="EL502" s="14"/>
    </row>
    <row r="503" spans="1:241" ht="15" hidden="1" x14ac:dyDescent="0.25">
      <c r="A503" s="8"/>
      <c r="B503" s="96"/>
      <c r="C503" s="84"/>
      <c r="D503" s="84"/>
      <c r="E503" s="84"/>
      <c r="F503" s="84"/>
      <c r="G503" s="84"/>
      <c r="H503" s="84"/>
      <c r="I503" s="84"/>
      <c r="J503" s="84"/>
      <c r="K503" s="84"/>
      <c r="L503" s="84"/>
      <c r="M503" s="84"/>
      <c r="N503" s="84"/>
      <c r="O503" s="84"/>
      <c r="P503" s="75"/>
      <c r="Q503" s="8"/>
      <c r="R503" s="60"/>
      <c r="S503" s="60"/>
      <c r="T503" s="60"/>
      <c r="U503" s="60"/>
      <c r="V503" s="60"/>
      <c r="W503" s="60"/>
      <c r="X503" s="60"/>
      <c r="Y503" s="60"/>
      <c r="Z503" s="60"/>
      <c r="AA503" s="60"/>
      <c r="AB503" s="60"/>
      <c r="AC503" s="60"/>
      <c r="AD503" s="60"/>
      <c r="AE503" s="60"/>
      <c r="AF503" s="60"/>
      <c r="AG503" s="60"/>
      <c r="AH503" s="60"/>
      <c r="AI503" s="60"/>
      <c r="AJ503" s="60"/>
      <c r="AK503" s="60"/>
      <c r="AL503" s="60"/>
      <c r="AM503" s="60"/>
      <c r="AN503" s="60"/>
      <c r="AO503" s="60"/>
      <c r="AP503" s="60"/>
      <c r="AQ503" s="60"/>
      <c r="AR503" s="60"/>
      <c r="AS503" s="60"/>
      <c r="AT503" s="60"/>
      <c r="AU503" s="60"/>
      <c r="AV503" s="60"/>
      <c r="AW503" s="60"/>
      <c r="AX503" s="60"/>
      <c r="AY503" s="60"/>
      <c r="AZ503" s="60"/>
      <c r="BA503" s="60"/>
      <c r="BB503" s="60"/>
      <c r="BC503" s="60"/>
      <c r="BD503" s="60"/>
      <c r="BE503" s="60"/>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c r="CO503" s="14"/>
      <c r="CP503" s="14"/>
      <c r="CQ503" s="14"/>
      <c r="CR503" s="14"/>
      <c r="CS503" s="14"/>
      <c r="CT503" s="14"/>
      <c r="CU503" s="14"/>
      <c r="CV503" s="14"/>
      <c r="CW503" s="14"/>
      <c r="CX503" s="14"/>
      <c r="CY503" s="14"/>
      <c r="CZ503" s="14"/>
      <c r="DA503" s="14"/>
      <c r="DB503" s="14"/>
      <c r="DC503" s="14"/>
      <c r="DD503" s="14"/>
      <c r="DE503" s="14"/>
      <c r="DF503" s="14"/>
      <c r="DG503" s="14"/>
      <c r="DH503" s="14"/>
      <c r="DI503" s="14"/>
      <c r="DJ503" s="14"/>
      <c r="DK503" s="14"/>
      <c r="DL503" s="14"/>
      <c r="DM503" s="14"/>
      <c r="DN503" s="14"/>
      <c r="DO503" s="14"/>
      <c r="DP503" s="14"/>
      <c r="DQ503" s="14"/>
      <c r="DR503" s="14"/>
      <c r="DS503" s="14"/>
      <c r="DT503" s="14"/>
      <c r="DU503" s="14"/>
      <c r="DV503" s="14"/>
      <c r="DW503" s="14"/>
      <c r="DX503" s="14"/>
      <c r="DY503" s="14"/>
      <c r="DZ503" s="14"/>
      <c r="EA503" s="14"/>
      <c r="EB503" s="14"/>
      <c r="EC503" s="14"/>
      <c r="ED503" s="14"/>
      <c r="EE503" s="14"/>
      <c r="EF503" s="14"/>
      <c r="EG503" s="14"/>
      <c r="EH503" s="14"/>
      <c r="EI503" s="14"/>
      <c r="EJ503" s="14"/>
      <c r="EK503" s="14"/>
      <c r="EL503" s="14"/>
    </row>
    <row r="504" spans="1:241" ht="15" hidden="1" x14ac:dyDescent="0.25">
      <c r="A504" s="8"/>
      <c r="B504" s="1830" t="s">
        <v>2244</v>
      </c>
      <c r="C504" s="1830"/>
      <c r="D504" s="1830"/>
      <c r="E504" s="84"/>
      <c r="F504" s="84"/>
      <c r="G504" s="84"/>
      <c r="H504" s="84"/>
      <c r="I504" s="84"/>
      <c r="J504" s="84"/>
      <c r="K504" s="84"/>
      <c r="L504" s="84"/>
      <c r="M504" s="84"/>
      <c r="N504" s="84"/>
      <c r="O504" s="84"/>
      <c r="P504" s="75"/>
      <c r="Q504" s="8"/>
      <c r="R504" s="60"/>
      <c r="S504" s="60"/>
      <c r="T504" s="60"/>
      <c r="U504" s="60"/>
      <c r="V504" s="60"/>
      <c r="W504" s="60"/>
      <c r="X504" s="60"/>
      <c r="Y504" s="60"/>
      <c r="Z504" s="60"/>
      <c r="AA504" s="60"/>
      <c r="AB504" s="60"/>
      <c r="AC504" s="60"/>
      <c r="AD504" s="60"/>
      <c r="AE504" s="60"/>
      <c r="AF504" s="60"/>
      <c r="AG504" s="60"/>
      <c r="AH504" s="60"/>
      <c r="AI504" s="60"/>
      <c r="AJ504" s="60"/>
      <c r="AK504" s="60"/>
      <c r="AL504" s="60"/>
      <c r="AM504" s="60"/>
      <c r="AN504" s="60"/>
      <c r="AO504" s="60"/>
      <c r="AP504" s="60"/>
      <c r="AQ504" s="60"/>
      <c r="AR504" s="60"/>
      <c r="AS504" s="60"/>
      <c r="AT504" s="60"/>
      <c r="AU504" s="60"/>
      <c r="AV504" s="60"/>
      <c r="AW504" s="60"/>
      <c r="AX504" s="60"/>
      <c r="AY504" s="60"/>
      <c r="AZ504" s="60"/>
      <c r="BA504" s="60"/>
      <c r="BB504" s="60"/>
      <c r="BC504" s="60"/>
      <c r="BD504" s="60"/>
      <c r="BE504" s="60"/>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4"/>
      <c r="DV504" s="14"/>
      <c r="DW504" s="14"/>
      <c r="DX504" s="14"/>
      <c r="DY504" s="14"/>
      <c r="DZ504" s="14"/>
      <c r="EA504" s="14"/>
      <c r="EB504" s="14"/>
      <c r="EC504" s="14"/>
      <c r="ED504" s="14"/>
      <c r="EE504" s="14"/>
      <c r="EF504" s="14"/>
      <c r="EG504" s="14"/>
      <c r="EH504" s="14"/>
      <c r="EI504" s="14"/>
      <c r="EJ504" s="14"/>
      <c r="EK504" s="14"/>
      <c r="EL504" s="14"/>
    </row>
    <row r="505" spans="1:241" ht="15" hidden="1" x14ac:dyDescent="0.25">
      <c r="A505" s="8"/>
      <c r="B505" s="1830"/>
      <c r="C505" s="1830"/>
      <c r="D505" s="1830"/>
      <c r="E505" s="84"/>
      <c r="F505" s="84"/>
      <c r="G505" s="84"/>
      <c r="H505" s="84"/>
      <c r="I505" s="84"/>
      <c r="J505" s="84"/>
      <c r="K505" s="84"/>
      <c r="L505" s="84"/>
      <c r="M505" s="84"/>
      <c r="N505" s="84"/>
      <c r="O505" s="84"/>
      <c r="P505" s="75"/>
      <c r="Q505" s="8"/>
      <c r="R505" s="60"/>
      <c r="S505" s="60"/>
      <c r="T505" s="60"/>
      <c r="U505" s="60"/>
      <c r="V505" s="60"/>
      <c r="W505" s="60"/>
      <c r="X505" s="60"/>
      <c r="Y505" s="60"/>
      <c r="Z505" s="60"/>
      <c r="AA505" s="60"/>
      <c r="AB505" s="60"/>
      <c r="AC505" s="60"/>
      <c r="AD505" s="60"/>
      <c r="AE505" s="60"/>
      <c r="AF505" s="60"/>
      <c r="AG505" s="60"/>
      <c r="AH505" s="60"/>
      <c r="AI505" s="60"/>
      <c r="AJ505" s="60"/>
      <c r="AK505" s="60"/>
      <c r="AL505" s="60"/>
      <c r="AM505" s="60"/>
      <c r="AN505" s="60"/>
      <c r="AO505" s="60"/>
      <c r="AP505" s="60"/>
      <c r="AQ505" s="60"/>
      <c r="AR505" s="60"/>
      <c r="AS505" s="60"/>
      <c r="AT505" s="60"/>
      <c r="AU505" s="60"/>
      <c r="AV505" s="60"/>
      <c r="AW505" s="60"/>
      <c r="AX505" s="60"/>
      <c r="AY505" s="60"/>
      <c r="AZ505" s="60"/>
      <c r="BA505" s="60"/>
      <c r="BB505" s="60"/>
      <c r="BC505" s="60"/>
      <c r="BD505" s="60"/>
      <c r="BE505" s="60"/>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C505" s="14"/>
      <c r="DD505" s="14"/>
      <c r="DE505" s="14"/>
      <c r="DF505" s="14"/>
      <c r="DG505" s="14"/>
      <c r="DH505" s="14"/>
      <c r="DI505" s="14"/>
      <c r="DJ505" s="14"/>
      <c r="DK505" s="14"/>
      <c r="DL505" s="14"/>
      <c r="DM505" s="14"/>
      <c r="DN505" s="14"/>
      <c r="DO505" s="14"/>
      <c r="DP505" s="14"/>
      <c r="DQ505" s="14"/>
      <c r="DR505" s="14"/>
      <c r="DS505" s="14"/>
      <c r="DT505" s="14"/>
      <c r="DU505" s="14"/>
      <c r="DV505" s="14"/>
      <c r="DW505" s="14"/>
      <c r="DX505" s="14"/>
      <c r="DY505" s="14"/>
      <c r="DZ505" s="14"/>
      <c r="EA505" s="14"/>
      <c r="EB505" s="14"/>
      <c r="EC505" s="14"/>
      <c r="ED505" s="14"/>
      <c r="EE505" s="14"/>
      <c r="EF505" s="14"/>
      <c r="EG505" s="14"/>
      <c r="EH505" s="14"/>
      <c r="EI505" s="14"/>
      <c r="EJ505" s="14"/>
      <c r="EK505" s="14"/>
      <c r="EL505" s="14"/>
    </row>
    <row r="506" spans="1:241" ht="15" hidden="1" x14ac:dyDescent="0.25">
      <c r="A506" s="8"/>
      <c r="B506" s="1830"/>
      <c r="C506" s="1830"/>
      <c r="D506" s="1830"/>
      <c r="E506" s="84"/>
      <c r="F506" s="84"/>
      <c r="G506" s="84"/>
      <c r="H506" s="84"/>
      <c r="I506" s="84"/>
      <c r="J506" s="84"/>
      <c r="K506" s="84"/>
      <c r="L506" s="84"/>
      <c r="M506" s="84"/>
      <c r="N506" s="84"/>
      <c r="O506" s="84"/>
      <c r="P506" s="75"/>
      <c r="Q506" s="8"/>
      <c r="R506" s="60"/>
      <c r="S506" s="60"/>
      <c r="T506" s="60"/>
      <c r="U506" s="60"/>
      <c r="V506" s="60"/>
      <c r="W506" s="60"/>
      <c r="X506" s="60"/>
      <c r="Y506" s="60"/>
      <c r="Z506" s="60"/>
      <c r="AA506" s="60"/>
      <c r="AB506" s="60"/>
      <c r="AC506" s="60"/>
      <c r="AD506" s="60"/>
      <c r="AE506" s="60"/>
      <c r="AF506" s="60"/>
      <c r="AG506" s="60"/>
      <c r="AH506" s="60"/>
      <c r="AI506" s="60"/>
      <c r="AJ506" s="60"/>
      <c r="AK506" s="60"/>
      <c r="AL506" s="60"/>
      <c r="AM506" s="60"/>
      <c r="AN506" s="60"/>
      <c r="AO506" s="60"/>
      <c r="AP506" s="60"/>
      <c r="AQ506" s="60"/>
      <c r="AR506" s="60"/>
      <c r="AS506" s="60"/>
      <c r="AT506" s="60"/>
      <c r="AU506" s="60"/>
      <c r="AV506" s="60"/>
      <c r="AW506" s="60"/>
      <c r="AX506" s="60"/>
      <c r="AY506" s="60"/>
      <c r="AZ506" s="60"/>
      <c r="BA506" s="60"/>
      <c r="BB506" s="60"/>
      <c r="BC506" s="60"/>
      <c r="BD506" s="60"/>
      <c r="BE506" s="60"/>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c r="CR506" s="14"/>
      <c r="CS506" s="14"/>
      <c r="CT506" s="14"/>
      <c r="CU506" s="14"/>
      <c r="CV506" s="14"/>
      <c r="CW506" s="14"/>
      <c r="CX506" s="14"/>
      <c r="CY506" s="14"/>
      <c r="CZ506" s="14"/>
      <c r="DA506" s="14"/>
      <c r="DB506" s="14"/>
      <c r="DC506" s="14"/>
      <c r="DD506" s="14"/>
      <c r="DE506" s="14"/>
      <c r="DF506" s="14"/>
      <c r="DG506" s="14"/>
      <c r="DH506" s="14"/>
      <c r="DI506" s="14"/>
      <c r="DJ506" s="14"/>
      <c r="DK506" s="14"/>
      <c r="DL506" s="14"/>
      <c r="DM506" s="14"/>
      <c r="DN506" s="14"/>
      <c r="DO506" s="14"/>
      <c r="DP506" s="14"/>
      <c r="DQ506" s="14"/>
      <c r="DR506" s="14"/>
      <c r="DS506" s="14"/>
      <c r="DT506" s="14"/>
      <c r="DU506" s="14"/>
      <c r="DV506" s="14"/>
      <c r="DW506" s="14"/>
      <c r="DX506" s="14"/>
      <c r="DY506" s="14"/>
      <c r="DZ506" s="14"/>
      <c r="EA506" s="14"/>
      <c r="EB506" s="14"/>
      <c r="EC506" s="14"/>
      <c r="ED506" s="14"/>
      <c r="EE506" s="14"/>
      <c r="EF506" s="14"/>
      <c r="EG506" s="14"/>
      <c r="EH506" s="14"/>
      <c r="EI506" s="14"/>
      <c r="EJ506" s="14"/>
      <c r="EK506" s="14"/>
      <c r="EL506" s="14"/>
    </row>
    <row r="507" spans="1:241" ht="15" hidden="1" x14ac:dyDescent="0.25">
      <c r="A507" s="8"/>
      <c r="B507" s="984">
        <v>0.01</v>
      </c>
      <c r="C507" s="1831">
        <v>0.99</v>
      </c>
      <c r="D507" s="1831"/>
      <c r="E507" s="84"/>
      <c r="F507" s="84"/>
      <c r="G507" s="84"/>
      <c r="H507" s="84"/>
      <c r="I507" s="84"/>
      <c r="J507" s="84"/>
      <c r="K507" s="84"/>
      <c r="L507" s="84"/>
      <c r="M507" s="84"/>
      <c r="N507" s="84"/>
      <c r="O507" s="84"/>
      <c r="P507" s="75"/>
      <c r="Q507" s="8"/>
      <c r="R507" s="60"/>
      <c r="S507" s="60"/>
      <c r="T507" s="60"/>
      <c r="U507" s="60"/>
      <c r="V507" s="60"/>
      <c r="W507" s="60"/>
      <c r="X507" s="60"/>
      <c r="Y507" s="60"/>
      <c r="Z507" s="60"/>
      <c r="AA507" s="60"/>
      <c r="AB507" s="60"/>
      <c r="AC507" s="60"/>
      <c r="AD507" s="60"/>
      <c r="AE507" s="60"/>
      <c r="AF507" s="60"/>
      <c r="AG507" s="60"/>
      <c r="AH507" s="60"/>
      <c r="AI507" s="60"/>
      <c r="AJ507" s="60"/>
      <c r="AK507" s="60"/>
      <c r="AL507" s="60"/>
      <c r="AM507" s="60"/>
      <c r="AN507" s="60"/>
      <c r="AO507" s="60"/>
      <c r="AP507" s="60"/>
      <c r="AQ507" s="60"/>
      <c r="AR507" s="60"/>
      <c r="AS507" s="60"/>
      <c r="AT507" s="60"/>
      <c r="AU507" s="60"/>
      <c r="AV507" s="60"/>
      <c r="AW507" s="60"/>
      <c r="AX507" s="60"/>
      <c r="AY507" s="60"/>
      <c r="AZ507" s="60"/>
      <c r="BA507" s="60"/>
      <c r="BB507" s="60"/>
      <c r="BC507" s="60"/>
      <c r="BD507" s="60"/>
      <c r="BE507" s="60"/>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c r="CM507" s="14"/>
      <c r="CN507" s="14"/>
      <c r="CO507" s="14"/>
      <c r="CP507" s="14"/>
      <c r="CQ507" s="14"/>
      <c r="CR507" s="14"/>
      <c r="CS507" s="14"/>
      <c r="CT507" s="14"/>
      <c r="CU507" s="14"/>
      <c r="CV507" s="14"/>
      <c r="CW507" s="14"/>
      <c r="CX507" s="14"/>
      <c r="CY507" s="14"/>
      <c r="CZ507" s="14"/>
      <c r="DA507" s="14"/>
      <c r="DB507" s="14"/>
      <c r="DC507" s="14"/>
      <c r="DD507" s="14"/>
      <c r="DE507" s="14"/>
      <c r="DF507" s="14"/>
      <c r="DG507" s="14"/>
      <c r="DH507" s="14"/>
      <c r="DI507" s="14"/>
      <c r="DJ507" s="14"/>
      <c r="DK507" s="14"/>
      <c r="DL507" s="14"/>
      <c r="DM507" s="14"/>
      <c r="DN507" s="14"/>
      <c r="DO507" s="14"/>
      <c r="DP507" s="14"/>
      <c r="DQ507" s="14"/>
      <c r="DR507" s="14"/>
      <c r="DS507" s="14"/>
      <c r="DT507" s="14"/>
      <c r="DU507" s="14"/>
      <c r="DV507" s="14"/>
      <c r="DW507" s="14"/>
      <c r="DX507" s="14"/>
      <c r="DY507" s="14"/>
      <c r="DZ507" s="14"/>
      <c r="EA507" s="14"/>
      <c r="EB507" s="14"/>
      <c r="EC507" s="14"/>
      <c r="ED507" s="14"/>
      <c r="EE507" s="14"/>
      <c r="EF507" s="14"/>
      <c r="EG507" s="14"/>
      <c r="EH507" s="14"/>
      <c r="EI507" s="14"/>
      <c r="EJ507" s="14"/>
      <c r="EK507" s="14"/>
      <c r="EL507" s="14"/>
    </row>
    <row r="508" spans="1:241" s="219" customFormat="1" hidden="1" x14ac:dyDescent="0.2">
      <c r="C508" s="13"/>
      <c r="D508" s="461"/>
      <c r="F508" s="13"/>
      <c r="G508" s="461"/>
      <c r="I508" s="13"/>
      <c r="J508" s="461"/>
      <c r="L508" s="13"/>
      <c r="M508" s="461"/>
      <c r="O508" s="13"/>
      <c r="P508" s="461"/>
      <c r="R508" s="73"/>
      <c r="S508" s="74"/>
      <c r="T508" s="73"/>
      <c r="U508" s="73"/>
      <c r="V508" s="74"/>
      <c r="W508" s="73"/>
      <c r="X508" s="73"/>
      <c r="Y508" s="74"/>
      <c r="Z508" s="73"/>
      <c r="AA508" s="73"/>
      <c r="AB508" s="74"/>
      <c r="AC508" s="73"/>
      <c r="AD508" s="73"/>
      <c r="AE508" s="74"/>
      <c r="AF508" s="73"/>
      <c r="AG508" s="73"/>
      <c r="AH508" s="74"/>
      <c r="AI508" s="73"/>
      <c r="AJ508" s="73"/>
      <c r="AK508" s="74"/>
      <c r="AL508" s="73"/>
      <c r="AM508" s="73"/>
      <c r="AN508" s="74"/>
      <c r="AO508" s="73"/>
      <c r="AP508" s="73"/>
      <c r="AQ508" s="74"/>
      <c r="AR508" s="73"/>
      <c r="AS508" s="73"/>
      <c r="AT508" s="74"/>
      <c r="AU508" s="73"/>
      <c r="AV508" s="73"/>
      <c r="AW508" s="74"/>
      <c r="AX508" s="73"/>
      <c r="AY508" s="73"/>
      <c r="AZ508" s="74"/>
      <c r="BA508" s="100"/>
      <c r="BB508" s="100"/>
      <c r="BC508" s="101"/>
      <c r="BD508" s="100"/>
      <c r="BE508" s="100"/>
      <c r="BF508" s="101"/>
      <c r="BG508" s="100"/>
      <c r="BH508" s="100"/>
      <c r="BI508" s="101"/>
      <c r="BJ508" s="100"/>
      <c r="BK508" s="100"/>
      <c r="BL508" s="101"/>
      <c r="BM508" s="100"/>
      <c r="BN508" s="100"/>
      <c r="BO508" s="101"/>
      <c r="BP508" s="100"/>
      <c r="BQ508" s="100"/>
      <c r="BR508" s="101"/>
      <c r="BS508" s="100"/>
      <c r="BT508" s="100"/>
      <c r="BU508" s="101"/>
      <c r="BV508" s="100"/>
      <c r="BW508" s="100"/>
      <c r="BX508" s="101"/>
      <c r="BY508" s="100"/>
      <c r="BZ508" s="100"/>
      <c r="CA508" s="101"/>
      <c r="CB508" s="100"/>
      <c r="CC508" s="100"/>
      <c r="CD508" s="101"/>
      <c r="CE508" s="100"/>
      <c r="CF508" s="100"/>
      <c r="CG508" s="101"/>
      <c r="CH508" s="100"/>
      <c r="CI508" s="100"/>
      <c r="CJ508" s="101"/>
      <c r="CK508" s="100"/>
      <c r="CL508" s="100"/>
      <c r="CM508" s="101"/>
      <c r="CN508" s="100"/>
      <c r="CO508" s="100"/>
      <c r="CP508" s="101"/>
      <c r="CQ508" s="100"/>
      <c r="CR508" s="100"/>
      <c r="CS508" s="101"/>
      <c r="CT508" s="100"/>
      <c r="CU508" s="100"/>
      <c r="CV508" s="101"/>
      <c r="CW508" s="100"/>
      <c r="CX508" s="100"/>
      <c r="CY508" s="101"/>
      <c r="CZ508" s="100"/>
      <c r="DA508" s="100"/>
      <c r="DB508" s="101"/>
      <c r="DC508" s="100"/>
      <c r="DD508" s="100"/>
      <c r="DE508" s="101"/>
      <c r="DF508" s="100"/>
      <c r="DG508" s="100"/>
      <c r="DH508" s="101"/>
      <c r="DI508" s="100"/>
      <c r="DJ508" s="100"/>
      <c r="DK508" s="101"/>
      <c r="DL508" s="100"/>
      <c r="DM508" s="100"/>
      <c r="DN508" s="101"/>
      <c r="DO508" s="100"/>
      <c r="DP508" s="100"/>
      <c r="DQ508" s="101"/>
      <c r="DR508" s="100"/>
      <c r="DS508" s="100"/>
      <c r="DT508" s="101"/>
      <c r="DU508" s="100"/>
      <c r="DV508" s="100"/>
      <c r="DW508" s="101"/>
      <c r="DX508" s="100"/>
      <c r="DY508" s="100"/>
      <c r="DZ508" s="101"/>
      <c r="EA508" s="100"/>
      <c r="EB508" s="100"/>
      <c r="EC508" s="101"/>
      <c r="ED508" s="100"/>
      <c r="EE508" s="100"/>
      <c r="EF508" s="101"/>
      <c r="EG508" s="100"/>
      <c r="EH508" s="100"/>
      <c r="EI508" s="101"/>
      <c r="EJ508" s="100"/>
      <c r="EK508" s="100"/>
      <c r="EL508" s="101"/>
      <c r="EN508" s="13"/>
      <c r="EO508" s="461"/>
      <c r="EQ508" s="13"/>
      <c r="ER508" s="461"/>
      <c r="ET508" s="13"/>
      <c r="EU508" s="461"/>
      <c r="EW508" s="13"/>
      <c r="EX508" s="461"/>
      <c r="EZ508" s="13"/>
      <c r="FA508" s="461"/>
      <c r="FC508" s="13"/>
      <c r="FD508" s="461"/>
      <c r="FF508" s="13"/>
      <c r="FG508" s="461"/>
      <c r="FI508" s="13"/>
      <c r="FJ508" s="461"/>
      <c r="FL508" s="13"/>
      <c r="FM508" s="461"/>
      <c r="FO508" s="13"/>
      <c r="FP508" s="461"/>
      <c r="FR508" s="13"/>
      <c r="FS508" s="461"/>
      <c r="FU508" s="13"/>
      <c r="FV508" s="461"/>
      <c r="FX508" s="13"/>
      <c r="FY508" s="461"/>
      <c r="GA508" s="13"/>
      <c r="GB508" s="461"/>
      <c r="GD508" s="13"/>
      <c r="GE508" s="461"/>
      <c r="GG508" s="13"/>
      <c r="GH508" s="461"/>
      <c r="GJ508" s="13"/>
      <c r="GK508" s="461"/>
      <c r="GM508" s="13"/>
      <c r="GN508" s="461"/>
      <c r="GP508" s="13"/>
      <c r="GQ508" s="461"/>
      <c r="GS508" s="13"/>
      <c r="GT508" s="461"/>
      <c r="GV508" s="13"/>
      <c r="GW508" s="461"/>
      <c r="GY508" s="13"/>
      <c r="GZ508" s="461"/>
      <c r="HB508" s="13"/>
      <c r="HC508" s="461"/>
      <c r="HE508" s="13"/>
      <c r="HF508" s="461"/>
      <c r="HH508" s="13"/>
      <c r="HI508" s="461"/>
      <c r="HK508" s="13"/>
      <c r="HL508" s="461"/>
      <c r="HN508" s="13"/>
      <c r="HO508" s="461"/>
      <c r="HQ508" s="13"/>
      <c r="HR508" s="461"/>
      <c r="HT508" s="13"/>
      <c r="HU508" s="461"/>
      <c r="HW508" s="13"/>
      <c r="HX508" s="461"/>
      <c r="HZ508" s="13"/>
      <c r="IA508" s="461"/>
      <c r="IC508" s="13"/>
      <c r="ID508" s="461"/>
      <c r="IF508" s="13"/>
      <c r="IG508" s="461"/>
    </row>
    <row r="509" spans="1:241" hidden="1" x14ac:dyDescent="0.2">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c r="CM509" s="14"/>
      <c r="CN509" s="14"/>
      <c r="CO509" s="14"/>
      <c r="CP509" s="14"/>
      <c r="CQ509" s="14"/>
      <c r="CR509" s="14"/>
      <c r="CS509" s="14"/>
      <c r="CT509" s="14"/>
      <c r="CU509" s="14"/>
      <c r="CV509" s="14"/>
      <c r="CW509" s="14"/>
      <c r="CX509" s="14"/>
      <c r="CY509" s="14"/>
      <c r="CZ509" s="14"/>
      <c r="DA509" s="14"/>
      <c r="DB509" s="14"/>
      <c r="DC509" s="14"/>
      <c r="DD509" s="14"/>
      <c r="DE509" s="14"/>
      <c r="DF509" s="14"/>
      <c r="DG509" s="14"/>
      <c r="DH509" s="14"/>
      <c r="DI509" s="14"/>
      <c r="DJ509" s="14"/>
      <c r="DK509" s="14"/>
      <c r="DL509" s="14"/>
      <c r="DM509" s="14"/>
      <c r="DN509" s="14"/>
      <c r="DO509" s="14"/>
      <c r="DP509" s="14"/>
      <c r="DQ509" s="14"/>
      <c r="DR509" s="14"/>
      <c r="DS509" s="14"/>
      <c r="DT509" s="14"/>
      <c r="DU509" s="14"/>
      <c r="DV509" s="14"/>
      <c r="DW509" s="14"/>
      <c r="DX509" s="14"/>
      <c r="DY509" s="14"/>
      <c r="DZ509" s="14"/>
      <c r="EA509" s="14"/>
      <c r="EB509" s="14"/>
      <c r="EC509" s="14"/>
      <c r="ED509" s="14"/>
      <c r="EE509" s="14"/>
      <c r="EF509" s="14"/>
      <c r="EG509" s="14"/>
      <c r="EH509" s="14"/>
      <c r="EI509" s="14"/>
      <c r="EJ509" s="14"/>
      <c r="EK509" s="14"/>
      <c r="EL509" s="14"/>
    </row>
    <row r="510" spans="1:241" hidden="1" x14ac:dyDescent="0.2">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c r="CZ510" s="14"/>
      <c r="DA510" s="14"/>
      <c r="DB510" s="14"/>
      <c r="DC510" s="14"/>
      <c r="DD510" s="14"/>
      <c r="DE510" s="14"/>
      <c r="DF510" s="14"/>
      <c r="DG510" s="14"/>
      <c r="DH510" s="14"/>
      <c r="DI510" s="14"/>
      <c r="DJ510" s="14"/>
      <c r="DK510" s="14"/>
      <c r="DL510" s="14"/>
      <c r="DM510" s="14"/>
      <c r="DN510" s="14"/>
      <c r="DO510" s="14"/>
      <c r="DP510" s="14"/>
      <c r="DQ510" s="14"/>
      <c r="DR510" s="14"/>
      <c r="DS510" s="14"/>
      <c r="DT510" s="14"/>
      <c r="DU510" s="14"/>
      <c r="DV510" s="14"/>
      <c r="DW510" s="14"/>
      <c r="DX510" s="14"/>
      <c r="DY510" s="14"/>
      <c r="DZ510" s="14"/>
      <c r="EA510" s="14"/>
      <c r="EB510" s="14"/>
      <c r="EC510" s="14"/>
      <c r="ED510" s="14"/>
      <c r="EE510" s="14"/>
      <c r="EF510" s="14"/>
      <c r="EG510" s="14"/>
      <c r="EH510" s="14"/>
      <c r="EI510" s="14"/>
      <c r="EJ510" s="14"/>
      <c r="EK510" s="14"/>
      <c r="EL510" s="14"/>
    </row>
    <row r="511" spans="1:241" ht="46.5" hidden="1" customHeight="1" x14ac:dyDescent="0.2">
      <c r="B511" s="893" t="s">
        <v>2235</v>
      </c>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c r="CR511" s="14"/>
      <c r="CS511" s="14"/>
      <c r="CT511" s="14"/>
      <c r="CU511" s="14"/>
      <c r="CV511" s="14"/>
      <c r="CW511" s="14"/>
      <c r="CX511" s="14"/>
      <c r="CY511" s="14"/>
      <c r="CZ511" s="14"/>
      <c r="DA511" s="14"/>
      <c r="DB511" s="14"/>
      <c r="DC511" s="14"/>
      <c r="DD511" s="14"/>
      <c r="DE511" s="14"/>
      <c r="DF511" s="14"/>
      <c r="DG511" s="14"/>
      <c r="DH511" s="14"/>
      <c r="DI511" s="14"/>
      <c r="DJ511" s="14"/>
      <c r="DK511" s="14"/>
      <c r="DL511" s="14"/>
      <c r="DM511" s="14"/>
      <c r="DN511" s="14"/>
      <c r="DO511" s="14"/>
      <c r="DP511" s="14"/>
      <c r="DQ511" s="14"/>
      <c r="DR511" s="14"/>
      <c r="DS511" s="14"/>
      <c r="DT511" s="14"/>
      <c r="DU511" s="14"/>
      <c r="DV511" s="14"/>
      <c r="DW511" s="14"/>
      <c r="DX511" s="14"/>
      <c r="DY511" s="14"/>
      <c r="DZ511" s="14"/>
      <c r="EA511" s="14"/>
      <c r="EB511" s="14"/>
      <c r="EC511" s="14"/>
      <c r="ED511" s="14"/>
      <c r="EE511" s="14"/>
      <c r="EF511" s="14"/>
      <c r="EG511" s="14"/>
      <c r="EH511" s="14"/>
      <c r="EI511" s="14"/>
      <c r="EJ511" s="14"/>
      <c r="EK511" s="14"/>
      <c r="EL511" s="14"/>
    </row>
    <row r="512" spans="1:241" hidden="1" x14ac:dyDescent="0.2">
      <c r="B512" s="905" t="s">
        <v>1942</v>
      </c>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c r="CR512" s="14"/>
      <c r="CS512" s="14"/>
      <c r="CT512" s="14"/>
      <c r="CU512" s="14"/>
      <c r="CV512" s="14"/>
      <c r="CW512" s="14"/>
      <c r="CX512" s="14"/>
      <c r="CY512" s="14"/>
      <c r="CZ512" s="14"/>
      <c r="DA512" s="14"/>
      <c r="DB512" s="14"/>
      <c r="DC512" s="14"/>
      <c r="DD512" s="14"/>
      <c r="DE512" s="14"/>
      <c r="DF512" s="14"/>
      <c r="DG512" s="14"/>
      <c r="DH512" s="14"/>
      <c r="DI512" s="14"/>
      <c r="DJ512" s="14"/>
      <c r="DK512" s="14"/>
      <c r="DL512" s="14"/>
      <c r="DM512" s="14"/>
      <c r="DN512" s="14"/>
      <c r="DO512" s="14"/>
      <c r="DP512" s="14"/>
      <c r="DQ512" s="14"/>
      <c r="DR512" s="14"/>
      <c r="DS512" s="14"/>
      <c r="DT512" s="14"/>
      <c r="DU512" s="14"/>
      <c r="DV512" s="14"/>
      <c r="DW512" s="14"/>
      <c r="DX512" s="14"/>
      <c r="DY512" s="14"/>
      <c r="DZ512" s="14"/>
      <c r="EA512" s="14"/>
      <c r="EB512" s="14"/>
      <c r="EC512" s="14"/>
      <c r="ED512" s="14"/>
      <c r="EE512" s="14"/>
      <c r="EF512" s="14"/>
      <c r="EG512" s="14"/>
      <c r="EH512" s="14"/>
      <c r="EI512" s="14"/>
      <c r="EJ512" s="14"/>
      <c r="EK512" s="14"/>
      <c r="EL512" s="14"/>
    </row>
    <row r="513" spans="2:142" hidden="1" x14ac:dyDescent="0.2">
      <c r="B513" s="905">
        <v>0</v>
      </c>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c r="CM513" s="14"/>
      <c r="CN513" s="14"/>
      <c r="CO513" s="14"/>
      <c r="CP513" s="14"/>
      <c r="CQ513" s="14"/>
      <c r="CR513" s="14"/>
      <c r="CS513" s="14"/>
      <c r="CT513" s="14"/>
      <c r="CU513" s="14"/>
      <c r="CV513" s="14"/>
      <c r="CW513" s="14"/>
      <c r="CX513" s="14"/>
      <c r="CY513" s="14"/>
      <c r="CZ513" s="14"/>
      <c r="DA513" s="14"/>
      <c r="DB513" s="14"/>
      <c r="DC513" s="14"/>
      <c r="DD513" s="14"/>
      <c r="DE513" s="14"/>
      <c r="DF513" s="14"/>
      <c r="DG513" s="14"/>
      <c r="DH513" s="14"/>
      <c r="DI513" s="14"/>
      <c r="DJ513" s="14"/>
      <c r="DK513" s="14"/>
      <c r="DL513" s="14"/>
      <c r="DM513" s="14"/>
      <c r="DN513" s="14"/>
      <c r="DO513" s="14"/>
      <c r="DP513" s="14"/>
      <c r="DQ513" s="14"/>
      <c r="DR513" s="14"/>
      <c r="DS513" s="14"/>
      <c r="DT513" s="14"/>
      <c r="DU513" s="14"/>
      <c r="DV513" s="14"/>
      <c r="DW513" s="14"/>
      <c r="DX513" s="14"/>
      <c r="DY513" s="14"/>
      <c r="DZ513" s="14"/>
      <c r="EA513" s="14"/>
      <c r="EB513" s="14"/>
      <c r="EC513" s="14"/>
      <c r="ED513" s="14"/>
      <c r="EE513" s="14"/>
      <c r="EF513" s="14"/>
      <c r="EG513" s="14"/>
      <c r="EH513" s="14"/>
      <c r="EI513" s="14"/>
      <c r="EJ513" s="14"/>
      <c r="EK513" s="14"/>
      <c r="EL513" s="14"/>
    </row>
    <row r="514" spans="2:142" hidden="1" x14ac:dyDescent="0.2">
      <c r="B514" s="905">
        <v>1</v>
      </c>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c r="CM514" s="14"/>
      <c r="CN514" s="14"/>
      <c r="CO514" s="14"/>
      <c r="CP514" s="14"/>
      <c r="CQ514" s="14"/>
      <c r="CR514" s="14"/>
      <c r="CS514" s="14"/>
      <c r="CT514" s="14"/>
      <c r="CU514" s="14"/>
      <c r="CV514" s="14"/>
      <c r="CW514" s="14"/>
      <c r="CX514" s="14"/>
      <c r="CY514" s="14"/>
      <c r="CZ514" s="14"/>
      <c r="DA514" s="14"/>
      <c r="DB514" s="14"/>
      <c r="DC514" s="14"/>
      <c r="DD514" s="14"/>
      <c r="DE514" s="14"/>
      <c r="DF514" s="14"/>
      <c r="DG514" s="14"/>
      <c r="DH514" s="14"/>
      <c r="DI514" s="14"/>
      <c r="DJ514" s="14"/>
      <c r="DK514" s="14"/>
      <c r="DL514" s="14"/>
      <c r="DM514" s="14"/>
      <c r="DN514" s="14"/>
      <c r="DO514" s="14"/>
      <c r="DP514" s="14"/>
      <c r="DQ514" s="14"/>
      <c r="DR514" s="14"/>
      <c r="DS514" s="14"/>
      <c r="DT514" s="14"/>
      <c r="DU514" s="14"/>
      <c r="DV514" s="14"/>
      <c r="DW514" s="14"/>
      <c r="DX514" s="14"/>
      <c r="DY514" s="14"/>
      <c r="DZ514" s="14"/>
      <c r="EA514" s="14"/>
      <c r="EB514" s="14"/>
      <c r="EC514" s="14"/>
      <c r="ED514" s="14"/>
      <c r="EE514" s="14"/>
      <c r="EF514" s="14"/>
      <c r="EG514" s="14"/>
      <c r="EH514" s="14"/>
      <c r="EI514" s="14"/>
      <c r="EJ514" s="14"/>
      <c r="EK514" s="14"/>
      <c r="EL514" s="14"/>
    </row>
    <row r="515" spans="2:142" hidden="1" x14ac:dyDescent="0.2">
      <c r="B515" s="905">
        <v>2</v>
      </c>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c r="CZ515" s="14"/>
      <c r="DA515" s="14"/>
      <c r="DB515" s="14"/>
      <c r="DC515" s="14"/>
      <c r="DD515" s="14"/>
      <c r="DE515" s="14"/>
      <c r="DF515" s="14"/>
      <c r="DG515" s="14"/>
      <c r="DH515" s="14"/>
      <c r="DI515" s="14"/>
      <c r="DJ515" s="14"/>
      <c r="DK515" s="14"/>
      <c r="DL515" s="14"/>
      <c r="DM515" s="14"/>
      <c r="DN515" s="14"/>
      <c r="DO515" s="14"/>
      <c r="DP515" s="14"/>
      <c r="DQ515" s="14"/>
      <c r="DR515" s="14"/>
      <c r="DS515" s="14"/>
      <c r="DT515" s="14"/>
      <c r="DU515" s="14"/>
      <c r="DV515" s="14"/>
      <c r="DW515" s="14"/>
      <c r="DX515" s="14"/>
      <c r="DY515" s="14"/>
      <c r="DZ515" s="14"/>
      <c r="EA515" s="14"/>
      <c r="EB515" s="14"/>
      <c r="EC515" s="14"/>
      <c r="ED515" s="14"/>
      <c r="EE515" s="14"/>
      <c r="EF515" s="14"/>
      <c r="EG515" s="14"/>
      <c r="EH515" s="14"/>
      <c r="EI515" s="14"/>
      <c r="EJ515" s="14"/>
      <c r="EK515" s="14"/>
      <c r="EL515" s="14"/>
    </row>
    <row r="516" spans="2:142" hidden="1" x14ac:dyDescent="0.2">
      <c r="B516" s="905">
        <v>3</v>
      </c>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c r="CO516" s="14"/>
      <c r="CP516" s="14"/>
      <c r="CQ516" s="14"/>
      <c r="CR516" s="14"/>
      <c r="CS516" s="14"/>
      <c r="CT516" s="14"/>
      <c r="CU516" s="14"/>
      <c r="CV516" s="14"/>
      <c r="CW516" s="14"/>
      <c r="CX516" s="14"/>
      <c r="CY516" s="14"/>
      <c r="CZ516" s="14"/>
      <c r="DA516" s="14"/>
      <c r="DB516" s="14"/>
      <c r="DC516" s="14"/>
      <c r="DD516" s="14"/>
      <c r="DE516" s="14"/>
      <c r="DF516" s="14"/>
      <c r="DG516" s="14"/>
      <c r="DH516" s="14"/>
      <c r="DI516" s="14"/>
      <c r="DJ516" s="14"/>
      <c r="DK516" s="14"/>
      <c r="DL516" s="14"/>
      <c r="DM516" s="14"/>
      <c r="DN516" s="14"/>
      <c r="DO516" s="14"/>
      <c r="DP516" s="14"/>
      <c r="DQ516" s="14"/>
      <c r="DR516" s="14"/>
      <c r="DS516" s="14"/>
      <c r="DT516" s="14"/>
      <c r="DU516" s="14"/>
      <c r="DV516" s="14"/>
      <c r="DW516" s="14"/>
      <c r="DX516" s="14"/>
      <c r="DY516" s="14"/>
      <c r="DZ516" s="14"/>
      <c r="EA516" s="14"/>
      <c r="EB516" s="14"/>
      <c r="EC516" s="14"/>
      <c r="ED516" s="14"/>
      <c r="EE516" s="14"/>
      <c r="EF516" s="14"/>
      <c r="EG516" s="14"/>
      <c r="EH516" s="14"/>
      <c r="EI516" s="14"/>
      <c r="EJ516" s="14"/>
      <c r="EK516" s="14"/>
      <c r="EL516" s="14"/>
    </row>
    <row r="517" spans="2:142" hidden="1" x14ac:dyDescent="0.2">
      <c r="B517" s="905">
        <v>4</v>
      </c>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4"/>
      <c r="BB517" s="14"/>
      <c r="BC517" s="14"/>
      <c r="BD517" s="14"/>
      <c r="BE517" s="14"/>
      <c r="BF517" s="14"/>
      <c r="BG517" s="14"/>
      <c r="BH517" s="14"/>
      <c r="BI517" s="14"/>
      <c r="BJ517" s="14"/>
      <c r="BK517" s="14"/>
      <c r="BL517" s="14"/>
      <c r="BM517" s="14"/>
      <c r="BN517" s="14"/>
      <c r="BO517" s="14"/>
      <c r="BP517" s="14"/>
      <c r="BQ517" s="14"/>
      <c r="BR517" s="14"/>
      <c r="BS517" s="14"/>
      <c r="BT517" s="14"/>
      <c r="BU517" s="14"/>
      <c r="BV517" s="14"/>
      <c r="BW517" s="14"/>
      <c r="BX517" s="14"/>
      <c r="BY517" s="14"/>
      <c r="BZ517" s="14"/>
      <c r="CA517" s="14"/>
      <c r="CB517" s="14"/>
      <c r="CC517" s="14"/>
      <c r="CD517" s="14"/>
      <c r="CE517" s="14"/>
      <c r="CF517" s="14"/>
      <c r="CG517" s="14"/>
      <c r="CH517" s="14"/>
      <c r="CI517" s="14"/>
      <c r="CJ517" s="14"/>
      <c r="CK517" s="14"/>
      <c r="CL517" s="14"/>
      <c r="CM517" s="14"/>
      <c r="CN517" s="14"/>
      <c r="CO517" s="14"/>
      <c r="CP517" s="14"/>
      <c r="CQ517" s="14"/>
      <c r="CR517" s="14"/>
      <c r="CS517" s="14"/>
      <c r="CT517" s="14"/>
      <c r="CU517" s="14"/>
      <c r="CV517" s="14"/>
      <c r="CW517" s="14"/>
      <c r="CX517" s="14"/>
      <c r="CY517" s="14"/>
      <c r="CZ517" s="14"/>
      <c r="DA517" s="14"/>
      <c r="DB517" s="14"/>
      <c r="DC517" s="14"/>
      <c r="DD517" s="14"/>
      <c r="DE517" s="14"/>
      <c r="DF517" s="14"/>
      <c r="DG517" s="14"/>
      <c r="DH517" s="14"/>
      <c r="DI517" s="14"/>
      <c r="DJ517" s="14"/>
      <c r="DK517" s="14"/>
      <c r="DL517" s="14"/>
      <c r="DM517" s="14"/>
      <c r="DN517" s="14"/>
      <c r="DO517" s="14"/>
      <c r="DP517" s="14"/>
      <c r="DQ517" s="14"/>
      <c r="DR517" s="14"/>
      <c r="DS517" s="14"/>
      <c r="DT517" s="14"/>
      <c r="DU517" s="14"/>
      <c r="DV517" s="14"/>
      <c r="DW517" s="14"/>
      <c r="DX517" s="14"/>
      <c r="DY517" s="14"/>
      <c r="DZ517" s="14"/>
      <c r="EA517" s="14"/>
      <c r="EB517" s="14"/>
      <c r="EC517" s="14"/>
      <c r="ED517" s="14"/>
      <c r="EE517" s="14"/>
      <c r="EF517" s="14"/>
      <c r="EG517" s="14"/>
      <c r="EH517" s="14"/>
      <c r="EI517" s="14"/>
      <c r="EJ517" s="14"/>
      <c r="EK517" s="14"/>
      <c r="EL517" s="14"/>
    </row>
    <row r="518" spans="2:142" hidden="1" x14ac:dyDescent="0.2">
      <c r="B518" s="905">
        <v>5</v>
      </c>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4"/>
      <c r="BB518" s="14"/>
      <c r="BC518" s="14"/>
      <c r="BD518" s="14"/>
      <c r="BE518" s="14"/>
      <c r="BF518" s="14"/>
      <c r="BG518" s="14"/>
      <c r="BH518" s="14"/>
      <c r="BI518" s="14"/>
      <c r="BJ518" s="14"/>
      <c r="BK518" s="14"/>
      <c r="BL518" s="14"/>
      <c r="BM518" s="14"/>
      <c r="BN518" s="14"/>
      <c r="BO518" s="14"/>
      <c r="BP518" s="14"/>
      <c r="BQ518" s="14"/>
      <c r="BR518" s="14"/>
      <c r="BS518" s="14"/>
      <c r="BT518" s="14"/>
      <c r="BU518" s="14"/>
      <c r="BV518" s="14"/>
      <c r="BW518" s="14"/>
      <c r="BX518" s="14"/>
      <c r="BY518" s="14"/>
      <c r="BZ518" s="14"/>
      <c r="CA518" s="14"/>
      <c r="CB518" s="14"/>
      <c r="CC518" s="14"/>
      <c r="CD518" s="14"/>
      <c r="CE518" s="14"/>
      <c r="CF518" s="14"/>
      <c r="CG518" s="14"/>
      <c r="CH518" s="14"/>
      <c r="CI518" s="14"/>
      <c r="CJ518" s="14"/>
      <c r="CK518" s="14"/>
      <c r="CL518" s="14"/>
      <c r="CM518" s="14"/>
      <c r="CN518" s="14"/>
      <c r="CO518" s="14"/>
      <c r="CP518" s="14"/>
      <c r="CQ518" s="14"/>
      <c r="CR518" s="14"/>
      <c r="CS518" s="14"/>
      <c r="CT518" s="14"/>
      <c r="CU518" s="14"/>
      <c r="CV518" s="14"/>
      <c r="CW518" s="14"/>
      <c r="CX518" s="14"/>
      <c r="CY518" s="14"/>
      <c r="CZ518" s="14"/>
      <c r="DA518" s="14"/>
      <c r="DB518" s="14"/>
      <c r="DC518" s="14"/>
      <c r="DD518" s="14"/>
      <c r="DE518" s="14"/>
      <c r="DF518" s="14"/>
      <c r="DG518" s="14"/>
      <c r="DH518" s="14"/>
      <c r="DI518" s="14"/>
      <c r="DJ518" s="14"/>
      <c r="DK518" s="14"/>
      <c r="DL518" s="14"/>
      <c r="DM518" s="14"/>
      <c r="DN518" s="14"/>
      <c r="DO518" s="14"/>
      <c r="DP518" s="14"/>
      <c r="DQ518" s="14"/>
      <c r="DR518" s="14"/>
      <c r="DS518" s="14"/>
      <c r="DT518" s="14"/>
      <c r="DU518" s="14"/>
      <c r="DV518" s="14"/>
      <c r="DW518" s="14"/>
      <c r="DX518" s="14"/>
      <c r="DY518" s="14"/>
      <c r="DZ518" s="14"/>
      <c r="EA518" s="14"/>
      <c r="EB518" s="14"/>
      <c r="EC518" s="14"/>
      <c r="ED518" s="14"/>
      <c r="EE518" s="14"/>
      <c r="EF518" s="14"/>
      <c r="EG518" s="14"/>
      <c r="EH518" s="14"/>
      <c r="EI518" s="14"/>
      <c r="EJ518" s="14"/>
      <c r="EK518" s="14"/>
      <c r="EL518" s="14"/>
    </row>
    <row r="519" spans="2:142" hidden="1" x14ac:dyDescent="0.2">
      <c r="B519" s="905">
        <v>6</v>
      </c>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4"/>
      <c r="BB519" s="14"/>
      <c r="BC519" s="14"/>
      <c r="BD519" s="14"/>
      <c r="BE519" s="14"/>
      <c r="BF519" s="14"/>
      <c r="BG519" s="14"/>
      <c r="BH519" s="14"/>
      <c r="BI519" s="14"/>
      <c r="BJ519" s="14"/>
      <c r="BK519" s="14"/>
      <c r="BL519" s="14"/>
      <c r="BM519" s="14"/>
      <c r="BN519" s="14"/>
      <c r="BO519" s="14"/>
      <c r="BP519" s="14"/>
      <c r="BQ519" s="14"/>
      <c r="BR519" s="14"/>
      <c r="BS519" s="14"/>
      <c r="BT519" s="14"/>
      <c r="BU519" s="14"/>
      <c r="BV519" s="14"/>
      <c r="BW519" s="14"/>
      <c r="BX519" s="14"/>
      <c r="BY519" s="14"/>
      <c r="BZ519" s="14"/>
      <c r="CA519" s="14"/>
      <c r="CB519" s="14"/>
      <c r="CC519" s="14"/>
      <c r="CD519" s="14"/>
      <c r="CE519" s="14"/>
      <c r="CF519" s="14"/>
      <c r="CG519" s="14"/>
      <c r="CH519" s="14"/>
      <c r="CI519" s="14"/>
      <c r="CJ519" s="14"/>
      <c r="CK519" s="14"/>
      <c r="CL519" s="14"/>
      <c r="CM519" s="14"/>
      <c r="CN519" s="14"/>
      <c r="CO519" s="14"/>
      <c r="CP519" s="14"/>
      <c r="CQ519" s="14"/>
      <c r="CR519" s="14"/>
      <c r="CS519" s="14"/>
      <c r="CT519" s="14"/>
      <c r="CU519" s="14"/>
      <c r="CV519" s="14"/>
      <c r="CW519" s="14"/>
      <c r="CX519" s="14"/>
      <c r="CY519" s="14"/>
      <c r="CZ519" s="14"/>
      <c r="DA519" s="14"/>
      <c r="DB519" s="14"/>
      <c r="DC519" s="14"/>
      <c r="DD519" s="14"/>
      <c r="DE519" s="14"/>
      <c r="DF519" s="14"/>
      <c r="DG519" s="14"/>
      <c r="DH519" s="14"/>
      <c r="DI519" s="14"/>
      <c r="DJ519" s="14"/>
      <c r="DK519" s="14"/>
      <c r="DL519" s="14"/>
      <c r="DM519" s="14"/>
      <c r="DN519" s="14"/>
      <c r="DO519" s="14"/>
      <c r="DP519" s="14"/>
      <c r="DQ519" s="14"/>
      <c r="DR519" s="14"/>
      <c r="DS519" s="14"/>
      <c r="DT519" s="14"/>
      <c r="DU519" s="14"/>
      <c r="DV519" s="14"/>
      <c r="DW519" s="14"/>
      <c r="DX519" s="14"/>
      <c r="DY519" s="14"/>
      <c r="DZ519" s="14"/>
      <c r="EA519" s="14"/>
      <c r="EB519" s="14"/>
      <c r="EC519" s="14"/>
      <c r="ED519" s="14"/>
      <c r="EE519" s="14"/>
      <c r="EF519" s="14"/>
      <c r="EG519" s="14"/>
      <c r="EH519" s="14"/>
      <c r="EI519" s="14"/>
      <c r="EJ519" s="14"/>
      <c r="EK519" s="14"/>
      <c r="EL519" s="14"/>
    </row>
    <row r="520" spans="2:142" hidden="1" x14ac:dyDescent="0.2">
      <c r="B520" s="905">
        <v>7</v>
      </c>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4"/>
      <c r="BB520" s="14"/>
      <c r="BC520" s="14"/>
      <c r="BD520" s="14"/>
      <c r="BE520" s="14"/>
      <c r="BF520" s="14"/>
      <c r="BG520" s="14"/>
      <c r="BH520" s="14"/>
      <c r="BI520" s="14"/>
      <c r="BJ520" s="14"/>
      <c r="BK520" s="14"/>
      <c r="BL520" s="14"/>
      <c r="BM520" s="14"/>
      <c r="BN520" s="14"/>
      <c r="BO520" s="14"/>
      <c r="BP520" s="14"/>
      <c r="BQ520" s="14"/>
      <c r="BR520" s="14"/>
      <c r="BS520" s="14"/>
      <c r="BT520" s="14"/>
      <c r="BU520" s="14"/>
      <c r="BV520" s="14"/>
      <c r="BW520" s="14"/>
      <c r="BX520" s="14"/>
      <c r="BY520" s="14"/>
      <c r="BZ520" s="14"/>
      <c r="CA520" s="14"/>
      <c r="CB520" s="14"/>
      <c r="CC520" s="14"/>
      <c r="CD520" s="14"/>
      <c r="CE520" s="14"/>
      <c r="CF520" s="14"/>
      <c r="CG520" s="14"/>
      <c r="CH520" s="14"/>
      <c r="CI520" s="14"/>
      <c r="CJ520" s="14"/>
      <c r="CK520" s="14"/>
      <c r="CL520" s="14"/>
      <c r="CM520" s="14"/>
      <c r="CN520" s="14"/>
      <c r="CO520" s="14"/>
      <c r="CP520" s="14"/>
      <c r="CQ520" s="14"/>
      <c r="CR520" s="14"/>
      <c r="CS520" s="14"/>
      <c r="CT520" s="14"/>
      <c r="CU520" s="14"/>
      <c r="CV520" s="14"/>
      <c r="CW520" s="14"/>
      <c r="CX520" s="14"/>
      <c r="CY520" s="14"/>
      <c r="CZ520" s="14"/>
      <c r="DA520" s="14"/>
      <c r="DB520" s="14"/>
      <c r="DC520" s="14"/>
      <c r="DD520" s="14"/>
      <c r="DE520" s="14"/>
      <c r="DF520" s="14"/>
      <c r="DG520" s="14"/>
      <c r="DH520" s="14"/>
      <c r="DI520" s="14"/>
      <c r="DJ520" s="14"/>
      <c r="DK520" s="14"/>
      <c r="DL520" s="14"/>
      <c r="DM520" s="14"/>
      <c r="DN520" s="14"/>
      <c r="DO520" s="14"/>
      <c r="DP520" s="14"/>
      <c r="DQ520" s="14"/>
      <c r="DR520" s="14"/>
      <c r="DS520" s="14"/>
      <c r="DT520" s="14"/>
      <c r="DU520" s="14"/>
      <c r="DV520" s="14"/>
      <c r="DW520" s="14"/>
      <c r="DX520" s="14"/>
      <c r="DY520" s="14"/>
      <c r="DZ520" s="14"/>
      <c r="EA520" s="14"/>
      <c r="EB520" s="14"/>
      <c r="EC520" s="14"/>
      <c r="ED520" s="14"/>
      <c r="EE520" s="14"/>
      <c r="EF520" s="14"/>
      <c r="EG520" s="14"/>
      <c r="EH520" s="14"/>
      <c r="EI520" s="14"/>
      <c r="EJ520" s="14"/>
      <c r="EK520" s="14"/>
      <c r="EL520" s="14"/>
    </row>
    <row r="521" spans="2:142" hidden="1" x14ac:dyDescent="0.2">
      <c r="B521" s="905">
        <v>8</v>
      </c>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4"/>
      <c r="BB521" s="14"/>
      <c r="BC521" s="14"/>
      <c r="BD521" s="14"/>
      <c r="BE521" s="14"/>
      <c r="BF521" s="14"/>
      <c r="BG521" s="14"/>
      <c r="BH521" s="14"/>
      <c r="BI521" s="14"/>
      <c r="BJ521" s="14"/>
      <c r="BK521" s="14"/>
      <c r="BL521" s="14"/>
      <c r="BM521" s="14"/>
      <c r="BN521" s="14"/>
      <c r="BO521" s="14"/>
      <c r="BP521" s="14"/>
      <c r="BQ521" s="14"/>
      <c r="BR521" s="14"/>
      <c r="BS521" s="14"/>
      <c r="BT521" s="14"/>
      <c r="BU521" s="14"/>
      <c r="BV521" s="14"/>
      <c r="BW521" s="14"/>
      <c r="BX521" s="14"/>
      <c r="BY521" s="14"/>
      <c r="BZ521" s="14"/>
      <c r="CA521" s="14"/>
      <c r="CB521" s="14"/>
      <c r="CC521" s="14"/>
      <c r="CD521" s="14"/>
      <c r="CE521" s="14"/>
      <c r="CF521" s="14"/>
      <c r="CG521" s="14"/>
      <c r="CH521" s="14"/>
      <c r="CI521" s="14"/>
      <c r="CJ521" s="14"/>
      <c r="CK521" s="14"/>
      <c r="CL521" s="14"/>
      <c r="CM521" s="14"/>
      <c r="CN521" s="14"/>
      <c r="CO521" s="14"/>
      <c r="CP521" s="14"/>
      <c r="CQ521" s="14"/>
      <c r="CR521" s="14"/>
      <c r="CS521" s="14"/>
      <c r="CT521" s="14"/>
      <c r="CU521" s="14"/>
      <c r="CV521" s="14"/>
      <c r="CW521" s="14"/>
      <c r="CX521" s="14"/>
      <c r="CY521" s="14"/>
      <c r="CZ521" s="14"/>
      <c r="DA521" s="14"/>
      <c r="DB521" s="14"/>
      <c r="DC521" s="14"/>
      <c r="DD521" s="14"/>
      <c r="DE521" s="14"/>
      <c r="DF521" s="14"/>
      <c r="DG521" s="14"/>
      <c r="DH521" s="14"/>
      <c r="DI521" s="14"/>
      <c r="DJ521" s="14"/>
      <c r="DK521" s="14"/>
      <c r="DL521" s="14"/>
      <c r="DM521" s="14"/>
      <c r="DN521" s="14"/>
      <c r="DO521" s="14"/>
      <c r="DP521" s="14"/>
      <c r="DQ521" s="14"/>
      <c r="DR521" s="14"/>
      <c r="DS521" s="14"/>
      <c r="DT521" s="14"/>
      <c r="DU521" s="14"/>
      <c r="DV521" s="14"/>
      <c r="DW521" s="14"/>
      <c r="DX521" s="14"/>
      <c r="DY521" s="14"/>
      <c r="DZ521" s="14"/>
      <c r="EA521" s="14"/>
      <c r="EB521" s="14"/>
      <c r="EC521" s="14"/>
      <c r="ED521" s="14"/>
      <c r="EE521" s="14"/>
      <c r="EF521" s="14"/>
      <c r="EG521" s="14"/>
      <c r="EH521" s="14"/>
      <c r="EI521" s="14"/>
      <c r="EJ521" s="14"/>
      <c r="EK521" s="14"/>
      <c r="EL521" s="14"/>
    </row>
    <row r="522" spans="2:142" hidden="1" x14ac:dyDescent="0.2">
      <c r="B522" s="905">
        <v>9</v>
      </c>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4"/>
      <c r="BB522" s="14"/>
      <c r="BC522" s="14"/>
      <c r="BD522" s="14"/>
      <c r="BE522" s="14"/>
      <c r="BF522" s="14"/>
      <c r="BG522" s="14"/>
      <c r="BH522" s="14"/>
      <c r="BI522" s="14"/>
      <c r="BJ522" s="14"/>
      <c r="BK522" s="14"/>
      <c r="BL522" s="14"/>
      <c r="BM522" s="14"/>
      <c r="BN522" s="14"/>
      <c r="BO522" s="14"/>
      <c r="BP522" s="14"/>
      <c r="BQ522" s="14"/>
      <c r="BR522" s="14"/>
      <c r="BS522" s="14"/>
      <c r="BT522" s="14"/>
      <c r="BU522" s="14"/>
      <c r="BV522" s="14"/>
      <c r="BW522" s="14"/>
      <c r="BX522" s="14"/>
      <c r="BY522" s="14"/>
      <c r="BZ522" s="14"/>
      <c r="CA522" s="14"/>
      <c r="CB522" s="14"/>
      <c r="CC522" s="14"/>
      <c r="CD522" s="14"/>
      <c r="CE522" s="14"/>
      <c r="CF522" s="14"/>
      <c r="CG522" s="14"/>
      <c r="CH522" s="14"/>
      <c r="CI522" s="14"/>
      <c r="CJ522" s="14"/>
      <c r="CK522" s="14"/>
      <c r="CL522" s="14"/>
      <c r="CM522" s="14"/>
      <c r="CN522" s="14"/>
      <c r="CO522" s="14"/>
      <c r="CP522" s="14"/>
      <c r="CQ522" s="14"/>
      <c r="CR522" s="14"/>
      <c r="CS522" s="14"/>
      <c r="CT522" s="14"/>
      <c r="CU522" s="14"/>
      <c r="CV522" s="14"/>
      <c r="CW522" s="14"/>
      <c r="CX522" s="14"/>
      <c r="CY522" s="14"/>
      <c r="CZ522" s="14"/>
      <c r="DA522" s="14"/>
      <c r="DB522" s="14"/>
      <c r="DC522" s="14"/>
      <c r="DD522" s="14"/>
      <c r="DE522" s="14"/>
      <c r="DF522" s="14"/>
      <c r="DG522" s="14"/>
      <c r="DH522" s="14"/>
      <c r="DI522" s="14"/>
      <c r="DJ522" s="14"/>
      <c r="DK522" s="14"/>
      <c r="DL522" s="14"/>
      <c r="DM522" s="14"/>
      <c r="DN522" s="14"/>
      <c r="DO522" s="14"/>
      <c r="DP522" s="14"/>
      <c r="DQ522" s="14"/>
      <c r="DR522" s="14"/>
      <c r="DS522" s="14"/>
      <c r="DT522" s="14"/>
      <c r="DU522" s="14"/>
      <c r="DV522" s="14"/>
      <c r="DW522" s="14"/>
      <c r="DX522" s="14"/>
      <c r="DY522" s="14"/>
      <c r="DZ522" s="14"/>
      <c r="EA522" s="14"/>
      <c r="EB522" s="14"/>
      <c r="EC522" s="14"/>
      <c r="ED522" s="14"/>
      <c r="EE522" s="14"/>
      <c r="EF522" s="14"/>
      <c r="EG522" s="14"/>
      <c r="EH522" s="14"/>
      <c r="EI522" s="14"/>
      <c r="EJ522" s="14"/>
      <c r="EK522" s="14"/>
      <c r="EL522" s="14"/>
    </row>
    <row r="523" spans="2:142" hidden="1" x14ac:dyDescent="0.2">
      <c r="B523" s="905">
        <v>10</v>
      </c>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4"/>
      <c r="BB523" s="14"/>
      <c r="BC523" s="14"/>
      <c r="BD523" s="14"/>
      <c r="BE523" s="14"/>
      <c r="BF523" s="14"/>
      <c r="BG523" s="14"/>
      <c r="BH523" s="14"/>
      <c r="BI523" s="14"/>
      <c r="BJ523" s="14"/>
      <c r="BK523" s="14"/>
      <c r="BL523" s="14"/>
      <c r="BM523" s="14"/>
      <c r="BN523" s="14"/>
      <c r="BO523" s="14"/>
      <c r="BP523" s="14"/>
      <c r="BQ523" s="14"/>
      <c r="BR523" s="14"/>
      <c r="BS523" s="14"/>
      <c r="BT523" s="14"/>
      <c r="BU523" s="14"/>
      <c r="BV523" s="14"/>
      <c r="BW523" s="14"/>
      <c r="BX523" s="14"/>
      <c r="BY523" s="14"/>
      <c r="BZ523" s="14"/>
      <c r="CA523" s="14"/>
      <c r="CB523" s="14"/>
      <c r="CC523" s="14"/>
      <c r="CD523" s="14"/>
      <c r="CE523" s="14"/>
      <c r="CF523" s="14"/>
      <c r="CG523" s="14"/>
      <c r="CH523" s="14"/>
      <c r="CI523" s="14"/>
      <c r="CJ523" s="14"/>
      <c r="CK523" s="14"/>
      <c r="CL523" s="14"/>
      <c r="CM523" s="14"/>
      <c r="CN523" s="14"/>
      <c r="CO523" s="14"/>
      <c r="CP523" s="14"/>
      <c r="CQ523" s="14"/>
      <c r="CR523" s="14"/>
      <c r="CS523" s="14"/>
      <c r="CT523" s="14"/>
      <c r="CU523" s="14"/>
      <c r="CV523" s="14"/>
      <c r="CW523" s="14"/>
      <c r="CX523" s="14"/>
      <c r="CY523" s="14"/>
      <c r="CZ523" s="14"/>
      <c r="DA523" s="14"/>
      <c r="DB523" s="14"/>
      <c r="DC523" s="14"/>
      <c r="DD523" s="14"/>
      <c r="DE523" s="14"/>
      <c r="DF523" s="14"/>
      <c r="DG523" s="14"/>
      <c r="DH523" s="14"/>
      <c r="DI523" s="14"/>
      <c r="DJ523" s="14"/>
      <c r="DK523" s="14"/>
      <c r="DL523" s="14"/>
      <c r="DM523" s="14"/>
      <c r="DN523" s="14"/>
      <c r="DO523" s="14"/>
      <c r="DP523" s="14"/>
      <c r="DQ523" s="14"/>
      <c r="DR523" s="14"/>
      <c r="DS523" s="14"/>
      <c r="DT523" s="14"/>
      <c r="DU523" s="14"/>
      <c r="DV523" s="14"/>
      <c r="DW523" s="14"/>
      <c r="DX523" s="14"/>
      <c r="DY523" s="14"/>
      <c r="DZ523" s="14"/>
      <c r="EA523" s="14"/>
      <c r="EB523" s="14"/>
      <c r="EC523" s="14"/>
      <c r="ED523" s="14"/>
      <c r="EE523" s="14"/>
      <c r="EF523" s="14"/>
      <c r="EG523" s="14"/>
      <c r="EH523" s="14"/>
      <c r="EI523" s="14"/>
      <c r="EJ523" s="14"/>
      <c r="EK523" s="14"/>
      <c r="EL523" s="14"/>
    </row>
    <row r="524" spans="2:142" hidden="1" x14ac:dyDescent="0.2">
      <c r="B524" s="905">
        <v>11</v>
      </c>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4"/>
      <c r="BB524" s="14"/>
      <c r="BC524" s="14"/>
      <c r="BD524" s="14"/>
      <c r="BE524" s="14"/>
      <c r="BF524" s="14"/>
      <c r="BG524" s="14"/>
      <c r="BH524" s="14"/>
      <c r="BI524" s="14"/>
      <c r="BJ524" s="14"/>
      <c r="BK524" s="14"/>
      <c r="BL524" s="14"/>
      <c r="BM524" s="14"/>
      <c r="BN524" s="14"/>
      <c r="BO524" s="14"/>
      <c r="BP524" s="14"/>
      <c r="BQ524" s="14"/>
      <c r="BR524" s="14"/>
      <c r="BS524" s="14"/>
      <c r="BT524" s="14"/>
      <c r="BU524" s="14"/>
      <c r="BV524" s="14"/>
      <c r="BW524" s="14"/>
      <c r="BX524" s="14"/>
      <c r="BY524" s="14"/>
      <c r="BZ524" s="14"/>
      <c r="CA524" s="14"/>
      <c r="CB524" s="14"/>
      <c r="CC524" s="14"/>
      <c r="CD524" s="14"/>
      <c r="CE524" s="14"/>
      <c r="CF524" s="14"/>
      <c r="CG524" s="14"/>
      <c r="CH524" s="14"/>
      <c r="CI524" s="14"/>
      <c r="CJ524" s="14"/>
      <c r="CK524" s="14"/>
      <c r="CL524" s="14"/>
      <c r="CM524" s="14"/>
      <c r="CN524" s="14"/>
      <c r="CO524" s="14"/>
      <c r="CP524" s="14"/>
      <c r="CQ524" s="14"/>
      <c r="CR524" s="14"/>
      <c r="CS524" s="14"/>
      <c r="CT524" s="14"/>
      <c r="CU524" s="14"/>
      <c r="CV524" s="14"/>
      <c r="CW524" s="14"/>
      <c r="CX524" s="14"/>
      <c r="CY524" s="14"/>
      <c r="CZ524" s="14"/>
      <c r="DA524" s="14"/>
      <c r="DB524" s="14"/>
      <c r="DC524" s="14"/>
      <c r="DD524" s="14"/>
      <c r="DE524" s="14"/>
      <c r="DF524" s="14"/>
      <c r="DG524" s="14"/>
      <c r="DH524" s="14"/>
      <c r="DI524" s="14"/>
      <c r="DJ524" s="14"/>
      <c r="DK524" s="14"/>
      <c r="DL524" s="14"/>
      <c r="DM524" s="14"/>
      <c r="DN524" s="14"/>
      <c r="DO524" s="14"/>
      <c r="DP524" s="14"/>
      <c r="DQ524" s="14"/>
      <c r="DR524" s="14"/>
      <c r="DS524" s="14"/>
      <c r="DT524" s="14"/>
      <c r="DU524" s="14"/>
      <c r="DV524" s="14"/>
      <c r="DW524" s="14"/>
      <c r="DX524" s="14"/>
      <c r="DY524" s="14"/>
      <c r="DZ524" s="14"/>
      <c r="EA524" s="14"/>
      <c r="EB524" s="14"/>
      <c r="EC524" s="14"/>
      <c r="ED524" s="14"/>
      <c r="EE524" s="14"/>
      <c r="EF524" s="14"/>
      <c r="EG524" s="14"/>
      <c r="EH524" s="14"/>
      <c r="EI524" s="14"/>
      <c r="EJ524" s="14"/>
      <c r="EK524" s="14"/>
      <c r="EL524" s="14"/>
    </row>
    <row r="525" spans="2:142" hidden="1" x14ac:dyDescent="0.2">
      <c r="B525" s="905">
        <v>12</v>
      </c>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4"/>
      <c r="BB525" s="14"/>
      <c r="BC525" s="14"/>
      <c r="BD525" s="14"/>
      <c r="BE525" s="14"/>
      <c r="BF525" s="14"/>
      <c r="BG525" s="14"/>
      <c r="BH525" s="14"/>
      <c r="BI525" s="14"/>
      <c r="BJ525" s="14"/>
      <c r="BK525" s="14"/>
      <c r="BL525" s="14"/>
      <c r="BM525" s="14"/>
      <c r="BN525" s="14"/>
      <c r="BO525" s="14"/>
      <c r="BP525" s="14"/>
      <c r="BQ525" s="14"/>
      <c r="BR525" s="14"/>
      <c r="BS525" s="14"/>
      <c r="BT525" s="14"/>
      <c r="BU525" s="14"/>
      <c r="BV525" s="14"/>
      <c r="BW525" s="14"/>
      <c r="BX525" s="14"/>
      <c r="BY525" s="14"/>
      <c r="BZ525" s="14"/>
      <c r="CA525" s="14"/>
      <c r="CB525" s="14"/>
      <c r="CC525" s="14"/>
      <c r="CD525" s="14"/>
      <c r="CE525" s="14"/>
      <c r="CF525" s="14"/>
      <c r="CG525" s="14"/>
      <c r="CH525" s="14"/>
      <c r="CI525" s="14"/>
      <c r="CJ525" s="14"/>
      <c r="CK525" s="14"/>
      <c r="CL525" s="14"/>
      <c r="CM525" s="14"/>
      <c r="CN525" s="14"/>
      <c r="CO525" s="14"/>
      <c r="CP525" s="14"/>
      <c r="CQ525" s="14"/>
      <c r="CR525" s="14"/>
      <c r="CS525" s="14"/>
      <c r="CT525" s="14"/>
      <c r="CU525" s="14"/>
      <c r="CV525" s="14"/>
      <c r="CW525" s="14"/>
      <c r="CX525" s="14"/>
      <c r="CY525" s="14"/>
      <c r="CZ525" s="14"/>
      <c r="DA525" s="14"/>
      <c r="DB525" s="14"/>
      <c r="DC525" s="14"/>
      <c r="DD525" s="14"/>
      <c r="DE525" s="14"/>
      <c r="DF525" s="14"/>
      <c r="DG525" s="14"/>
      <c r="DH525" s="14"/>
      <c r="DI525" s="14"/>
      <c r="DJ525" s="14"/>
      <c r="DK525" s="14"/>
      <c r="DL525" s="14"/>
      <c r="DM525" s="14"/>
      <c r="DN525" s="14"/>
      <c r="DO525" s="14"/>
      <c r="DP525" s="14"/>
      <c r="DQ525" s="14"/>
      <c r="DR525" s="14"/>
      <c r="DS525" s="14"/>
      <c r="DT525" s="14"/>
      <c r="DU525" s="14"/>
      <c r="DV525" s="14"/>
      <c r="DW525" s="14"/>
      <c r="DX525" s="14"/>
      <c r="DY525" s="14"/>
      <c r="DZ525" s="14"/>
      <c r="EA525" s="14"/>
      <c r="EB525" s="14"/>
      <c r="EC525" s="14"/>
      <c r="ED525" s="14"/>
      <c r="EE525" s="14"/>
      <c r="EF525" s="14"/>
      <c r="EG525" s="14"/>
      <c r="EH525" s="14"/>
      <c r="EI525" s="14"/>
      <c r="EJ525" s="14"/>
      <c r="EK525" s="14"/>
      <c r="EL525" s="14"/>
    </row>
    <row r="526" spans="2:142" hidden="1" x14ac:dyDescent="0.2">
      <c r="B526" s="905">
        <v>13</v>
      </c>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4"/>
      <c r="BB526" s="14"/>
      <c r="BC526" s="14"/>
      <c r="BD526" s="14"/>
      <c r="BE526" s="14"/>
      <c r="BF526" s="14"/>
      <c r="BG526" s="14"/>
      <c r="BH526" s="14"/>
      <c r="BI526" s="14"/>
      <c r="BJ526" s="14"/>
      <c r="BK526" s="14"/>
      <c r="BL526" s="14"/>
      <c r="BM526" s="14"/>
      <c r="BN526" s="14"/>
      <c r="BO526" s="14"/>
      <c r="BP526" s="14"/>
      <c r="BQ526" s="14"/>
      <c r="BR526" s="14"/>
      <c r="BS526" s="14"/>
      <c r="BT526" s="14"/>
      <c r="BU526" s="14"/>
      <c r="BV526" s="14"/>
      <c r="BW526" s="14"/>
      <c r="BX526" s="14"/>
      <c r="BY526" s="14"/>
      <c r="BZ526" s="14"/>
      <c r="CA526" s="14"/>
      <c r="CB526" s="14"/>
      <c r="CC526" s="14"/>
      <c r="CD526" s="14"/>
      <c r="CE526" s="14"/>
      <c r="CF526" s="14"/>
      <c r="CG526" s="14"/>
      <c r="CH526" s="14"/>
      <c r="CI526" s="14"/>
      <c r="CJ526" s="14"/>
      <c r="CK526" s="14"/>
      <c r="CL526" s="14"/>
      <c r="CM526" s="14"/>
      <c r="CN526" s="14"/>
      <c r="CO526" s="14"/>
      <c r="CP526" s="14"/>
      <c r="CQ526" s="14"/>
      <c r="CR526" s="14"/>
      <c r="CS526" s="14"/>
      <c r="CT526" s="14"/>
      <c r="CU526" s="14"/>
      <c r="CV526" s="14"/>
      <c r="CW526" s="14"/>
      <c r="CX526" s="14"/>
      <c r="CY526" s="14"/>
      <c r="CZ526" s="14"/>
      <c r="DA526" s="14"/>
      <c r="DB526" s="14"/>
      <c r="DC526" s="14"/>
      <c r="DD526" s="14"/>
      <c r="DE526" s="14"/>
      <c r="DF526" s="14"/>
      <c r="DG526" s="14"/>
      <c r="DH526" s="14"/>
      <c r="DI526" s="14"/>
      <c r="DJ526" s="14"/>
      <c r="DK526" s="14"/>
      <c r="DL526" s="14"/>
      <c r="DM526" s="14"/>
      <c r="DN526" s="14"/>
      <c r="DO526" s="14"/>
      <c r="DP526" s="14"/>
      <c r="DQ526" s="14"/>
      <c r="DR526" s="14"/>
      <c r="DS526" s="14"/>
      <c r="DT526" s="14"/>
      <c r="DU526" s="14"/>
      <c r="DV526" s="14"/>
      <c r="DW526" s="14"/>
      <c r="DX526" s="14"/>
      <c r="DY526" s="14"/>
      <c r="DZ526" s="14"/>
      <c r="EA526" s="14"/>
      <c r="EB526" s="14"/>
      <c r="EC526" s="14"/>
      <c r="ED526" s="14"/>
      <c r="EE526" s="14"/>
      <c r="EF526" s="14"/>
      <c r="EG526" s="14"/>
      <c r="EH526" s="14"/>
      <c r="EI526" s="14"/>
      <c r="EJ526" s="14"/>
      <c r="EK526" s="14"/>
      <c r="EL526" s="14"/>
    </row>
    <row r="527" spans="2:142" hidden="1" x14ac:dyDescent="0.2">
      <c r="B527" s="905">
        <v>14</v>
      </c>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4"/>
      <c r="BB527" s="14"/>
      <c r="BC527" s="14"/>
      <c r="BD527" s="14"/>
      <c r="BE527" s="14"/>
      <c r="BF527" s="14"/>
      <c r="BG527" s="14"/>
      <c r="BH527" s="14"/>
      <c r="BI527" s="14"/>
      <c r="BJ527" s="14"/>
      <c r="BK527" s="14"/>
      <c r="BL527" s="14"/>
      <c r="BM527" s="14"/>
      <c r="BN527" s="14"/>
      <c r="BO527" s="14"/>
      <c r="BP527" s="14"/>
      <c r="BQ527" s="14"/>
      <c r="BR527" s="14"/>
      <c r="BS527" s="14"/>
      <c r="BT527" s="14"/>
      <c r="BU527" s="14"/>
      <c r="BV527" s="14"/>
      <c r="BW527" s="14"/>
      <c r="BX527" s="14"/>
      <c r="BY527" s="14"/>
      <c r="BZ527" s="14"/>
      <c r="CA527" s="14"/>
      <c r="CB527" s="14"/>
      <c r="CC527" s="14"/>
      <c r="CD527" s="14"/>
      <c r="CE527" s="14"/>
      <c r="CF527" s="14"/>
      <c r="CG527" s="14"/>
      <c r="CH527" s="14"/>
      <c r="CI527" s="14"/>
      <c r="CJ527" s="14"/>
      <c r="CK527" s="14"/>
      <c r="CL527" s="14"/>
      <c r="CM527" s="14"/>
      <c r="CN527" s="14"/>
      <c r="CO527" s="14"/>
      <c r="CP527" s="14"/>
      <c r="CQ527" s="14"/>
      <c r="CR527" s="14"/>
      <c r="CS527" s="14"/>
      <c r="CT527" s="14"/>
      <c r="CU527" s="14"/>
      <c r="CV527" s="14"/>
      <c r="CW527" s="14"/>
      <c r="CX527" s="14"/>
      <c r="CY527" s="14"/>
      <c r="CZ527" s="14"/>
      <c r="DA527" s="14"/>
      <c r="DB527" s="14"/>
      <c r="DC527" s="14"/>
      <c r="DD527" s="14"/>
      <c r="DE527" s="14"/>
      <c r="DF527" s="14"/>
      <c r="DG527" s="14"/>
      <c r="DH527" s="14"/>
      <c r="DI527" s="14"/>
      <c r="DJ527" s="14"/>
      <c r="DK527" s="14"/>
      <c r="DL527" s="14"/>
      <c r="DM527" s="14"/>
      <c r="DN527" s="14"/>
      <c r="DO527" s="14"/>
      <c r="DP527" s="14"/>
      <c r="DQ527" s="14"/>
      <c r="DR527" s="14"/>
      <c r="DS527" s="14"/>
      <c r="DT527" s="14"/>
      <c r="DU527" s="14"/>
      <c r="DV527" s="14"/>
      <c r="DW527" s="14"/>
      <c r="DX527" s="14"/>
      <c r="DY527" s="14"/>
      <c r="DZ527" s="14"/>
      <c r="EA527" s="14"/>
      <c r="EB527" s="14"/>
      <c r="EC527" s="14"/>
      <c r="ED527" s="14"/>
      <c r="EE527" s="14"/>
      <c r="EF527" s="14"/>
      <c r="EG527" s="14"/>
      <c r="EH527" s="14"/>
      <c r="EI527" s="14"/>
      <c r="EJ527" s="14"/>
      <c r="EK527" s="14"/>
      <c r="EL527" s="14"/>
    </row>
    <row r="528" spans="2:142" hidden="1" x14ac:dyDescent="0.2">
      <c r="B528" s="905">
        <v>15</v>
      </c>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4"/>
      <c r="BB528" s="14"/>
      <c r="BC528" s="14"/>
      <c r="BD528" s="14"/>
      <c r="BE528" s="14"/>
      <c r="BF528" s="14"/>
      <c r="BG528" s="14"/>
      <c r="BH528" s="14"/>
      <c r="BI528" s="14"/>
      <c r="BJ528" s="14"/>
      <c r="BK528" s="14"/>
      <c r="BL528" s="14"/>
      <c r="BM528" s="14"/>
      <c r="BN528" s="14"/>
      <c r="BO528" s="14"/>
      <c r="BP528" s="14"/>
      <c r="BQ528" s="14"/>
      <c r="BR528" s="14"/>
      <c r="BS528" s="14"/>
      <c r="BT528" s="14"/>
      <c r="BU528" s="14"/>
      <c r="BV528" s="14"/>
      <c r="BW528" s="14"/>
      <c r="BX528" s="14"/>
      <c r="BY528" s="14"/>
      <c r="BZ528" s="14"/>
      <c r="CA528" s="14"/>
      <c r="CB528" s="14"/>
      <c r="CC528" s="14"/>
      <c r="CD528" s="14"/>
      <c r="CE528" s="14"/>
      <c r="CF528" s="14"/>
      <c r="CG528" s="14"/>
      <c r="CH528" s="14"/>
      <c r="CI528" s="14"/>
      <c r="CJ528" s="14"/>
      <c r="CK528" s="14"/>
      <c r="CL528" s="14"/>
      <c r="CM528" s="14"/>
      <c r="CN528" s="14"/>
      <c r="CO528" s="14"/>
      <c r="CP528" s="14"/>
      <c r="CQ528" s="14"/>
      <c r="CR528" s="14"/>
      <c r="CS528" s="14"/>
      <c r="CT528" s="14"/>
      <c r="CU528" s="14"/>
      <c r="CV528" s="14"/>
      <c r="CW528" s="14"/>
      <c r="CX528" s="14"/>
      <c r="CY528" s="14"/>
      <c r="CZ528" s="14"/>
      <c r="DA528" s="14"/>
      <c r="DB528" s="14"/>
      <c r="DC528" s="14"/>
      <c r="DD528" s="14"/>
      <c r="DE528" s="14"/>
      <c r="DF528" s="14"/>
      <c r="DG528" s="14"/>
      <c r="DH528" s="14"/>
      <c r="DI528" s="14"/>
      <c r="DJ528" s="14"/>
      <c r="DK528" s="14"/>
      <c r="DL528" s="14"/>
      <c r="DM528" s="14"/>
      <c r="DN528" s="14"/>
      <c r="DO528" s="14"/>
      <c r="DP528" s="14"/>
      <c r="DQ528" s="14"/>
      <c r="DR528" s="14"/>
      <c r="DS528" s="14"/>
      <c r="DT528" s="14"/>
      <c r="DU528" s="14"/>
      <c r="DV528" s="14"/>
      <c r="DW528" s="14"/>
      <c r="DX528" s="14"/>
      <c r="DY528" s="14"/>
      <c r="DZ528" s="14"/>
      <c r="EA528" s="14"/>
      <c r="EB528" s="14"/>
      <c r="EC528" s="14"/>
      <c r="ED528" s="14"/>
      <c r="EE528" s="14"/>
      <c r="EF528" s="14"/>
      <c r="EG528" s="14"/>
      <c r="EH528" s="14"/>
      <c r="EI528" s="14"/>
      <c r="EJ528" s="14"/>
      <c r="EK528" s="14"/>
      <c r="EL528" s="14"/>
    </row>
    <row r="529" spans="2:142" hidden="1" x14ac:dyDescent="0.2">
      <c r="B529" s="905">
        <v>16</v>
      </c>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4"/>
      <c r="BB529" s="14"/>
      <c r="BC529" s="14"/>
      <c r="BD529" s="14"/>
      <c r="BE529" s="14"/>
      <c r="BF529" s="14"/>
      <c r="BG529" s="14"/>
      <c r="BH529" s="14"/>
      <c r="BI529" s="14"/>
      <c r="BJ529" s="14"/>
      <c r="BK529" s="14"/>
      <c r="BL529" s="14"/>
      <c r="BM529" s="14"/>
      <c r="BN529" s="14"/>
      <c r="BO529" s="14"/>
      <c r="BP529" s="14"/>
      <c r="BQ529" s="14"/>
      <c r="BR529" s="14"/>
      <c r="BS529" s="14"/>
      <c r="BT529" s="14"/>
      <c r="BU529" s="14"/>
      <c r="BV529" s="14"/>
      <c r="BW529" s="14"/>
      <c r="BX529" s="14"/>
      <c r="BY529" s="14"/>
      <c r="BZ529" s="14"/>
      <c r="CA529" s="14"/>
      <c r="CB529" s="14"/>
      <c r="CC529" s="14"/>
      <c r="CD529" s="14"/>
      <c r="CE529" s="14"/>
      <c r="CF529" s="14"/>
      <c r="CG529" s="14"/>
      <c r="CH529" s="14"/>
      <c r="CI529" s="14"/>
      <c r="CJ529" s="14"/>
      <c r="CK529" s="14"/>
      <c r="CL529" s="14"/>
      <c r="CM529" s="14"/>
      <c r="CN529" s="14"/>
      <c r="CO529" s="14"/>
      <c r="CP529" s="14"/>
      <c r="CQ529" s="14"/>
      <c r="CR529" s="14"/>
      <c r="CS529" s="14"/>
      <c r="CT529" s="14"/>
      <c r="CU529" s="14"/>
      <c r="CV529" s="14"/>
      <c r="CW529" s="14"/>
      <c r="CX529" s="14"/>
      <c r="CY529" s="14"/>
      <c r="CZ529" s="14"/>
      <c r="DA529" s="14"/>
      <c r="DB529" s="14"/>
      <c r="DC529" s="14"/>
      <c r="DD529" s="14"/>
      <c r="DE529" s="14"/>
      <c r="DF529" s="14"/>
      <c r="DG529" s="14"/>
      <c r="DH529" s="14"/>
      <c r="DI529" s="14"/>
      <c r="DJ529" s="14"/>
      <c r="DK529" s="14"/>
      <c r="DL529" s="14"/>
      <c r="DM529" s="14"/>
      <c r="DN529" s="14"/>
      <c r="DO529" s="14"/>
      <c r="DP529" s="14"/>
      <c r="DQ529" s="14"/>
      <c r="DR529" s="14"/>
      <c r="DS529" s="14"/>
      <c r="DT529" s="14"/>
      <c r="DU529" s="14"/>
      <c r="DV529" s="14"/>
      <c r="DW529" s="14"/>
      <c r="DX529" s="14"/>
      <c r="DY529" s="14"/>
      <c r="DZ529" s="14"/>
      <c r="EA529" s="14"/>
      <c r="EB529" s="14"/>
      <c r="EC529" s="14"/>
      <c r="ED529" s="14"/>
      <c r="EE529" s="14"/>
      <c r="EF529" s="14"/>
      <c r="EG529" s="14"/>
      <c r="EH529" s="14"/>
      <c r="EI529" s="14"/>
      <c r="EJ529" s="14"/>
      <c r="EK529" s="14"/>
      <c r="EL529" s="14"/>
    </row>
    <row r="530" spans="2:142" hidden="1" x14ac:dyDescent="0.2">
      <c r="B530" s="905">
        <v>17</v>
      </c>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4"/>
      <c r="BB530" s="14"/>
      <c r="BC530" s="14"/>
      <c r="BD530" s="14"/>
      <c r="BE530" s="14"/>
      <c r="BF530" s="14"/>
      <c r="BG530" s="14"/>
      <c r="BH530" s="14"/>
      <c r="BI530" s="14"/>
      <c r="BJ530" s="14"/>
      <c r="BK530" s="14"/>
      <c r="BL530" s="14"/>
      <c r="BM530" s="14"/>
      <c r="BN530" s="14"/>
      <c r="BO530" s="14"/>
      <c r="BP530" s="14"/>
      <c r="BQ530" s="14"/>
      <c r="BR530" s="14"/>
      <c r="BS530" s="14"/>
      <c r="BT530" s="14"/>
      <c r="BU530" s="14"/>
      <c r="BV530" s="14"/>
      <c r="BW530" s="14"/>
      <c r="BX530" s="14"/>
      <c r="BY530" s="14"/>
      <c r="BZ530" s="14"/>
      <c r="CA530" s="14"/>
      <c r="CB530" s="14"/>
      <c r="CC530" s="14"/>
      <c r="CD530" s="14"/>
      <c r="CE530" s="14"/>
      <c r="CF530" s="14"/>
      <c r="CG530" s="14"/>
      <c r="CH530" s="14"/>
      <c r="CI530" s="14"/>
      <c r="CJ530" s="14"/>
      <c r="CK530" s="14"/>
      <c r="CL530" s="14"/>
      <c r="CM530" s="14"/>
      <c r="CN530" s="14"/>
      <c r="CO530" s="14"/>
      <c r="CP530" s="14"/>
      <c r="CQ530" s="14"/>
      <c r="CR530" s="14"/>
      <c r="CS530" s="14"/>
      <c r="CT530" s="14"/>
      <c r="CU530" s="14"/>
      <c r="CV530" s="14"/>
      <c r="CW530" s="14"/>
      <c r="CX530" s="14"/>
      <c r="CY530" s="14"/>
      <c r="CZ530" s="14"/>
      <c r="DA530" s="14"/>
      <c r="DB530" s="14"/>
      <c r="DC530" s="14"/>
      <c r="DD530" s="14"/>
      <c r="DE530" s="14"/>
      <c r="DF530" s="14"/>
      <c r="DG530" s="14"/>
      <c r="DH530" s="14"/>
      <c r="DI530" s="14"/>
      <c r="DJ530" s="14"/>
      <c r="DK530" s="14"/>
      <c r="DL530" s="14"/>
      <c r="DM530" s="14"/>
      <c r="DN530" s="14"/>
      <c r="DO530" s="14"/>
      <c r="DP530" s="14"/>
      <c r="DQ530" s="14"/>
      <c r="DR530" s="14"/>
      <c r="DS530" s="14"/>
      <c r="DT530" s="14"/>
      <c r="DU530" s="14"/>
      <c r="DV530" s="14"/>
      <c r="DW530" s="14"/>
      <c r="DX530" s="14"/>
      <c r="DY530" s="14"/>
      <c r="DZ530" s="14"/>
      <c r="EA530" s="14"/>
      <c r="EB530" s="14"/>
      <c r="EC530" s="14"/>
      <c r="ED530" s="14"/>
      <c r="EE530" s="14"/>
      <c r="EF530" s="14"/>
      <c r="EG530" s="14"/>
      <c r="EH530" s="14"/>
      <c r="EI530" s="14"/>
      <c r="EJ530" s="14"/>
      <c r="EK530" s="14"/>
      <c r="EL530" s="14"/>
    </row>
    <row r="531" spans="2:142" hidden="1" x14ac:dyDescent="0.2">
      <c r="B531" s="905">
        <v>18</v>
      </c>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4"/>
      <c r="BB531" s="14"/>
      <c r="BC531" s="14"/>
      <c r="BD531" s="14"/>
      <c r="BE531" s="14"/>
      <c r="BF531" s="14"/>
      <c r="BG531" s="14"/>
      <c r="BH531" s="14"/>
      <c r="BI531" s="14"/>
      <c r="BJ531" s="14"/>
      <c r="BK531" s="14"/>
      <c r="BL531" s="14"/>
      <c r="BM531" s="14"/>
      <c r="BN531" s="14"/>
      <c r="BO531" s="14"/>
      <c r="BP531" s="14"/>
      <c r="BQ531" s="14"/>
      <c r="BR531" s="14"/>
      <c r="BS531" s="14"/>
      <c r="BT531" s="14"/>
      <c r="BU531" s="14"/>
      <c r="BV531" s="14"/>
      <c r="BW531" s="14"/>
      <c r="BX531" s="14"/>
      <c r="BY531" s="14"/>
      <c r="BZ531" s="14"/>
      <c r="CA531" s="14"/>
      <c r="CB531" s="14"/>
      <c r="CC531" s="14"/>
      <c r="CD531" s="14"/>
      <c r="CE531" s="14"/>
      <c r="CF531" s="14"/>
      <c r="CG531" s="14"/>
      <c r="CH531" s="14"/>
      <c r="CI531" s="14"/>
      <c r="CJ531" s="14"/>
      <c r="CK531" s="14"/>
      <c r="CL531" s="14"/>
      <c r="CM531" s="14"/>
      <c r="CN531" s="14"/>
      <c r="CO531" s="14"/>
      <c r="CP531" s="14"/>
      <c r="CQ531" s="14"/>
      <c r="CR531" s="14"/>
      <c r="CS531" s="14"/>
      <c r="CT531" s="14"/>
      <c r="CU531" s="14"/>
      <c r="CV531" s="14"/>
      <c r="CW531" s="14"/>
      <c r="CX531" s="14"/>
      <c r="CY531" s="14"/>
      <c r="CZ531" s="14"/>
      <c r="DA531" s="14"/>
      <c r="DB531" s="14"/>
      <c r="DC531" s="14"/>
      <c r="DD531" s="14"/>
      <c r="DE531" s="14"/>
      <c r="DF531" s="14"/>
      <c r="DG531" s="14"/>
      <c r="DH531" s="14"/>
      <c r="DI531" s="14"/>
      <c r="DJ531" s="14"/>
      <c r="DK531" s="14"/>
      <c r="DL531" s="14"/>
      <c r="DM531" s="14"/>
      <c r="DN531" s="14"/>
      <c r="DO531" s="14"/>
      <c r="DP531" s="14"/>
      <c r="DQ531" s="14"/>
      <c r="DR531" s="14"/>
      <c r="DS531" s="14"/>
      <c r="DT531" s="14"/>
      <c r="DU531" s="14"/>
      <c r="DV531" s="14"/>
      <c r="DW531" s="14"/>
      <c r="DX531" s="14"/>
      <c r="DY531" s="14"/>
      <c r="DZ531" s="14"/>
      <c r="EA531" s="14"/>
      <c r="EB531" s="14"/>
      <c r="EC531" s="14"/>
      <c r="ED531" s="14"/>
      <c r="EE531" s="14"/>
      <c r="EF531" s="14"/>
      <c r="EG531" s="14"/>
      <c r="EH531" s="14"/>
      <c r="EI531" s="14"/>
      <c r="EJ531" s="14"/>
      <c r="EK531" s="14"/>
      <c r="EL531" s="14"/>
    </row>
    <row r="532" spans="2:142" hidden="1" x14ac:dyDescent="0.2">
      <c r="B532" s="905">
        <v>19</v>
      </c>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4"/>
      <c r="BB532" s="14"/>
      <c r="BC532" s="14"/>
      <c r="BD532" s="14"/>
      <c r="BE532" s="14"/>
      <c r="BF532" s="14"/>
      <c r="BG532" s="14"/>
      <c r="BH532" s="14"/>
      <c r="BI532" s="14"/>
      <c r="BJ532" s="14"/>
      <c r="BK532" s="14"/>
      <c r="BL532" s="14"/>
      <c r="BM532" s="14"/>
      <c r="BN532" s="14"/>
      <c r="BO532" s="14"/>
      <c r="BP532" s="14"/>
      <c r="BQ532" s="14"/>
      <c r="BR532" s="14"/>
      <c r="BS532" s="14"/>
      <c r="BT532" s="14"/>
      <c r="BU532" s="14"/>
      <c r="BV532" s="14"/>
      <c r="BW532" s="14"/>
      <c r="BX532" s="14"/>
      <c r="BY532" s="14"/>
      <c r="BZ532" s="14"/>
      <c r="CA532" s="14"/>
      <c r="CB532" s="14"/>
      <c r="CC532" s="14"/>
      <c r="CD532" s="14"/>
      <c r="CE532" s="14"/>
      <c r="CF532" s="14"/>
      <c r="CG532" s="14"/>
      <c r="CH532" s="14"/>
      <c r="CI532" s="14"/>
      <c r="CJ532" s="14"/>
      <c r="CK532" s="14"/>
      <c r="CL532" s="14"/>
      <c r="CM532" s="14"/>
      <c r="CN532" s="14"/>
      <c r="CO532" s="14"/>
      <c r="CP532" s="14"/>
      <c r="CQ532" s="14"/>
      <c r="CR532" s="14"/>
      <c r="CS532" s="14"/>
      <c r="CT532" s="14"/>
      <c r="CU532" s="14"/>
      <c r="CV532" s="14"/>
      <c r="CW532" s="14"/>
      <c r="CX532" s="14"/>
      <c r="CY532" s="14"/>
      <c r="CZ532" s="14"/>
      <c r="DA532" s="14"/>
      <c r="DB532" s="14"/>
      <c r="DC532" s="14"/>
      <c r="DD532" s="14"/>
      <c r="DE532" s="14"/>
      <c r="DF532" s="14"/>
      <c r="DG532" s="14"/>
      <c r="DH532" s="14"/>
      <c r="DI532" s="14"/>
      <c r="DJ532" s="14"/>
      <c r="DK532" s="14"/>
      <c r="DL532" s="14"/>
      <c r="DM532" s="14"/>
      <c r="DN532" s="14"/>
      <c r="DO532" s="14"/>
      <c r="DP532" s="14"/>
      <c r="DQ532" s="14"/>
      <c r="DR532" s="14"/>
      <c r="DS532" s="14"/>
      <c r="DT532" s="14"/>
      <c r="DU532" s="14"/>
      <c r="DV532" s="14"/>
      <c r="DW532" s="14"/>
      <c r="DX532" s="14"/>
      <c r="DY532" s="14"/>
      <c r="DZ532" s="14"/>
      <c r="EA532" s="14"/>
      <c r="EB532" s="14"/>
      <c r="EC532" s="14"/>
      <c r="ED532" s="14"/>
      <c r="EE532" s="14"/>
      <c r="EF532" s="14"/>
      <c r="EG532" s="14"/>
      <c r="EH532" s="14"/>
      <c r="EI532" s="14"/>
      <c r="EJ532" s="14"/>
      <c r="EK532" s="14"/>
      <c r="EL532" s="14"/>
    </row>
    <row r="533" spans="2:142" hidden="1" x14ac:dyDescent="0.2">
      <c r="B533" s="905">
        <v>20</v>
      </c>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4"/>
      <c r="BB533" s="14"/>
      <c r="BC533" s="14"/>
      <c r="BD533" s="14"/>
      <c r="BE533" s="14"/>
      <c r="BF533" s="14"/>
      <c r="BG533" s="14"/>
      <c r="BH533" s="14"/>
      <c r="BI533" s="14"/>
      <c r="BJ533" s="14"/>
      <c r="BK533" s="14"/>
      <c r="BL533" s="14"/>
      <c r="BM533" s="14"/>
      <c r="BN533" s="14"/>
      <c r="BO533" s="14"/>
      <c r="BP533" s="14"/>
      <c r="BQ533" s="14"/>
      <c r="BR533" s="14"/>
      <c r="BS533" s="14"/>
      <c r="BT533" s="14"/>
      <c r="BU533" s="14"/>
      <c r="BV533" s="14"/>
      <c r="BW533" s="14"/>
      <c r="BX533" s="14"/>
      <c r="BY533" s="14"/>
      <c r="BZ533" s="14"/>
      <c r="CA533" s="14"/>
      <c r="CB533" s="14"/>
      <c r="CC533" s="14"/>
      <c r="CD533" s="14"/>
      <c r="CE533" s="14"/>
      <c r="CF533" s="14"/>
      <c r="CG533" s="14"/>
      <c r="CH533" s="14"/>
      <c r="CI533" s="14"/>
      <c r="CJ533" s="14"/>
      <c r="CK533" s="14"/>
      <c r="CL533" s="14"/>
      <c r="CM533" s="14"/>
      <c r="CN533" s="14"/>
      <c r="CO533" s="14"/>
      <c r="CP533" s="14"/>
      <c r="CQ533" s="14"/>
      <c r="CR533" s="14"/>
      <c r="CS533" s="14"/>
      <c r="CT533" s="14"/>
      <c r="CU533" s="14"/>
      <c r="CV533" s="14"/>
      <c r="CW533" s="14"/>
      <c r="CX533" s="14"/>
      <c r="CY533" s="14"/>
      <c r="CZ533" s="14"/>
      <c r="DA533" s="14"/>
      <c r="DB533" s="14"/>
      <c r="DC533" s="14"/>
      <c r="DD533" s="14"/>
      <c r="DE533" s="14"/>
      <c r="DF533" s="14"/>
      <c r="DG533" s="14"/>
      <c r="DH533" s="14"/>
      <c r="DI533" s="14"/>
      <c r="DJ533" s="14"/>
      <c r="DK533" s="14"/>
      <c r="DL533" s="14"/>
      <c r="DM533" s="14"/>
      <c r="DN533" s="14"/>
      <c r="DO533" s="14"/>
      <c r="DP533" s="14"/>
      <c r="DQ533" s="14"/>
      <c r="DR533" s="14"/>
      <c r="DS533" s="14"/>
      <c r="DT533" s="14"/>
      <c r="DU533" s="14"/>
      <c r="DV533" s="14"/>
      <c r="DW533" s="14"/>
      <c r="DX533" s="14"/>
      <c r="DY533" s="14"/>
      <c r="DZ533" s="14"/>
      <c r="EA533" s="14"/>
      <c r="EB533" s="14"/>
      <c r="EC533" s="14"/>
      <c r="ED533" s="14"/>
      <c r="EE533" s="14"/>
      <c r="EF533" s="14"/>
      <c r="EG533" s="14"/>
      <c r="EH533" s="14"/>
      <c r="EI533" s="14"/>
      <c r="EJ533" s="14"/>
      <c r="EK533" s="14"/>
      <c r="EL533" s="14"/>
    </row>
    <row r="534" spans="2:142" hidden="1" x14ac:dyDescent="0.2">
      <c r="B534" s="905">
        <v>21</v>
      </c>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4"/>
      <c r="BB534" s="14"/>
      <c r="BC534" s="14"/>
      <c r="BD534" s="14"/>
      <c r="BE534" s="14"/>
      <c r="BF534" s="14"/>
      <c r="BG534" s="14"/>
      <c r="BH534" s="14"/>
      <c r="BI534" s="14"/>
      <c r="BJ534" s="14"/>
      <c r="BK534" s="14"/>
      <c r="BL534" s="14"/>
      <c r="BM534" s="14"/>
      <c r="BN534" s="14"/>
      <c r="BO534" s="14"/>
      <c r="BP534" s="14"/>
      <c r="BQ534" s="14"/>
      <c r="BR534" s="14"/>
      <c r="BS534" s="14"/>
      <c r="BT534" s="14"/>
      <c r="BU534" s="14"/>
      <c r="BV534" s="14"/>
      <c r="BW534" s="14"/>
      <c r="BX534" s="14"/>
      <c r="BY534" s="14"/>
      <c r="BZ534" s="14"/>
      <c r="CA534" s="14"/>
      <c r="CB534" s="14"/>
      <c r="CC534" s="14"/>
      <c r="CD534" s="14"/>
      <c r="CE534" s="14"/>
      <c r="CF534" s="14"/>
      <c r="CG534" s="14"/>
      <c r="CH534" s="14"/>
      <c r="CI534" s="14"/>
      <c r="CJ534" s="14"/>
      <c r="CK534" s="14"/>
      <c r="CL534" s="14"/>
      <c r="CM534" s="14"/>
      <c r="CN534" s="14"/>
      <c r="CO534" s="14"/>
      <c r="CP534" s="14"/>
      <c r="CQ534" s="14"/>
      <c r="CR534" s="14"/>
      <c r="CS534" s="14"/>
      <c r="CT534" s="14"/>
      <c r="CU534" s="14"/>
      <c r="CV534" s="14"/>
      <c r="CW534" s="14"/>
      <c r="CX534" s="14"/>
      <c r="CY534" s="14"/>
      <c r="CZ534" s="14"/>
      <c r="DA534" s="14"/>
      <c r="DB534" s="14"/>
      <c r="DC534" s="14"/>
      <c r="DD534" s="14"/>
      <c r="DE534" s="14"/>
      <c r="DF534" s="14"/>
      <c r="DG534" s="14"/>
      <c r="DH534" s="14"/>
      <c r="DI534" s="14"/>
      <c r="DJ534" s="14"/>
      <c r="DK534" s="14"/>
      <c r="DL534" s="14"/>
      <c r="DM534" s="14"/>
      <c r="DN534" s="14"/>
      <c r="DO534" s="14"/>
      <c r="DP534" s="14"/>
      <c r="DQ534" s="14"/>
      <c r="DR534" s="14"/>
      <c r="DS534" s="14"/>
      <c r="DT534" s="14"/>
      <c r="DU534" s="14"/>
      <c r="DV534" s="14"/>
      <c r="DW534" s="14"/>
      <c r="DX534" s="14"/>
      <c r="DY534" s="14"/>
      <c r="DZ534" s="14"/>
      <c r="EA534" s="14"/>
      <c r="EB534" s="14"/>
      <c r="EC534" s="14"/>
      <c r="ED534" s="14"/>
      <c r="EE534" s="14"/>
      <c r="EF534" s="14"/>
      <c r="EG534" s="14"/>
      <c r="EH534" s="14"/>
      <c r="EI534" s="14"/>
      <c r="EJ534" s="14"/>
      <c r="EK534" s="14"/>
      <c r="EL534" s="14"/>
    </row>
    <row r="535" spans="2:142" hidden="1" x14ac:dyDescent="0.2">
      <c r="B535" s="905">
        <v>22</v>
      </c>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4"/>
      <c r="BB535" s="14"/>
      <c r="BC535" s="14"/>
      <c r="BD535" s="14"/>
      <c r="BE535" s="14"/>
      <c r="BF535" s="14"/>
      <c r="BG535" s="14"/>
      <c r="BH535" s="14"/>
      <c r="BI535" s="14"/>
      <c r="BJ535" s="14"/>
      <c r="BK535" s="14"/>
      <c r="BL535" s="14"/>
      <c r="BM535" s="14"/>
      <c r="BN535" s="14"/>
      <c r="BO535" s="14"/>
      <c r="BP535" s="14"/>
      <c r="BQ535" s="14"/>
      <c r="BR535" s="14"/>
      <c r="BS535" s="14"/>
      <c r="BT535" s="14"/>
      <c r="BU535" s="14"/>
      <c r="BV535" s="14"/>
      <c r="BW535" s="14"/>
      <c r="BX535" s="14"/>
      <c r="BY535" s="14"/>
      <c r="BZ535" s="14"/>
      <c r="CA535" s="14"/>
      <c r="CB535" s="14"/>
      <c r="CC535" s="14"/>
      <c r="CD535" s="14"/>
      <c r="CE535" s="14"/>
      <c r="CF535" s="14"/>
      <c r="CG535" s="14"/>
      <c r="CH535" s="14"/>
      <c r="CI535" s="14"/>
      <c r="CJ535" s="14"/>
      <c r="CK535" s="14"/>
      <c r="CL535" s="14"/>
      <c r="CM535" s="14"/>
      <c r="CN535" s="14"/>
      <c r="CO535" s="14"/>
      <c r="CP535" s="14"/>
      <c r="CQ535" s="14"/>
      <c r="CR535" s="14"/>
      <c r="CS535" s="14"/>
      <c r="CT535" s="14"/>
      <c r="CU535" s="14"/>
      <c r="CV535" s="14"/>
      <c r="CW535" s="14"/>
      <c r="CX535" s="14"/>
      <c r="CY535" s="14"/>
      <c r="CZ535" s="14"/>
      <c r="DA535" s="14"/>
      <c r="DB535" s="14"/>
      <c r="DC535" s="14"/>
      <c r="DD535" s="14"/>
      <c r="DE535" s="14"/>
      <c r="DF535" s="14"/>
      <c r="DG535" s="14"/>
      <c r="DH535" s="14"/>
      <c r="DI535" s="14"/>
      <c r="DJ535" s="14"/>
      <c r="DK535" s="14"/>
      <c r="DL535" s="14"/>
      <c r="DM535" s="14"/>
      <c r="DN535" s="14"/>
      <c r="DO535" s="14"/>
      <c r="DP535" s="14"/>
      <c r="DQ535" s="14"/>
      <c r="DR535" s="14"/>
      <c r="DS535" s="14"/>
      <c r="DT535" s="14"/>
      <c r="DU535" s="14"/>
      <c r="DV535" s="14"/>
      <c r="DW535" s="14"/>
      <c r="DX535" s="14"/>
      <c r="DY535" s="14"/>
      <c r="DZ535" s="14"/>
      <c r="EA535" s="14"/>
      <c r="EB535" s="14"/>
      <c r="EC535" s="14"/>
      <c r="ED535" s="14"/>
      <c r="EE535" s="14"/>
      <c r="EF535" s="14"/>
      <c r="EG535" s="14"/>
      <c r="EH535" s="14"/>
      <c r="EI535" s="14"/>
      <c r="EJ535" s="14"/>
      <c r="EK535" s="14"/>
      <c r="EL535" s="14"/>
    </row>
    <row r="536" spans="2:142" hidden="1" x14ac:dyDescent="0.2">
      <c r="B536" s="905">
        <v>23</v>
      </c>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4"/>
      <c r="BB536" s="14"/>
      <c r="BC536" s="14"/>
      <c r="BD536" s="14"/>
      <c r="BE536" s="14"/>
      <c r="BF536" s="14"/>
      <c r="BG536" s="14"/>
      <c r="BH536" s="14"/>
      <c r="BI536" s="14"/>
      <c r="BJ536" s="14"/>
      <c r="BK536" s="14"/>
      <c r="BL536" s="14"/>
      <c r="BM536" s="14"/>
      <c r="BN536" s="14"/>
      <c r="BO536" s="14"/>
      <c r="BP536" s="14"/>
      <c r="BQ536" s="14"/>
      <c r="BR536" s="14"/>
      <c r="BS536" s="14"/>
      <c r="BT536" s="14"/>
      <c r="BU536" s="14"/>
      <c r="BV536" s="14"/>
      <c r="BW536" s="14"/>
      <c r="BX536" s="14"/>
      <c r="BY536" s="14"/>
      <c r="BZ536" s="14"/>
      <c r="CA536" s="14"/>
      <c r="CB536" s="14"/>
      <c r="CC536" s="14"/>
      <c r="CD536" s="14"/>
      <c r="CE536" s="14"/>
      <c r="CF536" s="14"/>
      <c r="CG536" s="14"/>
      <c r="CH536" s="14"/>
      <c r="CI536" s="14"/>
      <c r="CJ536" s="14"/>
      <c r="CK536" s="14"/>
      <c r="CL536" s="14"/>
      <c r="CM536" s="14"/>
      <c r="CN536" s="14"/>
      <c r="CO536" s="14"/>
      <c r="CP536" s="14"/>
      <c r="CQ536" s="14"/>
      <c r="CR536" s="14"/>
      <c r="CS536" s="14"/>
      <c r="CT536" s="14"/>
      <c r="CU536" s="14"/>
      <c r="CV536" s="14"/>
      <c r="CW536" s="14"/>
      <c r="CX536" s="14"/>
      <c r="CY536" s="14"/>
      <c r="CZ536" s="14"/>
      <c r="DA536" s="14"/>
      <c r="DB536" s="14"/>
      <c r="DC536" s="14"/>
      <c r="DD536" s="14"/>
      <c r="DE536" s="14"/>
      <c r="DF536" s="14"/>
      <c r="DG536" s="14"/>
      <c r="DH536" s="14"/>
      <c r="DI536" s="14"/>
      <c r="DJ536" s="14"/>
      <c r="DK536" s="14"/>
      <c r="DL536" s="14"/>
      <c r="DM536" s="14"/>
      <c r="DN536" s="14"/>
      <c r="DO536" s="14"/>
      <c r="DP536" s="14"/>
      <c r="DQ536" s="14"/>
      <c r="DR536" s="14"/>
      <c r="DS536" s="14"/>
      <c r="DT536" s="14"/>
      <c r="DU536" s="14"/>
      <c r="DV536" s="14"/>
      <c r="DW536" s="14"/>
      <c r="DX536" s="14"/>
      <c r="DY536" s="14"/>
      <c r="DZ536" s="14"/>
      <c r="EA536" s="14"/>
      <c r="EB536" s="14"/>
      <c r="EC536" s="14"/>
      <c r="ED536" s="14"/>
      <c r="EE536" s="14"/>
      <c r="EF536" s="14"/>
      <c r="EG536" s="14"/>
      <c r="EH536" s="14"/>
      <c r="EI536" s="14"/>
      <c r="EJ536" s="14"/>
      <c r="EK536" s="14"/>
      <c r="EL536" s="14"/>
    </row>
    <row r="537" spans="2:142" hidden="1" x14ac:dyDescent="0.2">
      <c r="B537" s="905">
        <v>24</v>
      </c>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4"/>
      <c r="BB537" s="14"/>
      <c r="BC537" s="14"/>
      <c r="BD537" s="14"/>
      <c r="BE537" s="14"/>
      <c r="BF537" s="14"/>
      <c r="BG537" s="14"/>
      <c r="BH537" s="14"/>
      <c r="BI537" s="14"/>
      <c r="BJ537" s="14"/>
      <c r="BK537" s="14"/>
      <c r="BL537" s="14"/>
      <c r="BM537" s="14"/>
      <c r="BN537" s="14"/>
      <c r="BO537" s="14"/>
      <c r="BP537" s="14"/>
      <c r="BQ537" s="14"/>
      <c r="BR537" s="14"/>
      <c r="BS537" s="14"/>
      <c r="BT537" s="14"/>
      <c r="BU537" s="14"/>
      <c r="BV537" s="14"/>
      <c r="BW537" s="14"/>
      <c r="BX537" s="14"/>
      <c r="BY537" s="14"/>
      <c r="BZ537" s="14"/>
      <c r="CA537" s="14"/>
      <c r="CB537" s="14"/>
      <c r="CC537" s="14"/>
      <c r="CD537" s="14"/>
      <c r="CE537" s="14"/>
      <c r="CF537" s="14"/>
      <c r="CG537" s="14"/>
      <c r="CH537" s="14"/>
      <c r="CI537" s="14"/>
      <c r="CJ537" s="14"/>
      <c r="CK537" s="14"/>
      <c r="CL537" s="14"/>
      <c r="CM537" s="14"/>
      <c r="CN537" s="14"/>
      <c r="CO537" s="14"/>
      <c r="CP537" s="14"/>
      <c r="CQ537" s="14"/>
      <c r="CR537" s="14"/>
      <c r="CS537" s="14"/>
      <c r="CT537" s="14"/>
      <c r="CU537" s="14"/>
      <c r="CV537" s="14"/>
      <c r="CW537" s="14"/>
      <c r="CX537" s="14"/>
      <c r="CY537" s="14"/>
      <c r="CZ537" s="14"/>
      <c r="DA537" s="14"/>
      <c r="DB537" s="14"/>
      <c r="DC537" s="14"/>
      <c r="DD537" s="14"/>
      <c r="DE537" s="14"/>
      <c r="DF537" s="14"/>
      <c r="DG537" s="14"/>
      <c r="DH537" s="14"/>
      <c r="DI537" s="14"/>
      <c r="DJ537" s="14"/>
      <c r="DK537" s="14"/>
      <c r="DL537" s="14"/>
      <c r="DM537" s="14"/>
      <c r="DN537" s="14"/>
      <c r="DO537" s="14"/>
      <c r="DP537" s="14"/>
      <c r="DQ537" s="14"/>
      <c r="DR537" s="14"/>
      <c r="DS537" s="14"/>
      <c r="DT537" s="14"/>
      <c r="DU537" s="14"/>
      <c r="DV537" s="14"/>
      <c r="DW537" s="14"/>
      <c r="DX537" s="14"/>
      <c r="DY537" s="14"/>
      <c r="DZ537" s="14"/>
      <c r="EA537" s="14"/>
      <c r="EB537" s="14"/>
      <c r="EC537" s="14"/>
      <c r="ED537" s="14"/>
      <c r="EE537" s="14"/>
      <c r="EF537" s="14"/>
      <c r="EG537" s="14"/>
      <c r="EH537" s="14"/>
      <c r="EI537" s="14"/>
      <c r="EJ537" s="14"/>
      <c r="EK537" s="14"/>
      <c r="EL537" s="14"/>
    </row>
    <row r="538" spans="2:142" hidden="1" x14ac:dyDescent="0.2">
      <c r="B538" s="905">
        <v>25</v>
      </c>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4"/>
      <c r="BB538" s="14"/>
      <c r="BC538" s="14"/>
      <c r="BD538" s="14"/>
      <c r="BE538" s="14"/>
      <c r="BF538" s="14"/>
      <c r="BG538" s="14"/>
      <c r="BH538" s="14"/>
      <c r="BI538" s="14"/>
      <c r="BJ538" s="14"/>
      <c r="BK538" s="14"/>
      <c r="BL538" s="14"/>
      <c r="BM538" s="14"/>
      <c r="BN538" s="14"/>
      <c r="BO538" s="14"/>
      <c r="BP538" s="14"/>
      <c r="BQ538" s="14"/>
      <c r="BR538" s="14"/>
      <c r="BS538" s="14"/>
      <c r="BT538" s="14"/>
      <c r="BU538" s="14"/>
      <c r="BV538" s="14"/>
      <c r="BW538" s="14"/>
      <c r="BX538" s="14"/>
      <c r="BY538" s="14"/>
      <c r="BZ538" s="14"/>
      <c r="CA538" s="14"/>
      <c r="CB538" s="14"/>
      <c r="CC538" s="14"/>
      <c r="CD538" s="14"/>
      <c r="CE538" s="14"/>
      <c r="CF538" s="14"/>
      <c r="CG538" s="14"/>
      <c r="CH538" s="14"/>
      <c r="CI538" s="14"/>
      <c r="CJ538" s="14"/>
      <c r="CK538" s="14"/>
      <c r="CL538" s="14"/>
      <c r="CM538" s="14"/>
      <c r="CN538" s="14"/>
      <c r="CO538" s="14"/>
      <c r="CP538" s="14"/>
      <c r="CQ538" s="14"/>
      <c r="CR538" s="14"/>
      <c r="CS538" s="14"/>
      <c r="CT538" s="14"/>
      <c r="CU538" s="14"/>
      <c r="CV538" s="14"/>
      <c r="CW538" s="14"/>
      <c r="CX538" s="14"/>
      <c r="CY538" s="14"/>
      <c r="CZ538" s="14"/>
      <c r="DA538" s="14"/>
      <c r="DB538" s="14"/>
      <c r="DC538" s="14"/>
      <c r="DD538" s="14"/>
      <c r="DE538" s="14"/>
      <c r="DF538" s="14"/>
      <c r="DG538" s="14"/>
      <c r="DH538" s="14"/>
      <c r="DI538" s="14"/>
      <c r="DJ538" s="14"/>
      <c r="DK538" s="14"/>
      <c r="DL538" s="14"/>
      <c r="DM538" s="14"/>
      <c r="DN538" s="14"/>
      <c r="DO538" s="14"/>
      <c r="DP538" s="14"/>
      <c r="DQ538" s="14"/>
      <c r="DR538" s="14"/>
      <c r="DS538" s="14"/>
      <c r="DT538" s="14"/>
      <c r="DU538" s="14"/>
      <c r="DV538" s="14"/>
      <c r="DW538" s="14"/>
      <c r="DX538" s="14"/>
      <c r="DY538" s="14"/>
      <c r="DZ538" s="14"/>
      <c r="EA538" s="14"/>
      <c r="EB538" s="14"/>
      <c r="EC538" s="14"/>
      <c r="ED538" s="14"/>
      <c r="EE538" s="14"/>
      <c r="EF538" s="14"/>
      <c r="EG538" s="14"/>
      <c r="EH538" s="14"/>
      <c r="EI538" s="14"/>
      <c r="EJ538" s="14"/>
      <c r="EK538" s="14"/>
      <c r="EL538" s="14"/>
    </row>
    <row r="539" spans="2:142" hidden="1" x14ac:dyDescent="0.2">
      <c r="B539" s="905">
        <v>26</v>
      </c>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4"/>
      <c r="BB539" s="14"/>
      <c r="BC539" s="14"/>
      <c r="BD539" s="14"/>
      <c r="BE539" s="14"/>
      <c r="BF539" s="14"/>
      <c r="BG539" s="14"/>
      <c r="BH539" s="14"/>
      <c r="BI539" s="14"/>
      <c r="BJ539" s="14"/>
      <c r="BK539" s="14"/>
      <c r="BL539" s="14"/>
      <c r="BM539" s="14"/>
      <c r="BN539" s="14"/>
      <c r="BO539" s="14"/>
      <c r="BP539" s="14"/>
      <c r="BQ539" s="14"/>
      <c r="BR539" s="14"/>
      <c r="BS539" s="14"/>
      <c r="BT539" s="14"/>
      <c r="BU539" s="14"/>
      <c r="BV539" s="14"/>
      <c r="BW539" s="14"/>
      <c r="BX539" s="14"/>
      <c r="BY539" s="14"/>
      <c r="BZ539" s="14"/>
      <c r="CA539" s="14"/>
      <c r="CB539" s="14"/>
      <c r="CC539" s="14"/>
      <c r="CD539" s="14"/>
      <c r="CE539" s="14"/>
      <c r="CF539" s="14"/>
      <c r="CG539" s="14"/>
      <c r="CH539" s="14"/>
      <c r="CI539" s="14"/>
      <c r="CJ539" s="14"/>
      <c r="CK539" s="14"/>
      <c r="CL539" s="14"/>
      <c r="CM539" s="14"/>
      <c r="CN539" s="14"/>
      <c r="CO539" s="14"/>
      <c r="CP539" s="14"/>
      <c r="CQ539" s="14"/>
      <c r="CR539" s="14"/>
      <c r="CS539" s="14"/>
      <c r="CT539" s="14"/>
      <c r="CU539" s="14"/>
      <c r="CV539" s="14"/>
      <c r="CW539" s="14"/>
      <c r="CX539" s="14"/>
      <c r="CY539" s="14"/>
      <c r="CZ539" s="14"/>
      <c r="DA539" s="14"/>
      <c r="DB539" s="14"/>
      <c r="DC539" s="14"/>
      <c r="DD539" s="14"/>
      <c r="DE539" s="14"/>
      <c r="DF539" s="14"/>
      <c r="DG539" s="14"/>
      <c r="DH539" s="14"/>
      <c r="DI539" s="14"/>
      <c r="DJ539" s="14"/>
      <c r="DK539" s="14"/>
      <c r="DL539" s="14"/>
      <c r="DM539" s="14"/>
      <c r="DN539" s="14"/>
      <c r="DO539" s="14"/>
      <c r="DP539" s="14"/>
      <c r="DQ539" s="14"/>
      <c r="DR539" s="14"/>
      <c r="DS539" s="14"/>
      <c r="DT539" s="14"/>
      <c r="DU539" s="14"/>
      <c r="DV539" s="14"/>
      <c r="DW539" s="14"/>
      <c r="DX539" s="14"/>
      <c r="DY539" s="14"/>
      <c r="DZ539" s="14"/>
      <c r="EA539" s="14"/>
      <c r="EB539" s="14"/>
      <c r="EC539" s="14"/>
      <c r="ED539" s="14"/>
      <c r="EE539" s="14"/>
      <c r="EF539" s="14"/>
      <c r="EG539" s="14"/>
      <c r="EH539" s="14"/>
      <c r="EI539" s="14"/>
      <c r="EJ539" s="14"/>
      <c r="EK539" s="14"/>
      <c r="EL539" s="14"/>
    </row>
    <row r="540" spans="2:142" hidden="1" x14ac:dyDescent="0.2">
      <c r="B540" s="905">
        <v>27</v>
      </c>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4"/>
      <c r="BB540" s="14"/>
      <c r="BC540" s="14"/>
      <c r="BD540" s="14"/>
      <c r="BE540" s="14"/>
      <c r="BF540" s="14"/>
      <c r="BG540" s="14"/>
      <c r="BH540" s="14"/>
      <c r="BI540" s="14"/>
      <c r="BJ540" s="14"/>
      <c r="BK540" s="14"/>
      <c r="BL540" s="14"/>
      <c r="BM540" s="14"/>
      <c r="BN540" s="14"/>
      <c r="BO540" s="14"/>
      <c r="BP540" s="14"/>
      <c r="BQ540" s="14"/>
      <c r="BR540" s="14"/>
      <c r="BS540" s="14"/>
      <c r="BT540" s="14"/>
      <c r="BU540" s="14"/>
      <c r="BV540" s="14"/>
      <c r="BW540" s="14"/>
      <c r="BX540" s="14"/>
      <c r="BY540" s="14"/>
      <c r="BZ540" s="14"/>
      <c r="CA540" s="14"/>
      <c r="CB540" s="14"/>
      <c r="CC540" s="14"/>
      <c r="CD540" s="14"/>
      <c r="CE540" s="14"/>
      <c r="CF540" s="14"/>
      <c r="CG540" s="14"/>
      <c r="CH540" s="14"/>
      <c r="CI540" s="14"/>
      <c r="CJ540" s="14"/>
      <c r="CK540" s="14"/>
      <c r="CL540" s="14"/>
      <c r="CM540" s="14"/>
      <c r="CN540" s="14"/>
      <c r="CO540" s="14"/>
      <c r="CP540" s="14"/>
      <c r="CQ540" s="14"/>
      <c r="CR540" s="14"/>
      <c r="CS540" s="14"/>
      <c r="CT540" s="14"/>
      <c r="CU540" s="14"/>
      <c r="CV540" s="14"/>
      <c r="CW540" s="14"/>
      <c r="CX540" s="14"/>
      <c r="CY540" s="14"/>
      <c r="CZ540" s="14"/>
      <c r="DA540" s="14"/>
      <c r="DB540" s="14"/>
      <c r="DC540" s="14"/>
      <c r="DD540" s="14"/>
      <c r="DE540" s="14"/>
      <c r="DF540" s="14"/>
      <c r="DG540" s="14"/>
      <c r="DH540" s="14"/>
      <c r="DI540" s="14"/>
      <c r="DJ540" s="14"/>
      <c r="DK540" s="14"/>
      <c r="DL540" s="14"/>
      <c r="DM540" s="14"/>
      <c r="DN540" s="14"/>
      <c r="DO540" s="14"/>
      <c r="DP540" s="14"/>
      <c r="DQ540" s="14"/>
      <c r="DR540" s="14"/>
      <c r="DS540" s="14"/>
      <c r="DT540" s="14"/>
      <c r="DU540" s="14"/>
      <c r="DV540" s="14"/>
      <c r="DW540" s="14"/>
      <c r="DX540" s="14"/>
      <c r="DY540" s="14"/>
      <c r="DZ540" s="14"/>
      <c r="EA540" s="14"/>
      <c r="EB540" s="14"/>
      <c r="EC540" s="14"/>
      <c r="ED540" s="14"/>
      <c r="EE540" s="14"/>
      <c r="EF540" s="14"/>
      <c r="EG540" s="14"/>
      <c r="EH540" s="14"/>
      <c r="EI540" s="14"/>
      <c r="EJ540" s="14"/>
      <c r="EK540" s="14"/>
      <c r="EL540" s="14"/>
    </row>
    <row r="541" spans="2:142" hidden="1" x14ac:dyDescent="0.2">
      <c r="B541" s="905">
        <v>28</v>
      </c>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4"/>
      <c r="BB541" s="14"/>
      <c r="BC541" s="14"/>
      <c r="BD541" s="14"/>
      <c r="BE541" s="14"/>
      <c r="BF541" s="14"/>
      <c r="BG541" s="14"/>
      <c r="BH541" s="14"/>
      <c r="BI541" s="14"/>
      <c r="BJ541" s="14"/>
      <c r="BK541" s="14"/>
      <c r="BL541" s="14"/>
      <c r="BM541" s="14"/>
      <c r="BN541" s="14"/>
      <c r="BO541" s="14"/>
      <c r="BP541" s="14"/>
      <c r="BQ541" s="14"/>
      <c r="BR541" s="14"/>
      <c r="BS541" s="14"/>
      <c r="BT541" s="14"/>
      <c r="BU541" s="14"/>
      <c r="BV541" s="14"/>
      <c r="BW541" s="14"/>
      <c r="BX541" s="14"/>
      <c r="BY541" s="14"/>
      <c r="BZ541" s="14"/>
      <c r="CA541" s="14"/>
      <c r="CB541" s="14"/>
      <c r="CC541" s="14"/>
      <c r="CD541" s="14"/>
      <c r="CE541" s="14"/>
      <c r="CF541" s="14"/>
      <c r="CG541" s="14"/>
      <c r="CH541" s="14"/>
      <c r="CI541" s="14"/>
      <c r="CJ541" s="14"/>
      <c r="CK541" s="14"/>
      <c r="CL541" s="14"/>
      <c r="CM541" s="14"/>
      <c r="CN541" s="14"/>
      <c r="CO541" s="14"/>
      <c r="CP541" s="14"/>
      <c r="CQ541" s="14"/>
      <c r="CR541" s="14"/>
      <c r="CS541" s="14"/>
      <c r="CT541" s="14"/>
      <c r="CU541" s="14"/>
      <c r="CV541" s="14"/>
      <c r="CW541" s="14"/>
      <c r="CX541" s="14"/>
      <c r="CY541" s="14"/>
      <c r="CZ541" s="14"/>
      <c r="DA541" s="14"/>
      <c r="DB541" s="14"/>
      <c r="DC541" s="14"/>
      <c r="DD541" s="14"/>
      <c r="DE541" s="14"/>
      <c r="DF541" s="14"/>
      <c r="DG541" s="14"/>
      <c r="DH541" s="14"/>
      <c r="DI541" s="14"/>
      <c r="DJ541" s="14"/>
      <c r="DK541" s="14"/>
      <c r="DL541" s="14"/>
      <c r="DM541" s="14"/>
      <c r="DN541" s="14"/>
      <c r="DO541" s="14"/>
      <c r="DP541" s="14"/>
      <c r="DQ541" s="14"/>
      <c r="DR541" s="14"/>
      <c r="DS541" s="14"/>
      <c r="DT541" s="14"/>
      <c r="DU541" s="14"/>
      <c r="DV541" s="14"/>
      <c r="DW541" s="14"/>
      <c r="DX541" s="14"/>
      <c r="DY541" s="14"/>
      <c r="DZ541" s="14"/>
      <c r="EA541" s="14"/>
      <c r="EB541" s="14"/>
      <c r="EC541" s="14"/>
      <c r="ED541" s="14"/>
      <c r="EE541" s="14"/>
      <c r="EF541" s="14"/>
      <c r="EG541" s="14"/>
      <c r="EH541" s="14"/>
      <c r="EI541" s="14"/>
      <c r="EJ541" s="14"/>
      <c r="EK541" s="14"/>
      <c r="EL541" s="14"/>
    </row>
    <row r="542" spans="2:142" hidden="1" x14ac:dyDescent="0.2">
      <c r="B542" s="905">
        <v>29</v>
      </c>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4"/>
      <c r="BB542" s="14"/>
      <c r="BC542" s="14"/>
      <c r="BD542" s="14"/>
      <c r="BE542" s="14"/>
      <c r="BF542" s="14"/>
      <c r="BG542" s="14"/>
      <c r="BH542" s="14"/>
      <c r="BI542" s="14"/>
      <c r="BJ542" s="14"/>
      <c r="BK542" s="14"/>
      <c r="BL542" s="14"/>
      <c r="BM542" s="14"/>
      <c r="BN542" s="14"/>
      <c r="BO542" s="14"/>
      <c r="BP542" s="14"/>
      <c r="BQ542" s="14"/>
      <c r="BR542" s="14"/>
      <c r="BS542" s="14"/>
      <c r="BT542" s="14"/>
      <c r="BU542" s="14"/>
      <c r="BV542" s="14"/>
      <c r="BW542" s="14"/>
      <c r="BX542" s="14"/>
      <c r="BY542" s="14"/>
      <c r="BZ542" s="14"/>
      <c r="CA542" s="14"/>
      <c r="CB542" s="14"/>
      <c r="CC542" s="14"/>
      <c r="CD542" s="14"/>
      <c r="CE542" s="14"/>
      <c r="CF542" s="14"/>
      <c r="CG542" s="14"/>
      <c r="CH542" s="14"/>
      <c r="CI542" s="14"/>
      <c r="CJ542" s="14"/>
      <c r="CK542" s="14"/>
      <c r="CL542" s="14"/>
      <c r="CM542" s="14"/>
      <c r="CN542" s="14"/>
      <c r="CO542" s="14"/>
      <c r="CP542" s="14"/>
      <c r="CQ542" s="14"/>
      <c r="CR542" s="14"/>
      <c r="CS542" s="14"/>
      <c r="CT542" s="14"/>
      <c r="CU542" s="14"/>
      <c r="CV542" s="14"/>
      <c r="CW542" s="14"/>
      <c r="CX542" s="14"/>
      <c r="CY542" s="14"/>
      <c r="CZ542" s="14"/>
      <c r="DA542" s="14"/>
      <c r="DB542" s="14"/>
      <c r="DC542" s="14"/>
      <c r="DD542" s="14"/>
      <c r="DE542" s="14"/>
      <c r="DF542" s="14"/>
      <c r="DG542" s="14"/>
      <c r="DH542" s="14"/>
      <c r="DI542" s="14"/>
      <c r="DJ542" s="14"/>
      <c r="DK542" s="14"/>
      <c r="DL542" s="14"/>
      <c r="DM542" s="14"/>
      <c r="DN542" s="14"/>
      <c r="DO542" s="14"/>
      <c r="DP542" s="14"/>
      <c r="DQ542" s="14"/>
      <c r="DR542" s="14"/>
      <c r="DS542" s="14"/>
      <c r="DT542" s="14"/>
      <c r="DU542" s="14"/>
      <c r="DV542" s="14"/>
      <c r="DW542" s="14"/>
      <c r="DX542" s="14"/>
      <c r="DY542" s="14"/>
      <c r="DZ542" s="14"/>
      <c r="EA542" s="14"/>
      <c r="EB542" s="14"/>
      <c r="EC542" s="14"/>
      <c r="ED542" s="14"/>
      <c r="EE542" s="14"/>
      <c r="EF542" s="14"/>
      <c r="EG542" s="14"/>
      <c r="EH542" s="14"/>
      <c r="EI542" s="14"/>
      <c r="EJ542" s="14"/>
      <c r="EK542" s="14"/>
      <c r="EL542" s="14"/>
    </row>
    <row r="543" spans="2:142" hidden="1" x14ac:dyDescent="0.2">
      <c r="B543" s="905">
        <v>30</v>
      </c>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4"/>
      <c r="BB543" s="14"/>
      <c r="BC543" s="14"/>
      <c r="BD543" s="14"/>
      <c r="BE543" s="14"/>
      <c r="BF543" s="14"/>
      <c r="BG543" s="14"/>
      <c r="BH543" s="14"/>
      <c r="BI543" s="14"/>
      <c r="BJ543" s="14"/>
      <c r="BK543" s="14"/>
      <c r="BL543" s="14"/>
      <c r="BM543" s="14"/>
      <c r="BN543" s="14"/>
      <c r="BO543" s="14"/>
      <c r="BP543" s="14"/>
      <c r="BQ543" s="14"/>
      <c r="BR543" s="14"/>
      <c r="BS543" s="14"/>
      <c r="BT543" s="14"/>
      <c r="BU543" s="14"/>
      <c r="BV543" s="14"/>
      <c r="BW543" s="14"/>
      <c r="BX543" s="14"/>
      <c r="BY543" s="14"/>
      <c r="BZ543" s="14"/>
      <c r="CA543" s="14"/>
      <c r="CB543" s="14"/>
      <c r="CC543" s="14"/>
      <c r="CD543" s="14"/>
      <c r="CE543" s="14"/>
      <c r="CF543" s="14"/>
      <c r="CG543" s="14"/>
      <c r="CH543" s="14"/>
      <c r="CI543" s="14"/>
      <c r="CJ543" s="14"/>
      <c r="CK543" s="14"/>
      <c r="CL543" s="14"/>
      <c r="CM543" s="14"/>
      <c r="CN543" s="14"/>
      <c r="CO543" s="14"/>
      <c r="CP543" s="14"/>
      <c r="CQ543" s="14"/>
      <c r="CR543" s="14"/>
      <c r="CS543" s="14"/>
      <c r="CT543" s="14"/>
      <c r="CU543" s="14"/>
      <c r="CV543" s="14"/>
      <c r="CW543" s="14"/>
      <c r="CX543" s="14"/>
      <c r="CY543" s="14"/>
      <c r="CZ543" s="14"/>
      <c r="DA543" s="14"/>
      <c r="DB543" s="14"/>
      <c r="DC543" s="14"/>
      <c r="DD543" s="14"/>
      <c r="DE543" s="14"/>
      <c r="DF543" s="14"/>
      <c r="DG543" s="14"/>
      <c r="DH543" s="14"/>
      <c r="DI543" s="14"/>
      <c r="DJ543" s="14"/>
      <c r="DK543" s="14"/>
      <c r="DL543" s="14"/>
      <c r="DM543" s="14"/>
      <c r="DN543" s="14"/>
      <c r="DO543" s="14"/>
      <c r="DP543" s="14"/>
      <c r="DQ543" s="14"/>
      <c r="DR543" s="14"/>
      <c r="DS543" s="14"/>
      <c r="DT543" s="14"/>
      <c r="DU543" s="14"/>
      <c r="DV543" s="14"/>
      <c r="DW543" s="14"/>
      <c r="DX543" s="14"/>
      <c r="DY543" s="14"/>
      <c r="DZ543" s="14"/>
      <c r="EA543" s="14"/>
      <c r="EB543" s="14"/>
      <c r="EC543" s="14"/>
      <c r="ED543" s="14"/>
      <c r="EE543" s="14"/>
      <c r="EF543" s="14"/>
      <c r="EG543" s="14"/>
      <c r="EH543" s="14"/>
      <c r="EI543" s="14"/>
      <c r="EJ543" s="14"/>
      <c r="EK543" s="14"/>
      <c r="EL543" s="14"/>
    </row>
    <row r="544" spans="2:142" hidden="1" x14ac:dyDescent="0.2">
      <c r="B544" s="905">
        <v>31</v>
      </c>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4"/>
      <c r="BB544" s="14"/>
      <c r="BC544" s="14"/>
      <c r="BD544" s="14"/>
      <c r="BE544" s="14"/>
      <c r="BF544" s="14"/>
      <c r="BG544" s="14"/>
      <c r="BH544" s="14"/>
      <c r="BI544" s="14"/>
      <c r="BJ544" s="14"/>
      <c r="BK544" s="14"/>
      <c r="BL544" s="14"/>
      <c r="BM544" s="14"/>
      <c r="BN544" s="14"/>
      <c r="BO544" s="14"/>
      <c r="BP544" s="14"/>
      <c r="BQ544" s="14"/>
      <c r="BR544" s="14"/>
      <c r="BS544" s="14"/>
      <c r="BT544" s="14"/>
      <c r="BU544" s="14"/>
      <c r="BV544" s="14"/>
      <c r="BW544" s="14"/>
      <c r="BX544" s="14"/>
      <c r="BY544" s="14"/>
      <c r="BZ544" s="14"/>
      <c r="CA544" s="14"/>
      <c r="CB544" s="14"/>
      <c r="CC544" s="14"/>
      <c r="CD544" s="14"/>
      <c r="CE544" s="14"/>
      <c r="CF544" s="14"/>
      <c r="CG544" s="14"/>
      <c r="CH544" s="14"/>
      <c r="CI544" s="14"/>
      <c r="CJ544" s="14"/>
      <c r="CK544" s="14"/>
      <c r="CL544" s="14"/>
      <c r="CM544" s="14"/>
      <c r="CN544" s="14"/>
      <c r="CO544" s="14"/>
      <c r="CP544" s="14"/>
      <c r="CQ544" s="14"/>
      <c r="CR544" s="14"/>
      <c r="CS544" s="14"/>
      <c r="CT544" s="14"/>
      <c r="CU544" s="14"/>
      <c r="CV544" s="14"/>
      <c r="CW544" s="14"/>
      <c r="CX544" s="14"/>
      <c r="CY544" s="14"/>
      <c r="CZ544" s="14"/>
      <c r="DA544" s="14"/>
      <c r="DB544" s="14"/>
      <c r="DC544" s="14"/>
      <c r="DD544" s="14"/>
      <c r="DE544" s="14"/>
      <c r="DF544" s="14"/>
      <c r="DG544" s="14"/>
      <c r="DH544" s="14"/>
      <c r="DI544" s="14"/>
      <c r="DJ544" s="14"/>
      <c r="DK544" s="14"/>
      <c r="DL544" s="14"/>
      <c r="DM544" s="14"/>
      <c r="DN544" s="14"/>
      <c r="DO544" s="14"/>
      <c r="DP544" s="14"/>
      <c r="DQ544" s="14"/>
      <c r="DR544" s="14"/>
      <c r="DS544" s="14"/>
      <c r="DT544" s="14"/>
      <c r="DU544" s="14"/>
      <c r="DV544" s="14"/>
      <c r="DW544" s="14"/>
      <c r="DX544" s="14"/>
      <c r="DY544" s="14"/>
      <c r="DZ544" s="14"/>
      <c r="EA544" s="14"/>
      <c r="EB544" s="14"/>
      <c r="EC544" s="14"/>
      <c r="ED544" s="14"/>
      <c r="EE544" s="14"/>
      <c r="EF544" s="14"/>
      <c r="EG544" s="14"/>
      <c r="EH544" s="14"/>
      <c r="EI544" s="14"/>
      <c r="EJ544" s="14"/>
      <c r="EK544" s="14"/>
      <c r="EL544" s="14"/>
    </row>
    <row r="545" spans="2:142" hidden="1" x14ac:dyDescent="0.2">
      <c r="B545" s="905">
        <v>32</v>
      </c>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4"/>
      <c r="BB545" s="14"/>
      <c r="BC545" s="14"/>
      <c r="BD545" s="14"/>
      <c r="BE545" s="14"/>
      <c r="BF545" s="14"/>
      <c r="BG545" s="14"/>
      <c r="BH545" s="14"/>
      <c r="BI545" s="14"/>
      <c r="BJ545" s="14"/>
      <c r="BK545" s="14"/>
      <c r="BL545" s="14"/>
      <c r="BM545" s="14"/>
      <c r="BN545" s="14"/>
      <c r="BO545" s="14"/>
      <c r="BP545" s="14"/>
      <c r="BQ545" s="14"/>
      <c r="BR545" s="14"/>
      <c r="BS545" s="14"/>
      <c r="BT545" s="14"/>
      <c r="BU545" s="14"/>
      <c r="BV545" s="14"/>
      <c r="BW545" s="14"/>
      <c r="BX545" s="14"/>
      <c r="BY545" s="14"/>
      <c r="BZ545" s="14"/>
      <c r="CA545" s="14"/>
      <c r="CB545" s="14"/>
      <c r="CC545" s="14"/>
      <c r="CD545" s="14"/>
      <c r="CE545" s="14"/>
      <c r="CF545" s="14"/>
      <c r="CG545" s="14"/>
      <c r="CH545" s="14"/>
      <c r="CI545" s="14"/>
      <c r="CJ545" s="14"/>
      <c r="CK545" s="14"/>
      <c r="CL545" s="14"/>
      <c r="CM545" s="14"/>
      <c r="CN545" s="14"/>
      <c r="CO545" s="14"/>
      <c r="CP545" s="14"/>
      <c r="CQ545" s="14"/>
      <c r="CR545" s="14"/>
      <c r="CS545" s="14"/>
      <c r="CT545" s="14"/>
      <c r="CU545" s="14"/>
      <c r="CV545" s="14"/>
      <c r="CW545" s="14"/>
      <c r="CX545" s="14"/>
      <c r="CY545" s="14"/>
      <c r="CZ545" s="14"/>
      <c r="DA545" s="14"/>
      <c r="DB545" s="14"/>
      <c r="DC545" s="14"/>
      <c r="DD545" s="14"/>
      <c r="DE545" s="14"/>
      <c r="DF545" s="14"/>
      <c r="DG545" s="14"/>
      <c r="DH545" s="14"/>
      <c r="DI545" s="14"/>
      <c r="DJ545" s="14"/>
      <c r="DK545" s="14"/>
      <c r="DL545" s="14"/>
      <c r="DM545" s="14"/>
      <c r="DN545" s="14"/>
      <c r="DO545" s="14"/>
      <c r="DP545" s="14"/>
      <c r="DQ545" s="14"/>
      <c r="DR545" s="14"/>
      <c r="DS545" s="14"/>
      <c r="DT545" s="14"/>
      <c r="DU545" s="14"/>
      <c r="DV545" s="14"/>
      <c r="DW545" s="14"/>
      <c r="DX545" s="14"/>
      <c r="DY545" s="14"/>
      <c r="DZ545" s="14"/>
      <c r="EA545" s="14"/>
      <c r="EB545" s="14"/>
      <c r="EC545" s="14"/>
      <c r="ED545" s="14"/>
      <c r="EE545" s="14"/>
      <c r="EF545" s="14"/>
      <c r="EG545" s="14"/>
      <c r="EH545" s="14"/>
      <c r="EI545" s="14"/>
      <c r="EJ545" s="14"/>
      <c r="EK545" s="14"/>
      <c r="EL545" s="14"/>
    </row>
    <row r="546" spans="2:142" hidden="1" x14ac:dyDescent="0.2">
      <c r="B546" s="905">
        <v>33</v>
      </c>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4"/>
      <c r="BB546" s="14"/>
      <c r="BC546" s="14"/>
      <c r="BD546" s="14"/>
      <c r="BE546" s="14"/>
      <c r="BF546" s="14"/>
      <c r="BG546" s="14"/>
      <c r="BH546" s="14"/>
      <c r="BI546" s="14"/>
      <c r="BJ546" s="14"/>
      <c r="BK546" s="14"/>
      <c r="BL546" s="14"/>
      <c r="BM546" s="14"/>
      <c r="BN546" s="14"/>
      <c r="BO546" s="14"/>
      <c r="BP546" s="14"/>
      <c r="BQ546" s="14"/>
      <c r="BR546" s="14"/>
      <c r="BS546" s="14"/>
      <c r="BT546" s="14"/>
      <c r="BU546" s="14"/>
      <c r="BV546" s="14"/>
      <c r="BW546" s="14"/>
      <c r="BX546" s="14"/>
      <c r="BY546" s="14"/>
      <c r="BZ546" s="14"/>
      <c r="CA546" s="14"/>
      <c r="CB546" s="14"/>
      <c r="CC546" s="14"/>
      <c r="CD546" s="14"/>
      <c r="CE546" s="14"/>
      <c r="CF546" s="14"/>
      <c r="CG546" s="14"/>
      <c r="CH546" s="14"/>
      <c r="CI546" s="14"/>
      <c r="CJ546" s="14"/>
      <c r="CK546" s="14"/>
      <c r="CL546" s="14"/>
      <c r="CM546" s="14"/>
      <c r="CN546" s="14"/>
      <c r="CO546" s="14"/>
      <c r="CP546" s="14"/>
      <c r="CQ546" s="14"/>
      <c r="CR546" s="14"/>
      <c r="CS546" s="14"/>
      <c r="CT546" s="14"/>
      <c r="CU546" s="14"/>
      <c r="CV546" s="14"/>
      <c r="CW546" s="14"/>
      <c r="CX546" s="14"/>
      <c r="CY546" s="14"/>
      <c r="CZ546" s="14"/>
      <c r="DA546" s="14"/>
      <c r="DB546" s="14"/>
      <c r="DC546" s="14"/>
      <c r="DD546" s="14"/>
      <c r="DE546" s="14"/>
      <c r="DF546" s="14"/>
      <c r="DG546" s="14"/>
      <c r="DH546" s="14"/>
      <c r="DI546" s="14"/>
      <c r="DJ546" s="14"/>
      <c r="DK546" s="14"/>
      <c r="DL546" s="14"/>
      <c r="DM546" s="14"/>
      <c r="DN546" s="14"/>
      <c r="DO546" s="14"/>
      <c r="DP546" s="14"/>
      <c r="DQ546" s="14"/>
      <c r="DR546" s="14"/>
      <c r="DS546" s="14"/>
      <c r="DT546" s="14"/>
      <c r="DU546" s="14"/>
      <c r="DV546" s="14"/>
      <c r="DW546" s="14"/>
      <c r="DX546" s="14"/>
      <c r="DY546" s="14"/>
      <c r="DZ546" s="14"/>
      <c r="EA546" s="14"/>
      <c r="EB546" s="14"/>
      <c r="EC546" s="14"/>
      <c r="ED546" s="14"/>
      <c r="EE546" s="14"/>
      <c r="EF546" s="14"/>
      <c r="EG546" s="14"/>
      <c r="EH546" s="14"/>
      <c r="EI546" s="14"/>
      <c r="EJ546" s="14"/>
      <c r="EK546" s="14"/>
      <c r="EL546" s="14"/>
    </row>
    <row r="547" spans="2:142" hidden="1" x14ac:dyDescent="0.2">
      <c r="B547" s="905">
        <v>34</v>
      </c>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4"/>
      <c r="BB547" s="14"/>
      <c r="BC547" s="14"/>
      <c r="BD547" s="14"/>
      <c r="BE547" s="14"/>
      <c r="BF547" s="14"/>
      <c r="BG547" s="14"/>
      <c r="BH547" s="14"/>
      <c r="BI547" s="14"/>
      <c r="BJ547" s="14"/>
      <c r="BK547" s="14"/>
      <c r="BL547" s="14"/>
      <c r="BM547" s="14"/>
      <c r="BN547" s="14"/>
      <c r="BO547" s="14"/>
      <c r="BP547" s="14"/>
      <c r="BQ547" s="14"/>
      <c r="BR547" s="14"/>
      <c r="BS547" s="14"/>
      <c r="BT547" s="14"/>
      <c r="BU547" s="14"/>
      <c r="BV547" s="14"/>
      <c r="BW547" s="14"/>
      <c r="BX547" s="14"/>
      <c r="BY547" s="14"/>
      <c r="BZ547" s="14"/>
      <c r="CA547" s="14"/>
      <c r="CB547" s="14"/>
      <c r="CC547" s="14"/>
      <c r="CD547" s="14"/>
      <c r="CE547" s="14"/>
      <c r="CF547" s="14"/>
      <c r="CG547" s="14"/>
      <c r="CH547" s="14"/>
      <c r="CI547" s="14"/>
      <c r="CJ547" s="14"/>
      <c r="CK547" s="14"/>
      <c r="CL547" s="14"/>
      <c r="CM547" s="14"/>
      <c r="CN547" s="14"/>
      <c r="CO547" s="14"/>
      <c r="CP547" s="14"/>
      <c r="CQ547" s="14"/>
      <c r="CR547" s="14"/>
      <c r="CS547" s="14"/>
      <c r="CT547" s="14"/>
      <c r="CU547" s="14"/>
      <c r="CV547" s="14"/>
      <c r="CW547" s="14"/>
      <c r="CX547" s="14"/>
      <c r="CY547" s="14"/>
      <c r="CZ547" s="14"/>
      <c r="DA547" s="14"/>
      <c r="DB547" s="14"/>
      <c r="DC547" s="14"/>
      <c r="DD547" s="14"/>
      <c r="DE547" s="14"/>
      <c r="DF547" s="14"/>
      <c r="DG547" s="14"/>
      <c r="DH547" s="14"/>
      <c r="DI547" s="14"/>
      <c r="DJ547" s="14"/>
      <c r="DK547" s="14"/>
      <c r="DL547" s="14"/>
      <c r="DM547" s="14"/>
      <c r="DN547" s="14"/>
      <c r="DO547" s="14"/>
      <c r="DP547" s="14"/>
      <c r="DQ547" s="14"/>
      <c r="DR547" s="14"/>
      <c r="DS547" s="14"/>
      <c r="DT547" s="14"/>
      <c r="DU547" s="14"/>
      <c r="DV547" s="14"/>
      <c r="DW547" s="14"/>
      <c r="DX547" s="14"/>
      <c r="DY547" s="14"/>
      <c r="DZ547" s="14"/>
      <c r="EA547" s="14"/>
      <c r="EB547" s="14"/>
      <c r="EC547" s="14"/>
      <c r="ED547" s="14"/>
      <c r="EE547" s="14"/>
      <c r="EF547" s="14"/>
      <c r="EG547" s="14"/>
      <c r="EH547" s="14"/>
      <c r="EI547" s="14"/>
      <c r="EJ547" s="14"/>
      <c r="EK547" s="14"/>
      <c r="EL547" s="14"/>
    </row>
    <row r="548" spans="2:142" hidden="1" x14ac:dyDescent="0.2">
      <c r="B548" s="905">
        <v>35</v>
      </c>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4"/>
      <c r="BB548" s="14"/>
      <c r="BC548" s="14"/>
      <c r="BD548" s="14"/>
      <c r="BE548" s="14"/>
      <c r="BF548" s="14"/>
      <c r="BG548" s="14"/>
      <c r="BH548" s="14"/>
      <c r="BI548" s="14"/>
      <c r="BJ548" s="14"/>
      <c r="BK548" s="14"/>
      <c r="BL548" s="14"/>
      <c r="BM548" s="14"/>
      <c r="BN548" s="14"/>
      <c r="BO548" s="14"/>
      <c r="BP548" s="14"/>
      <c r="BQ548" s="14"/>
      <c r="BR548" s="14"/>
      <c r="BS548" s="14"/>
      <c r="BT548" s="14"/>
      <c r="BU548" s="14"/>
      <c r="BV548" s="14"/>
      <c r="BW548" s="14"/>
      <c r="BX548" s="14"/>
      <c r="BY548" s="14"/>
      <c r="BZ548" s="14"/>
      <c r="CA548" s="14"/>
      <c r="CB548" s="14"/>
      <c r="CC548" s="14"/>
      <c r="CD548" s="14"/>
      <c r="CE548" s="14"/>
      <c r="CF548" s="14"/>
      <c r="CG548" s="14"/>
      <c r="CH548" s="14"/>
      <c r="CI548" s="14"/>
      <c r="CJ548" s="14"/>
      <c r="CK548" s="14"/>
      <c r="CL548" s="14"/>
      <c r="CM548" s="14"/>
      <c r="CN548" s="14"/>
      <c r="CO548" s="14"/>
      <c r="CP548" s="14"/>
      <c r="CQ548" s="14"/>
      <c r="CR548" s="14"/>
      <c r="CS548" s="14"/>
      <c r="CT548" s="14"/>
      <c r="CU548" s="14"/>
      <c r="CV548" s="14"/>
      <c r="CW548" s="14"/>
      <c r="CX548" s="14"/>
      <c r="CY548" s="14"/>
      <c r="CZ548" s="14"/>
      <c r="DA548" s="14"/>
      <c r="DB548" s="14"/>
      <c r="DC548" s="14"/>
      <c r="DD548" s="14"/>
      <c r="DE548" s="14"/>
      <c r="DF548" s="14"/>
      <c r="DG548" s="14"/>
      <c r="DH548" s="14"/>
      <c r="DI548" s="14"/>
      <c r="DJ548" s="14"/>
      <c r="DK548" s="14"/>
      <c r="DL548" s="14"/>
      <c r="DM548" s="14"/>
      <c r="DN548" s="14"/>
      <c r="DO548" s="14"/>
      <c r="DP548" s="14"/>
      <c r="DQ548" s="14"/>
      <c r="DR548" s="14"/>
      <c r="DS548" s="14"/>
      <c r="DT548" s="14"/>
      <c r="DU548" s="14"/>
      <c r="DV548" s="14"/>
      <c r="DW548" s="14"/>
      <c r="DX548" s="14"/>
      <c r="DY548" s="14"/>
      <c r="DZ548" s="14"/>
      <c r="EA548" s="14"/>
      <c r="EB548" s="14"/>
      <c r="EC548" s="14"/>
      <c r="ED548" s="14"/>
      <c r="EE548" s="14"/>
      <c r="EF548" s="14"/>
      <c r="EG548" s="14"/>
      <c r="EH548" s="14"/>
      <c r="EI548" s="14"/>
      <c r="EJ548" s="14"/>
      <c r="EK548" s="14"/>
      <c r="EL548" s="14"/>
    </row>
    <row r="549" spans="2:142" hidden="1" x14ac:dyDescent="0.2">
      <c r="B549" s="905">
        <v>36</v>
      </c>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4"/>
      <c r="BB549" s="14"/>
      <c r="BC549" s="14"/>
      <c r="BD549" s="14"/>
      <c r="BE549" s="14"/>
      <c r="BF549" s="14"/>
      <c r="BG549" s="14"/>
      <c r="BH549" s="14"/>
      <c r="BI549" s="14"/>
      <c r="BJ549" s="14"/>
      <c r="BK549" s="14"/>
      <c r="BL549" s="14"/>
      <c r="BM549" s="14"/>
      <c r="BN549" s="14"/>
      <c r="BO549" s="14"/>
      <c r="BP549" s="14"/>
      <c r="BQ549" s="14"/>
      <c r="BR549" s="14"/>
      <c r="BS549" s="14"/>
      <c r="BT549" s="14"/>
      <c r="BU549" s="14"/>
      <c r="BV549" s="14"/>
      <c r="BW549" s="14"/>
      <c r="BX549" s="14"/>
      <c r="BY549" s="14"/>
      <c r="BZ549" s="14"/>
      <c r="CA549" s="14"/>
      <c r="CB549" s="14"/>
      <c r="CC549" s="14"/>
      <c r="CD549" s="14"/>
      <c r="CE549" s="14"/>
      <c r="CF549" s="14"/>
      <c r="CG549" s="14"/>
      <c r="CH549" s="14"/>
      <c r="CI549" s="14"/>
      <c r="CJ549" s="14"/>
      <c r="CK549" s="14"/>
      <c r="CL549" s="14"/>
      <c r="CM549" s="14"/>
      <c r="CN549" s="14"/>
      <c r="CO549" s="14"/>
      <c r="CP549" s="14"/>
      <c r="CQ549" s="14"/>
      <c r="CR549" s="14"/>
      <c r="CS549" s="14"/>
      <c r="CT549" s="14"/>
      <c r="CU549" s="14"/>
      <c r="CV549" s="14"/>
      <c r="CW549" s="14"/>
      <c r="CX549" s="14"/>
      <c r="CY549" s="14"/>
      <c r="CZ549" s="14"/>
      <c r="DA549" s="14"/>
      <c r="DB549" s="14"/>
      <c r="DC549" s="14"/>
      <c r="DD549" s="14"/>
      <c r="DE549" s="14"/>
      <c r="DF549" s="14"/>
      <c r="DG549" s="14"/>
      <c r="DH549" s="14"/>
      <c r="DI549" s="14"/>
      <c r="DJ549" s="14"/>
      <c r="DK549" s="14"/>
      <c r="DL549" s="14"/>
      <c r="DM549" s="14"/>
      <c r="DN549" s="14"/>
      <c r="DO549" s="14"/>
      <c r="DP549" s="14"/>
      <c r="DQ549" s="14"/>
      <c r="DR549" s="14"/>
      <c r="DS549" s="14"/>
      <c r="DT549" s="14"/>
      <c r="DU549" s="14"/>
      <c r="DV549" s="14"/>
      <c r="DW549" s="14"/>
      <c r="DX549" s="14"/>
      <c r="DY549" s="14"/>
      <c r="DZ549" s="14"/>
      <c r="EA549" s="14"/>
      <c r="EB549" s="14"/>
      <c r="EC549" s="14"/>
      <c r="ED549" s="14"/>
      <c r="EE549" s="14"/>
      <c r="EF549" s="14"/>
      <c r="EG549" s="14"/>
      <c r="EH549" s="14"/>
      <c r="EI549" s="14"/>
      <c r="EJ549" s="14"/>
      <c r="EK549" s="14"/>
      <c r="EL549" s="14"/>
    </row>
    <row r="550" spans="2:142" hidden="1" x14ac:dyDescent="0.2">
      <c r="B550" s="905">
        <v>37</v>
      </c>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4"/>
      <c r="BB550" s="14"/>
      <c r="BC550" s="14"/>
      <c r="BD550" s="14"/>
      <c r="BE550" s="14"/>
      <c r="BF550" s="14"/>
      <c r="BG550" s="14"/>
      <c r="BH550" s="14"/>
      <c r="BI550" s="14"/>
      <c r="BJ550" s="14"/>
      <c r="BK550" s="14"/>
      <c r="BL550" s="14"/>
      <c r="BM550" s="14"/>
      <c r="BN550" s="14"/>
      <c r="BO550" s="14"/>
      <c r="BP550" s="14"/>
      <c r="BQ550" s="14"/>
      <c r="BR550" s="14"/>
      <c r="BS550" s="14"/>
      <c r="BT550" s="14"/>
      <c r="BU550" s="14"/>
      <c r="BV550" s="14"/>
      <c r="BW550" s="14"/>
      <c r="BX550" s="14"/>
      <c r="BY550" s="14"/>
      <c r="BZ550" s="14"/>
      <c r="CA550" s="14"/>
      <c r="CB550" s="14"/>
      <c r="CC550" s="14"/>
      <c r="CD550" s="14"/>
      <c r="CE550" s="14"/>
      <c r="CF550" s="14"/>
      <c r="CG550" s="14"/>
      <c r="CH550" s="14"/>
      <c r="CI550" s="14"/>
      <c r="CJ550" s="14"/>
      <c r="CK550" s="14"/>
      <c r="CL550" s="14"/>
      <c r="CM550" s="14"/>
      <c r="CN550" s="14"/>
      <c r="CO550" s="14"/>
      <c r="CP550" s="14"/>
      <c r="CQ550" s="14"/>
      <c r="CR550" s="14"/>
      <c r="CS550" s="14"/>
      <c r="CT550" s="14"/>
      <c r="CU550" s="14"/>
      <c r="CV550" s="14"/>
      <c r="CW550" s="14"/>
      <c r="CX550" s="14"/>
      <c r="CY550" s="14"/>
      <c r="CZ550" s="14"/>
      <c r="DA550" s="14"/>
      <c r="DB550" s="14"/>
      <c r="DC550" s="14"/>
      <c r="DD550" s="14"/>
      <c r="DE550" s="14"/>
      <c r="DF550" s="14"/>
      <c r="DG550" s="14"/>
      <c r="DH550" s="14"/>
      <c r="DI550" s="14"/>
      <c r="DJ550" s="14"/>
      <c r="DK550" s="14"/>
      <c r="DL550" s="14"/>
      <c r="DM550" s="14"/>
      <c r="DN550" s="14"/>
      <c r="DO550" s="14"/>
      <c r="DP550" s="14"/>
      <c r="DQ550" s="14"/>
      <c r="DR550" s="14"/>
      <c r="DS550" s="14"/>
      <c r="DT550" s="14"/>
      <c r="DU550" s="14"/>
      <c r="DV550" s="14"/>
      <c r="DW550" s="14"/>
      <c r="DX550" s="14"/>
      <c r="DY550" s="14"/>
      <c r="DZ550" s="14"/>
      <c r="EA550" s="14"/>
      <c r="EB550" s="14"/>
      <c r="EC550" s="14"/>
      <c r="ED550" s="14"/>
      <c r="EE550" s="14"/>
      <c r="EF550" s="14"/>
      <c r="EG550" s="14"/>
      <c r="EH550" s="14"/>
      <c r="EI550" s="14"/>
      <c r="EJ550" s="14"/>
      <c r="EK550" s="14"/>
      <c r="EL550" s="14"/>
    </row>
    <row r="551" spans="2:142" hidden="1" x14ac:dyDescent="0.2">
      <c r="B551" s="905">
        <v>38</v>
      </c>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4"/>
      <c r="BB551" s="14"/>
      <c r="BC551" s="14"/>
      <c r="BD551" s="14"/>
      <c r="BE551" s="14"/>
      <c r="BF551" s="14"/>
      <c r="BG551" s="14"/>
      <c r="BH551" s="14"/>
      <c r="BI551" s="14"/>
      <c r="BJ551" s="14"/>
      <c r="BK551" s="14"/>
      <c r="BL551" s="14"/>
      <c r="BM551" s="14"/>
      <c r="BN551" s="14"/>
      <c r="BO551" s="14"/>
      <c r="BP551" s="14"/>
      <c r="BQ551" s="14"/>
      <c r="BR551" s="14"/>
      <c r="BS551" s="14"/>
      <c r="BT551" s="14"/>
      <c r="BU551" s="14"/>
      <c r="BV551" s="14"/>
      <c r="BW551" s="14"/>
      <c r="BX551" s="14"/>
      <c r="BY551" s="14"/>
      <c r="BZ551" s="14"/>
      <c r="CA551" s="14"/>
      <c r="CB551" s="14"/>
      <c r="CC551" s="14"/>
      <c r="CD551" s="14"/>
      <c r="CE551" s="14"/>
      <c r="CF551" s="14"/>
      <c r="CG551" s="14"/>
      <c r="CH551" s="14"/>
      <c r="CI551" s="14"/>
      <c r="CJ551" s="14"/>
      <c r="CK551" s="14"/>
      <c r="CL551" s="14"/>
      <c r="CM551" s="14"/>
      <c r="CN551" s="14"/>
      <c r="CO551" s="14"/>
      <c r="CP551" s="14"/>
      <c r="CQ551" s="14"/>
      <c r="CR551" s="14"/>
      <c r="CS551" s="14"/>
      <c r="CT551" s="14"/>
      <c r="CU551" s="14"/>
      <c r="CV551" s="14"/>
      <c r="CW551" s="14"/>
      <c r="CX551" s="14"/>
      <c r="CY551" s="14"/>
      <c r="CZ551" s="14"/>
      <c r="DA551" s="14"/>
      <c r="DB551" s="14"/>
      <c r="DC551" s="14"/>
      <c r="DD551" s="14"/>
      <c r="DE551" s="14"/>
      <c r="DF551" s="14"/>
      <c r="DG551" s="14"/>
      <c r="DH551" s="14"/>
      <c r="DI551" s="14"/>
      <c r="DJ551" s="14"/>
      <c r="DK551" s="14"/>
      <c r="DL551" s="14"/>
      <c r="DM551" s="14"/>
      <c r="DN551" s="14"/>
      <c r="DO551" s="14"/>
      <c r="DP551" s="14"/>
      <c r="DQ551" s="14"/>
      <c r="DR551" s="14"/>
      <c r="DS551" s="14"/>
      <c r="DT551" s="14"/>
      <c r="DU551" s="14"/>
      <c r="DV551" s="14"/>
      <c r="DW551" s="14"/>
      <c r="DX551" s="14"/>
      <c r="DY551" s="14"/>
      <c r="DZ551" s="14"/>
      <c r="EA551" s="14"/>
      <c r="EB551" s="14"/>
      <c r="EC551" s="14"/>
      <c r="ED551" s="14"/>
      <c r="EE551" s="14"/>
      <c r="EF551" s="14"/>
      <c r="EG551" s="14"/>
      <c r="EH551" s="14"/>
      <c r="EI551" s="14"/>
      <c r="EJ551" s="14"/>
      <c r="EK551" s="14"/>
      <c r="EL551" s="14"/>
    </row>
    <row r="552" spans="2:142" hidden="1" x14ac:dyDescent="0.2">
      <c r="B552" s="905">
        <v>39</v>
      </c>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4"/>
      <c r="BB552" s="14"/>
      <c r="BC552" s="14"/>
      <c r="BD552" s="14"/>
      <c r="BE552" s="14"/>
      <c r="BF552" s="14"/>
      <c r="BG552" s="14"/>
      <c r="BH552" s="14"/>
      <c r="BI552" s="14"/>
      <c r="BJ552" s="14"/>
      <c r="BK552" s="14"/>
      <c r="BL552" s="14"/>
      <c r="BM552" s="14"/>
      <c r="BN552" s="14"/>
      <c r="BO552" s="14"/>
      <c r="BP552" s="14"/>
      <c r="BQ552" s="14"/>
      <c r="BR552" s="14"/>
      <c r="BS552" s="14"/>
      <c r="BT552" s="14"/>
      <c r="BU552" s="14"/>
      <c r="BV552" s="14"/>
      <c r="BW552" s="14"/>
      <c r="BX552" s="14"/>
      <c r="BY552" s="14"/>
      <c r="BZ552" s="14"/>
      <c r="CA552" s="14"/>
      <c r="CB552" s="14"/>
      <c r="CC552" s="14"/>
      <c r="CD552" s="14"/>
      <c r="CE552" s="14"/>
      <c r="CF552" s="14"/>
      <c r="CG552" s="14"/>
      <c r="CH552" s="14"/>
      <c r="CI552" s="14"/>
      <c r="CJ552" s="14"/>
      <c r="CK552" s="14"/>
      <c r="CL552" s="14"/>
      <c r="CM552" s="14"/>
      <c r="CN552" s="14"/>
      <c r="CO552" s="14"/>
      <c r="CP552" s="14"/>
      <c r="CQ552" s="14"/>
      <c r="CR552" s="14"/>
      <c r="CS552" s="14"/>
      <c r="CT552" s="14"/>
      <c r="CU552" s="14"/>
      <c r="CV552" s="14"/>
      <c r="CW552" s="14"/>
      <c r="CX552" s="14"/>
      <c r="CY552" s="14"/>
      <c r="CZ552" s="14"/>
      <c r="DA552" s="14"/>
      <c r="DB552" s="14"/>
      <c r="DC552" s="14"/>
      <c r="DD552" s="14"/>
      <c r="DE552" s="14"/>
      <c r="DF552" s="14"/>
      <c r="DG552" s="14"/>
      <c r="DH552" s="14"/>
      <c r="DI552" s="14"/>
      <c r="DJ552" s="14"/>
      <c r="DK552" s="14"/>
      <c r="DL552" s="14"/>
      <c r="DM552" s="14"/>
      <c r="DN552" s="14"/>
      <c r="DO552" s="14"/>
      <c r="DP552" s="14"/>
      <c r="DQ552" s="14"/>
      <c r="DR552" s="14"/>
      <c r="DS552" s="14"/>
      <c r="DT552" s="14"/>
      <c r="DU552" s="14"/>
      <c r="DV552" s="14"/>
      <c r="DW552" s="14"/>
      <c r="DX552" s="14"/>
      <c r="DY552" s="14"/>
      <c r="DZ552" s="14"/>
      <c r="EA552" s="14"/>
      <c r="EB552" s="14"/>
      <c r="EC552" s="14"/>
      <c r="ED552" s="14"/>
      <c r="EE552" s="14"/>
      <c r="EF552" s="14"/>
      <c r="EG552" s="14"/>
      <c r="EH552" s="14"/>
      <c r="EI552" s="14"/>
      <c r="EJ552" s="14"/>
      <c r="EK552" s="14"/>
      <c r="EL552" s="14"/>
    </row>
    <row r="553" spans="2:142" hidden="1" x14ac:dyDescent="0.2">
      <c r="B553" s="905">
        <v>40</v>
      </c>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4"/>
      <c r="BB553" s="14"/>
      <c r="BC553" s="14"/>
      <c r="BD553" s="14"/>
      <c r="BE553" s="14"/>
      <c r="BF553" s="14"/>
      <c r="BG553" s="14"/>
      <c r="BH553" s="14"/>
      <c r="BI553" s="14"/>
      <c r="BJ553" s="14"/>
      <c r="BK553" s="14"/>
      <c r="BL553" s="14"/>
      <c r="BM553" s="14"/>
      <c r="BN553" s="14"/>
      <c r="BO553" s="14"/>
      <c r="BP553" s="14"/>
      <c r="BQ553" s="14"/>
      <c r="BR553" s="14"/>
      <c r="BS553" s="14"/>
      <c r="BT553" s="14"/>
      <c r="BU553" s="14"/>
      <c r="BV553" s="14"/>
      <c r="BW553" s="14"/>
      <c r="BX553" s="14"/>
      <c r="BY553" s="14"/>
      <c r="BZ553" s="14"/>
      <c r="CA553" s="14"/>
      <c r="CB553" s="14"/>
      <c r="CC553" s="14"/>
      <c r="CD553" s="14"/>
      <c r="CE553" s="14"/>
      <c r="CF553" s="14"/>
      <c r="CG553" s="14"/>
      <c r="CH553" s="14"/>
      <c r="CI553" s="14"/>
      <c r="CJ553" s="14"/>
      <c r="CK553" s="14"/>
      <c r="CL553" s="14"/>
      <c r="CM553" s="14"/>
      <c r="CN553" s="14"/>
      <c r="CO553" s="14"/>
      <c r="CP553" s="14"/>
      <c r="CQ553" s="14"/>
      <c r="CR553" s="14"/>
      <c r="CS553" s="14"/>
      <c r="CT553" s="14"/>
      <c r="CU553" s="14"/>
      <c r="CV553" s="14"/>
      <c r="CW553" s="14"/>
      <c r="CX553" s="14"/>
      <c r="CY553" s="14"/>
      <c r="CZ553" s="14"/>
      <c r="DA553" s="14"/>
      <c r="DB553" s="14"/>
      <c r="DC553" s="14"/>
      <c r="DD553" s="14"/>
      <c r="DE553" s="14"/>
      <c r="DF553" s="14"/>
      <c r="DG553" s="14"/>
      <c r="DH553" s="14"/>
      <c r="DI553" s="14"/>
      <c r="DJ553" s="14"/>
      <c r="DK553" s="14"/>
      <c r="DL553" s="14"/>
      <c r="DM553" s="14"/>
      <c r="DN553" s="14"/>
      <c r="DO553" s="14"/>
      <c r="DP553" s="14"/>
      <c r="DQ553" s="14"/>
      <c r="DR553" s="14"/>
      <c r="DS553" s="14"/>
      <c r="DT553" s="14"/>
      <c r="DU553" s="14"/>
      <c r="DV553" s="14"/>
      <c r="DW553" s="14"/>
      <c r="DX553" s="14"/>
      <c r="DY553" s="14"/>
      <c r="DZ553" s="14"/>
      <c r="EA553" s="14"/>
      <c r="EB553" s="14"/>
      <c r="EC553" s="14"/>
      <c r="ED553" s="14"/>
      <c r="EE553" s="14"/>
      <c r="EF553" s="14"/>
      <c r="EG553" s="14"/>
      <c r="EH553" s="14"/>
      <c r="EI553" s="14"/>
      <c r="EJ553" s="14"/>
      <c r="EK553" s="14"/>
      <c r="EL553" s="14"/>
    </row>
    <row r="554" spans="2:142" hidden="1" x14ac:dyDescent="0.2">
      <c r="B554" s="905">
        <v>41</v>
      </c>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4"/>
      <c r="BB554" s="14"/>
      <c r="BC554" s="14"/>
      <c r="BD554" s="14"/>
      <c r="BE554" s="14"/>
      <c r="BF554" s="14"/>
      <c r="BG554" s="14"/>
      <c r="BH554" s="14"/>
      <c r="BI554" s="14"/>
      <c r="BJ554" s="14"/>
      <c r="BK554" s="14"/>
      <c r="BL554" s="14"/>
      <c r="BM554" s="14"/>
      <c r="BN554" s="14"/>
      <c r="BO554" s="14"/>
      <c r="BP554" s="14"/>
      <c r="BQ554" s="14"/>
      <c r="BR554" s="14"/>
      <c r="BS554" s="14"/>
      <c r="BT554" s="14"/>
      <c r="BU554" s="14"/>
      <c r="BV554" s="14"/>
      <c r="BW554" s="14"/>
      <c r="BX554" s="14"/>
      <c r="BY554" s="14"/>
      <c r="BZ554" s="14"/>
      <c r="CA554" s="14"/>
      <c r="CB554" s="14"/>
      <c r="CC554" s="14"/>
      <c r="CD554" s="14"/>
      <c r="CE554" s="14"/>
      <c r="CF554" s="14"/>
      <c r="CG554" s="14"/>
      <c r="CH554" s="14"/>
      <c r="CI554" s="14"/>
      <c r="CJ554" s="14"/>
      <c r="CK554" s="14"/>
      <c r="CL554" s="14"/>
      <c r="CM554" s="14"/>
      <c r="CN554" s="14"/>
      <c r="CO554" s="14"/>
      <c r="CP554" s="14"/>
      <c r="CQ554" s="14"/>
      <c r="CR554" s="14"/>
      <c r="CS554" s="14"/>
      <c r="CT554" s="14"/>
      <c r="CU554" s="14"/>
      <c r="CV554" s="14"/>
      <c r="CW554" s="14"/>
      <c r="CX554" s="14"/>
      <c r="CY554" s="14"/>
      <c r="CZ554" s="14"/>
      <c r="DA554" s="14"/>
      <c r="DB554" s="14"/>
      <c r="DC554" s="14"/>
      <c r="DD554" s="14"/>
      <c r="DE554" s="14"/>
      <c r="DF554" s="14"/>
      <c r="DG554" s="14"/>
      <c r="DH554" s="14"/>
      <c r="DI554" s="14"/>
      <c r="DJ554" s="14"/>
      <c r="DK554" s="14"/>
      <c r="DL554" s="14"/>
      <c r="DM554" s="14"/>
      <c r="DN554" s="14"/>
      <c r="DO554" s="14"/>
      <c r="DP554" s="14"/>
      <c r="DQ554" s="14"/>
      <c r="DR554" s="14"/>
      <c r="DS554" s="14"/>
      <c r="DT554" s="14"/>
      <c r="DU554" s="14"/>
      <c r="DV554" s="14"/>
      <c r="DW554" s="14"/>
      <c r="DX554" s="14"/>
      <c r="DY554" s="14"/>
      <c r="DZ554" s="14"/>
      <c r="EA554" s="14"/>
      <c r="EB554" s="14"/>
      <c r="EC554" s="14"/>
      <c r="ED554" s="14"/>
      <c r="EE554" s="14"/>
      <c r="EF554" s="14"/>
      <c r="EG554" s="14"/>
      <c r="EH554" s="14"/>
      <c r="EI554" s="14"/>
      <c r="EJ554" s="14"/>
      <c r="EK554" s="14"/>
      <c r="EL554" s="14"/>
    </row>
    <row r="555" spans="2:142" hidden="1" x14ac:dyDescent="0.2">
      <c r="B555" s="905">
        <v>42</v>
      </c>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4"/>
      <c r="BB555" s="14"/>
      <c r="BC555" s="14"/>
      <c r="BD555" s="14"/>
      <c r="BE555" s="14"/>
      <c r="BF555" s="14"/>
      <c r="BG555" s="14"/>
      <c r="BH555" s="14"/>
      <c r="BI555" s="14"/>
      <c r="BJ555" s="14"/>
      <c r="BK555" s="14"/>
      <c r="BL555" s="14"/>
      <c r="BM555" s="14"/>
      <c r="BN555" s="14"/>
      <c r="BO555" s="14"/>
      <c r="BP555" s="14"/>
      <c r="BQ555" s="14"/>
      <c r="BR555" s="14"/>
      <c r="BS555" s="14"/>
      <c r="BT555" s="14"/>
      <c r="BU555" s="14"/>
      <c r="BV555" s="14"/>
      <c r="BW555" s="14"/>
      <c r="BX555" s="14"/>
      <c r="BY555" s="14"/>
      <c r="BZ555" s="14"/>
      <c r="CA555" s="14"/>
      <c r="CB555" s="14"/>
      <c r="CC555" s="14"/>
      <c r="CD555" s="14"/>
      <c r="CE555" s="14"/>
      <c r="CF555" s="14"/>
      <c r="CG555" s="14"/>
      <c r="CH555" s="14"/>
      <c r="CI555" s="14"/>
      <c r="CJ555" s="14"/>
      <c r="CK555" s="14"/>
      <c r="CL555" s="14"/>
      <c r="CM555" s="14"/>
      <c r="CN555" s="14"/>
      <c r="CO555" s="14"/>
      <c r="CP555" s="14"/>
      <c r="CQ555" s="14"/>
      <c r="CR555" s="14"/>
      <c r="CS555" s="14"/>
      <c r="CT555" s="14"/>
      <c r="CU555" s="14"/>
      <c r="CV555" s="14"/>
      <c r="CW555" s="14"/>
      <c r="CX555" s="14"/>
      <c r="CY555" s="14"/>
      <c r="CZ555" s="14"/>
      <c r="DA555" s="14"/>
      <c r="DB555" s="14"/>
      <c r="DC555" s="14"/>
      <c r="DD555" s="14"/>
      <c r="DE555" s="14"/>
      <c r="DF555" s="14"/>
      <c r="DG555" s="14"/>
      <c r="DH555" s="14"/>
      <c r="DI555" s="14"/>
      <c r="DJ555" s="14"/>
      <c r="DK555" s="14"/>
      <c r="DL555" s="14"/>
      <c r="DM555" s="14"/>
      <c r="DN555" s="14"/>
      <c r="DO555" s="14"/>
      <c r="DP555" s="14"/>
      <c r="DQ555" s="14"/>
      <c r="DR555" s="14"/>
      <c r="DS555" s="14"/>
      <c r="DT555" s="14"/>
      <c r="DU555" s="14"/>
      <c r="DV555" s="14"/>
      <c r="DW555" s="14"/>
      <c r="DX555" s="14"/>
      <c r="DY555" s="14"/>
      <c r="DZ555" s="14"/>
      <c r="EA555" s="14"/>
      <c r="EB555" s="14"/>
      <c r="EC555" s="14"/>
      <c r="ED555" s="14"/>
      <c r="EE555" s="14"/>
      <c r="EF555" s="14"/>
      <c r="EG555" s="14"/>
      <c r="EH555" s="14"/>
      <c r="EI555" s="14"/>
      <c r="EJ555" s="14"/>
      <c r="EK555" s="14"/>
      <c r="EL555" s="14"/>
    </row>
    <row r="556" spans="2:142" hidden="1" x14ac:dyDescent="0.2">
      <c r="B556" s="905">
        <v>43</v>
      </c>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4"/>
      <c r="BB556" s="14"/>
      <c r="BC556" s="14"/>
      <c r="BD556" s="14"/>
      <c r="BE556" s="14"/>
      <c r="BF556" s="14"/>
      <c r="BG556" s="14"/>
      <c r="BH556" s="14"/>
      <c r="BI556" s="14"/>
      <c r="BJ556" s="14"/>
      <c r="BK556" s="14"/>
      <c r="BL556" s="14"/>
      <c r="BM556" s="14"/>
      <c r="BN556" s="14"/>
      <c r="BO556" s="14"/>
      <c r="BP556" s="14"/>
      <c r="BQ556" s="14"/>
      <c r="BR556" s="14"/>
      <c r="BS556" s="14"/>
      <c r="BT556" s="14"/>
      <c r="BU556" s="14"/>
      <c r="BV556" s="14"/>
      <c r="BW556" s="14"/>
      <c r="BX556" s="14"/>
      <c r="BY556" s="14"/>
      <c r="BZ556" s="14"/>
      <c r="CA556" s="14"/>
      <c r="CB556" s="14"/>
      <c r="CC556" s="14"/>
      <c r="CD556" s="14"/>
      <c r="CE556" s="14"/>
      <c r="CF556" s="14"/>
      <c r="CG556" s="14"/>
      <c r="CH556" s="14"/>
      <c r="CI556" s="14"/>
      <c r="CJ556" s="14"/>
      <c r="CK556" s="14"/>
      <c r="CL556" s="14"/>
      <c r="CM556" s="14"/>
      <c r="CN556" s="14"/>
      <c r="CO556" s="14"/>
      <c r="CP556" s="14"/>
      <c r="CQ556" s="14"/>
      <c r="CR556" s="14"/>
      <c r="CS556" s="14"/>
      <c r="CT556" s="14"/>
      <c r="CU556" s="14"/>
      <c r="CV556" s="14"/>
      <c r="CW556" s="14"/>
      <c r="CX556" s="14"/>
      <c r="CY556" s="14"/>
      <c r="CZ556" s="14"/>
      <c r="DA556" s="14"/>
      <c r="DB556" s="14"/>
      <c r="DC556" s="14"/>
      <c r="DD556" s="14"/>
      <c r="DE556" s="14"/>
      <c r="DF556" s="14"/>
      <c r="DG556" s="14"/>
      <c r="DH556" s="14"/>
      <c r="DI556" s="14"/>
      <c r="DJ556" s="14"/>
      <c r="DK556" s="14"/>
      <c r="DL556" s="14"/>
      <c r="DM556" s="14"/>
      <c r="DN556" s="14"/>
      <c r="DO556" s="14"/>
      <c r="DP556" s="14"/>
      <c r="DQ556" s="14"/>
      <c r="DR556" s="14"/>
      <c r="DS556" s="14"/>
      <c r="DT556" s="14"/>
      <c r="DU556" s="14"/>
      <c r="DV556" s="14"/>
      <c r="DW556" s="14"/>
      <c r="DX556" s="14"/>
      <c r="DY556" s="14"/>
      <c r="DZ556" s="14"/>
      <c r="EA556" s="14"/>
      <c r="EB556" s="14"/>
      <c r="EC556" s="14"/>
      <c r="ED556" s="14"/>
      <c r="EE556" s="14"/>
      <c r="EF556" s="14"/>
      <c r="EG556" s="14"/>
      <c r="EH556" s="14"/>
      <c r="EI556" s="14"/>
      <c r="EJ556" s="14"/>
      <c r="EK556" s="14"/>
      <c r="EL556" s="14"/>
    </row>
    <row r="557" spans="2:142" hidden="1" x14ac:dyDescent="0.2">
      <c r="B557" s="905">
        <v>44</v>
      </c>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4"/>
      <c r="BB557" s="14"/>
      <c r="BC557" s="14"/>
      <c r="BD557" s="14"/>
      <c r="BE557" s="14"/>
      <c r="BF557" s="14"/>
      <c r="BG557" s="14"/>
      <c r="BH557" s="14"/>
      <c r="BI557" s="14"/>
      <c r="BJ557" s="14"/>
      <c r="BK557" s="14"/>
      <c r="BL557" s="14"/>
      <c r="BM557" s="14"/>
      <c r="BN557" s="14"/>
      <c r="BO557" s="14"/>
      <c r="BP557" s="14"/>
      <c r="BQ557" s="14"/>
      <c r="BR557" s="14"/>
      <c r="BS557" s="14"/>
      <c r="BT557" s="14"/>
      <c r="BU557" s="14"/>
      <c r="BV557" s="14"/>
      <c r="BW557" s="14"/>
      <c r="BX557" s="14"/>
      <c r="BY557" s="14"/>
      <c r="BZ557" s="14"/>
      <c r="CA557" s="14"/>
      <c r="CB557" s="14"/>
      <c r="CC557" s="14"/>
      <c r="CD557" s="14"/>
      <c r="CE557" s="14"/>
      <c r="CF557" s="14"/>
      <c r="CG557" s="14"/>
      <c r="CH557" s="14"/>
      <c r="CI557" s="14"/>
      <c r="CJ557" s="14"/>
      <c r="CK557" s="14"/>
      <c r="CL557" s="14"/>
      <c r="CM557" s="14"/>
      <c r="CN557" s="14"/>
      <c r="CO557" s="14"/>
      <c r="CP557" s="14"/>
      <c r="CQ557" s="14"/>
      <c r="CR557" s="14"/>
      <c r="CS557" s="14"/>
      <c r="CT557" s="14"/>
      <c r="CU557" s="14"/>
      <c r="CV557" s="14"/>
      <c r="CW557" s="14"/>
      <c r="CX557" s="14"/>
      <c r="CY557" s="14"/>
      <c r="CZ557" s="14"/>
      <c r="DA557" s="14"/>
      <c r="DB557" s="14"/>
      <c r="DC557" s="14"/>
      <c r="DD557" s="14"/>
      <c r="DE557" s="14"/>
      <c r="DF557" s="14"/>
      <c r="DG557" s="14"/>
      <c r="DH557" s="14"/>
      <c r="DI557" s="14"/>
      <c r="DJ557" s="14"/>
      <c r="DK557" s="14"/>
      <c r="DL557" s="14"/>
      <c r="DM557" s="14"/>
      <c r="DN557" s="14"/>
      <c r="DO557" s="14"/>
      <c r="DP557" s="14"/>
      <c r="DQ557" s="14"/>
      <c r="DR557" s="14"/>
      <c r="DS557" s="14"/>
      <c r="DT557" s="14"/>
      <c r="DU557" s="14"/>
      <c r="DV557" s="14"/>
      <c r="DW557" s="14"/>
      <c r="DX557" s="14"/>
      <c r="DY557" s="14"/>
      <c r="DZ557" s="14"/>
      <c r="EA557" s="14"/>
      <c r="EB557" s="14"/>
      <c r="EC557" s="14"/>
      <c r="ED557" s="14"/>
      <c r="EE557" s="14"/>
      <c r="EF557" s="14"/>
      <c r="EG557" s="14"/>
      <c r="EH557" s="14"/>
      <c r="EI557" s="14"/>
      <c r="EJ557" s="14"/>
      <c r="EK557" s="14"/>
      <c r="EL557" s="14"/>
    </row>
    <row r="558" spans="2:142" hidden="1" x14ac:dyDescent="0.2">
      <c r="B558" s="905">
        <v>45</v>
      </c>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4"/>
      <c r="BB558" s="14"/>
      <c r="BC558" s="14"/>
      <c r="BD558" s="14"/>
      <c r="BE558" s="14"/>
      <c r="BF558" s="14"/>
      <c r="BG558" s="14"/>
      <c r="BH558" s="14"/>
      <c r="BI558" s="14"/>
      <c r="BJ558" s="14"/>
      <c r="BK558" s="14"/>
      <c r="BL558" s="14"/>
      <c r="BM558" s="14"/>
      <c r="BN558" s="14"/>
      <c r="BO558" s="14"/>
      <c r="BP558" s="14"/>
      <c r="BQ558" s="14"/>
      <c r="BR558" s="14"/>
      <c r="BS558" s="14"/>
      <c r="BT558" s="14"/>
      <c r="BU558" s="14"/>
      <c r="BV558" s="14"/>
      <c r="BW558" s="14"/>
      <c r="BX558" s="14"/>
      <c r="BY558" s="14"/>
      <c r="BZ558" s="14"/>
      <c r="CA558" s="14"/>
      <c r="CB558" s="14"/>
      <c r="CC558" s="14"/>
      <c r="CD558" s="14"/>
      <c r="CE558" s="14"/>
      <c r="CF558" s="14"/>
      <c r="CG558" s="14"/>
      <c r="CH558" s="14"/>
      <c r="CI558" s="14"/>
      <c r="CJ558" s="14"/>
      <c r="CK558" s="14"/>
      <c r="CL558" s="14"/>
      <c r="CM558" s="14"/>
      <c r="CN558" s="14"/>
      <c r="CO558" s="14"/>
      <c r="CP558" s="14"/>
      <c r="CQ558" s="14"/>
      <c r="CR558" s="14"/>
      <c r="CS558" s="14"/>
      <c r="CT558" s="14"/>
      <c r="CU558" s="14"/>
      <c r="CV558" s="14"/>
      <c r="CW558" s="14"/>
      <c r="CX558" s="14"/>
      <c r="CY558" s="14"/>
      <c r="CZ558" s="14"/>
      <c r="DA558" s="14"/>
      <c r="DB558" s="14"/>
      <c r="DC558" s="14"/>
      <c r="DD558" s="14"/>
      <c r="DE558" s="14"/>
      <c r="DF558" s="14"/>
      <c r="DG558" s="14"/>
      <c r="DH558" s="14"/>
      <c r="DI558" s="14"/>
      <c r="DJ558" s="14"/>
      <c r="DK558" s="14"/>
      <c r="DL558" s="14"/>
      <c r="DM558" s="14"/>
      <c r="DN558" s="14"/>
      <c r="DO558" s="14"/>
      <c r="DP558" s="14"/>
      <c r="DQ558" s="14"/>
      <c r="DR558" s="14"/>
      <c r="DS558" s="14"/>
      <c r="DT558" s="14"/>
      <c r="DU558" s="14"/>
      <c r="DV558" s="14"/>
      <c r="DW558" s="14"/>
      <c r="DX558" s="14"/>
      <c r="DY558" s="14"/>
      <c r="DZ558" s="14"/>
      <c r="EA558" s="14"/>
      <c r="EB558" s="14"/>
      <c r="EC558" s="14"/>
      <c r="ED558" s="14"/>
      <c r="EE558" s="14"/>
      <c r="EF558" s="14"/>
      <c r="EG558" s="14"/>
      <c r="EH558" s="14"/>
      <c r="EI558" s="14"/>
      <c r="EJ558" s="14"/>
      <c r="EK558" s="14"/>
      <c r="EL558" s="14"/>
    </row>
    <row r="559" spans="2:142" hidden="1" x14ac:dyDescent="0.2">
      <c r="B559" s="905">
        <v>46</v>
      </c>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4"/>
      <c r="BB559" s="14"/>
      <c r="BC559" s="14"/>
      <c r="BD559" s="14"/>
      <c r="BE559" s="14"/>
      <c r="BF559" s="14"/>
      <c r="BG559" s="14"/>
      <c r="BH559" s="14"/>
      <c r="BI559" s="14"/>
      <c r="BJ559" s="14"/>
      <c r="BK559" s="14"/>
      <c r="BL559" s="14"/>
      <c r="BM559" s="14"/>
      <c r="BN559" s="14"/>
      <c r="BO559" s="14"/>
      <c r="BP559" s="14"/>
      <c r="BQ559" s="14"/>
      <c r="BR559" s="14"/>
      <c r="BS559" s="14"/>
      <c r="BT559" s="14"/>
      <c r="BU559" s="14"/>
      <c r="BV559" s="14"/>
      <c r="BW559" s="14"/>
      <c r="BX559" s="14"/>
      <c r="BY559" s="14"/>
      <c r="BZ559" s="14"/>
      <c r="CA559" s="14"/>
      <c r="CB559" s="14"/>
      <c r="CC559" s="14"/>
      <c r="CD559" s="14"/>
      <c r="CE559" s="14"/>
      <c r="CF559" s="14"/>
      <c r="CG559" s="14"/>
      <c r="CH559" s="14"/>
      <c r="CI559" s="14"/>
      <c r="CJ559" s="14"/>
      <c r="CK559" s="14"/>
      <c r="CL559" s="14"/>
      <c r="CM559" s="14"/>
      <c r="CN559" s="14"/>
      <c r="CO559" s="14"/>
      <c r="CP559" s="14"/>
      <c r="CQ559" s="14"/>
      <c r="CR559" s="14"/>
      <c r="CS559" s="14"/>
      <c r="CT559" s="14"/>
      <c r="CU559" s="14"/>
      <c r="CV559" s="14"/>
      <c r="CW559" s="14"/>
      <c r="CX559" s="14"/>
      <c r="CY559" s="14"/>
      <c r="CZ559" s="14"/>
      <c r="DA559" s="14"/>
      <c r="DB559" s="14"/>
      <c r="DC559" s="14"/>
      <c r="DD559" s="14"/>
      <c r="DE559" s="14"/>
      <c r="DF559" s="14"/>
      <c r="DG559" s="14"/>
      <c r="DH559" s="14"/>
      <c r="DI559" s="14"/>
      <c r="DJ559" s="14"/>
      <c r="DK559" s="14"/>
      <c r="DL559" s="14"/>
      <c r="DM559" s="14"/>
      <c r="DN559" s="14"/>
      <c r="DO559" s="14"/>
      <c r="DP559" s="14"/>
      <c r="DQ559" s="14"/>
      <c r="DR559" s="14"/>
      <c r="DS559" s="14"/>
      <c r="DT559" s="14"/>
      <c r="DU559" s="14"/>
      <c r="DV559" s="14"/>
      <c r="DW559" s="14"/>
      <c r="DX559" s="14"/>
      <c r="DY559" s="14"/>
      <c r="DZ559" s="14"/>
      <c r="EA559" s="14"/>
      <c r="EB559" s="14"/>
      <c r="EC559" s="14"/>
      <c r="ED559" s="14"/>
      <c r="EE559" s="14"/>
      <c r="EF559" s="14"/>
      <c r="EG559" s="14"/>
      <c r="EH559" s="14"/>
      <c r="EI559" s="14"/>
      <c r="EJ559" s="14"/>
      <c r="EK559" s="14"/>
      <c r="EL559" s="14"/>
    </row>
    <row r="560" spans="2:142" hidden="1" x14ac:dyDescent="0.2">
      <c r="B560" s="905">
        <v>47</v>
      </c>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4"/>
      <c r="BB560" s="14"/>
      <c r="BC560" s="14"/>
      <c r="BD560" s="14"/>
      <c r="BE560" s="14"/>
      <c r="BF560" s="14"/>
      <c r="BG560" s="14"/>
      <c r="BH560" s="14"/>
      <c r="BI560" s="14"/>
      <c r="BJ560" s="14"/>
      <c r="BK560" s="14"/>
      <c r="BL560" s="14"/>
      <c r="BM560" s="14"/>
      <c r="BN560" s="14"/>
      <c r="BO560" s="14"/>
      <c r="BP560" s="14"/>
      <c r="BQ560" s="14"/>
      <c r="BR560" s="14"/>
      <c r="BS560" s="14"/>
      <c r="BT560" s="14"/>
      <c r="BU560" s="14"/>
      <c r="BV560" s="14"/>
      <c r="BW560" s="14"/>
      <c r="BX560" s="14"/>
      <c r="BY560" s="14"/>
      <c r="BZ560" s="14"/>
      <c r="CA560" s="14"/>
      <c r="CB560" s="14"/>
      <c r="CC560" s="14"/>
      <c r="CD560" s="14"/>
      <c r="CE560" s="14"/>
      <c r="CF560" s="14"/>
      <c r="CG560" s="14"/>
      <c r="CH560" s="14"/>
      <c r="CI560" s="14"/>
      <c r="CJ560" s="14"/>
      <c r="CK560" s="14"/>
      <c r="CL560" s="14"/>
      <c r="CM560" s="14"/>
      <c r="CN560" s="14"/>
      <c r="CO560" s="14"/>
      <c r="CP560" s="14"/>
      <c r="CQ560" s="14"/>
      <c r="CR560" s="14"/>
      <c r="CS560" s="14"/>
      <c r="CT560" s="14"/>
      <c r="CU560" s="14"/>
      <c r="CV560" s="14"/>
      <c r="CW560" s="14"/>
      <c r="CX560" s="14"/>
      <c r="CY560" s="14"/>
      <c r="CZ560" s="14"/>
      <c r="DA560" s="14"/>
      <c r="DB560" s="14"/>
      <c r="DC560" s="14"/>
      <c r="DD560" s="14"/>
      <c r="DE560" s="14"/>
      <c r="DF560" s="14"/>
      <c r="DG560" s="14"/>
      <c r="DH560" s="14"/>
      <c r="DI560" s="14"/>
      <c r="DJ560" s="14"/>
      <c r="DK560" s="14"/>
      <c r="DL560" s="14"/>
      <c r="DM560" s="14"/>
      <c r="DN560" s="14"/>
      <c r="DO560" s="14"/>
      <c r="DP560" s="14"/>
      <c r="DQ560" s="14"/>
      <c r="DR560" s="14"/>
      <c r="DS560" s="14"/>
      <c r="DT560" s="14"/>
      <c r="DU560" s="14"/>
      <c r="DV560" s="14"/>
      <c r="DW560" s="14"/>
      <c r="DX560" s="14"/>
      <c r="DY560" s="14"/>
      <c r="DZ560" s="14"/>
      <c r="EA560" s="14"/>
      <c r="EB560" s="14"/>
      <c r="EC560" s="14"/>
      <c r="ED560" s="14"/>
      <c r="EE560" s="14"/>
      <c r="EF560" s="14"/>
      <c r="EG560" s="14"/>
      <c r="EH560" s="14"/>
      <c r="EI560" s="14"/>
      <c r="EJ560" s="14"/>
      <c r="EK560" s="14"/>
      <c r="EL560" s="14"/>
    </row>
    <row r="561" spans="2:142" hidden="1" x14ac:dyDescent="0.2">
      <c r="B561" s="905">
        <v>48</v>
      </c>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4"/>
      <c r="BB561" s="14"/>
      <c r="BC561" s="14"/>
      <c r="BD561" s="14"/>
      <c r="BE561" s="14"/>
      <c r="BF561" s="14"/>
      <c r="BG561" s="14"/>
      <c r="BH561" s="14"/>
      <c r="BI561" s="14"/>
      <c r="BJ561" s="14"/>
      <c r="BK561" s="14"/>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c r="CI561" s="14"/>
      <c r="CJ561" s="14"/>
      <c r="CK561" s="14"/>
      <c r="CL561" s="14"/>
      <c r="CM561" s="14"/>
      <c r="CN561" s="14"/>
      <c r="CO561" s="14"/>
      <c r="CP561" s="14"/>
      <c r="CQ561" s="14"/>
      <c r="CR561" s="14"/>
      <c r="CS561" s="14"/>
      <c r="CT561" s="14"/>
      <c r="CU561" s="14"/>
      <c r="CV561" s="14"/>
      <c r="CW561" s="14"/>
      <c r="CX561" s="14"/>
      <c r="CY561" s="14"/>
      <c r="CZ561" s="14"/>
      <c r="DA561" s="14"/>
      <c r="DB561" s="14"/>
      <c r="DC561" s="14"/>
      <c r="DD561" s="14"/>
      <c r="DE561" s="14"/>
      <c r="DF561" s="14"/>
      <c r="DG561" s="14"/>
      <c r="DH561" s="14"/>
      <c r="DI561" s="14"/>
      <c r="DJ561" s="14"/>
      <c r="DK561" s="14"/>
      <c r="DL561" s="14"/>
      <c r="DM561" s="14"/>
      <c r="DN561" s="14"/>
      <c r="DO561" s="14"/>
      <c r="DP561" s="14"/>
      <c r="DQ561" s="14"/>
      <c r="DR561" s="14"/>
      <c r="DS561" s="14"/>
      <c r="DT561" s="14"/>
      <c r="DU561" s="14"/>
      <c r="DV561" s="14"/>
      <c r="DW561" s="14"/>
      <c r="DX561" s="14"/>
      <c r="DY561" s="14"/>
      <c r="DZ561" s="14"/>
      <c r="EA561" s="14"/>
      <c r="EB561" s="14"/>
      <c r="EC561" s="14"/>
      <c r="ED561" s="14"/>
      <c r="EE561" s="14"/>
      <c r="EF561" s="14"/>
      <c r="EG561" s="14"/>
      <c r="EH561" s="14"/>
      <c r="EI561" s="14"/>
      <c r="EJ561" s="14"/>
      <c r="EK561" s="14"/>
      <c r="EL561" s="14"/>
    </row>
    <row r="562" spans="2:142" hidden="1" x14ac:dyDescent="0.2">
      <c r="B562" s="905">
        <v>49</v>
      </c>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4"/>
      <c r="BB562" s="14"/>
      <c r="BC562" s="14"/>
      <c r="BD562" s="14"/>
      <c r="BE562" s="14"/>
      <c r="BF562" s="14"/>
      <c r="BG562" s="14"/>
      <c r="BH562" s="14"/>
      <c r="BI562" s="14"/>
      <c r="BJ562" s="14"/>
      <c r="BK562" s="14"/>
      <c r="BL562" s="14"/>
      <c r="BM562" s="14"/>
      <c r="BN562" s="14"/>
      <c r="BO562" s="14"/>
      <c r="BP562" s="14"/>
      <c r="BQ562" s="14"/>
      <c r="BR562" s="14"/>
      <c r="BS562" s="14"/>
      <c r="BT562" s="14"/>
      <c r="BU562" s="14"/>
      <c r="BV562" s="14"/>
      <c r="BW562" s="14"/>
      <c r="BX562" s="14"/>
      <c r="BY562" s="14"/>
      <c r="BZ562" s="14"/>
      <c r="CA562" s="14"/>
      <c r="CB562" s="14"/>
      <c r="CC562" s="14"/>
      <c r="CD562" s="14"/>
      <c r="CE562" s="14"/>
      <c r="CF562" s="14"/>
      <c r="CG562" s="14"/>
      <c r="CH562" s="14"/>
      <c r="CI562" s="14"/>
      <c r="CJ562" s="14"/>
      <c r="CK562" s="14"/>
      <c r="CL562" s="14"/>
      <c r="CM562" s="14"/>
      <c r="CN562" s="14"/>
      <c r="CO562" s="14"/>
      <c r="CP562" s="14"/>
      <c r="CQ562" s="14"/>
      <c r="CR562" s="14"/>
      <c r="CS562" s="14"/>
      <c r="CT562" s="14"/>
      <c r="CU562" s="14"/>
      <c r="CV562" s="14"/>
      <c r="CW562" s="14"/>
      <c r="CX562" s="14"/>
      <c r="CY562" s="14"/>
      <c r="CZ562" s="14"/>
      <c r="DA562" s="14"/>
      <c r="DB562" s="14"/>
      <c r="DC562" s="14"/>
      <c r="DD562" s="14"/>
      <c r="DE562" s="14"/>
      <c r="DF562" s="14"/>
      <c r="DG562" s="14"/>
      <c r="DH562" s="14"/>
      <c r="DI562" s="14"/>
      <c r="DJ562" s="14"/>
      <c r="DK562" s="14"/>
      <c r="DL562" s="14"/>
      <c r="DM562" s="14"/>
      <c r="DN562" s="14"/>
      <c r="DO562" s="14"/>
      <c r="DP562" s="14"/>
      <c r="DQ562" s="14"/>
      <c r="DR562" s="14"/>
      <c r="DS562" s="14"/>
      <c r="DT562" s="14"/>
      <c r="DU562" s="14"/>
      <c r="DV562" s="14"/>
      <c r="DW562" s="14"/>
      <c r="DX562" s="14"/>
      <c r="DY562" s="14"/>
      <c r="DZ562" s="14"/>
      <c r="EA562" s="14"/>
      <c r="EB562" s="14"/>
      <c r="EC562" s="14"/>
      <c r="ED562" s="14"/>
      <c r="EE562" s="14"/>
      <c r="EF562" s="14"/>
      <c r="EG562" s="14"/>
      <c r="EH562" s="14"/>
      <c r="EI562" s="14"/>
      <c r="EJ562" s="14"/>
      <c r="EK562" s="14"/>
      <c r="EL562" s="14"/>
    </row>
    <row r="563" spans="2:142" hidden="1" x14ac:dyDescent="0.2">
      <c r="B563" s="905">
        <v>50</v>
      </c>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4"/>
      <c r="BB563" s="14"/>
      <c r="BC563" s="14"/>
      <c r="BD563" s="14"/>
      <c r="BE563" s="14"/>
      <c r="BF563" s="14"/>
      <c r="BG563" s="14"/>
      <c r="BH563" s="14"/>
      <c r="BI563" s="14"/>
      <c r="BJ563" s="14"/>
      <c r="BK563" s="14"/>
      <c r="BL563" s="14"/>
      <c r="BM563" s="14"/>
      <c r="BN563" s="14"/>
      <c r="BO563" s="14"/>
      <c r="BP563" s="14"/>
      <c r="BQ563" s="14"/>
      <c r="BR563" s="14"/>
      <c r="BS563" s="14"/>
      <c r="BT563" s="14"/>
      <c r="BU563" s="14"/>
      <c r="BV563" s="14"/>
      <c r="BW563" s="14"/>
      <c r="BX563" s="14"/>
      <c r="BY563" s="14"/>
      <c r="BZ563" s="14"/>
      <c r="CA563" s="14"/>
      <c r="CB563" s="14"/>
      <c r="CC563" s="14"/>
      <c r="CD563" s="14"/>
      <c r="CE563" s="14"/>
      <c r="CF563" s="14"/>
      <c r="CG563" s="14"/>
      <c r="CH563" s="14"/>
      <c r="CI563" s="14"/>
      <c r="CJ563" s="14"/>
      <c r="CK563" s="14"/>
      <c r="CL563" s="14"/>
      <c r="CM563" s="14"/>
      <c r="CN563" s="14"/>
      <c r="CO563" s="14"/>
      <c r="CP563" s="14"/>
      <c r="CQ563" s="14"/>
      <c r="CR563" s="14"/>
      <c r="CS563" s="14"/>
      <c r="CT563" s="14"/>
      <c r="CU563" s="14"/>
      <c r="CV563" s="14"/>
      <c r="CW563" s="14"/>
      <c r="CX563" s="14"/>
      <c r="CY563" s="14"/>
      <c r="CZ563" s="14"/>
      <c r="DA563" s="14"/>
      <c r="DB563" s="14"/>
      <c r="DC563" s="14"/>
      <c r="DD563" s="14"/>
      <c r="DE563" s="14"/>
      <c r="DF563" s="14"/>
      <c r="DG563" s="14"/>
      <c r="DH563" s="14"/>
      <c r="DI563" s="14"/>
      <c r="DJ563" s="14"/>
      <c r="DK563" s="14"/>
      <c r="DL563" s="14"/>
      <c r="DM563" s="14"/>
      <c r="DN563" s="14"/>
      <c r="DO563" s="14"/>
      <c r="DP563" s="14"/>
      <c r="DQ563" s="14"/>
      <c r="DR563" s="14"/>
      <c r="DS563" s="14"/>
      <c r="DT563" s="14"/>
      <c r="DU563" s="14"/>
      <c r="DV563" s="14"/>
      <c r="DW563" s="14"/>
      <c r="DX563" s="14"/>
      <c r="DY563" s="14"/>
      <c r="DZ563" s="14"/>
      <c r="EA563" s="14"/>
      <c r="EB563" s="14"/>
      <c r="EC563" s="14"/>
      <c r="ED563" s="14"/>
      <c r="EE563" s="14"/>
      <c r="EF563" s="14"/>
      <c r="EG563" s="14"/>
      <c r="EH563" s="14"/>
      <c r="EI563" s="14"/>
      <c r="EJ563" s="14"/>
      <c r="EK563" s="14"/>
      <c r="EL563" s="14"/>
    </row>
    <row r="564" spans="2:142" hidden="1" x14ac:dyDescent="0.2">
      <c r="B564" s="905">
        <v>51</v>
      </c>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4"/>
      <c r="BB564" s="14"/>
      <c r="BC564" s="14"/>
      <c r="BD564" s="14"/>
      <c r="BE564" s="14"/>
      <c r="BF564" s="14"/>
      <c r="BG564" s="14"/>
      <c r="BH564" s="14"/>
      <c r="BI564" s="14"/>
      <c r="BJ564" s="14"/>
      <c r="BK564" s="14"/>
      <c r="BL564" s="14"/>
      <c r="BM564" s="14"/>
      <c r="BN564" s="14"/>
      <c r="BO564" s="14"/>
      <c r="BP564" s="14"/>
      <c r="BQ564" s="14"/>
      <c r="BR564" s="14"/>
      <c r="BS564" s="14"/>
      <c r="BT564" s="14"/>
      <c r="BU564" s="14"/>
      <c r="BV564" s="14"/>
      <c r="BW564" s="14"/>
      <c r="BX564" s="14"/>
      <c r="BY564" s="14"/>
      <c r="BZ564" s="14"/>
      <c r="CA564" s="14"/>
      <c r="CB564" s="14"/>
      <c r="CC564" s="14"/>
      <c r="CD564" s="14"/>
      <c r="CE564" s="14"/>
      <c r="CF564" s="14"/>
      <c r="CG564" s="14"/>
      <c r="CH564" s="14"/>
      <c r="CI564" s="14"/>
      <c r="CJ564" s="14"/>
      <c r="CK564" s="14"/>
      <c r="CL564" s="14"/>
      <c r="CM564" s="14"/>
      <c r="CN564" s="14"/>
      <c r="CO564" s="14"/>
      <c r="CP564" s="14"/>
      <c r="CQ564" s="14"/>
      <c r="CR564" s="14"/>
      <c r="CS564" s="14"/>
      <c r="CT564" s="14"/>
      <c r="CU564" s="14"/>
      <c r="CV564" s="14"/>
      <c r="CW564" s="14"/>
      <c r="CX564" s="14"/>
      <c r="CY564" s="14"/>
      <c r="CZ564" s="14"/>
      <c r="DA564" s="14"/>
      <c r="DB564" s="14"/>
      <c r="DC564" s="14"/>
      <c r="DD564" s="14"/>
      <c r="DE564" s="14"/>
      <c r="DF564" s="14"/>
      <c r="DG564" s="14"/>
      <c r="DH564" s="14"/>
      <c r="DI564" s="14"/>
      <c r="DJ564" s="14"/>
      <c r="DK564" s="14"/>
      <c r="DL564" s="14"/>
      <c r="DM564" s="14"/>
      <c r="DN564" s="14"/>
      <c r="DO564" s="14"/>
      <c r="DP564" s="14"/>
      <c r="DQ564" s="14"/>
      <c r="DR564" s="14"/>
      <c r="DS564" s="14"/>
      <c r="DT564" s="14"/>
      <c r="DU564" s="14"/>
      <c r="DV564" s="14"/>
      <c r="DW564" s="14"/>
      <c r="DX564" s="14"/>
      <c r="DY564" s="14"/>
      <c r="DZ564" s="14"/>
      <c r="EA564" s="14"/>
      <c r="EB564" s="14"/>
      <c r="EC564" s="14"/>
      <c r="ED564" s="14"/>
      <c r="EE564" s="14"/>
      <c r="EF564" s="14"/>
      <c r="EG564" s="14"/>
      <c r="EH564" s="14"/>
      <c r="EI564" s="14"/>
      <c r="EJ564" s="14"/>
      <c r="EK564" s="14"/>
      <c r="EL564" s="14"/>
    </row>
    <row r="565" spans="2:142" hidden="1" x14ac:dyDescent="0.2">
      <c r="B565" s="905">
        <v>52</v>
      </c>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4"/>
      <c r="BB565" s="14"/>
      <c r="BC565" s="14"/>
      <c r="BD565" s="14"/>
      <c r="BE565" s="14"/>
      <c r="BF565" s="14"/>
      <c r="BG565" s="14"/>
      <c r="BH565" s="14"/>
      <c r="BI565" s="14"/>
      <c r="BJ565" s="14"/>
      <c r="BK565" s="14"/>
      <c r="BL565" s="14"/>
      <c r="BM565" s="14"/>
      <c r="BN565" s="14"/>
      <c r="BO565" s="14"/>
      <c r="BP565" s="14"/>
      <c r="BQ565" s="14"/>
      <c r="BR565" s="14"/>
      <c r="BS565" s="14"/>
      <c r="BT565" s="14"/>
      <c r="BU565" s="14"/>
      <c r="BV565" s="14"/>
      <c r="BW565" s="14"/>
      <c r="BX565" s="14"/>
      <c r="BY565" s="14"/>
      <c r="BZ565" s="14"/>
      <c r="CA565" s="14"/>
      <c r="CB565" s="14"/>
      <c r="CC565" s="14"/>
      <c r="CD565" s="14"/>
      <c r="CE565" s="14"/>
      <c r="CF565" s="14"/>
      <c r="CG565" s="14"/>
      <c r="CH565" s="14"/>
      <c r="CI565" s="14"/>
      <c r="CJ565" s="14"/>
      <c r="CK565" s="14"/>
      <c r="CL565" s="14"/>
      <c r="CM565" s="14"/>
      <c r="CN565" s="14"/>
      <c r="CO565" s="14"/>
      <c r="CP565" s="14"/>
      <c r="CQ565" s="14"/>
      <c r="CR565" s="14"/>
      <c r="CS565" s="14"/>
      <c r="CT565" s="14"/>
      <c r="CU565" s="14"/>
      <c r="CV565" s="14"/>
      <c r="CW565" s="14"/>
      <c r="CX565" s="14"/>
      <c r="CY565" s="14"/>
      <c r="CZ565" s="14"/>
      <c r="DA565" s="14"/>
      <c r="DB565" s="14"/>
      <c r="DC565" s="14"/>
      <c r="DD565" s="14"/>
      <c r="DE565" s="14"/>
      <c r="DF565" s="14"/>
      <c r="DG565" s="14"/>
      <c r="DH565" s="14"/>
      <c r="DI565" s="14"/>
      <c r="DJ565" s="14"/>
      <c r="DK565" s="14"/>
      <c r="DL565" s="14"/>
      <c r="DM565" s="14"/>
      <c r="DN565" s="14"/>
      <c r="DO565" s="14"/>
      <c r="DP565" s="14"/>
      <c r="DQ565" s="14"/>
      <c r="DR565" s="14"/>
      <c r="DS565" s="14"/>
      <c r="DT565" s="14"/>
      <c r="DU565" s="14"/>
      <c r="DV565" s="14"/>
      <c r="DW565" s="14"/>
      <c r="DX565" s="14"/>
      <c r="DY565" s="14"/>
      <c r="DZ565" s="14"/>
      <c r="EA565" s="14"/>
      <c r="EB565" s="14"/>
      <c r="EC565" s="14"/>
      <c r="ED565" s="14"/>
      <c r="EE565" s="14"/>
      <c r="EF565" s="14"/>
      <c r="EG565" s="14"/>
      <c r="EH565" s="14"/>
      <c r="EI565" s="14"/>
      <c r="EJ565" s="14"/>
      <c r="EK565" s="14"/>
      <c r="EL565" s="14"/>
    </row>
    <row r="566" spans="2:142" hidden="1" x14ac:dyDescent="0.2">
      <c r="B566" s="905">
        <v>53</v>
      </c>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4"/>
      <c r="BB566" s="14"/>
      <c r="BC566" s="14"/>
      <c r="BD566" s="14"/>
      <c r="BE566" s="14"/>
      <c r="BF566" s="14"/>
      <c r="BG566" s="14"/>
      <c r="BH566" s="14"/>
      <c r="BI566" s="14"/>
      <c r="BJ566" s="14"/>
      <c r="BK566" s="14"/>
      <c r="BL566" s="14"/>
      <c r="BM566" s="14"/>
      <c r="BN566" s="14"/>
      <c r="BO566" s="14"/>
      <c r="BP566" s="14"/>
      <c r="BQ566" s="14"/>
      <c r="BR566" s="14"/>
      <c r="BS566" s="14"/>
      <c r="BT566" s="14"/>
      <c r="BU566" s="14"/>
      <c r="BV566" s="14"/>
      <c r="BW566" s="14"/>
      <c r="BX566" s="14"/>
      <c r="BY566" s="14"/>
      <c r="BZ566" s="14"/>
      <c r="CA566" s="14"/>
      <c r="CB566" s="14"/>
      <c r="CC566" s="14"/>
      <c r="CD566" s="14"/>
      <c r="CE566" s="14"/>
      <c r="CF566" s="14"/>
      <c r="CG566" s="14"/>
      <c r="CH566" s="14"/>
      <c r="CI566" s="14"/>
      <c r="CJ566" s="14"/>
      <c r="CK566" s="14"/>
      <c r="CL566" s="14"/>
      <c r="CM566" s="14"/>
      <c r="CN566" s="14"/>
      <c r="CO566" s="14"/>
      <c r="CP566" s="14"/>
      <c r="CQ566" s="14"/>
      <c r="CR566" s="14"/>
      <c r="CS566" s="14"/>
      <c r="CT566" s="14"/>
      <c r="CU566" s="14"/>
      <c r="CV566" s="14"/>
      <c r="CW566" s="14"/>
      <c r="CX566" s="14"/>
      <c r="CY566" s="14"/>
      <c r="CZ566" s="14"/>
      <c r="DA566" s="14"/>
      <c r="DB566" s="14"/>
      <c r="DC566" s="14"/>
      <c r="DD566" s="14"/>
      <c r="DE566" s="14"/>
      <c r="DF566" s="14"/>
      <c r="DG566" s="14"/>
      <c r="DH566" s="14"/>
      <c r="DI566" s="14"/>
      <c r="DJ566" s="14"/>
      <c r="DK566" s="14"/>
      <c r="DL566" s="14"/>
      <c r="DM566" s="14"/>
      <c r="DN566" s="14"/>
      <c r="DO566" s="14"/>
      <c r="DP566" s="14"/>
      <c r="DQ566" s="14"/>
      <c r="DR566" s="14"/>
      <c r="DS566" s="14"/>
      <c r="DT566" s="14"/>
      <c r="DU566" s="14"/>
      <c r="DV566" s="14"/>
      <c r="DW566" s="14"/>
      <c r="DX566" s="14"/>
      <c r="DY566" s="14"/>
      <c r="DZ566" s="14"/>
      <c r="EA566" s="14"/>
      <c r="EB566" s="14"/>
      <c r="EC566" s="14"/>
      <c r="ED566" s="14"/>
      <c r="EE566" s="14"/>
      <c r="EF566" s="14"/>
      <c r="EG566" s="14"/>
      <c r="EH566" s="14"/>
      <c r="EI566" s="14"/>
      <c r="EJ566" s="14"/>
      <c r="EK566" s="14"/>
      <c r="EL566" s="14"/>
    </row>
    <row r="567" spans="2:142" hidden="1" x14ac:dyDescent="0.2">
      <c r="B567" s="905">
        <v>54</v>
      </c>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4"/>
      <c r="BB567" s="14"/>
      <c r="BC567" s="14"/>
      <c r="BD567" s="14"/>
      <c r="BE567" s="14"/>
      <c r="BF567" s="14"/>
      <c r="BG567" s="14"/>
      <c r="BH567" s="14"/>
      <c r="BI567" s="14"/>
      <c r="BJ567" s="14"/>
      <c r="BK567" s="14"/>
      <c r="BL567" s="14"/>
      <c r="BM567" s="14"/>
      <c r="BN567" s="14"/>
      <c r="BO567" s="14"/>
      <c r="BP567" s="14"/>
      <c r="BQ567" s="14"/>
      <c r="BR567" s="14"/>
      <c r="BS567" s="14"/>
      <c r="BT567" s="14"/>
      <c r="BU567" s="14"/>
      <c r="BV567" s="14"/>
      <c r="BW567" s="14"/>
      <c r="BX567" s="14"/>
      <c r="BY567" s="14"/>
      <c r="BZ567" s="14"/>
      <c r="CA567" s="14"/>
      <c r="CB567" s="14"/>
      <c r="CC567" s="14"/>
      <c r="CD567" s="14"/>
      <c r="CE567" s="14"/>
      <c r="CF567" s="14"/>
      <c r="CG567" s="14"/>
      <c r="CH567" s="14"/>
      <c r="CI567" s="14"/>
      <c r="CJ567" s="14"/>
      <c r="CK567" s="14"/>
      <c r="CL567" s="14"/>
      <c r="CM567" s="14"/>
      <c r="CN567" s="14"/>
      <c r="CO567" s="14"/>
      <c r="CP567" s="14"/>
      <c r="CQ567" s="14"/>
      <c r="CR567" s="14"/>
      <c r="CS567" s="14"/>
      <c r="CT567" s="14"/>
      <c r="CU567" s="14"/>
      <c r="CV567" s="14"/>
      <c r="CW567" s="14"/>
      <c r="CX567" s="14"/>
      <c r="CY567" s="14"/>
      <c r="CZ567" s="14"/>
      <c r="DA567" s="14"/>
      <c r="DB567" s="14"/>
      <c r="DC567" s="14"/>
      <c r="DD567" s="14"/>
      <c r="DE567" s="14"/>
      <c r="DF567" s="14"/>
      <c r="DG567" s="14"/>
      <c r="DH567" s="14"/>
      <c r="DI567" s="14"/>
      <c r="DJ567" s="14"/>
      <c r="DK567" s="14"/>
      <c r="DL567" s="14"/>
      <c r="DM567" s="14"/>
      <c r="DN567" s="14"/>
      <c r="DO567" s="14"/>
      <c r="DP567" s="14"/>
      <c r="DQ567" s="14"/>
      <c r="DR567" s="14"/>
      <c r="DS567" s="14"/>
      <c r="DT567" s="14"/>
      <c r="DU567" s="14"/>
      <c r="DV567" s="14"/>
      <c r="DW567" s="14"/>
      <c r="DX567" s="14"/>
      <c r="DY567" s="14"/>
      <c r="DZ567" s="14"/>
      <c r="EA567" s="14"/>
      <c r="EB567" s="14"/>
      <c r="EC567" s="14"/>
      <c r="ED567" s="14"/>
      <c r="EE567" s="14"/>
      <c r="EF567" s="14"/>
      <c r="EG567" s="14"/>
      <c r="EH567" s="14"/>
      <c r="EI567" s="14"/>
      <c r="EJ567" s="14"/>
      <c r="EK567" s="14"/>
      <c r="EL567" s="14"/>
    </row>
    <row r="568" spans="2:142" hidden="1" x14ac:dyDescent="0.2">
      <c r="B568" s="905">
        <v>55</v>
      </c>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4"/>
      <c r="BB568" s="14"/>
      <c r="BC568" s="14"/>
      <c r="BD568" s="14"/>
      <c r="BE568" s="14"/>
      <c r="BF568" s="14"/>
      <c r="BG568" s="14"/>
      <c r="BH568" s="14"/>
      <c r="BI568" s="14"/>
      <c r="BJ568" s="14"/>
      <c r="BK568" s="14"/>
      <c r="BL568" s="14"/>
      <c r="BM568" s="14"/>
      <c r="BN568" s="14"/>
      <c r="BO568" s="14"/>
      <c r="BP568" s="14"/>
      <c r="BQ568" s="14"/>
      <c r="BR568" s="14"/>
      <c r="BS568" s="14"/>
      <c r="BT568" s="14"/>
      <c r="BU568" s="14"/>
      <c r="BV568" s="14"/>
      <c r="BW568" s="14"/>
      <c r="BX568" s="14"/>
      <c r="BY568" s="14"/>
      <c r="BZ568" s="14"/>
      <c r="CA568" s="14"/>
      <c r="CB568" s="14"/>
      <c r="CC568" s="14"/>
      <c r="CD568" s="14"/>
      <c r="CE568" s="14"/>
      <c r="CF568" s="14"/>
      <c r="CG568" s="14"/>
      <c r="CH568" s="14"/>
      <c r="CI568" s="14"/>
      <c r="CJ568" s="14"/>
      <c r="CK568" s="14"/>
      <c r="CL568" s="14"/>
      <c r="CM568" s="14"/>
      <c r="CN568" s="14"/>
      <c r="CO568" s="14"/>
      <c r="CP568" s="14"/>
      <c r="CQ568" s="14"/>
      <c r="CR568" s="14"/>
      <c r="CS568" s="14"/>
      <c r="CT568" s="14"/>
      <c r="CU568" s="14"/>
      <c r="CV568" s="14"/>
      <c r="CW568" s="14"/>
      <c r="CX568" s="14"/>
      <c r="CY568" s="14"/>
      <c r="CZ568" s="14"/>
      <c r="DA568" s="14"/>
      <c r="DB568" s="14"/>
      <c r="DC568" s="14"/>
      <c r="DD568" s="14"/>
      <c r="DE568" s="14"/>
      <c r="DF568" s="14"/>
      <c r="DG568" s="14"/>
      <c r="DH568" s="14"/>
      <c r="DI568" s="14"/>
      <c r="DJ568" s="14"/>
      <c r="DK568" s="14"/>
      <c r="DL568" s="14"/>
      <c r="DM568" s="14"/>
      <c r="DN568" s="14"/>
      <c r="DO568" s="14"/>
      <c r="DP568" s="14"/>
      <c r="DQ568" s="14"/>
      <c r="DR568" s="14"/>
      <c r="DS568" s="14"/>
      <c r="DT568" s="14"/>
      <c r="DU568" s="14"/>
      <c r="DV568" s="14"/>
      <c r="DW568" s="14"/>
      <c r="DX568" s="14"/>
      <c r="DY568" s="14"/>
      <c r="DZ568" s="14"/>
      <c r="EA568" s="14"/>
      <c r="EB568" s="14"/>
      <c r="EC568" s="14"/>
      <c r="ED568" s="14"/>
      <c r="EE568" s="14"/>
      <c r="EF568" s="14"/>
      <c r="EG568" s="14"/>
      <c r="EH568" s="14"/>
      <c r="EI568" s="14"/>
      <c r="EJ568" s="14"/>
      <c r="EK568" s="14"/>
      <c r="EL568" s="14"/>
    </row>
    <row r="569" spans="2:142" hidden="1" x14ac:dyDescent="0.2">
      <c r="B569" s="905">
        <v>56</v>
      </c>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4"/>
      <c r="BB569" s="14"/>
      <c r="BC569" s="14"/>
      <c r="BD569" s="14"/>
      <c r="BE569" s="14"/>
      <c r="BF569" s="14"/>
      <c r="BG569" s="14"/>
      <c r="BH569" s="14"/>
      <c r="BI569" s="14"/>
      <c r="BJ569" s="14"/>
      <c r="BK569" s="14"/>
      <c r="BL569" s="14"/>
      <c r="BM569" s="14"/>
      <c r="BN569" s="14"/>
      <c r="BO569" s="14"/>
      <c r="BP569" s="14"/>
      <c r="BQ569" s="14"/>
      <c r="BR569" s="14"/>
      <c r="BS569" s="14"/>
      <c r="BT569" s="14"/>
      <c r="BU569" s="14"/>
      <c r="BV569" s="14"/>
      <c r="BW569" s="14"/>
      <c r="BX569" s="14"/>
      <c r="BY569" s="14"/>
      <c r="BZ569" s="14"/>
      <c r="CA569" s="14"/>
      <c r="CB569" s="14"/>
      <c r="CC569" s="14"/>
      <c r="CD569" s="14"/>
      <c r="CE569" s="14"/>
      <c r="CF569" s="14"/>
      <c r="CG569" s="14"/>
      <c r="CH569" s="14"/>
      <c r="CI569" s="14"/>
      <c r="CJ569" s="14"/>
      <c r="CK569" s="14"/>
      <c r="CL569" s="14"/>
      <c r="CM569" s="14"/>
      <c r="CN569" s="14"/>
      <c r="CO569" s="14"/>
      <c r="CP569" s="14"/>
      <c r="CQ569" s="14"/>
      <c r="CR569" s="14"/>
      <c r="CS569" s="14"/>
      <c r="CT569" s="14"/>
      <c r="CU569" s="14"/>
      <c r="CV569" s="14"/>
      <c r="CW569" s="14"/>
      <c r="CX569" s="14"/>
      <c r="CY569" s="14"/>
      <c r="CZ569" s="14"/>
      <c r="DA569" s="14"/>
      <c r="DB569" s="14"/>
      <c r="DC569" s="14"/>
      <c r="DD569" s="14"/>
      <c r="DE569" s="14"/>
      <c r="DF569" s="14"/>
      <c r="DG569" s="14"/>
      <c r="DH569" s="14"/>
      <c r="DI569" s="14"/>
      <c r="DJ569" s="14"/>
      <c r="DK569" s="14"/>
      <c r="DL569" s="14"/>
      <c r="DM569" s="14"/>
      <c r="DN569" s="14"/>
      <c r="DO569" s="14"/>
      <c r="DP569" s="14"/>
      <c r="DQ569" s="14"/>
      <c r="DR569" s="14"/>
      <c r="DS569" s="14"/>
      <c r="DT569" s="14"/>
      <c r="DU569" s="14"/>
      <c r="DV569" s="14"/>
      <c r="DW569" s="14"/>
      <c r="DX569" s="14"/>
      <c r="DY569" s="14"/>
      <c r="DZ569" s="14"/>
      <c r="EA569" s="14"/>
      <c r="EB569" s="14"/>
      <c r="EC569" s="14"/>
      <c r="ED569" s="14"/>
      <c r="EE569" s="14"/>
      <c r="EF569" s="14"/>
      <c r="EG569" s="14"/>
      <c r="EH569" s="14"/>
      <c r="EI569" s="14"/>
      <c r="EJ569" s="14"/>
      <c r="EK569" s="14"/>
      <c r="EL569" s="14"/>
    </row>
    <row r="570" spans="2:142" hidden="1" x14ac:dyDescent="0.2">
      <c r="B570" s="905">
        <v>57</v>
      </c>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4"/>
      <c r="BB570" s="14"/>
      <c r="BC570" s="14"/>
      <c r="BD570" s="14"/>
      <c r="BE570" s="14"/>
      <c r="BF570" s="14"/>
      <c r="BG570" s="14"/>
      <c r="BH570" s="14"/>
      <c r="BI570" s="14"/>
      <c r="BJ570" s="14"/>
      <c r="BK570" s="14"/>
      <c r="BL570" s="14"/>
      <c r="BM570" s="14"/>
      <c r="BN570" s="14"/>
      <c r="BO570" s="14"/>
      <c r="BP570" s="14"/>
      <c r="BQ570" s="14"/>
      <c r="BR570" s="14"/>
      <c r="BS570" s="14"/>
      <c r="BT570" s="14"/>
      <c r="BU570" s="14"/>
      <c r="BV570" s="14"/>
      <c r="BW570" s="14"/>
      <c r="BX570" s="14"/>
      <c r="BY570" s="14"/>
      <c r="BZ570" s="14"/>
      <c r="CA570" s="14"/>
      <c r="CB570" s="14"/>
      <c r="CC570" s="14"/>
      <c r="CD570" s="14"/>
      <c r="CE570" s="14"/>
      <c r="CF570" s="14"/>
      <c r="CG570" s="14"/>
      <c r="CH570" s="14"/>
      <c r="CI570" s="14"/>
      <c r="CJ570" s="14"/>
      <c r="CK570" s="14"/>
      <c r="CL570" s="14"/>
      <c r="CM570" s="14"/>
      <c r="CN570" s="14"/>
      <c r="CO570" s="14"/>
      <c r="CP570" s="14"/>
      <c r="CQ570" s="14"/>
      <c r="CR570" s="14"/>
      <c r="CS570" s="14"/>
      <c r="CT570" s="14"/>
      <c r="CU570" s="14"/>
      <c r="CV570" s="14"/>
      <c r="CW570" s="14"/>
      <c r="CX570" s="14"/>
      <c r="CY570" s="14"/>
      <c r="CZ570" s="14"/>
      <c r="DA570" s="14"/>
      <c r="DB570" s="14"/>
      <c r="DC570" s="14"/>
      <c r="DD570" s="14"/>
      <c r="DE570" s="14"/>
      <c r="DF570" s="14"/>
      <c r="DG570" s="14"/>
      <c r="DH570" s="14"/>
      <c r="DI570" s="14"/>
      <c r="DJ570" s="14"/>
      <c r="DK570" s="14"/>
      <c r="DL570" s="14"/>
      <c r="DM570" s="14"/>
      <c r="DN570" s="14"/>
      <c r="DO570" s="14"/>
      <c r="DP570" s="14"/>
      <c r="DQ570" s="14"/>
      <c r="DR570" s="14"/>
      <c r="DS570" s="14"/>
      <c r="DT570" s="14"/>
      <c r="DU570" s="14"/>
      <c r="DV570" s="14"/>
      <c r="DW570" s="14"/>
      <c r="DX570" s="14"/>
      <c r="DY570" s="14"/>
      <c r="DZ570" s="14"/>
      <c r="EA570" s="14"/>
      <c r="EB570" s="14"/>
      <c r="EC570" s="14"/>
      <c r="ED570" s="14"/>
      <c r="EE570" s="14"/>
      <c r="EF570" s="14"/>
      <c r="EG570" s="14"/>
      <c r="EH570" s="14"/>
      <c r="EI570" s="14"/>
      <c r="EJ570" s="14"/>
      <c r="EK570" s="14"/>
      <c r="EL570" s="14"/>
    </row>
    <row r="571" spans="2:142" hidden="1" x14ac:dyDescent="0.2">
      <c r="B571" s="905">
        <v>58</v>
      </c>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4"/>
      <c r="BB571" s="14"/>
      <c r="BC571" s="14"/>
      <c r="BD571" s="14"/>
      <c r="BE571" s="14"/>
      <c r="BF571" s="14"/>
      <c r="BG571" s="14"/>
      <c r="BH571" s="14"/>
      <c r="BI571" s="14"/>
      <c r="BJ571" s="14"/>
      <c r="BK571" s="14"/>
      <c r="BL571" s="14"/>
      <c r="BM571" s="14"/>
      <c r="BN571" s="14"/>
      <c r="BO571" s="14"/>
      <c r="BP571" s="14"/>
      <c r="BQ571" s="14"/>
      <c r="BR571" s="14"/>
      <c r="BS571" s="14"/>
      <c r="BT571" s="14"/>
      <c r="BU571" s="14"/>
      <c r="BV571" s="14"/>
      <c r="BW571" s="14"/>
      <c r="BX571" s="14"/>
      <c r="BY571" s="14"/>
      <c r="BZ571" s="14"/>
      <c r="CA571" s="14"/>
      <c r="CB571" s="14"/>
      <c r="CC571" s="14"/>
      <c r="CD571" s="14"/>
      <c r="CE571" s="14"/>
      <c r="CF571" s="14"/>
      <c r="CG571" s="14"/>
      <c r="CH571" s="14"/>
      <c r="CI571" s="14"/>
      <c r="CJ571" s="14"/>
      <c r="CK571" s="14"/>
      <c r="CL571" s="14"/>
      <c r="CM571" s="14"/>
      <c r="CN571" s="14"/>
      <c r="CO571" s="14"/>
      <c r="CP571" s="14"/>
      <c r="CQ571" s="14"/>
      <c r="CR571" s="14"/>
      <c r="CS571" s="14"/>
      <c r="CT571" s="14"/>
      <c r="CU571" s="14"/>
      <c r="CV571" s="14"/>
      <c r="CW571" s="14"/>
      <c r="CX571" s="14"/>
      <c r="CY571" s="14"/>
      <c r="CZ571" s="14"/>
      <c r="DA571" s="14"/>
      <c r="DB571" s="14"/>
      <c r="DC571" s="14"/>
      <c r="DD571" s="14"/>
      <c r="DE571" s="14"/>
      <c r="DF571" s="14"/>
      <c r="DG571" s="14"/>
      <c r="DH571" s="14"/>
      <c r="DI571" s="14"/>
      <c r="DJ571" s="14"/>
      <c r="DK571" s="14"/>
      <c r="DL571" s="14"/>
      <c r="DM571" s="14"/>
      <c r="DN571" s="14"/>
      <c r="DO571" s="14"/>
      <c r="DP571" s="14"/>
      <c r="DQ571" s="14"/>
      <c r="DR571" s="14"/>
      <c r="DS571" s="14"/>
      <c r="DT571" s="14"/>
      <c r="DU571" s="14"/>
      <c r="DV571" s="14"/>
      <c r="DW571" s="14"/>
      <c r="DX571" s="14"/>
      <c r="DY571" s="14"/>
      <c r="DZ571" s="14"/>
      <c r="EA571" s="14"/>
      <c r="EB571" s="14"/>
      <c r="EC571" s="14"/>
      <c r="ED571" s="14"/>
      <c r="EE571" s="14"/>
      <c r="EF571" s="14"/>
      <c r="EG571" s="14"/>
      <c r="EH571" s="14"/>
      <c r="EI571" s="14"/>
      <c r="EJ571" s="14"/>
      <c r="EK571" s="14"/>
      <c r="EL571" s="14"/>
    </row>
    <row r="572" spans="2:142" hidden="1" x14ac:dyDescent="0.2">
      <c r="B572" s="905">
        <v>59</v>
      </c>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4"/>
      <c r="BB572" s="14"/>
      <c r="BC572" s="14"/>
      <c r="BD572" s="14"/>
      <c r="BE572" s="14"/>
      <c r="BF572" s="14"/>
      <c r="BG572" s="14"/>
      <c r="BH572" s="14"/>
      <c r="BI572" s="14"/>
      <c r="BJ572" s="14"/>
      <c r="BK572" s="14"/>
      <c r="BL572" s="14"/>
      <c r="BM572" s="14"/>
      <c r="BN572" s="14"/>
      <c r="BO572" s="14"/>
      <c r="BP572" s="14"/>
      <c r="BQ572" s="14"/>
      <c r="BR572" s="14"/>
      <c r="BS572" s="14"/>
      <c r="BT572" s="14"/>
      <c r="BU572" s="14"/>
      <c r="BV572" s="14"/>
      <c r="BW572" s="14"/>
      <c r="BX572" s="14"/>
      <c r="BY572" s="14"/>
      <c r="BZ572" s="14"/>
      <c r="CA572" s="14"/>
      <c r="CB572" s="14"/>
      <c r="CC572" s="14"/>
      <c r="CD572" s="14"/>
      <c r="CE572" s="14"/>
      <c r="CF572" s="14"/>
      <c r="CG572" s="14"/>
      <c r="CH572" s="14"/>
      <c r="CI572" s="14"/>
      <c r="CJ572" s="14"/>
      <c r="CK572" s="14"/>
      <c r="CL572" s="14"/>
      <c r="CM572" s="14"/>
      <c r="CN572" s="14"/>
      <c r="CO572" s="14"/>
      <c r="CP572" s="14"/>
      <c r="CQ572" s="14"/>
      <c r="CR572" s="14"/>
      <c r="CS572" s="14"/>
      <c r="CT572" s="14"/>
      <c r="CU572" s="14"/>
      <c r="CV572" s="14"/>
      <c r="CW572" s="14"/>
      <c r="CX572" s="14"/>
      <c r="CY572" s="14"/>
      <c r="CZ572" s="14"/>
      <c r="DA572" s="14"/>
      <c r="DB572" s="14"/>
      <c r="DC572" s="14"/>
      <c r="DD572" s="14"/>
      <c r="DE572" s="14"/>
      <c r="DF572" s="14"/>
      <c r="DG572" s="14"/>
      <c r="DH572" s="14"/>
      <c r="DI572" s="14"/>
      <c r="DJ572" s="14"/>
      <c r="DK572" s="14"/>
      <c r="DL572" s="14"/>
      <c r="DM572" s="14"/>
      <c r="DN572" s="14"/>
      <c r="DO572" s="14"/>
      <c r="DP572" s="14"/>
      <c r="DQ572" s="14"/>
      <c r="DR572" s="14"/>
      <c r="DS572" s="14"/>
      <c r="DT572" s="14"/>
      <c r="DU572" s="14"/>
      <c r="DV572" s="14"/>
      <c r="DW572" s="14"/>
      <c r="DX572" s="14"/>
      <c r="DY572" s="14"/>
      <c r="DZ572" s="14"/>
      <c r="EA572" s="14"/>
      <c r="EB572" s="14"/>
      <c r="EC572" s="14"/>
      <c r="ED572" s="14"/>
      <c r="EE572" s="14"/>
      <c r="EF572" s="14"/>
      <c r="EG572" s="14"/>
      <c r="EH572" s="14"/>
      <c r="EI572" s="14"/>
      <c r="EJ572" s="14"/>
      <c r="EK572" s="14"/>
      <c r="EL572" s="14"/>
    </row>
    <row r="573" spans="2:142" hidden="1" x14ac:dyDescent="0.2">
      <c r="B573" s="905">
        <v>60</v>
      </c>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4"/>
      <c r="BB573" s="14"/>
      <c r="BC573" s="14"/>
      <c r="BD573" s="14"/>
      <c r="BE573" s="14"/>
      <c r="BF573" s="14"/>
      <c r="BG573" s="14"/>
      <c r="BH573" s="14"/>
      <c r="BI573" s="14"/>
      <c r="BJ573" s="14"/>
      <c r="BK573" s="14"/>
      <c r="BL573" s="14"/>
      <c r="BM573" s="14"/>
      <c r="BN573" s="14"/>
      <c r="BO573" s="14"/>
      <c r="BP573" s="14"/>
      <c r="BQ573" s="14"/>
      <c r="BR573" s="14"/>
      <c r="BS573" s="14"/>
      <c r="BT573" s="14"/>
      <c r="BU573" s="14"/>
      <c r="BV573" s="14"/>
      <c r="BW573" s="14"/>
      <c r="BX573" s="14"/>
      <c r="BY573" s="14"/>
      <c r="BZ573" s="14"/>
      <c r="CA573" s="14"/>
      <c r="CB573" s="14"/>
      <c r="CC573" s="14"/>
      <c r="CD573" s="14"/>
      <c r="CE573" s="14"/>
      <c r="CF573" s="14"/>
      <c r="CG573" s="14"/>
      <c r="CH573" s="14"/>
      <c r="CI573" s="14"/>
      <c r="CJ573" s="14"/>
      <c r="CK573" s="14"/>
      <c r="CL573" s="14"/>
      <c r="CM573" s="14"/>
      <c r="CN573" s="14"/>
      <c r="CO573" s="14"/>
      <c r="CP573" s="14"/>
      <c r="CQ573" s="14"/>
      <c r="CR573" s="14"/>
      <c r="CS573" s="14"/>
      <c r="CT573" s="14"/>
      <c r="CU573" s="14"/>
      <c r="CV573" s="14"/>
      <c r="CW573" s="14"/>
      <c r="CX573" s="14"/>
      <c r="CY573" s="14"/>
      <c r="CZ573" s="14"/>
      <c r="DA573" s="14"/>
      <c r="DB573" s="14"/>
      <c r="DC573" s="14"/>
      <c r="DD573" s="14"/>
      <c r="DE573" s="14"/>
      <c r="DF573" s="14"/>
      <c r="DG573" s="14"/>
      <c r="DH573" s="14"/>
      <c r="DI573" s="14"/>
      <c r="DJ573" s="14"/>
      <c r="DK573" s="14"/>
      <c r="DL573" s="14"/>
      <c r="DM573" s="14"/>
      <c r="DN573" s="14"/>
      <c r="DO573" s="14"/>
      <c r="DP573" s="14"/>
      <c r="DQ573" s="14"/>
      <c r="DR573" s="14"/>
      <c r="DS573" s="14"/>
      <c r="DT573" s="14"/>
      <c r="DU573" s="14"/>
      <c r="DV573" s="14"/>
      <c r="DW573" s="14"/>
      <c r="DX573" s="14"/>
      <c r="DY573" s="14"/>
      <c r="DZ573" s="14"/>
      <c r="EA573" s="14"/>
      <c r="EB573" s="14"/>
      <c r="EC573" s="14"/>
      <c r="ED573" s="14"/>
      <c r="EE573" s="14"/>
      <c r="EF573" s="14"/>
      <c r="EG573" s="14"/>
      <c r="EH573" s="14"/>
      <c r="EI573" s="14"/>
      <c r="EJ573" s="14"/>
      <c r="EK573" s="14"/>
      <c r="EL573" s="14"/>
    </row>
    <row r="574" spans="2:142" hidden="1" x14ac:dyDescent="0.2">
      <c r="B574" s="905">
        <v>61</v>
      </c>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4"/>
      <c r="BB574" s="14"/>
      <c r="BC574" s="14"/>
      <c r="BD574" s="14"/>
      <c r="BE574" s="14"/>
      <c r="BF574" s="14"/>
      <c r="BG574" s="14"/>
      <c r="BH574" s="14"/>
      <c r="BI574" s="14"/>
      <c r="BJ574" s="14"/>
      <c r="BK574" s="14"/>
      <c r="BL574" s="14"/>
      <c r="BM574" s="14"/>
      <c r="BN574" s="14"/>
      <c r="BO574" s="14"/>
      <c r="BP574" s="14"/>
      <c r="BQ574" s="14"/>
      <c r="BR574" s="14"/>
      <c r="BS574" s="14"/>
      <c r="BT574" s="14"/>
      <c r="BU574" s="14"/>
      <c r="BV574" s="14"/>
      <c r="BW574" s="14"/>
      <c r="BX574" s="14"/>
      <c r="BY574" s="14"/>
      <c r="BZ574" s="14"/>
      <c r="CA574" s="14"/>
      <c r="CB574" s="14"/>
      <c r="CC574" s="14"/>
      <c r="CD574" s="14"/>
      <c r="CE574" s="14"/>
      <c r="CF574" s="14"/>
      <c r="CG574" s="14"/>
      <c r="CH574" s="14"/>
      <c r="CI574" s="14"/>
      <c r="CJ574" s="14"/>
      <c r="CK574" s="14"/>
      <c r="CL574" s="14"/>
      <c r="CM574" s="14"/>
      <c r="CN574" s="14"/>
      <c r="CO574" s="14"/>
      <c r="CP574" s="14"/>
      <c r="CQ574" s="14"/>
      <c r="CR574" s="14"/>
      <c r="CS574" s="14"/>
      <c r="CT574" s="14"/>
      <c r="CU574" s="14"/>
      <c r="CV574" s="14"/>
      <c r="CW574" s="14"/>
      <c r="CX574" s="14"/>
      <c r="CY574" s="14"/>
      <c r="CZ574" s="14"/>
      <c r="DA574" s="14"/>
      <c r="DB574" s="14"/>
      <c r="DC574" s="14"/>
      <c r="DD574" s="14"/>
      <c r="DE574" s="14"/>
      <c r="DF574" s="14"/>
      <c r="DG574" s="14"/>
      <c r="DH574" s="14"/>
      <c r="DI574" s="14"/>
      <c r="DJ574" s="14"/>
      <c r="DK574" s="14"/>
      <c r="DL574" s="14"/>
      <c r="DM574" s="14"/>
      <c r="DN574" s="14"/>
      <c r="DO574" s="14"/>
      <c r="DP574" s="14"/>
      <c r="DQ574" s="14"/>
      <c r="DR574" s="14"/>
      <c r="DS574" s="14"/>
      <c r="DT574" s="14"/>
      <c r="DU574" s="14"/>
      <c r="DV574" s="14"/>
      <c r="DW574" s="14"/>
      <c r="DX574" s="14"/>
      <c r="DY574" s="14"/>
      <c r="DZ574" s="14"/>
      <c r="EA574" s="14"/>
      <c r="EB574" s="14"/>
      <c r="EC574" s="14"/>
      <c r="ED574" s="14"/>
      <c r="EE574" s="14"/>
      <c r="EF574" s="14"/>
      <c r="EG574" s="14"/>
      <c r="EH574" s="14"/>
      <c r="EI574" s="14"/>
      <c r="EJ574" s="14"/>
      <c r="EK574" s="14"/>
      <c r="EL574" s="14"/>
    </row>
    <row r="575" spans="2:142" hidden="1" x14ac:dyDescent="0.2">
      <c r="B575" s="905">
        <v>62</v>
      </c>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4"/>
      <c r="BB575" s="14"/>
      <c r="BC575" s="14"/>
      <c r="BD575" s="14"/>
      <c r="BE575" s="14"/>
      <c r="BF575" s="14"/>
      <c r="BG575" s="14"/>
      <c r="BH575" s="14"/>
      <c r="BI575" s="14"/>
      <c r="BJ575" s="14"/>
      <c r="BK575" s="14"/>
      <c r="BL575" s="14"/>
      <c r="BM575" s="14"/>
      <c r="BN575" s="14"/>
      <c r="BO575" s="14"/>
      <c r="BP575" s="14"/>
      <c r="BQ575" s="14"/>
      <c r="BR575" s="14"/>
      <c r="BS575" s="14"/>
      <c r="BT575" s="14"/>
      <c r="BU575" s="14"/>
      <c r="BV575" s="14"/>
      <c r="BW575" s="14"/>
      <c r="BX575" s="14"/>
      <c r="BY575" s="14"/>
      <c r="BZ575" s="14"/>
      <c r="CA575" s="14"/>
      <c r="CB575" s="14"/>
      <c r="CC575" s="14"/>
      <c r="CD575" s="14"/>
      <c r="CE575" s="14"/>
      <c r="CF575" s="14"/>
      <c r="CG575" s="14"/>
      <c r="CH575" s="14"/>
      <c r="CI575" s="14"/>
      <c r="CJ575" s="14"/>
      <c r="CK575" s="14"/>
      <c r="CL575" s="14"/>
      <c r="CM575" s="14"/>
      <c r="CN575" s="14"/>
      <c r="CO575" s="14"/>
      <c r="CP575" s="14"/>
      <c r="CQ575" s="14"/>
      <c r="CR575" s="14"/>
      <c r="CS575" s="14"/>
      <c r="CT575" s="14"/>
      <c r="CU575" s="14"/>
      <c r="CV575" s="14"/>
      <c r="CW575" s="14"/>
      <c r="CX575" s="14"/>
      <c r="CY575" s="14"/>
      <c r="CZ575" s="14"/>
      <c r="DA575" s="14"/>
      <c r="DB575" s="14"/>
      <c r="DC575" s="14"/>
      <c r="DD575" s="14"/>
      <c r="DE575" s="14"/>
      <c r="DF575" s="14"/>
      <c r="DG575" s="14"/>
      <c r="DH575" s="14"/>
      <c r="DI575" s="14"/>
      <c r="DJ575" s="14"/>
      <c r="DK575" s="14"/>
      <c r="DL575" s="14"/>
      <c r="DM575" s="14"/>
      <c r="DN575" s="14"/>
      <c r="DO575" s="14"/>
      <c r="DP575" s="14"/>
      <c r="DQ575" s="14"/>
      <c r="DR575" s="14"/>
      <c r="DS575" s="14"/>
      <c r="DT575" s="14"/>
      <c r="DU575" s="14"/>
      <c r="DV575" s="14"/>
      <c r="DW575" s="14"/>
      <c r="DX575" s="14"/>
      <c r="DY575" s="14"/>
      <c r="DZ575" s="14"/>
      <c r="EA575" s="14"/>
      <c r="EB575" s="14"/>
      <c r="EC575" s="14"/>
      <c r="ED575" s="14"/>
      <c r="EE575" s="14"/>
      <c r="EF575" s="14"/>
      <c r="EG575" s="14"/>
      <c r="EH575" s="14"/>
      <c r="EI575" s="14"/>
      <c r="EJ575" s="14"/>
      <c r="EK575" s="14"/>
      <c r="EL575" s="14"/>
    </row>
    <row r="576" spans="2:142" hidden="1" x14ac:dyDescent="0.2">
      <c r="B576" s="905">
        <v>63</v>
      </c>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4"/>
      <c r="BB576" s="14"/>
      <c r="BC576" s="14"/>
      <c r="BD576" s="14"/>
      <c r="BE576" s="14"/>
      <c r="BF576" s="14"/>
      <c r="BG576" s="14"/>
      <c r="BH576" s="14"/>
      <c r="BI576" s="14"/>
      <c r="BJ576" s="14"/>
      <c r="BK576" s="14"/>
      <c r="BL576" s="14"/>
      <c r="BM576" s="14"/>
      <c r="BN576" s="14"/>
      <c r="BO576" s="14"/>
      <c r="BP576" s="14"/>
      <c r="BQ576" s="14"/>
      <c r="BR576" s="14"/>
      <c r="BS576" s="14"/>
      <c r="BT576" s="14"/>
      <c r="BU576" s="14"/>
      <c r="BV576" s="14"/>
      <c r="BW576" s="14"/>
      <c r="BX576" s="14"/>
      <c r="BY576" s="14"/>
      <c r="BZ576" s="14"/>
      <c r="CA576" s="14"/>
      <c r="CB576" s="14"/>
      <c r="CC576" s="14"/>
      <c r="CD576" s="14"/>
      <c r="CE576" s="14"/>
      <c r="CF576" s="14"/>
      <c r="CG576" s="14"/>
      <c r="CH576" s="14"/>
      <c r="CI576" s="14"/>
      <c r="CJ576" s="14"/>
      <c r="CK576" s="14"/>
      <c r="CL576" s="14"/>
      <c r="CM576" s="14"/>
      <c r="CN576" s="14"/>
      <c r="CO576" s="14"/>
      <c r="CP576" s="14"/>
      <c r="CQ576" s="14"/>
      <c r="CR576" s="14"/>
      <c r="CS576" s="14"/>
      <c r="CT576" s="14"/>
      <c r="CU576" s="14"/>
      <c r="CV576" s="14"/>
      <c r="CW576" s="14"/>
      <c r="CX576" s="14"/>
      <c r="CY576" s="14"/>
      <c r="CZ576" s="14"/>
      <c r="DA576" s="14"/>
      <c r="DB576" s="14"/>
      <c r="DC576" s="14"/>
      <c r="DD576" s="14"/>
      <c r="DE576" s="14"/>
      <c r="DF576" s="14"/>
      <c r="DG576" s="14"/>
      <c r="DH576" s="14"/>
      <c r="DI576" s="14"/>
      <c r="DJ576" s="14"/>
      <c r="DK576" s="14"/>
      <c r="DL576" s="14"/>
      <c r="DM576" s="14"/>
      <c r="DN576" s="14"/>
      <c r="DO576" s="14"/>
      <c r="DP576" s="14"/>
      <c r="DQ576" s="14"/>
      <c r="DR576" s="14"/>
      <c r="DS576" s="14"/>
      <c r="DT576" s="14"/>
      <c r="DU576" s="14"/>
      <c r="DV576" s="14"/>
      <c r="DW576" s="14"/>
      <c r="DX576" s="14"/>
      <c r="DY576" s="14"/>
      <c r="DZ576" s="14"/>
      <c r="EA576" s="14"/>
      <c r="EB576" s="14"/>
      <c r="EC576" s="14"/>
      <c r="ED576" s="14"/>
      <c r="EE576" s="14"/>
      <c r="EF576" s="14"/>
      <c r="EG576" s="14"/>
      <c r="EH576" s="14"/>
      <c r="EI576" s="14"/>
      <c r="EJ576" s="14"/>
      <c r="EK576" s="14"/>
      <c r="EL576" s="14"/>
    </row>
    <row r="577" spans="2:142" hidden="1" x14ac:dyDescent="0.2">
      <c r="B577" s="905">
        <v>64</v>
      </c>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4"/>
      <c r="BB577" s="14"/>
      <c r="BC577" s="14"/>
      <c r="BD577" s="14"/>
      <c r="BE577" s="14"/>
      <c r="BF577" s="14"/>
      <c r="BG577" s="14"/>
      <c r="BH577" s="14"/>
      <c r="BI577" s="14"/>
      <c r="BJ577" s="14"/>
      <c r="BK577" s="14"/>
      <c r="BL577" s="14"/>
      <c r="BM577" s="14"/>
      <c r="BN577" s="14"/>
      <c r="BO577" s="14"/>
      <c r="BP577" s="14"/>
      <c r="BQ577" s="14"/>
      <c r="BR577" s="14"/>
      <c r="BS577" s="14"/>
      <c r="BT577" s="14"/>
      <c r="BU577" s="14"/>
      <c r="BV577" s="14"/>
      <c r="BW577" s="14"/>
      <c r="BX577" s="14"/>
      <c r="BY577" s="14"/>
      <c r="BZ577" s="14"/>
      <c r="CA577" s="14"/>
      <c r="CB577" s="14"/>
      <c r="CC577" s="14"/>
      <c r="CD577" s="14"/>
      <c r="CE577" s="14"/>
      <c r="CF577" s="14"/>
      <c r="CG577" s="14"/>
      <c r="CH577" s="14"/>
      <c r="CI577" s="14"/>
      <c r="CJ577" s="14"/>
      <c r="CK577" s="14"/>
      <c r="CL577" s="14"/>
      <c r="CM577" s="14"/>
      <c r="CN577" s="14"/>
      <c r="CO577" s="14"/>
      <c r="CP577" s="14"/>
      <c r="CQ577" s="14"/>
      <c r="CR577" s="14"/>
      <c r="CS577" s="14"/>
      <c r="CT577" s="14"/>
      <c r="CU577" s="14"/>
      <c r="CV577" s="14"/>
      <c r="CW577" s="14"/>
      <c r="CX577" s="14"/>
      <c r="CY577" s="14"/>
      <c r="CZ577" s="14"/>
      <c r="DA577" s="14"/>
      <c r="DB577" s="14"/>
      <c r="DC577" s="14"/>
      <c r="DD577" s="14"/>
      <c r="DE577" s="14"/>
      <c r="DF577" s="14"/>
      <c r="DG577" s="14"/>
      <c r="DH577" s="14"/>
      <c r="DI577" s="14"/>
      <c r="DJ577" s="14"/>
      <c r="DK577" s="14"/>
      <c r="DL577" s="14"/>
      <c r="DM577" s="14"/>
      <c r="DN577" s="14"/>
      <c r="DO577" s="14"/>
      <c r="DP577" s="14"/>
      <c r="DQ577" s="14"/>
      <c r="DR577" s="14"/>
      <c r="DS577" s="14"/>
      <c r="DT577" s="14"/>
      <c r="DU577" s="14"/>
      <c r="DV577" s="14"/>
      <c r="DW577" s="14"/>
      <c r="DX577" s="14"/>
      <c r="DY577" s="14"/>
      <c r="DZ577" s="14"/>
      <c r="EA577" s="14"/>
      <c r="EB577" s="14"/>
      <c r="EC577" s="14"/>
      <c r="ED577" s="14"/>
      <c r="EE577" s="14"/>
      <c r="EF577" s="14"/>
      <c r="EG577" s="14"/>
      <c r="EH577" s="14"/>
      <c r="EI577" s="14"/>
      <c r="EJ577" s="14"/>
      <c r="EK577" s="14"/>
      <c r="EL577" s="14"/>
    </row>
    <row r="578" spans="2:142" hidden="1" x14ac:dyDescent="0.2">
      <c r="B578" s="905">
        <v>65</v>
      </c>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4"/>
      <c r="BB578" s="14"/>
      <c r="BC578" s="14"/>
      <c r="BD578" s="14"/>
      <c r="BE578" s="14"/>
      <c r="BF578" s="14"/>
      <c r="BG578" s="14"/>
      <c r="BH578" s="14"/>
      <c r="BI578" s="14"/>
      <c r="BJ578" s="14"/>
      <c r="BK578" s="14"/>
      <c r="BL578" s="14"/>
      <c r="BM578" s="14"/>
      <c r="BN578" s="14"/>
      <c r="BO578" s="14"/>
      <c r="BP578" s="14"/>
      <c r="BQ578" s="14"/>
      <c r="BR578" s="14"/>
      <c r="BS578" s="14"/>
      <c r="BT578" s="14"/>
      <c r="BU578" s="14"/>
      <c r="BV578" s="14"/>
      <c r="BW578" s="14"/>
      <c r="BX578" s="14"/>
      <c r="BY578" s="14"/>
      <c r="BZ578" s="14"/>
      <c r="CA578" s="14"/>
      <c r="CB578" s="14"/>
      <c r="CC578" s="14"/>
      <c r="CD578" s="14"/>
      <c r="CE578" s="14"/>
      <c r="CF578" s="14"/>
      <c r="CG578" s="14"/>
      <c r="CH578" s="14"/>
      <c r="CI578" s="14"/>
      <c r="CJ578" s="14"/>
      <c r="CK578" s="14"/>
      <c r="CL578" s="14"/>
      <c r="CM578" s="14"/>
      <c r="CN578" s="14"/>
      <c r="CO578" s="14"/>
      <c r="CP578" s="14"/>
      <c r="CQ578" s="14"/>
      <c r="CR578" s="14"/>
      <c r="CS578" s="14"/>
      <c r="CT578" s="14"/>
      <c r="CU578" s="14"/>
      <c r="CV578" s="14"/>
      <c r="CW578" s="14"/>
      <c r="CX578" s="14"/>
      <c r="CY578" s="14"/>
      <c r="CZ578" s="14"/>
      <c r="DA578" s="14"/>
      <c r="DB578" s="14"/>
      <c r="DC578" s="14"/>
      <c r="DD578" s="14"/>
      <c r="DE578" s="14"/>
      <c r="DF578" s="14"/>
      <c r="DG578" s="14"/>
      <c r="DH578" s="14"/>
      <c r="DI578" s="14"/>
      <c r="DJ578" s="14"/>
      <c r="DK578" s="14"/>
      <c r="DL578" s="14"/>
      <c r="DM578" s="14"/>
      <c r="DN578" s="14"/>
      <c r="DO578" s="14"/>
      <c r="DP578" s="14"/>
      <c r="DQ578" s="14"/>
      <c r="DR578" s="14"/>
      <c r="DS578" s="14"/>
      <c r="DT578" s="14"/>
      <c r="DU578" s="14"/>
      <c r="DV578" s="14"/>
      <c r="DW578" s="14"/>
      <c r="DX578" s="14"/>
      <c r="DY578" s="14"/>
      <c r="DZ578" s="14"/>
      <c r="EA578" s="14"/>
      <c r="EB578" s="14"/>
      <c r="EC578" s="14"/>
      <c r="ED578" s="14"/>
      <c r="EE578" s="14"/>
      <c r="EF578" s="14"/>
      <c r="EG578" s="14"/>
      <c r="EH578" s="14"/>
      <c r="EI578" s="14"/>
      <c r="EJ578" s="14"/>
      <c r="EK578" s="14"/>
      <c r="EL578" s="14"/>
    </row>
    <row r="579" spans="2:142" hidden="1" x14ac:dyDescent="0.2">
      <c r="B579" s="905">
        <v>66</v>
      </c>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4"/>
      <c r="BB579" s="14"/>
      <c r="BC579" s="14"/>
      <c r="BD579" s="14"/>
      <c r="BE579" s="14"/>
      <c r="BF579" s="14"/>
      <c r="BG579" s="14"/>
      <c r="BH579" s="14"/>
      <c r="BI579" s="14"/>
      <c r="BJ579" s="14"/>
      <c r="BK579" s="14"/>
      <c r="BL579" s="14"/>
      <c r="BM579" s="14"/>
      <c r="BN579" s="14"/>
      <c r="BO579" s="14"/>
      <c r="BP579" s="14"/>
      <c r="BQ579" s="14"/>
      <c r="BR579" s="14"/>
      <c r="BS579" s="14"/>
      <c r="BT579" s="14"/>
      <c r="BU579" s="14"/>
      <c r="BV579" s="14"/>
      <c r="BW579" s="14"/>
      <c r="BX579" s="14"/>
      <c r="BY579" s="14"/>
      <c r="BZ579" s="14"/>
      <c r="CA579" s="14"/>
      <c r="CB579" s="14"/>
      <c r="CC579" s="14"/>
      <c r="CD579" s="14"/>
      <c r="CE579" s="14"/>
      <c r="CF579" s="14"/>
      <c r="CG579" s="14"/>
      <c r="CH579" s="14"/>
      <c r="CI579" s="14"/>
      <c r="CJ579" s="14"/>
      <c r="CK579" s="14"/>
      <c r="CL579" s="14"/>
      <c r="CM579" s="14"/>
      <c r="CN579" s="14"/>
      <c r="CO579" s="14"/>
      <c r="CP579" s="14"/>
      <c r="CQ579" s="14"/>
      <c r="CR579" s="14"/>
      <c r="CS579" s="14"/>
      <c r="CT579" s="14"/>
      <c r="CU579" s="14"/>
      <c r="CV579" s="14"/>
      <c r="CW579" s="14"/>
      <c r="CX579" s="14"/>
      <c r="CY579" s="14"/>
      <c r="CZ579" s="14"/>
      <c r="DA579" s="14"/>
      <c r="DB579" s="14"/>
      <c r="DC579" s="14"/>
      <c r="DD579" s="14"/>
      <c r="DE579" s="14"/>
      <c r="DF579" s="14"/>
      <c r="DG579" s="14"/>
      <c r="DH579" s="14"/>
      <c r="DI579" s="14"/>
      <c r="DJ579" s="14"/>
      <c r="DK579" s="14"/>
      <c r="DL579" s="14"/>
      <c r="DM579" s="14"/>
      <c r="DN579" s="14"/>
      <c r="DO579" s="14"/>
      <c r="DP579" s="14"/>
      <c r="DQ579" s="14"/>
      <c r="DR579" s="14"/>
      <c r="DS579" s="14"/>
      <c r="DT579" s="14"/>
      <c r="DU579" s="14"/>
      <c r="DV579" s="14"/>
      <c r="DW579" s="14"/>
      <c r="DX579" s="14"/>
      <c r="DY579" s="14"/>
      <c r="DZ579" s="14"/>
      <c r="EA579" s="14"/>
      <c r="EB579" s="14"/>
      <c r="EC579" s="14"/>
      <c r="ED579" s="14"/>
      <c r="EE579" s="14"/>
      <c r="EF579" s="14"/>
      <c r="EG579" s="14"/>
      <c r="EH579" s="14"/>
      <c r="EI579" s="14"/>
      <c r="EJ579" s="14"/>
      <c r="EK579" s="14"/>
      <c r="EL579" s="14"/>
    </row>
    <row r="580" spans="2:142" hidden="1" x14ac:dyDescent="0.2">
      <c r="B580" s="905">
        <v>67</v>
      </c>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4"/>
      <c r="BB580" s="14"/>
      <c r="BC580" s="14"/>
      <c r="BD580" s="14"/>
      <c r="BE580" s="14"/>
      <c r="BF580" s="14"/>
      <c r="BG580" s="14"/>
      <c r="BH580" s="14"/>
      <c r="BI580" s="14"/>
      <c r="BJ580" s="14"/>
      <c r="BK580" s="14"/>
      <c r="BL580" s="14"/>
      <c r="BM580" s="14"/>
      <c r="BN580" s="14"/>
      <c r="BO580" s="14"/>
      <c r="BP580" s="14"/>
      <c r="BQ580" s="14"/>
      <c r="BR580" s="14"/>
      <c r="BS580" s="14"/>
      <c r="BT580" s="14"/>
      <c r="BU580" s="14"/>
      <c r="BV580" s="14"/>
      <c r="BW580" s="14"/>
      <c r="BX580" s="14"/>
      <c r="BY580" s="14"/>
      <c r="BZ580" s="14"/>
      <c r="CA580" s="14"/>
      <c r="CB580" s="14"/>
      <c r="CC580" s="14"/>
      <c r="CD580" s="14"/>
      <c r="CE580" s="14"/>
      <c r="CF580" s="14"/>
      <c r="CG580" s="14"/>
      <c r="CH580" s="14"/>
      <c r="CI580" s="14"/>
      <c r="CJ580" s="14"/>
      <c r="CK580" s="14"/>
      <c r="CL580" s="14"/>
      <c r="CM580" s="14"/>
      <c r="CN580" s="14"/>
      <c r="CO580" s="14"/>
      <c r="CP580" s="14"/>
      <c r="CQ580" s="14"/>
      <c r="CR580" s="14"/>
      <c r="CS580" s="14"/>
      <c r="CT580" s="14"/>
      <c r="CU580" s="14"/>
      <c r="CV580" s="14"/>
      <c r="CW580" s="14"/>
      <c r="CX580" s="14"/>
      <c r="CY580" s="14"/>
      <c r="CZ580" s="14"/>
      <c r="DA580" s="14"/>
      <c r="DB580" s="14"/>
      <c r="DC580" s="14"/>
      <c r="DD580" s="14"/>
      <c r="DE580" s="14"/>
      <c r="DF580" s="14"/>
      <c r="DG580" s="14"/>
      <c r="DH580" s="14"/>
      <c r="DI580" s="14"/>
      <c r="DJ580" s="14"/>
      <c r="DK580" s="14"/>
      <c r="DL580" s="14"/>
      <c r="DM580" s="14"/>
      <c r="DN580" s="14"/>
      <c r="DO580" s="14"/>
      <c r="DP580" s="14"/>
      <c r="DQ580" s="14"/>
      <c r="DR580" s="14"/>
      <c r="DS580" s="14"/>
      <c r="DT580" s="14"/>
      <c r="DU580" s="14"/>
      <c r="DV580" s="14"/>
      <c r="DW580" s="14"/>
      <c r="DX580" s="14"/>
      <c r="DY580" s="14"/>
      <c r="DZ580" s="14"/>
      <c r="EA580" s="14"/>
      <c r="EB580" s="14"/>
      <c r="EC580" s="14"/>
      <c r="ED580" s="14"/>
      <c r="EE580" s="14"/>
      <c r="EF580" s="14"/>
      <c r="EG580" s="14"/>
      <c r="EH580" s="14"/>
      <c r="EI580" s="14"/>
      <c r="EJ580" s="14"/>
      <c r="EK580" s="14"/>
      <c r="EL580" s="14"/>
    </row>
    <row r="581" spans="2:142" hidden="1" x14ac:dyDescent="0.2">
      <c r="B581" s="905">
        <v>68</v>
      </c>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4"/>
      <c r="BB581" s="14"/>
      <c r="BC581" s="14"/>
      <c r="BD581" s="14"/>
      <c r="BE581" s="14"/>
      <c r="BF581" s="14"/>
      <c r="BG581" s="14"/>
      <c r="BH581" s="14"/>
      <c r="BI581" s="14"/>
      <c r="BJ581" s="14"/>
      <c r="BK581" s="14"/>
      <c r="BL581" s="14"/>
      <c r="BM581" s="14"/>
      <c r="BN581" s="14"/>
      <c r="BO581" s="14"/>
      <c r="BP581" s="14"/>
      <c r="BQ581" s="14"/>
      <c r="BR581" s="14"/>
      <c r="BS581" s="14"/>
      <c r="BT581" s="14"/>
      <c r="BU581" s="14"/>
      <c r="BV581" s="14"/>
      <c r="BW581" s="14"/>
      <c r="BX581" s="14"/>
      <c r="BY581" s="14"/>
      <c r="BZ581" s="14"/>
      <c r="CA581" s="14"/>
      <c r="CB581" s="14"/>
      <c r="CC581" s="14"/>
      <c r="CD581" s="14"/>
      <c r="CE581" s="14"/>
      <c r="CF581" s="14"/>
      <c r="CG581" s="14"/>
      <c r="CH581" s="14"/>
      <c r="CI581" s="14"/>
      <c r="CJ581" s="14"/>
      <c r="CK581" s="14"/>
      <c r="CL581" s="14"/>
      <c r="CM581" s="14"/>
      <c r="CN581" s="14"/>
      <c r="CO581" s="14"/>
      <c r="CP581" s="14"/>
      <c r="CQ581" s="14"/>
      <c r="CR581" s="14"/>
      <c r="CS581" s="14"/>
      <c r="CT581" s="14"/>
      <c r="CU581" s="14"/>
      <c r="CV581" s="14"/>
      <c r="CW581" s="14"/>
      <c r="CX581" s="14"/>
      <c r="CY581" s="14"/>
      <c r="CZ581" s="14"/>
      <c r="DA581" s="14"/>
      <c r="DB581" s="14"/>
      <c r="DC581" s="14"/>
      <c r="DD581" s="14"/>
      <c r="DE581" s="14"/>
      <c r="DF581" s="14"/>
      <c r="DG581" s="14"/>
      <c r="DH581" s="14"/>
      <c r="DI581" s="14"/>
      <c r="DJ581" s="14"/>
      <c r="DK581" s="14"/>
      <c r="DL581" s="14"/>
      <c r="DM581" s="14"/>
      <c r="DN581" s="14"/>
      <c r="DO581" s="14"/>
      <c r="DP581" s="14"/>
      <c r="DQ581" s="14"/>
      <c r="DR581" s="14"/>
      <c r="DS581" s="14"/>
      <c r="DT581" s="14"/>
      <c r="DU581" s="14"/>
      <c r="DV581" s="14"/>
      <c r="DW581" s="14"/>
      <c r="DX581" s="14"/>
      <c r="DY581" s="14"/>
      <c r="DZ581" s="14"/>
      <c r="EA581" s="14"/>
      <c r="EB581" s="14"/>
      <c r="EC581" s="14"/>
      <c r="ED581" s="14"/>
      <c r="EE581" s="14"/>
      <c r="EF581" s="14"/>
      <c r="EG581" s="14"/>
      <c r="EH581" s="14"/>
      <c r="EI581" s="14"/>
      <c r="EJ581" s="14"/>
      <c r="EK581" s="14"/>
      <c r="EL581" s="14"/>
    </row>
    <row r="582" spans="2:142" hidden="1" x14ac:dyDescent="0.2">
      <c r="B582" s="905">
        <v>69</v>
      </c>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4"/>
      <c r="BB582" s="14"/>
      <c r="BC582" s="14"/>
      <c r="BD582" s="14"/>
      <c r="BE582" s="14"/>
      <c r="BF582" s="14"/>
      <c r="BG582" s="14"/>
      <c r="BH582" s="14"/>
      <c r="BI582" s="14"/>
      <c r="BJ582" s="14"/>
      <c r="BK582" s="14"/>
      <c r="BL582" s="14"/>
      <c r="BM582" s="14"/>
      <c r="BN582" s="14"/>
      <c r="BO582" s="14"/>
      <c r="BP582" s="14"/>
      <c r="BQ582" s="14"/>
      <c r="BR582" s="14"/>
      <c r="BS582" s="14"/>
      <c r="BT582" s="14"/>
      <c r="BU582" s="14"/>
      <c r="BV582" s="14"/>
      <c r="BW582" s="14"/>
      <c r="BX582" s="14"/>
      <c r="BY582" s="14"/>
      <c r="BZ582" s="14"/>
      <c r="CA582" s="14"/>
      <c r="CB582" s="14"/>
      <c r="CC582" s="14"/>
      <c r="CD582" s="14"/>
      <c r="CE582" s="14"/>
      <c r="CF582" s="14"/>
      <c r="CG582" s="14"/>
      <c r="CH582" s="14"/>
      <c r="CI582" s="14"/>
      <c r="CJ582" s="14"/>
      <c r="CK582" s="14"/>
      <c r="CL582" s="14"/>
      <c r="CM582" s="14"/>
      <c r="CN582" s="14"/>
      <c r="CO582" s="14"/>
      <c r="CP582" s="14"/>
      <c r="CQ582" s="14"/>
      <c r="CR582" s="14"/>
      <c r="CS582" s="14"/>
      <c r="CT582" s="14"/>
      <c r="CU582" s="14"/>
      <c r="CV582" s="14"/>
      <c r="CW582" s="14"/>
      <c r="CX582" s="14"/>
      <c r="CY582" s="14"/>
      <c r="CZ582" s="14"/>
      <c r="DA582" s="14"/>
      <c r="DB582" s="14"/>
      <c r="DC582" s="14"/>
      <c r="DD582" s="14"/>
      <c r="DE582" s="14"/>
      <c r="DF582" s="14"/>
      <c r="DG582" s="14"/>
      <c r="DH582" s="14"/>
      <c r="DI582" s="14"/>
      <c r="DJ582" s="14"/>
      <c r="DK582" s="14"/>
      <c r="DL582" s="14"/>
      <c r="DM582" s="14"/>
      <c r="DN582" s="14"/>
      <c r="DO582" s="14"/>
      <c r="DP582" s="14"/>
      <c r="DQ582" s="14"/>
      <c r="DR582" s="14"/>
      <c r="DS582" s="14"/>
      <c r="DT582" s="14"/>
      <c r="DU582" s="14"/>
      <c r="DV582" s="14"/>
      <c r="DW582" s="14"/>
      <c r="DX582" s="14"/>
      <c r="DY582" s="14"/>
      <c r="DZ582" s="14"/>
      <c r="EA582" s="14"/>
      <c r="EB582" s="14"/>
      <c r="EC582" s="14"/>
      <c r="ED582" s="14"/>
      <c r="EE582" s="14"/>
      <c r="EF582" s="14"/>
      <c r="EG582" s="14"/>
      <c r="EH582" s="14"/>
      <c r="EI582" s="14"/>
      <c r="EJ582" s="14"/>
      <c r="EK582" s="14"/>
      <c r="EL582" s="14"/>
    </row>
    <row r="583" spans="2:142" hidden="1" x14ac:dyDescent="0.2">
      <c r="B583" s="905">
        <v>70</v>
      </c>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4"/>
      <c r="BB583" s="14"/>
      <c r="BC583" s="14"/>
      <c r="BD583" s="14"/>
      <c r="BE583" s="14"/>
      <c r="BF583" s="14"/>
      <c r="BG583" s="14"/>
      <c r="BH583" s="14"/>
      <c r="BI583" s="14"/>
      <c r="BJ583" s="14"/>
      <c r="BK583" s="14"/>
      <c r="BL583" s="14"/>
      <c r="BM583" s="14"/>
      <c r="BN583" s="14"/>
      <c r="BO583" s="14"/>
      <c r="BP583" s="14"/>
      <c r="BQ583" s="14"/>
      <c r="BR583" s="14"/>
      <c r="BS583" s="14"/>
      <c r="BT583" s="14"/>
      <c r="BU583" s="14"/>
      <c r="BV583" s="14"/>
      <c r="BW583" s="14"/>
      <c r="BX583" s="14"/>
      <c r="BY583" s="14"/>
      <c r="BZ583" s="14"/>
      <c r="CA583" s="14"/>
      <c r="CB583" s="14"/>
      <c r="CC583" s="14"/>
      <c r="CD583" s="14"/>
      <c r="CE583" s="14"/>
      <c r="CF583" s="14"/>
      <c r="CG583" s="14"/>
      <c r="CH583" s="14"/>
      <c r="CI583" s="14"/>
      <c r="CJ583" s="14"/>
      <c r="CK583" s="14"/>
      <c r="CL583" s="14"/>
      <c r="CM583" s="14"/>
      <c r="CN583" s="14"/>
      <c r="CO583" s="14"/>
      <c r="CP583" s="14"/>
      <c r="CQ583" s="14"/>
      <c r="CR583" s="14"/>
      <c r="CS583" s="14"/>
      <c r="CT583" s="14"/>
      <c r="CU583" s="14"/>
      <c r="CV583" s="14"/>
      <c r="CW583" s="14"/>
      <c r="CX583" s="14"/>
      <c r="CY583" s="14"/>
      <c r="CZ583" s="14"/>
      <c r="DA583" s="14"/>
      <c r="DB583" s="14"/>
      <c r="DC583" s="14"/>
      <c r="DD583" s="14"/>
      <c r="DE583" s="14"/>
      <c r="DF583" s="14"/>
      <c r="DG583" s="14"/>
      <c r="DH583" s="14"/>
      <c r="DI583" s="14"/>
      <c r="DJ583" s="14"/>
      <c r="DK583" s="14"/>
      <c r="DL583" s="14"/>
      <c r="DM583" s="14"/>
      <c r="DN583" s="14"/>
      <c r="DO583" s="14"/>
      <c r="DP583" s="14"/>
      <c r="DQ583" s="14"/>
      <c r="DR583" s="14"/>
      <c r="DS583" s="14"/>
      <c r="DT583" s="14"/>
      <c r="DU583" s="14"/>
      <c r="DV583" s="14"/>
      <c r="DW583" s="14"/>
      <c r="DX583" s="14"/>
      <c r="DY583" s="14"/>
      <c r="DZ583" s="14"/>
      <c r="EA583" s="14"/>
      <c r="EB583" s="14"/>
      <c r="EC583" s="14"/>
      <c r="ED583" s="14"/>
      <c r="EE583" s="14"/>
      <c r="EF583" s="14"/>
      <c r="EG583" s="14"/>
      <c r="EH583" s="14"/>
      <c r="EI583" s="14"/>
      <c r="EJ583" s="14"/>
      <c r="EK583" s="14"/>
      <c r="EL583" s="14"/>
    </row>
    <row r="584" spans="2:142" hidden="1" x14ac:dyDescent="0.2">
      <c r="B584" s="905">
        <v>71</v>
      </c>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4"/>
      <c r="BB584" s="14"/>
      <c r="BC584" s="14"/>
      <c r="BD584" s="14"/>
      <c r="BE584" s="14"/>
      <c r="BF584" s="14"/>
      <c r="BG584" s="14"/>
      <c r="BH584" s="14"/>
      <c r="BI584" s="14"/>
      <c r="BJ584" s="14"/>
      <c r="BK584" s="14"/>
      <c r="BL584" s="14"/>
      <c r="BM584" s="14"/>
      <c r="BN584" s="14"/>
      <c r="BO584" s="14"/>
      <c r="BP584" s="14"/>
      <c r="BQ584" s="14"/>
      <c r="BR584" s="14"/>
      <c r="BS584" s="14"/>
      <c r="BT584" s="14"/>
      <c r="BU584" s="14"/>
      <c r="BV584" s="14"/>
      <c r="BW584" s="14"/>
      <c r="BX584" s="14"/>
      <c r="BY584" s="14"/>
      <c r="BZ584" s="14"/>
      <c r="CA584" s="14"/>
      <c r="CB584" s="14"/>
      <c r="CC584" s="14"/>
      <c r="CD584" s="14"/>
      <c r="CE584" s="14"/>
      <c r="CF584" s="14"/>
      <c r="CG584" s="14"/>
      <c r="CH584" s="14"/>
      <c r="CI584" s="14"/>
      <c r="CJ584" s="14"/>
      <c r="CK584" s="14"/>
      <c r="CL584" s="14"/>
      <c r="CM584" s="14"/>
      <c r="CN584" s="14"/>
      <c r="CO584" s="14"/>
      <c r="CP584" s="14"/>
      <c r="CQ584" s="14"/>
      <c r="CR584" s="14"/>
      <c r="CS584" s="14"/>
      <c r="CT584" s="14"/>
      <c r="CU584" s="14"/>
      <c r="CV584" s="14"/>
      <c r="CW584" s="14"/>
      <c r="CX584" s="14"/>
      <c r="CY584" s="14"/>
      <c r="CZ584" s="14"/>
      <c r="DA584" s="14"/>
      <c r="DB584" s="14"/>
      <c r="DC584" s="14"/>
      <c r="DD584" s="14"/>
      <c r="DE584" s="14"/>
      <c r="DF584" s="14"/>
      <c r="DG584" s="14"/>
      <c r="DH584" s="14"/>
      <c r="DI584" s="14"/>
      <c r="DJ584" s="14"/>
      <c r="DK584" s="14"/>
      <c r="DL584" s="14"/>
      <c r="DM584" s="14"/>
      <c r="DN584" s="14"/>
      <c r="DO584" s="14"/>
      <c r="DP584" s="14"/>
      <c r="DQ584" s="14"/>
      <c r="DR584" s="14"/>
      <c r="DS584" s="14"/>
      <c r="DT584" s="14"/>
      <c r="DU584" s="14"/>
      <c r="DV584" s="14"/>
      <c r="DW584" s="14"/>
      <c r="DX584" s="14"/>
      <c r="DY584" s="14"/>
      <c r="DZ584" s="14"/>
      <c r="EA584" s="14"/>
      <c r="EB584" s="14"/>
      <c r="EC584" s="14"/>
      <c r="ED584" s="14"/>
      <c r="EE584" s="14"/>
      <c r="EF584" s="14"/>
      <c r="EG584" s="14"/>
      <c r="EH584" s="14"/>
      <c r="EI584" s="14"/>
      <c r="EJ584" s="14"/>
      <c r="EK584" s="14"/>
      <c r="EL584" s="14"/>
    </row>
    <row r="585" spans="2:142" hidden="1" x14ac:dyDescent="0.2">
      <c r="B585" s="905">
        <v>72</v>
      </c>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4"/>
      <c r="BB585" s="14"/>
      <c r="BC585" s="14"/>
      <c r="BD585" s="14"/>
      <c r="BE585" s="14"/>
      <c r="BF585" s="14"/>
      <c r="BG585" s="14"/>
      <c r="BH585" s="14"/>
      <c r="BI585" s="14"/>
      <c r="BJ585" s="14"/>
      <c r="BK585" s="14"/>
      <c r="BL585" s="14"/>
      <c r="BM585" s="14"/>
      <c r="BN585" s="14"/>
      <c r="BO585" s="14"/>
      <c r="BP585" s="14"/>
      <c r="BQ585" s="14"/>
      <c r="BR585" s="14"/>
      <c r="BS585" s="14"/>
      <c r="BT585" s="14"/>
      <c r="BU585" s="14"/>
      <c r="BV585" s="14"/>
      <c r="BW585" s="14"/>
      <c r="BX585" s="14"/>
      <c r="BY585" s="14"/>
      <c r="BZ585" s="14"/>
      <c r="CA585" s="14"/>
      <c r="CB585" s="14"/>
      <c r="CC585" s="14"/>
      <c r="CD585" s="14"/>
      <c r="CE585" s="14"/>
      <c r="CF585" s="14"/>
      <c r="CG585" s="14"/>
      <c r="CH585" s="14"/>
      <c r="CI585" s="14"/>
      <c r="CJ585" s="14"/>
      <c r="CK585" s="14"/>
      <c r="CL585" s="14"/>
      <c r="CM585" s="14"/>
      <c r="CN585" s="14"/>
      <c r="CO585" s="14"/>
      <c r="CP585" s="14"/>
      <c r="CQ585" s="14"/>
      <c r="CR585" s="14"/>
      <c r="CS585" s="14"/>
      <c r="CT585" s="14"/>
      <c r="CU585" s="14"/>
      <c r="CV585" s="14"/>
      <c r="CW585" s="14"/>
      <c r="CX585" s="14"/>
      <c r="CY585" s="14"/>
      <c r="CZ585" s="14"/>
      <c r="DA585" s="14"/>
      <c r="DB585" s="14"/>
      <c r="DC585" s="14"/>
      <c r="DD585" s="14"/>
      <c r="DE585" s="14"/>
      <c r="DF585" s="14"/>
      <c r="DG585" s="14"/>
      <c r="DH585" s="14"/>
      <c r="DI585" s="14"/>
      <c r="DJ585" s="14"/>
      <c r="DK585" s="14"/>
      <c r="DL585" s="14"/>
      <c r="DM585" s="14"/>
      <c r="DN585" s="14"/>
      <c r="DO585" s="14"/>
      <c r="DP585" s="14"/>
      <c r="DQ585" s="14"/>
      <c r="DR585" s="14"/>
      <c r="DS585" s="14"/>
      <c r="DT585" s="14"/>
      <c r="DU585" s="14"/>
      <c r="DV585" s="14"/>
      <c r="DW585" s="14"/>
      <c r="DX585" s="14"/>
      <c r="DY585" s="14"/>
      <c r="DZ585" s="14"/>
      <c r="EA585" s="14"/>
      <c r="EB585" s="14"/>
      <c r="EC585" s="14"/>
      <c r="ED585" s="14"/>
      <c r="EE585" s="14"/>
      <c r="EF585" s="14"/>
      <c r="EG585" s="14"/>
      <c r="EH585" s="14"/>
      <c r="EI585" s="14"/>
      <c r="EJ585" s="14"/>
      <c r="EK585" s="14"/>
      <c r="EL585" s="14"/>
    </row>
    <row r="586" spans="2:142" hidden="1" x14ac:dyDescent="0.2">
      <c r="B586" s="905">
        <v>73</v>
      </c>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4"/>
      <c r="BB586" s="14"/>
      <c r="BC586" s="14"/>
      <c r="BD586" s="14"/>
      <c r="BE586" s="14"/>
      <c r="BF586" s="14"/>
      <c r="BG586" s="14"/>
      <c r="BH586" s="14"/>
      <c r="BI586" s="14"/>
      <c r="BJ586" s="14"/>
      <c r="BK586" s="14"/>
      <c r="BL586" s="14"/>
      <c r="BM586" s="14"/>
      <c r="BN586" s="14"/>
      <c r="BO586" s="14"/>
      <c r="BP586" s="14"/>
      <c r="BQ586" s="14"/>
      <c r="BR586" s="14"/>
      <c r="BS586" s="14"/>
      <c r="BT586" s="14"/>
      <c r="BU586" s="14"/>
      <c r="BV586" s="14"/>
      <c r="BW586" s="14"/>
      <c r="BX586" s="14"/>
      <c r="BY586" s="14"/>
      <c r="BZ586" s="14"/>
      <c r="CA586" s="14"/>
      <c r="CB586" s="14"/>
      <c r="CC586" s="14"/>
      <c r="CD586" s="14"/>
      <c r="CE586" s="14"/>
      <c r="CF586" s="14"/>
      <c r="CG586" s="14"/>
      <c r="CH586" s="14"/>
      <c r="CI586" s="14"/>
      <c r="CJ586" s="14"/>
      <c r="CK586" s="14"/>
      <c r="CL586" s="14"/>
      <c r="CM586" s="14"/>
      <c r="CN586" s="14"/>
      <c r="CO586" s="14"/>
      <c r="CP586" s="14"/>
      <c r="CQ586" s="14"/>
      <c r="CR586" s="14"/>
      <c r="CS586" s="14"/>
      <c r="CT586" s="14"/>
      <c r="CU586" s="14"/>
      <c r="CV586" s="14"/>
      <c r="CW586" s="14"/>
      <c r="CX586" s="14"/>
      <c r="CY586" s="14"/>
      <c r="CZ586" s="14"/>
      <c r="DA586" s="14"/>
      <c r="DB586" s="14"/>
      <c r="DC586" s="14"/>
      <c r="DD586" s="14"/>
      <c r="DE586" s="14"/>
      <c r="DF586" s="14"/>
      <c r="DG586" s="14"/>
      <c r="DH586" s="14"/>
      <c r="DI586" s="14"/>
      <c r="DJ586" s="14"/>
      <c r="DK586" s="14"/>
      <c r="DL586" s="14"/>
      <c r="DM586" s="14"/>
      <c r="DN586" s="14"/>
      <c r="DO586" s="14"/>
      <c r="DP586" s="14"/>
      <c r="DQ586" s="14"/>
      <c r="DR586" s="14"/>
      <c r="DS586" s="14"/>
      <c r="DT586" s="14"/>
      <c r="DU586" s="14"/>
      <c r="DV586" s="14"/>
      <c r="DW586" s="14"/>
      <c r="DX586" s="14"/>
      <c r="DY586" s="14"/>
      <c r="DZ586" s="14"/>
      <c r="EA586" s="14"/>
      <c r="EB586" s="14"/>
      <c r="EC586" s="14"/>
      <c r="ED586" s="14"/>
      <c r="EE586" s="14"/>
      <c r="EF586" s="14"/>
      <c r="EG586" s="14"/>
      <c r="EH586" s="14"/>
      <c r="EI586" s="14"/>
      <c r="EJ586" s="14"/>
      <c r="EK586" s="14"/>
      <c r="EL586" s="14"/>
    </row>
    <row r="587" spans="2:142" hidden="1" x14ac:dyDescent="0.2">
      <c r="B587" s="905">
        <v>74</v>
      </c>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4"/>
      <c r="BB587" s="14"/>
      <c r="BC587" s="14"/>
      <c r="BD587" s="14"/>
      <c r="BE587" s="14"/>
      <c r="BF587" s="14"/>
      <c r="BG587" s="14"/>
      <c r="BH587" s="14"/>
      <c r="BI587" s="14"/>
      <c r="BJ587" s="14"/>
      <c r="BK587" s="14"/>
      <c r="BL587" s="14"/>
      <c r="BM587" s="14"/>
      <c r="BN587" s="14"/>
      <c r="BO587" s="14"/>
      <c r="BP587" s="14"/>
      <c r="BQ587" s="14"/>
      <c r="BR587" s="14"/>
      <c r="BS587" s="14"/>
      <c r="BT587" s="14"/>
      <c r="BU587" s="14"/>
      <c r="BV587" s="14"/>
      <c r="BW587" s="14"/>
      <c r="BX587" s="14"/>
      <c r="BY587" s="14"/>
      <c r="BZ587" s="14"/>
      <c r="CA587" s="14"/>
      <c r="CB587" s="14"/>
      <c r="CC587" s="14"/>
      <c r="CD587" s="14"/>
      <c r="CE587" s="14"/>
      <c r="CF587" s="14"/>
      <c r="CG587" s="14"/>
      <c r="CH587" s="14"/>
      <c r="CI587" s="14"/>
      <c r="CJ587" s="14"/>
      <c r="CK587" s="14"/>
      <c r="CL587" s="14"/>
      <c r="CM587" s="14"/>
      <c r="CN587" s="14"/>
      <c r="CO587" s="14"/>
      <c r="CP587" s="14"/>
      <c r="CQ587" s="14"/>
      <c r="CR587" s="14"/>
      <c r="CS587" s="14"/>
      <c r="CT587" s="14"/>
      <c r="CU587" s="14"/>
      <c r="CV587" s="14"/>
      <c r="CW587" s="14"/>
      <c r="CX587" s="14"/>
      <c r="CY587" s="14"/>
      <c r="CZ587" s="14"/>
      <c r="DA587" s="14"/>
      <c r="DB587" s="14"/>
      <c r="DC587" s="14"/>
      <c r="DD587" s="14"/>
      <c r="DE587" s="14"/>
      <c r="DF587" s="14"/>
      <c r="DG587" s="14"/>
      <c r="DH587" s="14"/>
      <c r="DI587" s="14"/>
      <c r="DJ587" s="14"/>
      <c r="DK587" s="14"/>
      <c r="DL587" s="14"/>
      <c r="DM587" s="14"/>
      <c r="DN587" s="14"/>
      <c r="DO587" s="14"/>
      <c r="DP587" s="14"/>
      <c r="DQ587" s="14"/>
      <c r="DR587" s="14"/>
      <c r="DS587" s="14"/>
      <c r="DT587" s="14"/>
      <c r="DU587" s="14"/>
      <c r="DV587" s="14"/>
      <c r="DW587" s="14"/>
      <c r="DX587" s="14"/>
      <c r="DY587" s="14"/>
      <c r="DZ587" s="14"/>
      <c r="EA587" s="14"/>
      <c r="EB587" s="14"/>
      <c r="EC587" s="14"/>
      <c r="ED587" s="14"/>
      <c r="EE587" s="14"/>
      <c r="EF587" s="14"/>
      <c r="EG587" s="14"/>
      <c r="EH587" s="14"/>
      <c r="EI587" s="14"/>
      <c r="EJ587" s="14"/>
      <c r="EK587" s="14"/>
      <c r="EL587" s="14"/>
    </row>
    <row r="588" spans="2:142" hidden="1" x14ac:dyDescent="0.2">
      <c r="B588" s="905">
        <v>75</v>
      </c>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4"/>
      <c r="BB588" s="14"/>
      <c r="BC588" s="14"/>
      <c r="BD588" s="14"/>
      <c r="BE588" s="14"/>
      <c r="BF588" s="14"/>
      <c r="BG588" s="14"/>
      <c r="BH588" s="14"/>
      <c r="BI588" s="14"/>
      <c r="BJ588" s="14"/>
      <c r="BK588" s="14"/>
      <c r="BL588" s="14"/>
      <c r="BM588" s="14"/>
      <c r="BN588" s="14"/>
      <c r="BO588" s="14"/>
      <c r="BP588" s="14"/>
      <c r="BQ588" s="14"/>
      <c r="BR588" s="14"/>
      <c r="BS588" s="14"/>
      <c r="BT588" s="14"/>
      <c r="BU588" s="14"/>
      <c r="BV588" s="14"/>
      <c r="BW588" s="14"/>
      <c r="BX588" s="14"/>
      <c r="BY588" s="14"/>
      <c r="BZ588" s="14"/>
      <c r="CA588" s="14"/>
      <c r="CB588" s="14"/>
      <c r="CC588" s="14"/>
      <c r="CD588" s="14"/>
      <c r="CE588" s="14"/>
      <c r="CF588" s="14"/>
      <c r="CG588" s="14"/>
      <c r="CH588" s="14"/>
      <c r="CI588" s="14"/>
      <c r="CJ588" s="14"/>
      <c r="CK588" s="14"/>
      <c r="CL588" s="14"/>
      <c r="CM588" s="14"/>
      <c r="CN588" s="14"/>
      <c r="CO588" s="14"/>
      <c r="CP588" s="14"/>
      <c r="CQ588" s="14"/>
      <c r="CR588" s="14"/>
      <c r="CS588" s="14"/>
      <c r="CT588" s="14"/>
      <c r="CU588" s="14"/>
      <c r="CV588" s="14"/>
      <c r="CW588" s="14"/>
      <c r="CX588" s="14"/>
      <c r="CY588" s="14"/>
      <c r="CZ588" s="14"/>
      <c r="DA588" s="14"/>
      <c r="DB588" s="14"/>
      <c r="DC588" s="14"/>
      <c r="DD588" s="14"/>
      <c r="DE588" s="14"/>
      <c r="DF588" s="14"/>
      <c r="DG588" s="14"/>
      <c r="DH588" s="14"/>
      <c r="DI588" s="14"/>
      <c r="DJ588" s="14"/>
      <c r="DK588" s="14"/>
      <c r="DL588" s="14"/>
      <c r="DM588" s="14"/>
      <c r="DN588" s="14"/>
      <c r="DO588" s="14"/>
      <c r="DP588" s="14"/>
      <c r="DQ588" s="14"/>
      <c r="DR588" s="14"/>
      <c r="DS588" s="14"/>
      <c r="DT588" s="14"/>
      <c r="DU588" s="14"/>
      <c r="DV588" s="14"/>
      <c r="DW588" s="14"/>
      <c r="DX588" s="14"/>
      <c r="DY588" s="14"/>
      <c r="DZ588" s="14"/>
      <c r="EA588" s="14"/>
      <c r="EB588" s="14"/>
      <c r="EC588" s="14"/>
      <c r="ED588" s="14"/>
      <c r="EE588" s="14"/>
      <c r="EF588" s="14"/>
      <c r="EG588" s="14"/>
      <c r="EH588" s="14"/>
      <c r="EI588" s="14"/>
      <c r="EJ588" s="14"/>
      <c r="EK588" s="14"/>
      <c r="EL588" s="14"/>
    </row>
    <row r="589" spans="2:142" hidden="1" x14ac:dyDescent="0.2">
      <c r="B589" s="905">
        <v>76</v>
      </c>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4"/>
      <c r="BB589" s="14"/>
      <c r="BC589" s="14"/>
      <c r="BD589" s="14"/>
      <c r="BE589" s="14"/>
      <c r="BF589" s="14"/>
      <c r="BG589" s="14"/>
      <c r="BH589" s="14"/>
      <c r="BI589" s="14"/>
      <c r="BJ589" s="14"/>
      <c r="BK589" s="14"/>
      <c r="BL589" s="14"/>
      <c r="BM589" s="14"/>
      <c r="BN589" s="14"/>
      <c r="BO589" s="14"/>
      <c r="BP589" s="14"/>
      <c r="BQ589" s="14"/>
      <c r="BR589" s="14"/>
      <c r="BS589" s="14"/>
      <c r="BT589" s="14"/>
      <c r="BU589" s="14"/>
      <c r="BV589" s="14"/>
      <c r="BW589" s="14"/>
      <c r="BX589" s="14"/>
      <c r="BY589" s="14"/>
      <c r="BZ589" s="14"/>
      <c r="CA589" s="14"/>
      <c r="CB589" s="14"/>
      <c r="CC589" s="14"/>
      <c r="CD589" s="14"/>
      <c r="CE589" s="14"/>
      <c r="CF589" s="14"/>
      <c r="CG589" s="14"/>
      <c r="CH589" s="14"/>
      <c r="CI589" s="14"/>
      <c r="CJ589" s="14"/>
      <c r="CK589" s="14"/>
      <c r="CL589" s="14"/>
      <c r="CM589" s="14"/>
      <c r="CN589" s="14"/>
      <c r="CO589" s="14"/>
      <c r="CP589" s="14"/>
      <c r="CQ589" s="14"/>
      <c r="CR589" s="14"/>
      <c r="CS589" s="14"/>
      <c r="CT589" s="14"/>
      <c r="CU589" s="14"/>
      <c r="CV589" s="14"/>
      <c r="CW589" s="14"/>
      <c r="CX589" s="14"/>
      <c r="CY589" s="14"/>
      <c r="CZ589" s="14"/>
      <c r="DA589" s="14"/>
      <c r="DB589" s="14"/>
      <c r="DC589" s="14"/>
      <c r="DD589" s="14"/>
      <c r="DE589" s="14"/>
      <c r="DF589" s="14"/>
      <c r="DG589" s="14"/>
      <c r="DH589" s="14"/>
      <c r="DI589" s="14"/>
      <c r="DJ589" s="14"/>
      <c r="DK589" s="14"/>
      <c r="DL589" s="14"/>
      <c r="DM589" s="14"/>
      <c r="DN589" s="14"/>
      <c r="DO589" s="14"/>
      <c r="DP589" s="14"/>
      <c r="DQ589" s="14"/>
      <c r="DR589" s="14"/>
      <c r="DS589" s="14"/>
      <c r="DT589" s="14"/>
      <c r="DU589" s="14"/>
      <c r="DV589" s="14"/>
      <c r="DW589" s="14"/>
      <c r="DX589" s="14"/>
      <c r="DY589" s="14"/>
      <c r="DZ589" s="14"/>
      <c r="EA589" s="14"/>
      <c r="EB589" s="14"/>
      <c r="EC589" s="14"/>
      <c r="ED589" s="14"/>
      <c r="EE589" s="14"/>
      <c r="EF589" s="14"/>
      <c r="EG589" s="14"/>
      <c r="EH589" s="14"/>
      <c r="EI589" s="14"/>
      <c r="EJ589" s="14"/>
      <c r="EK589" s="14"/>
      <c r="EL589" s="14"/>
    </row>
    <row r="590" spans="2:142" hidden="1" x14ac:dyDescent="0.2">
      <c r="B590" s="905">
        <v>77</v>
      </c>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4"/>
      <c r="BB590" s="14"/>
      <c r="BC590" s="14"/>
      <c r="BD590" s="14"/>
      <c r="BE590" s="14"/>
      <c r="BF590" s="14"/>
      <c r="BG590" s="14"/>
      <c r="BH590" s="14"/>
      <c r="BI590" s="14"/>
      <c r="BJ590" s="14"/>
      <c r="BK590" s="14"/>
      <c r="BL590" s="14"/>
      <c r="BM590" s="14"/>
      <c r="BN590" s="14"/>
      <c r="BO590" s="14"/>
      <c r="BP590" s="14"/>
      <c r="BQ590" s="14"/>
      <c r="BR590" s="14"/>
      <c r="BS590" s="14"/>
      <c r="BT590" s="14"/>
      <c r="BU590" s="14"/>
      <c r="BV590" s="14"/>
      <c r="BW590" s="14"/>
      <c r="BX590" s="14"/>
      <c r="BY590" s="14"/>
      <c r="BZ590" s="14"/>
      <c r="CA590" s="14"/>
      <c r="CB590" s="14"/>
      <c r="CC590" s="14"/>
      <c r="CD590" s="14"/>
      <c r="CE590" s="14"/>
      <c r="CF590" s="14"/>
      <c r="CG590" s="14"/>
      <c r="CH590" s="14"/>
      <c r="CI590" s="14"/>
      <c r="CJ590" s="14"/>
      <c r="CK590" s="14"/>
      <c r="CL590" s="14"/>
      <c r="CM590" s="14"/>
      <c r="CN590" s="14"/>
      <c r="CO590" s="14"/>
      <c r="CP590" s="14"/>
      <c r="CQ590" s="14"/>
      <c r="CR590" s="14"/>
      <c r="CS590" s="14"/>
      <c r="CT590" s="14"/>
      <c r="CU590" s="14"/>
      <c r="CV590" s="14"/>
      <c r="CW590" s="14"/>
      <c r="CX590" s="14"/>
      <c r="CY590" s="14"/>
      <c r="CZ590" s="14"/>
      <c r="DA590" s="14"/>
      <c r="DB590" s="14"/>
      <c r="DC590" s="14"/>
      <c r="DD590" s="14"/>
      <c r="DE590" s="14"/>
      <c r="DF590" s="14"/>
      <c r="DG590" s="14"/>
      <c r="DH590" s="14"/>
      <c r="DI590" s="14"/>
      <c r="DJ590" s="14"/>
      <c r="DK590" s="14"/>
      <c r="DL590" s="14"/>
      <c r="DM590" s="14"/>
      <c r="DN590" s="14"/>
      <c r="DO590" s="14"/>
      <c r="DP590" s="14"/>
      <c r="DQ590" s="14"/>
      <c r="DR590" s="14"/>
      <c r="DS590" s="14"/>
      <c r="DT590" s="14"/>
      <c r="DU590" s="14"/>
      <c r="DV590" s="14"/>
      <c r="DW590" s="14"/>
      <c r="DX590" s="14"/>
      <c r="DY590" s="14"/>
      <c r="DZ590" s="14"/>
      <c r="EA590" s="14"/>
      <c r="EB590" s="14"/>
      <c r="EC590" s="14"/>
      <c r="ED590" s="14"/>
      <c r="EE590" s="14"/>
      <c r="EF590" s="14"/>
      <c r="EG590" s="14"/>
      <c r="EH590" s="14"/>
      <c r="EI590" s="14"/>
      <c r="EJ590" s="14"/>
      <c r="EK590" s="14"/>
      <c r="EL590" s="14"/>
    </row>
    <row r="591" spans="2:142" hidden="1" x14ac:dyDescent="0.2">
      <c r="B591" s="905">
        <v>78</v>
      </c>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4"/>
      <c r="BB591" s="14"/>
      <c r="BC591" s="14"/>
      <c r="BD591" s="14"/>
      <c r="BE591" s="14"/>
      <c r="BF591" s="14"/>
      <c r="BG591" s="14"/>
      <c r="BH591" s="14"/>
      <c r="BI591" s="14"/>
      <c r="BJ591" s="14"/>
      <c r="BK591" s="14"/>
      <c r="BL591" s="14"/>
      <c r="BM591" s="14"/>
      <c r="BN591" s="14"/>
      <c r="BO591" s="14"/>
      <c r="BP591" s="14"/>
      <c r="BQ591" s="14"/>
      <c r="BR591" s="14"/>
      <c r="BS591" s="14"/>
      <c r="BT591" s="14"/>
      <c r="BU591" s="14"/>
      <c r="BV591" s="14"/>
      <c r="BW591" s="14"/>
      <c r="BX591" s="14"/>
      <c r="BY591" s="14"/>
      <c r="BZ591" s="14"/>
      <c r="CA591" s="14"/>
      <c r="CB591" s="14"/>
      <c r="CC591" s="14"/>
      <c r="CD591" s="14"/>
      <c r="CE591" s="14"/>
      <c r="CF591" s="14"/>
      <c r="CG591" s="14"/>
      <c r="CH591" s="14"/>
      <c r="CI591" s="14"/>
      <c r="CJ591" s="14"/>
      <c r="CK591" s="14"/>
      <c r="CL591" s="14"/>
      <c r="CM591" s="14"/>
      <c r="CN591" s="14"/>
      <c r="CO591" s="14"/>
      <c r="CP591" s="14"/>
      <c r="CQ591" s="14"/>
      <c r="CR591" s="14"/>
      <c r="CS591" s="14"/>
      <c r="CT591" s="14"/>
      <c r="CU591" s="14"/>
      <c r="CV591" s="14"/>
      <c r="CW591" s="14"/>
      <c r="CX591" s="14"/>
      <c r="CY591" s="14"/>
      <c r="CZ591" s="14"/>
      <c r="DA591" s="14"/>
      <c r="DB591" s="14"/>
      <c r="DC591" s="14"/>
      <c r="DD591" s="14"/>
      <c r="DE591" s="14"/>
      <c r="DF591" s="14"/>
      <c r="DG591" s="14"/>
      <c r="DH591" s="14"/>
      <c r="DI591" s="14"/>
      <c r="DJ591" s="14"/>
      <c r="DK591" s="14"/>
      <c r="DL591" s="14"/>
      <c r="DM591" s="14"/>
      <c r="DN591" s="14"/>
      <c r="DO591" s="14"/>
      <c r="DP591" s="14"/>
      <c r="DQ591" s="14"/>
      <c r="DR591" s="14"/>
      <c r="DS591" s="14"/>
      <c r="DT591" s="14"/>
      <c r="DU591" s="14"/>
      <c r="DV591" s="14"/>
      <c r="DW591" s="14"/>
      <c r="DX591" s="14"/>
      <c r="DY591" s="14"/>
      <c r="DZ591" s="14"/>
      <c r="EA591" s="14"/>
      <c r="EB591" s="14"/>
      <c r="EC591" s="14"/>
      <c r="ED591" s="14"/>
      <c r="EE591" s="14"/>
      <c r="EF591" s="14"/>
      <c r="EG591" s="14"/>
      <c r="EH591" s="14"/>
      <c r="EI591" s="14"/>
      <c r="EJ591" s="14"/>
      <c r="EK591" s="14"/>
      <c r="EL591" s="14"/>
    </row>
    <row r="592" spans="2:142" hidden="1" x14ac:dyDescent="0.2">
      <c r="B592" s="905">
        <v>79</v>
      </c>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4"/>
      <c r="BB592" s="14"/>
      <c r="BC592" s="14"/>
      <c r="BD592" s="14"/>
      <c r="BE592" s="14"/>
      <c r="BF592" s="14"/>
      <c r="BG592" s="14"/>
      <c r="BH592" s="14"/>
      <c r="BI592" s="14"/>
      <c r="BJ592" s="14"/>
      <c r="BK592" s="14"/>
      <c r="BL592" s="14"/>
      <c r="BM592" s="14"/>
      <c r="BN592" s="14"/>
      <c r="BO592" s="14"/>
      <c r="BP592" s="14"/>
      <c r="BQ592" s="14"/>
      <c r="BR592" s="14"/>
      <c r="BS592" s="14"/>
      <c r="BT592" s="14"/>
      <c r="BU592" s="14"/>
      <c r="BV592" s="14"/>
      <c r="BW592" s="14"/>
      <c r="BX592" s="14"/>
      <c r="BY592" s="14"/>
      <c r="BZ592" s="14"/>
      <c r="CA592" s="14"/>
      <c r="CB592" s="14"/>
      <c r="CC592" s="14"/>
      <c r="CD592" s="14"/>
      <c r="CE592" s="14"/>
      <c r="CF592" s="14"/>
      <c r="CG592" s="14"/>
      <c r="CH592" s="14"/>
      <c r="CI592" s="14"/>
      <c r="CJ592" s="14"/>
      <c r="CK592" s="14"/>
      <c r="CL592" s="14"/>
      <c r="CM592" s="14"/>
      <c r="CN592" s="14"/>
      <c r="CO592" s="14"/>
      <c r="CP592" s="14"/>
      <c r="CQ592" s="14"/>
      <c r="CR592" s="14"/>
      <c r="CS592" s="14"/>
      <c r="CT592" s="14"/>
      <c r="CU592" s="14"/>
      <c r="CV592" s="14"/>
      <c r="CW592" s="14"/>
      <c r="CX592" s="14"/>
      <c r="CY592" s="14"/>
      <c r="CZ592" s="14"/>
      <c r="DA592" s="14"/>
      <c r="DB592" s="14"/>
      <c r="DC592" s="14"/>
      <c r="DD592" s="14"/>
      <c r="DE592" s="14"/>
      <c r="DF592" s="14"/>
      <c r="DG592" s="14"/>
      <c r="DH592" s="14"/>
      <c r="DI592" s="14"/>
      <c r="DJ592" s="14"/>
      <c r="DK592" s="14"/>
      <c r="DL592" s="14"/>
      <c r="DM592" s="14"/>
      <c r="DN592" s="14"/>
      <c r="DO592" s="14"/>
      <c r="DP592" s="14"/>
      <c r="DQ592" s="14"/>
      <c r="DR592" s="14"/>
      <c r="DS592" s="14"/>
      <c r="DT592" s="14"/>
      <c r="DU592" s="14"/>
      <c r="DV592" s="14"/>
      <c r="DW592" s="14"/>
      <c r="DX592" s="14"/>
      <c r="DY592" s="14"/>
      <c r="DZ592" s="14"/>
      <c r="EA592" s="14"/>
      <c r="EB592" s="14"/>
      <c r="EC592" s="14"/>
      <c r="ED592" s="14"/>
      <c r="EE592" s="14"/>
      <c r="EF592" s="14"/>
      <c r="EG592" s="14"/>
      <c r="EH592" s="14"/>
      <c r="EI592" s="14"/>
      <c r="EJ592" s="14"/>
      <c r="EK592" s="14"/>
      <c r="EL592" s="14"/>
    </row>
    <row r="593" spans="2:142" hidden="1" x14ac:dyDescent="0.2">
      <c r="B593" s="905">
        <v>80</v>
      </c>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4"/>
      <c r="BB593" s="14"/>
      <c r="BC593" s="14"/>
      <c r="BD593" s="14"/>
      <c r="BE593" s="14"/>
      <c r="BF593" s="14"/>
      <c r="BG593" s="14"/>
      <c r="BH593" s="14"/>
      <c r="BI593" s="14"/>
      <c r="BJ593" s="14"/>
      <c r="BK593" s="14"/>
      <c r="BL593" s="14"/>
      <c r="BM593" s="14"/>
      <c r="BN593" s="14"/>
      <c r="BO593" s="14"/>
      <c r="BP593" s="14"/>
      <c r="BQ593" s="14"/>
      <c r="BR593" s="14"/>
      <c r="BS593" s="14"/>
      <c r="BT593" s="14"/>
      <c r="BU593" s="14"/>
      <c r="BV593" s="14"/>
      <c r="BW593" s="14"/>
      <c r="BX593" s="14"/>
      <c r="BY593" s="14"/>
      <c r="BZ593" s="14"/>
      <c r="CA593" s="14"/>
      <c r="CB593" s="14"/>
      <c r="CC593" s="14"/>
      <c r="CD593" s="14"/>
      <c r="CE593" s="14"/>
      <c r="CF593" s="14"/>
      <c r="CG593" s="14"/>
      <c r="CH593" s="14"/>
      <c r="CI593" s="14"/>
      <c r="CJ593" s="14"/>
      <c r="CK593" s="14"/>
      <c r="CL593" s="14"/>
      <c r="CM593" s="14"/>
      <c r="CN593" s="14"/>
      <c r="CO593" s="14"/>
      <c r="CP593" s="14"/>
      <c r="CQ593" s="14"/>
      <c r="CR593" s="14"/>
      <c r="CS593" s="14"/>
      <c r="CT593" s="14"/>
      <c r="CU593" s="14"/>
      <c r="CV593" s="14"/>
      <c r="CW593" s="14"/>
      <c r="CX593" s="14"/>
      <c r="CY593" s="14"/>
      <c r="CZ593" s="14"/>
      <c r="DA593" s="14"/>
      <c r="DB593" s="14"/>
      <c r="DC593" s="14"/>
      <c r="DD593" s="14"/>
      <c r="DE593" s="14"/>
      <c r="DF593" s="14"/>
      <c r="DG593" s="14"/>
      <c r="DH593" s="14"/>
      <c r="DI593" s="14"/>
      <c r="DJ593" s="14"/>
      <c r="DK593" s="14"/>
      <c r="DL593" s="14"/>
      <c r="DM593" s="14"/>
      <c r="DN593" s="14"/>
      <c r="DO593" s="14"/>
      <c r="DP593" s="14"/>
      <c r="DQ593" s="14"/>
      <c r="DR593" s="14"/>
      <c r="DS593" s="14"/>
      <c r="DT593" s="14"/>
      <c r="DU593" s="14"/>
      <c r="DV593" s="14"/>
      <c r="DW593" s="14"/>
      <c r="DX593" s="14"/>
      <c r="DY593" s="14"/>
      <c r="DZ593" s="14"/>
      <c r="EA593" s="14"/>
      <c r="EB593" s="14"/>
      <c r="EC593" s="14"/>
      <c r="ED593" s="14"/>
      <c r="EE593" s="14"/>
      <c r="EF593" s="14"/>
      <c r="EG593" s="14"/>
      <c r="EH593" s="14"/>
      <c r="EI593" s="14"/>
      <c r="EJ593" s="14"/>
      <c r="EK593" s="14"/>
      <c r="EL593" s="14"/>
    </row>
    <row r="594" spans="2:142" hidden="1" x14ac:dyDescent="0.2">
      <c r="B594" s="905">
        <v>81</v>
      </c>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4"/>
      <c r="BB594" s="14"/>
      <c r="BC594" s="14"/>
      <c r="BD594" s="14"/>
      <c r="BE594" s="14"/>
      <c r="BF594" s="14"/>
      <c r="BG594" s="14"/>
      <c r="BH594" s="14"/>
      <c r="BI594" s="14"/>
      <c r="BJ594" s="14"/>
      <c r="BK594" s="14"/>
      <c r="BL594" s="14"/>
      <c r="BM594" s="14"/>
      <c r="BN594" s="14"/>
      <c r="BO594" s="14"/>
      <c r="BP594" s="14"/>
      <c r="BQ594" s="14"/>
      <c r="BR594" s="14"/>
      <c r="BS594" s="14"/>
      <c r="BT594" s="14"/>
      <c r="BU594" s="14"/>
      <c r="BV594" s="14"/>
      <c r="BW594" s="14"/>
      <c r="BX594" s="14"/>
      <c r="BY594" s="14"/>
      <c r="BZ594" s="14"/>
      <c r="CA594" s="14"/>
      <c r="CB594" s="14"/>
      <c r="CC594" s="14"/>
      <c r="CD594" s="14"/>
      <c r="CE594" s="14"/>
      <c r="CF594" s="14"/>
      <c r="CG594" s="14"/>
      <c r="CH594" s="14"/>
      <c r="CI594" s="14"/>
      <c r="CJ594" s="14"/>
      <c r="CK594" s="14"/>
      <c r="CL594" s="14"/>
      <c r="CM594" s="14"/>
      <c r="CN594" s="14"/>
      <c r="CO594" s="14"/>
      <c r="CP594" s="14"/>
      <c r="CQ594" s="14"/>
      <c r="CR594" s="14"/>
      <c r="CS594" s="14"/>
      <c r="CT594" s="14"/>
      <c r="CU594" s="14"/>
      <c r="CV594" s="14"/>
      <c r="CW594" s="14"/>
      <c r="CX594" s="14"/>
      <c r="CY594" s="14"/>
      <c r="CZ594" s="14"/>
      <c r="DA594" s="14"/>
      <c r="DB594" s="14"/>
      <c r="DC594" s="14"/>
      <c r="DD594" s="14"/>
      <c r="DE594" s="14"/>
      <c r="DF594" s="14"/>
      <c r="DG594" s="14"/>
      <c r="DH594" s="14"/>
      <c r="DI594" s="14"/>
      <c r="DJ594" s="14"/>
      <c r="DK594" s="14"/>
      <c r="DL594" s="14"/>
      <c r="DM594" s="14"/>
      <c r="DN594" s="14"/>
      <c r="DO594" s="14"/>
      <c r="DP594" s="14"/>
      <c r="DQ594" s="14"/>
      <c r="DR594" s="14"/>
      <c r="DS594" s="14"/>
      <c r="DT594" s="14"/>
      <c r="DU594" s="14"/>
      <c r="DV594" s="14"/>
      <c r="DW594" s="14"/>
      <c r="DX594" s="14"/>
      <c r="DY594" s="14"/>
      <c r="DZ594" s="14"/>
      <c r="EA594" s="14"/>
      <c r="EB594" s="14"/>
      <c r="EC594" s="14"/>
      <c r="ED594" s="14"/>
      <c r="EE594" s="14"/>
      <c r="EF594" s="14"/>
      <c r="EG594" s="14"/>
      <c r="EH594" s="14"/>
      <c r="EI594" s="14"/>
      <c r="EJ594" s="14"/>
      <c r="EK594" s="14"/>
      <c r="EL594" s="14"/>
    </row>
    <row r="595" spans="2:142" hidden="1" x14ac:dyDescent="0.2">
      <c r="B595" s="905">
        <v>82</v>
      </c>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4"/>
      <c r="BB595" s="14"/>
      <c r="BC595" s="14"/>
      <c r="BD595" s="14"/>
      <c r="BE595" s="14"/>
      <c r="BF595" s="14"/>
      <c r="BG595" s="14"/>
      <c r="BH595" s="14"/>
      <c r="BI595" s="14"/>
      <c r="BJ595" s="14"/>
      <c r="BK595" s="14"/>
      <c r="BL595" s="14"/>
      <c r="BM595" s="14"/>
      <c r="BN595" s="14"/>
      <c r="BO595" s="14"/>
      <c r="BP595" s="14"/>
      <c r="BQ595" s="14"/>
      <c r="BR595" s="14"/>
      <c r="BS595" s="14"/>
      <c r="BT595" s="14"/>
      <c r="BU595" s="14"/>
      <c r="BV595" s="14"/>
      <c r="BW595" s="14"/>
      <c r="BX595" s="14"/>
      <c r="BY595" s="14"/>
      <c r="BZ595" s="14"/>
      <c r="CA595" s="14"/>
      <c r="CB595" s="14"/>
      <c r="CC595" s="14"/>
      <c r="CD595" s="14"/>
      <c r="CE595" s="14"/>
      <c r="CF595" s="14"/>
      <c r="CG595" s="14"/>
      <c r="CH595" s="14"/>
      <c r="CI595" s="14"/>
      <c r="CJ595" s="14"/>
      <c r="CK595" s="14"/>
      <c r="CL595" s="14"/>
      <c r="CM595" s="14"/>
      <c r="CN595" s="14"/>
      <c r="CO595" s="14"/>
      <c r="CP595" s="14"/>
      <c r="CQ595" s="14"/>
      <c r="CR595" s="14"/>
      <c r="CS595" s="14"/>
      <c r="CT595" s="14"/>
      <c r="CU595" s="14"/>
      <c r="CV595" s="14"/>
      <c r="CW595" s="14"/>
      <c r="CX595" s="14"/>
      <c r="CY595" s="14"/>
      <c r="CZ595" s="14"/>
      <c r="DA595" s="14"/>
      <c r="DB595" s="14"/>
      <c r="DC595" s="14"/>
      <c r="DD595" s="14"/>
      <c r="DE595" s="14"/>
      <c r="DF595" s="14"/>
      <c r="DG595" s="14"/>
      <c r="DH595" s="14"/>
      <c r="DI595" s="14"/>
      <c r="DJ595" s="14"/>
      <c r="DK595" s="14"/>
      <c r="DL595" s="14"/>
      <c r="DM595" s="14"/>
      <c r="DN595" s="14"/>
      <c r="DO595" s="14"/>
      <c r="DP595" s="14"/>
      <c r="DQ595" s="14"/>
      <c r="DR595" s="14"/>
      <c r="DS595" s="14"/>
      <c r="DT595" s="14"/>
      <c r="DU595" s="14"/>
      <c r="DV595" s="14"/>
      <c r="DW595" s="14"/>
      <c r="DX595" s="14"/>
      <c r="DY595" s="14"/>
      <c r="DZ595" s="14"/>
      <c r="EA595" s="14"/>
      <c r="EB595" s="14"/>
      <c r="EC595" s="14"/>
      <c r="ED595" s="14"/>
      <c r="EE595" s="14"/>
      <c r="EF595" s="14"/>
      <c r="EG595" s="14"/>
      <c r="EH595" s="14"/>
      <c r="EI595" s="14"/>
      <c r="EJ595" s="14"/>
      <c r="EK595" s="14"/>
      <c r="EL595" s="14"/>
    </row>
    <row r="596" spans="2:142" hidden="1" x14ac:dyDescent="0.2">
      <c r="B596" s="905">
        <v>83</v>
      </c>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4"/>
      <c r="BB596" s="14"/>
      <c r="BC596" s="14"/>
      <c r="BD596" s="14"/>
      <c r="BE596" s="14"/>
      <c r="BF596" s="14"/>
      <c r="BG596" s="14"/>
      <c r="BH596" s="14"/>
      <c r="BI596" s="14"/>
      <c r="BJ596" s="14"/>
      <c r="BK596" s="14"/>
      <c r="BL596" s="14"/>
      <c r="BM596" s="14"/>
      <c r="BN596" s="14"/>
      <c r="BO596" s="14"/>
      <c r="BP596" s="14"/>
      <c r="BQ596" s="14"/>
      <c r="BR596" s="14"/>
      <c r="BS596" s="14"/>
      <c r="BT596" s="14"/>
      <c r="BU596" s="14"/>
      <c r="BV596" s="14"/>
      <c r="BW596" s="14"/>
      <c r="BX596" s="14"/>
      <c r="BY596" s="14"/>
      <c r="BZ596" s="14"/>
      <c r="CA596" s="14"/>
      <c r="CB596" s="14"/>
      <c r="CC596" s="14"/>
      <c r="CD596" s="14"/>
      <c r="CE596" s="14"/>
      <c r="CF596" s="14"/>
      <c r="CG596" s="14"/>
      <c r="CH596" s="14"/>
      <c r="CI596" s="14"/>
      <c r="CJ596" s="14"/>
      <c r="CK596" s="14"/>
      <c r="CL596" s="14"/>
      <c r="CM596" s="14"/>
      <c r="CN596" s="14"/>
      <c r="CO596" s="14"/>
      <c r="CP596" s="14"/>
      <c r="CQ596" s="14"/>
      <c r="CR596" s="14"/>
      <c r="CS596" s="14"/>
      <c r="CT596" s="14"/>
      <c r="CU596" s="14"/>
      <c r="CV596" s="14"/>
      <c r="CW596" s="14"/>
      <c r="CX596" s="14"/>
      <c r="CY596" s="14"/>
      <c r="CZ596" s="14"/>
      <c r="DA596" s="14"/>
      <c r="DB596" s="14"/>
      <c r="DC596" s="14"/>
      <c r="DD596" s="14"/>
      <c r="DE596" s="14"/>
      <c r="DF596" s="14"/>
      <c r="DG596" s="14"/>
      <c r="DH596" s="14"/>
      <c r="DI596" s="14"/>
      <c r="DJ596" s="14"/>
      <c r="DK596" s="14"/>
      <c r="DL596" s="14"/>
      <c r="DM596" s="14"/>
      <c r="DN596" s="14"/>
      <c r="DO596" s="14"/>
      <c r="DP596" s="14"/>
      <c r="DQ596" s="14"/>
      <c r="DR596" s="14"/>
      <c r="DS596" s="14"/>
      <c r="DT596" s="14"/>
      <c r="DU596" s="14"/>
      <c r="DV596" s="14"/>
      <c r="DW596" s="14"/>
      <c r="DX596" s="14"/>
      <c r="DY596" s="14"/>
      <c r="DZ596" s="14"/>
      <c r="EA596" s="14"/>
      <c r="EB596" s="14"/>
      <c r="EC596" s="14"/>
      <c r="ED596" s="14"/>
      <c r="EE596" s="14"/>
      <c r="EF596" s="14"/>
      <c r="EG596" s="14"/>
      <c r="EH596" s="14"/>
      <c r="EI596" s="14"/>
      <c r="EJ596" s="14"/>
      <c r="EK596" s="14"/>
      <c r="EL596" s="14"/>
    </row>
    <row r="597" spans="2:142" hidden="1" x14ac:dyDescent="0.2">
      <c r="B597" s="905">
        <v>84</v>
      </c>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4"/>
      <c r="BB597" s="14"/>
      <c r="BC597" s="14"/>
      <c r="BD597" s="14"/>
      <c r="BE597" s="14"/>
      <c r="BF597" s="14"/>
      <c r="BG597" s="14"/>
      <c r="BH597" s="14"/>
      <c r="BI597" s="14"/>
      <c r="BJ597" s="14"/>
      <c r="BK597" s="14"/>
      <c r="BL597" s="14"/>
      <c r="BM597" s="14"/>
      <c r="BN597" s="14"/>
      <c r="BO597" s="14"/>
      <c r="BP597" s="14"/>
      <c r="BQ597" s="14"/>
      <c r="BR597" s="14"/>
      <c r="BS597" s="14"/>
      <c r="BT597" s="14"/>
      <c r="BU597" s="14"/>
      <c r="BV597" s="14"/>
      <c r="BW597" s="14"/>
      <c r="BX597" s="14"/>
      <c r="BY597" s="14"/>
      <c r="BZ597" s="14"/>
      <c r="CA597" s="14"/>
      <c r="CB597" s="14"/>
      <c r="CC597" s="14"/>
      <c r="CD597" s="14"/>
      <c r="CE597" s="14"/>
      <c r="CF597" s="14"/>
      <c r="CG597" s="14"/>
      <c r="CH597" s="14"/>
      <c r="CI597" s="14"/>
      <c r="CJ597" s="14"/>
      <c r="CK597" s="14"/>
      <c r="CL597" s="14"/>
      <c r="CM597" s="14"/>
      <c r="CN597" s="14"/>
      <c r="CO597" s="14"/>
      <c r="CP597" s="14"/>
      <c r="CQ597" s="14"/>
      <c r="CR597" s="14"/>
      <c r="CS597" s="14"/>
      <c r="CT597" s="14"/>
      <c r="CU597" s="14"/>
      <c r="CV597" s="14"/>
      <c r="CW597" s="14"/>
      <c r="CX597" s="14"/>
      <c r="CY597" s="14"/>
      <c r="CZ597" s="14"/>
      <c r="DA597" s="14"/>
      <c r="DB597" s="14"/>
      <c r="DC597" s="14"/>
      <c r="DD597" s="14"/>
      <c r="DE597" s="14"/>
      <c r="DF597" s="14"/>
      <c r="DG597" s="14"/>
      <c r="DH597" s="14"/>
      <c r="DI597" s="14"/>
      <c r="DJ597" s="14"/>
      <c r="DK597" s="14"/>
      <c r="DL597" s="14"/>
      <c r="DM597" s="14"/>
      <c r="DN597" s="14"/>
      <c r="DO597" s="14"/>
      <c r="DP597" s="14"/>
      <c r="DQ597" s="14"/>
      <c r="DR597" s="14"/>
      <c r="DS597" s="14"/>
      <c r="DT597" s="14"/>
      <c r="DU597" s="14"/>
      <c r="DV597" s="14"/>
      <c r="DW597" s="14"/>
      <c r="DX597" s="14"/>
      <c r="DY597" s="14"/>
      <c r="DZ597" s="14"/>
      <c r="EA597" s="14"/>
      <c r="EB597" s="14"/>
      <c r="EC597" s="14"/>
      <c r="ED597" s="14"/>
      <c r="EE597" s="14"/>
      <c r="EF597" s="14"/>
      <c r="EG597" s="14"/>
      <c r="EH597" s="14"/>
      <c r="EI597" s="14"/>
      <c r="EJ597" s="14"/>
      <c r="EK597" s="14"/>
      <c r="EL597" s="14"/>
    </row>
    <row r="598" spans="2:142" hidden="1" x14ac:dyDescent="0.2">
      <c r="B598" s="905">
        <v>85</v>
      </c>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4"/>
      <c r="BB598" s="14"/>
      <c r="BC598" s="14"/>
      <c r="BD598" s="14"/>
      <c r="BE598" s="14"/>
      <c r="BF598" s="14"/>
      <c r="BG598" s="14"/>
      <c r="BH598" s="14"/>
      <c r="BI598" s="14"/>
      <c r="BJ598" s="14"/>
      <c r="BK598" s="14"/>
      <c r="BL598" s="14"/>
      <c r="BM598" s="14"/>
      <c r="BN598" s="14"/>
      <c r="BO598" s="14"/>
      <c r="BP598" s="14"/>
      <c r="BQ598" s="14"/>
      <c r="BR598" s="14"/>
      <c r="BS598" s="14"/>
      <c r="BT598" s="14"/>
      <c r="BU598" s="14"/>
      <c r="BV598" s="14"/>
      <c r="BW598" s="14"/>
      <c r="BX598" s="14"/>
      <c r="BY598" s="14"/>
      <c r="BZ598" s="14"/>
      <c r="CA598" s="14"/>
      <c r="CB598" s="14"/>
      <c r="CC598" s="14"/>
      <c r="CD598" s="14"/>
      <c r="CE598" s="14"/>
      <c r="CF598" s="14"/>
      <c r="CG598" s="14"/>
      <c r="CH598" s="14"/>
      <c r="CI598" s="14"/>
      <c r="CJ598" s="14"/>
      <c r="CK598" s="14"/>
      <c r="CL598" s="14"/>
      <c r="CM598" s="14"/>
      <c r="CN598" s="14"/>
      <c r="CO598" s="14"/>
      <c r="CP598" s="14"/>
      <c r="CQ598" s="14"/>
      <c r="CR598" s="14"/>
      <c r="CS598" s="14"/>
      <c r="CT598" s="14"/>
      <c r="CU598" s="14"/>
      <c r="CV598" s="14"/>
      <c r="CW598" s="14"/>
      <c r="CX598" s="14"/>
      <c r="CY598" s="14"/>
      <c r="CZ598" s="14"/>
      <c r="DA598" s="14"/>
      <c r="DB598" s="14"/>
      <c r="DC598" s="14"/>
      <c r="DD598" s="14"/>
      <c r="DE598" s="14"/>
      <c r="DF598" s="14"/>
      <c r="DG598" s="14"/>
      <c r="DH598" s="14"/>
      <c r="DI598" s="14"/>
      <c r="DJ598" s="14"/>
      <c r="DK598" s="14"/>
      <c r="DL598" s="14"/>
      <c r="DM598" s="14"/>
      <c r="DN598" s="14"/>
      <c r="DO598" s="14"/>
      <c r="DP598" s="14"/>
      <c r="DQ598" s="14"/>
      <c r="DR598" s="14"/>
      <c r="DS598" s="14"/>
      <c r="DT598" s="14"/>
      <c r="DU598" s="14"/>
      <c r="DV598" s="14"/>
      <c r="DW598" s="14"/>
      <c r="DX598" s="14"/>
      <c r="DY598" s="14"/>
      <c r="DZ598" s="14"/>
      <c r="EA598" s="14"/>
      <c r="EB598" s="14"/>
      <c r="EC598" s="14"/>
      <c r="ED598" s="14"/>
      <c r="EE598" s="14"/>
      <c r="EF598" s="14"/>
      <c r="EG598" s="14"/>
      <c r="EH598" s="14"/>
      <c r="EI598" s="14"/>
      <c r="EJ598" s="14"/>
      <c r="EK598" s="14"/>
      <c r="EL598" s="14"/>
    </row>
    <row r="599" spans="2:142" hidden="1" x14ac:dyDescent="0.2">
      <c r="B599" s="905">
        <v>86</v>
      </c>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4"/>
      <c r="BB599" s="14"/>
      <c r="BC599" s="14"/>
      <c r="BD599" s="14"/>
      <c r="BE599" s="14"/>
      <c r="BF599" s="14"/>
      <c r="BG599" s="14"/>
      <c r="BH599" s="14"/>
      <c r="BI599" s="14"/>
      <c r="BJ599" s="14"/>
      <c r="BK599" s="14"/>
      <c r="BL599" s="14"/>
      <c r="BM599" s="14"/>
      <c r="BN599" s="14"/>
      <c r="BO599" s="14"/>
      <c r="BP599" s="14"/>
      <c r="BQ599" s="14"/>
      <c r="BR599" s="14"/>
      <c r="BS599" s="14"/>
      <c r="BT599" s="14"/>
      <c r="BU599" s="14"/>
      <c r="BV599" s="14"/>
      <c r="BW599" s="14"/>
      <c r="BX599" s="14"/>
      <c r="BY599" s="14"/>
      <c r="BZ599" s="14"/>
      <c r="CA599" s="14"/>
      <c r="CB599" s="14"/>
      <c r="CC599" s="14"/>
      <c r="CD599" s="14"/>
      <c r="CE599" s="14"/>
      <c r="CF599" s="14"/>
      <c r="CG599" s="14"/>
      <c r="CH599" s="14"/>
      <c r="CI599" s="14"/>
      <c r="CJ599" s="14"/>
      <c r="CK599" s="14"/>
      <c r="CL599" s="14"/>
      <c r="CM599" s="14"/>
      <c r="CN599" s="14"/>
      <c r="CO599" s="14"/>
      <c r="CP599" s="14"/>
      <c r="CQ599" s="14"/>
      <c r="CR599" s="14"/>
      <c r="CS599" s="14"/>
      <c r="CT599" s="14"/>
      <c r="CU599" s="14"/>
      <c r="CV599" s="14"/>
      <c r="CW599" s="14"/>
      <c r="CX599" s="14"/>
      <c r="CY599" s="14"/>
      <c r="CZ599" s="14"/>
      <c r="DA599" s="14"/>
      <c r="DB599" s="14"/>
      <c r="DC599" s="14"/>
      <c r="DD599" s="14"/>
      <c r="DE599" s="14"/>
      <c r="DF599" s="14"/>
      <c r="DG599" s="14"/>
      <c r="DH599" s="14"/>
      <c r="DI599" s="14"/>
      <c r="DJ599" s="14"/>
      <c r="DK599" s="14"/>
      <c r="DL599" s="14"/>
      <c r="DM599" s="14"/>
      <c r="DN599" s="14"/>
      <c r="DO599" s="14"/>
      <c r="DP599" s="14"/>
      <c r="DQ599" s="14"/>
      <c r="DR599" s="14"/>
      <c r="DS599" s="14"/>
      <c r="DT599" s="14"/>
      <c r="DU599" s="14"/>
      <c r="DV599" s="14"/>
      <c r="DW599" s="14"/>
      <c r="DX599" s="14"/>
      <c r="DY599" s="14"/>
      <c r="DZ599" s="14"/>
      <c r="EA599" s="14"/>
      <c r="EB599" s="14"/>
      <c r="EC599" s="14"/>
      <c r="ED599" s="14"/>
      <c r="EE599" s="14"/>
      <c r="EF599" s="14"/>
      <c r="EG599" s="14"/>
      <c r="EH599" s="14"/>
      <c r="EI599" s="14"/>
      <c r="EJ599" s="14"/>
      <c r="EK599" s="14"/>
      <c r="EL599" s="14"/>
    </row>
    <row r="600" spans="2:142" hidden="1" x14ac:dyDescent="0.2">
      <c r="B600" s="905">
        <v>87</v>
      </c>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4"/>
      <c r="BB600" s="14"/>
      <c r="BC600" s="14"/>
      <c r="BD600" s="14"/>
      <c r="BE600" s="14"/>
      <c r="BF600" s="14"/>
      <c r="BG600" s="14"/>
      <c r="BH600" s="14"/>
      <c r="BI600" s="14"/>
      <c r="BJ600" s="14"/>
      <c r="BK600" s="14"/>
      <c r="BL600" s="14"/>
      <c r="BM600" s="14"/>
      <c r="BN600" s="14"/>
      <c r="BO600" s="14"/>
      <c r="BP600" s="14"/>
      <c r="BQ600" s="14"/>
      <c r="BR600" s="14"/>
      <c r="BS600" s="14"/>
      <c r="BT600" s="14"/>
      <c r="BU600" s="14"/>
      <c r="BV600" s="14"/>
      <c r="BW600" s="14"/>
      <c r="BX600" s="14"/>
      <c r="BY600" s="14"/>
      <c r="BZ600" s="14"/>
      <c r="CA600" s="14"/>
      <c r="CB600" s="14"/>
      <c r="CC600" s="14"/>
      <c r="CD600" s="14"/>
      <c r="CE600" s="14"/>
      <c r="CF600" s="14"/>
      <c r="CG600" s="14"/>
      <c r="CH600" s="14"/>
      <c r="CI600" s="14"/>
      <c r="CJ600" s="14"/>
      <c r="CK600" s="14"/>
      <c r="CL600" s="14"/>
      <c r="CM600" s="14"/>
      <c r="CN600" s="14"/>
      <c r="CO600" s="14"/>
      <c r="CP600" s="14"/>
      <c r="CQ600" s="14"/>
      <c r="CR600" s="14"/>
      <c r="CS600" s="14"/>
      <c r="CT600" s="14"/>
      <c r="CU600" s="14"/>
      <c r="CV600" s="14"/>
      <c r="CW600" s="14"/>
      <c r="CX600" s="14"/>
      <c r="CY600" s="14"/>
      <c r="CZ600" s="14"/>
      <c r="DA600" s="14"/>
      <c r="DB600" s="14"/>
      <c r="DC600" s="14"/>
      <c r="DD600" s="14"/>
      <c r="DE600" s="14"/>
      <c r="DF600" s="14"/>
      <c r="DG600" s="14"/>
      <c r="DH600" s="14"/>
      <c r="DI600" s="14"/>
      <c r="DJ600" s="14"/>
      <c r="DK600" s="14"/>
      <c r="DL600" s="14"/>
      <c r="DM600" s="14"/>
      <c r="DN600" s="14"/>
      <c r="DO600" s="14"/>
      <c r="DP600" s="14"/>
      <c r="DQ600" s="14"/>
      <c r="DR600" s="14"/>
      <c r="DS600" s="14"/>
      <c r="DT600" s="14"/>
      <c r="DU600" s="14"/>
      <c r="DV600" s="14"/>
      <c r="DW600" s="14"/>
      <c r="DX600" s="14"/>
      <c r="DY600" s="14"/>
      <c r="DZ600" s="14"/>
      <c r="EA600" s="14"/>
      <c r="EB600" s="14"/>
      <c r="EC600" s="14"/>
      <c r="ED600" s="14"/>
      <c r="EE600" s="14"/>
      <c r="EF600" s="14"/>
      <c r="EG600" s="14"/>
      <c r="EH600" s="14"/>
      <c r="EI600" s="14"/>
      <c r="EJ600" s="14"/>
      <c r="EK600" s="14"/>
      <c r="EL600" s="14"/>
    </row>
    <row r="601" spans="2:142" hidden="1" x14ac:dyDescent="0.2">
      <c r="B601" s="905">
        <v>88</v>
      </c>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4"/>
      <c r="BB601" s="14"/>
      <c r="BC601" s="14"/>
      <c r="BD601" s="14"/>
      <c r="BE601" s="14"/>
      <c r="BF601" s="14"/>
      <c r="BG601" s="14"/>
      <c r="BH601" s="14"/>
      <c r="BI601" s="14"/>
      <c r="BJ601" s="14"/>
      <c r="BK601" s="14"/>
      <c r="BL601" s="14"/>
      <c r="BM601" s="14"/>
      <c r="BN601" s="14"/>
      <c r="BO601" s="14"/>
      <c r="BP601" s="14"/>
      <c r="BQ601" s="14"/>
      <c r="BR601" s="14"/>
      <c r="BS601" s="14"/>
      <c r="BT601" s="14"/>
      <c r="BU601" s="14"/>
      <c r="BV601" s="14"/>
      <c r="BW601" s="14"/>
      <c r="BX601" s="14"/>
      <c r="BY601" s="14"/>
      <c r="BZ601" s="14"/>
      <c r="CA601" s="14"/>
      <c r="CB601" s="14"/>
      <c r="CC601" s="14"/>
      <c r="CD601" s="14"/>
      <c r="CE601" s="14"/>
      <c r="CF601" s="14"/>
      <c r="CG601" s="14"/>
      <c r="CH601" s="14"/>
      <c r="CI601" s="14"/>
      <c r="CJ601" s="14"/>
      <c r="CK601" s="14"/>
      <c r="CL601" s="14"/>
      <c r="CM601" s="14"/>
      <c r="CN601" s="14"/>
      <c r="CO601" s="14"/>
      <c r="CP601" s="14"/>
      <c r="CQ601" s="14"/>
      <c r="CR601" s="14"/>
      <c r="CS601" s="14"/>
      <c r="CT601" s="14"/>
      <c r="CU601" s="14"/>
      <c r="CV601" s="14"/>
      <c r="CW601" s="14"/>
      <c r="CX601" s="14"/>
      <c r="CY601" s="14"/>
      <c r="CZ601" s="14"/>
      <c r="DA601" s="14"/>
      <c r="DB601" s="14"/>
      <c r="DC601" s="14"/>
      <c r="DD601" s="14"/>
      <c r="DE601" s="14"/>
      <c r="DF601" s="14"/>
      <c r="DG601" s="14"/>
      <c r="DH601" s="14"/>
      <c r="DI601" s="14"/>
      <c r="DJ601" s="14"/>
      <c r="DK601" s="14"/>
      <c r="DL601" s="14"/>
      <c r="DM601" s="14"/>
      <c r="DN601" s="14"/>
      <c r="DO601" s="14"/>
      <c r="DP601" s="14"/>
      <c r="DQ601" s="14"/>
      <c r="DR601" s="14"/>
      <c r="DS601" s="14"/>
      <c r="DT601" s="14"/>
      <c r="DU601" s="14"/>
      <c r="DV601" s="14"/>
      <c r="DW601" s="14"/>
      <c r="DX601" s="14"/>
      <c r="DY601" s="14"/>
      <c r="DZ601" s="14"/>
      <c r="EA601" s="14"/>
      <c r="EB601" s="14"/>
      <c r="EC601" s="14"/>
      <c r="ED601" s="14"/>
      <c r="EE601" s="14"/>
      <c r="EF601" s="14"/>
      <c r="EG601" s="14"/>
      <c r="EH601" s="14"/>
      <c r="EI601" s="14"/>
      <c r="EJ601" s="14"/>
      <c r="EK601" s="14"/>
      <c r="EL601" s="14"/>
    </row>
    <row r="602" spans="2:142" hidden="1" x14ac:dyDescent="0.2">
      <c r="B602" s="905">
        <v>89</v>
      </c>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4"/>
      <c r="BB602" s="14"/>
      <c r="BC602" s="14"/>
      <c r="BD602" s="14"/>
      <c r="BE602" s="14"/>
      <c r="BF602" s="14"/>
      <c r="BG602" s="14"/>
      <c r="BH602" s="14"/>
      <c r="BI602" s="14"/>
      <c r="BJ602" s="14"/>
      <c r="BK602" s="14"/>
      <c r="BL602" s="14"/>
      <c r="BM602" s="14"/>
      <c r="BN602" s="14"/>
      <c r="BO602" s="14"/>
      <c r="BP602" s="14"/>
      <c r="BQ602" s="14"/>
      <c r="BR602" s="14"/>
      <c r="BS602" s="14"/>
      <c r="BT602" s="14"/>
      <c r="BU602" s="14"/>
      <c r="BV602" s="14"/>
      <c r="BW602" s="14"/>
      <c r="BX602" s="14"/>
      <c r="BY602" s="14"/>
      <c r="BZ602" s="14"/>
      <c r="CA602" s="14"/>
      <c r="CB602" s="14"/>
      <c r="CC602" s="14"/>
      <c r="CD602" s="14"/>
      <c r="CE602" s="14"/>
      <c r="CF602" s="14"/>
      <c r="CG602" s="14"/>
      <c r="CH602" s="14"/>
      <c r="CI602" s="14"/>
      <c r="CJ602" s="14"/>
      <c r="CK602" s="14"/>
      <c r="CL602" s="14"/>
      <c r="CM602" s="14"/>
      <c r="CN602" s="14"/>
      <c r="CO602" s="14"/>
      <c r="CP602" s="14"/>
      <c r="CQ602" s="14"/>
      <c r="CR602" s="14"/>
      <c r="CS602" s="14"/>
      <c r="CT602" s="14"/>
      <c r="CU602" s="14"/>
      <c r="CV602" s="14"/>
      <c r="CW602" s="14"/>
      <c r="CX602" s="14"/>
      <c r="CY602" s="14"/>
      <c r="CZ602" s="14"/>
      <c r="DA602" s="14"/>
      <c r="DB602" s="14"/>
      <c r="DC602" s="14"/>
      <c r="DD602" s="14"/>
      <c r="DE602" s="14"/>
      <c r="DF602" s="14"/>
      <c r="DG602" s="14"/>
      <c r="DH602" s="14"/>
      <c r="DI602" s="14"/>
      <c r="DJ602" s="14"/>
      <c r="DK602" s="14"/>
      <c r="DL602" s="14"/>
      <c r="DM602" s="14"/>
      <c r="DN602" s="14"/>
      <c r="DO602" s="14"/>
      <c r="DP602" s="14"/>
      <c r="DQ602" s="14"/>
      <c r="DR602" s="14"/>
      <c r="DS602" s="14"/>
      <c r="DT602" s="14"/>
      <c r="DU602" s="14"/>
      <c r="DV602" s="14"/>
      <c r="DW602" s="14"/>
      <c r="DX602" s="14"/>
      <c r="DY602" s="14"/>
      <c r="DZ602" s="14"/>
      <c r="EA602" s="14"/>
      <c r="EB602" s="14"/>
      <c r="EC602" s="14"/>
      <c r="ED602" s="14"/>
      <c r="EE602" s="14"/>
      <c r="EF602" s="14"/>
      <c r="EG602" s="14"/>
      <c r="EH602" s="14"/>
      <c r="EI602" s="14"/>
      <c r="EJ602" s="14"/>
      <c r="EK602" s="14"/>
      <c r="EL602" s="14"/>
    </row>
    <row r="603" spans="2:142" hidden="1" x14ac:dyDescent="0.2">
      <c r="B603" s="905">
        <v>90</v>
      </c>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4"/>
      <c r="BB603" s="14"/>
      <c r="BC603" s="14"/>
      <c r="BD603" s="14"/>
      <c r="BE603" s="14"/>
      <c r="BF603" s="14"/>
      <c r="BG603" s="14"/>
      <c r="BH603" s="14"/>
      <c r="BI603" s="14"/>
      <c r="BJ603" s="14"/>
      <c r="BK603" s="14"/>
      <c r="BL603" s="14"/>
      <c r="BM603" s="14"/>
      <c r="BN603" s="14"/>
      <c r="BO603" s="14"/>
      <c r="BP603" s="14"/>
      <c r="BQ603" s="14"/>
      <c r="BR603" s="14"/>
      <c r="BS603" s="14"/>
      <c r="BT603" s="14"/>
      <c r="BU603" s="14"/>
      <c r="BV603" s="14"/>
      <c r="BW603" s="14"/>
      <c r="BX603" s="14"/>
      <c r="BY603" s="14"/>
      <c r="BZ603" s="14"/>
      <c r="CA603" s="14"/>
      <c r="CB603" s="14"/>
      <c r="CC603" s="14"/>
      <c r="CD603" s="14"/>
      <c r="CE603" s="14"/>
      <c r="CF603" s="14"/>
      <c r="CG603" s="14"/>
      <c r="CH603" s="14"/>
      <c r="CI603" s="14"/>
      <c r="CJ603" s="14"/>
      <c r="CK603" s="14"/>
      <c r="CL603" s="14"/>
      <c r="CM603" s="14"/>
      <c r="CN603" s="14"/>
      <c r="CO603" s="14"/>
      <c r="CP603" s="14"/>
      <c r="CQ603" s="14"/>
      <c r="CR603" s="14"/>
      <c r="CS603" s="14"/>
      <c r="CT603" s="14"/>
      <c r="CU603" s="14"/>
      <c r="CV603" s="14"/>
      <c r="CW603" s="14"/>
      <c r="CX603" s="14"/>
      <c r="CY603" s="14"/>
      <c r="CZ603" s="14"/>
      <c r="DA603" s="14"/>
      <c r="DB603" s="14"/>
      <c r="DC603" s="14"/>
      <c r="DD603" s="14"/>
      <c r="DE603" s="14"/>
      <c r="DF603" s="14"/>
      <c r="DG603" s="14"/>
      <c r="DH603" s="14"/>
      <c r="DI603" s="14"/>
      <c r="DJ603" s="14"/>
      <c r="DK603" s="14"/>
      <c r="DL603" s="14"/>
      <c r="DM603" s="14"/>
      <c r="DN603" s="14"/>
      <c r="DO603" s="14"/>
      <c r="DP603" s="14"/>
      <c r="DQ603" s="14"/>
      <c r="DR603" s="14"/>
      <c r="DS603" s="14"/>
      <c r="DT603" s="14"/>
      <c r="DU603" s="14"/>
      <c r="DV603" s="14"/>
      <c r="DW603" s="14"/>
      <c r="DX603" s="14"/>
      <c r="DY603" s="14"/>
      <c r="DZ603" s="14"/>
      <c r="EA603" s="14"/>
      <c r="EB603" s="14"/>
      <c r="EC603" s="14"/>
      <c r="ED603" s="14"/>
      <c r="EE603" s="14"/>
      <c r="EF603" s="14"/>
      <c r="EG603" s="14"/>
      <c r="EH603" s="14"/>
      <c r="EI603" s="14"/>
      <c r="EJ603" s="14"/>
      <c r="EK603" s="14"/>
      <c r="EL603" s="14"/>
    </row>
    <row r="604" spans="2:142" hidden="1" x14ac:dyDescent="0.2">
      <c r="B604" s="905">
        <v>91</v>
      </c>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4"/>
      <c r="BB604" s="14"/>
      <c r="BC604" s="14"/>
      <c r="BD604" s="14"/>
      <c r="BE604" s="14"/>
      <c r="BF604" s="14"/>
      <c r="BG604" s="14"/>
      <c r="BH604" s="14"/>
      <c r="BI604" s="14"/>
      <c r="BJ604" s="14"/>
      <c r="BK604" s="14"/>
      <c r="BL604" s="14"/>
      <c r="BM604" s="14"/>
      <c r="BN604" s="14"/>
      <c r="BO604" s="14"/>
      <c r="BP604" s="14"/>
      <c r="BQ604" s="14"/>
      <c r="BR604" s="14"/>
      <c r="BS604" s="14"/>
      <c r="BT604" s="14"/>
      <c r="BU604" s="14"/>
      <c r="BV604" s="14"/>
      <c r="BW604" s="14"/>
      <c r="BX604" s="14"/>
      <c r="BY604" s="14"/>
      <c r="BZ604" s="14"/>
      <c r="CA604" s="14"/>
      <c r="CB604" s="14"/>
      <c r="CC604" s="14"/>
      <c r="CD604" s="14"/>
      <c r="CE604" s="14"/>
      <c r="CF604" s="14"/>
      <c r="CG604" s="14"/>
      <c r="CH604" s="14"/>
      <c r="CI604" s="14"/>
      <c r="CJ604" s="14"/>
      <c r="CK604" s="14"/>
      <c r="CL604" s="14"/>
      <c r="CM604" s="14"/>
      <c r="CN604" s="14"/>
      <c r="CO604" s="14"/>
      <c r="CP604" s="14"/>
      <c r="CQ604" s="14"/>
      <c r="CR604" s="14"/>
      <c r="CS604" s="14"/>
      <c r="CT604" s="14"/>
      <c r="CU604" s="14"/>
      <c r="CV604" s="14"/>
      <c r="CW604" s="14"/>
      <c r="CX604" s="14"/>
      <c r="CY604" s="14"/>
      <c r="CZ604" s="14"/>
      <c r="DA604" s="14"/>
      <c r="DB604" s="14"/>
      <c r="DC604" s="14"/>
      <c r="DD604" s="14"/>
      <c r="DE604" s="14"/>
      <c r="DF604" s="14"/>
      <c r="DG604" s="14"/>
      <c r="DH604" s="14"/>
      <c r="DI604" s="14"/>
      <c r="DJ604" s="14"/>
      <c r="DK604" s="14"/>
      <c r="DL604" s="14"/>
      <c r="DM604" s="14"/>
      <c r="DN604" s="14"/>
      <c r="DO604" s="14"/>
      <c r="DP604" s="14"/>
      <c r="DQ604" s="14"/>
      <c r="DR604" s="14"/>
      <c r="DS604" s="14"/>
      <c r="DT604" s="14"/>
      <c r="DU604" s="14"/>
      <c r="DV604" s="14"/>
      <c r="DW604" s="14"/>
      <c r="DX604" s="14"/>
      <c r="DY604" s="14"/>
      <c r="DZ604" s="14"/>
      <c r="EA604" s="14"/>
      <c r="EB604" s="14"/>
      <c r="EC604" s="14"/>
      <c r="ED604" s="14"/>
      <c r="EE604" s="14"/>
      <c r="EF604" s="14"/>
      <c r="EG604" s="14"/>
      <c r="EH604" s="14"/>
      <c r="EI604" s="14"/>
      <c r="EJ604" s="14"/>
      <c r="EK604" s="14"/>
      <c r="EL604" s="14"/>
    </row>
    <row r="605" spans="2:142" hidden="1" x14ac:dyDescent="0.2">
      <c r="B605" s="905">
        <v>92</v>
      </c>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4"/>
      <c r="BB605" s="14"/>
      <c r="BC605" s="14"/>
      <c r="BD605" s="14"/>
      <c r="BE605" s="14"/>
      <c r="BF605" s="14"/>
      <c r="BG605" s="14"/>
      <c r="BH605" s="14"/>
      <c r="BI605" s="14"/>
      <c r="BJ605" s="14"/>
      <c r="BK605" s="14"/>
      <c r="BL605" s="14"/>
      <c r="BM605" s="14"/>
      <c r="BN605" s="14"/>
      <c r="BO605" s="14"/>
      <c r="BP605" s="14"/>
      <c r="BQ605" s="14"/>
      <c r="BR605" s="14"/>
      <c r="BS605" s="14"/>
      <c r="BT605" s="14"/>
      <c r="BU605" s="14"/>
      <c r="BV605" s="14"/>
      <c r="BW605" s="14"/>
      <c r="BX605" s="14"/>
      <c r="BY605" s="14"/>
      <c r="BZ605" s="14"/>
      <c r="CA605" s="14"/>
      <c r="CB605" s="14"/>
      <c r="CC605" s="14"/>
      <c r="CD605" s="14"/>
      <c r="CE605" s="14"/>
      <c r="CF605" s="14"/>
      <c r="CG605" s="14"/>
      <c r="CH605" s="14"/>
      <c r="CI605" s="14"/>
      <c r="CJ605" s="14"/>
      <c r="CK605" s="14"/>
      <c r="CL605" s="14"/>
      <c r="CM605" s="14"/>
      <c r="CN605" s="14"/>
      <c r="CO605" s="14"/>
      <c r="CP605" s="14"/>
      <c r="CQ605" s="14"/>
      <c r="CR605" s="14"/>
      <c r="CS605" s="14"/>
      <c r="CT605" s="14"/>
      <c r="CU605" s="14"/>
      <c r="CV605" s="14"/>
      <c r="CW605" s="14"/>
      <c r="CX605" s="14"/>
      <c r="CY605" s="14"/>
      <c r="CZ605" s="14"/>
      <c r="DA605" s="14"/>
      <c r="DB605" s="14"/>
      <c r="DC605" s="14"/>
      <c r="DD605" s="14"/>
      <c r="DE605" s="14"/>
      <c r="DF605" s="14"/>
      <c r="DG605" s="14"/>
      <c r="DH605" s="14"/>
      <c r="DI605" s="14"/>
      <c r="DJ605" s="14"/>
      <c r="DK605" s="14"/>
      <c r="DL605" s="14"/>
      <c r="DM605" s="14"/>
      <c r="DN605" s="14"/>
      <c r="DO605" s="14"/>
      <c r="DP605" s="14"/>
      <c r="DQ605" s="14"/>
      <c r="DR605" s="14"/>
      <c r="DS605" s="14"/>
      <c r="DT605" s="14"/>
      <c r="DU605" s="14"/>
      <c r="DV605" s="14"/>
      <c r="DW605" s="14"/>
      <c r="DX605" s="14"/>
      <c r="DY605" s="14"/>
      <c r="DZ605" s="14"/>
      <c r="EA605" s="14"/>
      <c r="EB605" s="14"/>
      <c r="EC605" s="14"/>
      <c r="ED605" s="14"/>
      <c r="EE605" s="14"/>
      <c r="EF605" s="14"/>
      <c r="EG605" s="14"/>
      <c r="EH605" s="14"/>
      <c r="EI605" s="14"/>
      <c r="EJ605" s="14"/>
      <c r="EK605" s="14"/>
      <c r="EL605" s="14"/>
    </row>
    <row r="606" spans="2:142" hidden="1" x14ac:dyDescent="0.2">
      <c r="B606" s="905">
        <v>93</v>
      </c>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4"/>
      <c r="BB606" s="14"/>
      <c r="BC606" s="14"/>
      <c r="BD606" s="14"/>
      <c r="BE606" s="14"/>
      <c r="BF606" s="14"/>
      <c r="BG606" s="14"/>
      <c r="BH606" s="14"/>
      <c r="BI606" s="14"/>
      <c r="BJ606" s="14"/>
      <c r="BK606" s="14"/>
      <c r="BL606" s="14"/>
      <c r="BM606" s="14"/>
      <c r="BN606" s="14"/>
      <c r="BO606" s="14"/>
      <c r="BP606" s="14"/>
      <c r="BQ606" s="14"/>
      <c r="BR606" s="14"/>
      <c r="BS606" s="14"/>
      <c r="BT606" s="14"/>
      <c r="BU606" s="14"/>
      <c r="BV606" s="14"/>
      <c r="BW606" s="14"/>
      <c r="BX606" s="14"/>
      <c r="BY606" s="14"/>
      <c r="BZ606" s="14"/>
      <c r="CA606" s="14"/>
      <c r="CB606" s="14"/>
      <c r="CC606" s="14"/>
      <c r="CD606" s="14"/>
      <c r="CE606" s="14"/>
      <c r="CF606" s="14"/>
      <c r="CG606" s="14"/>
      <c r="CH606" s="14"/>
      <c r="CI606" s="14"/>
      <c r="CJ606" s="14"/>
      <c r="CK606" s="14"/>
      <c r="CL606" s="14"/>
      <c r="CM606" s="14"/>
      <c r="CN606" s="14"/>
      <c r="CO606" s="14"/>
      <c r="CP606" s="14"/>
      <c r="CQ606" s="14"/>
      <c r="CR606" s="14"/>
      <c r="CS606" s="14"/>
      <c r="CT606" s="14"/>
      <c r="CU606" s="14"/>
      <c r="CV606" s="14"/>
      <c r="CW606" s="14"/>
      <c r="CX606" s="14"/>
      <c r="CY606" s="14"/>
      <c r="CZ606" s="14"/>
      <c r="DA606" s="14"/>
      <c r="DB606" s="14"/>
      <c r="DC606" s="14"/>
      <c r="DD606" s="14"/>
      <c r="DE606" s="14"/>
      <c r="DF606" s="14"/>
      <c r="DG606" s="14"/>
      <c r="DH606" s="14"/>
      <c r="DI606" s="14"/>
      <c r="DJ606" s="14"/>
      <c r="DK606" s="14"/>
      <c r="DL606" s="14"/>
      <c r="DM606" s="14"/>
      <c r="DN606" s="14"/>
      <c r="DO606" s="14"/>
      <c r="DP606" s="14"/>
      <c r="DQ606" s="14"/>
      <c r="DR606" s="14"/>
      <c r="DS606" s="14"/>
      <c r="DT606" s="14"/>
      <c r="DU606" s="14"/>
      <c r="DV606" s="14"/>
      <c r="DW606" s="14"/>
      <c r="DX606" s="14"/>
      <c r="DY606" s="14"/>
      <c r="DZ606" s="14"/>
      <c r="EA606" s="14"/>
      <c r="EB606" s="14"/>
      <c r="EC606" s="14"/>
      <c r="ED606" s="14"/>
      <c r="EE606" s="14"/>
      <c r="EF606" s="14"/>
      <c r="EG606" s="14"/>
      <c r="EH606" s="14"/>
      <c r="EI606" s="14"/>
      <c r="EJ606" s="14"/>
      <c r="EK606" s="14"/>
      <c r="EL606" s="14"/>
    </row>
    <row r="607" spans="2:142" hidden="1" x14ac:dyDescent="0.2">
      <c r="B607" s="905">
        <v>94</v>
      </c>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4"/>
      <c r="BB607" s="14"/>
      <c r="BC607" s="14"/>
      <c r="BD607" s="14"/>
      <c r="BE607" s="14"/>
      <c r="BF607" s="14"/>
      <c r="BG607" s="14"/>
      <c r="BH607" s="14"/>
      <c r="BI607" s="14"/>
      <c r="BJ607" s="14"/>
      <c r="BK607" s="14"/>
      <c r="BL607" s="14"/>
      <c r="BM607" s="14"/>
      <c r="BN607" s="14"/>
      <c r="BO607" s="14"/>
      <c r="BP607" s="14"/>
      <c r="BQ607" s="14"/>
      <c r="BR607" s="14"/>
      <c r="BS607" s="14"/>
      <c r="BT607" s="14"/>
      <c r="BU607" s="14"/>
      <c r="BV607" s="14"/>
      <c r="BW607" s="14"/>
      <c r="BX607" s="14"/>
      <c r="BY607" s="14"/>
      <c r="BZ607" s="14"/>
      <c r="CA607" s="14"/>
      <c r="CB607" s="14"/>
      <c r="CC607" s="14"/>
      <c r="CD607" s="14"/>
      <c r="CE607" s="14"/>
      <c r="CF607" s="14"/>
      <c r="CG607" s="14"/>
      <c r="CH607" s="14"/>
      <c r="CI607" s="14"/>
      <c r="CJ607" s="14"/>
      <c r="CK607" s="14"/>
      <c r="CL607" s="14"/>
      <c r="CM607" s="14"/>
      <c r="CN607" s="14"/>
      <c r="CO607" s="14"/>
      <c r="CP607" s="14"/>
      <c r="CQ607" s="14"/>
      <c r="CR607" s="14"/>
      <c r="CS607" s="14"/>
      <c r="CT607" s="14"/>
      <c r="CU607" s="14"/>
      <c r="CV607" s="14"/>
      <c r="CW607" s="14"/>
      <c r="CX607" s="14"/>
      <c r="CY607" s="14"/>
      <c r="CZ607" s="14"/>
      <c r="DA607" s="14"/>
      <c r="DB607" s="14"/>
      <c r="DC607" s="14"/>
      <c r="DD607" s="14"/>
      <c r="DE607" s="14"/>
      <c r="DF607" s="14"/>
      <c r="DG607" s="14"/>
      <c r="DH607" s="14"/>
      <c r="DI607" s="14"/>
      <c r="DJ607" s="14"/>
      <c r="DK607" s="14"/>
      <c r="DL607" s="14"/>
      <c r="DM607" s="14"/>
      <c r="DN607" s="14"/>
      <c r="DO607" s="14"/>
      <c r="DP607" s="14"/>
      <c r="DQ607" s="14"/>
      <c r="DR607" s="14"/>
      <c r="DS607" s="14"/>
      <c r="DT607" s="14"/>
      <c r="DU607" s="14"/>
      <c r="DV607" s="14"/>
      <c r="DW607" s="14"/>
      <c r="DX607" s="14"/>
      <c r="DY607" s="14"/>
      <c r="DZ607" s="14"/>
      <c r="EA607" s="14"/>
      <c r="EB607" s="14"/>
      <c r="EC607" s="14"/>
      <c r="ED607" s="14"/>
      <c r="EE607" s="14"/>
      <c r="EF607" s="14"/>
      <c r="EG607" s="14"/>
      <c r="EH607" s="14"/>
      <c r="EI607" s="14"/>
      <c r="EJ607" s="14"/>
      <c r="EK607" s="14"/>
      <c r="EL607" s="14"/>
    </row>
    <row r="608" spans="2:142" hidden="1" x14ac:dyDescent="0.2">
      <c r="B608" s="905">
        <v>95</v>
      </c>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4"/>
      <c r="BB608" s="14"/>
      <c r="BC608" s="14"/>
      <c r="BD608" s="14"/>
      <c r="BE608" s="14"/>
      <c r="BF608" s="14"/>
      <c r="BG608" s="14"/>
      <c r="BH608" s="14"/>
      <c r="BI608" s="14"/>
      <c r="BJ608" s="14"/>
      <c r="BK608" s="14"/>
      <c r="BL608" s="14"/>
      <c r="BM608" s="14"/>
      <c r="BN608" s="14"/>
      <c r="BO608" s="14"/>
      <c r="BP608" s="14"/>
      <c r="BQ608" s="14"/>
      <c r="BR608" s="14"/>
      <c r="BS608" s="14"/>
      <c r="BT608" s="14"/>
      <c r="BU608" s="14"/>
      <c r="BV608" s="14"/>
      <c r="BW608" s="14"/>
      <c r="BX608" s="14"/>
      <c r="BY608" s="14"/>
      <c r="BZ608" s="14"/>
      <c r="CA608" s="14"/>
      <c r="CB608" s="14"/>
      <c r="CC608" s="14"/>
      <c r="CD608" s="14"/>
      <c r="CE608" s="14"/>
      <c r="CF608" s="14"/>
      <c r="CG608" s="14"/>
      <c r="CH608" s="14"/>
      <c r="CI608" s="14"/>
      <c r="CJ608" s="14"/>
      <c r="CK608" s="14"/>
      <c r="CL608" s="14"/>
      <c r="CM608" s="14"/>
      <c r="CN608" s="14"/>
      <c r="CO608" s="14"/>
      <c r="CP608" s="14"/>
      <c r="CQ608" s="14"/>
      <c r="CR608" s="14"/>
      <c r="CS608" s="14"/>
      <c r="CT608" s="14"/>
      <c r="CU608" s="14"/>
      <c r="CV608" s="14"/>
      <c r="CW608" s="14"/>
      <c r="CX608" s="14"/>
      <c r="CY608" s="14"/>
      <c r="CZ608" s="14"/>
      <c r="DA608" s="14"/>
      <c r="DB608" s="14"/>
      <c r="DC608" s="14"/>
      <c r="DD608" s="14"/>
      <c r="DE608" s="14"/>
      <c r="DF608" s="14"/>
      <c r="DG608" s="14"/>
      <c r="DH608" s="14"/>
      <c r="DI608" s="14"/>
      <c r="DJ608" s="14"/>
      <c r="DK608" s="14"/>
      <c r="DL608" s="14"/>
      <c r="DM608" s="14"/>
      <c r="DN608" s="14"/>
      <c r="DO608" s="14"/>
      <c r="DP608" s="14"/>
      <c r="DQ608" s="14"/>
      <c r="DR608" s="14"/>
      <c r="DS608" s="14"/>
      <c r="DT608" s="14"/>
      <c r="DU608" s="14"/>
      <c r="DV608" s="14"/>
      <c r="DW608" s="14"/>
      <c r="DX608" s="14"/>
      <c r="DY608" s="14"/>
      <c r="DZ608" s="14"/>
      <c r="EA608" s="14"/>
      <c r="EB608" s="14"/>
      <c r="EC608" s="14"/>
      <c r="ED608" s="14"/>
      <c r="EE608" s="14"/>
      <c r="EF608" s="14"/>
      <c r="EG608" s="14"/>
      <c r="EH608" s="14"/>
      <c r="EI608" s="14"/>
      <c r="EJ608" s="14"/>
      <c r="EK608" s="14"/>
      <c r="EL608" s="14"/>
    </row>
    <row r="609" spans="2:142" hidden="1" x14ac:dyDescent="0.2">
      <c r="B609" s="905">
        <v>96</v>
      </c>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4"/>
      <c r="BB609" s="14"/>
      <c r="BC609" s="14"/>
      <c r="BD609" s="14"/>
      <c r="BE609" s="14"/>
      <c r="BF609" s="14"/>
      <c r="BG609" s="14"/>
      <c r="BH609" s="14"/>
      <c r="BI609" s="14"/>
      <c r="BJ609" s="14"/>
      <c r="BK609" s="14"/>
      <c r="BL609" s="14"/>
      <c r="BM609" s="14"/>
      <c r="BN609" s="14"/>
      <c r="BO609" s="14"/>
      <c r="BP609" s="14"/>
      <c r="BQ609" s="14"/>
      <c r="BR609" s="14"/>
      <c r="BS609" s="14"/>
      <c r="BT609" s="14"/>
      <c r="BU609" s="14"/>
      <c r="BV609" s="14"/>
      <c r="BW609" s="14"/>
      <c r="BX609" s="14"/>
      <c r="BY609" s="14"/>
      <c r="BZ609" s="14"/>
      <c r="CA609" s="14"/>
      <c r="CB609" s="14"/>
      <c r="CC609" s="14"/>
      <c r="CD609" s="14"/>
      <c r="CE609" s="14"/>
      <c r="CF609" s="14"/>
      <c r="CG609" s="14"/>
      <c r="CH609" s="14"/>
      <c r="CI609" s="14"/>
      <c r="CJ609" s="14"/>
      <c r="CK609" s="14"/>
      <c r="CL609" s="14"/>
      <c r="CM609" s="14"/>
      <c r="CN609" s="14"/>
      <c r="CO609" s="14"/>
      <c r="CP609" s="14"/>
      <c r="CQ609" s="14"/>
      <c r="CR609" s="14"/>
      <c r="CS609" s="14"/>
      <c r="CT609" s="14"/>
      <c r="CU609" s="14"/>
      <c r="CV609" s="14"/>
      <c r="CW609" s="14"/>
      <c r="CX609" s="14"/>
      <c r="CY609" s="14"/>
      <c r="CZ609" s="14"/>
      <c r="DA609" s="14"/>
      <c r="DB609" s="14"/>
      <c r="DC609" s="14"/>
      <c r="DD609" s="14"/>
      <c r="DE609" s="14"/>
      <c r="DF609" s="14"/>
      <c r="DG609" s="14"/>
      <c r="DH609" s="14"/>
      <c r="DI609" s="14"/>
      <c r="DJ609" s="14"/>
      <c r="DK609" s="14"/>
      <c r="DL609" s="14"/>
      <c r="DM609" s="14"/>
      <c r="DN609" s="14"/>
      <c r="DO609" s="14"/>
      <c r="DP609" s="14"/>
      <c r="DQ609" s="14"/>
      <c r="DR609" s="14"/>
      <c r="DS609" s="14"/>
      <c r="DT609" s="14"/>
      <c r="DU609" s="14"/>
      <c r="DV609" s="14"/>
      <c r="DW609" s="14"/>
      <c r="DX609" s="14"/>
      <c r="DY609" s="14"/>
      <c r="DZ609" s="14"/>
      <c r="EA609" s="14"/>
      <c r="EB609" s="14"/>
      <c r="EC609" s="14"/>
      <c r="ED609" s="14"/>
      <c r="EE609" s="14"/>
      <c r="EF609" s="14"/>
      <c r="EG609" s="14"/>
      <c r="EH609" s="14"/>
      <c r="EI609" s="14"/>
      <c r="EJ609" s="14"/>
      <c r="EK609" s="14"/>
      <c r="EL609" s="14"/>
    </row>
    <row r="610" spans="2:142" hidden="1" x14ac:dyDescent="0.2">
      <c r="B610" s="905">
        <v>97</v>
      </c>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4"/>
      <c r="BB610" s="14"/>
      <c r="BC610" s="14"/>
      <c r="BD610" s="14"/>
      <c r="BE610" s="14"/>
      <c r="BF610" s="14"/>
      <c r="BG610" s="14"/>
      <c r="BH610" s="14"/>
      <c r="BI610" s="14"/>
      <c r="BJ610" s="14"/>
      <c r="BK610" s="14"/>
      <c r="BL610" s="14"/>
      <c r="BM610" s="14"/>
      <c r="BN610" s="14"/>
      <c r="BO610" s="14"/>
      <c r="BP610" s="14"/>
      <c r="BQ610" s="14"/>
      <c r="BR610" s="14"/>
      <c r="BS610" s="14"/>
      <c r="BT610" s="14"/>
      <c r="BU610" s="14"/>
      <c r="BV610" s="14"/>
      <c r="BW610" s="14"/>
      <c r="BX610" s="14"/>
      <c r="BY610" s="14"/>
      <c r="BZ610" s="14"/>
      <c r="CA610" s="14"/>
      <c r="CB610" s="14"/>
      <c r="CC610" s="14"/>
      <c r="CD610" s="14"/>
      <c r="CE610" s="14"/>
      <c r="CF610" s="14"/>
      <c r="CG610" s="14"/>
      <c r="CH610" s="14"/>
      <c r="CI610" s="14"/>
      <c r="CJ610" s="14"/>
      <c r="CK610" s="14"/>
      <c r="CL610" s="14"/>
      <c r="CM610" s="14"/>
      <c r="CN610" s="14"/>
      <c r="CO610" s="14"/>
      <c r="CP610" s="14"/>
      <c r="CQ610" s="14"/>
      <c r="CR610" s="14"/>
      <c r="CS610" s="14"/>
      <c r="CT610" s="14"/>
      <c r="CU610" s="14"/>
      <c r="CV610" s="14"/>
      <c r="CW610" s="14"/>
      <c r="CX610" s="14"/>
      <c r="CY610" s="14"/>
      <c r="CZ610" s="14"/>
      <c r="DA610" s="14"/>
      <c r="DB610" s="14"/>
      <c r="DC610" s="14"/>
      <c r="DD610" s="14"/>
      <c r="DE610" s="14"/>
      <c r="DF610" s="14"/>
      <c r="DG610" s="14"/>
      <c r="DH610" s="14"/>
      <c r="DI610" s="14"/>
      <c r="DJ610" s="14"/>
      <c r="DK610" s="14"/>
      <c r="DL610" s="14"/>
      <c r="DM610" s="14"/>
      <c r="DN610" s="14"/>
      <c r="DO610" s="14"/>
      <c r="DP610" s="14"/>
      <c r="DQ610" s="14"/>
      <c r="DR610" s="14"/>
      <c r="DS610" s="14"/>
      <c r="DT610" s="14"/>
      <c r="DU610" s="14"/>
      <c r="DV610" s="14"/>
      <c r="DW610" s="14"/>
      <c r="DX610" s="14"/>
      <c r="DY610" s="14"/>
      <c r="DZ610" s="14"/>
      <c r="EA610" s="14"/>
      <c r="EB610" s="14"/>
      <c r="EC610" s="14"/>
      <c r="ED610" s="14"/>
      <c r="EE610" s="14"/>
      <c r="EF610" s="14"/>
      <c r="EG610" s="14"/>
      <c r="EH610" s="14"/>
      <c r="EI610" s="14"/>
      <c r="EJ610" s="14"/>
      <c r="EK610" s="14"/>
      <c r="EL610" s="14"/>
    </row>
    <row r="611" spans="2:142" hidden="1" x14ac:dyDescent="0.2">
      <c r="B611" s="905">
        <v>98</v>
      </c>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4"/>
      <c r="BB611" s="14"/>
      <c r="BC611" s="14"/>
      <c r="BD611" s="14"/>
      <c r="BE611" s="14"/>
      <c r="BF611" s="14"/>
      <c r="BG611" s="14"/>
      <c r="BH611" s="14"/>
      <c r="BI611" s="14"/>
      <c r="BJ611" s="14"/>
      <c r="BK611" s="14"/>
      <c r="BL611" s="14"/>
      <c r="BM611" s="14"/>
      <c r="BN611" s="14"/>
      <c r="BO611" s="14"/>
      <c r="BP611" s="14"/>
      <c r="BQ611" s="14"/>
      <c r="BR611" s="14"/>
      <c r="BS611" s="14"/>
      <c r="BT611" s="14"/>
      <c r="BU611" s="14"/>
      <c r="BV611" s="14"/>
      <c r="BW611" s="14"/>
      <c r="BX611" s="14"/>
      <c r="BY611" s="14"/>
      <c r="BZ611" s="14"/>
      <c r="CA611" s="14"/>
      <c r="CB611" s="14"/>
      <c r="CC611" s="14"/>
      <c r="CD611" s="14"/>
      <c r="CE611" s="14"/>
      <c r="CF611" s="14"/>
      <c r="CG611" s="14"/>
      <c r="CH611" s="14"/>
      <c r="CI611" s="14"/>
      <c r="CJ611" s="14"/>
      <c r="CK611" s="14"/>
      <c r="CL611" s="14"/>
      <c r="CM611" s="14"/>
      <c r="CN611" s="14"/>
      <c r="CO611" s="14"/>
      <c r="CP611" s="14"/>
      <c r="CQ611" s="14"/>
      <c r="CR611" s="14"/>
      <c r="CS611" s="14"/>
      <c r="CT611" s="14"/>
      <c r="CU611" s="14"/>
      <c r="CV611" s="14"/>
      <c r="CW611" s="14"/>
      <c r="CX611" s="14"/>
      <c r="CY611" s="14"/>
      <c r="CZ611" s="14"/>
      <c r="DA611" s="14"/>
      <c r="DB611" s="14"/>
      <c r="DC611" s="14"/>
      <c r="DD611" s="14"/>
      <c r="DE611" s="14"/>
      <c r="DF611" s="14"/>
      <c r="DG611" s="14"/>
      <c r="DH611" s="14"/>
      <c r="DI611" s="14"/>
      <c r="DJ611" s="14"/>
      <c r="DK611" s="14"/>
      <c r="DL611" s="14"/>
      <c r="DM611" s="14"/>
      <c r="DN611" s="14"/>
      <c r="DO611" s="14"/>
      <c r="DP611" s="14"/>
      <c r="DQ611" s="14"/>
      <c r="DR611" s="14"/>
      <c r="DS611" s="14"/>
      <c r="DT611" s="14"/>
      <c r="DU611" s="14"/>
      <c r="DV611" s="14"/>
      <c r="DW611" s="14"/>
      <c r="DX611" s="14"/>
      <c r="DY611" s="14"/>
      <c r="DZ611" s="14"/>
      <c r="EA611" s="14"/>
      <c r="EB611" s="14"/>
      <c r="EC611" s="14"/>
      <c r="ED611" s="14"/>
      <c r="EE611" s="14"/>
      <c r="EF611" s="14"/>
      <c r="EG611" s="14"/>
      <c r="EH611" s="14"/>
      <c r="EI611" s="14"/>
      <c r="EJ611" s="14"/>
      <c r="EK611" s="14"/>
      <c r="EL611" s="14"/>
    </row>
    <row r="612" spans="2:142" hidden="1" x14ac:dyDescent="0.2">
      <c r="B612" s="905">
        <v>99</v>
      </c>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4"/>
      <c r="BB612" s="14"/>
      <c r="BC612" s="14"/>
      <c r="BD612" s="14"/>
      <c r="BE612" s="14"/>
      <c r="BF612" s="14"/>
      <c r="BG612" s="14"/>
      <c r="BH612" s="14"/>
      <c r="BI612" s="14"/>
      <c r="BJ612" s="14"/>
      <c r="BK612" s="14"/>
      <c r="BL612" s="14"/>
      <c r="BM612" s="14"/>
      <c r="BN612" s="14"/>
      <c r="BO612" s="14"/>
      <c r="BP612" s="14"/>
      <c r="BQ612" s="14"/>
      <c r="BR612" s="14"/>
      <c r="BS612" s="14"/>
      <c r="BT612" s="14"/>
      <c r="BU612" s="14"/>
      <c r="BV612" s="14"/>
      <c r="BW612" s="14"/>
      <c r="BX612" s="14"/>
      <c r="BY612" s="14"/>
      <c r="BZ612" s="14"/>
      <c r="CA612" s="14"/>
      <c r="CB612" s="14"/>
      <c r="CC612" s="14"/>
      <c r="CD612" s="14"/>
      <c r="CE612" s="14"/>
      <c r="CF612" s="14"/>
      <c r="CG612" s="14"/>
      <c r="CH612" s="14"/>
      <c r="CI612" s="14"/>
      <c r="CJ612" s="14"/>
      <c r="CK612" s="14"/>
      <c r="CL612" s="14"/>
      <c r="CM612" s="14"/>
      <c r="CN612" s="14"/>
      <c r="CO612" s="14"/>
      <c r="CP612" s="14"/>
      <c r="CQ612" s="14"/>
      <c r="CR612" s="14"/>
      <c r="CS612" s="14"/>
      <c r="CT612" s="14"/>
      <c r="CU612" s="14"/>
      <c r="CV612" s="14"/>
      <c r="CW612" s="14"/>
      <c r="CX612" s="14"/>
      <c r="CY612" s="14"/>
      <c r="CZ612" s="14"/>
      <c r="DA612" s="14"/>
      <c r="DB612" s="14"/>
      <c r="DC612" s="14"/>
      <c r="DD612" s="14"/>
      <c r="DE612" s="14"/>
      <c r="DF612" s="14"/>
      <c r="DG612" s="14"/>
      <c r="DH612" s="14"/>
      <c r="DI612" s="14"/>
      <c r="DJ612" s="14"/>
      <c r="DK612" s="14"/>
      <c r="DL612" s="14"/>
      <c r="DM612" s="14"/>
      <c r="DN612" s="14"/>
      <c r="DO612" s="14"/>
      <c r="DP612" s="14"/>
      <c r="DQ612" s="14"/>
      <c r="DR612" s="14"/>
      <c r="DS612" s="14"/>
      <c r="DT612" s="14"/>
      <c r="DU612" s="14"/>
      <c r="DV612" s="14"/>
      <c r="DW612" s="14"/>
      <c r="DX612" s="14"/>
      <c r="DY612" s="14"/>
      <c r="DZ612" s="14"/>
      <c r="EA612" s="14"/>
      <c r="EB612" s="14"/>
      <c r="EC612" s="14"/>
      <c r="ED612" s="14"/>
      <c r="EE612" s="14"/>
      <c r="EF612" s="14"/>
      <c r="EG612" s="14"/>
      <c r="EH612" s="14"/>
      <c r="EI612" s="14"/>
      <c r="EJ612" s="14"/>
      <c r="EK612" s="14"/>
      <c r="EL612" s="14"/>
    </row>
    <row r="613" spans="2:142" hidden="1" x14ac:dyDescent="0.2">
      <c r="B613" s="905">
        <v>100</v>
      </c>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4"/>
      <c r="BB613" s="14"/>
      <c r="BC613" s="14"/>
      <c r="BD613" s="14"/>
      <c r="BE613" s="14"/>
      <c r="BF613" s="14"/>
      <c r="BG613" s="14"/>
      <c r="BH613" s="14"/>
      <c r="BI613" s="14"/>
      <c r="BJ613" s="14"/>
      <c r="BK613" s="14"/>
      <c r="BL613" s="14"/>
      <c r="BM613" s="14"/>
      <c r="BN613" s="14"/>
      <c r="BO613" s="14"/>
      <c r="BP613" s="14"/>
      <c r="BQ613" s="14"/>
      <c r="BR613" s="14"/>
      <c r="BS613" s="14"/>
      <c r="BT613" s="14"/>
      <c r="BU613" s="14"/>
      <c r="BV613" s="14"/>
      <c r="BW613" s="14"/>
      <c r="BX613" s="14"/>
      <c r="BY613" s="14"/>
      <c r="BZ613" s="14"/>
      <c r="CA613" s="14"/>
      <c r="CB613" s="14"/>
      <c r="CC613" s="14"/>
      <c r="CD613" s="14"/>
      <c r="CE613" s="14"/>
      <c r="CF613" s="14"/>
      <c r="CG613" s="14"/>
      <c r="CH613" s="14"/>
      <c r="CI613" s="14"/>
      <c r="CJ613" s="14"/>
      <c r="CK613" s="14"/>
      <c r="CL613" s="14"/>
      <c r="CM613" s="14"/>
      <c r="CN613" s="14"/>
      <c r="CO613" s="14"/>
      <c r="CP613" s="14"/>
      <c r="CQ613" s="14"/>
      <c r="CR613" s="14"/>
      <c r="CS613" s="14"/>
      <c r="CT613" s="14"/>
      <c r="CU613" s="14"/>
      <c r="CV613" s="14"/>
      <c r="CW613" s="14"/>
      <c r="CX613" s="14"/>
      <c r="CY613" s="14"/>
      <c r="CZ613" s="14"/>
      <c r="DA613" s="14"/>
      <c r="DB613" s="14"/>
      <c r="DC613" s="14"/>
      <c r="DD613" s="14"/>
      <c r="DE613" s="14"/>
      <c r="DF613" s="14"/>
      <c r="DG613" s="14"/>
      <c r="DH613" s="14"/>
      <c r="DI613" s="14"/>
      <c r="DJ613" s="14"/>
      <c r="DK613" s="14"/>
      <c r="DL613" s="14"/>
      <c r="DM613" s="14"/>
      <c r="DN613" s="14"/>
      <c r="DO613" s="14"/>
      <c r="DP613" s="14"/>
      <c r="DQ613" s="14"/>
      <c r="DR613" s="14"/>
      <c r="DS613" s="14"/>
      <c r="DT613" s="14"/>
      <c r="DU613" s="14"/>
      <c r="DV613" s="14"/>
      <c r="DW613" s="14"/>
      <c r="DX613" s="14"/>
      <c r="DY613" s="14"/>
      <c r="DZ613" s="14"/>
      <c r="EA613" s="14"/>
      <c r="EB613" s="14"/>
      <c r="EC613" s="14"/>
      <c r="ED613" s="14"/>
      <c r="EE613" s="14"/>
      <c r="EF613" s="14"/>
      <c r="EG613" s="14"/>
      <c r="EH613" s="14"/>
      <c r="EI613" s="14"/>
      <c r="EJ613" s="14"/>
      <c r="EK613" s="14"/>
      <c r="EL613" s="14"/>
    </row>
    <row r="614" spans="2:142" hidden="1" x14ac:dyDescent="0.2">
      <c r="B614" s="905">
        <v>101</v>
      </c>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4"/>
      <c r="BB614" s="14"/>
      <c r="BC614" s="14"/>
      <c r="BD614" s="14"/>
      <c r="BE614" s="14"/>
      <c r="BF614" s="14"/>
      <c r="BG614" s="14"/>
      <c r="BH614" s="14"/>
      <c r="BI614" s="14"/>
      <c r="BJ614" s="14"/>
      <c r="BK614" s="14"/>
      <c r="BL614" s="14"/>
      <c r="BM614" s="14"/>
      <c r="BN614" s="14"/>
      <c r="BO614" s="14"/>
      <c r="BP614" s="14"/>
      <c r="BQ614" s="14"/>
      <c r="BR614" s="14"/>
      <c r="BS614" s="14"/>
      <c r="BT614" s="14"/>
      <c r="BU614" s="14"/>
      <c r="BV614" s="14"/>
      <c r="BW614" s="14"/>
      <c r="BX614" s="14"/>
      <c r="BY614" s="14"/>
      <c r="BZ614" s="14"/>
      <c r="CA614" s="14"/>
      <c r="CB614" s="14"/>
      <c r="CC614" s="14"/>
      <c r="CD614" s="14"/>
      <c r="CE614" s="14"/>
      <c r="CF614" s="14"/>
      <c r="CG614" s="14"/>
      <c r="CH614" s="14"/>
      <c r="CI614" s="14"/>
      <c r="CJ614" s="14"/>
      <c r="CK614" s="14"/>
      <c r="CL614" s="14"/>
      <c r="CM614" s="14"/>
      <c r="CN614" s="14"/>
      <c r="CO614" s="14"/>
      <c r="CP614" s="14"/>
      <c r="CQ614" s="14"/>
      <c r="CR614" s="14"/>
      <c r="CS614" s="14"/>
      <c r="CT614" s="14"/>
      <c r="CU614" s="14"/>
      <c r="CV614" s="14"/>
      <c r="CW614" s="14"/>
      <c r="CX614" s="14"/>
      <c r="CY614" s="14"/>
      <c r="CZ614" s="14"/>
      <c r="DA614" s="14"/>
      <c r="DB614" s="14"/>
      <c r="DC614" s="14"/>
      <c r="DD614" s="14"/>
      <c r="DE614" s="14"/>
      <c r="DF614" s="14"/>
      <c r="DG614" s="14"/>
      <c r="DH614" s="14"/>
      <c r="DI614" s="14"/>
      <c r="DJ614" s="14"/>
      <c r="DK614" s="14"/>
      <c r="DL614" s="14"/>
      <c r="DM614" s="14"/>
      <c r="DN614" s="14"/>
      <c r="DO614" s="14"/>
      <c r="DP614" s="14"/>
      <c r="DQ614" s="14"/>
      <c r="DR614" s="14"/>
      <c r="DS614" s="14"/>
      <c r="DT614" s="14"/>
      <c r="DU614" s="14"/>
      <c r="DV614" s="14"/>
      <c r="DW614" s="14"/>
      <c r="DX614" s="14"/>
      <c r="DY614" s="14"/>
      <c r="DZ614" s="14"/>
      <c r="EA614" s="14"/>
      <c r="EB614" s="14"/>
      <c r="EC614" s="14"/>
      <c r="ED614" s="14"/>
      <c r="EE614" s="14"/>
      <c r="EF614" s="14"/>
      <c r="EG614" s="14"/>
      <c r="EH614" s="14"/>
      <c r="EI614" s="14"/>
      <c r="EJ614" s="14"/>
      <c r="EK614" s="14"/>
      <c r="EL614" s="14"/>
    </row>
    <row r="615" spans="2:142" hidden="1" x14ac:dyDescent="0.2">
      <c r="B615" s="905">
        <v>102</v>
      </c>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4"/>
      <c r="BB615" s="14"/>
      <c r="BC615" s="14"/>
      <c r="BD615" s="14"/>
      <c r="BE615" s="14"/>
      <c r="BF615" s="14"/>
      <c r="BG615" s="14"/>
      <c r="BH615" s="14"/>
      <c r="BI615" s="14"/>
      <c r="BJ615" s="14"/>
      <c r="BK615" s="14"/>
      <c r="BL615" s="14"/>
      <c r="BM615" s="14"/>
      <c r="BN615" s="14"/>
      <c r="BO615" s="14"/>
      <c r="BP615" s="14"/>
      <c r="BQ615" s="14"/>
      <c r="BR615" s="14"/>
      <c r="BS615" s="14"/>
      <c r="BT615" s="14"/>
      <c r="BU615" s="14"/>
      <c r="BV615" s="14"/>
      <c r="BW615" s="14"/>
      <c r="BX615" s="14"/>
      <c r="BY615" s="14"/>
      <c r="BZ615" s="14"/>
      <c r="CA615" s="14"/>
      <c r="CB615" s="14"/>
      <c r="CC615" s="14"/>
      <c r="CD615" s="14"/>
      <c r="CE615" s="14"/>
      <c r="CF615" s="14"/>
      <c r="CG615" s="14"/>
      <c r="CH615" s="14"/>
      <c r="CI615" s="14"/>
      <c r="CJ615" s="14"/>
      <c r="CK615" s="14"/>
      <c r="CL615" s="14"/>
      <c r="CM615" s="14"/>
      <c r="CN615" s="14"/>
      <c r="CO615" s="14"/>
      <c r="CP615" s="14"/>
      <c r="CQ615" s="14"/>
      <c r="CR615" s="14"/>
      <c r="CS615" s="14"/>
      <c r="CT615" s="14"/>
      <c r="CU615" s="14"/>
      <c r="CV615" s="14"/>
      <c r="CW615" s="14"/>
      <c r="CX615" s="14"/>
      <c r="CY615" s="14"/>
      <c r="CZ615" s="14"/>
      <c r="DA615" s="14"/>
      <c r="DB615" s="14"/>
      <c r="DC615" s="14"/>
      <c r="DD615" s="14"/>
      <c r="DE615" s="14"/>
      <c r="DF615" s="14"/>
      <c r="DG615" s="14"/>
      <c r="DH615" s="14"/>
      <c r="DI615" s="14"/>
      <c r="DJ615" s="14"/>
      <c r="DK615" s="14"/>
      <c r="DL615" s="14"/>
      <c r="DM615" s="14"/>
      <c r="DN615" s="14"/>
      <c r="DO615" s="14"/>
      <c r="DP615" s="14"/>
      <c r="DQ615" s="14"/>
      <c r="DR615" s="14"/>
      <c r="DS615" s="14"/>
      <c r="DT615" s="14"/>
      <c r="DU615" s="14"/>
      <c r="DV615" s="14"/>
      <c r="DW615" s="14"/>
      <c r="DX615" s="14"/>
      <c r="DY615" s="14"/>
      <c r="DZ615" s="14"/>
      <c r="EA615" s="14"/>
      <c r="EB615" s="14"/>
      <c r="EC615" s="14"/>
      <c r="ED615" s="14"/>
      <c r="EE615" s="14"/>
      <c r="EF615" s="14"/>
      <c r="EG615" s="14"/>
      <c r="EH615" s="14"/>
      <c r="EI615" s="14"/>
      <c r="EJ615" s="14"/>
      <c r="EK615" s="14"/>
      <c r="EL615" s="14"/>
    </row>
    <row r="616" spans="2:142" hidden="1" x14ac:dyDescent="0.2">
      <c r="B616" s="905">
        <v>103</v>
      </c>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4"/>
      <c r="BB616" s="14"/>
      <c r="BC616" s="14"/>
      <c r="BD616" s="14"/>
      <c r="BE616" s="14"/>
      <c r="BF616" s="14"/>
      <c r="BG616" s="14"/>
      <c r="BH616" s="14"/>
      <c r="BI616" s="14"/>
      <c r="BJ616" s="14"/>
      <c r="BK616" s="14"/>
      <c r="BL616" s="14"/>
      <c r="BM616" s="14"/>
      <c r="BN616" s="14"/>
      <c r="BO616" s="14"/>
      <c r="BP616" s="14"/>
      <c r="BQ616" s="14"/>
      <c r="BR616" s="14"/>
      <c r="BS616" s="14"/>
      <c r="BT616" s="14"/>
      <c r="BU616" s="14"/>
      <c r="BV616" s="14"/>
      <c r="BW616" s="14"/>
      <c r="BX616" s="14"/>
      <c r="BY616" s="14"/>
      <c r="BZ616" s="14"/>
      <c r="CA616" s="14"/>
      <c r="CB616" s="14"/>
      <c r="CC616" s="14"/>
      <c r="CD616" s="14"/>
      <c r="CE616" s="14"/>
      <c r="CF616" s="14"/>
      <c r="CG616" s="14"/>
      <c r="CH616" s="14"/>
      <c r="CI616" s="14"/>
      <c r="CJ616" s="14"/>
      <c r="CK616" s="14"/>
      <c r="CL616" s="14"/>
      <c r="CM616" s="14"/>
      <c r="CN616" s="14"/>
      <c r="CO616" s="14"/>
      <c r="CP616" s="14"/>
      <c r="CQ616" s="14"/>
      <c r="CR616" s="14"/>
      <c r="CS616" s="14"/>
      <c r="CT616" s="14"/>
      <c r="CU616" s="14"/>
      <c r="CV616" s="14"/>
      <c r="CW616" s="14"/>
      <c r="CX616" s="14"/>
      <c r="CY616" s="14"/>
      <c r="CZ616" s="14"/>
      <c r="DA616" s="14"/>
      <c r="DB616" s="14"/>
      <c r="DC616" s="14"/>
      <c r="DD616" s="14"/>
      <c r="DE616" s="14"/>
      <c r="DF616" s="14"/>
      <c r="DG616" s="14"/>
      <c r="DH616" s="14"/>
      <c r="DI616" s="14"/>
      <c r="DJ616" s="14"/>
      <c r="DK616" s="14"/>
      <c r="DL616" s="14"/>
      <c r="DM616" s="14"/>
      <c r="DN616" s="14"/>
      <c r="DO616" s="14"/>
      <c r="DP616" s="14"/>
      <c r="DQ616" s="14"/>
      <c r="DR616" s="14"/>
      <c r="DS616" s="14"/>
      <c r="DT616" s="14"/>
      <c r="DU616" s="14"/>
      <c r="DV616" s="14"/>
      <c r="DW616" s="14"/>
      <c r="DX616" s="14"/>
      <c r="DY616" s="14"/>
      <c r="DZ616" s="14"/>
      <c r="EA616" s="14"/>
      <c r="EB616" s="14"/>
      <c r="EC616" s="14"/>
      <c r="ED616" s="14"/>
      <c r="EE616" s="14"/>
      <c r="EF616" s="14"/>
      <c r="EG616" s="14"/>
      <c r="EH616" s="14"/>
      <c r="EI616" s="14"/>
      <c r="EJ616" s="14"/>
      <c r="EK616" s="14"/>
      <c r="EL616" s="14"/>
    </row>
    <row r="617" spans="2:142" hidden="1" x14ac:dyDescent="0.2">
      <c r="B617" s="905">
        <v>104</v>
      </c>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4"/>
      <c r="BB617" s="14"/>
      <c r="BC617" s="14"/>
      <c r="BD617" s="14"/>
      <c r="BE617" s="14"/>
      <c r="BF617" s="14"/>
      <c r="BG617" s="14"/>
      <c r="BH617" s="14"/>
      <c r="BI617" s="14"/>
      <c r="BJ617" s="14"/>
      <c r="BK617" s="14"/>
      <c r="BL617" s="14"/>
      <c r="BM617" s="14"/>
      <c r="BN617" s="14"/>
      <c r="BO617" s="14"/>
      <c r="BP617" s="14"/>
      <c r="BQ617" s="14"/>
      <c r="BR617" s="14"/>
      <c r="BS617" s="14"/>
      <c r="BT617" s="14"/>
      <c r="BU617" s="14"/>
      <c r="BV617" s="14"/>
      <c r="BW617" s="14"/>
      <c r="BX617" s="14"/>
      <c r="BY617" s="14"/>
      <c r="BZ617" s="14"/>
      <c r="CA617" s="14"/>
      <c r="CB617" s="14"/>
      <c r="CC617" s="14"/>
      <c r="CD617" s="14"/>
      <c r="CE617" s="14"/>
      <c r="CF617" s="14"/>
      <c r="CG617" s="14"/>
      <c r="CH617" s="14"/>
      <c r="CI617" s="14"/>
      <c r="CJ617" s="14"/>
      <c r="CK617" s="14"/>
      <c r="CL617" s="14"/>
      <c r="CM617" s="14"/>
      <c r="CN617" s="14"/>
      <c r="CO617" s="14"/>
      <c r="CP617" s="14"/>
      <c r="CQ617" s="14"/>
      <c r="CR617" s="14"/>
      <c r="CS617" s="14"/>
      <c r="CT617" s="14"/>
      <c r="CU617" s="14"/>
      <c r="CV617" s="14"/>
      <c r="CW617" s="14"/>
      <c r="CX617" s="14"/>
      <c r="CY617" s="14"/>
      <c r="CZ617" s="14"/>
      <c r="DA617" s="14"/>
      <c r="DB617" s="14"/>
      <c r="DC617" s="14"/>
      <c r="DD617" s="14"/>
      <c r="DE617" s="14"/>
      <c r="DF617" s="14"/>
      <c r="DG617" s="14"/>
      <c r="DH617" s="14"/>
      <c r="DI617" s="14"/>
      <c r="DJ617" s="14"/>
      <c r="DK617" s="14"/>
      <c r="DL617" s="14"/>
      <c r="DM617" s="14"/>
      <c r="DN617" s="14"/>
      <c r="DO617" s="14"/>
      <c r="DP617" s="14"/>
      <c r="DQ617" s="14"/>
      <c r="DR617" s="14"/>
      <c r="DS617" s="14"/>
      <c r="DT617" s="14"/>
      <c r="DU617" s="14"/>
      <c r="DV617" s="14"/>
      <c r="DW617" s="14"/>
      <c r="DX617" s="14"/>
      <c r="DY617" s="14"/>
      <c r="DZ617" s="14"/>
      <c r="EA617" s="14"/>
      <c r="EB617" s="14"/>
      <c r="EC617" s="14"/>
      <c r="ED617" s="14"/>
      <c r="EE617" s="14"/>
      <c r="EF617" s="14"/>
      <c r="EG617" s="14"/>
      <c r="EH617" s="14"/>
      <c r="EI617" s="14"/>
      <c r="EJ617" s="14"/>
      <c r="EK617" s="14"/>
      <c r="EL617" s="14"/>
    </row>
    <row r="618" spans="2:142" hidden="1" x14ac:dyDescent="0.2">
      <c r="B618" s="905">
        <v>105</v>
      </c>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4"/>
      <c r="BB618" s="14"/>
      <c r="BC618" s="14"/>
      <c r="BD618" s="14"/>
      <c r="BE618" s="14"/>
      <c r="BF618" s="14"/>
      <c r="BG618" s="14"/>
      <c r="BH618" s="14"/>
      <c r="BI618" s="14"/>
      <c r="BJ618" s="14"/>
      <c r="BK618" s="14"/>
      <c r="BL618" s="14"/>
      <c r="BM618" s="14"/>
      <c r="BN618" s="14"/>
      <c r="BO618" s="14"/>
      <c r="BP618" s="14"/>
      <c r="BQ618" s="14"/>
      <c r="BR618" s="14"/>
      <c r="BS618" s="14"/>
      <c r="BT618" s="14"/>
      <c r="BU618" s="14"/>
      <c r="BV618" s="14"/>
      <c r="BW618" s="14"/>
      <c r="BX618" s="14"/>
      <c r="BY618" s="14"/>
      <c r="BZ618" s="14"/>
      <c r="CA618" s="14"/>
      <c r="CB618" s="14"/>
      <c r="CC618" s="14"/>
      <c r="CD618" s="14"/>
      <c r="CE618" s="14"/>
      <c r="CF618" s="14"/>
      <c r="CG618" s="14"/>
      <c r="CH618" s="14"/>
      <c r="CI618" s="14"/>
      <c r="CJ618" s="14"/>
      <c r="CK618" s="14"/>
      <c r="CL618" s="14"/>
      <c r="CM618" s="14"/>
      <c r="CN618" s="14"/>
      <c r="CO618" s="14"/>
      <c r="CP618" s="14"/>
      <c r="CQ618" s="14"/>
      <c r="CR618" s="14"/>
      <c r="CS618" s="14"/>
      <c r="CT618" s="14"/>
      <c r="CU618" s="14"/>
      <c r="CV618" s="14"/>
      <c r="CW618" s="14"/>
      <c r="CX618" s="14"/>
      <c r="CY618" s="14"/>
      <c r="CZ618" s="14"/>
      <c r="DA618" s="14"/>
      <c r="DB618" s="14"/>
      <c r="DC618" s="14"/>
      <c r="DD618" s="14"/>
      <c r="DE618" s="14"/>
      <c r="DF618" s="14"/>
      <c r="DG618" s="14"/>
      <c r="DH618" s="14"/>
      <c r="DI618" s="14"/>
      <c r="DJ618" s="14"/>
      <c r="DK618" s="14"/>
      <c r="DL618" s="14"/>
      <c r="DM618" s="14"/>
      <c r="DN618" s="14"/>
      <c r="DO618" s="14"/>
      <c r="DP618" s="14"/>
      <c r="DQ618" s="14"/>
      <c r="DR618" s="14"/>
      <c r="DS618" s="14"/>
      <c r="DT618" s="14"/>
      <c r="DU618" s="14"/>
      <c r="DV618" s="14"/>
      <c r="DW618" s="14"/>
      <c r="DX618" s="14"/>
      <c r="DY618" s="14"/>
      <c r="DZ618" s="14"/>
      <c r="EA618" s="14"/>
      <c r="EB618" s="14"/>
      <c r="EC618" s="14"/>
      <c r="ED618" s="14"/>
      <c r="EE618" s="14"/>
      <c r="EF618" s="14"/>
      <c r="EG618" s="14"/>
      <c r="EH618" s="14"/>
      <c r="EI618" s="14"/>
      <c r="EJ618" s="14"/>
      <c r="EK618" s="14"/>
      <c r="EL618" s="14"/>
    </row>
    <row r="619" spans="2:142" hidden="1" x14ac:dyDescent="0.2">
      <c r="B619" s="905">
        <v>106</v>
      </c>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4"/>
      <c r="BB619" s="14"/>
      <c r="BC619" s="14"/>
      <c r="BD619" s="14"/>
      <c r="BE619" s="14"/>
      <c r="BF619" s="14"/>
      <c r="BG619" s="14"/>
      <c r="BH619" s="14"/>
      <c r="BI619" s="14"/>
      <c r="BJ619" s="14"/>
      <c r="BK619" s="14"/>
      <c r="BL619" s="14"/>
      <c r="BM619" s="14"/>
      <c r="BN619" s="14"/>
      <c r="BO619" s="14"/>
      <c r="BP619" s="14"/>
      <c r="BQ619" s="14"/>
      <c r="BR619" s="14"/>
      <c r="BS619" s="14"/>
      <c r="BT619" s="14"/>
      <c r="BU619" s="14"/>
      <c r="BV619" s="14"/>
      <c r="BW619" s="14"/>
      <c r="BX619" s="14"/>
      <c r="BY619" s="14"/>
      <c r="BZ619" s="14"/>
      <c r="CA619" s="14"/>
      <c r="CB619" s="14"/>
      <c r="CC619" s="14"/>
      <c r="CD619" s="14"/>
      <c r="CE619" s="14"/>
      <c r="CF619" s="14"/>
      <c r="CG619" s="14"/>
      <c r="CH619" s="14"/>
      <c r="CI619" s="14"/>
      <c r="CJ619" s="14"/>
      <c r="CK619" s="14"/>
      <c r="CL619" s="14"/>
      <c r="CM619" s="14"/>
      <c r="CN619" s="14"/>
      <c r="CO619" s="14"/>
      <c r="CP619" s="14"/>
      <c r="CQ619" s="14"/>
      <c r="CR619" s="14"/>
      <c r="CS619" s="14"/>
      <c r="CT619" s="14"/>
      <c r="CU619" s="14"/>
      <c r="CV619" s="14"/>
      <c r="CW619" s="14"/>
      <c r="CX619" s="14"/>
      <c r="CY619" s="14"/>
      <c r="CZ619" s="14"/>
      <c r="DA619" s="14"/>
      <c r="DB619" s="14"/>
      <c r="DC619" s="14"/>
      <c r="DD619" s="14"/>
      <c r="DE619" s="14"/>
      <c r="DF619" s="14"/>
      <c r="DG619" s="14"/>
      <c r="DH619" s="14"/>
      <c r="DI619" s="14"/>
      <c r="DJ619" s="14"/>
      <c r="DK619" s="14"/>
      <c r="DL619" s="14"/>
      <c r="DM619" s="14"/>
      <c r="DN619" s="14"/>
      <c r="DO619" s="14"/>
      <c r="DP619" s="14"/>
      <c r="DQ619" s="14"/>
      <c r="DR619" s="14"/>
      <c r="DS619" s="14"/>
      <c r="DT619" s="14"/>
      <c r="DU619" s="14"/>
      <c r="DV619" s="14"/>
      <c r="DW619" s="14"/>
      <c r="DX619" s="14"/>
      <c r="DY619" s="14"/>
      <c r="DZ619" s="14"/>
      <c r="EA619" s="14"/>
      <c r="EB619" s="14"/>
      <c r="EC619" s="14"/>
      <c r="ED619" s="14"/>
      <c r="EE619" s="14"/>
      <c r="EF619" s="14"/>
      <c r="EG619" s="14"/>
      <c r="EH619" s="14"/>
      <c r="EI619" s="14"/>
      <c r="EJ619" s="14"/>
      <c r="EK619" s="14"/>
      <c r="EL619" s="14"/>
    </row>
    <row r="620" spans="2:142" hidden="1" x14ac:dyDescent="0.2">
      <c r="B620" s="905">
        <v>107</v>
      </c>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4"/>
      <c r="BB620" s="14"/>
      <c r="BC620" s="14"/>
      <c r="BD620" s="14"/>
      <c r="BE620" s="14"/>
      <c r="BF620" s="14"/>
      <c r="BG620" s="14"/>
      <c r="BH620" s="14"/>
      <c r="BI620" s="14"/>
      <c r="BJ620" s="14"/>
      <c r="BK620" s="14"/>
      <c r="BL620" s="14"/>
      <c r="BM620" s="14"/>
      <c r="BN620" s="14"/>
      <c r="BO620" s="14"/>
      <c r="BP620" s="14"/>
      <c r="BQ620" s="14"/>
      <c r="BR620" s="14"/>
      <c r="BS620" s="14"/>
      <c r="BT620" s="14"/>
      <c r="BU620" s="14"/>
      <c r="BV620" s="14"/>
      <c r="BW620" s="14"/>
      <c r="BX620" s="14"/>
      <c r="BY620" s="14"/>
      <c r="BZ620" s="14"/>
      <c r="CA620" s="14"/>
      <c r="CB620" s="14"/>
      <c r="CC620" s="14"/>
      <c r="CD620" s="14"/>
      <c r="CE620" s="14"/>
      <c r="CF620" s="14"/>
      <c r="CG620" s="14"/>
      <c r="CH620" s="14"/>
      <c r="CI620" s="14"/>
      <c r="CJ620" s="14"/>
      <c r="CK620" s="14"/>
      <c r="CL620" s="14"/>
      <c r="CM620" s="14"/>
      <c r="CN620" s="14"/>
      <c r="CO620" s="14"/>
      <c r="CP620" s="14"/>
      <c r="CQ620" s="14"/>
      <c r="CR620" s="14"/>
      <c r="CS620" s="14"/>
      <c r="CT620" s="14"/>
      <c r="CU620" s="14"/>
      <c r="CV620" s="14"/>
      <c r="CW620" s="14"/>
      <c r="CX620" s="14"/>
      <c r="CY620" s="14"/>
      <c r="CZ620" s="14"/>
      <c r="DA620" s="14"/>
      <c r="DB620" s="14"/>
      <c r="DC620" s="14"/>
      <c r="DD620" s="14"/>
      <c r="DE620" s="14"/>
      <c r="DF620" s="14"/>
      <c r="DG620" s="14"/>
      <c r="DH620" s="14"/>
      <c r="DI620" s="14"/>
      <c r="DJ620" s="14"/>
      <c r="DK620" s="14"/>
      <c r="DL620" s="14"/>
      <c r="DM620" s="14"/>
      <c r="DN620" s="14"/>
      <c r="DO620" s="14"/>
      <c r="DP620" s="14"/>
      <c r="DQ620" s="14"/>
      <c r="DR620" s="14"/>
      <c r="DS620" s="14"/>
      <c r="DT620" s="14"/>
      <c r="DU620" s="14"/>
      <c r="DV620" s="14"/>
      <c r="DW620" s="14"/>
      <c r="DX620" s="14"/>
      <c r="DY620" s="14"/>
      <c r="DZ620" s="14"/>
      <c r="EA620" s="14"/>
      <c r="EB620" s="14"/>
      <c r="EC620" s="14"/>
      <c r="ED620" s="14"/>
      <c r="EE620" s="14"/>
      <c r="EF620" s="14"/>
      <c r="EG620" s="14"/>
      <c r="EH620" s="14"/>
      <c r="EI620" s="14"/>
      <c r="EJ620" s="14"/>
      <c r="EK620" s="14"/>
      <c r="EL620" s="14"/>
    </row>
    <row r="621" spans="2:142" hidden="1" x14ac:dyDescent="0.2">
      <c r="B621" s="905">
        <v>108</v>
      </c>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4"/>
      <c r="BB621" s="14"/>
      <c r="BC621" s="14"/>
      <c r="BD621" s="14"/>
      <c r="BE621" s="14"/>
      <c r="BF621" s="14"/>
      <c r="BG621" s="14"/>
      <c r="BH621" s="14"/>
      <c r="BI621" s="14"/>
      <c r="BJ621" s="14"/>
      <c r="BK621" s="14"/>
      <c r="BL621" s="14"/>
      <c r="BM621" s="14"/>
      <c r="BN621" s="14"/>
      <c r="BO621" s="14"/>
      <c r="BP621" s="14"/>
      <c r="BQ621" s="14"/>
      <c r="BR621" s="14"/>
      <c r="BS621" s="14"/>
      <c r="BT621" s="14"/>
      <c r="BU621" s="14"/>
      <c r="BV621" s="14"/>
      <c r="BW621" s="14"/>
      <c r="BX621" s="14"/>
      <c r="BY621" s="14"/>
      <c r="BZ621" s="14"/>
      <c r="CA621" s="14"/>
      <c r="CB621" s="14"/>
      <c r="CC621" s="14"/>
      <c r="CD621" s="14"/>
      <c r="CE621" s="14"/>
      <c r="CF621" s="14"/>
      <c r="CG621" s="14"/>
      <c r="CH621" s="14"/>
      <c r="CI621" s="14"/>
      <c r="CJ621" s="14"/>
      <c r="CK621" s="14"/>
      <c r="CL621" s="14"/>
      <c r="CM621" s="14"/>
      <c r="CN621" s="14"/>
      <c r="CO621" s="14"/>
      <c r="CP621" s="14"/>
      <c r="CQ621" s="14"/>
      <c r="CR621" s="14"/>
      <c r="CS621" s="14"/>
      <c r="CT621" s="14"/>
      <c r="CU621" s="14"/>
      <c r="CV621" s="14"/>
      <c r="CW621" s="14"/>
      <c r="CX621" s="14"/>
      <c r="CY621" s="14"/>
      <c r="CZ621" s="14"/>
      <c r="DA621" s="14"/>
      <c r="DB621" s="14"/>
      <c r="DC621" s="14"/>
      <c r="DD621" s="14"/>
      <c r="DE621" s="14"/>
      <c r="DF621" s="14"/>
      <c r="DG621" s="14"/>
      <c r="DH621" s="14"/>
      <c r="DI621" s="14"/>
      <c r="DJ621" s="14"/>
      <c r="DK621" s="14"/>
      <c r="DL621" s="14"/>
      <c r="DM621" s="14"/>
      <c r="DN621" s="14"/>
      <c r="DO621" s="14"/>
      <c r="DP621" s="14"/>
      <c r="DQ621" s="14"/>
      <c r="DR621" s="14"/>
      <c r="DS621" s="14"/>
      <c r="DT621" s="14"/>
      <c r="DU621" s="14"/>
      <c r="DV621" s="14"/>
      <c r="DW621" s="14"/>
      <c r="DX621" s="14"/>
      <c r="DY621" s="14"/>
      <c r="DZ621" s="14"/>
      <c r="EA621" s="14"/>
      <c r="EB621" s="14"/>
      <c r="EC621" s="14"/>
      <c r="ED621" s="14"/>
      <c r="EE621" s="14"/>
      <c r="EF621" s="14"/>
      <c r="EG621" s="14"/>
      <c r="EH621" s="14"/>
      <c r="EI621" s="14"/>
      <c r="EJ621" s="14"/>
      <c r="EK621" s="14"/>
      <c r="EL621" s="14"/>
    </row>
    <row r="622" spans="2:142" hidden="1" x14ac:dyDescent="0.2">
      <c r="B622" s="905">
        <v>109</v>
      </c>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4"/>
      <c r="BB622" s="14"/>
      <c r="BC622" s="14"/>
      <c r="BD622" s="14"/>
      <c r="BE622" s="14"/>
      <c r="BF622" s="14"/>
      <c r="BG622" s="14"/>
      <c r="BH622" s="14"/>
      <c r="BI622" s="14"/>
      <c r="BJ622" s="14"/>
      <c r="BK622" s="14"/>
      <c r="BL622" s="14"/>
      <c r="BM622" s="14"/>
      <c r="BN622" s="14"/>
      <c r="BO622" s="14"/>
      <c r="BP622" s="14"/>
      <c r="BQ622" s="14"/>
      <c r="BR622" s="14"/>
      <c r="BS622" s="14"/>
      <c r="BT622" s="14"/>
      <c r="BU622" s="14"/>
      <c r="BV622" s="14"/>
      <c r="BW622" s="14"/>
      <c r="BX622" s="14"/>
      <c r="BY622" s="14"/>
      <c r="BZ622" s="14"/>
      <c r="CA622" s="14"/>
      <c r="CB622" s="14"/>
      <c r="CC622" s="14"/>
      <c r="CD622" s="14"/>
      <c r="CE622" s="14"/>
      <c r="CF622" s="14"/>
      <c r="CG622" s="14"/>
      <c r="CH622" s="14"/>
      <c r="CI622" s="14"/>
      <c r="CJ622" s="14"/>
      <c r="CK622" s="14"/>
      <c r="CL622" s="14"/>
      <c r="CM622" s="14"/>
      <c r="CN622" s="14"/>
      <c r="CO622" s="14"/>
      <c r="CP622" s="14"/>
      <c r="CQ622" s="14"/>
      <c r="CR622" s="14"/>
      <c r="CS622" s="14"/>
      <c r="CT622" s="14"/>
      <c r="CU622" s="14"/>
      <c r="CV622" s="14"/>
      <c r="CW622" s="14"/>
      <c r="CX622" s="14"/>
      <c r="CY622" s="14"/>
      <c r="CZ622" s="14"/>
      <c r="DA622" s="14"/>
      <c r="DB622" s="14"/>
      <c r="DC622" s="14"/>
      <c r="DD622" s="14"/>
      <c r="DE622" s="14"/>
      <c r="DF622" s="14"/>
      <c r="DG622" s="14"/>
      <c r="DH622" s="14"/>
      <c r="DI622" s="14"/>
      <c r="DJ622" s="14"/>
      <c r="DK622" s="14"/>
      <c r="DL622" s="14"/>
      <c r="DM622" s="14"/>
      <c r="DN622" s="14"/>
      <c r="DO622" s="14"/>
      <c r="DP622" s="14"/>
      <c r="DQ622" s="14"/>
      <c r="DR622" s="14"/>
      <c r="DS622" s="14"/>
      <c r="DT622" s="14"/>
      <c r="DU622" s="14"/>
      <c r="DV622" s="14"/>
      <c r="DW622" s="14"/>
      <c r="DX622" s="14"/>
      <c r="DY622" s="14"/>
      <c r="DZ622" s="14"/>
      <c r="EA622" s="14"/>
      <c r="EB622" s="14"/>
      <c r="EC622" s="14"/>
      <c r="ED622" s="14"/>
      <c r="EE622" s="14"/>
      <c r="EF622" s="14"/>
      <c r="EG622" s="14"/>
      <c r="EH622" s="14"/>
      <c r="EI622" s="14"/>
      <c r="EJ622" s="14"/>
      <c r="EK622" s="14"/>
      <c r="EL622" s="14"/>
    </row>
    <row r="623" spans="2:142" hidden="1" x14ac:dyDescent="0.2">
      <c r="B623" s="905">
        <v>110</v>
      </c>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4"/>
      <c r="BB623" s="14"/>
      <c r="BC623" s="14"/>
      <c r="BD623" s="14"/>
      <c r="BE623" s="14"/>
      <c r="BF623" s="14"/>
      <c r="BG623" s="14"/>
      <c r="BH623" s="14"/>
      <c r="BI623" s="14"/>
      <c r="BJ623" s="14"/>
      <c r="BK623" s="14"/>
      <c r="BL623" s="14"/>
      <c r="BM623" s="14"/>
      <c r="BN623" s="14"/>
      <c r="BO623" s="14"/>
      <c r="BP623" s="14"/>
      <c r="BQ623" s="14"/>
      <c r="BR623" s="14"/>
      <c r="BS623" s="14"/>
      <c r="BT623" s="14"/>
      <c r="BU623" s="14"/>
      <c r="BV623" s="14"/>
      <c r="BW623" s="14"/>
      <c r="BX623" s="14"/>
      <c r="BY623" s="14"/>
      <c r="BZ623" s="14"/>
      <c r="CA623" s="14"/>
      <c r="CB623" s="14"/>
      <c r="CC623" s="14"/>
      <c r="CD623" s="14"/>
      <c r="CE623" s="14"/>
      <c r="CF623" s="14"/>
      <c r="CG623" s="14"/>
      <c r="CH623" s="14"/>
      <c r="CI623" s="14"/>
      <c r="CJ623" s="14"/>
      <c r="CK623" s="14"/>
      <c r="CL623" s="14"/>
      <c r="CM623" s="14"/>
      <c r="CN623" s="14"/>
      <c r="CO623" s="14"/>
      <c r="CP623" s="14"/>
      <c r="CQ623" s="14"/>
      <c r="CR623" s="14"/>
      <c r="CS623" s="14"/>
      <c r="CT623" s="14"/>
      <c r="CU623" s="14"/>
      <c r="CV623" s="14"/>
      <c r="CW623" s="14"/>
      <c r="CX623" s="14"/>
      <c r="CY623" s="14"/>
      <c r="CZ623" s="14"/>
      <c r="DA623" s="14"/>
      <c r="DB623" s="14"/>
      <c r="DC623" s="14"/>
      <c r="DD623" s="14"/>
      <c r="DE623" s="14"/>
      <c r="DF623" s="14"/>
      <c r="DG623" s="14"/>
      <c r="DH623" s="14"/>
      <c r="DI623" s="14"/>
      <c r="DJ623" s="14"/>
      <c r="DK623" s="14"/>
      <c r="DL623" s="14"/>
      <c r="DM623" s="14"/>
      <c r="DN623" s="14"/>
      <c r="DO623" s="14"/>
      <c r="DP623" s="14"/>
      <c r="DQ623" s="14"/>
      <c r="DR623" s="14"/>
      <c r="DS623" s="14"/>
      <c r="DT623" s="14"/>
      <c r="DU623" s="14"/>
      <c r="DV623" s="14"/>
      <c r="DW623" s="14"/>
      <c r="DX623" s="14"/>
      <c r="DY623" s="14"/>
      <c r="DZ623" s="14"/>
      <c r="EA623" s="14"/>
      <c r="EB623" s="14"/>
      <c r="EC623" s="14"/>
      <c r="ED623" s="14"/>
      <c r="EE623" s="14"/>
      <c r="EF623" s="14"/>
      <c r="EG623" s="14"/>
      <c r="EH623" s="14"/>
      <c r="EI623" s="14"/>
      <c r="EJ623" s="14"/>
      <c r="EK623" s="14"/>
      <c r="EL623" s="14"/>
    </row>
    <row r="624" spans="2:142" hidden="1" x14ac:dyDescent="0.2">
      <c r="B624" s="905">
        <v>111</v>
      </c>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4"/>
      <c r="BB624" s="14"/>
      <c r="BC624" s="14"/>
      <c r="BD624" s="14"/>
      <c r="BE624" s="14"/>
      <c r="BF624" s="14"/>
      <c r="BG624" s="14"/>
      <c r="BH624" s="14"/>
      <c r="BI624" s="14"/>
      <c r="BJ624" s="14"/>
      <c r="BK624" s="14"/>
      <c r="BL624" s="14"/>
      <c r="BM624" s="14"/>
      <c r="BN624" s="14"/>
      <c r="BO624" s="14"/>
      <c r="BP624" s="14"/>
      <c r="BQ624" s="14"/>
      <c r="BR624" s="14"/>
      <c r="BS624" s="14"/>
      <c r="BT624" s="14"/>
      <c r="BU624" s="14"/>
      <c r="BV624" s="14"/>
      <c r="BW624" s="14"/>
      <c r="BX624" s="14"/>
      <c r="BY624" s="14"/>
      <c r="BZ624" s="14"/>
      <c r="CA624" s="14"/>
      <c r="CB624" s="14"/>
      <c r="CC624" s="14"/>
      <c r="CD624" s="14"/>
      <c r="CE624" s="14"/>
      <c r="CF624" s="14"/>
      <c r="CG624" s="14"/>
      <c r="CH624" s="14"/>
      <c r="CI624" s="14"/>
      <c r="CJ624" s="14"/>
      <c r="CK624" s="14"/>
      <c r="CL624" s="14"/>
      <c r="CM624" s="14"/>
      <c r="CN624" s="14"/>
      <c r="CO624" s="14"/>
      <c r="CP624" s="14"/>
      <c r="CQ624" s="14"/>
      <c r="CR624" s="14"/>
      <c r="CS624" s="14"/>
      <c r="CT624" s="14"/>
      <c r="CU624" s="14"/>
      <c r="CV624" s="14"/>
      <c r="CW624" s="14"/>
      <c r="CX624" s="14"/>
      <c r="CY624" s="14"/>
      <c r="CZ624" s="14"/>
      <c r="DA624" s="14"/>
      <c r="DB624" s="14"/>
      <c r="DC624" s="14"/>
      <c r="DD624" s="14"/>
      <c r="DE624" s="14"/>
      <c r="DF624" s="14"/>
      <c r="DG624" s="14"/>
      <c r="DH624" s="14"/>
      <c r="DI624" s="14"/>
      <c r="DJ624" s="14"/>
      <c r="DK624" s="14"/>
      <c r="DL624" s="14"/>
      <c r="DM624" s="14"/>
      <c r="DN624" s="14"/>
      <c r="DO624" s="14"/>
      <c r="DP624" s="14"/>
      <c r="DQ624" s="14"/>
      <c r="DR624" s="14"/>
      <c r="DS624" s="14"/>
      <c r="DT624" s="14"/>
      <c r="DU624" s="14"/>
      <c r="DV624" s="14"/>
      <c r="DW624" s="14"/>
      <c r="DX624" s="14"/>
      <c r="DY624" s="14"/>
      <c r="DZ624" s="14"/>
      <c r="EA624" s="14"/>
      <c r="EB624" s="14"/>
      <c r="EC624" s="14"/>
      <c r="ED624" s="14"/>
      <c r="EE624" s="14"/>
      <c r="EF624" s="14"/>
      <c r="EG624" s="14"/>
      <c r="EH624" s="14"/>
      <c r="EI624" s="14"/>
      <c r="EJ624" s="14"/>
      <c r="EK624" s="14"/>
      <c r="EL624" s="14"/>
    </row>
    <row r="625" spans="2:142" hidden="1" x14ac:dyDescent="0.2">
      <c r="B625" s="905">
        <v>112</v>
      </c>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4"/>
      <c r="BB625" s="14"/>
      <c r="BC625" s="14"/>
      <c r="BD625" s="14"/>
      <c r="BE625" s="14"/>
      <c r="BF625" s="14"/>
      <c r="BG625" s="14"/>
      <c r="BH625" s="14"/>
      <c r="BI625" s="14"/>
      <c r="BJ625" s="14"/>
      <c r="BK625" s="14"/>
      <c r="BL625" s="14"/>
      <c r="BM625" s="14"/>
      <c r="BN625" s="14"/>
      <c r="BO625" s="14"/>
      <c r="BP625" s="14"/>
      <c r="BQ625" s="14"/>
      <c r="BR625" s="14"/>
      <c r="BS625" s="14"/>
      <c r="BT625" s="14"/>
      <c r="BU625" s="14"/>
      <c r="BV625" s="14"/>
      <c r="BW625" s="14"/>
      <c r="BX625" s="14"/>
      <c r="BY625" s="14"/>
      <c r="BZ625" s="14"/>
      <c r="CA625" s="14"/>
      <c r="CB625" s="14"/>
      <c r="CC625" s="14"/>
      <c r="CD625" s="14"/>
      <c r="CE625" s="14"/>
      <c r="CF625" s="14"/>
      <c r="CG625" s="14"/>
      <c r="CH625" s="14"/>
      <c r="CI625" s="14"/>
      <c r="CJ625" s="14"/>
      <c r="CK625" s="14"/>
      <c r="CL625" s="14"/>
      <c r="CM625" s="14"/>
      <c r="CN625" s="14"/>
      <c r="CO625" s="14"/>
      <c r="CP625" s="14"/>
      <c r="CQ625" s="14"/>
      <c r="CR625" s="14"/>
      <c r="CS625" s="14"/>
      <c r="CT625" s="14"/>
      <c r="CU625" s="14"/>
      <c r="CV625" s="14"/>
      <c r="CW625" s="14"/>
      <c r="CX625" s="14"/>
      <c r="CY625" s="14"/>
      <c r="CZ625" s="14"/>
      <c r="DA625" s="14"/>
      <c r="DB625" s="14"/>
      <c r="DC625" s="14"/>
      <c r="DD625" s="14"/>
      <c r="DE625" s="14"/>
      <c r="DF625" s="14"/>
      <c r="DG625" s="14"/>
      <c r="DH625" s="14"/>
      <c r="DI625" s="14"/>
      <c r="DJ625" s="14"/>
      <c r="DK625" s="14"/>
      <c r="DL625" s="14"/>
      <c r="DM625" s="14"/>
      <c r="DN625" s="14"/>
      <c r="DO625" s="14"/>
      <c r="DP625" s="14"/>
      <c r="DQ625" s="14"/>
      <c r="DR625" s="14"/>
      <c r="DS625" s="14"/>
      <c r="DT625" s="14"/>
      <c r="DU625" s="14"/>
      <c r="DV625" s="14"/>
      <c r="DW625" s="14"/>
      <c r="DX625" s="14"/>
      <c r="DY625" s="14"/>
      <c r="DZ625" s="14"/>
      <c r="EA625" s="14"/>
      <c r="EB625" s="14"/>
      <c r="EC625" s="14"/>
      <c r="ED625" s="14"/>
      <c r="EE625" s="14"/>
      <c r="EF625" s="14"/>
      <c r="EG625" s="14"/>
      <c r="EH625" s="14"/>
      <c r="EI625" s="14"/>
      <c r="EJ625" s="14"/>
      <c r="EK625" s="14"/>
      <c r="EL625" s="14"/>
    </row>
    <row r="626" spans="2:142" hidden="1" x14ac:dyDescent="0.2">
      <c r="B626" s="905">
        <v>113</v>
      </c>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4"/>
      <c r="BB626" s="14"/>
      <c r="BC626" s="14"/>
      <c r="BD626" s="14"/>
      <c r="BE626" s="14"/>
      <c r="BF626" s="14"/>
      <c r="BG626" s="14"/>
      <c r="BH626" s="14"/>
      <c r="BI626" s="14"/>
      <c r="BJ626" s="14"/>
      <c r="BK626" s="14"/>
      <c r="BL626" s="14"/>
      <c r="BM626" s="14"/>
      <c r="BN626" s="14"/>
      <c r="BO626" s="14"/>
      <c r="BP626" s="14"/>
      <c r="BQ626" s="14"/>
      <c r="BR626" s="14"/>
      <c r="BS626" s="14"/>
      <c r="BT626" s="14"/>
      <c r="BU626" s="14"/>
      <c r="BV626" s="14"/>
      <c r="BW626" s="14"/>
      <c r="BX626" s="14"/>
      <c r="BY626" s="14"/>
      <c r="BZ626" s="14"/>
      <c r="CA626" s="14"/>
      <c r="CB626" s="14"/>
      <c r="CC626" s="14"/>
      <c r="CD626" s="14"/>
      <c r="CE626" s="14"/>
      <c r="CF626" s="14"/>
      <c r="CG626" s="14"/>
      <c r="CH626" s="14"/>
      <c r="CI626" s="14"/>
      <c r="CJ626" s="14"/>
      <c r="CK626" s="14"/>
      <c r="CL626" s="14"/>
      <c r="CM626" s="14"/>
      <c r="CN626" s="14"/>
      <c r="CO626" s="14"/>
      <c r="CP626" s="14"/>
      <c r="CQ626" s="14"/>
      <c r="CR626" s="14"/>
      <c r="CS626" s="14"/>
      <c r="CT626" s="14"/>
      <c r="CU626" s="14"/>
      <c r="CV626" s="14"/>
      <c r="CW626" s="14"/>
      <c r="CX626" s="14"/>
      <c r="CY626" s="14"/>
      <c r="CZ626" s="14"/>
      <c r="DA626" s="14"/>
      <c r="DB626" s="14"/>
      <c r="DC626" s="14"/>
      <c r="DD626" s="14"/>
      <c r="DE626" s="14"/>
      <c r="DF626" s="14"/>
      <c r="DG626" s="14"/>
      <c r="DH626" s="14"/>
      <c r="DI626" s="14"/>
      <c r="DJ626" s="14"/>
      <c r="DK626" s="14"/>
      <c r="DL626" s="14"/>
      <c r="DM626" s="14"/>
      <c r="DN626" s="14"/>
      <c r="DO626" s="14"/>
      <c r="DP626" s="14"/>
      <c r="DQ626" s="14"/>
      <c r="DR626" s="14"/>
      <c r="DS626" s="14"/>
      <c r="DT626" s="14"/>
      <c r="DU626" s="14"/>
      <c r="DV626" s="14"/>
      <c r="DW626" s="14"/>
      <c r="DX626" s="14"/>
      <c r="DY626" s="14"/>
      <c r="DZ626" s="14"/>
      <c r="EA626" s="14"/>
      <c r="EB626" s="14"/>
      <c r="EC626" s="14"/>
      <c r="ED626" s="14"/>
      <c r="EE626" s="14"/>
      <c r="EF626" s="14"/>
      <c r="EG626" s="14"/>
      <c r="EH626" s="14"/>
      <c r="EI626" s="14"/>
      <c r="EJ626" s="14"/>
      <c r="EK626" s="14"/>
      <c r="EL626" s="14"/>
    </row>
    <row r="627" spans="2:142" hidden="1" x14ac:dyDescent="0.2">
      <c r="B627" s="905">
        <v>114</v>
      </c>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4"/>
      <c r="BB627" s="14"/>
      <c r="BC627" s="14"/>
      <c r="BD627" s="14"/>
      <c r="BE627" s="14"/>
      <c r="BF627" s="14"/>
      <c r="BG627" s="14"/>
      <c r="BH627" s="14"/>
      <c r="BI627" s="14"/>
      <c r="BJ627" s="14"/>
      <c r="BK627" s="14"/>
      <c r="BL627" s="14"/>
      <c r="BM627" s="14"/>
      <c r="BN627" s="14"/>
      <c r="BO627" s="14"/>
      <c r="BP627" s="14"/>
      <c r="BQ627" s="14"/>
      <c r="BR627" s="14"/>
      <c r="BS627" s="14"/>
      <c r="BT627" s="14"/>
      <c r="BU627" s="14"/>
      <c r="BV627" s="14"/>
      <c r="BW627" s="14"/>
      <c r="BX627" s="14"/>
      <c r="BY627" s="14"/>
      <c r="BZ627" s="14"/>
      <c r="CA627" s="14"/>
      <c r="CB627" s="14"/>
      <c r="CC627" s="14"/>
      <c r="CD627" s="14"/>
      <c r="CE627" s="14"/>
      <c r="CF627" s="14"/>
      <c r="CG627" s="14"/>
      <c r="CH627" s="14"/>
      <c r="CI627" s="14"/>
      <c r="CJ627" s="14"/>
      <c r="CK627" s="14"/>
      <c r="CL627" s="14"/>
      <c r="CM627" s="14"/>
      <c r="CN627" s="14"/>
      <c r="CO627" s="14"/>
      <c r="CP627" s="14"/>
      <c r="CQ627" s="14"/>
      <c r="CR627" s="14"/>
      <c r="CS627" s="14"/>
      <c r="CT627" s="14"/>
      <c r="CU627" s="14"/>
      <c r="CV627" s="14"/>
      <c r="CW627" s="14"/>
      <c r="CX627" s="14"/>
      <c r="CY627" s="14"/>
      <c r="CZ627" s="14"/>
      <c r="DA627" s="14"/>
      <c r="DB627" s="14"/>
      <c r="DC627" s="14"/>
      <c r="DD627" s="14"/>
      <c r="DE627" s="14"/>
      <c r="DF627" s="14"/>
      <c r="DG627" s="14"/>
      <c r="DH627" s="14"/>
      <c r="DI627" s="14"/>
      <c r="DJ627" s="14"/>
      <c r="DK627" s="14"/>
      <c r="DL627" s="14"/>
      <c r="DM627" s="14"/>
      <c r="DN627" s="14"/>
      <c r="DO627" s="14"/>
      <c r="DP627" s="14"/>
      <c r="DQ627" s="14"/>
      <c r="DR627" s="14"/>
      <c r="DS627" s="14"/>
      <c r="DT627" s="14"/>
      <c r="DU627" s="14"/>
      <c r="DV627" s="14"/>
      <c r="DW627" s="14"/>
      <c r="DX627" s="14"/>
      <c r="DY627" s="14"/>
      <c r="DZ627" s="14"/>
      <c r="EA627" s="14"/>
      <c r="EB627" s="14"/>
      <c r="EC627" s="14"/>
      <c r="ED627" s="14"/>
      <c r="EE627" s="14"/>
      <c r="EF627" s="14"/>
      <c r="EG627" s="14"/>
      <c r="EH627" s="14"/>
      <c r="EI627" s="14"/>
      <c r="EJ627" s="14"/>
      <c r="EK627" s="14"/>
      <c r="EL627" s="14"/>
    </row>
    <row r="628" spans="2:142" hidden="1" x14ac:dyDescent="0.2">
      <c r="B628" s="905">
        <v>115</v>
      </c>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4"/>
      <c r="BB628" s="14"/>
      <c r="BC628" s="14"/>
      <c r="BD628" s="14"/>
      <c r="BE628" s="14"/>
      <c r="BF628" s="14"/>
      <c r="BG628" s="14"/>
      <c r="BH628" s="14"/>
      <c r="BI628" s="14"/>
      <c r="BJ628" s="14"/>
      <c r="BK628" s="14"/>
      <c r="BL628" s="14"/>
      <c r="BM628" s="14"/>
      <c r="BN628" s="14"/>
      <c r="BO628" s="14"/>
      <c r="BP628" s="14"/>
      <c r="BQ628" s="14"/>
      <c r="BR628" s="14"/>
      <c r="BS628" s="14"/>
      <c r="BT628" s="14"/>
      <c r="BU628" s="14"/>
      <c r="BV628" s="14"/>
      <c r="BW628" s="14"/>
      <c r="BX628" s="14"/>
      <c r="BY628" s="14"/>
      <c r="BZ628" s="14"/>
      <c r="CA628" s="14"/>
      <c r="CB628" s="14"/>
      <c r="CC628" s="14"/>
      <c r="CD628" s="14"/>
      <c r="CE628" s="14"/>
      <c r="CF628" s="14"/>
      <c r="CG628" s="14"/>
      <c r="CH628" s="14"/>
      <c r="CI628" s="14"/>
      <c r="CJ628" s="14"/>
      <c r="CK628" s="14"/>
      <c r="CL628" s="14"/>
      <c r="CM628" s="14"/>
      <c r="CN628" s="14"/>
      <c r="CO628" s="14"/>
      <c r="CP628" s="14"/>
      <c r="CQ628" s="14"/>
      <c r="CR628" s="14"/>
      <c r="CS628" s="14"/>
      <c r="CT628" s="14"/>
      <c r="CU628" s="14"/>
      <c r="CV628" s="14"/>
      <c r="CW628" s="14"/>
      <c r="CX628" s="14"/>
      <c r="CY628" s="14"/>
      <c r="CZ628" s="14"/>
      <c r="DA628" s="14"/>
      <c r="DB628" s="14"/>
      <c r="DC628" s="14"/>
      <c r="DD628" s="14"/>
      <c r="DE628" s="14"/>
      <c r="DF628" s="14"/>
      <c r="DG628" s="14"/>
      <c r="DH628" s="14"/>
      <c r="DI628" s="14"/>
      <c r="DJ628" s="14"/>
      <c r="DK628" s="14"/>
      <c r="DL628" s="14"/>
      <c r="DM628" s="14"/>
      <c r="DN628" s="14"/>
      <c r="DO628" s="14"/>
      <c r="DP628" s="14"/>
      <c r="DQ628" s="14"/>
      <c r="DR628" s="14"/>
      <c r="DS628" s="14"/>
      <c r="DT628" s="14"/>
      <c r="DU628" s="14"/>
      <c r="DV628" s="14"/>
      <c r="DW628" s="14"/>
      <c r="DX628" s="14"/>
      <c r="DY628" s="14"/>
      <c r="DZ628" s="14"/>
      <c r="EA628" s="14"/>
      <c r="EB628" s="14"/>
      <c r="EC628" s="14"/>
      <c r="ED628" s="14"/>
      <c r="EE628" s="14"/>
      <c r="EF628" s="14"/>
      <c r="EG628" s="14"/>
      <c r="EH628" s="14"/>
      <c r="EI628" s="14"/>
      <c r="EJ628" s="14"/>
      <c r="EK628" s="14"/>
      <c r="EL628" s="14"/>
    </row>
    <row r="629" spans="2:142" hidden="1" x14ac:dyDescent="0.2">
      <c r="B629" s="905">
        <v>116</v>
      </c>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4"/>
      <c r="BB629" s="14"/>
      <c r="BC629" s="14"/>
      <c r="BD629" s="14"/>
      <c r="BE629" s="14"/>
      <c r="BF629" s="14"/>
      <c r="BG629" s="14"/>
      <c r="BH629" s="14"/>
      <c r="BI629" s="14"/>
      <c r="BJ629" s="14"/>
      <c r="BK629" s="14"/>
      <c r="BL629" s="14"/>
      <c r="BM629" s="14"/>
      <c r="BN629" s="14"/>
      <c r="BO629" s="14"/>
      <c r="BP629" s="14"/>
      <c r="BQ629" s="14"/>
      <c r="BR629" s="14"/>
      <c r="BS629" s="14"/>
      <c r="BT629" s="14"/>
      <c r="BU629" s="14"/>
      <c r="BV629" s="14"/>
      <c r="BW629" s="14"/>
      <c r="BX629" s="14"/>
      <c r="BY629" s="14"/>
      <c r="BZ629" s="14"/>
      <c r="CA629" s="14"/>
      <c r="CB629" s="14"/>
      <c r="CC629" s="14"/>
      <c r="CD629" s="14"/>
      <c r="CE629" s="14"/>
      <c r="CF629" s="14"/>
      <c r="CG629" s="14"/>
      <c r="CH629" s="14"/>
      <c r="CI629" s="14"/>
      <c r="CJ629" s="14"/>
      <c r="CK629" s="14"/>
      <c r="CL629" s="14"/>
      <c r="CM629" s="14"/>
      <c r="CN629" s="14"/>
      <c r="CO629" s="14"/>
      <c r="CP629" s="14"/>
      <c r="CQ629" s="14"/>
      <c r="CR629" s="14"/>
      <c r="CS629" s="14"/>
      <c r="CT629" s="14"/>
      <c r="CU629" s="14"/>
      <c r="CV629" s="14"/>
      <c r="CW629" s="14"/>
      <c r="CX629" s="14"/>
      <c r="CY629" s="14"/>
      <c r="CZ629" s="14"/>
      <c r="DA629" s="14"/>
      <c r="DB629" s="14"/>
      <c r="DC629" s="14"/>
      <c r="DD629" s="14"/>
      <c r="DE629" s="14"/>
      <c r="DF629" s="14"/>
      <c r="DG629" s="14"/>
      <c r="DH629" s="14"/>
      <c r="DI629" s="14"/>
      <c r="DJ629" s="14"/>
      <c r="DK629" s="14"/>
      <c r="DL629" s="14"/>
      <c r="DM629" s="14"/>
      <c r="DN629" s="14"/>
      <c r="DO629" s="14"/>
      <c r="DP629" s="14"/>
      <c r="DQ629" s="14"/>
      <c r="DR629" s="14"/>
      <c r="DS629" s="14"/>
      <c r="DT629" s="14"/>
      <c r="DU629" s="14"/>
      <c r="DV629" s="14"/>
      <c r="DW629" s="14"/>
      <c r="DX629" s="14"/>
      <c r="DY629" s="14"/>
      <c r="DZ629" s="14"/>
      <c r="EA629" s="14"/>
      <c r="EB629" s="14"/>
      <c r="EC629" s="14"/>
      <c r="ED629" s="14"/>
      <c r="EE629" s="14"/>
      <c r="EF629" s="14"/>
      <c r="EG629" s="14"/>
      <c r="EH629" s="14"/>
      <c r="EI629" s="14"/>
      <c r="EJ629" s="14"/>
      <c r="EK629" s="14"/>
      <c r="EL629" s="14"/>
    </row>
    <row r="630" spans="2:142" hidden="1" x14ac:dyDescent="0.2">
      <c r="B630" s="905">
        <v>117</v>
      </c>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4"/>
      <c r="BB630" s="14"/>
      <c r="BC630" s="14"/>
      <c r="BD630" s="14"/>
      <c r="BE630" s="14"/>
      <c r="BF630" s="14"/>
      <c r="BG630" s="14"/>
      <c r="BH630" s="14"/>
      <c r="BI630" s="14"/>
      <c r="BJ630" s="14"/>
      <c r="BK630" s="14"/>
      <c r="BL630" s="14"/>
      <c r="BM630" s="14"/>
      <c r="BN630" s="14"/>
      <c r="BO630" s="14"/>
      <c r="BP630" s="14"/>
      <c r="BQ630" s="14"/>
      <c r="BR630" s="14"/>
      <c r="BS630" s="14"/>
      <c r="BT630" s="14"/>
      <c r="BU630" s="14"/>
      <c r="BV630" s="14"/>
      <c r="BW630" s="14"/>
      <c r="BX630" s="14"/>
      <c r="BY630" s="14"/>
      <c r="BZ630" s="14"/>
      <c r="CA630" s="14"/>
      <c r="CB630" s="14"/>
      <c r="CC630" s="14"/>
      <c r="CD630" s="14"/>
      <c r="CE630" s="14"/>
      <c r="CF630" s="14"/>
      <c r="CG630" s="14"/>
      <c r="CH630" s="14"/>
      <c r="CI630" s="14"/>
      <c r="CJ630" s="14"/>
      <c r="CK630" s="14"/>
      <c r="CL630" s="14"/>
      <c r="CM630" s="14"/>
      <c r="CN630" s="14"/>
      <c r="CO630" s="14"/>
      <c r="CP630" s="14"/>
      <c r="CQ630" s="14"/>
      <c r="CR630" s="14"/>
      <c r="CS630" s="14"/>
      <c r="CT630" s="14"/>
      <c r="CU630" s="14"/>
      <c r="CV630" s="14"/>
      <c r="CW630" s="14"/>
      <c r="CX630" s="14"/>
      <c r="CY630" s="14"/>
      <c r="CZ630" s="14"/>
      <c r="DA630" s="14"/>
      <c r="DB630" s="14"/>
      <c r="DC630" s="14"/>
      <c r="DD630" s="14"/>
      <c r="DE630" s="14"/>
      <c r="DF630" s="14"/>
      <c r="DG630" s="14"/>
      <c r="DH630" s="14"/>
      <c r="DI630" s="14"/>
      <c r="DJ630" s="14"/>
      <c r="DK630" s="14"/>
      <c r="DL630" s="14"/>
      <c r="DM630" s="14"/>
      <c r="DN630" s="14"/>
      <c r="DO630" s="14"/>
      <c r="DP630" s="14"/>
      <c r="DQ630" s="14"/>
      <c r="DR630" s="14"/>
      <c r="DS630" s="14"/>
      <c r="DT630" s="14"/>
      <c r="DU630" s="14"/>
      <c r="DV630" s="14"/>
      <c r="DW630" s="14"/>
      <c r="DX630" s="14"/>
      <c r="DY630" s="14"/>
      <c r="DZ630" s="14"/>
      <c r="EA630" s="14"/>
      <c r="EB630" s="14"/>
      <c r="EC630" s="14"/>
      <c r="ED630" s="14"/>
      <c r="EE630" s="14"/>
      <c r="EF630" s="14"/>
      <c r="EG630" s="14"/>
      <c r="EH630" s="14"/>
      <c r="EI630" s="14"/>
      <c r="EJ630" s="14"/>
      <c r="EK630" s="14"/>
      <c r="EL630" s="14"/>
    </row>
    <row r="631" spans="2:142" hidden="1" x14ac:dyDescent="0.2">
      <c r="B631" s="905">
        <v>118</v>
      </c>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4"/>
      <c r="BB631" s="14"/>
      <c r="BC631" s="14"/>
      <c r="BD631" s="14"/>
      <c r="BE631" s="14"/>
      <c r="BF631" s="14"/>
      <c r="BG631" s="14"/>
      <c r="BH631" s="14"/>
      <c r="BI631" s="14"/>
      <c r="BJ631" s="14"/>
      <c r="BK631" s="14"/>
      <c r="BL631" s="14"/>
      <c r="BM631" s="14"/>
      <c r="BN631" s="14"/>
      <c r="BO631" s="14"/>
      <c r="BP631" s="14"/>
      <c r="BQ631" s="14"/>
      <c r="BR631" s="14"/>
      <c r="BS631" s="14"/>
      <c r="BT631" s="14"/>
      <c r="BU631" s="14"/>
      <c r="BV631" s="14"/>
      <c r="BW631" s="14"/>
      <c r="BX631" s="14"/>
      <c r="BY631" s="14"/>
      <c r="BZ631" s="14"/>
      <c r="CA631" s="14"/>
      <c r="CB631" s="14"/>
      <c r="CC631" s="14"/>
      <c r="CD631" s="14"/>
      <c r="CE631" s="14"/>
      <c r="CF631" s="14"/>
      <c r="CG631" s="14"/>
      <c r="CH631" s="14"/>
      <c r="CI631" s="14"/>
      <c r="CJ631" s="14"/>
      <c r="CK631" s="14"/>
      <c r="CL631" s="14"/>
      <c r="CM631" s="14"/>
      <c r="CN631" s="14"/>
      <c r="CO631" s="14"/>
      <c r="CP631" s="14"/>
      <c r="CQ631" s="14"/>
      <c r="CR631" s="14"/>
      <c r="CS631" s="14"/>
      <c r="CT631" s="14"/>
      <c r="CU631" s="14"/>
      <c r="CV631" s="14"/>
      <c r="CW631" s="14"/>
      <c r="CX631" s="14"/>
      <c r="CY631" s="14"/>
      <c r="CZ631" s="14"/>
      <c r="DA631" s="14"/>
      <c r="DB631" s="14"/>
      <c r="DC631" s="14"/>
      <c r="DD631" s="14"/>
      <c r="DE631" s="14"/>
      <c r="DF631" s="14"/>
      <c r="DG631" s="14"/>
      <c r="DH631" s="14"/>
      <c r="DI631" s="14"/>
      <c r="DJ631" s="14"/>
      <c r="DK631" s="14"/>
      <c r="DL631" s="14"/>
      <c r="DM631" s="14"/>
      <c r="DN631" s="14"/>
      <c r="DO631" s="14"/>
      <c r="DP631" s="14"/>
      <c r="DQ631" s="14"/>
      <c r="DR631" s="14"/>
      <c r="DS631" s="14"/>
      <c r="DT631" s="14"/>
      <c r="DU631" s="14"/>
      <c r="DV631" s="14"/>
      <c r="DW631" s="14"/>
      <c r="DX631" s="14"/>
      <c r="DY631" s="14"/>
      <c r="DZ631" s="14"/>
      <c r="EA631" s="14"/>
      <c r="EB631" s="14"/>
      <c r="EC631" s="14"/>
      <c r="ED631" s="14"/>
      <c r="EE631" s="14"/>
      <c r="EF631" s="14"/>
      <c r="EG631" s="14"/>
      <c r="EH631" s="14"/>
      <c r="EI631" s="14"/>
      <c r="EJ631" s="14"/>
      <c r="EK631" s="14"/>
      <c r="EL631" s="14"/>
    </row>
    <row r="632" spans="2:142" hidden="1" x14ac:dyDescent="0.2">
      <c r="B632" s="905">
        <v>119</v>
      </c>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4"/>
      <c r="BB632" s="14"/>
      <c r="BC632" s="14"/>
      <c r="BD632" s="14"/>
      <c r="BE632" s="14"/>
      <c r="BF632" s="14"/>
      <c r="BG632" s="14"/>
      <c r="BH632" s="14"/>
      <c r="BI632" s="14"/>
      <c r="BJ632" s="14"/>
      <c r="BK632" s="14"/>
      <c r="BL632" s="14"/>
      <c r="BM632" s="14"/>
      <c r="BN632" s="14"/>
      <c r="BO632" s="14"/>
      <c r="BP632" s="14"/>
      <c r="BQ632" s="14"/>
      <c r="BR632" s="14"/>
      <c r="BS632" s="14"/>
      <c r="BT632" s="14"/>
      <c r="BU632" s="14"/>
      <c r="BV632" s="14"/>
      <c r="BW632" s="14"/>
      <c r="BX632" s="14"/>
      <c r="BY632" s="14"/>
      <c r="BZ632" s="14"/>
      <c r="CA632" s="14"/>
      <c r="CB632" s="14"/>
      <c r="CC632" s="14"/>
      <c r="CD632" s="14"/>
      <c r="CE632" s="14"/>
      <c r="CF632" s="14"/>
      <c r="CG632" s="14"/>
      <c r="CH632" s="14"/>
      <c r="CI632" s="14"/>
      <c r="CJ632" s="14"/>
      <c r="CK632" s="14"/>
      <c r="CL632" s="14"/>
      <c r="CM632" s="14"/>
      <c r="CN632" s="14"/>
      <c r="CO632" s="14"/>
      <c r="CP632" s="14"/>
      <c r="CQ632" s="14"/>
      <c r="CR632" s="14"/>
      <c r="CS632" s="14"/>
      <c r="CT632" s="14"/>
      <c r="CU632" s="14"/>
      <c r="CV632" s="14"/>
      <c r="CW632" s="14"/>
      <c r="CX632" s="14"/>
      <c r="CY632" s="14"/>
      <c r="CZ632" s="14"/>
      <c r="DA632" s="14"/>
      <c r="DB632" s="14"/>
      <c r="DC632" s="14"/>
      <c r="DD632" s="14"/>
      <c r="DE632" s="14"/>
      <c r="DF632" s="14"/>
      <c r="DG632" s="14"/>
      <c r="DH632" s="14"/>
      <c r="DI632" s="14"/>
      <c r="DJ632" s="14"/>
      <c r="DK632" s="14"/>
      <c r="DL632" s="14"/>
      <c r="DM632" s="14"/>
      <c r="DN632" s="14"/>
      <c r="DO632" s="14"/>
      <c r="DP632" s="14"/>
      <c r="DQ632" s="14"/>
      <c r="DR632" s="14"/>
      <c r="DS632" s="14"/>
      <c r="DT632" s="14"/>
      <c r="DU632" s="14"/>
      <c r="DV632" s="14"/>
      <c r="DW632" s="14"/>
      <c r="DX632" s="14"/>
      <c r="DY632" s="14"/>
      <c r="DZ632" s="14"/>
      <c r="EA632" s="14"/>
      <c r="EB632" s="14"/>
      <c r="EC632" s="14"/>
      <c r="ED632" s="14"/>
      <c r="EE632" s="14"/>
      <c r="EF632" s="14"/>
      <c r="EG632" s="14"/>
      <c r="EH632" s="14"/>
      <c r="EI632" s="14"/>
      <c r="EJ632" s="14"/>
      <c r="EK632" s="14"/>
      <c r="EL632" s="14"/>
    </row>
    <row r="633" spans="2:142" hidden="1" x14ac:dyDescent="0.2">
      <c r="B633" s="905">
        <v>120</v>
      </c>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4"/>
      <c r="BB633" s="14"/>
      <c r="BC633" s="14"/>
      <c r="BD633" s="14"/>
      <c r="BE633" s="14"/>
      <c r="BF633" s="14"/>
      <c r="BG633" s="14"/>
      <c r="BH633" s="14"/>
      <c r="BI633" s="14"/>
      <c r="BJ633" s="14"/>
      <c r="BK633" s="14"/>
      <c r="BL633" s="14"/>
      <c r="BM633" s="14"/>
      <c r="BN633" s="14"/>
      <c r="BO633" s="14"/>
      <c r="BP633" s="14"/>
      <c r="BQ633" s="14"/>
      <c r="BR633" s="14"/>
      <c r="BS633" s="14"/>
      <c r="BT633" s="14"/>
      <c r="BU633" s="14"/>
      <c r="BV633" s="14"/>
      <c r="BW633" s="14"/>
      <c r="BX633" s="14"/>
      <c r="BY633" s="14"/>
      <c r="BZ633" s="14"/>
      <c r="CA633" s="14"/>
      <c r="CB633" s="14"/>
      <c r="CC633" s="14"/>
      <c r="CD633" s="14"/>
      <c r="CE633" s="14"/>
      <c r="CF633" s="14"/>
      <c r="CG633" s="14"/>
      <c r="CH633" s="14"/>
      <c r="CI633" s="14"/>
      <c r="CJ633" s="14"/>
      <c r="CK633" s="14"/>
      <c r="CL633" s="14"/>
      <c r="CM633" s="14"/>
      <c r="CN633" s="14"/>
      <c r="CO633" s="14"/>
      <c r="CP633" s="14"/>
      <c r="CQ633" s="14"/>
      <c r="CR633" s="14"/>
      <c r="CS633" s="14"/>
      <c r="CT633" s="14"/>
      <c r="CU633" s="14"/>
      <c r="CV633" s="14"/>
      <c r="CW633" s="14"/>
      <c r="CX633" s="14"/>
      <c r="CY633" s="14"/>
      <c r="CZ633" s="14"/>
      <c r="DA633" s="14"/>
      <c r="DB633" s="14"/>
      <c r="DC633" s="14"/>
      <c r="DD633" s="14"/>
      <c r="DE633" s="14"/>
      <c r="DF633" s="14"/>
      <c r="DG633" s="14"/>
      <c r="DH633" s="14"/>
      <c r="DI633" s="14"/>
      <c r="DJ633" s="14"/>
      <c r="DK633" s="14"/>
      <c r="DL633" s="14"/>
      <c r="DM633" s="14"/>
      <c r="DN633" s="14"/>
      <c r="DO633" s="14"/>
      <c r="DP633" s="14"/>
      <c r="DQ633" s="14"/>
      <c r="DR633" s="14"/>
      <c r="DS633" s="14"/>
      <c r="DT633" s="14"/>
      <c r="DU633" s="14"/>
      <c r="DV633" s="14"/>
      <c r="DW633" s="14"/>
      <c r="DX633" s="14"/>
      <c r="DY633" s="14"/>
      <c r="DZ633" s="14"/>
      <c r="EA633" s="14"/>
      <c r="EB633" s="14"/>
      <c r="EC633" s="14"/>
      <c r="ED633" s="14"/>
      <c r="EE633" s="14"/>
      <c r="EF633" s="14"/>
      <c r="EG633" s="14"/>
      <c r="EH633" s="14"/>
      <c r="EI633" s="14"/>
      <c r="EJ633" s="14"/>
      <c r="EK633" s="14"/>
      <c r="EL633" s="14"/>
    </row>
    <row r="634" spans="2:142" hidden="1" x14ac:dyDescent="0.2">
      <c r="B634" s="905">
        <v>121</v>
      </c>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4"/>
      <c r="BB634" s="14"/>
      <c r="BC634" s="14"/>
      <c r="BD634" s="14"/>
      <c r="BE634" s="14"/>
      <c r="BF634" s="14"/>
      <c r="BG634" s="14"/>
      <c r="BH634" s="14"/>
      <c r="BI634" s="14"/>
      <c r="BJ634" s="14"/>
      <c r="BK634" s="14"/>
      <c r="BL634" s="14"/>
      <c r="BM634" s="14"/>
      <c r="BN634" s="14"/>
      <c r="BO634" s="14"/>
      <c r="BP634" s="14"/>
      <c r="BQ634" s="14"/>
      <c r="BR634" s="14"/>
      <c r="BS634" s="14"/>
      <c r="BT634" s="14"/>
      <c r="BU634" s="14"/>
      <c r="BV634" s="14"/>
      <c r="BW634" s="14"/>
      <c r="BX634" s="14"/>
      <c r="BY634" s="14"/>
      <c r="BZ634" s="14"/>
      <c r="CA634" s="14"/>
      <c r="CB634" s="14"/>
      <c r="CC634" s="14"/>
      <c r="CD634" s="14"/>
      <c r="CE634" s="14"/>
      <c r="CF634" s="14"/>
      <c r="CG634" s="14"/>
      <c r="CH634" s="14"/>
      <c r="CI634" s="14"/>
      <c r="CJ634" s="14"/>
      <c r="CK634" s="14"/>
      <c r="CL634" s="14"/>
      <c r="CM634" s="14"/>
      <c r="CN634" s="14"/>
      <c r="CO634" s="14"/>
      <c r="CP634" s="14"/>
      <c r="CQ634" s="14"/>
      <c r="CR634" s="14"/>
      <c r="CS634" s="14"/>
      <c r="CT634" s="14"/>
      <c r="CU634" s="14"/>
      <c r="CV634" s="14"/>
      <c r="CW634" s="14"/>
      <c r="CX634" s="14"/>
      <c r="CY634" s="14"/>
      <c r="CZ634" s="14"/>
      <c r="DA634" s="14"/>
      <c r="DB634" s="14"/>
      <c r="DC634" s="14"/>
      <c r="DD634" s="14"/>
      <c r="DE634" s="14"/>
      <c r="DF634" s="14"/>
      <c r="DG634" s="14"/>
      <c r="DH634" s="14"/>
      <c r="DI634" s="14"/>
      <c r="DJ634" s="14"/>
      <c r="DK634" s="14"/>
      <c r="DL634" s="14"/>
      <c r="DM634" s="14"/>
      <c r="DN634" s="14"/>
      <c r="DO634" s="14"/>
      <c r="DP634" s="14"/>
      <c r="DQ634" s="14"/>
      <c r="DR634" s="14"/>
      <c r="DS634" s="14"/>
      <c r="DT634" s="14"/>
      <c r="DU634" s="14"/>
      <c r="DV634" s="14"/>
      <c r="DW634" s="14"/>
      <c r="DX634" s="14"/>
      <c r="DY634" s="14"/>
      <c r="DZ634" s="14"/>
      <c r="EA634" s="14"/>
      <c r="EB634" s="14"/>
      <c r="EC634" s="14"/>
      <c r="ED634" s="14"/>
      <c r="EE634" s="14"/>
      <c r="EF634" s="14"/>
      <c r="EG634" s="14"/>
      <c r="EH634" s="14"/>
      <c r="EI634" s="14"/>
      <c r="EJ634" s="14"/>
      <c r="EK634" s="14"/>
      <c r="EL634" s="14"/>
    </row>
    <row r="635" spans="2:142" hidden="1" x14ac:dyDescent="0.2">
      <c r="B635" s="905">
        <v>122</v>
      </c>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4"/>
      <c r="BB635" s="14"/>
      <c r="BC635" s="14"/>
      <c r="BD635" s="14"/>
      <c r="BE635" s="14"/>
      <c r="BF635" s="14"/>
      <c r="BG635" s="14"/>
      <c r="BH635" s="14"/>
      <c r="BI635" s="14"/>
      <c r="BJ635" s="14"/>
      <c r="BK635" s="14"/>
      <c r="BL635" s="14"/>
      <c r="BM635" s="14"/>
      <c r="BN635" s="14"/>
      <c r="BO635" s="14"/>
      <c r="BP635" s="14"/>
      <c r="BQ635" s="14"/>
      <c r="BR635" s="14"/>
      <c r="BS635" s="14"/>
      <c r="BT635" s="14"/>
      <c r="BU635" s="14"/>
      <c r="BV635" s="14"/>
      <c r="BW635" s="14"/>
      <c r="BX635" s="14"/>
      <c r="BY635" s="14"/>
      <c r="BZ635" s="14"/>
      <c r="CA635" s="14"/>
      <c r="CB635" s="14"/>
      <c r="CC635" s="14"/>
      <c r="CD635" s="14"/>
      <c r="CE635" s="14"/>
      <c r="CF635" s="14"/>
      <c r="CG635" s="14"/>
      <c r="CH635" s="14"/>
      <c r="CI635" s="14"/>
      <c r="CJ635" s="14"/>
      <c r="CK635" s="14"/>
      <c r="CL635" s="14"/>
      <c r="CM635" s="14"/>
      <c r="CN635" s="14"/>
      <c r="CO635" s="14"/>
      <c r="CP635" s="14"/>
      <c r="CQ635" s="14"/>
      <c r="CR635" s="14"/>
      <c r="CS635" s="14"/>
      <c r="CT635" s="14"/>
      <c r="CU635" s="14"/>
      <c r="CV635" s="14"/>
      <c r="CW635" s="14"/>
      <c r="CX635" s="14"/>
      <c r="CY635" s="14"/>
      <c r="CZ635" s="14"/>
      <c r="DA635" s="14"/>
      <c r="DB635" s="14"/>
      <c r="DC635" s="14"/>
      <c r="DD635" s="14"/>
      <c r="DE635" s="14"/>
      <c r="DF635" s="14"/>
      <c r="DG635" s="14"/>
      <c r="DH635" s="14"/>
      <c r="DI635" s="14"/>
      <c r="DJ635" s="14"/>
      <c r="DK635" s="14"/>
      <c r="DL635" s="14"/>
      <c r="DM635" s="14"/>
      <c r="DN635" s="14"/>
      <c r="DO635" s="14"/>
      <c r="DP635" s="14"/>
      <c r="DQ635" s="14"/>
      <c r="DR635" s="14"/>
      <c r="DS635" s="14"/>
      <c r="DT635" s="14"/>
      <c r="DU635" s="14"/>
      <c r="DV635" s="14"/>
      <c r="DW635" s="14"/>
      <c r="DX635" s="14"/>
      <c r="DY635" s="14"/>
      <c r="DZ635" s="14"/>
      <c r="EA635" s="14"/>
      <c r="EB635" s="14"/>
      <c r="EC635" s="14"/>
      <c r="ED635" s="14"/>
      <c r="EE635" s="14"/>
      <c r="EF635" s="14"/>
      <c r="EG635" s="14"/>
      <c r="EH635" s="14"/>
      <c r="EI635" s="14"/>
      <c r="EJ635" s="14"/>
      <c r="EK635" s="14"/>
      <c r="EL635" s="14"/>
    </row>
    <row r="636" spans="2:142" hidden="1" x14ac:dyDescent="0.2">
      <c r="B636" s="905">
        <v>123</v>
      </c>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4"/>
      <c r="BB636" s="14"/>
      <c r="BC636" s="14"/>
      <c r="BD636" s="14"/>
      <c r="BE636" s="14"/>
      <c r="BF636" s="14"/>
      <c r="BG636" s="14"/>
      <c r="BH636" s="14"/>
      <c r="BI636" s="14"/>
      <c r="BJ636" s="14"/>
      <c r="BK636" s="14"/>
      <c r="BL636" s="14"/>
      <c r="BM636" s="14"/>
      <c r="BN636" s="14"/>
      <c r="BO636" s="14"/>
      <c r="BP636" s="14"/>
      <c r="BQ636" s="14"/>
      <c r="BR636" s="14"/>
      <c r="BS636" s="14"/>
      <c r="BT636" s="14"/>
      <c r="BU636" s="14"/>
      <c r="BV636" s="14"/>
      <c r="BW636" s="14"/>
      <c r="BX636" s="14"/>
      <c r="BY636" s="14"/>
      <c r="BZ636" s="14"/>
      <c r="CA636" s="14"/>
      <c r="CB636" s="14"/>
      <c r="CC636" s="14"/>
      <c r="CD636" s="14"/>
      <c r="CE636" s="14"/>
      <c r="CF636" s="14"/>
      <c r="CG636" s="14"/>
      <c r="CH636" s="14"/>
      <c r="CI636" s="14"/>
      <c r="CJ636" s="14"/>
      <c r="CK636" s="14"/>
      <c r="CL636" s="14"/>
      <c r="CM636" s="14"/>
      <c r="CN636" s="14"/>
      <c r="CO636" s="14"/>
      <c r="CP636" s="14"/>
      <c r="CQ636" s="14"/>
      <c r="CR636" s="14"/>
      <c r="CS636" s="14"/>
      <c r="CT636" s="14"/>
      <c r="CU636" s="14"/>
      <c r="CV636" s="14"/>
      <c r="CW636" s="14"/>
      <c r="CX636" s="14"/>
      <c r="CY636" s="14"/>
      <c r="CZ636" s="14"/>
      <c r="DA636" s="14"/>
      <c r="DB636" s="14"/>
      <c r="DC636" s="14"/>
      <c r="DD636" s="14"/>
      <c r="DE636" s="14"/>
      <c r="DF636" s="14"/>
      <c r="DG636" s="14"/>
      <c r="DH636" s="14"/>
      <c r="DI636" s="14"/>
      <c r="DJ636" s="14"/>
      <c r="DK636" s="14"/>
      <c r="DL636" s="14"/>
      <c r="DM636" s="14"/>
      <c r="DN636" s="14"/>
      <c r="DO636" s="14"/>
      <c r="DP636" s="14"/>
      <c r="DQ636" s="14"/>
      <c r="DR636" s="14"/>
      <c r="DS636" s="14"/>
      <c r="DT636" s="14"/>
      <c r="DU636" s="14"/>
      <c r="DV636" s="14"/>
      <c r="DW636" s="14"/>
      <c r="DX636" s="14"/>
      <c r="DY636" s="14"/>
      <c r="DZ636" s="14"/>
      <c r="EA636" s="14"/>
      <c r="EB636" s="14"/>
      <c r="EC636" s="14"/>
      <c r="ED636" s="14"/>
      <c r="EE636" s="14"/>
      <c r="EF636" s="14"/>
      <c r="EG636" s="14"/>
      <c r="EH636" s="14"/>
      <c r="EI636" s="14"/>
      <c r="EJ636" s="14"/>
      <c r="EK636" s="14"/>
      <c r="EL636" s="14"/>
    </row>
    <row r="637" spans="2:142" hidden="1" x14ac:dyDescent="0.2">
      <c r="B637" s="905">
        <v>124</v>
      </c>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4"/>
      <c r="BB637" s="14"/>
      <c r="BC637" s="14"/>
      <c r="BD637" s="14"/>
      <c r="BE637" s="14"/>
      <c r="BF637" s="14"/>
      <c r="BG637" s="14"/>
      <c r="BH637" s="14"/>
      <c r="BI637" s="14"/>
      <c r="BJ637" s="14"/>
      <c r="BK637" s="14"/>
      <c r="BL637" s="14"/>
      <c r="BM637" s="14"/>
      <c r="BN637" s="14"/>
      <c r="BO637" s="14"/>
      <c r="BP637" s="14"/>
      <c r="BQ637" s="14"/>
      <c r="BR637" s="14"/>
      <c r="BS637" s="14"/>
      <c r="BT637" s="14"/>
      <c r="BU637" s="14"/>
      <c r="BV637" s="14"/>
      <c r="BW637" s="14"/>
      <c r="BX637" s="14"/>
      <c r="BY637" s="14"/>
      <c r="BZ637" s="14"/>
      <c r="CA637" s="14"/>
      <c r="CB637" s="14"/>
      <c r="CC637" s="14"/>
      <c r="CD637" s="14"/>
      <c r="CE637" s="14"/>
      <c r="CF637" s="14"/>
      <c r="CG637" s="14"/>
      <c r="CH637" s="14"/>
      <c r="CI637" s="14"/>
      <c r="CJ637" s="14"/>
      <c r="CK637" s="14"/>
      <c r="CL637" s="14"/>
      <c r="CM637" s="14"/>
      <c r="CN637" s="14"/>
      <c r="CO637" s="14"/>
      <c r="CP637" s="14"/>
      <c r="CQ637" s="14"/>
      <c r="CR637" s="14"/>
      <c r="CS637" s="14"/>
      <c r="CT637" s="14"/>
      <c r="CU637" s="14"/>
      <c r="CV637" s="14"/>
      <c r="CW637" s="14"/>
      <c r="CX637" s="14"/>
      <c r="CY637" s="14"/>
      <c r="CZ637" s="14"/>
      <c r="DA637" s="14"/>
      <c r="DB637" s="14"/>
      <c r="DC637" s="14"/>
      <c r="DD637" s="14"/>
      <c r="DE637" s="14"/>
      <c r="DF637" s="14"/>
      <c r="DG637" s="14"/>
      <c r="DH637" s="14"/>
      <c r="DI637" s="14"/>
      <c r="DJ637" s="14"/>
      <c r="DK637" s="14"/>
      <c r="DL637" s="14"/>
      <c r="DM637" s="14"/>
      <c r="DN637" s="14"/>
      <c r="DO637" s="14"/>
      <c r="DP637" s="14"/>
      <c r="DQ637" s="14"/>
      <c r="DR637" s="14"/>
      <c r="DS637" s="14"/>
      <c r="DT637" s="14"/>
      <c r="DU637" s="14"/>
      <c r="DV637" s="14"/>
      <c r="DW637" s="14"/>
      <c r="DX637" s="14"/>
      <c r="DY637" s="14"/>
      <c r="DZ637" s="14"/>
      <c r="EA637" s="14"/>
      <c r="EB637" s="14"/>
      <c r="EC637" s="14"/>
      <c r="ED637" s="14"/>
      <c r="EE637" s="14"/>
      <c r="EF637" s="14"/>
      <c r="EG637" s="14"/>
      <c r="EH637" s="14"/>
      <c r="EI637" s="14"/>
      <c r="EJ637" s="14"/>
      <c r="EK637" s="14"/>
      <c r="EL637" s="14"/>
    </row>
    <row r="638" spans="2:142" hidden="1" x14ac:dyDescent="0.2">
      <c r="B638" s="905">
        <v>125</v>
      </c>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4"/>
      <c r="BB638" s="14"/>
      <c r="BC638" s="14"/>
      <c r="BD638" s="14"/>
      <c r="BE638" s="14"/>
      <c r="BF638" s="14"/>
      <c r="BG638" s="14"/>
      <c r="BH638" s="14"/>
      <c r="BI638" s="14"/>
      <c r="BJ638" s="14"/>
      <c r="BK638" s="14"/>
      <c r="BL638" s="14"/>
      <c r="BM638" s="14"/>
      <c r="BN638" s="14"/>
      <c r="BO638" s="14"/>
      <c r="BP638" s="14"/>
      <c r="BQ638" s="14"/>
      <c r="BR638" s="14"/>
      <c r="BS638" s="14"/>
      <c r="BT638" s="14"/>
      <c r="BU638" s="14"/>
      <c r="BV638" s="14"/>
      <c r="BW638" s="14"/>
      <c r="BX638" s="14"/>
      <c r="BY638" s="14"/>
      <c r="BZ638" s="14"/>
      <c r="CA638" s="14"/>
      <c r="CB638" s="14"/>
      <c r="CC638" s="14"/>
      <c r="CD638" s="14"/>
      <c r="CE638" s="14"/>
      <c r="CF638" s="14"/>
      <c r="CG638" s="14"/>
      <c r="CH638" s="14"/>
      <c r="CI638" s="14"/>
      <c r="CJ638" s="14"/>
      <c r="CK638" s="14"/>
      <c r="CL638" s="14"/>
      <c r="CM638" s="14"/>
      <c r="CN638" s="14"/>
      <c r="CO638" s="14"/>
      <c r="CP638" s="14"/>
      <c r="CQ638" s="14"/>
      <c r="CR638" s="14"/>
      <c r="CS638" s="14"/>
      <c r="CT638" s="14"/>
      <c r="CU638" s="14"/>
      <c r="CV638" s="14"/>
      <c r="CW638" s="14"/>
      <c r="CX638" s="14"/>
      <c r="CY638" s="14"/>
      <c r="CZ638" s="14"/>
      <c r="DA638" s="14"/>
      <c r="DB638" s="14"/>
      <c r="DC638" s="14"/>
      <c r="DD638" s="14"/>
      <c r="DE638" s="14"/>
      <c r="DF638" s="14"/>
      <c r="DG638" s="14"/>
      <c r="DH638" s="14"/>
      <c r="DI638" s="14"/>
      <c r="DJ638" s="14"/>
      <c r="DK638" s="14"/>
      <c r="DL638" s="14"/>
      <c r="DM638" s="14"/>
      <c r="DN638" s="14"/>
      <c r="DO638" s="14"/>
      <c r="DP638" s="14"/>
      <c r="DQ638" s="14"/>
      <c r="DR638" s="14"/>
      <c r="DS638" s="14"/>
      <c r="DT638" s="14"/>
      <c r="DU638" s="14"/>
      <c r="DV638" s="14"/>
      <c r="DW638" s="14"/>
      <c r="DX638" s="14"/>
      <c r="DY638" s="14"/>
      <c r="DZ638" s="14"/>
      <c r="EA638" s="14"/>
      <c r="EB638" s="14"/>
      <c r="EC638" s="14"/>
      <c r="ED638" s="14"/>
      <c r="EE638" s="14"/>
      <c r="EF638" s="14"/>
      <c r="EG638" s="14"/>
      <c r="EH638" s="14"/>
      <c r="EI638" s="14"/>
      <c r="EJ638" s="14"/>
      <c r="EK638" s="14"/>
      <c r="EL638" s="14"/>
    </row>
    <row r="639" spans="2:142" hidden="1" x14ac:dyDescent="0.2">
      <c r="B639" s="905">
        <v>126</v>
      </c>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4"/>
      <c r="BB639" s="14"/>
      <c r="BC639" s="14"/>
      <c r="BD639" s="14"/>
      <c r="BE639" s="14"/>
      <c r="BF639" s="14"/>
      <c r="BG639" s="14"/>
      <c r="BH639" s="14"/>
      <c r="BI639" s="14"/>
      <c r="BJ639" s="14"/>
      <c r="BK639" s="14"/>
      <c r="BL639" s="14"/>
      <c r="BM639" s="14"/>
      <c r="BN639" s="14"/>
      <c r="BO639" s="14"/>
      <c r="BP639" s="14"/>
      <c r="BQ639" s="14"/>
      <c r="BR639" s="14"/>
      <c r="BS639" s="14"/>
      <c r="BT639" s="14"/>
      <c r="BU639" s="14"/>
      <c r="BV639" s="14"/>
      <c r="BW639" s="14"/>
      <c r="BX639" s="14"/>
      <c r="BY639" s="14"/>
      <c r="BZ639" s="14"/>
      <c r="CA639" s="14"/>
      <c r="CB639" s="14"/>
      <c r="CC639" s="14"/>
      <c r="CD639" s="14"/>
      <c r="CE639" s="14"/>
      <c r="CF639" s="14"/>
      <c r="CG639" s="14"/>
      <c r="CH639" s="14"/>
      <c r="CI639" s="14"/>
      <c r="CJ639" s="14"/>
      <c r="CK639" s="14"/>
      <c r="CL639" s="14"/>
      <c r="CM639" s="14"/>
      <c r="CN639" s="14"/>
      <c r="CO639" s="14"/>
      <c r="CP639" s="14"/>
      <c r="CQ639" s="14"/>
      <c r="CR639" s="14"/>
      <c r="CS639" s="14"/>
      <c r="CT639" s="14"/>
      <c r="CU639" s="14"/>
      <c r="CV639" s="14"/>
      <c r="CW639" s="14"/>
      <c r="CX639" s="14"/>
      <c r="CY639" s="14"/>
      <c r="CZ639" s="14"/>
      <c r="DA639" s="14"/>
      <c r="DB639" s="14"/>
      <c r="DC639" s="14"/>
      <c r="DD639" s="14"/>
      <c r="DE639" s="14"/>
      <c r="DF639" s="14"/>
      <c r="DG639" s="14"/>
      <c r="DH639" s="14"/>
      <c r="DI639" s="14"/>
      <c r="DJ639" s="14"/>
      <c r="DK639" s="14"/>
      <c r="DL639" s="14"/>
      <c r="DM639" s="14"/>
      <c r="DN639" s="14"/>
      <c r="DO639" s="14"/>
      <c r="DP639" s="14"/>
      <c r="DQ639" s="14"/>
      <c r="DR639" s="14"/>
      <c r="DS639" s="14"/>
      <c r="DT639" s="14"/>
      <c r="DU639" s="14"/>
      <c r="DV639" s="14"/>
      <c r="DW639" s="14"/>
      <c r="DX639" s="14"/>
      <c r="DY639" s="14"/>
      <c r="DZ639" s="14"/>
      <c r="EA639" s="14"/>
      <c r="EB639" s="14"/>
      <c r="EC639" s="14"/>
      <c r="ED639" s="14"/>
      <c r="EE639" s="14"/>
      <c r="EF639" s="14"/>
      <c r="EG639" s="14"/>
      <c r="EH639" s="14"/>
      <c r="EI639" s="14"/>
      <c r="EJ639" s="14"/>
      <c r="EK639" s="14"/>
      <c r="EL639" s="14"/>
    </row>
    <row r="640" spans="2:142" hidden="1" x14ac:dyDescent="0.2">
      <c r="B640" s="905">
        <v>127</v>
      </c>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4"/>
      <c r="BB640" s="14"/>
      <c r="BC640" s="14"/>
      <c r="BD640" s="14"/>
      <c r="BE640" s="14"/>
      <c r="BF640" s="14"/>
      <c r="BG640" s="14"/>
      <c r="BH640" s="14"/>
      <c r="BI640" s="14"/>
      <c r="BJ640" s="14"/>
      <c r="BK640" s="14"/>
      <c r="BL640" s="14"/>
      <c r="BM640" s="14"/>
      <c r="BN640" s="14"/>
      <c r="BO640" s="14"/>
      <c r="BP640" s="14"/>
      <c r="BQ640" s="14"/>
      <c r="BR640" s="14"/>
      <c r="BS640" s="14"/>
      <c r="BT640" s="14"/>
      <c r="BU640" s="14"/>
      <c r="BV640" s="14"/>
      <c r="BW640" s="14"/>
      <c r="BX640" s="14"/>
      <c r="BY640" s="14"/>
      <c r="BZ640" s="14"/>
      <c r="CA640" s="14"/>
      <c r="CB640" s="14"/>
      <c r="CC640" s="14"/>
      <c r="CD640" s="14"/>
      <c r="CE640" s="14"/>
      <c r="CF640" s="14"/>
      <c r="CG640" s="14"/>
      <c r="CH640" s="14"/>
      <c r="CI640" s="14"/>
      <c r="CJ640" s="14"/>
      <c r="CK640" s="14"/>
      <c r="CL640" s="14"/>
      <c r="CM640" s="14"/>
      <c r="CN640" s="14"/>
      <c r="CO640" s="14"/>
      <c r="CP640" s="14"/>
      <c r="CQ640" s="14"/>
      <c r="CR640" s="14"/>
      <c r="CS640" s="14"/>
      <c r="CT640" s="14"/>
      <c r="CU640" s="14"/>
      <c r="CV640" s="14"/>
      <c r="CW640" s="14"/>
      <c r="CX640" s="14"/>
      <c r="CY640" s="14"/>
      <c r="CZ640" s="14"/>
      <c r="DA640" s="14"/>
      <c r="DB640" s="14"/>
      <c r="DC640" s="14"/>
      <c r="DD640" s="14"/>
      <c r="DE640" s="14"/>
      <c r="DF640" s="14"/>
      <c r="DG640" s="14"/>
      <c r="DH640" s="14"/>
      <c r="DI640" s="14"/>
      <c r="DJ640" s="14"/>
      <c r="DK640" s="14"/>
      <c r="DL640" s="14"/>
      <c r="DM640" s="14"/>
      <c r="DN640" s="14"/>
      <c r="DO640" s="14"/>
      <c r="DP640" s="14"/>
      <c r="DQ640" s="14"/>
      <c r="DR640" s="14"/>
      <c r="DS640" s="14"/>
      <c r="DT640" s="14"/>
      <c r="DU640" s="14"/>
      <c r="DV640" s="14"/>
      <c r="DW640" s="14"/>
      <c r="DX640" s="14"/>
      <c r="DY640" s="14"/>
      <c r="DZ640" s="14"/>
      <c r="EA640" s="14"/>
      <c r="EB640" s="14"/>
      <c r="EC640" s="14"/>
      <c r="ED640" s="14"/>
      <c r="EE640" s="14"/>
      <c r="EF640" s="14"/>
      <c r="EG640" s="14"/>
      <c r="EH640" s="14"/>
      <c r="EI640" s="14"/>
      <c r="EJ640" s="14"/>
      <c r="EK640" s="14"/>
      <c r="EL640" s="14"/>
    </row>
    <row r="641" spans="2:142" hidden="1" x14ac:dyDescent="0.2">
      <c r="B641" s="905">
        <v>128</v>
      </c>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4"/>
      <c r="BB641" s="14"/>
      <c r="BC641" s="14"/>
      <c r="BD641" s="14"/>
      <c r="BE641" s="14"/>
      <c r="BF641" s="14"/>
      <c r="BG641" s="14"/>
      <c r="BH641" s="14"/>
      <c r="BI641" s="14"/>
      <c r="BJ641" s="14"/>
      <c r="BK641" s="14"/>
      <c r="BL641" s="14"/>
      <c r="BM641" s="14"/>
      <c r="BN641" s="14"/>
      <c r="BO641" s="14"/>
      <c r="BP641" s="14"/>
      <c r="BQ641" s="14"/>
      <c r="BR641" s="14"/>
      <c r="BS641" s="14"/>
      <c r="BT641" s="14"/>
      <c r="BU641" s="14"/>
      <c r="BV641" s="14"/>
      <c r="BW641" s="14"/>
      <c r="BX641" s="14"/>
      <c r="BY641" s="14"/>
      <c r="BZ641" s="14"/>
      <c r="CA641" s="14"/>
      <c r="CB641" s="14"/>
      <c r="CC641" s="14"/>
      <c r="CD641" s="14"/>
      <c r="CE641" s="14"/>
      <c r="CF641" s="14"/>
      <c r="CG641" s="14"/>
      <c r="CH641" s="14"/>
      <c r="CI641" s="14"/>
      <c r="CJ641" s="14"/>
      <c r="CK641" s="14"/>
      <c r="CL641" s="14"/>
      <c r="CM641" s="14"/>
      <c r="CN641" s="14"/>
      <c r="CO641" s="14"/>
      <c r="CP641" s="14"/>
      <c r="CQ641" s="14"/>
      <c r="CR641" s="14"/>
      <c r="CS641" s="14"/>
      <c r="CT641" s="14"/>
      <c r="CU641" s="14"/>
      <c r="CV641" s="14"/>
      <c r="CW641" s="14"/>
      <c r="CX641" s="14"/>
      <c r="CY641" s="14"/>
      <c r="CZ641" s="14"/>
      <c r="DA641" s="14"/>
      <c r="DB641" s="14"/>
      <c r="DC641" s="14"/>
      <c r="DD641" s="14"/>
      <c r="DE641" s="14"/>
      <c r="DF641" s="14"/>
      <c r="DG641" s="14"/>
      <c r="DH641" s="14"/>
      <c r="DI641" s="14"/>
      <c r="DJ641" s="14"/>
      <c r="DK641" s="14"/>
      <c r="DL641" s="14"/>
      <c r="DM641" s="14"/>
      <c r="DN641" s="14"/>
      <c r="DO641" s="14"/>
      <c r="DP641" s="14"/>
      <c r="DQ641" s="14"/>
      <c r="DR641" s="14"/>
      <c r="DS641" s="14"/>
      <c r="DT641" s="14"/>
      <c r="DU641" s="14"/>
      <c r="DV641" s="14"/>
      <c r="DW641" s="14"/>
      <c r="DX641" s="14"/>
      <c r="DY641" s="14"/>
      <c r="DZ641" s="14"/>
      <c r="EA641" s="14"/>
      <c r="EB641" s="14"/>
      <c r="EC641" s="14"/>
      <c r="ED641" s="14"/>
      <c r="EE641" s="14"/>
      <c r="EF641" s="14"/>
      <c r="EG641" s="14"/>
      <c r="EH641" s="14"/>
      <c r="EI641" s="14"/>
      <c r="EJ641" s="14"/>
      <c r="EK641" s="14"/>
      <c r="EL641" s="14"/>
    </row>
    <row r="642" spans="2:142" hidden="1" x14ac:dyDescent="0.2">
      <c r="B642" s="905">
        <v>129</v>
      </c>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4"/>
      <c r="BB642" s="14"/>
      <c r="BC642" s="14"/>
      <c r="BD642" s="14"/>
      <c r="BE642" s="14"/>
      <c r="BF642" s="14"/>
      <c r="BG642" s="14"/>
      <c r="BH642" s="14"/>
      <c r="BI642" s="14"/>
      <c r="BJ642" s="14"/>
      <c r="BK642" s="14"/>
      <c r="BL642" s="14"/>
      <c r="BM642" s="14"/>
      <c r="BN642" s="14"/>
      <c r="BO642" s="14"/>
      <c r="BP642" s="14"/>
      <c r="BQ642" s="14"/>
      <c r="BR642" s="14"/>
      <c r="BS642" s="14"/>
      <c r="BT642" s="14"/>
      <c r="BU642" s="14"/>
      <c r="BV642" s="14"/>
      <c r="BW642" s="14"/>
      <c r="BX642" s="14"/>
      <c r="BY642" s="14"/>
      <c r="BZ642" s="14"/>
      <c r="CA642" s="14"/>
      <c r="CB642" s="14"/>
      <c r="CC642" s="14"/>
      <c r="CD642" s="14"/>
      <c r="CE642" s="14"/>
      <c r="CF642" s="14"/>
      <c r="CG642" s="14"/>
      <c r="CH642" s="14"/>
      <c r="CI642" s="14"/>
      <c r="CJ642" s="14"/>
      <c r="CK642" s="14"/>
      <c r="CL642" s="14"/>
      <c r="CM642" s="14"/>
      <c r="CN642" s="14"/>
      <c r="CO642" s="14"/>
      <c r="CP642" s="14"/>
      <c r="CQ642" s="14"/>
      <c r="CR642" s="14"/>
      <c r="CS642" s="14"/>
      <c r="CT642" s="14"/>
      <c r="CU642" s="14"/>
      <c r="CV642" s="14"/>
      <c r="CW642" s="14"/>
      <c r="CX642" s="14"/>
      <c r="CY642" s="14"/>
      <c r="CZ642" s="14"/>
      <c r="DA642" s="14"/>
      <c r="DB642" s="14"/>
      <c r="DC642" s="14"/>
      <c r="DD642" s="14"/>
      <c r="DE642" s="14"/>
      <c r="DF642" s="14"/>
      <c r="DG642" s="14"/>
      <c r="DH642" s="14"/>
      <c r="DI642" s="14"/>
      <c r="DJ642" s="14"/>
      <c r="DK642" s="14"/>
      <c r="DL642" s="14"/>
      <c r="DM642" s="14"/>
      <c r="DN642" s="14"/>
      <c r="DO642" s="14"/>
      <c r="DP642" s="14"/>
      <c r="DQ642" s="14"/>
      <c r="DR642" s="14"/>
      <c r="DS642" s="14"/>
      <c r="DT642" s="14"/>
      <c r="DU642" s="14"/>
      <c r="DV642" s="14"/>
      <c r="DW642" s="14"/>
      <c r="DX642" s="14"/>
      <c r="DY642" s="14"/>
      <c r="DZ642" s="14"/>
      <c r="EA642" s="14"/>
      <c r="EB642" s="14"/>
      <c r="EC642" s="14"/>
      <c r="ED642" s="14"/>
      <c r="EE642" s="14"/>
      <c r="EF642" s="14"/>
      <c r="EG642" s="14"/>
      <c r="EH642" s="14"/>
      <c r="EI642" s="14"/>
      <c r="EJ642" s="14"/>
      <c r="EK642" s="14"/>
      <c r="EL642" s="14"/>
    </row>
    <row r="643" spans="2:142" hidden="1" x14ac:dyDescent="0.2">
      <c r="B643" s="905">
        <v>130</v>
      </c>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4"/>
      <c r="BB643" s="14"/>
      <c r="BC643" s="14"/>
      <c r="BD643" s="14"/>
      <c r="BE643" s="14"/>
      <c r="BF643" s="14"/>
      <c r="BG643" s="14"/>
      <c r="BH643" s="14"/>
      <c r="BI643" s="14"/>
      <c r="BJ643" s="14"/>
      <c r="BK643" s="14"/>
      <c r="BL643" s="14"/>
      <c r="BM643" s="14"/>
      <c r="BN643" s="14"/>
      <c r="BO643" s="14"/>
      <c r="BP643" s="14"/>
      <c r="BQ643" s="14"/>
      <c r="BR643" s="14"/>
      <c r="BS643" s="14"/>
      <c r="BT643" s="14"/>
      <c r="BU643" s="14"/>
      <c r="BV643" s="14"/>
      <c r="BW643" s="14"/>
      <c r="BX643" s="14"/>
      <c r="BY643" s="14"/>
      <c r="BZ643" s="14"/>
      <c r="CA643" s="14"/>
      <c r="CB643" s="14"/>
      <c r="CC643" s="14"/>
      <c r="CD643" s="14"/>
      <c r="CE643" s="14"/>
      <c r="CF643" s="14"/>
      <c r="CG643" s="14"/>
      <c r="CH643" s="14"/>
      <c r="CI643" s="14"/>
      <c r="CJ643" s="14"/>
      <c r="CK643" s="14"/>
      <c r="CL643" s="14"/>
      <c r="CM643" s="14"/>
      <c r="CN643" s="14"/>
      <c r="CO643" s="14"/>
      <c r="CP643" s="14"/>
      <c r="CQ643" s="14"/>
      <c r="CR643" s="14"/>
      <c r="CS643" s="14"/>
      <c r="CT643" s="14"/>
      <c r="CU643" s="14"/>
      <c r="CV643" s="14"/>
      <c r="CW643" s="14"/>
      <c r="CX643" s="14"/>
      <c r="CY643" s="14"/>
      <c r="CZ643" s="14"/>
      <c r="DA643" s="14"/>
      <c r="DB643" s="14"/>
      <c r="DC643" s="14"/>
      <c r="DD643" s="14"/>
      <c r="DE643" s="14"/>
      <c r="DF643" s="14"/>
      <c r="DG643" s="14"/>
      <c r="DH643" s="14"/>
      <c r="DI643" s="14"/>
      <c r="DJ643" s="14"/>
      <c r="DK643" s="14"/>
      <c r="DL643" s="14"/>
      <c r="DM643" s="14"/>
      <c r="DN643" s="14"/>
      <c r="DO643" s="14"/>
      <c r="DP643" s="14"/>
      <c r="DQ643" s="14"/>
      <c r="DR643" s="14"/>
      <c r="DS643" s="14"/>
      <c r="DT643" s="14"/>
      <c r="DU643" s="14"/>
      <c r="DV643" s="14"/>
      <c r="DW643" s="14"/>
      <c r="DX643" s="14"/>
      <c r="DY643" s="14"/>
      <c r="DZ643" s="14"/>
      <c r="EA643" s="14"/>
      <c r="EB643" s="14"/>
      <c r="EC643" s="14"/>
      <c r="ED643" s="14"/>
      <c r="EE643" s="14"/>
      <c r="EF643" s="14"/>
      <c r="EG643" s="14"/>
      <c r="EH643" s="14"/>
      <c r="EI643" s="14"/>
      <c r="EJ643" s="14"/>
      <c r="EK643" s="14"/>
      <c r="EL643" s="14"/>
    </row>
    <row r="644" spans="2:142" hidden="1" x14ac:dyDescent="0.2">
      <c r="B644" s="905">
        <v>131</v>
      </c>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4"/>
      <c r="BB644" s="14"/>
      <c r="BC644" s="14"/>
      <c r="BD644" s="14"/>
      <c r="BE644" s="14"/>
      <c r="BF644" s="14"/>
      <c r="BG644" s="14"/>
      <c r="BH644" s="14"/>
      <c r="BI644" s="14"/>
      <c r="BJ644" s="14"/>
      <c r="BK644" s="14"/>
      <c r="BL644" s="14"/>
      <c r="BM644" s="14"/>
      <c r="BN644" s="14"/>
      <c r="BO644" s="14"/>
      <c r="BP644" s="14"/>
      <c r="BQ644" s="14"/>
      <c r="BR644" s="14"/>
      <c r="BS644" s="14"/>
      <c r="BT644" s="14"/>
      <c r="BU644" s="14"/>
      <c r="BV644" s="14"/>
      <c r="BW644" s="14"/>
      <c r="BX644" s="14"/>
      <c r="BY644" s="14"/>
      <c r="BZ644" s="14"/>
      <c r="CA644" s="14"/>
      <c r="CB644" s="14"/>
      <c r="CC644" s="14"/>
      <c r="CD644" s="14"/>
      <c r="CE644" s="14"/>
      <c r="CF644" s="14"/>
      <c r="CG644" s="14"/>
      <c r="CH644" s="14"/>
      <c r="CI644" s="14"/>
      <c r="CJ644" s="14"/>
      <c r="CK644" s="14"/>
      <c r="CL644" s="14"/>
      <c r="CM644" s="14"/>
      <c r="CN644" s="14"/>
      <c r="CO644" s="14"/>
      <c r="CP644" s="14"/>
      <c r="CQ644" s="14"/>
      <c r="CR644" s="14"/>
      <c r="CS644" s="14"/>
      <c r="CT644" s="14"/>
      <c r="CU644" s="14"/>
      <c r="CV644" s="14"/>
      <c r="CW644" s="14"/>
      <c r="CX644" s="14"/>
      <c r="CY644" s="14"/>
      <c r="CZ644" s="14"/>
      <c r="DA644" s="14"/>
      <c r="DB644" s="14"/>
      <c r="DC644" s="14"/>
      <c r="DD644" s="14"/>
      <c r="DE644" s="14"/>
      <c r="DF644" s="14"/>
      <c r="DG644" s="14"/>
      <c r="DH644" s="14"/>
      <c r="DI644" s="14"/>
      <c r="DJ644" s="14"/>
      <c r="DK644" s="14"/>
      <c r="DL644" s="14"/>
      <c r="DM644" s="14"/>
      <c r="DN644" s="14"/>
      <c r="DO644" s="14"/>
      <c r="DP644" s="14"/>
      <c r="DQ644" s="14"/>
      <c r="DR644" s="14"/>
      <c r="DS644" s="14"/>
      <c r="DT644" s="14"/>
      <c r="DU644" s="14"/>
      <c r="DV644" s="14"/>
      <c r="DW644" s="14"/>
      <c r="DX644" s="14"/>
      <c r="DY644" s="14"/>
      <c r="DZ644" s="14"/>
      <c r="EA644" s="14"/>
      <c r="EB644" s="14"/>
      <c r="EC644" s="14"/>
      <c r="ED644" s="14"/>
      <c r="EE644" s="14"/>
      <c r="EF644" s="14"/>
      <c r="EG644" s="14"/>
      <c r="EH644" s="14"/>
      <c r="EI644" s="14"/>
      <c r="EJ644" s="14"/>
      <c r="EK644" s="14"/>
      <c r="EL644" s="14"/>
    </row>
    <row r="645" spans="2:142" hidden="1" x14ac:dyDescent="0.2">
      <c r="B645" s="905">
        <v>132</v>
      </c>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4"/>
      <c r="BB645" s="14"/>
      <c r="BC645" s="14"/>
      <c r="BD645" s="14"/>
      <c r="BE645" s="14"/>
      <c r="BF645" s="14"/>
      <c r="BG645" s="14"/>
      <c r="BH645" s="14"/>
      <c r="BI645" s="14"/>
      <c r="BJ645" s="14"/>
      <c r="BK645" s="14"/>
      <c r="BL645" s="14"/>
      <c r="BM645" s="14"/>
      <c r="BN645" s="14"/>
      <c r="BO645" s="14"/>
      <c r="BP645" s="14"/>
      <c r="BQ645" s="14"/>
      <c r="BR645" s="14"/>
      <c r="BS645" s="14"/>
      <c r="BT645" s="14"/>
      <c r="BU645" s="14"/>
      <c r="BV645" s="14"/>
      <c r="BW645" s="14"/>
      <c r="BX645" s="14"/>
      <c r="BY645" s="14"/>
      <c r="BZ645" s="14"/>
      <c r="CA645" s="14"/>
      <c r="CB645" s="14"/>
      <c r="CC645" s="14"/>
      <c r="CD645" s="14"/>
      <c r="CE645" s="14"/>
      <c r="CF645" s="14"/>
      <c r="CG645" s="14"/>
      <c r="CH645" s="14"/>
      <c r="CI645" s="14"/>
      <c r="CJ645" s="14"/>
      <c r="CK645" s="14"/>
      <c r="CL645" s="14"/>
      <c r="CM645" s="14"/>
      <c r="CN645" s="14"/>
      <c r="CO645" s="14"/>
      <c r="CP645" s="14"/>
      <c r="CQ645" s="14"/>
      <c r="CR645" s="14"/>
      <c r="CS645" s="14"/>
      <c r="CT645" s="14"/>
      <c r="CU645" s="14"/>
      <c r="CV645" s="14"/>
      <c r="CW645" s="14"/>
      <c r="CX645" s="14"/>
      <c r="CY645" s="14"/>
      <c r="CZ645" s="14"/>
      <c r="DA645" s="14"/>
      <c r="DB645" s="14"/>
      <c r="DC645" s="14"/>
      <c r="DD645" s="14"/>
      <c r="DE645" s="14"/>
      <c r="DF645" s="14"/>
      <c r="DG645" s="14"/>
      <c r="DH645" s="14"/>
      <c r="DI645" s="14"/>
      <c r="DJ645" s="14"/>
      <c r="DK645" s="14"/>
      <c r="DL645" s="14"/>
      <c r="DM645" s="14"/>
      <c r="DN645" s="14"/>
      <c r="DO645" s="14"/>
      <c r="DP645" s="14"/>
      <c r="DQ645" s="14"/>
      <c r="DR645" s="14"/>
      <c r="DS645" s="14"/>
      <c r="DT645" s="14"/>
      <c r="DU645" s="14"/>
      <c r="DV645" s="14"/>
      <c r="DW645" s="14"/>
      <c r="DX645" s="14"/>
      <c r="DY645" s="14"/>
      <c r="DZ645" s="14"/>
      <c r="EA645" s="14"/>
      <c r="EB645" s="14"/>
      <c r="EC645" s="14"/>
      <c r="ED645" s="14"/>
      <c r="EE645" s="14"/>
      <c r="EF645" s="14"/>
      <c r="EG645" s="14"/>
      <c r="EH645" s="14"/>
      <c r="EI645" s="14"/>
      <c r="EJ645" s="14"/>
      <c r="EK645" s="14"/>
      <c r="EL645" s="14"/>
    </row>
    <row r="646" spans="2:142" hidden="1" x14ac:dyDescent="0.2">
      <c r="B646" s="905">
        <v>133</v>
      </c>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4"/>
      <c r="BB646" s="14"/>
      <c r="BC646" s="14"/>
      <c r="BD646" s="14"/>
      <c r="BE646" s="14"/>
      <c r="BF646" s="14"/>
      <c r="BG646" s="14"/>
      <c r="BH646" s="14"/>
      <c r="BI646" s="14"/>
      <c r="BJ646" s="14"/>
      <c r="BK646" s="14"/>
      <c r="BL646" s="14"/>
      <c r="BM646" s="14"/>
      <c r="BN646" s="14"/>
      <c r="BO646" s="14"/>
      <c r="BP646" s="14"/>
      <c r="BQ646" s="14"/>
      <c r="BR646" s="14"/>
      <c r="BS646" s="14"/>
      <c r="BT646" s="14"/>
      <c r="BU646" s="14"/>
      <c r="BV646" s="14"/>
      <c r="BW646" s="14"/>
      <c r="BX646" s="14"/>
      <c r="BY646" s="14"/>
      <c r="BZ646" s="14"/>
      <c r="CA646" s="14"/>
      <c r="CB646" s="14"/>
      <c r="CC646" s="14"/>
      <c r="CD646" s="14"/>
      <c r="CE646" s="14"/>
      <c r="CF646" s="14"/>
      <c r="CG646" s="14"/>
      <c r="CH646" s="14"/>
      <c r="CI646" s="14"/>
      <c r="CJ646" s="14"/>
      <c r="CK646" s="14"/>
      <c r="CL646" s="14"/>
      <c r="CM646" s="14"/>
      <c r="CN646" s="14"/>
      <c r="CO646" s="14"/>
      <c r="CP646" s="14"/>
      <c r="CQ646" s="14"/>
      <c r="CR646" s="14"/>
      <c r="CS646" s="14"/>
      <c r="CT646" s="14"/>
      <c r="CU646" s="14"/>
      <c r="CV646" s="14"/>
      <c r="CW646" s="14"/>
      <c r="CX646" s="14"/>
      <c r="CY646" s="14"/>
      <c r="CZ646" s="14"/>
      <c r="DA646" s="14"/>
      <c r="DB646" s="14"/>
      <c r="DC646" s="14"/>
      <c r="DD646" s="14"/>
      <c r="DE646" s="14"/>
      <c r="DF646" s="14"/>
      <c r="DG646" s="14"/>
      <c r="DH646" s="14"/>
      <c r="DI646" s="14"/>
      <c r="DJ646" s="14"/>
      <c r="DK646" s="14"/>
      <c r="DL646" s="14"/>
      <c r="DM646" s="14"/>
      <c r="DN646" s="14"/>
      <c r="DO646" s="14"/>
      <c r="DP646" s="14"/>
      <c r="DQ646" s="14"/>
      <c r="DR646" s="14"/>
      <c r="DS646" s="14"/>
      <c r="DT646" s="14"/>
      <c r="DU646" s="14"/>
      <c r="DV646" s="14"/>
      <c r="DW646" s="14"/>
      <c r="DX646" s="14"/>
      <c r="DY646" s="14"/>
      <c r="DZ646" s="14"/>
      <c r="EA646" s="14"/>
      <c r="EB646" s="14"/>
      <c r="EC646" s="14"/>
      <c r="ED646" s="14"/>
      <c r="EE646" s="14"/>
      <c r="EF646" s="14"/>
      <c r="EG646" s="14"/>
      <c r="EH646" s="14"/>
      <c r="EI646" s="14"/>
      <c r="EJ646" s="14"/>
      <c r="EK646" s="14"/>
      <c r="EL646" s="14"/>
    </row>
    <row r="647" spans="2:142" hidden="1" x14ac:dyDescent="0.2">
      <c r="B647" s="905">
        <v>134</v>
      </c>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4"/>
      <c r="BB647" s="14"/>
      <c r="BC647" s="14"/>
      <c r="BD647" s="14"/>
      <c r="BE647" s="14"/>
      <c r="BF647" s="14"/>
      <c r="BG647" s="14"/>
      <c r="BH647" s="14"/>
      <c r="BI647" s="14"/>
      <c r="BJ647" s="14"/>
      <c r="BK647" s="14"/>
      <c r="BL647" s="14"/>
      <c r="BM647" s="14"/>
      <c r="BN647" s="14"/>
      <c r="BO647" s="14"/>
      <c r="BP647" s="14"/>
      <c r="BQ647" s="14"/>
      <c r="BR647" s="14"/>
      <c r="BS647" s="14"/>
      <c r="BT647" s="14"/>
      <c r="BU647" s="14"/>
      <c r="BV647" s="14"/>
      <c r="BW647" s="14"/>
      <c r="BX647" s="14"/>
      <c r="BY647" s="14"/>
      <c r="BZ647" s="14"/>
      <c r="CA647" s="14"/>
      <c r="CB647" s="14"/>
      <c r="CC647" s="14"/>
      <c r="CD647" s="14"/>
      <c r="CE647" s="14"/>
      <c r="CF647" s="14"/>
      <c r="CG647" s="14"/>
      <c r="CH647" s="14"/>
      <c r="CI647" s="14"/>
      <c r="CJ647" s="14"/>
      <c r="CK647" s="14"/>
      <c r="CL647" s="14"/>
      <c r="CM647" s="14"/>
      <c r="CN647" s="14"/>
      <c r="CO647" s="14"/>
      <c r="CP647" s="14"/>
      <c r="CQ647" s="14"/>
      <c r="CR647" s="14"/>
      <c r="CS647" s="14"/>
      <c r="CT647" s="14"/>
      <c r="CU647" s="14"/>
      <c r="CV647" s="14"/>
      <c r="CW647" s="14"/>
      <c r="CX647" s="14"/>
      <c r="CY647" s="14"/>
      <c r="CZ647" s="14"/>
      <c r="DA647" s="14"/>
      <c r="DB647" s="14"/>
      <c r="DC647" s="14"/>
      <c r="DD647" s="14"/>
      <c r="DE647" s="14"/>
      <c r="DF647" s="14"/>
      <c r="DG647" s="14"/>
      <c r="DH647" s="14"/>
      <c r="DI647" s="14"/>
      <c r="DJ647" s="14"/>
      <c r="DK647" s="14"/>
      <c r="DL647" s="14"/>
      <c r="DM647" s="14"/>
      <c r="DN647" s="14"/>
      <c r="DO647" s="14"/>
      <c r="DP647" s="14"/>
      <c r="DQ647" s="14"/>
      <c r="DR647" s="14"/>
      <c r="DS647" s="14"/>
      <c r="DT647" s="14"/>
      <c r="DU647" s="14"/>
      <c r="DV647" s="14"/>
      <c r="DW647" s="14"/>
      <c r="DX647" s="14"/>
      <c r="DY647" s="14"/>
      <c r="DZ647" s="14"/>
      <c r="EA647" s="14"/>
      <c r="EB647" s="14"/>
      <c r="EC647" s="14"/>
      <c r="ED647" s="14"/>
      <c r="EE647" s="14"/>
      <c r="EF647" s="14"/>
      <c r="EG647" s="14"/>
      <c r="EH647" s="14"/>
      <c r="EI647" s="14"/>
      <c r="EJ647" s="14"/>
      <c r="EK647" s="14"/>
      <c r="EL647" s="14"/>
    </row>
    <row r="648" spans="2:142" hidden="1" x14ac:dyDescent="0.2">
      <c r="B648" s="905">
        <v>135</v>
      </c>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4"/>
      <c r="BB648" s="14"/>
      <c r="BC648" s="14"/>
      <c r="BD648" s="14"/>
      <c r="BE648" s="14"/>
      <c r="BF648" s="14"/>
      <c r="BG648" s="14"/>
      <c r="BH648" s="14"/>
      <c r="BI648" s="14"/>
      <c r="BJ648" s="14"/>
      <c r="BK648" s="14"/>
      <c r="BL648" s="14"/>
      <c r="BM648" s="14"/>
      <c r="BN648" s="14"/>
      <c r="BO648" s="14"/>
      <c r="BP648" s="14"/>
      <c r="BQ648" s="14"/>
      <c r="BR648" s="14"/>
      <c r="BS648" s="14"/>
      <c r="BT648" s="14"/>
      <c r="BU648" s="14"/>
      <c r="BV648" s="14"/>
      <c r="BW648" s="14"/>
      <c r="BX648" s="14"/>
      <c r="BY648" s="14"/>
      <c r="BZ648" s="14"/>
      <c r="CA648" s="14"/>
      <c r="CB648" s="14"/>
      <c r="CC648" s="14"/>
      <c r="CD648" s="14"/>
      <c r="CE648" s="14"/>
      <c r="CF648" s="14"/>
      <c r="CG648" s="14"/>
      <c r="CH648" s="14"/>
      <c r="CI648" s="14"/>
      <c r="CJ648" s="14"/>
      <c r="CK648" s="14"/>
      <c r="CL648" s="14"/>
      <c r="CM648" s="14"/>
      <c r="CN648" s="14"/>
      <c r="CO648" s="14"/>
      <c r="CP648" s="14"/>
      <c r="CQ648" s="14"/>
      <c r="CR648" s="14"/>
      <c r="CS648" s="14"/>
      <c r="CT648" s="14"/>
      <c r="CU648" s="14"/>
      <c r="CV648" s="14"/>
      <c r="CW648" s="14"/>
      <c r="CX648" s="14"/>
      <c r="CY648" s="14"/>
      <c r="CZ648" s="14"/>
      <c r="DA648" s="14"/>
      <c r="DB648" s="14"/>
      <c r="DC648" s="14"/>
      <c r="DD648" s="14"/>
      <c r="DE648" s="14"/>
      <c r="DF648" s="14"/>
      <c r="DG648" s="14"/>
      <c r="DH648" s="14"/>
      <c r="DI648" s="14"/>
      <c r="DJ648" s="14"/>
      <c r="DK648" s="14"/>
      <c r="DL648" s="14"/>
      <c r="DM648" s="14"/>
      <c r="DN648" s="14"/>
      <c r="DO648" s="14"/>
      <c r="DP648" s="14"/>
      <c r="DQ648" s="14"/>
      <c r="DR648" s="14"/>
      <c r="DS648" s="14"/>
      <c r="DT648" s="14"/>
      <c r="DU648" s="14"/>
      <c r="DV648" s="14"/>
      <c r="DW648" s="14"/>
      <c r="DX648" s="14"/>
      <c r="DY648" s="14"/>
      <c r="DZ648" s="14"/>
      <c r="EA648" s="14"/>
      <c r="EB648" s="14"/>
      <c r="EC648" s="14"/>
      <c r="ED648" s="14"/>
      <c r="EE648" s="14"/>
      <c r="EF648" s="14"/>
      <c r="EG648" s="14"/>
      <c r="EH648" s="14"/>
      <c r="EI648" s="14"/>
      <c r="EJ648" s="14"/>
      <c r="EK648" s="14"/>
      <c r="EL648" s="14"/>
    </row>
    <row r="649" spans="2:142" hidden="1" x14ac:dyDescent="0.2">
      <c r="B649" s="905">
        <v>136</v>
      </c>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4"/>
      <c r="BB649" s="14"/>
      <c r="BC649" s="14"/>
      <c r="BD649" s="14"/>
      <c r="BE649" s="14"/>
      <c r="BF649" s="14"/>
      <c r="BG649" s="14"/>
      <c r="BH649" s="14"/>
      <c r="BI649" s="14"/>
      <c r="BJ649" s="14"/>
      <c r="BK649" s="14"/>
      <c r="BL649" s="14"/>
      <c r="BM649" s="14"/>
      <c r="BN649" s="14"/>
      <c r="BO649" s="14"/>
      <c r="BP649" s="14"/>
      <c r="BQ649" s="14"/>
      <c r="BR649" s="14"/>
      <c r="BS649" s="14"/>
      <c r="BT649" s="14"/>
      <c r="BU649" s="14"/>
      <c r="BV649" s="14"/>
      <c r="BW649" s="14"/>
      <c r="BX649" s="14"/>
      <c r="BY649" s="14"/>
      <c r="BZ649" s="14"/>
      <c r="CA649" s="14"/>
      <c r="CB649" s="14"/>
      <c r="CC649" s="14"/>
      <c r="CD649" s="14"/>
      <c r="CE649" s="14"/>
      <c r="CF649" s="14"/>
      <c r="CG649" s="14"/>
      <c r="CH649" s="14"/>
      <c r="CI649" s="14"/>
      <c r="CJ649" s="14"/>
      <c r="CK649" s="14"/>
      <c r="CL649" s="14"/>
      <c r="CM649" s="14"/>
      <c r="CN649" s="14"/>
      <c r="CO649" s="14"/>
      <c r="CP649" s="14"/>
      <c r="CQ649" s="14"/>
      <c r="CR649" s="14"/>
      <c r="CS649" s="14"/>
      <c r="CT649" s="14"/>
      <c r="CU649" s="14"/>
      <c r="CV649" s="14"/>
      <c r="CW649" s="14"/>
      <c r="CX649" s="14"/>
      <c r="CY649" s="14"/>
      <c r="CZ649" s="14"/>
      <c r="DA649" s="14"/>
      <c r="DB649" s="14"/>
      <c r="DC649" s="14"/>
      <c r="DD649" s="14"/>
      <c r="DE649" s="14"/>
      <c r="DF649" s="14"/>
      <c r="DG649" s="14"/>
      <c r="DH649" s="14"/>
      <c r="DI649" s="14"/>
      <c r="DJ649" s="14"/>
      <c r="DK649" s="14"/>
      <c r="DL649" s="14"/>
      <c r="DM649" s="14"/>
      <c r="DN649" s="14"/>
      <c r="DO649" s="14"/>
      <c r="DP649" s="14"/>
      <c r="DQ649" s="14"/>
      <c r="DR649" s="14"/>
      <c r="DS649" s="14"/>
      <c r="DT649" s="14"/>
      <c r="DU649" s="14"/>
      <c r="DV649" s="14"/>
      <c r="DW649" s="14"/>
      <c r="DX649" s="14"/>
      <c r="DY649" s="14"/>
      <c r="DZ649" s="14"/>
      <c r="EA649" s="14"/>
      <c r="EB649" s="14"/>
      <c r="EC649" s="14"/>
      <c r="ED649" s="14"/>
      <c r="EE649" s="14"/>
      <c r="EF649" s="14"/>
      <c r="EG649" s="14"/>
      <c r="EH649" s="14"/>
      <c r="EI649" s="14"/>
      <c r="EJ649" s="14"/>
      <c r="EK649" s="14"/>
      <c r="EL649" s="14"/>
    </row>
    <row r="650" spans="2:142" hidden="1" x14ac:dyDescent="0.2">
      <c r="B650" s="905">
        <v>137</v>
      </c>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4"/>
      <c r="BB650" s="14"/>
      <c r="BC650" s="14"/>
      <c r="BD650" s="14"/>
      <c r="BE650" s="14"/>
      <c r="BF650" s="14"/>
      <c r="BG650" s="14"/>
      <c r="BH650" s="14"/>
      <c r="BI650" s="14"/>
      <c r="BJ650" s="14"/>
      <c r="BK650" s="14"/>
      <c r="BL650" s="14"/>
      <c r="BM650" s="14"/>
      <c r="BN650" s="14"/>
      <c r="BO650" s="14"/>
      <c r="BP650" s="14"/>
      <c r="BQ650" s="14"/>
      <c r="BR650" s="14"/>
      <c r="BS650" s="14"/>
      <c r="BT650" s="14"/>
      <c r="BU650" s="14"/>
      <c r="BV650" s="14"/>
      <c r="BW650" s="14"/>
      <c r="BX650" s="14"/>
      <c r="BY650" s="14"/>
      <c r="BZ650" s="14"/>
      <c r="CA650" s="14"/>
      <c r="CB650" s="14"/>
      <c r="CC650" s="14"/>
      <c r="CD650" s="14"/>
      <c r="CE650" s="14"/>
      <c r="CF650" s="14"/>
      <c r="CG650" s="14"/>
      <c r="CH650" s="14"/>
      <c r="CI650" s="14"/>
      <c r="CJ650" s="14"/>
      <c r="CK650" s="14"/>
      <c r="CL650" s="14"/>
      <c r="CM650" s="14"/>
      <c r="CN650" s="14"/>
      <c r="CO650" s="14"/>
      <c r="CP650" s="14"/>
      <c r="CQ650" s="14"/>
      <c r="CR650" s="14"/>
      <c r="CS650" s="14"/>
      <c r="CT650" s="14"/>
      <c r="CU650" s="14"/>
      <c r="CV650" s="14"/>
      <c r="CW650" s="14"/>
      <c r="CX650" s="14"/>
      <c r="CY650" s="14"/>
      <c r="CZ650" s="14"/>
      <c r="DA650" s="14"/>
      <c r="DB650" s="14"/>
      <c r="DC650" s="14"/>
      <c r="DD650" s="14"/>
      <c r="DE650" s="14"/>
      <c r="DF650" s="14"/>
      <c r="DG650" s="14"/>
      <c r="DH650" s="14"/>
      <c r="DI650" s="14"/>
      <c r="DJ650" s="14"/>
      <c r="DK650" s="14"/>
      <c r="DL650" s="14"/>
      <c r="DM650" s="14"/>
      <c r="DN650" s="14"/>
      <c r="DO650" s="14"/>
      <c r="DP650" s="14"/>
      <c r="DQ650" s="14"/>
      <c r="DR650" s="14"/>
      <c r="DS650" s="14"/>
      <c r="DT650" s="14"/>
      <c r="DU650" s="14"/>
      <c r="DV650" s="14"/>
      <c r="DW650" s="14"/>
      <c r="DX650" s="14"/>
      <c r="DY650" s="14"/>
      <c r="DZ650" s="14"/>
      <c r="EA650" s="14"/>
      <c r="EB650" s="14"/>
      <c r="EC650" s="14"/>
      <c r="ED650" s="14"/>
      <c r="EE650" s="14"/>
      <c r="EF650" s="14"/>
      <c r="EG650" s="14"/>
      <c r="EH650" s="14"/>
      <c r="EI650" s="14"/>
      <c r="EJ650" s="14"/>
      <c r="EK650" s="14"/>
      <c r="EL650" s="14"/>
    </row>
    <row r="651" spans="2:142" hidden="1" x14ac:dyDescent="0.2">
      <c r="B651" s="905">
        <v>138</v>
      </c>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4"/>
      <c r="BB651" s="14"/>
      <c r="BC651" s="14"/>
      <c r="BD651" s="14"/>
      <c r="BE651" s="14"/>
      <c r="BF651" s="14"/>
      <c r="BG651" s="14"/>
      <c r="BH651" s="14"/>
      <c r="BI651" s="14"/>
      <c r="BJ651" s="14"/>
      <c r="BK651" s="14"/>
      <c r="BL651" s="14"/>
      <c r="BM651" s="14"/>
      <c r="BN651" s="14"/>
      <c r="BO651" s="14"/>
      <c r="BP651" s="14"/>
      <c r="BQ651" s="14"/>
      <c r="BR651" s="14"/>
      <c r="BS651" s="14"/>
      <c r="BT651" s="14"/>
      <c r="BU651" s="14"/>
      <c r="BV651" s="14"/>
      <c r="BW651" s="14"/>
      <c r="BX651" s="14"/>
      <c r="BY651" s="14"/>
      <c r="BZ651" s="14"/>
      <c r="CA651" s="14"/>
      <c r="CB651" s="14"/>
      <c r="CC651" s="14"/>
      <c r="CD651" s="14"/>
      <c r="CE651" s="14"/>
      <c r="CF651" s="14"/>
      <c r="CG651" s="14"/>
      <c r="CH651" s="14"/>
      <c r="CI651" s="14"/>
      <c r="CJ651" s="14"/>
      <c r="CK651" s="14"/>
      <c r="CL651" s="14"/>
      <c r="CM651" s="14"/>
      <c r="CN651" s="14"/>
      <c r="CO651" s="14"/>
      <c r="CP651" s="14"/>
      <c r="CQ651" s="14"/>
      <c r="CR651" s="14"/>
      <c r="CS651" s="14"/>
      <c r="CT651" s="14"/>
      <c r="CU651" s="14"/>
      <c r="CV651" s="14"/>
      <c r="CW651" s="14"/>
      <c r="CX651" s="14"/>
      <c r="CY651" s="14"/>
      <c r="CZ651" s="14"/>
      <c r="DA651" s="14"/>
      <c r="DB651" s="14"/>
      <c r="DC651" s="14"/>
      <c r="DD651" s="14"/>
      <c r="DE651" s="14"/>
      <c r="DF651" s="14"/>
      <c r="DG651" s="14"/>
      <c r="DH651" s="14"/>
      <c r="DI651" s="14"/>
      <c r="DJ651" s="14"/>
      <c r="DK651" s="14"/>
      <c r="DL651" s="14"/>
      <c r="DM651" s="14"/>
      <c r="DN651" s="14"/>
      <c r="DO651" s="14"/>
      <c r="DP651" s="14"/>
      <c r="DQ651" s="14"/>
      <c r="DR651" s="14"/>
      <c r="DS651" s="14"/>
      <c r="DT651" s="14"/>
      <c r="DU651" s="14"/>
      <c r="DV651" s="14"/>
      <c r="DW651" s="14"/>
      <c r="DX651" s="14"/>
      <c r="DY651" s="14"/>
      <c r="DZ651" s="14"/>
      <c r="EA651" s="14"/>
      <c r="EB651" s="14"/>
      <c r="EC651" s="14"/>
      <c r="ED651" s="14"/>
      <c r="EE651" s="14"/>
      <c r="EF651" s="14"/>
      <c r="EG651" s="14"/>
      <c r="EH651" s="14"/>
      <c r="EI651" s="14"/>
      <c r="EJ651" s="14"/>
      <c r="EK651" s="14"/>
      <c r="EL651" s="14"/>
    </row>
    <row r="652" spans="2:142" hidden="1" x14ac:dyDescent="0.2">
      <c r="B652" s="905">
        <v>139</v>
      </c>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4"/>
      <c r="BB652" s="14"/>
      <c r="BC652" s="14"/>
      <c r="BD652" s="14"/>
      <c r="BE652" s="14"/>
      <c r="BF652" s="14"/>
      <c r="BG652" s="14"/>
      <c r="BH652" s="14"/>
      <c r="BI652" s="14"/>
      <c r="BJ652" s="14"/>
      <c r="BK652" s="14"/>
      <c r="BL652" s="14"/>
      <c r="BM652" s="14"/>
      <c r="BN652" s="14"/>
      <c r="BO652" s="14"/>
      <c r="BP652" s="14"/>
      <c r="BQ652" s="14"/>
      <c r="BR652" s="14"/>
      <c r="BS652" s="14"/>
      <c r="BT652" s="14"/>
      <c r="BU652" s="14"/>
      <c r="BV652" s="14"/>
      <c r="BW652" s="14"/>
      <c r="BX652" s="14"/>
      <c r="BY652" s="14"/>
      <c r="BZ652" s="14"/>
      <c r="CA652" s="14"/>
      <c r="CB652" s="14"/>
      <c r="CC652" s="14"/>
      <c r="CD652" s="14"/>
      <c r="CE652" s="14"/>
      <c r="CF652" s="14"/>
      <c r="CG652" s="14"/>
      <c r="CH652" s="14"/>
      <c r="CI652" s="14"/>
      <c r="CJ652" s="14"/>
      <c r="CK652" s="14"/>
      <c r="CL652" s="14"/>
      <c r="CM652" s="14"/>
      <c r="CN652" s="14"/>
      <c r="CO652" s="14"/>
      <c r="CP652" s="14"/>
      <c r="CQ652" s="14"/>
      <c r="CR652" s="14"/>
      <c r="CS652" s="14"/>
      <c r="CT652" s="14"/>
      <c r="CU652" s="14"/>
      <c r="CV652" s="14"/>
      <c r="CW652" s="14"/>
      <c r="CX652" s="14"/>
      <c r="CY652" s="14"/>
      <c r="CZ652" s="14"/>
      <c r="DA652" s="14"/>
      <c r="DB652" s="14"/>
      <c r="DC652" s="14"/>
      <c r="DD652" s="14"/>
      <c r="DE652" s="14"/>
      <c r="DF652" s="14"/>
      <c r="DG652" s="14"/>
      <c r="DH652" s="14"/>
      <c r="DI652" s="14"/>
      <c r="DJ652" s="14"/>
      <c r="DK652" s="14"/>
      <c r="DL652" s="14"/>
      <c r="DM652" s="14"/>
      <c r="DN652" s="14"/>
      <c r="DO652" s="14"/>
      <c r="DP652" s="14"/>
      <c r="DQ652" s="14"/>
      <c r="DR652" s="14"/>
      <c r="DS652" s="14"/>
      <c r="DT652" s="14"/>
      <c r="DU652" s="14"/>
      <c r="DV652" s="14"/>
      <c r="DW652" s="14"/>
      <c r="DX652" s="14"/>
      <c r="DY652" s="14"/>
      <c r="DZ652" s="14"/>
      <c r="EA652" s="14"/>
      <c r="EB652" s="14"/>
      <c r="EC652" s="14"/>
      <c r="ED652" s="14"/>
      <c r="EE652" s="14"/>
      <c r="EF652" s="14"/>
      <c r="EG652" s="14"/>
      <c r="EH652" s="14"/>
      <c r="EI652" s="14"/>
      <c r="EJ652" s="14"/>
      <c r="EK652" s="14"/>
      <c r="EL652" s="14"/>
    </row>
    <row r="653" spans="2:142" hidden="1" x14ac:dyDescent="0.2">
      <c r="B653" s="905">
        <v>140</v>
      </c>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4"/>
      <c r="BB653" s="14"/>
      <c r="BC653" s="14"/>
      <c r="BD653" s="14"/>
      <c r="BE653" s="14"/>
      <c r="BF653" s="14"/>
      <c r="BG653" s="14"/>
      <c r="BH653" s="14"/>
      <c r="BI653" s="14"/>
      <c r="BJ653" s="14"/>
      <c r="BK653" s="14"/>
      <c r="BL653" s="14"/>
      <c r="BM653" s="14"/>
      <c r="BN653" s="14"/>
      <c r="BO653" s="14"/>
      <c r="BP653" s="14"/>
      <c r="BQ653" s="14"/>
      <c r="BR653" s="14"/>
      <c r="BS653" s="14"/>
      <c r="BT653" s="14"/>
      <c r="BU653" s="14"/>
      <c r="BV653" s="14"/>
      <c r="BW653" s="14"/>
      <c r="BX653" s="14"/>
      <c r="BY653" s="14"/>
      <c r="BZ653" s="14"/>
      <c r="CA653" s="14"/>
      <c r="CB653" s="14"/>
      <c r="CC653" s="14"/>
      <c r="CD653" s="14"/>
      <c r="CE653" s="14"/>
      <c r="CF653" s="14"/>
      <c r="CG653" s="14"/>
      <c r="CH653" s="14"/>
      <c r="CI653" s="14"/>
      <c r="CJ653" s="14"/>
      <c r="CK653" s="14"/>
      <c r="CL653" s="14"/>
      <c r="CM653" s="14"/>
      <c r="CN653" s="14"/>
      <c r="CO653" s="14"/>
      <c r="CP653" s="14"/>
      <c r="CQ653" s="14"/>
      <c r="CR653" s="14"/>
      <c r="CS653" s="14"/>
      <c r="CT653" s="14"/>
      <c r="CU653" s="14"/>
      <c r="CV653" s="14"/>
      <c r="CW653" s="14"/>
      <c r="CX653" s="14"/>
      <c r="CY653" s="14"/>
      <c r="CZ653" s="14"/>
      <c r="DA653" s="14"/>
      <c r="DB653" s="14"/>
      <c r="DC653" s="14"/>
      <c r="DD653" s="14"/>
      <c r="DE653" s="14"/>
      <c r="DF653" s="14"/>
      <c r="DG653" s="14"/>
      <c r="DH653" s="14"/>
      <c r="DI653" s="14"/>
      <c r="DJ653" s="14"/>
      <c r="DK653" s="14"/>
      <c r="DL653" s="14"/>
      <c r="DM653" s="14"/>
      <c r="DN653" s="14"/>
      <c r="DO653" s="14"/>
      <c r="DP653" s="14"/>
      <c r="DQ653" s="14"/>
      <c r="DR653" s="14"/>
      <c r="DS653" s="14"/>
      <c r="DT653" s="14"/>
      <c r="DU653" s="14"/>
      <c r="DV653" s="14"/>
      <c r="DW653" s="14"/>
      <c r="DX653" s="14"/>
      <c r="DY653" s="14"/>
      <c r="DZ653" s="14"/>
      <c r="EA653" s="14"/>
      <c r="EB653" s="14"/>
      <c r="EC653" s="14"/>
      <c r="ED653" s="14"/>
      <c r="EE653" s="14"/>
      <c r="EF653" s="14"/>
      <c r="EG653" s="14"/>
      <c r="EH653" s="14"/>
      <c r="EI653" s="14"/>
      <c r="EJ653" s="14"/>
      <c r="EK653" s="14"/>
      <c r="EL653" s="14"/>
    </row>
    <row r="654" spans="2:142" hidden="1" x14ac:dyDescent="0.2">
      <c r="B654" s="905">
        <v>141</v>
      </c>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4"/>
      <c r="BB654" s="14"/>
      <c r="BC654" s="14"/>
      <c r="BD654" s="14"/>
      <c r="BE654" s="14"/>
      <c r="BF654" s="14"/>
      <c r="BG654" s="14"/>
      <c r="BH654" s="14"/>
      <c r="BI654" s="14"/>
      <c r="BJ654" s="14"/>
      <c r="BK654" s="14"/>
      <c r="BL654" s="14"/>
      <c r="BM654" s="14"/>
      <c r="BN654" s="14"/>
      <c r="BO654" s="14"/>
      <c r="BP654" s="14"/>
      <c r="BQ654" s="14"/>
      <c r="BR654" s="14"/>
      <c r="BS654" s="14"/>
      <c r="BT654" s="14"/>
      <c r="BU654" s="14"/>
      <c r="BV654" s="14"/>
      <c r="BW654" s="14"/>
      <c r="BX654" s="14"/>
      <c r="BY654" s="14"/>
      <c r="BZ654" s="14"/>
      <c r="CA654" s="14"/>
      <c r="CB654" s="14"/>
      <c r="CC654" s="14"/>
      <c r="CD654" s="14"/>
      <c r="CE654" s="14"/>
      <c r="CF654" s="14"/>
      <c r="CG654" s="14"/>
      <c r="CH654" s="14"/>
      <c r="CI654" s="14"/>
      <c r="CJ654" s="14"/>
      <c r="CK654" s="14"/>
      <c r="CL654" s="14"/>
      <c r="CM654" s="14"/>
      <c r="CN654" s="14"/>
      <c r="CO654" s="14"/>
      <c r="CP654" s="14"/>
      <c r="CQ654" s="14"/>
      <c r="CR654" s="14"/>
      <c r="CS654" s="14"/>
      <c r="CT654" s="14"/>
      <c r="CU654" s="14"/>
      <c r="CV654" s="14"/>
      <c r="CW654" s="14"/>
      <c r="CX654" s="14"/>
      <c r="CY654" s="14"/>
      <c r="CZ654" s="14"/>
      <c r="DA654" s="14"/>
      <c r="DB654" s="14"/>
      <c r="DC654" s="14"/>
      <c r="DD654" s="14"/>
      <c r="DE654" s="14"/>
      <c r="DF654" s="14"/>
      <c r="DG654" s="14"/>
      <c r="DH654" s="14"/>
      <c r="DI654" s="14"/>
      <c r="DJ654" s="14"/>
      <c r="DK654" s="14"/>
      <c r="DL654" s="14"/>
      <c r="DM654" s="14"/>
      <c r="DN654" s="14"/>
      <c r="DO654" s="14"/>
      <c r="DP654" s="14"/>
      <c r="DQ654" s="14"/>
      <c r="DR654" s="14"/>
      <c r="DS654" s="14"/>
      <c r="DT654" s="14"/>
      <c r="DU654" s="14"/>
      <c r="DV654" s="14"/>
      <c r="DW654" s="14"/>
      <c r="DX654" s="14"/>
      <c r="DY654" s="14"/>
      <c r="DZ654" s="14"/>
      <c r="EA654" s="14"/>
      <c r="EB654" s="14"/>
      <c r="EC654" s="14"/>
      <c r="ED654" s="14"/>
      <c r="EE654" s="14"/>
      <c r="EF654" s="14"/>
      <c r="EG654" s="14"/>
      <c r="EH654" s="14"/>
      <c r="EI654" s="14"/>
      <c r="EJ654" s="14"/>
      <c r="EK654" s="14"/>
      <c r="EL654" s="14"/>
    </row>
    <row r="655" spans="2:142" hidden="1" x14ac:dyDescent="0.2">
      <c r="B655" s="905">
        <v>142</v>
      </c>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4"/>
      <c r="BB655" s="14"/>
      <c r="BC655" s="14"/>
      <c r="BD655" s="14"/>
      <c r="BE655" s="14"/>
      <c r="BF655" s="14"/>
      <c r="BG655" s="14"/>
      <c r="BH655" s="14"/>
      <c r="BI655" s="14"/>
      <c r="BJ655" s="14"/>
      <c r="BK655" s="14"/>
      <c r="BL655" s="14"/>
      <c r="BM655" s="14"/>
      <c r="BN655" s="14"/>
      <c r="BO655" s="14"/>
      <c r="BP655" s="14"/>
      <c r="BQ655" s="14"/>
      <c r="BR655" s="14"/>
      <c r="BS655" s="14"/>
      <c r="BT655" s="14"/>
      <c r="BU655" s="14"/>
      <c r="BV655" s="14"/>
      <c r="BW655" s="14"/>
      <c r="BX655" s="14"/>
      <c r="BY655" s="14"/>
      <c r="BZ655" s="14"/>
      <c r="CA655" s="14"/>
      <c r="CB655" s="14"/>
      <c r="CC655" s="14"/>
      <c r="CD655" s="14"/>
      <c r="CE655" s="14"/>
      <c r="CF655" s="14"/>
      <c r="CG655" s="14"/>
      <c r="CH655" s="14"/>
      <c r="CI655" s="14"/>
      <c r="CJ655" s="14"/>
      <c r="CK655" s="14"/>
      <c r="CL655" s="14"/>
      <c r="CM655" s="14"/>
      <c r="CN655" s="14"/>
      <c r="CO655" s="14"/>
      <c r="CP655" s="14"/>
      <c r="CQ655" s="14"/>
      <c r="CR655" s="14"/>
      <c r="CS655" s="14"/>
      <c r="CT655" s="14"/>
      <c r="CU655" s="14"/>
      <c r="CV655" s="14"/>
      <c r="CW655" s="14"/>
      <c r="CX655" s="14"/>
      <c r="CY655" s="14"/>
      <c r="CZ655" s="14"/>
      <c r="DA655" s="14"/>
      <c r="DB655" s="14"/>
      <c r="DC655" s="14"/>
      <c r="DD655" s="14"/>
      <c r="DE655" s="14"/>
      <c r="DF655" s="14"/>
      <c r="DG655" s="14"/>
      <c r="DH655" s="14"/>
      <c r="DI655" s="14"/>
      <c r="DJ655" s="14"/>
      <c r="DK655" s="14"/>
      <c r="DL655" s="14"/>
      <c r="DM655" s="14"/>
      <c r="DN655" s="14"/>
      <c r="DO655" s="14"/>
      <c r="DP655" s="14"/>
      <c r="DQ655" s="14"/>
      <c r="DR655" s="14"/>
      <c r="DS655" s="14"/>
      <c r="DT655" s="14"/>
      <c r="DU655" s="14"/>
      <c r="DV655" s="14"/>
      <c r="DW655" s="14"/>
      <c r="DX655" s="14"/>
      <c r="DY655" s="14"/>
      <c r="DZ655" s="14"/>
      <c r="EA655" s="14"/>
      <c r="EB655" s="14"/>
      <c r="EC655" s="14"/>
      <c r="ED655" s="14"/>
      <c r="EE655" s="14"/>
      <c r="EF655" s="14"/>
      <c r="EG655" s="14"/>
      <c r="EH655" s="14"/>
      <c r="EI655" s="14"/>
      <c r="EJ655" s="14"/>
      <c r="EK655" s="14"/>
      <c r="EL655" s="14"/>
    </row>
    <row r="656" spans="2:142" hidden="1" x14ac:dyDescent="0.2">
      <c r="B656" s="905">
        <v>143</v>
      </c>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4"/>
      <c r="BB656" s="14"/>
      <c r="BC656" s="14"/>
      <c r="BD656" s="14"/>
      <c r="BE656" s="14"/>
      <c r="BF656" s="14"/>
      <c r="BG656" s="14"/>
      <c r="BH656" s="14"/>
      <c r="BI656" s="14"/>
      <c r="BJ656" s="14"/>
      <c r="BK656" s="14"/>
      <c r="BL656" s="14"/>
      <c r="BM656" s="14"/>
      <c r="BN656" s="14"/>
      <c r="BO656" s="14"/>
      <c r="BP656" s="14"/>
      <c r="BQ656" s="14"/>
      <c r="BR656" s="14"/>
      <c r="BS656" s="14"/>
      <c r="BT656" s="14"/>
      <c r="BU656" s="14"/>
      <c r="BV656" s="14"/>
      <c r="BW656" s="14"/>
      <c r="BX656" s="14"/>
      <c r="BY656" s="14"/>
      <c r="BZ656" s="14"/>
      <c r="CA656" s="14"/>
      <c r="CB656" s="14"/>
      <c r="CC656" s="14"/>
      <c r="CD656" s="14"/>
      <c r="CE656" s="14"/>
      <c r="CF656" s="14"/>
      <c r="CG656" s="14"/>
      <c r="CH656" s="14"/>
      <c r="CI656" s="14"/>
      <c r="CJ656" s="14"/>
      <c r="CK656" s="14"/>
      <c r="CL656" s="14"/>
      <c r="CM656" s="14"/>
      <c r="CN656" s="14"/>
      <c r="CO656" s="14"/>
      <c r="CP656" s="14"/>
      <c r="CQ656" s="14"/>
      <c r="CR656" s="14"/>
      <c r="CS656" s="14"/>
      <c r="CT656" s="14"/>
      <c r="CU656" s="14"/>
      <c r="CV656" s="14"/>
      <c r="CW656" s="14"/>
      <c r="CX656" s="14"/>
      <c r="CY656" s="14"/>
      <c r="CZ656" s="14"/>
      <c r="DA656" s="14"/>
      <c r="DB656" s="14"/>
      <c r="DC656" s="14"/>
      <c r="DD656" s="14"/>
      <c r="DE656" s="14"/>
      <c r="DF656" s="14"/>
      <c r="DG656" s="14"/>
      <c r="DH656" s="14"/>
      <c r="DI656" s="14"/>
      <c r="DJ656" s="14"/>
      <c r="DK656" s="14"/>
      <c r="DL656" s="14"/>
      <c r="DM656" s="14"/>
      <c r="DN656" s="14"/>
      <c r="DO656" s="14"/>
      <c r="DP656" s="14"/>
      <c r="DQ656" s="14"/>
      <c r="DR656" s="14"/>
      <c r="DS656" s="14"/>
      <c r="DT656" s="14"/>
      <c r="DU656" s="14"/>
      <c r="DV656" s="14"/>
      <c r="DW656" s="14"/>
      <c r="DX656" s="14"/>
      <c r="DY656" s="14"/>
      <c r="DZ656" s="14"/>
      <c r="EA656" s="14"/>
      <c r="EB656" s="14"/>
      <c r="EC656" s="14"/>
      <c r="ED656" s="14"/>
      <c r="EE656" s="14"/>
      <c r="EF656" s="14"/>
      <c r="EG656" s="14"/>
      <c r="EH656" s="14"/>
      <c r="EI656" s="14"/>
      <c r="EJ656" s="14"/>
      <c r="EK656" s="14"/>
      <c r="EL656" s="14"/>
    </row>
    <row r="657" spans="2:142" hidden="1" x14ac:dyDescent="0.2">
      <c r="B657" s="905">
        <v>144</v>
      </c>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4"/>
      <c r="BB657" s="14"/>
      <c r="BC657" s="14"/>
      <c r="BD657" s="14"/>
      <c r="BE657" s="14"/>
      <c r="BF657" s="14"/>
      <c r="BG657" s="14"/>
      <c r="BH657" s="14"/>
      <c r="BI657" s="14"/>
      <c r="BJ657" s="14"/>
      <c r="BK657" s="14"/>
      <c r="BL657" s="14"/>
      <c r="BM657" s="14"/>
      <c r="BN657" s="14"/>
      <c r="BO657" s="14"/>
      <c r="BP657" s="14"/>
      <c r="BQ657" s="14"/>
      <c r="BR657" s="14"/>
      <c r="BS657" s="14"/>
      <c r="BT657" s="14"/>
      <c r="BU657" s="14"/>
      <c r="BV657" s="14"/>
      <c r="BW657" s="14"/>
      <c r="BX657" s="14"/>
      <c r="BY657" s="14"/>
      <c r="BZ657" s="14"/>
      <c r="CA657" s="14"/>
      <c r="CB657" s="14"/>
      <c r="CC657" s="14"/>
      <c r="CD657" s="14"/>
      <c r="CE657" s="14"/>
      <c r="CF657" s="14"/>
      <c r="CG657" s="14"/>
      <c r="CH657" s="14"/>
      <c r="CI657" s="14"/>
      <c r="CJ657" s="14"/>
      <c r="CK657" s="14"/>
      <c r="CL657" s="14"/>
      <c r="CM657" s="14"/>
      <c r="CN657" s="14"/>
      <c r="CO657" s="14"/>
      <c r="CP657" s="14"/>
      <c r="CQ657" s="14"/>
      <c r="CR657" s="14"/>
      <c r="CS657" s="14"/>
      <c r="CT657" s="14"/>
      <c r="CU657" s="14"/>
      <c r="CV657" s="14"/>
      <c r="CW657" s="14"/>
      <c r="CX657" s="14"/>
      <c r="CY657" s="14"/>
      <c r="CZ657" s="14"/>
      <c r="DA657" s="14"/>
      <c r="DB657" s="14"/>
      <c r="DC657" s="14"/>
      <c r="DD657" s="14"/>
      <c r="DE657" s="14"/>
      <c r="DF657" s="14"/>
      <c r="DG657" s="14"/>
      <c r="DH657" s="14"/>
      <c r="DI657" s="14"/>
      <c r="DJ657" s="14"/>
      <c r="DK657" s="14"/>
      <c r="DL657" s="14"/>
      <c r="DM657" s="14"/>
      <c r="DN657" s="14"/>
      <c r="DO657" s="14"/>
      <c r="DP657" s="14"/>
      <c r="DQ657" s="14"/>
      <c r="DR657" s="14"/>
      <c r="DS657" s="14"/>
      <c r="DT657" s="14"/>
      <c r="DU657" s="14"/>
      <c r="DV657" s="14"/>
      <c r="DW657" s="14"/>
      <c r="DX657" s="14"/>
      <c r="DY657" s="14"/>
      <c r="DZ657" s="14"/>
      <c r="EA657" s="14"/>
      <c r="EB657" s="14"/>
      <c r="EC657" s="14"/>
      <c r="ED657" s="14"/>
      <c r="EE657" s="14"/>
      <c r="EF657" s="14"/>
      <c r="EG657" s="14"/>
      <c r="EH657" s="14"/>
      <c r="EI657" s="14"/>
      <c r="EJ657" s="14"/>
      <c r="EK657" s="14"/>
      <c r="EL657" s="14"/>
    </row>
    <row r="658" spans="2:142" hidden="1" x14ac:dyDescent="0.2">
      <c r="B658" s="905">
        <v>145</v>
      </c>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4"/>
      <c r="BB658" s="14"/>
      <c r="BC658" s="14"/>
      <c r="BD658" s="14"/>
      <c r="BE658" s="14"/>
      <c r="BF658" s="14"/>
      <c r="BG658" s="14"/>
      <c r="BH658" s="14"/>
      <c r="BI658" s="14"/>
      <c r="BJ658" s="14"/>
      <c r="BK658" s="14"/>
      <c r="BL658" s="14"/>
      <c r="BM658" s="14"/>
      <c r="BN658" s="14"/>
      <c r="BO658" s="14"/>
      <c r="BP658" s="14"/>
      <c r="BQ658" s="14"/>
      <c r="BR658" s="14"/>
      <c r="BS658" s="14"/>
      <c r="BT658" s="14"/>
      <c r="BU658" s="14"/>
      <c r="BV658" s="14"/>
      <c r="BW658" s="14"/>
      <c r="BX658" s="14"/>
      <c r="BY658" s="14"/>
      <c r="BZ658" s="14"/>
      <c r="CA658" s="14"/>
      <c r="CB658" s="14"/>
      <c r="CC658" s="14"/>
      <c r="CD658" s="14"/>
      <c r="CE658" s="14"/>
      <c r="CF658" s="14"/>
      <c r="CG658" s="14"/>
      <c r="CH658" s="14"/>
      <c r="CI658" s="14"/>
      <c r="CJ658" s="14"/>
      <c r="CK658" s="14"/>
      <c r="CL658" s="14"/>
      <c r="CM658" s="14"/>
      <c r="CN658" s="14"/>
      <c r="CO658" s="14"/>
      <c r="CP658" s="14"/>
      <c r="CQ658" s="14"/>
      <c r="CR658" s="14"/>
      <c r="CS658" s="14"/>
      <c r="CT658" s="14"/>
      <c r="CU658" s="14"/>
      <c r="CV658" s="14"/>
      <c r="CW658" s="14"/>
      <c r="CX658" s="14"/>
      <c r="CY658" s="14"/>
      <c r="CZ658" s="14"/>
      <c r="DA658" s="14"/>
      <c r="DB658" s="14"/>
      <c r="DC658" s="14"/>
      <c r="DD658" s="14"/>
      <c r="DE658" s="14"/>
      <c r="DF658" s="14"/>
      <c r="DG658" s="14"/>
      <c r="DH658" s="14"/>
      <c r="DI658" s="14"/>
      <c r="DJ658" s="14"/>
      <c r="DK658" s="14"/>
      <c r="DL658" s="14"/>
      <c r="DM658" s="14"/>
      <c r="DN658" s="14"/>
      <c r="DO658" s="14"/>
      <c r="DP658" s="14"/>
      <c r="DQ658" s="14"/>
      <c r="DR658" s="14"/>
      <c r="DS658" s="14"/>
      <c r="DT658" s="14"/>
      <c r="DU658" s="14"/>
      <c r="DV658" s="14"/>
      <c r="DW658" s="14"/>
      <c r="DX658" s="14"/>
      <c r="DY658" s="14"/>
      <c r="DZ658" s="14"/>
      <c r="EA658" s="14"/>
      <c r="EB658" s="14"/>
      <c r="EC658" s="14"/>
      <c r="ED658" s="14"/>
      <c r="EE658" s="14"/>
      <c r="EF658" s="14"/>
      <c r="EG658" s="14"/>
      <c r="EH658" s="14"/>
      <c r="EI658" s="14"/>
      <c r="EJ658" s="14"/>
      <c r="EK658" s="14"/>
      <c r="EL658" s="14"/>
    </row>
    <row r="659" spans="2:142" hidden="1" x14ac:dyDescent="0.2">
      <c r="B659" s="905">
        <v>146</v>
      </c>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4"/>
      <c r="BB659" s="14"/>
      <c r="BC659" s="14"/>
      <c r="BD659" s="14"/>
      <c r="BE659" s="14"/>
      <c r="BF659" s="14"/>
      <c r="BG659" s="14"/>
      <c r="BH659" s="14"/>
      <c r="BI659" s="14"/>
      <c r="BJ659" s="14"/>
      <c r="BK659" s="14"/>
      <c r="BL659" s="14"/>
      <c r="BM659" s="14"/>
      <c r="BN659" s="14"/>
      <c r="BO659" s="14"/>
      <c r="BP659" s="14"/>
      <c r="BQ659" s="14"/>
      <c r="BR659" s="14"/>
      <c r="BS659" s="14"/>
      <c r="BT659" s="14"/>
      <c r="BU659" s="14"/>
      <c r="BV659" s="14"/>
      <c r="BW659" s="14"/>
      <c r="BX659" s="14"/>
      <c r="BY659" s="14"/>
      <c r="BZ659" s="14"/>
      <c r="CA659" s="14"/>
      <c r="CB659" s="14"/>
      <c r="CC659" s="14"/>
      <c r="CD659" s="14"/>
      <c r="CE659" s="14"/>
      <c r="CF659" s="14"/>
      <c r="CG659" s="14"/>
      <c r="CH659" s="14"/>
      <c r="CI659" s="14"/>
      <c r="CJ659" s="14"/>
      <c r="CK659" s="14"/>
      <c r="CL659" s="14"/>
      <c r="CM659" s="14"/>
      <c r="CN659" s="14"/>
      <c r="CO659" s="14"/>
      <c r="CP659" s="14"/>
      <c r="CQ659" s="14"/>
      <c r="CR659" s="14"/>
      <c r="CS659" s="14"/>
      <c r="CT659" s="14"/>
      <c r="CU659" s="14"/>
      <c r="CV659" s="14"/>
      <c r="CW659" s="14"/>
      <c r="CX659" s="14"/>
      <c r="CY659" s="14"/>
      <c r="CZ659" s="14"/>
      <c r="DA659" s="14"/>
      <c r="DB659" s="14"/>
      <c r="DC659" s="14"/>
      <c r="DD659" s="14"/>
      <c r="DE659" s="14"/>
      <c r="DF659" s="14"/>
      <c r="DG659" s="14"/>
      <c r="DH659" s="14"/>
      <c r="DI659" s="14"/>
      <c r="DJ659" s="14"/>
      <c r="DK659" s="14"/>
      <c r="DL659" s="14"/>
      <c r="DM659" s="14"/>
      <c r="DN659" s="14"/>
      <c r="DO659" s="14"/>
      <c r="DP659" s="14"/>
      <c r="DQ659" s="14"/>
      <c r="DR659" s="14"/>
      <c r="DS659" s="14"/>
      <c r="DT659" s="14"/>
      <c r="DU659" s="14"/>
      <c r="DV659" s="14"/>
      <c r="DW659" s="14"/>
      <c r="DX659" s="14"/>
      <c r="DY659" s="14"/>
      <c r="DZ659" s="14"/>
      <c r="EA659" s="14"/>
      <c r="EB659" s="14"/>
      <c r="EC659" s="14"/>
      <c r="ED659" s="14"/>
      <c r="EE659" s="14"/>
      <c r="EF659" s="14"/>
      <c r="EG659" s="14"/>
      <c r="EH659" s="14"/>
      <c r="EI659" s="14"/>
      <c r="EJ659" s="14"/>
      <c r="EK659" s="14"/>
      <c r="EL659" s="14"/>
    </row>
    <row r="660" spans="2:142" hidden="1" x14ac:dyDescent="0.2">
      <c r="B660" s="905">
        <v>147</v>
      </c>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4"/>
      <c r="BB660" s="14"/>
      <c r="BC660" s="14"/>
      <c r="BD660" s="14"/>
      <c r="BE660" s="14"/>
      <c r="BF660" s="14"/>
      <c r="BG660" s="14"/>
      <c r="BH660" s="14"/>
      <c r="BI660" s="14"/>
      <c r="BJ660" s="14"/>
      <c r="BK660" s="14"/>
      <c r="BL660" s="14"/>
      <c r="BM660" s="14"/>
      <c r="BN660" s="14"/>
      <c r="BO660" s="14"/>
      <c r="BP660" s="14"/>
      <c r="BQ660" s="14"/>
      <c r="BR660" s="14"/>
      <c r="BS660" s="14"/>
      <c r="BT660" s="14"/>
      <c r="BU660" s="14"/>
      <c r="BV660" s="14"/>
      <c r="BW660" s="14"/>
      <c r="BX660" s="14"/>
      <c r="BY660" s="14"/>
      <c r="BZ660" s="14"/>
      <c r="CA660" s="14"/>
      <c r="CB660" s="14"/>
      <c r="CC660" s="14"/>
      <c r="CD660" s="14"/>
      <c r="CE660" s="14"/>
      <c r="CF660" s="14"/>
      <c r="CG660" s="14"/>
      <c r="CH660" s="14"/>
      <c r="CI660" s="14"/>
      <c r="CJ660" s="14"/>
      <c r="CK660" s="14"/>
      <c r="CL660" s="14"/>
      <c r="CM660" s="14"/>
      <c r="CN660" s="14"/>
      <c r="CO660" s="14"/>
      <c r="CP660" s="14"/>
      <c r="CQ660" s="14"/>
      <c r="CR660" s="14"/>
      <c r="CS660" s="14"/>
      <c r="CT660" s="14"/>
      <c r="CU660" s="14"/>
      <c r="CV660" s="14"/>
      <c r="CW660" s="14"/>
      <c r="CX660" s="14"/>
      <c r="CY660" s="14"/>
      <c r="CZ660" s="14"/>
      <c r="DA660" s="14"/>
      <c r="DB660" s="14"/>
      <c r="DC660" s="14"/>
      <c r="DD660" s="14"/>
      <c r="DE660" s="14"/>
      <c r="DF660" s="14"/>
      <c r="DG660" s="14"/>
      <c r="DH660" s="14"/>
      <c r="DI660" s="14"/>
      <c r="DJ660" s="14"/>
      <c r="DK660" s="14"/>
      <c r="DL660" s="14"/>
      <c r="DM660" s="14"/>
      <c r="DN660" s="14"/>
      <c r="DO660" s="14"/>
      <c r="DP660" s="14"/>
      <c r="DQ660" s="14"/>
      <c r="DR660" s="14"/>
      <c r="DS660" s="14"/>
      <c r="DT660" s="14"/>
      <c r="DU660" s="14"/>
      <c r="DV660" s="14"/>
      <c r="DW660" s="14"/>
      <c r="DX660" s="14"/>
      <c r="DY660" s="14"/>
      <c r="DZ660" s="14"/>
      <c r="EA660" s="14"/>
      <c r="EB660" s="14"/>
      <c r="EC660" s="14"/>
      <c r="ED660" s="14"/>
      <c r="EE660" s="14"/>
      <c r="EF660" s="14"/>
      <c r="EG660" s="14"/>
      <c r="EH660" s="14"/>
      <c r="EI660" s="14"/>
      <c r="EJ660" s="14"/>
      <c r="EK660" s="14"/>
      <c r="EL660" s="14"/>
    </row>
    <row r="661" spans="2:142" hidden="1" x14ac:dyDescent="0.2">
      <c r="B661" s="905">
        <v>148</v>
      </c>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4"/>
      <c r="BB661" s="14"/>
      <c r="BC661" s="14"/>
      <c r="BD661" s="14"/>
      <c r="BE661" s="14"/>
      <c r="BF661" s="14"/>
      <c r="BG661" s="14"/>
      <c r="BH661" s="14"/>
      <c r="BI661" s="14"/>
      <c r="BJ661" s="14"/>
      <c r="BK661" s="14"/>
      <c r="BL661" s="14"/>
      <c r="BM661" s="14"/>
      <c r="BN661" s="14"/>
      <c r="BO661" s="14"/>
      <c r="BP661" s="14"/>
      <c r="BQ661" s="14"/>
      <c r="BR661" s="14"/>
      <c r="BS661" s="14"/>
      <c r="BT661" s="14"/>
      <c r="BU661" s="14"/>
      <c r="BV661" s="14"/>
      <c r="BW661" s="14"/>
      <c r="BX661" s="14"/>
      <c r="BY661" s="14"/>
      <c r="BZ661" s="14"/>
      <c r="CA661" s="14"/>
      <c r="CB661" s="14"/>
      <c r="CC661" s="14"/>
      <c r="CD661" s="14"/>
      <c r="CE661" s="14"/>
      <c r="CF661" s="14"/>
      <c r="CG661" s="14"/>
      <c r="CH661" s="14"/>
      <c r="CI661" s="14"/>
      <c r="CJ661" s="14"/>
      <c r="CK661" s="14"/>
      <c r="CL661" s="14"/>
      <c r="CM661" s="14"/>
      <c r="CN661" s="14"/>
      <c r="CO661" s="14"/>
      <c r="CP661" s="14"/>
      <c r="CQ661" s="14"/>
      <c r="CR661" s="14"/>
      <c r="CS661" s="14"/>
      <c r="CT661" s="14"/>
      <c r="CU661" s="14"/>
      <c r="CV661" s="14"/>
      <c r="CW661" s="14"/>
      <c r="CX661" s="14"/>
      <c r="CY661" s="14"/>
      <c r="CZ661" s="14"/>
      <c r="DA661" s="14"/>
      <c r="DB661" s="14"/>
      <c r="DC661" s="14"/>
      <c r="DD661" s="14"/>
      <c r="DE661" s="14"/>
      <c r="DF661" s="14"/>
      <c r="DG661" s="14"/>
      <c r="DH661" s="14"/>
      <c r="DI661" s="14"/>
      <c r="DJ661" s="14"/>
      <c r="DK661" s="14"/>
      <c r="DL661" s="14"/>
      <c r="DM661" s="14"/>
      <c r="DN661" s="14"/>
      <c r="DO661" s="14"/>
      <c r="DP661" s="14"/>
      <c r="DQ661" s="14"/>
      <c r="DR661" s="14"/>
      <c r="DS661" s="14"/>
      <c r="DT661" s="14"/>
      <c r="DU661" s="14"/>
      <c r="DV661" s="14"/>
      <c r="DW661" s="14"/>
      <c r="DX661" s="14"/>
      <c r="DY661" s="14"/>
      <c r="DZ661" s="14"/>
      <c r="EA661" s="14"/>
      <c r="EB661" s="14"/>
      <c r="EC661" s="14"/>
      <c r="ED661" s="14"/>
      <c r="EE661" s="14"/>
      <c r="EF661" s="14"/>
      <c r="EG661" s="14"/>
      <c r="EH661" s="14"/>
      <c r="EI661" s="14"/>
      <c r="EJ661" s="14"/>
      <c r="EK661" s="14"/>
      <c r="EL661" s="14"/>
    </row>
    <row r="662" spans="2:142" hidden="1" x14ac:dyDescent="0.2">
      <c r="B662" s="905">
        <v>149</v>
      </c>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4"/>
      <c r="BB662" s="14"/>
      <c r="BC662" s="14"/>
      <c r="BD662" s="14"/>
      <c r="BE662" s="14"/>
      <c r="BF662" s="14"/>
      <c r="BG662" s="14"/>
      <c r="BH662" s="14"/>
      <c r="BI662" s="14"/>
      <c r="BJ662" s="14"/>
      <c r="BK662" s="14"/>
      <c r="BL662" s="14"/>
      <c r="BM662" s="14"/>
      <c r="BN662" s="14"/>
      <c r="BO662" s="14"/>
      <c r="BP662" s="14"/>
      <c r="BQ662" s="14"/>
      <c r="BR662" s="14"/>
      <c r="BS662" s="14"/>
      <c r="BT662" s="14"/>
      <c r="BU662" s="14"/>
      <c r="BV662" s="14"/>
      <c r="BW662" s="14"/>
      <c r="BX662" s="14"/>
      <c r="BY662" s="14"/>
      <c r="BZ662" s="14"/>
      <c r="CA662" s="14"/>
      <c r="CB662" s="14"/>
      <c r="CC662" s="14"/>
      <c r="CD662" s="14"/>
      <c r="CE662" s="14"/>
      <c r="CF662" s="14"/>
      <c r="CG662" s="14"/>
      <c r="CH662" s="14"/>
      <c r="CI662" s="14"/>
      <c r="CJ662" s="14"/>
      <c r="CK662" s="14"/>
      <c r="CL662" s="14"/>
      <c r="CM662" s="14"/>
      <c r="CN662" s="14"/>
      <c r="CO662" s="14"/>
      <c r="CP662" s="14"/>
      <c r="CQ662" s="14"/>
      <c r="CR662" s="14"/>
      <c r="CS662" s="14"/>
      <c r="CT662" s="14"/>
      <c r="CU662" s="14"/>
      <c r="CV662" s="14"/>
      <c r="CW662" s="14"/>
      <c r="CX662" s="14"/>
      <c r="CY662" s="14"/>
      <c r="CZ662" s="14"/>
      <c r="DA662" s="14"/>
      <c r="DB662" s="14"/>
      <c r="DC662" s="14"/>
      <c r="DD662" s="14"/>
      <c r="DE662" s="14"/>
      <c r="DF662" s="14"/>
      <c r="DG662" s="14"/>
      <c r="DH662" s="14"/>
      <c r="DI662" s="14"/>
      <c r="DJ662" s="14"/>
      <c r="DK662" s="14"/>
      <c r="DL662" s="14"/>
      <c r="DM662" s="14"/>
      <c r="DN662" s="14"/>
      <c r="DO662" s="14"/>
      <c r="DP662" s="14"/>
      <c r="DQ662" s="14"/>
      <c r="DR662" s="14"/>
      <c r="DS662" s="14"/>
      <c r="DT662" s="14"/>
      <c r="DU662" s="14"/>
      <c r="DV662" s="14"/>
      <c r="DW662" s="14"/>
      <c r="DX662" s="14"/>
      <c r="DY662" s="14"/>
      <c r="DZ662" s="14"/>
      <c r="EA662" s="14"/>
      <c r="EB662" s="14"/>
      <c r="EC662" s="14"/>
      <c r="ED662" s="14"/>
      <c r="EE662" s="14"/>
      <c r="EF662" s="14"/>
      <c r="EG662" s="14"/>
      <c r="EH662" s="14"/>
      <c r="EI662" s="14"/>
      <c r="EJ662" s="14"/>
      <c r="EK662" s="14"/>
      <c r="EL662" s="14"/>
    </row>
    <row r="663" spans="2:142" hidden="1" x14ac:dyDescent="0.2">
      <c r="B663" s="905">
        <v>150</v>
      </c>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4"/>
      <c r="BB663" s="14"/>
      <c r="BC663" s="14"/>
      <c r="BD663" s="14"/>
      <c r="BE663" s="14"/>
      <c r="BF663" s="14"/>
      <c r="BG663" s="14"/>
      <c r="BH663" s="14"/>
      <c r="BI663" s="14"/>
      <c r="BJ663" s="14"/>
      <c r="BK663" s="14"/>
      <c r="BL663" s="14"/>
      <c r="BM663" s="14"/>
      <c r="BN663" s="14"/>
      <c r="BO663" s="14"/>
      <c r="BP663" s="14"/>
      <c r="BQ663" s="14"/>
      <c r="BR663" s="14"/>
      <c r="BS663" s="14"/>
      <c r="BT663" s="14"/>
      <c r="BU663" s="14"/>
      <c r="BV663" s="14"/>
      <c r="BW663" s="14"/>
      <c r="BX663" s="14"/>
      <c r="BY663" s="14"/>
      <c r="BZ663" s="14"/>
      <c r="CA663" s="14"/>
      <c r="CB663" s="14"/>
      <c r="CC663" s="14"/>
      <c r="CD663" s="14"/>
      <c r="CE663" s="14"/>
      <c r="CF663" s="14"/>
      <c r="CG663" s="14"/>
      <c r="CH663" s="14"/>
      <c r="CI663" s="14"/>
      <c r="CJ663" s="14"/>
      <c r="CK663" s="14"/>
      <c r="CL663" s="14"/>
      <c r="CM663" s="14"/>
      <c r="CN663" s="14"/>
      <c r="CO663" s="14"/>
      <c r="CP663" s="14"/>
      <c r="CQ663" s="14"/>
      <c r="CR663" s="14"/>
      <c r="CS663" s="14"/>
      <c r="CT663" s="14"/>
      <c r="CU663" s="14"/>
      <c r="CV663" s="14"/>
      <c r="CW663" s="14"/>
      <c r="CX663" s="14"/>
      <c r="CY663" s="14"/>
      <c r="CZ663" s="14"/>
      <c r="DA663" s="14"/>
      <c r="DB663" s="14"/>
      <c r="DC663" s="14"/>
      <c r="DD663" s="14"/>
      <c r="DE663" s="14"/>
      <c r="DF663" s="14"/>
      <c r="DG663" s="14"/>
      <c r="DH663" s="14"/>
      <c r="DI663" s="14"/>
      <c r="DJ663" s="14"/>
      <c r="DK663" s="14"/>
      <c r="DL663" s="14"/>
      <c r="DM663" s="14"/>
      <c r="DN663" s="14"/>
      <c r="DO663" s="14"/>
      <c r="DP663" s="14"/>
      <c r="DQ663" s="14"/>
      <c r="DR663" s="14"/>
      <c r="DS663" s="14"/>
      <c r="DT663" s="14"/>
      <c r="DU663" s="14"/>
      <c r="DV663" s="14"/>
      <c r="DW663" s="14"/>
      <c r="DX663" s="14"/>
      <c r="DY663" s="14"/>
      <c r="DZ663" s="14"/>
      <c r="EA663" s="14"/>
      <c r="EB663" s="14"/>
      <c r="EC663" s="14"/>
      <c r="ED663" s="14"/>
      <c r="EE663" s="14"/>
      <c r="EF663" s="14"/>
      <c r="EG663" s="14"/>
      <c r="EH663" s="14"/>
      <c r="EI663" s="14"/>
      <c r="EJ663" s="14"/>
      <c r="EK663" s="14"/>
      <c r="EL663" s="14"/>
    </row>
    <row r="664" spans="2:142" hidden="1" x14ac:dyDescent="0.2">
      <c r="B664" s="900"/>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4"/>
      <c r="BB664" s="14"/>
      <c r="BC664" s="14"/>
      <c r="BD664" s="14"/>
      <c r="BE664" s="14"/>
      <c r="BF664" s="14"/>
      <c r="BG664" s="14"/>
      <c r="BH664" s="14"/>
      <c r="BI664" s="14"/>
      <c r="BJ664" s="14"/>
      <c r="BK664" s="14"/>
      <c r="BL664" s="14"/>
      <c r="BM664" s="14"/>
      <c r="BN664" s="14"/>
      <c r="BO664" s="14"/>
      <c r="BP664" s="14"/>
      <c r="BQ664" s="14"/>
      <c r="BR664" s="14"/>
      <c r="BS664" s="14"/>
      <c r="BT664" s="14"/>
      <c r="BU664" s="14"/>
      <c r="BV664" s="14"/>
      <c r="BW664" s="14"/>
      <c r="BX664" s="14"/>
      <c r="BY664" s="14"/>
      <c r="BZ664" s="14"/>
      <c r="CA664" s="14"/>
      <c r="CB664" s="14"/>
      <c r="CC664" s="14"/>
      <c r="CD664" s="14"/>
      <c r="CE664" s="14"/>
      <c r="CF664" s="14"/>
      <c r="CG664" s="14"/>
      <c r="CH664" s="14"/>
      <c r="CI664" s="14"/>
      <c r="CJ664" s="14"/>
      <c r="CK664" s="14"/>
      <c r="CL664" s="14"/>
      <c r="CM664" s="14"/>
      <c r="CN664" s="14"/>
      <c r="CO664" s="14"/>
      <c r="CP664" s="14"/>
      <c r="CQ664" s="14"/>
      <c r="CR664" s="14"/>
      <c r="CS664" s="14"/>
      <c r="CT664" s="14"/>
      <c r="CU664" s="14"/>
      <c r="CV664" s="14"/>
      <c r="CW664" s="14"/>
      <c r="CX664" s="14"/>
      <c r="CY664" s="14"/>
      <c r="CZ664" s="14"/>
      <c r="DA664" s="14"/>
      <c r="DB664" s="14"/>
      <c r="DC664" s="14"/>
      <c r="DD664" s="14"/>
      <c r="DE664" s="14"/>
      <c r="DF664" s="14"/>
      <c r="DG664" s="14"/>
      <c r="DH664" s="14"/>
      <c r="DI664" s="14"/>
      <c r="DJ664" s="14"/>
      <c r="DK664" s="14"/>
      <c r="DL664" s="14"/>
      <c r="DM664" s="14"/>
      <c r="DN664" s="14"/>
      <c r="DO664" s="14"/>
      <c r="DP664" s="14"/>
      <c r="DQ664" s="14"/>
      <c r="DR664" s="14"/>
      <c r="DS664" s="14"/>
      <c r="DT664" s="14"/>
      <c r="DU664" s="14"/>
      <c r="DV664" s="14"/>
      <c r="DW664" s="14"/>
      <c r="DX664" s="14"/>
      <c r="DY664" s="14"/>
      <c r="DZ664" s="14"/>
      <c r="EA664" s="14"/>
      <c r="EB664" s="14"/>
      <c r="EC664" s="14"/>
      <c r="ED664" s="14"/>
      <c r="EE664" s="14"/>
      <c r="EF664" s="14"/>
      <c r="EG664" s="14"/>
      <c r="EH664" s="14"/>
      <c r="EI664" s="14"/>
      <c r="EJ664" s="14"/>
      <c r="EK664" s="14"/>
      <c r="EL664" s="14"/>
    </row>
    <row r="665" spans="2:142" hidden="1" x14ac:dyDescent="0.2">
      <c r="B665" s="900"/>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4"/>
      <c r="BB665" s="14"/>
      <c r="BC665" s="14"/>
      <c r="BD665" s="14"/>
      <c r="BE665" s="14"/>
      <c r="BF665" s="14"/>
      <c r="BG665" s="14"/>
      <c r="BH665" s="14"/>
      <c r="BI665" s="14"/>
      <c r="BJ665" s="14"/>
      <c r="BK665" s="14"/>
      <c r="BL665" s="14"/>
      <c r="BM665" s="14"/>
      <c r="BN665" s="14"/>
      <c r="BO665" s="14"/>
      <c r="BP665" s="14"/>
      <c r="BQ665" s="14"/>
      <c r="BR665" s="14"/>
      <c r="BS665" s="14"/>
      <c r="BT665" s="14"/>
      <c r="BU665" s="14"/>
      <c r="BV665" s="14"/>
      <c r="BW665" s="14"/>
      <c r="BX665" s="14"/>
      <c r="BY665" s="14"/>
      <c r="BZ665" s="14"/>
      <c r="CA665" s="14"/>
      <c r="CB665" s="14"/>
      <c r="CC665" s="14"/>
      <c r="CD665" s="14"/>
      <c r="CE665" s="14"/>
      <c r="CF665" s="14"/>
      <c r="CG665" s="14"/>
      <c r="CH665" s="14"/>
      <c r="CI665" s="14"/>
      <c r="CJ665" s="14"/>
      <c r="CK665" s="14"/>
      <c r="CL665" s="14"/>
      <c r="CM665" s="14"/>
      <c r="CN665" s="14"/>
      <c r="CO665" s="14"/>
      <c r="CP665" s="14"/>
      <c r="CQ665" s="14"/>
      <c r="CR665" s="14"/>
      <c r="CS665" s="14"/>
      <c r="CT665" s="14"/>
      <c r="CU665" s="14"/>
      <c r="CV665" s="14"/>
      <c r="CW665" s="14"/>
      <c r="CX665" s="14"/>
      <c r="CY665" s="14"/>
      <c r="CZ665" s="14"/>
      <c r="DA665" s="14"/>
      <c r="DB665" s="14"/>
      <c r="DC665" s="14"/>
      <c r="DD665" s="14"/>
      <c r="DE665" s="14"/>
      <c r="DF665" s="14"/>
      <c r="DG665" s="14"/>
      <c r="DH665" s="14"/>
      <c r="DI665" s="14"/>
      <c r="DJ665" s="14"/>
      <c r="DK665" s="14"/>
      <c r="DL665" s="14"/>
      <c r="DM665" s="14"/>
      <c r="DN665" s="14"/>
      <c r="DO665" s="14"/>
      <c r="DP665" s="14"/>
      <c r="DQ665" s="14"/>
      <c r="DR665" s="14"/>
      <c r="DS665" s="14"/>
      <c r="DT665" s="14"/>
      <c r="DU665" s="14"/>
      <c r="DV665" s="14"/>
      <c r="DW665" s="14"/>
      <c r="DX665" s="14"/>
      <c r="DY665" s="14"/>
      <c r="DZ665" s="14"/>
      <c r="EA665" s="14"/>
      <c r="EB665" s="14"/>
      <c r="EC665" s="14"/>
      <c r="ED665" s="14"/>
      <c r="EE665" s="14"/>
      <c r="EF665" s="14"/>
      <c r="EG665" s="14"/>
      <c r="EH665" s="14"/>
      <c r="EI665" s="14"/>
      <c r="EJ665" s="14"/>
      <c r="EK665" s="14"/>
      <c r="EL665" s="14"/>
    </row>
    <row r="666" spans="2:142" hidden="1" x14ac:dyDescent="0.2">
      <c r="B666" s="900"/>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4"/>
      <c r="BB666" s="14"/>
      <c r="BC666" s="14"/>
      <c r="BD666" s="14"/>
      <c r="BE666" s="14"/>
      <c r="BF666" s="14"/>
      <c r="BG666" s="14"/>
      <c r="BH666" s="14"/>
      <c r="BI666" s="14"/>
      <c r="BJ666" s="14"/>
      <c r="BK666" s="14"/>
      <c r="BL666" s="14"/>
      <c r="BM666" s="14"/>
      <c r="BN666" s="14"/>
      <c r="BO666" s="14"/>
      <c r="BP666" s="14"/>
      <c r="BQ666" s="14"/>
      <c r="BR666" s="14"/>
      <c r="BS666" s="14"/>
      <c r="BT666" s="14"/>
      <c r="BU666" s="14"/>
      <c r="BV666" s="14"/>
      <c r="BW666" s="14"/>
      <c r="BX666" s="14"/>
      <c r="BY666" s="14"/>
      <c r="BZ666" s="14"/>
      <c r="CA666" s="14"/>
      <c r="CB666" s="14"/>
      <c r="CC666" s="14"/>
      <c r="CD666" s="14"/>
      <c r="CE666" s="14"/>
      <c r="CF666" s="14"/>
      <c r="CG666" s="14"/>
      <c r="CH666" s="14"/>
      <c r="CI666" s="14"/>
      <c r="CJ666" s="14"/>
      <c r="CK666" s="14"/>
      <c r="CL666" s="14"/>
      <c r="CM666" s="14"/>
      <c r="CN666" s="14"/>
      <c r="CO666" s="14"/>
      <c r="CP666" s="14"/>
      <c r="CQ666" s="14"/>
      <c r="CR666" s="14"/>
      <c r="CS666" s="14"/>
      <c r="CT666" s="14"/>
      <c r="CU666" s="14"/>
      <c r="CV666" s="14"/>
      <c r="CW666" s="14"/>
      <c r="CX666" s="14"/>
      <c r="CY666" s="14"/>
      <c r="CZ666" s="14"/>
      <c r="DA666" s="14"/>
      <c r="DB666" s="14"/>
      <c r="DC666" s="14"/>
      <c r="DD666" s="14"/>
      <c r="DE666" s="14"/>
      <c r="DF666" s="14"/>
      <c r="DG666" s="14"/>
      <c r="DH666" s="14"/>
      <c r="DI666" s="14"/>
      <c r="DJ666" s="14"/>
      <c r="DK666" s="14"/>
      <c r="DL666" s="14"/>
      <c r="DM666" s="14"/>
      <c r="DN666" s="14"/>
      <c r="DO666" s="14"/>
      <c r="DP666" s="14"/>
      <c r="DQ666" s="14"/>
      <c r="DR666" s="14"/>
      <c r="DS666" s="14"/>
      <c r="DT666" s="14"/>
      <c r="DU666" s="14"/>
      <c r="DV666" s="14"/>
      <c r="DW666" s="14"/>
      <c r="DX666" s="14"/>
      <c r="DY666" s="14"/>
      <c r="DZ666" s="14"/>
      <c r="EA666" s="14"/>
      <c r="EB666" s="14"/>
      <c r="EC666" s="14"/>
      <c r="ED666" s="14"/>
      <c r="EE666" s="14"/>
      <c r="EF666" s="14"/>
      <c r="EG666" s="14"/>
      <c r="EH666" s="14"/>
      <c r="EI666" s="14"/>
      <c r="EJ666" s="14"/>
      <c r="EK666" s="14"/>
      <c r="EL666" s="14"/>
    </row>
    <row r="667" spans="2:142" hidden="1" x14ac:dyDescent="0.2">
      <c r="B667" s="900"/>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4"/>
      <c r="BB667" s="14"/>
      <c r="BC667" s="14"/>
      <c r="BD667" s="14"/>
      <c r="BE667" s="14"/>
      <c r="BF667" s="14"/>
      <c r="BG667" s="14"/>
      <c r="BH667" s="14"/>
      <c r="BI667" s="14"/>
      <c r="BJ667" s="14"/>
      <c r="BK667" s="14"/>
      <c r="BL667" s="14"/>
      <c r="BM667" s="14"/>
      <c r="BN667" s="14"/>
      <c r="BO667" s="14"/>
      <c r="BP667" s="14"/>
      <c r="BQ667" s="14"/>
      <c r="BR667" s="14"/>
      <c r="BS667" s="14"/>
      <c r="BT667" s="14"/>
      <c r="BU667" s="14"/>
      <c r="BV667" s="14"/>
      <c r="BW667" s="14"/>
      <c r="BX667" s="14"/>
      <c r="BY667" s="14"/>
      <c r="BZ667" s="14"/>
      <c r="CA667" s="14"/>
      <c r="CB667" s="14"/>
      <c r="CC667" s="14"/>
      <c r="CD667" s="14"/>
      <c r="CE667" s="14"/>
      <c r="CF667" s="14"/>
      <c r="CG667" s="14"/>
      <c r="CH667" s="14"/>
      <c r="CI667" s="14"/>
      <c r="CJ667" s="14"/>
      <c r="CK667" s="14"/>
      <c r="CL667" s="14"/>
      <c r="CM667" s="14"/>
      <c r="CN667" s="14"/>
      <c r="CO667" s="14"/>
      <c r="CP667" s="14"/>
      <c r="CQ667" s="14"/>
      <c r="CR667" s="14"/>
      <c r="CS667" s="14"/>
      <c r="CT667" s="14"/>
      <c r="CU667" s="14"/>
      <c r="CV667" s="14"/>
      <c r="CW667" s="14"/>
      <c r="CX667" s="14"/>
      <c r="CY667" s="14"/>
      <c r="CZ667" s="14"/>
      <c r="DA667" s="14"/>
      <c r="DB667" s="14"/>
      <c r="DC667" s="14"/>
      <c r="DD667" s="14"/>
      <c r="DE667" s="14"/>
      <c r="DF667" s="14"/>
      <c r="DG667" s="14"/>
      <c r="DH667" s="14"/>
      <c r="DI667" s="14"/>
      <c r="DJ667" s="14"/>
      <c r="DK667" s="14"/>
      <c r="DL667" s="14"/>
      <c r="DM667" s="14"/>
      <c r="DN667" s="14"/>
      <c r="DO667" s="14"/>
      <c r="DP667" s="14"/>
      <c r="DQ667" s="14"/>
      <c r="DR667" s="14"/>
      <c r="DS667" s="14"/>
      <c r="DT667" s="14"/>
      <c r="DU667" s="14"/>
      <c r="DV667" s="14"/>
      <c r="DW667" s="14"/>
      <c r="DX667" s="14"/>
      <c r="DY667" s="14"/>
      <c r="DZ667" s="14"/>
      <c r="EA667" s="14"/>
      <c r="EB667" s="14"/>
      <c r="EC667" s="14"/>
      <c r="ED667" s="14"/>
      <c r="EE667" s="14"/>
      <c r="EF667" s="14"/>
      <c r="EG667" s="14"/>
      <c r="EH667" s="14"/>
      <c r="EI667" s="14"/>
      <c r="EJ667" s="14"/>
      <c r="EK667" s="14"/>
      <c r="EL667" s="14"/>
    </row>
    <row r="668" spans="2:142" hidden="1" x14ac:dyDescent="0.2">
      <c r="B668" s="900"/>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4"/>
      <c r="BB668" s="14"/>
      <c r="BC668" s="14"/>
      <c r="BD668" s="14"/>
      <c r="BE668" s="14"/>
      <c r="BF668" s="14"/>
      <c r="BG668" s="14"/>
      <c r="BH668" s="14"/>
      <c r="BI668" s="14"/>
      <c r="BJ668" s="14"/>
      <c r="BK668" s="14"/>
      <c r="BL668" s="14"/>
      <c r="BM668" s="14"/>
      <c r="BN668" s="14"/>
      <c r="BO668" s="14"/>
      <c r="BP668" s="14"/>
      <c r="BQ668" s="14"/>
      <c r="BR668" s="14"/>
      <c r="BS668" s="14"/>
      <c r="BT668" s="14"/>
      <c r="BU668" s="14"/>
      <c r="BV668" s="14"/>
      <c r="BW668" s="14"/>
      <c r="BX668" s="14"/>
      <c r="BY668" s="14"/>
      <c r="BZ668" s="14"/>
      <c r="CA668" s="14"/>
      <c r="CB668" s="14"/>
      <c r="CC668" s="14"/>
      <c r="CD668" s="14"/>
      <c r="CE668" s="14"/>
      <c r="CF668" s="14"/>
      <c r="CG668" s="14"/>
      <c r="CH668" s="14"/>
      <c r="CI668" s="14"/>
      <c r="CJ668" s="14"/>
      <c r="CK668" s="14"/>
      <c r="CL668" s="14"/>
      <c r="CM668" s="14"/>
      <c r="CN668" s="14"/>
      <c r="CO668" s="14"/>
      <c r="CP668" s="14"/>
      <c r="CQ668" s="14"/>
      <c r="CR668" s="14"/>
      <c r="CS668" s="14"/>
      <c r="CT668" s="14"/>
      <c r="CU668" s="14"/>
      <c r="CV668" s="14"/>
      <c r="CW668" s="14"/>
      <c r="CX668" s="14"/>
      <c r="CY668" s="14"/>
      <c r="CZ668" s="14"/>
      <c r="DA668" s="14"/>
      <c r="DB668" s="14"/>
      <c r="DC668" s="14"/>
      <c r="DD668" s="14"/>
      <c r="DE668" s="14"/>
      <c r="DF668" s="14"/>
      <c r="DG668" s="14"/>
      <c r="DH668" s="14"/>
      <c r="DI668" s="14"/>
      <c r="DJ668" s="14"/>
      <c r="DK668" s="14"/>
      <c r="DL668" s="14"/>
      <c r="DM668" s="14"/>
      <c r="DN668" s="14"/>
      <c r="DO668" s="14"/>
      <c r="DP668" s="14"/>
      <c r="DQ668" s="14"/>
      <c r="DR668" s="14"/>
      <c r="DS668" s="14"/>
      <c r="DT668" s="14"/>
      <c r="DU668" s="14"/>
      <c r="DV668" s="14"/>
      <c r="DW668" s="14"/>
      <c r="DX668" s="14"/>
      <c r="DY668" s="14"/>
      <c r="DZ668" s="14"/>
      <c r="EA668" s="14"/>
      <c r="EB668" s="14"/>
      <c r="EC668" s="14"/>
      <c r="ED668" s="14"/>
      <c r="EE668" s="14"/>
      <c r="EF668" s="14"/>
      <c r="EG668" s="14"/>
      <c r="EH668" s="14"/>
      <c r="EI668" s="14"/>
      <c r="EJ668" s="14"/>
      <c r="EK668" s="14"/>
      <c r="EL668" s="14"/>
    </row>
    <row r="669" spans="2:142" hidden="1" x14ac:dyDescent="0.2">
      <c r="B669" s="900"/>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4"/>
      <c r="BB669" s="14"/>
      <c r="BC669" s="14"/>
      <c r="BD669" s="14"/>
      <c r="BE669" s="14"/>
      <c r="BF669" s="14"/>
      <c r="BG669" s="14"/>
      <c r="BH669" s="14"/>
      <c r="BI669" s="14"/>
      <c r="BJ669" s="14"/>
      <c r="BK669" s="14"/>
      <c r="BL669" s="14"/>
      <c r="BM669" s="14"/>
      <c r="BN669" s="14"/>
      <c r="BO669" s="14"/>
      <c r="BP669" s="14"/>
      <c r="BQ669" s="14"/>
      <c r="BR669" s="14"/>
      <c r="BS669" s="14"/>
      <c r="BT669" s="14"/>
      <c r="BU669" s="14"/>
      <c r="BV669" s="14"/>
      <c r="BW669" s="14"/>
      <c r="BX669" s="14"/>
      <c r="BY669" s="14"/>
      <c r="BZ669" s="14"/>
      <c r="CA669" s="14"/>
      <c r="CB669" s="14"/>
      <c r="CC669" s="14"/>
      <c r="CD669" s="14"/>
      <c r="CE669" s="14"/>
      <c r="CF669" s="14"/>
      <c r="CG669" s="14"/>
      <c r="CH669" s="14"/>
      <c r="CI669" s="14"/>
      <c r="CJ669" s="14"/>
      <c r="CK669" s="14"/>
      <c r="CL669" s="14"/>
      <c r="CM669" s="14"/>
      <c r="CN669" s="14"/>
      <c r="CO669" s="14"/>
      <c r="CP669" s="14"/>
      <c r="CQ669" s="14"/>
      <c r="CR669" s="14"/>
      <c r="CS669" s="14"/>
      <c r="CT669" s="14"/>
      <c r="CU669" s="14"/>
      <c r="CV669" s="14"/>
      <c r="CW669" s="14"/>
      <c r="CX669" s="14"/>
      <c r="CY669" s="14"/>
      <c r="CZ669" s="14"/>
      <c r="DA669" s="14"/>
      <c r="DB669" s="14"/>
      <c r="DC669" s="14"/>
      <c r="DD669" s="14"/>
      <c r="DE669" s="14"/>
      <c r="DF669" s="14"/>
      <c r="DG669" s="14"/>
      <c r="DH669" s="14"/>
      <c r="DI669" s="14"/>
      <c r="DJ669" s="14"/>
      <c r="DK669" s="14"/>
      <c r="DL669" s="14"/>
      <c r="DM669" s="14"/>
      <c r="DN669" s="14"/>
      <c r="DO669" s="14"/>
      <c r="DP669" s="14"/>
      <c r="DQ669" s="14"/>
      <c r="DR669" s="14"/>
      <c r="DS669" s="14"/>
      <c r="DT669" s="14"/>
      <c r="DU669" s="14"/>
      <c r="DV669" s="14"/>
      <c r="DW669" s="14"/>
      <c r="DX669" s="14"/>
      <c r="DY669" s="14"/>
      <c r="DZ669" s="14"/>
      <c r="EA669" s="14"/>
      <c r="EB669" s="14"/>
      <c r="EC669" s="14"/>
      <c r="ED669" s="14"/>
      <c r="EE669" s="14"/>
      <c r="EF669" s="14"/>
      <c r="EG669" s="14"/>
      <c r="EH669" s="14"/>
      <c r="EI669" s="14"/>
      <c r="EJ669" s="14"/>
      <c r="EK669" s="14"/>
      <c r="EL669" s="14"/>
    </row>
    <row r="670" spans="2:142" x14ac:dyDescent="0.2">
      <c r="B670" s="900"/>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4"/>
      <c r="BB670" s="14"/>
      <c r="BC670" s="14"/>
      <c r="BD670" s="14"/>
      <c r="BE670" s="14"/>
      <c r="BF670" s="14"/>
      <c r="BG670" s="14"/>
      <c r="BH670" s="14"/>
      <c r="BI670" s="14"/>
      <c r="BJ670" s="14"/>
      <c r="BK670" s="14"/>
      <c r="BL670" s="14"/>
      <c r="BM670" s="14"/>
      <c r="BN670" s="14"/>
      <c r="BO670" s="14"/>
      <c r="BP670" s="14"/>
      <c r="BQ670" s="14"/>
      <c r="BR670" s="14"/>
      <c r="BS670" s="14"/>
      <c r="BT670" s="14"/>
      <c r="BU670" s="14"/>
      <c r="BV670" s="14"/>
      <c r="BW670" s="14"/>
      <c r="BX670" s="14"/>
      <c r="BY670" s="14"/>
      <c r="BZ670" s="14"/>
      <c r="CA670" s="14"/>
      <c r="CB670" s="14"/>
      <c r="CC670" s="14"/>
      <c r="CD670" s="14"/>
      <c r="CE670" s="14"/>
      <c r="CF670" s="14"/>
      <c r="CG670" s="14"/>
      <c r="CH670" s="14"/>
      <c r="CI670" s="14"/>
      <c r="CJ670" s="14"/>
      <c r="CK670" s="14"/>
      <c r="CL670" s="14"/>
      <c r="CM670" s="14"/>
      <c r="CN670" s="14"/>
      <c r="CO670" s="14"/>
      <c r="CP670" s="14"/>
      <c r="CQ670" s="14"/>
      <c r="CR670" s="14"/>
      <c r="CS670" s="14"/>
      <c r="CT670" s="14"/>
      <c r="CU670" s="14"/>
      <c r="CV670" s="14"/>
      <c r="CW670" s="14"/>
      <c r="CX670" s="14"/>
      <c r="CY670" s="14"/>
      <c r="CZ670" s="14"/>
      <c r="DA670" s="14"/>
      <c r="DB670" s="14"/>
      <c r="DC670" s="14"/>
      <c r="DD670" s="14"/>
      <c r="DE670" s="14"/>
      <c r="DF670" s="14"/>
      <c r="DG670" s="14"/>
      <c r="DH670" s="14"/>
      <c r="DI670" s="14"/>
      <c r="DJ670" s="14"/>
      <c r="DK670" s="14"/>
      <c r="DL670" s="14"/>
      <c r="DM670" s="14"/>
      <c r="DN670" s="14"/>
      <c r="DO670" s="14"/>
      <c r="DP670" s="14"/>
      <c r="DQ670" s="14"/>
      <c r="DR670" s="14"/>
      <c r="DS670" s="14"/>
      <c r="DT670" s="14"/>
      <c r="DU670" s="14"/>
      <c r="DV670" s="14"/>
      <c r="DW670" s="14"/>
      <c r="DX670" s="14"/>
      <c r="DY670" s="14"/>
      <c r="DZ670" s="14"/>
      <c r="EA670" s="14"/>
      <c r="EB670" s="14"/>
      <c r="EC670" s="14"/>
      <c r="ED670" s="14"/>
      <c r="EE670" s="14"/>
      <c r="EF670" s="14"/>
      <c r="EG670" s="14"/>
      <c r="EH670" s="14"/>
      <c r="EI670" s="14"/>
      <c r="EJ670" s="14"/>
      <c r="EK670" s="14"/>
      <c r="EL670" s="14"/>
    </row>
    <row r="671" spans="2:142" x14ac:dyDescent="0.2">
      <c r="B671" s="900"/>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4"/>
      <c r="BB671" s="14"/>
      <c r="BC671" s="14"/>
      <c r="BD671" s="14"/>
      <c r="BE671" s="14"/>
      <c r="BF671" s="14"/>
      <c r="BG671" s="14"/>
      <c r="BH671" s="14"/>
      <c r="BI671" s="14"/>
      <c r="BJ671" s="14"/>
      <c r="BK671" s="14"/>
      <c r="BL671" s="14"/>
      <c r="BM671" s="14"/>
      <c r="BN671" s="14"/>
      <c r="BO671" s="14"/>
      <c r="BP671" s="14"/>
      <c r="BQ671" s="14"/>
      <c r="BR671" s="14"/>
      <c r="BS671" s="14"/>
      <c r="BT671" s="14"/>
      <c r="BU671" s="14"/>
      <c r="BV671" s="14"/>
      <c r="BW671" s="14"/>
      <c r="BX671" s="14"/>
      <c r="BY671" s="14"/>
      <c r="BZ671" s="14"/>
      <c r="CA671" s="14"/>
      <c r="CB671" s="14"/>
      <c r="CC671" s="14"/>
      <c r="CD671" s="14"/>
      <c r="CE671" s="14"/>
      <c r="CF671" s="14"/>
      <c r="CG671" s="14"/>
      <c r="CH671" s="14"/>
      <c r="CI671" s="14"/>
      <c r="CJ671" s="14"/>
      <c r="CK671" s="14"/>
      <c r="CL671" s="14"/>
      <c r="CM671" s="14"/>
      <c r="CN671" s="14"/>
      <c r="CO671" s="14"/>
      <c r="CP671" s="14"/>
      <c r="CQ671" s="14"/>
      <c r="CR671" s="14"/>
      <c r="CS671" s="14"/>
      <c r="CT671" s="14"/>
      <c r="CU671" s="14"/>
      <c r="CV671" s="14"/>
      <c r="CW671" s="14"/>
      <c r="CX671" s="14"/>
      <c r="CY671" s="14"/>
      <c r="CZ671" s="14"/>
      <c r="DA671" s="14"/>
      <c r="DB671" s="14"/>
      <c r="DC671" s="14"/>
      <c r="DD671" s="14"/>
      <c r="DE671" s="14"/>
      <c r="DF671" s="14"/>
      <c r="DG671" s="14"/>
      <c r="DH671" s="14"/>
      <c r="DI671" s="14"/>
      <c r="DJ671" s="14"/>
      <c r="DK671" s="14"/>
      <c r="DL671" s="14"/>
      <c r="DM671" s="14"/>
      <c r="DN671" s="14"/>
      <c r="DO671" s="14"/>
      <c r="DP671" s="14"/>
      <c r="DQ671" s="14"/>
      <c r="DR671" s="14"/>
      <c r="DS671" s="14"/>
      <c r="DT671" s="14"/>
      <c r="DU671" s="14"/>
      <c r="DV671" s="14"/>
      <c r="DW671" s="14"/>
      <c r="DX671" s="14"/>
      <c r="DY671" s="14"/>
      <c r="DZ671" s="14"/>
      <c r="EA671" s="14"/>
      <c r="EB671" s="14"/>
      <c r="EC671" s="14"/>
      <c r="ED671" s="14"/>
      <c r="EE671" s="14"/>
      <c r="EF671" s="14"/>
      <c r="EG671" s="14"/>
      <c r="EH671" s="14"/>
      <c r="EI671" s="14"/>
      <c r="EJ671" s="14"/>
      <c r="EK671" s="14"/>
      <c r="EL671" s="14"/>
    </row>
    <row r="672" spans="2:142" x14ac:dyDescent="0.2">
      <c r="B672" s="900"/>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4"/>
      <c r="BB672" s="14"/>
      <c r="BC672" s="14"/>
      <c r="BD672" s="14"/>
      <c r="BE672" s="14"/>
      <c r="BF672" s="14"/>
      <c r="BG672" s="14"/>
      <c r="BH672" s="14"/>
      <c r="BI672" s="14"/>
      <c r="BJ672" s="14"/>
      <c r="BK672" s="14"/>
      <c r="BL672" s="14"/>
      <c r="BM672" s="14"/>
      <c r="BN672" s="14"/>
      <c r="BO672" s="14"/>
      <c r="BP672" s="14"/>
      <c r="BQ672" s="14"/>
      <c r="BR672" s="14"/>
      <c r="BS672" s="14"/>
      <c r="BT672" s="14"/>
      <c r="BU672" s="14"/>
      <c r="BV672" s="14"/>
      <c r="BW672" s="14"/>
      <c r="BX672" s="14"/>
      <c r="BY672" s="14"/>
      <c r="BZ672" s="14"/>
      <c r="CA672" s="14"/>
      <c r="CB672" s="14"/>
      <c r="CC672" s="14"/>
      <c r="CD672" s="14"/>
      <c r="CE672" s="14"/>
      <c r="CF672" s="14"/>
      <c r="CG672" s="14"/>
      <c r="CH672" s="14"/>
      <c r="CI672" s="14"/>
      <c r="CJ672" s="14"/>
      <c r="CK672" s="14"/>
      <c r="CL672" s="14"/>
      <c r="CM672" s="14"/>
      <c r="CN672" s="14"/>
      <c r="CO672" s="14"/>
      <c r="CP672" s="14"/>
      <c r="CQ672" s="14"/>
      <c r="CR672" s="14"/>
      <c r="CS672" s="14"/>
      <c r="CT672" s="14"/>
      <c r="CU672" s="14"/>
      <c r="CV672" s="14"/>
      <c r="CW672" s="14"/>
      <c r="CX672" s="14"/>
      <c r="CY672" s="14"/>
      <c r="CZ672" s="14"/>
      <c r="DA672" s="14"/>
      <c r="DB672" s="14"/>
      <c r="DC672" s="14"/>
      <c r="DD672" s="14"/>
      <c r="DE672" s="14"/>
      <c r="DF672" s="14"/>
      <c r="DG672" s="14"/>
      <c r="DH672" s="14"/>
      <c r="DI672" s="14"/>
      <c r="DJ672" s="14"/>
      <c r="DK672" s="14"/>
      <c r="DL672" s="14"/>
      <c r="DM672" s="14"/>
      <c r="DN672" s="14"/>
      <c r="DO672" s="14"/>
      <c r="DP672" s="14"/>
      <c r="DQ672" s="14"/>
      <c r="DR672" s="14"/>
      <c r="DS672" s="14"/>
      <c r="DT672" s="14"/>
      <c r="DU672" s="14"/>
      <c r="DV672" s="14"/>
      <c r="DW672" s="14"/>
      <c r="DX672" s="14"/>
      <c r="DY672" s="14"/>
      <c r="DZ672" s="14"/>
      <c r="EA672" s="14"/>
      <c r="EB672" s="14"/>
      <c r="EC672" s="14"/>
      <c r="ED672" s="14"/>
      <c r="EE672" s="14"/>
      <c r="EF672" s="14"/>
      <c r="EG672" s="14"/>
      <c r="EH672" s="14"/>
      <c r="EI672" s="14"/>
      <c r="EJ672" s="14"/>
      <c r="EK672" s="14"/>
      <c r="EL672" s="14"/>
    </row>
    <row r="673" spans="2:142" x14ac:dyDescent="0.2">
      <c r="B673" s="900"/>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4"/>
      <c r="BB673" s="14"/>
      <c r="BC673" s="14"/>
      <c r="BD673" s="14"/>
      <c r="BE673" s="14"/>
      <c r="BF673" s="14"/>
      <c r="BG673" s="14"/>
      <c r="BH673" s="14"/>
      <c r="BI673" s="14"/>
      <c r="BJ673" s="14"/>
      <c r="BK673" s="14"/>
      <c r="BL673" s="14"/>
      <c r="BM673" s="14"/>
      <c r="BN673" s="14"/>
      <c r="BO673" s="14"/>
      <c r="BP673" s="14"/>
      <c r="BQ673" s="14"/>
      <c r="BR673" s="14"/>
      <c r="BS673" s="14"/>
      <c r="BT673" s="14"/>
      <c r="BU673" s="14"/>
      <c r="BV673" s="14"/>
      <c r="BW673" s="14"/>
      <c r="BX673" s="14"/>
      <c r="BY673" s="14"/>
      <c r="BZ673" s="14"/>
      <c r="CA673" s="14"/>
      <c r="CB673" s="14"/>
      <c r="CC673" s="14"/>
      <c r="CD673" s="14"/>
      <c r="CE673" s="14"/>
      <c r="CF673" s="14"/>
      <c r="CG673" s="14"/>
      <c r="CH673" s="14"/>
      <c r="CI673" s="14"/>
      <c r="CJ673" s="14"/>
      <c r="CK673" s="14"/>
      <c r="CL673" s="14"/>
      <c r="CM673" s="14"/>
      <c r="CN673" s="14"/>
      <c r="CO673" s="14"/>
      <c r="CP673" s="14"/>
      <c r="CQ673" s="14"/>
      <c r="CR673" s="14"/>
      <c r="CS673" s="14"/>
      <c r="CT673" s="14"/>
      <c r="CU673" s="14"/>
      <c r="CV673" s="14"/>
      <c r="CW673" s="14"/>
      <c r="CX673" s="14"/>
      <c r="CY673" s="14"/>
      <c r="CZ673" s="14"/>
      <c r="DA673" s="14"/>
      <c r="DB673" s="14"/>
      <c r="DC673" s="14"/>
      <c r="DD673" s="14"/>
      <c r="DE673" s="14"/>
      <c r="DF673" s="14"/>
      <c r="DG673" s="14"/>
      <c r="DH673" s="14"/>
      <c r="DI673" s="14"/>
      <c r="DJ673" s="14"/>
      <c r="DK673" s="14"/>
      <c r="DL673" s="14"/>
      <c r="DM673" s="14"/>
      <c r="DN673" s="14"/>
      <c r="DO673" s="14"/>
      <c r="DP673" s="14"/>
      <c r="DQ673" s="14"/>
      <c r="DR673" s="14"/>
      <c r="DS673" s="14"/>
      <c r="DT673" s="14"/>
      <c r="DU673" s="14"/>
      <c r="DV673" s="14"/>
      <c r="DW673" s="14"/>
      <c r="DX673" s="14"/>
      <c r="DY673" s="14"/>
      <c r="DZ673" s="14"/>
      <c r="EA673" s="14"/>
      <c r="EB673" s="14"/>
      <c r="EC673" s="14"/>
      <c r="ED673" s="14"/>
      <c r="EE673" s="14"/>
      <c r="EF673" s="14"/>
      <c r="EG673" s="14"/>
      <c r="EH673" s="14"/>
      <c r="EI673" s="14"/>
      <c r="EJ673" s="14"/>
      <c r="EK673" s="14"/>
      <c r="EL673" s="14"/>
    </row>
    <row r="674" spans="2:142" x14ac:dyDescent="0.2">
      <c r="B674" s="900"/>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4"/>
      <c r="BB674" s="14"/>
      <c r="BC674" s="14"/>
      <c r="BD674" s="14"/>
      <c r="BE674" s="14"/>
      <c r="BF674" s="14"/>
      <c r="BG674" s="14"/>
      <c r="BH674" s="14"/>
      <c r="BI674" s="14"/>
      <c r="BJ674" s="14"/>
      <c r="BK674" s="14"/>
      <c r="BL674" s="14"/>
      <c r="BM674" s="14"/>
      <c r="BN674" s="14"/>
      <c r="BO674" s="14"/>
      <c r="BP674" s="14"/>
      <c r="BQ674" s="14"/>
      <c r="BR674" s="14"/>
      <c r="BS674" s="14"/>
      <c r="BT674" s="14"/>
      <c r="BU674" s="14"/>
      <c r="BV674" s="14"/>
      <c r="BW674" s="14"/>
      <c r="BX674" s="14"/>
      <c r="BY674" s="14"/>
      <c r="BZ674" s="14"/>
      <c r="CA674" s="14"/>
      <c r="CB674" s="14"/>
      <c r="CC674" s="14"/>
      <c r="CD674" s="14"/>
      <c r="CE674" s="14"/>
      <c r="CF674" s="14"/>
      <c r="CG674" s="14"/>
      <c r="CH674" s="14"/>
      <c r="CI674" s="14"/>
      <c r="CJ674" s="14"/>
      <c r="CK674" s="14"/>
      <c r="CL674" s="14"/>
      <c r="CM674" s="14"/>
      <c r="CN674" s="14"/>
      <c r="CO674" s="14"/>
      <c r="CP674" s="14"/>
      <c r="CQ674" s="14"/>
      <c r="CR674" s="14"/>
      <c r="CS674" s="14"/>
      <c r="CT674" s="14"/>
      <c r="CU674" s="14"/>
      <c r="CV674" s="14"/>
      <c r="CW674" s="14"/>
      <c r="CX674" s="14"/>
      <c r="CY674" s="14"/>
      <c r="CZ674" s="14"/>
      <c r="DA674" s="14"/>
      <c r="DB674" s="14"/>
      <c r="DC674" s="14"/>
      <c r="DD674" s="14"/>
      <c r="DE674" s="14"/>
      <c r="DF674" s="14"/>
      <c r="DG674" s="14"/>
      <c r="DH674" s="14"/>
      <c r="DI674" s="14"/>
      <c r="DJ674" s="14"/>
      <c r="DK674" s="14"/>
      <c r="DL674" s="14"/>
      <c r="DM674" s="14"/>
      <c r="DN674" s="14"/>
      <c r="DO674" s="14"/>
      <c r="DP674" s="14"/>
      <c r="DQ674" s="14"/>
      <c r="DR674" s="14"/>
      <c r="DS674" s="14"/>
      <c r="DT674" s="14"/>
      <c r="DU674" s="14"/>
      <c r="DV674" s="14"/>
      <c r="DW674" s="14"/>
      <c r="DX674" s="14"/>
      <c r="DY674" s="14"/>
      <c r="DZ674" s="14"/>
      <c r="EA674" s="14"/>
      <c r="EB674" s="14"/>
      <c r="EC674" s="14"/>
      <c r="ED674" s="14"/>
      <c r="EE674" s="14"/>
      <c r="EF674" s="14"/>
      <c r="EG674" s="14"/>
      <c r="EH674" s="14"/>
      <c r="EI674" s="14"/>
      <c r="EJ674" s="14"/>
      <c r="EK674" s="14"/>
      <c r="EL674" s="14"/>
    </row>
    <row r="675" spans="2:142" x14ac:dyDescent="0.2">
      <c r="B675" s="900"/>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4"/>
      <c r="BB675" s="14"/>
      <c r="BC675" s="14"/>
      <c r="BD675" s="14"/>
      <c r="BE675" s="14"/>
      <c r="BF675" s="14"/>
      <c r="BG675" s="14"/>
      <c r="BH675" s="14"/>
      <c r="BI675" s="14"/>
      <c r="BJ675" s="14"/>
      <c r="BK675" s="14"/>
      <c r="BL675" s="14"/>
      <c r="BM675" s="14"/>
      <c r="BN675" s="14"/>
      <c r="BO675" s="14"/>
      <c r="BP675" s="14"/>
      <c r="BQ675" s="14"/>
      <c r="BR675" s="14"/>
      <c r="BS675" s="14"/>
      <c r="BT675" s="14"/>
      <c r="BU675" s="14"/>
      <c r="BV675" s="14"/>
      <c r="BW675" s="14"/>
      <c r="BX675" s="14"/>
      <c r="BY675" s="14"/>
      <c r="BZ675" s="14"/>
      <c r="CA675" s="14"/>
      <c r="CB675" s="14"/>
      <c r="CC675" s="14"/>
      <c r="CD675" s="14"/>
      <c r="CE675" s="14"/>
      <c r="CF675" s="14"/>
      <c r="CG675" s="14"/>
      <c r="CH675" s="14"/>
      <c r="CI675" s="14"/>
      <c r="CJ675" s="14"/>
      <c r="CK675" s="14"/>
      <c r="CL675" s="14"/>
      <c r="CM675" s="14"/>
      <c r="CN675" s="14"/>
      <c r="CO675" s="14"/>
      <c r="CP675" s="14"/>
      <c r="CQ675" s="14"/>
      <c r="CR675" s="14"/>
      <c r="CS675" s="14"/>
      <c r="CT675" s="14"/>
      <c r="CU675" s="14"/>
      <c r="CV675" s="14"/>
      <c r="CW675" s="14"/>
      <c r="CX675" s="14"/>
      <c r="CY675" s="14"/>
      <c r="CZ675" s="14"/>
      <c r="DA675" s="14"/>
      <c r="DB675" s="14"/>
      <c r="DC675" s="14"/>
      <c r="DD675" s="14"/>
      <c r="DE675" s="14"/>
      <c r="DF675" s="14"/>
      <c r="DG675" s="14"/>
      <c r="DH675" s="14"/>
      <c r="DI675" s="14"/>
      <c r="DJ675" s="14"/>
      <c r="DK675" s="14"/>
      <c r="DL675" s="14"/>
      <c r="DM675" s="14"/>
      <c r="DN675" s="14"/>
      <c r="DO675" s="14"/>
      <c r="DP675" s="14"/>
      <c r="DQ675" s="14"/>
      <c r="DR675" s="14"/>
      <c r="DS675" s="14"/>
      <c r="DT675" s="14"/>
      <c r="DU675" s="14"/>
      <c r="DV675" s="14"/>
      <c r="DW675" s="14"/>
      <c r="DX675" s="14"/>
      <c r="DY675" s="14"/>
      <c r="DZ675" s="14"/>
      <c r="EA675" s="14"/>
      <c r="EB675" s="14"/>
      <c r="EC675" s="14"/>
      <c r="ED675" s="14"/>
      <c r="EE675" s="14"/>
      <c r="EF675" s="14"/>
      <c r="EG675" s="14"/>
      <c r="EH675" s="14"/>
      <c r="EI675" s="14"/>
      <c r="EJ675" s="14"/>
      <c r="EK675" s="14"/>
      <c r="EL675" s="14"/>
    </row>
    <row r="676" spans="2:142" x14ac:dyDescent="0.2">
      <c r="B676" s="900"/>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4"/>
      <c r="BB676" s="14"/>
      <c r="BC676" s="14"/>
      <c r="BD676" s="14"/>
      <c r="BE676" s="14"/>
      <c r="BF676" s="14"/>
      <c r="BG676" s="14"/>
      <c r="BH676" s="14"/>
      <c r="BI676" s="14"/>
      <c r="BJ676" s="14"/>
      <c r="BK676" s="14"/>
      <c r="BL676" s="14"/>
      <c r="BM676" s="14"/>
      <c r="BN676" s="14"/>
      <c r="BO676" s="14"/>
      <c r="BP676" s="14"/>
      <c r="BQ676" s="14"/>
      <c r="BR676" s="14"/>
      <c r="BS676" s="14"/>
      <c r="BT676" s="14"/>
      <c r="BU676" s="14"/>
      <c r="BV676" s="14"/>
      <c r="BW676" s="14"/>
      <c r="BX676" s="14"/>
      <c r="BY676" s="14"/>
      <c r="BZ676" s="14"/>
      <c r="CA676" s="14"/>
      <c r="CB676" s="14"/>
      <c r="CC676" s="14"/>
      <c r="CD676" s="14"/>
      <c r="CE676" s="14"/>
      <c r="CF676" s="14"/>
      <c r="CG676" s="14"/>
      <c r="CH676" s="14"/>
      <c r="CI676" s="14"/>
      <c r="CJ676" s="14"/>
      <c r="CK676" s="14"/>
      <c r="CL676" s="14"/>
      <c r="CM676" s="14"/>
      <c r="CN676" s="14"/>
      <c r="CO676" s="14"/>
      <c r="CP676" s="14"/>
      <c r="CQ676" s="14"/>
      <c r="CR676" s="14"/>
      <c r="CS676" s="14"/>
      <c r="CT676" s="14"/>
      <c r="CU676" s="14"/>
      <c r="CV676" s="14"/>
      <c r="CW676" s="14"/>
      <c r="CX676" s="14"/>
      <c r="CY676" s="14"/>
      <c r="CZ676" s="14"/>
      <c r="DA676" s="14"/>
      <c r="DB676" s="14"/>
      <c r="DC676" s="14"/>
      <c r="DD676" s="14"/>
      <c r="DE676" s="14"/>
      <c r="DF676" s="14"/>
      <c r="DG676" s="14"/>
      <c r="DH676" s="14"/>
      <c r="DI676" s="14"/>
      <c r="DJ676" s="14"/>
      <c r="DK676" s="14"/>
      <c r="DL676" s="14"/>
      <c r="DM676" s="14"/>
      <c r="DN676" s="14"/>
      <c r="DO676" s="14"/>
      <c r="DP676" s="14"/>
      <c r="DQ676" s="14"/>
      <c r="DR676" s="14"/>
      <c r="DS676" s="14"/>
      <c r="DT676" s="14"/>
      <c r="DU676" s="14"/>
      <c r="DV676" s="14"/>
      <c r="DW676" s="14"/>
      <c r="DX676" s="14"/>
      <c r="DY676" s="14"/>
      <c r="DZ676" s="14"/>
      <c r="EA676" s="14"/>
      <c r="EB676" s="14"/>
      <c r="EC676" s="14"/>
      <c r="ED676" s="14"/>
      <c r="EE676" s="14"/>
      <c r="EF676" s="14"/>
      <c r="EG676" s="14"/>
      <c r="EH676" s="14"/>
      <c r="EI676" s="14"/>
      <c r="EJ676" s="14"/>
      <c r="EK676" s="14"/>
      <c r="EL676" s="14"/>
    </row>
    <row r="677" spans="2:142" x14ac:dyDescent="0.2">
      <c r="B677" s="900"/>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4"/>
      <c r="BB677" s="14"/>
      <c r="BC677" s="14"/>
      <c r="BD677" s="14"/>
      <c r="BE677" s="14"/>
      <c r="BF677" s="14"/>
      <c r="BG677" s="14"/>
      <c r="BH677" s="14"/>
      <c r="BI677" s="14"/>
      <c r="BJ677" s="14"/>
      <c r="BK677" s="14"/>
      <c r="BL677" s="14"/>
      <c r="BM677" s="14"/>
      <c r="BN677" s="14"/>
      <c r="BO677" s="14"/>
      <c r="BP677" s="14"/>
      <c r="BQ677" s="14"/>
      <c r="BR677" s="14"/>
      <c r="BS677" s="14"/>
      <c r="BT677" s="14"/>
      <c r="BU677" s="14"/>
      <c r="BV677" s="14"/>
      <c r="BW677" s="14"/>
      <c r="BX677" s="14"/>
      <c r="BY677" s="14"/>
      <c r="BZ677" s="14"/>
      <c r="CA677" s="14"/>
      <c r="CB677" s="14"/>
      <c r="CC677" s="14"/>
      <c r="CD677" s="14"/>
      <c r="CE677" s="14"/>
      <c r="CF677" s="14"/>
      <c r="CG677" s="14"/>
      <c r="CH677" s="14"/>
      <c r="CI677" s="14"/>
      <c r="CJ677" s="14"/>
      <c r="CK677" s="14"/>
      <c r="CL677" s="14"/>
      <c r="CM677" s="14"/>
      <c r="CN677" s="14"/>
      <c r="CO677" s="14"/>
      <c r="CP677" s="14"/>
      <c r="CQ677" s="14"/>
      <c r="CR677" s="14"/>
      <c r="CS677" s="14"/>
      <c r="CT677" s="14"/>
      <c r="CU677" s="14"/>
      <c r="CV677" s="14"/>
      <c r="CW677" s="14"/>
      <c r="CX677" s="14"/>
      <c r="CY677" s="14"/>
      <c r="CZ677" s="14"/>
      <c r="DA677" s="14"/>
      <c r="DB677" s="14"/>
      <c r="DC677" s="14"/>
      <c r="DD677" s="14"/>
      <c r="DE677" s="14"/>
      <c r="DF677" s="14"/>
      <c r="DG677" s="14"/>
      <c r="DH677" s="14"/>
      <c r="DI677" s="14"/>
      <c r="DJ677" s="14"/>
      <c r="DK677" s="14"/>
      <c r="DL677" s="14"/>
      <c r="DM677" s="14"/>
      <c r="DN677" s="14"/>
      <c r="DO677" s="14"/>
      <c r="DP677" s="14"/>
      <c r="DQ677" s="14"/>
      <c r="DR677" s="14"/>
      <c r="DS677" s="14"/>
      <c r="DT677" s="14"/>
      <c r="DU677" s="14"/>
      <c r="DV677" s="14"/>
      <c r="DW677" s="14"/>
      <c r="DX677" s="14"/>
      <c r="DY677" s="14"/>
      <c r="DZ677" s="14"/>
      <c r="EA677" s="14"/>
      <c r="EB677" s="14"/>
      <c r="EC677" s="14"/>
      <c r="ED677" s="14"/>
      <c r="EE677" s="14"/>
      <c r="EF677" s="14"/>
      <c r="EG677" s="14"/>
      <c r="EH677" s="14"/>
      <c r="EI677" s="14"/>
      <c r="EJ677" s="14"/>
      <c r="EK677" s="14"/>
      <c r="EL677" s="14"/>
    </row>
    <row r="678" spans="2:142" x14ac:dyDescent="0.2">
      <c r="B678" s="900"/>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4"/>
      <c r="BB678" s="14"/>
      <c r="BC678" s="14"/>
      <c r="BD678" s="14"/>
      <c r="BE678" s="14"/>
      <c r="BF678" s="14"/>
      <c r="BG678" s="14"/>
      <c r="BH678" s="14"/>
      <c r="BI678" s="14"/>
      <c r="BJ678" s="14"/>
      <c r="BK678" s="14"/>
      <c r="BL678" s="14"/>
      <c r="BM678" s="14"/>
      <c r="BN678" s="14"/>
      <c r="BO678" s="14"/>
      <c r="BP678" s="14"/>
      <c r="BQ678" s="14"/>
      <c r="BR678" s="14"/>
      <c r="BS678" s="14"/>
      <c r="BT678" s="14"/>
      <c r="BU678" s="14"/>
      <c r="BV678" s="14"/>
      <c r="BW678" s="14"/>
      <c r="BX678" s="14"/>
      <c r="BY678" s="14"/>
      <c r="BZ678" s="14"/>
      <c r="CA678" s="14"/>
      <c r="CB678" s="14"/>
      <c r="CC678" s="14"/>
      <c r="CD678" s="14"/>
      <c r="CE678" s="14"/>
      <c r="CF678" s="14"/>
      <c r="CG678" s="14"/>
      <c r="CH678" s="14"/>
      <c r="CI678" s="14"/>
      <c r="CJ678" s="14"/>
      <c r="CK678" s="14"/>
      <c r="CL678" s="14"/>
      <c r="CM678" s="14"/>
      <c r="CN678" s="14"/>
      <c r="CO678" s="14"/>
      <c r="CP678" s="14"/>
      <c r="CQ678" s="14"/>
      <c r="CR678" s="14"/>
      <c r="CS678" s="14"/>
      <c r="CT678" s="14"/>
      <c r="CU678" s="14"/>
      <c r="CV678" s="14"/>
      <c r="CW678" s="14"/>
      <c r="CX678" s="14"/>
      <c r="CY678" s="14"/>
      <c r="CZ678" s="14"/>
      <c r="DA678" s="14"/>
      <c r="DB678" s="14"/>
      <c r="DC678" s="14"/>
      <c r="DD678" s="14"/>
      <c r="DE678" s="14"/>
      <c r="DF678" s="14"/>
      <c r="DG678" s="14"/>
      <c r="DH678" s="14"/>
      <c r="DI678" s="14"/>
      <c r="DJ678" s="14"/>
      <c r="DK678" s="14"/>
      <c r="DL678" s="14"/>
      <c r="DM678" s="14"/>
      <c r="DN678" s="14"/>
      <c r="DO678" s="14"/>
      <c r="DP678" s="14"/>
      <c r="DQ678" s="14"/>
      <c r="DR678" s="14"/>
      <c r="DS678" s="14"/>
      <c r="DT678" s="14"/>
      <c r="DU678" s="14"/>
      <c r="DV678" s="14"/>
      <c r="DW678" s="14"/>
      <c r="DX678" s="14"/>
      <c r="DY678" s="14"/>
      <c r="DZ678" s="14"/>
      <c r="EA678" s="14"/>
      <c r="EB678" s="14"/>
      <c r="EC678" s="14"/>
      <c r="ED678" s="14"/>
      <c r="EE678" s="14"/>
      <c r="EF678" s="14"/>
      <c r="EG678" s="14"/>
      <c r="EH678" s="14"/>
      <c r="EI678" s="14"/>
      <c r="EJ678" s="14"/>
      <c r="EK678" s="14"/>
      <c r="EL678" s="14"/>
    </row>
    <row r="679" spans="2:142" x14ac:dyDescent="0.2">
      <c r="B679" s="900"/>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4"/>
      <c r="BB679" s="14"/>
      <c r="BC679" s="14"/>
      <c r="BD679" s="14"/>
      <c r="BE679" s="14"/>
      <c r="BF679" s="14"/>
      <c r="BG679" s="14"/>
      <c r="BH679" s="14"/>
      <c r="BI679" s="14"/>
      <c r="BJ679" s="14"/>
      <c r="BK679" s="14"/>
      <c r="BL679" s="14"/>
      <c r="BM679" s="14"/>
      <c r="BN679" s="14"/>
      <c r="BO679" s="14"/>
      <c r="BP679" s="14"/>
      <c r="BQ679" s="14"/>
      <c r="BR679" s="14"/>
      <c r="BS679" s="14"/>
      <c r="BT679" s="14"/>
      <c r="BU679" s="14"/>
      <c r="BV679" s="14"/>
      <c r="BW679" s="14"/>
      <c r="BX679" s="14"/>
      <c r="BY679" s="14"/>
      <c r="BZ679" s="14"/>
      <c r="CA679" s="14"/>
      <c r="CB679" s="14"/>
      <c r="CC679" s="14"/>
      <c r="CD679" s="14"/>
      <c r="CE679" s="14"/>
      <c r="CF679" s="14"/>
      <c r="CG679" s="14"/>
      <c r="CH679" s="14"/>
      <c r="CI679" s="14"/>
      <c r="CJ679" s="14"/>
      <c r="CK679" s="14"/>
      <c r="CL679" s="14"/>
      <c r="CM679" s="14"/>
      <c r="CN679" s="14"/>
      <c r="CO679" s="14"/>
      <c r="CP679" s="14"/>
      <c r="CQ679" s="14"/>
      <c r="CR679" s="14"/>
      <c r="CS679" s="14"/>
      <c r="CT679" s="14"/>
      <c r="CU679" s="14"/>
      <c r="CV679" s="14"/>
      <c r="CW679" s="14"/>
      <c r="CX679" s="14"/>
      <c r="CY679" s="14"/>
      <c r="CZ679" s="14"/>
      <c r="DA679" s="14"/>
      <c r="DB679" s="14"/>
      <c r="DC679" s="14"/>
      <c r="DD679" s="14"/>
      <c r="DE679" s="14"/>
      <c r="DF679" s="14"/>
      <c r="DG679" s="14"/>
      <c r="DH679" s="14"/>
      <c r="DI679" s="14"/>
      <c r="DJ679" s="14"/>
      <c r="DK679" s="14"/>
      <c r="DL679" s="14"/>
      <c r="DM679" s="14"/>
      <c r="DN679" s="14"/>
      <c r="DO679" s="14"/>
      <c r="DP679" s="14"/>
      <c r="DQ679" s="14"/>
      <c r="DR679" s="14"/>
      <c r="DS679" s="14"/>
      <c r="DT679" s="14"/>
      <c r="DU679" s="14"/>
      <c r="DV679" s="14"/>
      <c r="DW679" s="14"/>
      <c r="DX679" s="14"/>
      <c r="DY679" s="14"/>
      <c r="DZ679" s="14"/>
      <c r="EA679" s="14"/>
      <c r="EB679" s="14"/>
      <c r="EC679" s="14"/>
      <c r="ED679" s="14"/>
      <c r="EE679" s="14"/>
      <c r="EF679" s="14"/>
      <c r="EG679" s="14"/>
      <c r="EH679" s="14"/>
      <c r="EI679" s="14"/>
      <c r="EJ679" s="14"/>
      <c r="EK679" s="14"/>
      <c r="EL679" s="14"/>
    </row>
    <row r="680" spans="2:142" x14ac:dyDescent="0.2">
      <c r="B680" s="900"/>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4"/>
      <c r="BB680" s="14"/>
      <c r="BC680" s="14"/>
      <c r="BD680" s="14"/>
      <c r="BE680" s="14"/>
      <c r="BF680" s="14"/>
      <c r="BG680" s="14"/>
      <c r="BH680" s="14"/>
      <c r="BI680" s="14"/>
      <c r="BJ680" s="14"/>
      <c r="BK680" s="14"/>
      <c r="BL680" s="14"/>
      <c r="BM680" s="14"/>
      <c r="BN680" s="14"/>
      <c r="BO680" s="14"/>
      <c r="BP680" s="14"/>
      <c r="BQ680" s="14"/>
      <c r="BR680" s="14"/>
      <c r="BS680" s="14"/>
      <c r="BT680" s="14"/>
      <c r="BU680" s="14"/>
      <c r="BV680" s="14"/>
      <c r="BW680" s="14"/>
      <c r="BX680" s="14"/>
      <c r="BY680" s="14"/>
      <c r="BZ680" s="14"/>
      <c r="CA680" s="14"/>
      <c r="CB680" s="14"/>
      <c r="CC680" s="14"/>
      <c r="CD680" s="14"/>
      <c r="CE680" s="14"/>
      <c r="CF680" s="14"/>
      <c r="CG680" s="14"/>
      <c r="CH680" s="14"/>
      <c r="CI680" s="14"/>
      <c r="CJ680" s="14"/>
      <c r="CK680" s="14"/>
      <c r="CL680" s="14"/>
      <c r="CM680" s="14"/>
      <c r="CN680" s="14"/>
      <c r="CO680" s="14"/>
      <c r="CP680" s="14"/>
      <c r="CQ680" s="14"/>
      <c r="CR680" s="14"/>
      <c r="CS680" s="14"/>
      <c r="CT680" s="14"/>
      <c r="CU680" s="14"/>
      <c r="CV680" s="14"/>
      <c r="CW680" s="14"/>
      <c r="CX680" s="14"/>
      <c r="CY680" s="14"/>
      <c r="CZ680" s="14"/>
      <c r="DA680" s="14"/>
      <c r="DB680" s="14"/>
      <c r="DC680" s="14"/>
      <c r="DD680" s="14"/>
      <c r="DE680" s="14"/>
      <c r="DF680" s="14"/>
      <c r="DG680" s="14"/>
      <c r="DH680" s="14"/>
      <c r="DI680" s="14"/>
      <c r="DJ680" s="14"/>
      <c r="DK680" s="14"/>
      <c r="DL680" s="14"/>
      <c r="DM680" s="14"/>
      <c r="DN680" s="14"/>
      <c r="DO680" s="14"/>
      <c r="DP680" s="14"/>
      <c r="DQ680" s="14"/>
      <c r="DR680" s="14"/>
      <c r="DS680" s="14"/>
      <c r="DT680" s="14"/>
      <c r="DU680" s="14"/>
      <c r="DV680" s="14"/>
      <c r="DW680" s="14"/>
      <c r="DX680" s="14"/>
      <c r="DY680" s="14"/>
      <c r="DZ680" s="14"/>
      <c r="EA680" s="14"/>
      <c r="EB680" s="14"/>
      <c r="EC680" s="14"/>
      <c r="ED680" s="14"/>
      <c r="EE680" s="14"/>
      <c r="EF680" s="14"/>
      <c r="EG680" s="14"/>
      <c r="EH680" s="14"/>
      <c r="EI680" s="14"/>
      <c r="EJ680" s="14"/>
      <c r="EK680" s="14"/>
      <c r="EL680" s="14"/>
    </row>
    <row r="681" spans="2:142" x14ac:dyDescent="0.2">
      <c r="B681" s="900"/>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4"/>
      <c r="BB681" s="14"/>
      <c r="BC681" s="14"/>
      <c r="BD681" s="14"/>
      <c r="BE681" s="14"/>
      <c r="BF681" s="14"/>
      <c r="BG681" s="14"/>
      <c r="BH681" s="14"/>
      <c r="BI681" s="14"/>
      <c r="BJ681" s="14"/>
      <c r="BK681" s="14"/>
      <c r="BL681" s="14"/>
      <c r="BM681" s="14"/>
      <c r="BN681" s="14"/>
      <c r="BO681" s="14"/>
      <c r="BP681" s="14"/>
      <c r="BQ681" s="14"/>
      <c r="BR681" s="14"/>
      <c r="BS681" s="14"/>
      <c r="BT681" s="14"/>
      <c r="BU681" s="14"/>
      <c r="BV681" s="14"/>
      <c r="BW681" s="14"/>
      <c r="BX681" s="14"/>
      <c r="BY681" s="14"/>
      <c r="BZ681" s="14"/>
      <c r="CA681" s="14"/>
      <c r="CB681" s="14"/>
      <c r="CC681" s="14"/>
      <c r="CD681" s="14"/>
      <c r="CE681" s="14"/>
      <c r="CF681" s="14"/>
      <c r="CG681" s="14"/>
      <c r="CH681" s="14"/>
      <c r="CI681" s="14"/>
      <c r="CJ681" s="14"/>
      <c r="CK681" s="14"/>
      <c r="CL681" s="14"/>
      <c r="CM681" s="14"/>
      <c r="CN681" s="14"/>
      <c r="CO681" s="14"/>
      <c r="CP681" s="14"/>
      <c r="CQ681" s="14"/>
      <c r="CR681" s="14"/>
      <c r="CS681" s="14"/>
      <c r="CT681" s="14"/>
      <c r="CU681" s="14"/>
      <c r="CV681" s="14"/>
      <c r="CW681" s="14"/>
      <c r="CX681" s="14"/>
      <c r="CY681" s="14"/>
      <c r="CZ681" s="14"/>
      <c r="DA681" s="14"/>
      <c r="DB681" s="14"/>
      <c r="DC681" s="14"/>
      <c r="DD681" s="14"/>
      <c r="DE681" s="14"/>
      <c r="DF681" s="14"/>
      <c r="DG681" s="14"/>
      <c r="DH681" s="14"/>
      <c r="DI681" s="14"/>
      <c r="DJ681" s="14"/>
      <c r="DK681" s="14"/>
      <c r="DL681" s="14"/>
      <c r="DM681" s="14"/>
      <c r="DN681" s="14"/>
      <c r="DO681" s="14"/>
      <c r="DP681" s="14"/>
      <c r="DQ681" s="14"/>
      <c r="DR681" s="14"/>
      <c r="DS681" s="14"/>
      <c r="DT681" s="14"/>
      <c r="DU681" s="14"/>
      <c r="DV681" s="14"/>
      <c r="DW681" s="14"/>
      <c r="DX681" s="14"/>
      <c r="DY681" s="14"/>
      <c r="DZ681" s="14"/>
      <c r="EA681" s="14"/>
      <c r="EB681" s="14"/>
      <c r="EC681" s="14"/>
      <c r="ED681" s="14"/>
      <c r="EE681" s="14"/>
      <c r="EF681" s="14"/>
      <c r="EG681" s="14"/>
      <c r="EH681" s="14"/>
      <c r="EI681" s="14"/>
      <c r="EJ681" s="14"/>
      <c r="EK681" s="14"/>
      <c r="EL681" s="14"/>
    </row>
    <row r="682" spans="2:142" x14ac:dyDescent="0.2">
      <c r="B682" s="900"/>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4"/>
      <c r="BB682" s="14"/>
      <c r="BC682" s="14"/>
      <c r="BD682" s="14"/>
      <c r="BE682" s="14"/>
      <c r="BF682" s="14"/>
      <c r="BG682" s="14"/>
      <c r="BH682" s="14"/>
      <c r="BI682" s="14"/>
      <c r="BJ682" s="14"/>
      <c r="BK682" s="14"/>
      <c r="BL682" s="14"/>
      <c r="BM682" s="14"/>
      <c r="BN682" s="14"/>
      <c r="BO682" s="14"/>
      <c r="BP682" s="14"/>
      <c r="BQ682" s="14"/>
      <c r="BR682" s="14"/>
      <c r="BS682" s="14"/>
      <c r="BT682" s="14"/>
      <c r="BU682" s="14"/>
      <c r="BV682" s="14"/>
      <c r="BW682" s="14"/>
      <c r="BX682" s="14"/>
      <c r="BY682" s="14"/>
      <c r="BZ682" s="14"/>
      <c r="CA682" s="14"/>
      <c r="CB682" s="14"/>
      <c r="CC682" s="14"/>
      <c r="CD682" s="14"/>
      <c r="CE682" s="14"/>
      <c r="CF682" s="14"/>
      <c r="CG682" s="14"/>
      <c r="CH682" s="14"/>
      <c r="CI682" s="14"/>
      <c r="CJ682" s="14"/>
      <c r="CK682" s="14"/>
      <c r="CL682" s="14"/>
      <c r="CM682" s="14"/>
      <c r="CN682" s="14"/>
      <c r="CO682" s="14"/>
      <c r="CP682" s="14"/>
      <c r="CQ682" s="14"/>
      <c r="CR682" s="14"/>
      <c r="CS682" s="14"/>
      <c r="CT682" s="14"/>
      <c r="CU682" s="14"/>
      <c r="CV682" s="14"/>
      <c r="CW682" s="14"/>
      <c r="CX682" s="14"/>
      <c r="CY682" s="14"/>
      <c r="CZ682" s="14"/>
      <c r="DA682" s="14"/>
      <c r="DB682" s="14"/>
      <c r="DC682" s="14"/>
      <c r="DD682" s="14"/>
      <c r="DE682" s="14"/>
      <c r="DF682" s="14"/>
      <c r="DG682" s="14"/>
      <c r="DH682" s="14"/>
      <c r="DI682" s="14"/>
      <c r="DJ682" s="14"/>
      <c r="DK682" s="14"/>
      <c r="DL682" s="14"/>
      <c r="DM682" s="14"/>
      <c r="DN682" s="14"/>
      <c r="DO682" s="14"/>
      <c r="DP682" s="14"/>
      <c r="DQ682" s="14"/>
      <c r="DR682" s="14"/>
      <c r="DS682" s="14"/>
      <c r="DT682" s="14"/>
      <c r="DU682" s="14"/>
      <c r="DV682" s="14"/>
      <c r="DW682" s="14"/>
      <c r="DX682" s="14"/>
      <c r="DY682" s="14"/>
      <c r="DZ682" s="14"/>
      <c r="EA682" s="14"/>
      <c r="EB682" s="14"/>
      <c r="EC682" s="14"/>
      <c r="ED682" s="14"/>
      <c r="EE682" s="14"/>
      <c r="EF682" s="14"/>
      <c r="EG682" s="14"/>
      <c r="EH682" s="14"/>
      <c r="EI682" s="14"/>
      <c r="EJ682" s="14"/>
      <c r="EK682" s="14"/>
      <c r="EL682" s="14"/>
    </row>
    <row r="683" spans="2:142" x14ac:dyDescent="0.2">
      <c r="B683" s="900"/>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4"/>
      <c r="BB683" s="14"/>
      <c r="BC683" s="14"/>
      <c r="BD683" s="14"/>
      <c r="BE683" s="14"/>
      <c r="BF683" s="14"/>
      <c r="BG683" s="14"/>
      <c r="BH683" s="14"/>
      <c r="BI683" s="14"/>
      <c r="BJ683" s="14"/>
      <c r="BK683" s="14"/>
      <c r="BL683" s="14"/>
      <c r="BM683" s="14"/>
      <c r="BN683" s="14"/>
      <c r="BO683" s="14"/>
      <c r="BP683" s="14"/>
      <c r="BQ683" s="14"/>
      <c r="BR683" s="14"/>
      <c r="BS683" s="14"/>
      <c r="BT683" s="14"/>
      <c r="BU683" s="14"/>
      <c r="BV683" s="14"/>
      <c r="BW683" s="14"/>
      <c r="BX683" s="14"/>
      <c r="BY683" s="14"/>
      <c r="BZ683" s="14"/>
      <c r="CA683" s="14"/>
      <c r="CB683" s="14"/>
      <c r="CC683" s="14"/>
      <c r="CD683" s="14"/>
      <c r="CE683" s="14"/>
      <c r="CF683" s="14"/>
      <c r="CG683" s="14"/>
      <c r="CH683" s="14"/>
      <c r="CI683" s="14"/>
      <c r="CJ683" s="14"/>
      <c r="CK683" s="14"/>
      <c r="CL683" s="14"/>
      <c r="CM683" s="14"/>
      <c r="CN683" s="14"/>
      <c r="CO683" s="14"/>
      <c r="CP683" s="14"/>
      <c r="CQ683" s="14"/>
      <c r="CR683" s="14"/>
      <c r="CS683" s="14"/>
      <c r="CT683" s="14"/>
      <c r="CU683" s="14"/>
      <c r="CV683" s="14"/>
      <c r="CW683" s="14"/>
      <c r="CX683" s="14"/>
      <c r="CY683" s="14"/>
      <c r="CZ683" s="14"/>
      <c r="DA683" s="14"/>
      <c r="DB683" s="14"/>
      <c r="DC683" s="14"/>
      <c r="DD683" s="14"/>
      <c r="DE683" s="14"/>
      <c r="DF683" s="14"/>
      <c r="DG683" s="14"/>
      <c r="DH683" s="14"/>
      <c r="DI683" s="14"/>
      <c r="DJ683" s="14"/>
      <c r="DK683" s="14"/>
      <c r="DL683" s="14"/>
      <c r="DM683" s="14"/>
      <c r="DN683" s="14"/>
      <c r="DO683" s="14"/>
      <c r="DP683" s="14"/>
      <c r="DQ683" s="14"/>
      <c r="DR683" s="14"/>
      <c r="DS683" s="14"/>
      <c r="DT683" s="14"/>
      <c r="DU683" s="14"/>
      <c r="DV683" s="14"/>
      <c r="DW683" s="14"/>
      <c r="DX683" s="14"/>
      <c r="DY683" s="14"/>
      <c r="DZ683" s="14"/>
      <c r="EA683" s="14"/>
      <c r="EB683" s="14"/>
      <c r="EC683" s="14"/>
      <c r="ED683" s="14"/>
      <c r="EE683" s="14"/>
      <c r="EF683" s="14"/>
      <c r="EG683" s="14"/>
      <c r="EH683" s="14"/>
      <c r="EI683" s="14"/>
      <c r="EJ683" s="14"/>
      <c r="EK683" s="14"/>
      <c r="EL683" s="14"/>
    </row>
    <row r="684" spans="2:142" x14ac:dyDescent="0.2">
      <c r="B684" s="900"/>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4"/>
      <c r="BB684" s="14"/>
      <c r="BC684" s="14"/>
      <c r="BD684" s="14"/>
      <c r="BE684" s="14"/>
      <c r="BF684" s="14"/>
      <c r="BG684" s="14"/>
      <c r="BH684" s="14"/>
      <c r="BI684" s="14"/>
      <c r="BJ684" s="14"/>
      <c r="BK684" s="14"/>
      <c r="BL684" s="14"/>
      <c r="BM684" s="14"/>
      <c r="BN684" s="14"/>
      <c r="BO684" s="14"/>
      <c r="BP684" s="14"/>
      <c r="BQ684" s="14"/>
      <c r="BR684" s="14"/>
      <c r="BS684" s="14"/>
      <c r="BT684" s="14"/>
      <c r="BU684" s="14"/>
      <c r="BV684" s="14"/>
      <c r="BW684" s="14"/>
      <c r="BX684" s="14"/>
      <c r="BY684" s="14"/>
      <c r="BZ684" s="14"/>
      <c r="CA684" s="14"/>
      <c r="CB684" s="14"/>
      <c r="CC684" s="14"/>
      <c r="CD684" s="14"/>
      <c r="CE684" s="14"/>
      <c r="CF684" s="14"/>
      <c r="CG684" s="14"/>
      <c r="CH684" s="14"/>
      <c r="CI684" s="14"/>
      <c r="CJ684" s="14"/>
      <c r="CK684" s="14"/>
      <c r="CL684" s="14"/>
      <c r="CM684" s="14"/>
      <c r="CN684" s="14"/>
      <c r="CO684" s="14"/>
      <c r="CP684" s="14"/>
      <c r="CQ684" s="14"/>
      <c r="CR684" s="14"/>
      <c r="CS684" s="14"/>
      <c r="CT684" s="14"/>
      <c r="CU684" s="14"/>
      <c r="CV684" s="14"/>
      <c r="CW684" s="14"/>
      <c r="CX684" s="14"/>
      <c r="CY684" s="14"/>
      <c r="CZ684" s="14"/>
      <c r="DA684" s="14"/>
      <c r="DB684" s="14"/>
      <c r="DC684" s="14"/>
      <c r="DD684" s="14"/>
      <c r="DE684" s="14"/>
      <c r="DF684" s="14"/>
      <c r="DG684" s="14"/>
      <c r="DH684" s="14"/>
      <c r="DI684" s="14"/>
      <c r="DJ684" s="14"/>
      <c r="DK684" s="14"/>
      <c r="DL684" s="14"/>
      <c r="DM684" s="14"/>
      <c r="DN684" s="14"/>
      <c r="DO684" s="14"/>
      <c r="DP684" s="14"/>
      <c r="DQ684" s="14"/>
      <c r="DR684" s="14"/>
      <c r="DS684" s="14"/>
      <c r="DT684" s="14"/>
      <c r="DU684" s="14"/>
      <c r="DV684" s="14"/>
      <c r="DW684" s="14"/>
      <c r="DX684" s="14"/>
      <c r="DY684" s="14"/>
      <c r="DZ684" s="14"/>
      <c r="EA684" s="14"/>
      <c r="EB684" s="14"/>
      <c r="EC684" s="14"/>
      <c r="ED684" s="14"/>
      <c r="EE684" s="14"/>
      <c r="EF684" s="14"/>
      <c r="EG684" s="14"/>
      <c r="EH684" s="14"/>
      <c r="EI684" s="14"/>
      <c r="EJ684" s="14"/>
      <c r="EK684" s="14"/>
      <c r="EL684" s="14"/>
    </row>
    <row r="685" spans="2:142" x14ac:dyDescent="0.2">
      <c r="B685" s="900"/>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4"/>
      <c r="BB685" s="14"/>
      <c r="BC685" s="14"/>
      <c r="BD685" s="14"/>
      <c r="BE685" s="14"/>
      <c r="BF685" s="14"/>
      <c r="BG685" s="14"/>
      <c r="BH685" s="14"/>
      <c r="BI685" s="14"/>
      <c r="BJ685" s="14"/>
      <c r="BK685" s="14"/>
      <c r="BL685" s="14"/>
      <c r="BM685" s="14"/>
      <c r="BN685" s="14"/>
      <c r="BO685" s="14"/>
      <c r="BP685" s="14"/>
      <c r="BQ685" s="14"/>
      <c r="BR685" s="14"/>
      <c r="BS685" s="14"/>
      <c r="BT685" s="14"/>
      <c r="BU685" s="14"/>
      <c r="BV685" s="14"/>
      <c r="BW685" s="14"/>
      <c r="BX685" s="14"/>
      <c r="BY685" s="14"/>
      <c r="BZ685" s="14"/>
      <c r="CA685" s="14"/>
      <c r="CB685" s="14"/>
      <c r="CC685" s="14"/>
      <c r="CD685" s="14"/>
      <c r="CE685" s="14"/>
      <c r="CF685" s="14"/>
      <c r="CG685" s="14"/>
      <c r="CH685" s="14"/>
      <c r="CI685" s="14"/>
      <c r="CJ685" s="14"/>
      <c r="CK685" s="14"/>
      <c r="CL685" s="14"/>
      <c r="CM685" s="14"/>
      <c r="CN685" s="14"/>
      <c r="CO685" s="14"/>
      <c r="CP685" s="14"/>
      <c r="CQ685" s="14"/>
      <c r="CR685" s="14"/>
      <c r="CS685" s="14"/>
      <c r="CT685" s="14"/>
      <c r="CU685" s="14"/>
      <c r="CV685" s="14"/>
      <c r="CW685" s="14"/>
      <c r="CX685" s="14"/>
      <c r="CY685" s="14"/>
      <c r="CZ685" s="14"/>
      <c r="DA685" s="14"/>
      <c r="DB685" s="14"/>
      <c r="DC685" s="14"/>
      <c r="DD685" s="14"/>
      <c r="DE685" s="14"/>
      <c r="DF685" s="14"/>
      <c r="DG685" s="14"/>
      <c r="DH685" s="14"/>
      <c r="DI685" s="14"/>
      <c r="DJ685" s="14"/>
      <c r="DK685" s="14"/>
      <c r="DL685" s="14"/>
      <c r="DM685" s="14"/>
      <c r="DN685" s="14"/>
      <c r="DO685" s="14"/>
      <c r="DP685" s="14"/>
      <c r="DQ685" s="14"/>
      <c r="DR685" s="14"/>
      <c r="DS685" s="14"/>
      <c r="DT685" s="14"/>
      <c r="DU685" s="14"/>
      <c r="DV685" s="14"/>
      <c r="DW685" s="14"/>
      <c r="DX685" s="14"/>
      <c r="DY685" s="14"/>
      <c r="DZ685" s="14"/>
      <c r="EA685" s="14"/>
      <c r="EB685" s="14"/>
      <c r="EC685" s="14"/>
      <c r="ED685" s="14"/>
      <c r="EE685" s="14"/>
      <c r="EF685" s="14"/>
      <c r="EG685" s="14"/>
      <c r="EH685" s="14"/>
      <c r="EI685" s="14"/>
      <c r="EJ685" s="14"/>
      <c r="EK685" s="14"/>
      <c r="EL685" s="14"/>
    </row>
    <row r="686" spans="2:142" x14ac:dyDescent="0.2">
      <c r="B686" s="900"/>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4"/>
      <c r="BB686" s="14"/>
      <c r="BC686" s="14"/>
      <c r="BD686" s="14"/>
      <c r="BE686" s="14"/>
      <c r="BF686" s="14"/>
      <c r="BG686" s="14"/>
      <c r="BH686" s="14"/>
      <c r="BI686" s="14"/>
      <c r="BJ686" s="14"/>
      <c r="BK686" s="14"/>
      <c r="BL686" s="14"/>
      <c r="BM686" s="14"/>
      <c r="BN686" s="14"/>
      <c r="BO686" s="14"/>
      <c r="BP686" s="14"/>
      <c r="BQ686" s="14"/>
      <c r="BR686" s="14"/>
      <c r="BS686" s="14"/>
      <c r="BT686" s="14"/>
      <c r="BU686" s="14"/>
      <c r="BV686" s="14"/>
      <c r="BW686" s="14"/>
      <c r="BX686" s="14"/>
      <c r="BY686" s="14"/>
      <c r="BZ686" s="14"/>
      <c r="CA686" s="14"/>
      <c r="CB686" s="14"/>
      <c r="CC686" s="14"/>
      <c r="CD686" s="14"/>
      <c r="CE686" s="14"/>
      <c r="CF686" s="14"/>
      <c r="CG686" s="14"/>
      <c r="CH686" s="14"/>
      <c r="CI686" s="14"/>
      <c r="CJ686" s="14"/>
      <c r="CK686" s="14"/>
      <c r="CL686" s="14"/>
      <c r="CM686" s="14"/>
      <c r="CN686" s="14"/>
      <c r="CO686" s="14"/>
      <c r="CP686" s="14"/>
      <c r="CQ686" s="14"/>
      <c r="CR686" s="14"/>
      <c r="CS686" s="14"/>
      <c r="CT686" s="14"/>
      <c r="CU686" s="14"/>
      <c r="CV686" s="14"/>
      <c r="CW686" s="14"/>
      <c r="CX686" s="14"/>
      <c r="CY686" s="14"/>
      <c r="CZ686" s="14"/>
      <c r="DA686" s="14"/>
      <c r="DB686" s="14"/>
      <c r="DC686" s="14"/>
      <c r="DD686" s="14"/>
      <c r="DE686" s="14"/>
      <c r="DF686" s="14"/>
      <c r="DG686" s="14"/>
      <c r="DH686" s="14"/>
      <c r="DI686" s="14"/>
      <c r="DJ686" s="14"/>
      <c r="DK686" s="14"/>
      <c r="DL686" s="14"/>
      <c r="DM686" s="14"/>
      <c r="DN686" s="14"/>
      <c r="DO686" s="14"/>
      <c r="DP686" s="14"/>
      <c r="DQ686" s="14"/>
      <c r="DR686" s="14"/>
      <c r="DS686" s="14"/>
      <c r="DT686" s="14"/>
      <c r="DU686" s="14"/>
      <c r="DV686" s="14"/>
      <c r="DW686" s="14"/>
      <c r="DX686" s="14"/>
      <c r="DY686" s="14"/>
      <c r="DZ686" s="14"/>
      <c r="EA686" s="14"/>
      <c r="EB686" s="14"/>
      <c r="EC686" s="14"/>
      <c r="ED686" s="14"/>
      <c r="EE686" s="14"/>
      <c r="EF686" s="14"/>
      <c r="EG686" s="14"/>
      <c r="EH686" s="14"/>
      <c r="EI686" s="14"/>
      <c r="EJ686" s="14"/>
      <c r="EK686" s="14"/>
      <c r="EL686" s="14"/>
    </row>
    <row r="687" spans="2:142" x14ac:dyDescent="0.2">
      <c r="B687" s="900"/>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4"/>
      <c r="BB687" s="14"/>
      <c r="BC687" s="14"/>
      <c r="BD687" s="14"/>
      <c r="BE687" s="14"/>
      <c r="BF687" s="14"/>
      <c r="BG687" s="14"/>
      <c r="BH687" s="14"/>
      <c r="BI687" s="14"/>
      <c r="BJ687" s="14"/>
      <c r="BK687" s="14"/>
      <c r="BL687" s="14"/>
      <c r="BM687" s="14"/>
      <c r="BN687" s="14"/>
      <c r="BO687" s="14"/>
      <c r="BP687" s="14"/>
      <c r="BQ687" s="14"/>
      <c r="BR687" s="14"/>
      <c r="BS687" s="14"/>
      <c r="BT687" s="14"/>
      <c r="BU687" s="14"/>
      <c r="BV687" s="14"/>
      <c r="BW687" s="14"/>
      <c r="BX687" s="14"/>
      <c r="BY687" s="14"/>
      <c r="BZ687" s="14"/>
      <c r="CA687" s="14"/>
      <c r="CB687" s="14"/>
      <c r="CC687" s="14"/>
      <c r="CD687" s="14"/>
      <c r="CE687" s="14"/>
      <c r="CF687" s="14"/>
      <c r="CG687" s="14"/>
      <c r="CH687" s="14"/>
      <c r="CI687" s="14"/>
      <c r="CJ687" s="14"/>
      <c r="CK687" s="14"/>
      <c r="CL687" s="14"/>
      <c r="CM687" s="14"/>
      <c r="CN687" s="14"/>
      <c r="CO687" s="14"/>
      <c r="CP687" s="14"/>
      <c r="CQ687" s="14"/>
      <c r="CR687" s="14"/>
      <c r="CS687" s="14"/>
      <c r="CT687" s="14"/>
      <c r="CU687" s="14"/>
      <c r="CV687" s="14"/>
      <c r="CW687" s="14"/>
      <c r="CX687" s="14"/>
      <c r="CY687" s="14"/>
      <c r="CZ687" s="14"/>
      <c r="DA687" s="14"/>
      <c r="DB687" s="14"/>
      <c r="DC687" s="14"/>
      <c r="DD687" s="14"/>
      <c r="DE687" s="14"/>
      <c r="DF687" s="14"/>
      <c r="DG687" s="14"/>
      <c r="DH687" s="14"/>
      <c r="DI687" s="14"/>
      <c r="DJ687" s="14"/>
      <c r="DK687" s="14"/>
      <c r="DL687" s="14"/>
      <c r="DM687" s="14"/>
      <c r="DN687" s="14"/>
      <c r="DO687" s="14"/>
      <c r="DP687" s="14"/>
      <c r="DQ687" s="14"/>
      <c r="DR687" s="14"/>
      <c r="DS687" s="14"/>
      <c r="DT687" s="14"/>
      <c r="DU687" s="14"/>
      <c r="DV687" s="14"/>
      <c r="DW687" s="14"/>
      <c r="DX687" s="14"/>
      <c r="DY687" s="14"/>
      <c r="DZ687" s="14"/>
      <c r="EA687" s="14"/>
      <c r="EB687" s="14"/>
      <c r="EC687" s="14"/>
      <c r="ED687" s="14"/>
      <c r="EE687" s="14"/>
      <c r="EF687" s="14"/>
      <c r="EG687" s="14"/>
      <c r="EH687" s="14"/>
      <c r="EI687" s="14"/>
      <c r="EJ687" s="14"/>
      <c r="EK687" s="14"/>
      <c r="EL687" s="14"/>
    </row>
    <row r="688" spans="2:142" x14ac:dyDescent="0.2">
      <c r="B688" s="900"/>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4"/>
      <c r="BB688" s="14"/>
      <c r="BC688" s="14"/>
      <c r="BD688" s="14"/>
      <c r="BE688" s="14"/>
      <c r="BF688" s="14"/>
      <c r="BG688" s="14"/>
      <c r="BH688" s="14"/>
      <c r="BI688" s="14"/>
      <c r="BJ688" s="14"/>
      <c r="BK688" s="14"/>
      <c r="BL688" s="14"/>
      <c r="BM688" s="14"/>
      <c r="BN688" s="14"/>
      <c r="BO688" s="14"/>
      <c r="BP688" s="14"/>
      <c r="BQ688" s="14"/>
      <c r="BR688" s="14"/>
      <c r="BS688" s="14"/>
      <c r="BT688" s="14"/>
      <c r="BU688" s="14"/>
      <c r="BV688" s="14"/>
      <c r="BW688" s="14"/>
      <c r="BX688" s="14"/>
      <c r="BY688" s="14"/>
      <c r="BZ688" s="14"/>
      <c r="CA688" s="14"/>
      <c r="CB688" s="14"/>
      <c r="CC688" s="14"/>
      <c r="CD688" s="14"/>
      <c r="CE688" s="14"/>
      <c r="CF688" s="14"/>
      <c r="CG688" s="14"/>
      <c r="CH688" s="14"/>
      <c r="CI688" s="14"/>
      <c r="CJ688" s="14"/>
      <c r="CK688" s="14"/>
      <c r="CL688" s="14"/>
      <c r="CM688" s="14"/>
      <c r="CN688" s="14"/>
      <c r="CO688" s="14"/>
      <c r="CP688" s="14"/>
      <c r="CQ688" s="14"/>
      <c r="CR688" s="14"/>
      <c r="CS688" s="14"/>
      <c r="CT688" s="14"/>
      <c r="CU688" s="14"/>
      <c r="CV688" s="14"/>
      <c r="CW688" s="14"/>
      <c r="CX688" s="14"/>
      <c r="CY688" s="14"/>
      <c r="CZ688" s="14"/>
      <c r="DA688" s="14"/>
      <c r="DB688" s="14"/>
      <c r="DC688" s="14"/>
      <c r="DD688" s="14"/>
      <c r="DE688" s="14"/>
      <c r="DF688" s="14"/>
      <c r="DG688" s="14"/>
      <c r="DH688" s="14"/>
      <c r="DI688" s="14"/>
      <c r="DJ688" s="14"/>
      <c r="DK688" s="14"/>
      <c r="DL688" s="14"/>
      <c r="DM688" s="14"/>
      <c r="DN688" s="14"/>
      <c r="DO688" s="14"/>
      <c r="DP688" s="14"/>
      <c r="DQ688" s="14"/>
      <c r="DR688" s="14"/>
      <c r="DS688" s="14"/>
      <c r="DT688" s="14"/>
      <c r="DU688" s="14"/>
      <c r="DV688" s="14"/>
      <c r="DW688" s="14"/>
      <c r="DX688" s="14"/>
      <c r="DY688" s="14"/>
      <c r="DZ688" s="14"/>
      <c r="EA688" s="14"/>
      <c r="EB688" s="14"/>
      <c r="EC688" s="14"/>
      <c r="ED688" s="14"/>
      <c r="EE688" s="14"/>
      <c r="EF688" s="14"/>
      <c r="EG688" s="14"/>
      <c r="EH688" s="14"/>
      <c r="EI688" s="14"/>
      <c r="EJ688" s="14"/>
      <c r="EK688" s="14"/>
      <c r="EL688" s="14"/>
    </row>
    <row r="689" spans="2:142" x14ac:dyDescent="0.2">
      <c r="B689" s="900"/>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4"/>
      <c r="BB689" s="14"/>
      <c r="BC689" s="14"/>
      <c r="BD689" s="14"/>
      <c r="BE689" s="14"/>
      <c r="BF689" s="14"/>
      <c r="BG689" s="14"/>
      <c r="BH689" s="14"/>
      <c r="BI689" s="14"/>
      <c r="BJ689" s="14"/>
      <c r="BK689" s="14"/>
      <c r="BL689" s="14"/>
      <c r="BM689" s="14"/>
      <c r="BN689" s="14"/>
      <c r="BO689" s="14"/>
      <c r="BP689" s="14"/>
      <c r="BQ689" s="14"/>
      <c r="BR689" s="14"/>
      <c r="BS689" s="14"/>
      <c r="BT689" s="14"/>
      <c r="BU689" s="14"/>
      <c r="BV689" s="14"/>
      <c r="BW689" s="14"/>
      <c r="BX689" s="14"/>
      <c r="BY689" s="14"/>
      <c r="BZ689" s="14"/>
      <c r="CA689" s="14"/>
      <c r="CB689" s="14"/>
      <c r="CC689" s="14"/>
      <c r="CD689" s="14"/>
      <c r="CE689" s="14"/>
      <c r="CF689" s="14"/>
      <c r="CG689" s="14"/>
      <c r="CH689" s="14"/>
      <c r="CI689" s="14"/>
      <c r="CJ689" s="14"/>
      <c r="CK689" s="14"/>
      <c r="CL689" s="14"/>
      <c r="CM689" s="14"/>
      <c r="CN689" s="14"/>
      <c r="CO689" s="14"/>
      <c r="CP689" s="14"/>
      <c r="CQ689" s="14"/>
      <c r="CR689" s="14"/>
      <c r="CS689" s="14"/>
      <c r="CT689" s="14"/>
      <c r="CU689" s="14"/>
      <c r="CV689" s="14"/>
      <c r="CW689" s="14"/>
      <c r="CX689" s="14"/>
      <c r="CY689" s="14"/>
      <c r="CZ689" s="14"/>
      <c r="DA689" s="14"/>
      <c r="DB689" s="14"/>
      <c r="DC689" s="14"/>
      <c r="DD689" s="14"/>
      <c r="DE689" s="14"/>
      <c r="DF689" s="14"/>
      <c r="DG689" s="14"/>
      <c r="DH689" s="14"/>
      <c r="DI689" s="14"/>
      <c r="DJ689" s="14"/>
      <c r="DK689" s="14"/>
      <c r="DL689" s="14"/>
      <c r="DM689" s="14"/>
      <c r="DN689" s="14"/>
      <c r="DO689" s="14"/>
      <c r="DP689" s="14"/>
      <c r="DQ689" s="14"/>
      <c r="DR689" s="14"/>
      <c r="DS689" s="14"/>
      <c r="DT689" s="14"/>
      <c r="DU689" s="14"/>
      <c r="DV689" s="14"/>
      <c r="DW689" s="14"/>
      <c r="DX689" s="14"/>
      <c r="DY689" s="14"/>
      <c r="DZ689" s="14"/>
      <c r="EA689" s="14"/>
      <c r="EB689" s="14"/>
      <c r="EC689" s="14"/>
      <c r="ED689" s="14"/>
      <c r="EE689" s="14"/>
      <c r="EF689" s="14"/>
      <c r="EG689" s="14"/>
      <c r="EH689" s="14"/>
      <c r="EI689" s="14"/>
      <c r="EJ689" s="14"/>
      <c r="EK689" s="14"/>
      <c r="EL689" s="14"/>
    </row>
    <row r="690" spans="2:142" x14ac:dyDescent="0.2">
      <c r="B690" s="900"/>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4"/>
      <c r="BB690" s="14"/>
      <c r="BC690" s="14"/>
      <c r="BD690" s="14"/>
      <c r="BE690" s="14"/>
      <c r="BF690" s="14"/>
      <c r="BG690" s="14"/>
      <c r="BH690" s="14"/>
      <c r="BI690" s="14"/>
      <c r="BJ690" s="14"/>
      <c r="BK690" s="14"/>
      <c r="BL690" s="14"/>
      <c r="BM690" s="14"/>
      <c r="BN690" s="14"/>
      <c r="BO690" s="14"/>
      <c r="BP690" s="14"/>
      <c r="BQ690" s="14"/>
      <c r="BR690" s="14"/>
      <c r="BS690" s="14"/>
      <c r="BT690" s="14"/>
      <c r="BU690" s="14"/>
      <c r="BV690" s="14"/>
      <c r="BW690" s="14"/>
      <c r="BX690" s="14"/>
      <c r="BY690" s="14"/>
      <c r="BZ690" s="14"/>
      <c r="CA690" s="14"/>
      <c r="CB690" s="14"/>
      <c r="CC690" s="14"/>
      <c r="CD690" s="14"/>
      <c r="CE690" s="14"/>
      <c r="CF690" s="14"/>
      <c r="CG690" s="14"/>
      <c r="CH690" s="14"/>
      <c r="CI690" s="14"/>
      <c r="CJ690" s="14"/>
      <c r="CK690" s="14"/>
      <c r="CL690" s="14"/>
      <c r="CM690" s="14"/>
      <c r="CN690" s="14"/>
      <c r="CO690" s="14"/>
      <c r="CP690" s="14"/>
      <c r="CQ690" s="14"/>
      <c r="CR690" s="14"/>
      <c r="CS690" s="14"/>
      <c r="CT690" s="14"/>
      <c r="CU690" s="14"/>
      <c r="CV690" s="14"/>
      <c r="CW690" s="14"/>
      <c r="CX690" s="14"/>
      <c r="CY690" s="14"/>
      <c r="CZ690" s="14"/>
      <c r="DA690" s="14"/>
      <c r="DB690" s="14"/>
      <c r="DC690" s="14"/>
      <c r="DD690" s="14"/>
      <c r="DE690" s="14"/>
      <c r="DF690" s="14"/>
      <c r="DG690" s="14"/>
      <c r="DH690" s="14"/>
      <c r="DI690" s="14"/>
      <c r="DJ690" s="14"/>
      <c r="DK690" s="14"/>
      <c r="DL690" s="14"/>
      <c r="DM690" s="14"/>
      <c r="DN690" s="14"/>
      <c r="DO690" s="14"/>
      <c r="DP690" s="14"/>
      <c r="DQ690" s="14"/>
      <c r="DR690" s="14"/>
      <c r="DS690" s="14"/>
      <c r="DT690" s="14"/>
      <c r="DU690" s="14"/>
      <c r="DV690" s="14"/>
      <c r="DW690" s="14"/>
      <c r="DX690" s="14"/>
      <c r="DY690" s="14"/>
      <c r="DZ690" s="14"/>
      <c r="EA690" s="14"/>
      <c r="EB690" s="14"/>
      <c r="EC690" s="14"/>
      <c r="ED690" s="14"/>
      <c r="EE690" s="14"/>
      <c r="EF690" s="14"/>
      <c r="EG690" s="14"/>
      <c r="EH690" s="14"/>
      <c r="EI690" s="14"/>
      <c r="EJ690" s="14"/>
      <c r="EK690" s="14"/>
      <c r="EL690" s="14"/>
    </row>
    <row r="691" spans="2:142" x14ac:dyDescent="0.2">
      <c r="B691" s="900"/>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4"/>
      <c r="BB691" s="14"/>
      <c r="BC691" s="14"/>
      <c r="BD691" s="14"/>
      <c r="BE691" s="14"/>
      <c r="BF691" s="14"/>
      <c r="BG691" s="14"/>
      <c r="BH691" s="14"/>
      <c r="BI691" s="14"/>
      <c r="BJ691" s="14"/>
      <c r="BK691" s="14"/>
      <c r="BL691" s="14"/>
      <c r="BM691" s="14"/>
      <c r="BN691" s="14"/>
      <c r="BO691" s="14"/>
      <c r="BP691" s="14"/>
      <c r="BQ691" s="14"/>
      <c r="BR691" s="14"/>
      <c r="BS691" s="14"/>
      <c r="BT691" s="14"/>
      <c r="BU691" s="14"/>
      <c r="BV691" s="14"/>
      <c r="BW691" s="14"/>
      <c r="BX691" s="14"/>
      <c r="BY691" s="14"/>
      <c r="BZ691" s="14"/>
      <c r="CA691" s="14"/>
      <c r="CB691" s="14"/>
      <c r="CC691" s="14"/>
      <c r="CD691" s="14"/>
      <c r="CE691" s="14"/>
      <c r="CF691" s="14"/>
      <c r="CG691" s="14"/>
      <c r="CH691" s="14"/>
      <c r="CI691" s="14"/>
      <c r="CJ691" s="14"/>
      <c r="CK691" s="14"/>
      <c r="CL691" s="14"/>
      <c r="CM691" s="14"/>
      <c r="CN691" s="14"/>
      <c r="CO691" s="14"/>
      <c r="CP691" s="14"/>
      <c r="CQ691" s="14"/>
      <c r="CR691" s="14"/>
      <c r="CS691" s="14"/>
      <c r="CT691" s="14"/>
      <c r="CU691" s="14"/>
      <c r="CV691" s="14"/>
      <c r="CW691" s="14"/>
      <c r="CX691" s="14"/>
      <c r="CY691" s="14"/>
      <c r="CZ691" s="14"/>
      <c r="DA691" s="14"/>
      <c r="DB691" s="14"/>
      <c r="DC691" s="14"/>
      <c r="DD691" s="14"/>
      <c r="DE691" s="14"/>
      <c r="DF691" s="14"/>
      <c r="DG691" s="14"/>
      <c r="DH691" s="14"/>
      <c r="DI691" s="14"/>
      <c r="DJ691" s="14"/>
      <c r="DK691" s="14"/>
      <c r="DL691" s="14"/>
      <c r="DM691" s="14"/>
      <c r="DN691" s="14"/>
      <c r="DO691" s="14"/>
      <c r="DP691" s="14"/>
      <c r="DQ691" s="14"/>
      <c r="DR691" s="14"/>
      <c r="DS691" s="14"/>
      <c r="DT691" s="14"/>
      <c r="DU691" s="14"/>
      <c r="DV691" s="14"/>
      <c r="DW691" s="14"/>
      <c r="DX691" s="14"/>
      <c r="DY691" s="14"/>
      <c r="DZ691" s="14"/>
      <c r="EA691" s="14"/>
      <c r="EB691" s="14"/>
      <c r="EC691" s="14"/>
      <c r="ED691" s="14"/>
      <c r="EE691" s="14"/>
      <c r="EF691" s="14"/>
      <c r="EG691" s="14"/>
      <c r="EH691" s="14"/>
      <c r="EI691" s="14"/>
      <c r="EJ691" s="14"/>
      <c r="EK691" s="14"/>
      <c r="EL691" s="14"/>
    </row>
    <row r="692" spans="2:142" x14ac:dyDescent="0.2">
      <c r="B692" s="900"/>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4"/>
      <c r="BB692" s="14"/>
      <c r="BC692" s="14"/>
      <c r="BD692" s="14"/>
      <c r="BE692" s="14"/>
      <c r="BF692" s="14"/>
      <c r="BG692" s="14"/>
      <c r="BH692" s="14"/>
      <c r="BI692" s="14"/>
      <c r="BJ692" s="14"/>
      <c r="BK692" s="14"/>
      <c r="BL692" s="14"/>
      <c r="BM692" s="14"/>
      <c r="BN692" s="14"/>
      <c r="BO692" s="14"/>
      <c r="BP692" s="14"/>
      <c r="BQ692" s="14"/>
      <c r="BR692" s="14"/>
      <c r="BS692" s="14"/>
      <c r="BT692" s="14"/>
      <c r="BU692" s="14"/>
      <c r="BV692" s="14"/>
      <c r="BW692" s="14"/>
      <c r="BX692" s="14"/>
      <c r="BY692" s="14"/>
      <c r="BZ692" s="14"/>
      <c r="CA692" s="14"/>
      <c r="CB692" s="14"/>
      <c r="CC692" s="14"/>
      <c r="CD692" s="14"/>
      <c r="CE692" s="14"/>
      <c r="CF692" s="14"/>
      <c r="CG692" s="14"/>
      <c r="CH692" s="14"/>
      <c r="CI692" s="14"/>
      <c r="CJ692" s="14"/>
      <c r="CK692" s="14"/>
      <c r="CL692" s="14"/>
      <c r="CM692" s="14"/>
      <c r="CN692" s="14"/>
      <c r="CO692" s="14"/>
      <c r="CP692" s="14"/>
      <c r="CQ692" s="14"/>
      <c r="CR692" s="14"/>
      <c r="CS692" s="14"/>
      <c r="CT692" s="14"/>
      <c r="CU692" s="14"/>
      <c r="CV692" s="14"/>
      <c r="CW692" s="14"/>
      <c r="CX692" s="14"/>
      <c r="CY692" s="14"/>
      <c r="CZ692" s="14"/>
      <c r="DA692" s="14"/>
      <c r="DB692" s="14"/>
      <c r="DC692" s="14"/>
      <c r="DD692" s="14"/>
      <c r="DE692" s="14"/>
      <c r="DF692" s="14"/>
      <c r="DG692" s="14"/>
      <c r="DH692" s="14"/>
      <c r="DI692" s="14"/>
      <c r="DJ692" s="14"/>
      <c r="DK692" s="14"/>
      <c r="DL692" s="14"/>
      <c r="DM692" s="14"/>
      <c r="DN692" s="14"/>
      <c r="DO692" s="14"/>
      <c r="DP692" s="14"/>
      <c r="DQ692" s="14"/>
      <c r="DR692" s="14"/>
      <c r="DS692" s="14"/>
      <c r="DT692" s="14"/>
      <c r="DU692" s="14"/>
      <c r="DV692" s="14"/>
      <c r="DW692" s="14"/>
      <c r="DX692" s="14"/>
      <c r="DY692" s="14"/>
      <c r="DZ692" s="14"/>
      <c r="EA692" s="14"/>
      <c r="EB692" s="14"/>
      <c r="EC692" s="14"/>
      <c r="ED692" s="14"/>
      <c r="EE692" s="14"/>
      <c r="EF692" s="14"/>
      <c r="EG692" s="14"/>
      <c r="EH692" s="14"/>
      <c r="EI692" s="14"/>
      <c r="EJ692" s="14"/>
      <c r="EK692" s="14"/>
      <c r="EL692" s="14"/>
    </row>
    <row r="693" spans="2:142" x14ac:dyDescent="0.2">
      <c r="B693" s="900"/>
      <c r="R693" s="14"/>
      <c r="S693" s="14"/>
      <c r="T693" s="14"/>
      <c r="U693" s="14"/>
      <c r="V693" s="14"/>
      <c r="W693" s="14"/>
      <c r="X693" s="14"/>
      <c r="Y693" s="14"/>
      <c r="Z693" s="14"/>
      <c r="AA693" s="14"/>
      <c r="AB693" s="14"/>
      <c r="AC693" s="14"/>
      <c r="AD693" s="14"/>
      <c r="AE693" s="14"/>
      <c r="AF693" s="14"/>
      <c r="AG693" s="14"/>
      <c r="AH693" s="14"/>
      <c r="AI693" s="14"/>
      <c r="AJ693" s="14"/>
      <c r="AK693" s="14"/>
      <c r="AL693" s="14"/>
      <c r="AM693" s="14"/>
      <c r="AN693" s="14"/>
      <c r="AO693" s="14"/>
      <c r="AP693" s="14"/>
      <c r="AQ693" s="14"/>
      <c r="AR693" s="14"/>
      <c r="AS693" s="14"/>
      <c r="AT693" s="14"/>
      <c r="AU693" s="14"/>
      <c r="AV693" s="14"/>
      <c r="AW693" s="14"/>
      <c r="AX693" s="14"/>
      <c r="AY693" s="14"/>
      <c r="AZ693" s="14"/>
      <c r="BA693" s="14"/>
      <c r="BB693" s="14"/>
      <c r="BC693" s="14"/>
      <c r="BD693" s="14"/>
      <c r="BE693" s="14"/>
      <c r="BF693" s="14"/>
      <c r="BG693" s="14"/>
      <c r="BH693" s="14"/>
      <c r="BI693" s="14"/>
      <c r="BJ693" s="14"/>
      <c r="BK693" s="14"/>
      <c r="BL693" s="14"/>
      <c r="BM693" s="14"/>
      <c r="BN693" s="14"/>
      <c r="BO693" s="14"/>
      <c r="BP693" s="14"/>
      <c r="BQ693" s="14"/>
      <c r="BR693" s="14"/>
      <c r="BS693" s="14"/>
      <c r="BT693" s="14"/>
      <c r="BU693" s="14"/>
      <c r="BV693" s="14"/>
      <c r="BW693" s="14"/>
      <c r="BX693" s="14"/>
      <c r="BY693" s="14"/>
      <c r="BZ693" s="14"/>
      <c r="CA693" s="14"/>
      <c r="CB693" s="14"/>
      <c r="CC693" s="14"/>
      <c r="CD693" s="14"/>
      <c r="CE693" s="14"/>
      <c r="CF693" s="14"/>
      <c r="CG693" s="14"/>
      <c r="CH693" s="14"/>
      <c r="CI693" s="14"/>
      <c r="CJ693" s="14"/>
      <c r="CK693" s="14"/>
      <c r="CL693" s="14"/>
      <c r="CM693" s="14"/>
      <c r="CN693" s="14"/>
      <c r="CO693" s="14"/>
      <c r="CP693" s="14"/>
      <c r="CQ693" s="14"/>
      <c r="CR693" s="14"/>
      <c r="CS693" s="14"/>
      <c r="CT693" s="14"/>
      <c r="CU693" s="14"/>
      <c r="CV693" s="14"/>
      <c r="CW693" s="14"/>
      <c r="CX693" s="14"/>
      <c r="CY693" s="14"/>
      <c r="CZ693" s="14"/>
      <c r="DA693" s="14"/>
      <c r="DB693" s="14"/>
      <c r="DC693" s="14"/>
      <c r="DD693" s="14"/>
      <c r="DE693" s="14"/>
      <c r="DF693" s="14"/>
      <c r="DG693" s="14"/>
      <c r="DH693" s="14"/>
      <c r="DI693" s="14"/>
      <c r="DJ693" s="14"/>
      <c r="DK693" s="14"/>
      <c r="DL693" s="14"/>
      <c r="DM693" s="14"/>
      <c r="DN693" s="14"/>
      <c r="DO693" s="14"/>
      <c r="DP693" s="14"/>
      <c r="DQ693" s="14"/>
      <c r="DR693" s="14"/>
      <c r="DS693" s="14"/>
      <c r="DT693" s="14"/>
      <c r="DU693" s="14"/>
      <c r="DV693" s="14"/>
      <c r="DW693" s="14"/>
      <c r="DX693" s="14"/>
      <c r="DY693" s="14"/>
      <c r="DZ693" s="14"/>
      <c r="EA693" s="14"/>
      <c r="EB693" s="14"/>
      <c r="EC693" s="14"/>
      <c r="ED693" s="14"/>
      <c r="EE693" s="14"/>
      <c r="EF693" s="14"/>
      <c r="EG693" s="14"/>
      <c r="EH693" s="14"/>
      <c r="EI693" s="14"/>
      <c r="EJ693" s="14"/>
      <c r="EK693" s="14"/>
      <c r="EL693" s="14"/>
    </row>
    <row r="694" spans="2:142" x14ac:dyDescent="0.2">
      <c r="B694" s="900"/>
      <c r="R694" s="14"/>
      <c r="S694" s="14"/>
      <c r="T694" s="14"/>
      <c r="U694" s="14"/>
      <c r="V694" s="14"/>
      <c r="W694" s="14"/>
      <c r="X694" s="14"/>
      <c r="Y694" s="14"/>
      <c r="Z694" s="14"/>
      <c r="AA694" s="14"/>
      <c r="AB694" s="14"/>
      <c r="AC694" s="14"/>
      <c r="AD694" s="14"/>
      <c r="AE694" s="14"/>
      <c r="AF694" s="14"/>
      <c r="AG694" s="14"/>
      <c r="AH694" s="14"/>
      <c r="AI694" s="14"/>
      <c r="AJ694" s="14"/>
      <c r="AK694" s="14"/>
      <c r="AL694" s="14"/>
      <c r="AM694" s="14"/>
      <c r="AN694" s="14"/>
      <c r="AO694" s="14"/>
      <c r="AP694" s="14"/>
      <c r="AQ694" s="14"/>
      <c r="AR694" s="14"/>
      <c r="AS694" s="14"/>
      <c r="AT694" s="14"/>
      <c r="AU694" s="14"/>
      <c r="AV694" s="14"/>
      <c r="AW694" s="14"/>
      <c r="AX694" s="14"/>
      <c r="AY694" s="14"/>
      <c r="AZ694" s="14"/>
      <c r="BA694" s="14"/>
      <c r="BB694" s="14"/>
      <c r="BC694" s="14"/>
      <c r="BD694" s="14"/>
      <c r="BE694" s="14"/>
      <c r="BF694" s="14"/>
      <c r="BG694" s="14"/>
      <c r="BH694" s="14"/>
      <c r="BI694" s="14"/>
      <c r="BJ694" s="14"/>
      <c r="BK694" s="14"/>
      <c r="BL694" s="14"/>
      <c r="BM694" s="14"/>
      <c r="BN694" s="14"/>
      <c r="BO694" s="14"/>
      <c r="BP694" s="14"/>
      <c r="BQ694" s="14"/>
      <c r="BR694" s="14"/>
      <c r="BS694" s="14"/>
      <c r="BT694" s="14"/>
      <c r="BU694" s="14"/>
      <c r="BV694" s="14"/>
      <c r="BW694" s="14"/>
      <c r="BX694" s="14"/>
      <c r="BY694" s="14"/>
      <c r="BZ694" s="14"/>
      <c r="CA694" s="14"/>
      <c r="CB694" s="14"/>
      <c r="CC694" s="14"/>
      <c r="CD694" s="14"/>
      <c r="CE694" s="14"/>
      <c r="CF694" s="14"/>
      <c r="CG694" s="14"/>
      <c r="CH694" s="14"/>
      <c r="CI694" s="14"/>
      <c r="CJ694" s="14"/>
      <c r="CK694" s="14"/>
      <c r="CL694" s="14"/>
      <c r="CM694" s="14"/>
      <c r="CN694" s="14"/>
      <c r="CO694" s="14"/>
      <c r="CP694" s="14"/>
      <c r="CQ694" s="14"/>
      <c r="CR694" s="14"/>
      <c r="CS694" s="14"/>
      <c r="CT694" s="14"/>
      <c r="CU694" s="14"/>
      <c r="CV694" s="14"/>
      <c r="CW694" s="14"/>
      <c r="CX694" s="14"/>
      <c r="CY694" s="14"/>
      <c r="CZ694" s="14"/>
      <c r="DA694" s="14"/>
      <c r="DB694" s="14"/>
      <c r="DC694" s="14"/>
      <c r="DD694" s="14"/>
      <c r="DE694" s="14"/>
      <c r="DF694" s="14"/>
      <c r="DG694" s="14"/>
      <c r="DH694" s="14"/>
      <c r="DI694" s="14"/>
      <c r="DJ694" s="14"/>
      <c r="DK694" s="14"/>
      <c r="DL694" s="14"/>
      <c r="DM694" s="14"/>
      <c r="DN694" s="14"/>
      <c r="DO694" s="14"/>
      <c r="DP694" s="14"/>
      <c r="DQ694" s="14"/>
      <c r="DR694" s="14"/>
      <c r="DS694" s="14"/>
      <c r="DT694" s="14"/>
      <c r="DU694" s="14"/>
      <c r="DV694" s="14"/>
      <c r="DW694" s="14"/>
      <c r="DX694" s="14"/>
      <c r="DY694" s="14"/>
      <c r="DZ694" s="14"/>
      <c r="EA694" s="14"/>
      <c r="EB694" s="14"/>
      <c r="EC694" s="14"/>
      <c r="ED694" s="14"/>
      <c r="EE694" s="14"/>
      <c r="EF694" s="14"/>
      <c r="EG694" s="14"/>
      <c r="EH694" s="14"/>
      <c r="EI694" s="14"/>
      <c r="EJ694" s="14"/>
      <c r="EK694" s="14"/>
      <c r="EL694" s="14"/>
    </row>
    <row r="695" spans="2:142" x14ac:dyDescent="0.2">
      <c r="B695" s="900"/>
      <c r="R695" s="14"/>
      <c r="S695" s="14"/>
      <c r="T695" s="14"/>
      <c r="U695" s="14"/>
      <c r="V695" s="14"/>
      <c r="W695" s="14"/>
      <c r="X695" s="14"/>
      <c r="Y695" s="14"/>
      <c r="Z695" s="14"/>
      <c r="AA695" s="14"/>
      <c r="AB695" s="14"/>
      <c r="AC695" s="14"/>
      <c r="AD695" s="14"/>
      <c r="AE695" s="14"/>
      <c r="AF695" s="14"/>
      <c r="AG695" s="14"/>
      <c r="AH695" s="14"/>
      <c r="AI695" s="14"/>
      <c r="AJ695" s="14"/>
      <c r="AK695" s="14"/>
      <c r="AL695" s="14"/>
      <c r="AM695" s="14"/>
      <c r="AN695" s="14"/>
      <c r="AO695" s="14"/>
      <c r="AP695" s="14"/>
      <c r="AQ695" s="14"/>
      <c r="AR695" s="14"/>
      <c r="AS695" s="14"/>
      <c r="AT695" s="14"/>
      <c r="AU695" s="14"/>
      <c r="AV695" s="14"/>
      <c r="AW695" s="14"/>
      <c r="AX695" s="14"/>
      <c r="AY695" s="14"/>
      <c r="AZ695" s="14"/>
      <c r="BA695" s="14"/>
      <c r="BB695" s="14"/>
      <c r="BC695" s="14"/>
      <c r="BD695" s="14"/>
      <c r="BE695" s="14"/>
      <c r="BF695" s="14"/>
      <c r="BG695" s="14"/>
      <c r="BH695" s="14"/>
      <c r="BI695" s="14"/>
      <c r="BJ695" s="14"/>
      <c r="BK695" s="14"/>
      <c r="BL695" s="14"/>
      <c r="BM695" s="14"/>
      <c r="BN695" s="14"/>
      <c r="BO695" s="14"/>
      <c r="BP695" s="14"/>
      <c r="BQ695" s="14"/>
      <c r="BR695" s="14"/>
      <c r="BS695" s="14"/>
      <c r="BT695" s="14"/>
      <c r="BU695" s="14"/>
      <c r="BV695" s="14"/>
      <c r="BW695" s="14"/>
      <c r="BX695" s="14"/>
      <c r="BY695" s="14"/>
      <c r="BZ695" s="14"/>
      <c r="CA695" s="14"/>
      <c r="CB695" s="14"/>
      <c r="CC695" s="14"/>
      <c r="CD695" s="14"/>
      <c r="CE695" s="14"/>
      <c r="CF695" s="14"/>
      <c r="CG695" s="14"/>
      <c r="CH695" s="14"/>
      <c r="CI695" s="14"/>
      <c r="CJ695" s="14"/>
      <c r="CK695" s="14"/>
      <c r="CL695" s="14"/>
      <c r="CM695" s="14"/>
      <c r="CN695" s="14"/>
      <c r="CO695" s="14"/>
      <c r="CP695" s="14"/>
      <c r="CQ695" s="14"/>
      <c r="CR695" s="14"/>
      <c r="CS695" s="14"/>
      <c r="CT695" s="14"/>
      <c r="CU695" s="14"/>
      <c r="CV695" s="14"/>
      <c r="CW695" s="14"/>
      <c r="CX695" s="14"/>
      <c r="CY695" s="14"/>
      <c r="CZ695" s="14"/>
      <c r="DA695" s="14"/>
      <c r="DB695" s="14"/>
      <c r="DC695" s="14"/>
      <c r="DD695" s="14"/>
      <c r="DE695" s="14"/>
      <c r="DF695" s="14"/>
      <c r="DG695" s="14"/>
      <c r="DH695" s="14"/>
      <c r="DI695" s="14"/>
      <c r="DJ695" s="14"/>
      <c r="DK695" s="14"/>
      <c r="DL695" s="14"/>
      <c r="DM695" s="14"/>
      <c r="DN695" s="14"/>
      <c r="DO695" s="14"/>
      <c r="DP695" s="14"/>
      <c r="DQ695" s="14"/>
      <c r="DR695" s="14"/>
      <c r="DS695" s="14"/>
      <c r="DT695" s="14"/>
      <c r="DU695" s="14"/>
      <c r="DV695" s="14"/>
      <c r="DW695" s="14"/>
      <c r="DX695" s="14"/>
      <c r="DY695" s="14"/>
      <c r="DZ695" s="14"/>
      <c r="EA695" s="14"/>
      <c r="EB695" s="14"/>
      <c r="EC695" s="14"/>
      <c r="ED695" s="14"/>
      <c r="EE695" s="14"/>
      <c r="EF695" s="14"/>
      <c r="EG695" s="14"/>
      <c r="EH695" s="14"/>
      <c r="EI695" s="14"/>
      <c r="EJ695" s="14"/>
      <c r="EK695" s="14"/>
      <c r="EL695" s="14"/>
    </row>
    <row r="696" spans="2:142" x14ac:dyDescent="0.2">
      <c r="B696" s="900"/>
      <c r="R696" s="14"/>
      <c r="S696" s="14"/>
      <c r="T696" s="14"/>
      <c r="U696" s="14"/>
      <c r="V696" s="14"/>
      <c r="W696" s="14"/>
      <c r="X696" s="14"/>
      <c r="Y696" s="14"/>
      <c r="Z696" s="14"/>
      <c r="AA696" s="14"/>
      <c r="AB696" s="14"/>
      <c r="AC696" s="14"/>
      <c r="AD696" s="14"/>
      <c r="AE696" s="14"/>
      <c r="AF696" s="14"/>
      <c r="AG696" s="14"/>
      <c r="AH696" s="14"/>
      <c r="AI696" s="14"/>
      <c r="AJ696" s="14"/>
      <c r="AK696" s="14"/>
      <c r="AL696" s="14"/>
      <c r="AM696" s="14"/>
      <c r="AN696" s="14"/>
      <c r="AO696" s="14"/>
      <c r="AP696" s="14"/>
      <c r="AQ696" s="14"/>
      <c r="AR696" s="14"/>
      <c r="AS696" s="14"/>
      <c r="AT696" s="14"/>
      <c r="AU696" s="14"/>
      <c r="AV696" s="14"/>
      <c r="AW696" s="14"/>
      <c r="AX696" s="14"/>
      <c r="AY696" s="14"/>
      <c r="AZ696" s="14"/>
      <c r="BA696" s="14"/>
      <c r="BB696" s="14"/>
      <c r="BC696" s="14"/>
      <c r="BD696" s="14"/>
      <c r="BE696" s="14"/>
      <c r="BF696" s="14"/>
      <c r="BG696" s="14"/>
      <c r="BH696" s="14"/>
      <c r="BI696" s="14"/>
      <c r="BJ696" s="14"/>
      <c r="BK696" s="14"/>
      <c r="BL696" s="14"/>
      <c r="BM696" s="14"/>
      <c r="BN696" s="14"/>
      <c r="BO696" s="14"/>
      <c r="BP696" s="14"/>
      <c r="BQ696" s="14"/>
      <c r="BR696" s="14"/>
      <c r="BS696" s="14"/>
      <c r="BT696" s="14"/>
      <c r="BU696" s="14"/>
      <c r="BV696" s="14"/>
      <c r="BW696" s="14"/>
      <c r="BX696" s="14"/>
      <c r="BY696" s="14"/>
      <c r="BZ696" s="14"/>
      <c r="CA696" s="14"/>
      <c r="CB696" s="14"/>
      <c r="CC696" s="14"/>
      <c r="CD696" s="14"/>
      <c r="CE696" s="14"/>
      <c r="CF696" s="14"/>
      <c r="CG696" s="14"/>
      <c r="CH696" s="14"/>
      <c r="CI696" s="14"/>
      <c r="CJ696" s="14"/>
      <c r="CK696" s="14"/>
      <c r="CL696" s="14"/>
      <c r="CM696" s="14"/>
      <c r="CN696" s="14"/>
      <c r="CO696" s="14"/>
      <c r="CP696" s="14"/>
      <c r="CQ696" s="14"/>
      <c r="CR696" s="14"/>
      <c r="CS696" s="14"/>
      <c r="CT696" s="14"/>
      <c r="CU696" s="14"/>
      <c r="CV696" s="14"/>
      <c r="CW696" s="14"/>
      <c r="CX696" s="14"/>
      <c r="CY696" s="14"/>
      <c r="CZ696" s="14"/>
      <c r="DA696" s="14"/>
      <c r="DB696" s="14"/>
      <c r="DC696" s="14"/>
      <c r="DD696" s="14"/>
      <c r="DE696" s="14"/>
      <c r="DF696" s="14"/>
      <c r="DG696" s="14"/>
      <c r="DH696" s="14"/>
      <c r="DI696" s="14"/>
      <c r="DJ696" s="14"/>
      <c r="DK696" s="14"/>
      <c r="DL696" s="14"/>
      <c r="DM696" s="14"/>
      <c r="DN696" s="14"/>
      <c r="DO696" s="14"/>
      <c r="DP696" s="14"/>
      <c r="DQ696" s="14"/>
      <c r="DR696" s="14"/>
      <c r="DS696" s="14"/>
      <c r="DT696" s="14"/>
      <c r="DU696" s="14"/>
      <c r="DV696" s="14"/>
      <c r="DW696" s="14"/>
      <c r="DX696" s="14"/>
      <c r="DY696" s="14"/>
      <c r="DZ696" s="14"/>
      <c r="EA696" s="14"/>
      <c r="EB696" s="14"/>
      <c r="EC696" s="14"/>
      <c r="ED696" s="14"/>
      <c r="EE696" s="14"/>
      <c r="EF696" s="14"/>
      <c r="EG696" s="14"/>
      <c r="EH696" s="14"/>
      <c r="EI696" s="14"/>
      <c r="EJ696" s="14"/>
      <c r="EK696" s="14"/>
      <c r="EL696" s="14"/>
    </row>
    <row r="697" spans="2:142" x14ac:dyDescent="0.2">
      <c r="B697" s="900"/>
    </row>
    <row r="698" spans="2:142" x14ac:dyDescent="0.2">
      <c r="B698" s="900"/>
    </row>
    <row r="699" spans="2:142" x14ac:dyDescent="0.2">
      <c r="B699" s="900"/>
    </row>
    <row r="700" spans="2:142" x14ac:dyDescent="0.2">
      <c r="B700" s="900"/>
    </row>
    <row r="701" spans="2:142" x14ac:dyDescent="0.2">
      <c r="B701" s="900"/>
    </row>
    <row r="702" spans="2:142" x14ac:dyDescent="0.2">
      <c r="B702" s="900"/>
    </row>
    <row r="703" spans="2:142" x14ac:dyDescent="0.2">
      <c r="B703" s="900"/>
    </row>
    <row r="704" spans="2:142" x14ac:dyDescent="0.2">
      <c r="B704" s="900"/>
    </row>
    <row r="705" spans="2:2" x14ac:dyDescent="0.2">
      <c r="B705" s="900"/>
    </row>
    <row r="706" spans="2:2" x14ac:dyDescent="0.2">
      <c r="B706" s="900"/>
    </row>
    <row r="707" spans="2:2" x14ac:dyDescent="0.2">
      <c r="B707" s="900"/>
    </row>
    <row r="708" spans="2:2" x14ac:dyDescent="0.2">
      <c r="B708" s="900"/>
    </row>
    <row r="709" spans="2:2" x14ac:dyDescent="0.2">
      <c r="B709" s="900"/>
    </row>
    <row r="710" spans="2:2" x14ac:dyDescent="0.2">
      <c r="B710" s="900"/>
    </row>
    <row r="711" spans="2:2" x14ac:dyDescent="0.2">
      <c r="B711" s="900"/>
    </row>
    <row r="712" spans="2:2" x14ac:dyDescent="0.2">
      <c r="B712" s="900"/>
    </row>
    <row r="713" spans="2:2" x14ac:dyDescent="0.2">
      <c r="B713" s="900"/>
    </row>
    <row r="714" spans="2:2" x14ac:dyDescent="0.2">
      <c r="B714" s="900"/>
    </row>
    <row r="715" spans="2:2" x14ac:dyDescent="0.2">
      <c r="B715" s="900"/>
    </row>
    <row r="716" spans="2:2" x14ac:dyDescent="0.2">
      <c r="B716" s="900"/>
    </row>
    <row r="717" spans="2:2" x14ac:dyDescent="0.2">
      <c r="B717" s="900"/>
    </row>
    <row r="718" spans="2:2" x14ac:dyDescent="0.2">
      <c r="B718" s="900"/>
    </row>
    <row r="719" spans="2:2" x14ac:dyDescent="0.2">
      <c r="B719" s="900"/>
    </row>
    <row r="720" spans="2:2" x14ac:dyDescent="0.2">
      <c r="B720" s="900"/>
    </row>
    <row r="721" spans="2:2" x14ac:dyDescent="0.2">
      <c r="B721" s="900"/>
    </row>
    <row r="722" spans="2:2" x14ac:dyDescent="0.2">
      <c r="B722" s="900"/>
    </row>
    <row r="723" spans="2:2" x14ac:dyDescent="0.2">
      <c r="B723" s="900"/>
    </row>
    <row r="724" spans="2:2" x14ac:dyDescent="0.2">
      <c r="B724" s="900"/>
    </row>
    <row r="725" spans="2:2" x14ac:dyDescent="0.2">
      <c r="B725" s="900"/>
    </row>
    <row r="726" spans="2:2" x14ac:dyDescent="0.2">
      <c r="B726" s="900"/>
    </row>
    <row r="727" spans="2:2" x14ac:dyDescent="0.2">
      <c r="B727" s="900"/>
    </row>
    <row r="728" spans="2:2" x14ac:dyDescent="0.2">
      <c r="B728" s="900"/>
    </row>
    <row r="729" spans="2:2" x14ac:dyDescent="0.2">
      <c r="B729" s="900"/>
    </row>
    <row r="730" spans="2:2" x14ac:dyDescent="0.2">
      <c r="B730" s="900"/>
    </row>
    <row r="731" spans="2:2" x14ac:dyDescent="0.2">
      <c r="B731" s="900"/>
    </row>
    <row r="732" spans="2:2" x14ac:dyDescent="0.2">
      <c r="B732" s="900"/>
    </row>
    <row r="733" spans="2:2" x14ac:dyDescent="0.2">
      <c r="B733" s="900"/>
    </row>
    <row r="734" spans="2:2" x14ac:dyDescent="0.2">
      <c r="B734" s="900"/>
    </row>
    <row r="735" spans="2:2" x14ac:dyDescent="0.2">
      <c r="B735" s="900"/>
    </row>
    <row r="736" spans="2:2" x14ac:dyDescent="0.2">
      <c r="B736" s="900"/>
    </row>
    <row r="737" spans="2:2" x14ac:dyDescent="0.2">
      <c r="B737" s="900"/>
    </row>
    <row r="738" spans="2:2" x14ac:dyDescent="0.2">
      <c r="B738" s="900"/>
    </row>
    <row r="739" spans="2:2" x14ac:dyDescent="0.2">
      <c r="B739" s="900"/>
    </row>
    <row r="740" spans="2:2" x14ac:dyDescent="0.2">
      <c r="B740" s="900"/>
    </row>
    <row r="741" spans="2:2" x14ac:dyDescent="0.2">
      <c r="B741" s="900"/>
    </row>
    <row r="742" spans="2:2" x14ac:dyDescent="0.2">
      <c r="B742" s="900"/>
    </row>
    <row r="743" spans="2:2" x14ac:dyDescent="0.2">
      <c r="B743" s="900"/>
    </row>
    <row r="744" spans="2:2" x14ac:dyDescent="0.2">
      <c r="B744" s="900"/>
    </row>
    <row r="745" spans="2:2" x14ac:dyDescent="0.2">
      <c r="B745" s="900"/>
    </row>
    <row r="746" spans="2:2" x14ac:dyDescent="0.2">
      <c r="B746" s="900"/>
    </row>
    <row r="747" spans="2:2" x14ac:dyDescent="0.2">
      <c r="B747" s="900"/>
    </row>
    <row r="748" spans="2:2" x14ac:dyDescent="0.2">
      <c r="B748" s="900"/>
    </row>
    <row r="749" spans="2:2" x14ac:dyDescent="0.2">
      <c r="B749" s="900"/>
    </row>
    <row r="750" spans="2:2" x14ac:dyDescent="0.2">
      <c r="B750" s="900"/>
    </row>
    <row r="751" spans="2:2" x14ac:dyDescent="0.2">
      <c r="B751" s="900"/>
    </row>
    <row r="752" spans="2:2" x14ac:dyDescent="0.2">
      <c r="B752" s="900"/>
    </row>
    <row r="753" spans="2:2" x14ac:dyDescent="0.2">
      <c r="B753" s="900"/>
    </row>
    <row r="754" spans="2:2" x14ac:dyDescent="0.2">
      <c r="B754" s="900"/>
    </row>
    <row r="755" spans="2:2" x14ac:dyDescent="0.2">
      <c r="B755" s="900"/>
    </row>
    <row r="756" spans="2:2" x14ac:dyDescent="0.2">
      <c r="B756" s="900"/>
    </row>
    <row r="757" spans="2:2" x14ac:dyDescent="0.2">
      <c r="B757" s="900"/>
    </row>
    <row r="758" spans="2:2" x14ac:dyDescent="0.2">
      <c r="B758" s="900"/>
    </row>
    <row r="759" spans="2:2" x14ac:dyDescent="0.2">
      <c r="B759" s="900"/>
    </row>
    <row r="760" spans="2:2" x14ac:dyDescent="0.2">
      <c r="B760" s="900"/>
    </row>
    <row r="761" spans="2:2" x14ac:dyDescent="0.2">
      <c r="B761" s="900"/>
    </row>
    <row r="762" spans="2:2" x14ac:dyDescent="0.2">
      <c r="B762" s="900"/>
    </row>
    <row r="763" spans="2:2" x14ac:dyDescent="0.2">
      <c r="B763" s="900"/>
    </row>
    <row r="764" spans="2:2" x14ac:dyDescent="0.2">
      <c r="B764" s="900"/>
    </row>
    <row r="765" spans="2:2" x14ac:dyDescent="0.2">
      <c r="B765" s="900"/>
    </row>
    <row r="766" spans="2:2" x14ac:dyDescent="0.2">
      <c r="B766" s="900"/>
    </row>
    <row r="767" spans="2:2" x14ac:dyDescent="0.2">
      <c r="B767" s="900"/>
    </row>
    <row r="768" spans="2:2" x14ac:dyDescent="0.2">
      <c r="B768" s="900"/>
    </row>
    <row r="769" spans="2:2" x14ac:dyDescent="0.2">
      <c r="B769" s="900"/>
    </row>
    <row r="770" spans="2:2" x14ac:dyDescent="0.2">
      <c r="B770" s="900"/>
    </row>
    <row r="771" spans="2:2" x14ac:dyDescent="0.2">
      <c r="B771" s="900"/>
    </row>
    <row r="772" spans="2:2" x14ac:dyDescent="0.2">
      <c r="B772" s="900"/>
    </row>
    <row r="773" spans="2:2" x14ac:dyDescent="0.2">
      <c r="B773" s="900"/>
    </row>
    <row r="774" spans="2:2" x14ac:dyDescent="0.2">
      <c r="B774" s="900"/>
    </row>
    <row r="775" spans="2:2" x14ac:dyDescent="0.2">
      <c r="B775" s="900"/>
    </row>
    <row r="776" spans="2:2" x14ac:dyDescent="0.2">
      <c r="B776" s="900"/>
    </row>
    <row r="777" spans="2:2" x14ac:dyDescent="0.2">
      <c r="B777" s="900"/>
    </row>
    <row r="778" spans="2:2" x14ac:dyDescent="0.2">
      <c r="B778" s="900"/>
    </row>
    <row r="779" spans="2:2" x14ac:dyDescent="0.2">
      <c r="B779" s="900"/>
    </row>
    <row r="780" spans="2:2" x14ac:dyDescent="0.2">
      <c r="B780" s="900"/>
    </row>
    <row r="781" spans="2:2" x14ac:dyDescent="0.2">
      <c r="B781" s="900"/>
    </row>
    <row r="782" spans="2:2" x14ac:dyDescent="0.2">
      <c r="B782" s="900"/>
    </row>
    <row r="783" spans="2:2" x14ac:dyDescent="0.2">
      <c r="B783" s="900"/>
    </row>
    <row r="784" spans="2:2" x14ac:dyDescent="0.2">
      <c r="B784" s="900"/>
    </row>
    <row r="785" spans="2:2" x14ac:dyDescent="0.2">
      <c r="B785" s="900"/>
    </row>
    <row r="786" spans="2:2" x14ac:dyDescent="0.2">
      <c r="B786" s="900"/>
    </row>
    <row r="787" spans="2:2" x14ac:dyDescent="0.2">
      <c r="B787" s="900"/>
    </row>
    <row r="788" spans="2:2" x14ac:dyDescent="0.2">
      <c r="B788" s="900"/>
    </row>
    <row r="789" spans="2:2" x14ac:dyDescent="0.2">
      <c r="B789" s="900"/>
    </row>
    <row r="790" spans="2:2" x14ac:dyDescent="0.2">
      <c r="B790" s="900"/>
    </row>
    <row r="791" spans="2:2" x14ac:dyDescent="0.2">
      <c r="B791" s="900"/>
    </row>
    <row r="792" spans="2:2" x14ac:dyDescent="0.2">
      <c r="B792" s="900"/>
    </row>
    <row r="793" spans="2:2" x14ac:dyDescent="0.2">
      <c r="B793" s="900"/>
    </row>
    <row r="794" spans="2:2" x14ac:dyDescent="0.2">
      <c r="B794" s="900"/>
    </row>
    <row r="795" spans="2:2" x14ac:dyDescent="0.2">
      <c r="B795" s="900"/>
    </row>
    <row r="796" spans="2:2" x14ac:dyDescent="0.2">
      <c r="B796" s="900"/>
    </row>
    <row r="797" spans="2:2" x14ac:dyDescent="0.2">
      <c r="B797" s="900"/>
    </row>
    <row r="798" spans="2:2" x14ac:dyDescent="0.2">
      <c r="B798" s="900"/>
    </row>
    <row r="799" spans="2:2" x14ac:dyDescent="0.2">
      <c r="B799" s="900"/>
    </row>
    <row r="800" spans="2:2" x14ac:dyDescent="0.2">
      <c r="B800" s="900"/>
    </row>
    <row r="801" spans="2:2" x14ac:dyDescent="0.2">
      <c r="B801" s="900"/>
    </row>
    <row r="802" spans="2:2" x14ac:dyDescent="0.2">
      <c r="B802" s="900"/>
    </row>
    <row r="803" spans="2:2" x14ac:dyDescent="0.2">
      <c r="B803" s="900"/>
    </row>
    <row r="804" spans="2:2" x14ac:dyDescent="0.2">
      <c r="B804" s="900"/>
    </row>
    <row r="805" spans="2:2" x14ac:dyDescent="0.2">
      <c r="B805" s="900"/>
    </row>
    <row r="806" spans="2:2" x14ac:dyDescent="0.2">
      <c r="B806" s="900"/>
    </row>
    <row r="807" spans="2:2" x14ac:dyDescent="0.2">
      <c r="B807" s="900"/>
    </row>
    <row r="808" spans="2:2" x14ac:dyDescent="0.2">
      <c r="B808" s="900"/>
    </row>
    <row r="809" spans="2:2" x14ac:dyDescent="0.2">
      <c r="B809" s="900"/>
    </row>
    <row r="810" spans="2:2" x14ac:dyDescent="0.2">
      <c r="B810" s="900"/>
    </row>
    <row r="811" spans="2:2" x14ac:dyDescent="0.2">
      <c r="B811" s="900"/>
    </row>
    <row r="812" spans="2:2" x14ac:dyDescent="0.2">
      <c r="B812" s="900"/>
    </row>
    <row r="813" spans="2:2" x14ac:dyDescent="0.2">
      <c r="B813" s="900"/>
    </row>
    <row r="814" spans="2:2" x14ac:dyDescent="0.2">
      <c r="B814" s="900"/>
    </row>
    <row r="815" spans="2:2" x14ac:dyDescent="0.2">
      <c r="B815" s="900"/>
    </row>
    <row r="816" spans="2:2" x14ac:dyDescent="0.2">
      <c r="B816" s="900"/>
    </row>
    <row r="817" spans="2:2" x14ac:dyDescent="0.2">
      <c r="B817" s="900"/>
    </row>
    <row r="818" spans="2:2" x14ac:dyDescent="0.2">
      <c r="B818" s="900"/>
    </row>
    <row r="819" spans="2:2" x14ac:dyDescent="0.2">
      <c r="B819" s="900"/>
    </row>
    <row r="820" spans="2:2" x14ac:dyDescent="0.2">
      <c r="B820" s="900"/>
    </row>
    <row r="821" spans="2:2" x14ac:dyDescent="0.2">
      <c r="B821" s="900"/>
    </row>
    <row r="822" spans="2:2" x14ac:dyDescent="0.2">
      <c r="B822" s="900"/>
    </row>
    <row r="823" spans="2:2" x14ac:dyDescent="0.2">
      <c r="B823" s="900"/>
    </row>
    <row r="824" spans="2:2" x14ac:dyDescent="0.2">
      <c r="B824" s="900"/>
    </row>
    <row r="825" spans="2:2" x14ac:dyDescent="0.2">
      <c r="B825" s="900"/>
    </row>
    <row r="826" spans="2:2" x14ac:dyDescent="0.2">
      <c r="B826" s="900"/>
    </row>
    <row r="827" spans="2:2" x14ac:dyDescent="0.2">
      <c r="B827" s="900"/>
    </row>
    <row r="828" spans="2:2" x14ac:dyDescent="0.2">
      <c r="B828" s="900"/>
    </row>
    <row r="829" spans="2:2" x14ac:dyDescent="0.2">
      <c r="B829" s="900"/>
    </row>
    <row r="830" spans="2:2" x14ac:dyDescent="0.2">
      <c r="B830" s="900"/>
    </row>
    <row r="831" spans="2:2" x14ac:dyDescent="0.2">
      <c r="B831" s="900"/>
    </row>
    <row r="832" spans="2:2" x14ac:dyDescent="0.2">
      <c r="B832" s="900"/>
    </row>
    <row r="833" spans="2:2" x14ac:dyDescent="0.2">
      <c r="B833" s="900"/>
    </row>
    <row r="834" spans="2:2" x14ac:dyDescent="0.2">
      <c r="B834" s="900"/>
    </row>
    <row r="835" spans="2:2" x14ac:dyDescent="0.2">
      <c r="B835" s="900"/>
    </row>
    <row r="836" spans="2:2" x14ac:dyDescent="0.2">
      <c r="B836" s="900"/>
    </row>
    <row r="837" spans="2:2" x14ac:dyDescent="0.2">
      <c r="B837" s="900"/>
    </row>
    <row r="838" spans="2:2" x14ac:dyDescent="0.2">
      <c r="B838" s="900"/>
    </row>
    <row r="839" spans="2:2" x14ac:dyDescent="0.2">
      <c r="B839" s="900"/>
    </row>
    <row r="840" spans="2:2" x14ac:dyDescent="0.2">
      <c r="B840" s="900"/>
    </row>
    <row r="841" spans="2:2" x14ac:dyDescent="0.2">
      <c r="B841" s="900"/>
    </row>
    <row r="842" spans="2:2" x14ac:dyDescent="0.2">
      <c r="B842" s="900"/>
    </row>
    <row r="843" spans="2:2" x14ac:dyDescent="0.2">
      <c r="B843" s="900"/>
    </row>
    <row r="844" spans="2:2" x14ac:dyDescent="0.2">
      <c r="B844" s="900"/>
    </row>
    <row r="845" spans="2:2" x14ac:dyDescent="0.2">
      <c r="B845" s="900"/>
    </row>
    <row r="846" spans="2:2" x14ac:dyDescent="0.2">
      <c r="B846" s="900"/>
    </row>
    <row r="847" spans="2:2" x14ac:dyDescent="0.2">
      <c r="B847" s="900"/>
    </row>
    <row r="848" spans="2:2" x14ac:dyDescent="0.2">
      <c r="B848" s="900"/>
    </row>
    <row r="849" spans="2:2" x14ac:dyDescent="0.2">
      <c r="B849" s="900"/>
    </row>
    <row r="850" spans="2:2" x14ac:dyDescent="0.2">
      <c r="B850" s="900"/>
    </row>
    <row r="851" spans="2:2" x14ac:dyDescent="0.2">
      <c r="B851" s="900"/>
    </row>
    <row r="852" spans="2:2" x14ac:dyDescent="0.2">
      <c r="B852" s="900"/>
    </row>
    <row r="853" spans="2:2" x14ac:dyDescent="0.2">
      <c r="B853" s="900"/>
    </row>
    <row r="854" spans="2:2" x14ac:dyDescent="0.2">
      <c r="B854" s="900"/>
    </row>
    <row r="855" spans="2:2" x14ac:dyDescent="0.2">
      <c r="B855" s="900"/>
    </row>
    <row r="856" spans="2:2" x14ac:dyDescent="0.2">
      <c r="B856" s="900"/>
    </row>
    <row r="857" spans="2:2" x14ac:dyDescent="0.2">
      <c r="B857" s="900"/>
    </row>
    <row r="858" spans="2:2" x14ac:dyDescent="0.2">
      <c r="B858" s="900"/>
    </row>
    <row r="859" spans="2:2" x14ac:dyDescent="0.2">
      <c r="B859" s="900"/>
    </row>
    <row r="860" spans="2:2" x14ac:dyDescent="0.2">
      <c r="B860" s="900"/>
    </row>
    <row r="861" spans="2:2" x14ac:dyDescent="0.2">
      <c r="B861" s="900"/>
    </row>
    <row r="862" spans="2:2" x14ac:dyDescent="0.2">
      <c r="B862" s="900"/>
    </row>
    <row r="863" spans="2:2" x14ac:dyDescent="0.2">
      <c r="B863" s="900"/>
    </row>
    <row r="864" spans="2:2" x14ac:dyDescent="0.2">
      <c r="B864" s="900"/>
    </row>
    <row r="865" spans="2:2" x14ac:dyDescent="0.2">
      <c r="B865" s="900"/>
    </row>
    <row r="866" spans="2:2" x14ac:dyDescent="0.2">
      <c r="B866" s="900"/>
    </row>
    <row r="867" spans="2:2" x14ac:dyDescent="0.2">
      <c r="B867" s="900"/>
    </row>
    <row r="868" spans="2:2" x14ac:dyDescent="0.2">
      <c r="B868" s="900"/>
    </row>
    <row r="869" spans="2:2" x14ac:dyDescent="0.2">
      <c r="B869" s="900"/>
    </row>
    <row r="870" spans="2:2" x14ac:dyDescent="0.2">
      <c r="B870" s="900"/>
    </row>
    <row r="871" spans="2:2" x14ac:dyDescent="0.2">
      <c r="B871" s="900"/>
    </row>
    <row r="872" spans="2:2" x14ac:dyDescent="0.2">
      <c r="B872" s="900"/>
    </row>
    <row r="873" spans="2:2" x14ac:dyDescent="0.2">
      <c r="B873" s="900"/>
    </row>
  </sheetData>
  <sheetProtection sheet="1" objects="1" scenarios="1"/>
  <mergeCells count="1232">
    <mergeCell ref="R242:R243"/>
    <mergeCell ref="B242:F242"/>
    <mergeCell ref="V133:W133"/>
    <mergeCell ref="T132:U132"/>
    <mergeCell ref="R146:S146"/>
    <mergeCell ref="T172:U172"/>
    <mergeCell ref="V173:W173"/>
    <mergeCell ref="R186:S186"/>
    <mergeCell ref="E461:F461"/>
    <mergeCell ref="F270:K270"/>
    <mergeCell ref="C227:F227"/>
    <mergeCell ref="G227:K227"/>
    <mergeCell ref="L227:O227"/>
    <mergeCell ref="P221:P233"/>
    <mergeCell ref="L233:N233"/>
    <mergeCell ref="L234:O234"/>
    <mergeCell ref="B234:K234"/>
    <mergeCell ref="C139:D139"/>
    <mergeCell ref="B244:O244"/>
    <mergeCell ref="B245:O245"/>
    <mergeCell ref="E257:F257"/>
    <mergeCell ref="G257:O257"/>
    <mergeCell ref="E453:F453"/>
    <mergeCell ref="R406:R407"/>
    <mergeCell ref="R410:R411"/>
    <mergeCell ref="G449:I449"/>
    <mergeCell ref="J449:K449"/>
    <mergeCell ref="J228:K228"/>
    <mergeCell ref="G225:O225"/>
    <mergeCell ref="B180:O180"/>
    <mergeCell ref="C233:D233"/>
    <mergeCell ref="E148:O148"/>
    <mergeCell ref="Z105:AB105"/>
    <mergeCell ref="C229:D229"/>
    <mergeCell ref="C225:D225"/>
    <mergeCell ref="T220:U220"/>
    <mergeCell ref="B220:O220"/>
    <mergeCell ref="Y182:Y183"/>
    <mergeCell ref="P72:P81"/>
    <mergeCell ref="J78:K78"/>
    <mergeCell ref="Z185:AB185"/>
    <mergeCell ref="F219:G219"/>
    <mergeCell ref="C221:F221"/>
    <mergeCell ref="AA128:AD128"/>
    <mergeCell ref="Y102:Y103"/>
    <mergeCell ref="L193:O194"/>
    <mergeCell ref="B194:D194"/>
    <mergeCell ref="B192:F192"/>
    <mergeCell ref="E150:O150"/>
    <mergeCell ref="G160:I160"/>
    <mergeCell ref="L169:N169"/>
    <mergeCell ref="C169:K169"/>
    <mergeCell ref="S181:U181"/>
    <mergeCell ref="B195:D195"/>
    <mergeCell ref="E195:F195"/>
    <mergeCell ref="B184:O184"/>
    <mergeCell ref="B191:O191"/>
    <mergeCell ref="B202:O202"/>
    <mergeCell ref="B185:O185"/>
    <mergeCell ref="E190:O190"/>
    <mergeCell ref="B198:D198"/>
    <mergeCell ref="E198:F198"/>
    <mergeCell ref="N186:O186"/>
    <mergeCell ref="E194:F194"/>
    <mergeCell ref="S2:T2"/>
    <mergeCell ref="S1:T1"/>
    <mergeCell ref="R238:R239"/>
    <mergeCell ref="Z27:AB27"/>
    <mergeCell ref="Z28:AB28"/>
    <mergeCell ref="Z65:AB65"/>
    <mergeCell ref="Z66:AB66"/>
    <mergeCell ref="L192:O192"/>
    <mergeCell ref="B141:O141"/>
    <mergeCell ref="T92:U92"/>
    <mergeCell ref="V93:W93"/>
    <mergeCell ref="R106:S106"/>
    <mergeCell ref="R129:R130"/>
    <mergeCell ref="R169:R170"/>
    <mergeCell ref="K138:N138"/>
    <mergeCell ref="K139:O139"/>
    <mergeCell ref="L230:O230"/>
    <mergeCell ref="L228:O228"/>
    <mergeCell ref="C222:D222"/>
    <mergeCell ref="B2:P2"/>
    <mergeCell ref="L18:O18"/>
    <mergeCell ref="B1:C1"/>
    <mergeCell ref="D1:K1"/>
    <mergeCell ref="E149:O149"/>
    <mergeCell ref="K58:N58"/>
    <mergeCell ref="K59:O59"/>
    <mergeCell ref="E58:J59"/>
    <mergeCell ref="C59:D59"/>
    <mergeCell ref="Z146:AB146"/>
    <mergeCell ref="Y142:Y143"/>
    <mergeCell ref="C177:D177"/>
    <mergeCell ref="B162:O162"/>
    <mergeCell ref="M1:P1"/>
    <mergeCell ref="E138:J139"/>
    <mergeCell ref="F218:G218"/>
    <mergeCell ref="G229:O229"/>
    <mergeCell ref="G230:I230"/>
    <mergeCell ref="C179:D179"/>
    <mergeCell ref="Y172:AA172"/>
    <mergeCell ref="C230:D230"/>
    <mergeCell ref="B28:M28"/>
    <mergeCell ref="N28:O28"/>
    <mergeCell ref="B66:M66"/>
    <mergeCell ref="N66:O66"/>
    <mergeCell ref="J56:K56"/>
    <mergeCell ref="B146:M146"/>
    <mergeCell ref="B140:O140"/>
    <mergeCell ref="B128:O128"/>
    <mergeCell ref="C136:D136"/>
    <mergeCell ref="B119:D119"/>
    <mergeCell ref="B120:D120"/>
    <mergeCell ref="E120:F120"/>
    <mergeCell ref="J38:K38"/>
    <mergeCell ref="E189:O189"/>
    <mergeCell ref="C189:D189"/>
    <mergeCell ref="E79:F79"/>
    <mergeCell ref="E56:F56"/>
    <mergeCell ref="E57:F57"/>
    <mergeCell ref="B186:M186"/>
    <mergeCell ref="L75:O76"/>
    <mergeCell ref="B163:P163"/>
    <mergeCell ref="J173:K173"/>
    <mergeCell ref="G173:I173"/>
    <mergeCell ref="N146:O146"/>
    <mergeCell ref="H499:J499"/>
    <mergeCell ref="L499:M499"/>
    <mergeCell ref="L498:M498"/>
    <mergeCell ref="B256:O256"/>
    <mergeCell ref="R49:R50"/>
    <mergeCell ref="T52:U52"/>
    <mergeCell ref="V53:W53"/>
    <mergeCell ref="B76:D76"/>
    <mergeCell ref="E76:F76"/>
    <mergeCell ref="G76:I76"/>
    <mergeCell ref="J76:K76"/>
    <mergeCell ref="B157:D157"/>
    <mergeCell ref="E157:F157"/>
    <mergeCell ref="R280:S280"/>
    <mergeCell ref="H492:J492"/>
    <mergeCell ref="N483:P483"/>
    <mergeCell ref="J483:M483"/>
    <mergeCell ref="B454:D454"/>
    <mergeCell ref="B453:D453"/>
    <mergeCell ref="G450:I450"/>
    <mergeCell ref="H493:J493"/>
    <mergeCell ref="H495:J495"/>
    <mergeCell ref="C493:D493"/>
    <mergeCell ref="L494:M494"/>
    <mergeCell ref="O496:P496"/>
    <mergeCell ref="H496:J496"/>
    <mergeCell ref="L495:M495"/>
    <mergeCell ref="L496:M496"/>
    <mergeCell ref="C479:D479"/>
    <mergeCell ref="E232:K233"/>
    <mergeCell ref="B232:B233"/>
    <mergeCell ref="B438:O438"/>
    <mergeCell ref="Z252:AB252"/>
    <mergeCell ref="S270:T270"/>
    <mergeCell ref="S271:T271"/>
    <mergeCell ref="S101:U101"/>
    <mergeCell ref="S141:U141"/>
    <mergeCell ref="AD229:AG229"/>
    <mergeCell ref="Z186:AB186"/>
    <mergeCell ref="T125:T126"/>
    <mergeCell ref="Z106:AB106"/>
    <mergeCell ref="Z145:AB145"/>
    <mergeCell ref="E118:F118"/>
    <mergeCell ref="B248:F248"/>
    <mergeCell ref="Y132:AA132"/>
    <mergeCell ref="K178:N178"/>
    <mergeCell ref="K179:O179"/>
    <mergeCell ref="E178:J179"/>
    <mergeCell ref="C231:D231"/>
    <mergeCell ref="B235:O235"/>
    <mergeCell ref="E231:F231"/>
    <mergeCell ref="B241:O241"/>
    <mergeCell ref="B181:O181"/>
    <mergeCell ref="C148:D148"/>
    <mergeCell ref="F217:G217"/>
    <mergeCell ref="E176:F176"/>
    <mergeCell ref="G262:O262"/>
    <mergeCell ref="F250:G250"/>
    <mergeCell ref="N253:O253"/>
    <mergeCell ref="B249:O249"/>
    <mergeCell ref="G259:O259"/>
    <mergeCell ref="B257:D263"/>
    <mergeCell ref="E261:F261"/>
    <mergeCell ref="E262:F262"/>
    <mergeCell ref="C501:G501"/>
    <mergeCell ref="H501:M501"/>
    <mergeCell ref="H483:I483"/>
    <mergeCell ref="J485:M485"/>
    <mergeCell ref="C377:D377"/>
    <mergeCell ref="F483:G483"/>
    <mergeCell ref="F282:L282"/>
    <mergeCell ref="N421:O421"/>
    <mergeCell ref="C413:O416"/>
    <mergeCell ref="N420:O420"/>
    <mergeCell ref="B421:M421"/>
    <mergeCell ref="C483:D483"/>
    <mergeCell ref="B437:O437"/>
    <mergeCell ref="B500:P500"/>
    <mergeCell ref="O499:P499"/>
    <mergeCell ref="C498:D498"/>
    <mergeCell ref="B292:L292"/>
    <mergeCell ref="C492:D492"/>
    <mergeCell ref="F492:G492"/>
    <mergeCell ref="B491:P491"/>
    <mergeCell ref="O492:P492"/>
    <mergeCell ref="L492:M492"/>
    <mergeCell ref="J480:M480"/>
    <mergeCell ref="C499:D499"/>
    <mergeCell ref="O498:P498"/>
    <mergeCell ref="H498:J498"/>
    <mergeCell ref="J479:M479"/>
    <mergeCell ref="B472:O472"/>
    <mergeCell ref="F446:K446"/>
    <mergeCell ref="C424:O424"/>
    <mergeCell ref="G433:O433"/>
    <mergeCell ref="J401:O401"/>
    <mergeCell ref="B476:P476"/>
    <mergeCell ref="F478:G478"/>
    <mergeCell ref="N482:P482"/>
    <mergeCell ref="H478:I478"/>
    <mergeCell ref="J481:M481"/>
    <mergeCell ref="J478:M478"/>
    <mergeCell ref="H485:I485"/>
    <mergeCell ref="J484:M484"/>
    <mergeCell ref="H484:I484"/>
    <mergeCell ref="F484:G484"/>
    <mergeCell ref="F485:G485"/>
    <mergeCell ref="N484:P484"/>
    <mergeCell ref="N485:P485"/>
    <mergeCell ref="H494:J494"/>
    <mergeCell ref="C496:D496"/>
    <mergeCell ref="C494:D494"/>
    <mergeCell ref="O493:P493"/>
    <mergeCell ref="B490:P490"/>
    <mergeCell ref="C489:E489"/>
    <mergeCell ref="F489:P489"/>
    <mergeCell ref="B468:D468"/>
    <mergeCell ref="B467:D467"/>
    <mergeCell ref="B463:D463"/>
    <mergeCell ref="B464:D464"/>
    <mergeCell ref="B465:D465"/>
    <mergeCell ref="G435:O435"/>
    <mergeCell ref="L459:O462"/>
    <mergeCell ref="B487:P487"/>
    <mergeCell ref="B442:O442"/>
    <mergeCell ref="E434:F434"/>
    <mergeCell ref="H381:O381"/>
    <mergeCell ref="B473:P473"/>
    <mergeCell ref="G460:I460"/>
    <mergeCell ref="E470:F470"/>
    <mergeCell ref="B470:D470"/>
    <mergeCell ref="C396:O396"/>
    <mergeCell ref="E460:F460"/>
    <mergeCell ref="G453:I453"/>
    <mergeCell ref="L466:O471"/>
    <mergeCell ref="E451:F451"/>
    <mergeCell ref="B448:F448"/>
    <mergeCell ref="B451:D451"/>
    <mergeCell ref="E449:F449"/>
    <mergeCell ref="B430:D436"/>
    <mergeCell ref="J470:K470"/>
    <mergeCell ref="J471:K471"/>
    <mergeCell ref="N479:P479"/>
    <mergeCell ref="N478:P478"/>
    <mergeCell ref="N439:O439"/>
    <mergeCell ref="E455:F455"/>
    <mergeCell ref="G463:I463"/>
    <mergeCell ref="E456:F456"/>
    <mergeCell ref="B456:D456"/>
    <mergeCell ref="B450:D450"/>
    <mergeCell ref="N480:P480"/>
    <mergeCell ref="N481:P481"/>
    <mergeCell ref="C497:D497"/>
    <mergeCell ref="C495:D495"/>
    <mergeCell ref="H497:J497"/>
    <mergeCell ref="O497:P497"/>
    <mergeCell ref="L493:M493"/>
    <mergeCell ref="L497:M497"/>
    <mergeCell ref="O494:P494"/>
    <mergeCell ref="C485:D485"/>
    <mergeCell ref="B471:D471"/>
    <mergeCell ref="E469:F469"/>
    <mergeCell ref="B443:M443"/>
    <mergeCell ref="N443:O443"/>
    <mergeCell ref="B441:O441"/>
    <mergeCell ref="B458:D458"/>
    <mergeCell ref="G470:I470"/>
    <mergeCell ref="J464:K464"/>
    <mergeCell ref="J463:K463"/>
    <mergeCell ref="G454:I454"/>
    <mergeCell ref="G451:I451"/>
    <mergeCell ref="E450:F450"/>
    <mergeCell ref="C484:D484"/>
    <mergeCell ref="O495:P495"/>
    <mergeCell ref="B475:P475"/>
    <mergeCell ref="G465:I465"/>
    <mergeCell ref="J465:K465"/>
    <mergeCell ref="G466:I466"/>
    <mergeCell ref="J466:K466"/>
    <mergeCell ref="B477:P477"/>
    <mergeCell ref="G432:O432"/>
    <mergeCell ref="G436:O436"/>
    <mergeCell ref="B488:P488"/>
    <mergeCell ref="J467:K467"/>
    <mergeCell ref="B469:D469"/>
    <mergeCell ref="L453:O458"/>
    <mergeCell ref="B439:M439"/>
    <mergeCell ref="B449:D449"/>
    <mergeCell ref="L450:O450"/>
    <mergeCell ref="B452:D452"/>
    <mergeCell ref="E452:F452"/>
    <mergeCell ref="J454:K454"/>
    <mergeCell ref="G467:I467"/>
    <mergeCell ref="B440:P440"/>
    <mergeCell ref="P441:P442"/>
    <mergeCell ref="E458:F458"/>
    <mergeCell ref="B461:D461"/>
    <mergeCell ref="B460:D460"/>
    <mergeCell ref="E464:F464"/>
    <mergeCell ref="J450:K450"/>
    <mergeCell ref="C446:E446"/>
    <mergeCell ref="G452:I452"/>
    <mergeCell ref="G459:I459"/>
    <mergeCell ref="B462:D462"/>
    <mergeCell ref="J458:K458"/>
    <mergeCell ref="J456:K456"/>
    <mergeCell ref="G456:I456"/>
    <mergeCell ref="J482:M482"/>
    <mergeCell ref="C481:D481"/>
    <mergeCell ref="C480:D480"/>
    <mergeCell ref="F480:G480"/>
    <mergeCell ref="E435:F435"/>
    <mergeCell ref="E471:F471"/>
    <mergeCell ref="F482:G482"/>
    <mergeCell ref="C407:O407"/>
    <mergeCell ref="C427:O427"/>
    <mergeCell ref="C482:D482"/>
    <mergeCell ref="H482:I482"/>
    <mergeCell ref="B455:D455"/>
    <mergeCell ref="H481:I481"/>
    <mergeCell ref="G430:O430"/>
    <mergeCell ref="E462:F462"/>
    <mergeCell ref="F481:G481"/>
    <mergeCell ref="B447:O447"/>
    <mergeCell ref="B445:O445"/>
    <mergeCell ref="G468:I468"/>
    <mergeCell ref="L448:O448"/>
    <mergeCell ref="B459:D459"/>
    <mergeCell ref="B457:D457"/>
    <mergeCell ref="G431:O431"/>
    <mergeCell ref="C425:O425"/>
    <mergeCell ref="J455:K455"/>
    <mergeCell ref="B474:P474"/>
    <mergeCell ref="F479:G479"/>
    <mergeCell ref="H479:I479"/>
    <mergeCell ref="C478:D478"/>
    <mergeCell ref="B413:B416"/>
    <mergeCell ref="B420:M420"/>
    <mergeCell ref="H480:I480"/>
    <mergeCell ref="C426:O426"/>
    <mergeCell ref="E433:F433"/>
    <mergeCell ref="E454:F454"/>
    <mergeCell ref="E432:F432"/>
    <mergeCell ref="B422:O422"/>
    <mergeCell ref="B3:P3"/>
    <mergeCell ref="C16:D16"/>
    <mergeCell ref="C54:D54"/>
    <mergeCell ref="J54:K54"/>
    <mergeCell ref="E54:F54"/>
    <mergeCell ref="B47:P47"/>
    <mergeCell ref="B46:O46"/>
    <mergeCell ref="B43:P43"/>
    <mergeCell ref="B45:P45"/>
    <mergeCell ref="B44:P44"/>
    <mergeCell ref="B48:O48"/>
    <mergeCell ref="L49:N49"/>
    <mergeCell ref="L50:N50"/>
    <mergeCell ref="B51:O51"/>
    <mergeCell ref="C50:K50"/>
    <mergeCell ref="C49:K49"/>
    <mergeCell ref="L52:O52"/>
    <mergeCell ref="E19:F19"/>
    <mergeCell ref="G38:I38"/>
    <mergeCell ref="G13:I13"/>
    <mergeCell ref="E14:F14"/>
    <mergeCell ref="E18:F18"/>
    <mergeCell ref="J36:K36"/>
    <mergeCell ref="B39:D39"/>
    <mergeCell ref="B40:D40"/>
    <mergeCell ref="E37:F37"/>
    <mergeCell ref="G37:I37"/>
    <mergeCell ref="J37:K37"/>
    <mergeCell ref="B37:D37"/>
    <mergeCell ref="E16:F16"/>
    <mergeCell ref="L4:M4"/>
    <mergeCell ref="C4:D4"/>
    <mergeCell ref="C400:N400"/>
    <mergeCell ref="C404:O404"/>
    <mergeCell ref="B5:P5"/>
    <mergeCell ref="B42:P42"/>
    <mergeCell ref="B38:D38"/>
    <mergeCell ref="B6:P6"/>
    <mergeCell ref="E38:F38"/>
    <mergeCell ref="G52:K52"/>
    <mergeCell ref="G17:O17"/>
    <mergeCell ref="C15:K15"/>
    <mergeCell ref="P236:P237"/>
    <mergeCell ref="C89:K89"/>
    <mergeCell ref="B91:O91"/>
    <mergeCell ref="C94:D94"/>
    <mergeCell ref="J197:K197"/>
    <mergeCell ref="G55:O55"/>
    <mergeCell ref="C56:D56"/>
    <mergeCell ref="L56:O56"/>
    <mergeCell ref="C190:D190"/>
    <mergeCell ref="G56:I56"/>
    <mergeCell ref="G57:O57"/>
    <mergeCell ref="C55:D55"/>
    <mergeCell ref="B60:O60"/>
    <mergeCell ref="B61:O61"/>
    <mergeCell ref="B82:P82"/>
    <mergeCell ref="B73:D73"/>
    <mergeCell ref="B72:F72"/>
    <mergeCell ref="G73:I73"/>
    <mergeCell ref="L72:O72"/>
    <mergeCell ref="E69:O69"/>
    <mergeCell ref="E80:F80"/>
    <mergeCell ref="G72:K72"/>
    <mergeCell ref="E4:F4"/>
    <mergeCell ref="G4:I4"/>
    <mergeCell ref="B243:F243"/>
    <mergeCell ref="G260:O260"/>
    <mergeCell ref="E260:F260"/>
    <mergeCell ref="B250:E250"/>
    <mergeCell ref="C247:O247"/>
    <mergeCell ref="E258:F258"/>
    <mergeCell ref="G243:O243"/>
    <mergeCell ref="B246:O246"/>
    <mergeCell ref="B251:O251"/>
    <mergeCell ref="B255:O255"/>
    <mergeCell ref="E225:F225"/>
    <mergeCell ref="L222:O222"/>
    <mergeCell ref="G221:K221"/>
    <mergeCell ref="L15:N15"/>
    <mergeCell ref="C223:D223"/>
    <mergeCell ref="C183:N183"/>
    <mergeCell ref="E177:F177"/>
    <mergeCell ref="G177:O177"/>
    <mergeCell ref="L152:O152"/>
    <mergeCell ref="G258:O258"/>
    <mergeCell ref="G157:I157"/>
    <mergeCell ref="J157:K157"/>
    <mergeCell ref="B113:D113"/>
    <mergeCell ref="E55:F55"/>
    <mergeCell ref="E222:F222"/>
    <mergeCell ref="H217:O217"/>
    <mergeCell ref="J12:K12"/>
    <mergeCell ref="C57:D57"/>
    <mergeCell ref="B196:D196"/>
    <mergeCell ref="G197:I197"/>
    <mergeCell ref="B237:O237"/>
    <mergeCell ref="B209:E212"/>
    <mergeCell ref="F212:G212"/>
    <mergeCell ref="H210:O210"/>
    <mergeCell ref="B213:O213"/>
    <mergeCell ref="H211:O211"/>
    <mergeCell ref="E197:F197"/>
    <mergeCell ref="C238:N238"/>
    <mergeCell ref="B236:O236"/>
    <mergeCell ref="J224:K224"/>
    <mergeCell ref="G223:O223"/>
    <mergeCell ref="C224:D224"/>
    <mergeCell ref="G231:O231"/>
    <mergeCell ref="B240:O240"/>
    <mergeCell ref="G242:O242"/>
    <mergeCell ref="C239:N239"/>
    <mergeCell ref="L224:O224"/>
    <mergeCell ref="C228:D228"/>
    <mergeCell ref="G228:I228"/>
    <mergeCell ref="F210:G210"/>
    <mergeCell ref="H212:O212"/>
    <mergeCell ref="F215:G215"/>
    <mergeCell ref="B207:O207"/>
    <mergeCell ref="J230:K230"/>
    <mergeCell ref="E230:F230"/>
    <mergeCell ref="L197:O200"/>
    <mergeCell ref="B201:O201"/>
    <mergeCell ref="E229:F229"/>
    <mergeCell ref="B203:O203"/>
    <mergeCell ref="B204:P204"/>
    <mergeCell ref="P192:P201"/>
    <mergeCell ref="G192:K192"/>
    <mergeCell ref="G248:O248"/>
    <mergeCell ref="B226:N226"/>
    <mergeCell ref="E223:F223"/>
    <mergeCell ref="AJ208:AN208"/>
    <mergeCell ref="E224:F224"/>
    <mergeCell ref="Z208:AB208"/>
    <mergeCell ref="F209:G209"/>
    <mergeCell ref="H209:O209"/>
    <mergeCell ref="E196:F196"/>
    <mergeCell ref="G196:I196"/>
    <mergeCell ref="J196:K196"/>
    <mergeCell ref="E193:F193"/>
    <mergeCell ref="L221:O221"/>
    <mergeCell ref="B214:O214"/>
    <mergeCell ref="V221:W221"/>
    <mergeCell ref="J195:K195"/>
    <mergeCell ref="B205:O205"/>
    <mergeCell ref="J198:K198"/>
    <mergeCell ref="G199:I199"/>
    <mergeCell ref="B197:D197"/>
    <mergeCell ref="B199:D199"/>
    <mergeCell ref="B200:D200"/>
    <mergeCell ref="J200:K200"/>
    <mergeCell ref="G224:I224"/>
    <mergeCell ref="G222:I222"/>
    <mergeCell ref="J199:K199"/>
    <mergeCell ref="J194:K194"/>
    <mergeCell ref="E200:F200"/>
    <mergeCell ref="G200:I200"/>
    <mergeCell ref="G195:I195"/>
    <mergeCell ref="B206:O206"/>
    <mergeCell ref="G198:I198"/>
    <mergeCell ref="B193:D193"/>
    <mergeCell ref="G193:I193"/>
    <mergeCell ref="J193:K193"/>
    <mergeCell ref="C182:N182"/>
    <mergeCell ref="E188:O188"/>
    <mergeCell ref="C188:D188"/>
    <mergeCell ref="F211:G211"/>
    <mergeCell ref="C150:D150"/>
    <mergeCell ref="E115:F115"/>
    <mergeCell ref="B123:P123"/>
    <mergeCell ref="B124:P124"/>
    <mergeCell ref="J133:K133"/>
    <mergeCell ref="G176:I176"/>
    <mergeCell ref="C176:D176"/>
    <mergeCell ref="L176:O176"/>
    <mergeCell ref="C175:D175"/>
    <mergeCell ref="J176:K176"/>
    <mergeCell ref="E175:F175"/>
    <mergeCell ref="G175:O175"/>
    <mergeCell ref="E133:F133"/>
    <mergeCell ref="G133:I133"/>
    <mergeCell ref="E134:F134"/>
    <mergeCell ref="L133:O133"/>
    <mergeCell ref="E136:F136"/>
    <mergeCell ref="G135:O135"/>
    <mergeCell ref="B168:O168"/>
    <mergeCell ref="P168:P178"/>
    <mergeCell ref="L170:N170"/>
    <mergeCell ref="B171:O171"/>
    <mergeCell ref="C170:K170"/>
    <mergeCell ref="L136:O136"/>
    <mergeCell ref="B145:O145"/>
    <mergeCell ref="L174:O174"/>
    <mergeCell ref="C174:D174"/>
    <mergeCell ref="J174:K174"/>
    <mergeCell ref="B167:P167"/>
    <mergeCell ref="G158:I158"/>
    <mergeCell ref="C172:F172"/>
    <mergeCell ref="G172:K172"/>
    <mergeCell ref="B158:D158"/>
    <mergeCell ref="B154:D154"/>
    <mergeCell ref="E154:F154"/>
    <mergeCell ref="L173:O173"/>
    <mergeCell ref="E173:F173"/>
    <mergeCell ref="E174:F174"/>
    <mergeCell ref="L172:O172"/>
    <mergeCell ref="B164:P164"/>
    <mergeCell ref="G174:I174"/>
    <mergeCell ref="B155:D155"/>
    <mergeCell ref="J160:K160"/>
    <mergeCell ref="T165:T166"/>
    <mergeCell ref="B166:O166"/>
    <mergeCell ref="C173:D173"/>
    <mergeCell ref="L153:O154"/>
    <mergeCell ref="G153:I153"/>
    <mergeCell ref="J153:K153"/>
    <mergeCell ref="J155:K155"/>
    <mergeCell ref="J154:K154"/>
    <mergeCell ref="G154:I154"/>
    <mergeCell ref="B165:P165"/>
    <mergeCell ref="B159:D159"/>
    <mergeCell ref="E158:F158"/>
    <mergeCell ref="G159:I159"/>
    <mergeCell ref="E153:F153"/>
    <mergeCell ref="C129:K129"/>
    <mergeCell ref="C133:D133"/>
    <mergeCell ref="J136:K136"/>
    <mergeCell ref="C143:N143"/>
    <mergeCell ref="B144:O144"/>
    <mergeCell ref="C142:N142"/>
    <mergeCell ref="C149:D149"/>
    <mergeCell ref="B156:D156"/>
    <mergeCell ref="B151:O151"/>
    <mergeCell ref="P152:P161"/>
    <mergeCell ref="B152:F152"/>
    <mergeCell ref="L157:O160"/>
    <mergeCell ref="B161:O161"/>
    <mergeCell ref="E155:F155"/>
    <mergeCell ref="E159:F159"/>
    <mergeCell ref="E160:F160"/>
    <mergeCell ref="B160:D160"/>
    <mergeCell ref="B116:D116"/>
    <mergeCell ref="B118:D118"/>
    <mergeCell ref="J119:K119"/>
    <mergeCell ref="B126:O126"/>
    <mergeCell ref="B127:P127"/>
    <mergeCell ref="L130:N130"/>
    <mergeCell ref="L129:N129"/>
    <mergeCell ref="L134:O134"/>
    <mergeCell ref="G134:I134"/>
    <mergeCell ref="C135:D135"/>
    <mergeCell ref="G119:I119"/>
    <mergeCell ref="L117:O120"/>
    <mergeCell ref="B121:O121"/>
    <mergeCell ref="B122:P122"/>
    <mergeCell ref="C132:F132"/>
    <mergeCell ref="P128:P138"/>
    <mergeCell ref="J134:K134"/>
    <mergeCell ref="C134:D134"/>
    <mergeCell ref="E135:F135"/>
    <mergeCell ref="C137:D137"/>
    <mergeCell ref="C130:K130"/>
    <mergeCell ref="G132:K132"/>
    <mergeCell ref="G136:I136"/>
    <mergeCell ref="B131:O131"/>
    <mergeCell ref="C70:D70"/>
    <mergeCell ref="E70:O70"/>
    <mergeCell ref="J77:K77"/>
    <mergeCell ref="B78:D78"/>
    <mergeCell ref="B80:D80"/>
    <mergeCell ref="G77:I77"/>
    <mergeCell ref="B84:P84"/>
    <mergeCell ref="E73:F73"/>
    <mergeCell ref="B74:D74"/>
    <mergeCell ref="E74:F74"/>
    <mergeCell ref="B75:D75"/>
    <mergeCell ref="J73:K73"/>
    <mergeCell ref="P88:P98"/>
    <mergeCell ref="L93:O93"/>
    <mergeCell ref="C97:D97"/>
    <mergeCell ref="C95:D95"/>
    <mergeCell ref="G96:I96"/>
    <mergeCell ref="E97:F97"/>
    <mergeCell ref="G97:O97"/>
    <mergeCell ref="G93:I93"/>
    <mergeCell ref="E75:F75"/>
    <mergeCell ref="B77:D77"/>
    <mergeCell ref="G80:I80"/>
    <mergeCell ref="E17:F17"/>
    <mergeCell ref="E31:O31"/>
    <mergeCell ref="N106:O106"/>
    <mergeCell ref="J93:K93"/>
    <mergeCell ref="G94:I94"/>
    <mergeCell ref="L92:O92"/>
    <mergeCell ref="C90:K90"/>
    <mergeCell ref="C92:F92"/>
    <mergeCell ref="G92:K92"/>
    <mergeCell ref="C96:D96"/>
    <mergeCell ref="B106:M106"/>
    <mergeCell ref="L94:O94"/>
    <mergeCell ref="C93:D93"/>
    <mergeCell ref="E94:F94"/>
    <mergeCell ref="L96:O96"/>
    <mergeCell ref="E96:F96"/>
    <mergeCell ref="J96:K96"/>
    <mergeCell ref="E93:F93"/>
    <mergeCell ref="E77:F77"/>
    <mergeCell ref="J75:K75"/>
    <mergeCell ref="E78:F78"/>
    <mergeCell ref="G78:I78"/>
    <mergeCell ref="J18:K18"/>
    <mergeCell ref="L73:O74"/>
    <mergeCell ref="C63:N63"/>
    <mergeCell ref="B64:O64"/>
    <mergeCell ref="C62:N62"/>
    <mergeCell ref="B83:P83"/>
    <mergeCell ref="B79:D79"/>
    <mergeCell ref="L89:N89"/>
    <mergeCell ref="L90:N90"/>
    <mergeCell ref="C69:D69"/>
    <mergeCell ref="C13:D13"/>
    <mergeCell ref="Y62:Y63"/>
    <mergeCell ref="V12:W12"/>
    <mergeCell ref="T7:T8"/>
    <mergeCell ref="B8:O8"/>
    <mergeCell ref="B9:P9"/>
    <mergeCell ref="B10:O10"/>
    <mergeCell ref="G11:K11"/>
    <mergeCell ref="B7:P7"/>
    <mergeCell ref="G35:I35"/>
    <mergeCell ref="G36:I36"/>
    <mergeCell ref="L33:O34"/>
    <mergeCell ref="J13:K13"/>
    <mergeCell ref="L12:O12"/>
    <mergeCell ref="B22:O22"/>
    <mergeCell ref="B23:O23"/>
    <mergeCell ref="G34:I34"/>
    <mergeCell ref="E12:F12"/>
    <mergeCell ref="E13:F13"/>
    <mergeCell ref="C14:D14"/>
    <mergeCell ref="S23:U23"/>
    <mergeCell ref="R28:S28"/>
    <mergeCell ref="C17:D17"/>
    <mergeCell ref="P10:P20"/>
    <mergeCell ref="C19:D19"/>
    <mergeCell ref="C11:F11"/>
    <mergeCell ref="C18:D18"/>
    <mergeCell ref="J16:K16"/>
    <mergeCell ref="T11:U11"/>
    <mergeCell ref="B36:D36"/>
    <mergeCell ref="E36:F36"/>
    <mergeCell ref="J39:K39"/>
    <mergeCell ref="L16:O16"/>
    <mergeCell ref="G19:O19"/>
    <mergeCell ref="C31:D31"/>
    <mergeCell ref="E34:F34"/>
    <mergeCell ref="B35:D35"/>
    <mergeCell ref="E35:F35"/>
    <mergeCell ref="B32:O32"/>
    <mergeCell ref="T45:T46"/>
    <mergeCell ref="L53:O53"/>
    <mergeCell ref="C53:D53"/>
    <mergeCell ref="J53:K53"/>
    <mergeCell ref="E53:F53"/>
    <mergeCell ref="G53:I53"/>
    <mergeCell ref="P48:P58"/>
    <mergeCell ref="G54:I54"/>
    <mergeCell ref="L54:O54"/>
    <mergeCell ref="B33:F33"/>
    <mergeCell ref="L37:O40"/>
    <mergeCell ref="B41:O41"/>
    <mergeCell ref="C25:N25"/>
    <mergeCell ref="B26:O26"/>
    <mergeCell ref="C24:N24"/>
    <mergeCell ref="G39:I39"/>
    <mergeCell ref="P33:P41"/>
    <mergeCell ref="J35:K35"/>
    <mergeCell ref="J34:K34"/>
    <mergeCell ref="L35:O36"/>
    <mergeCell ref="B34:D34"/>
    <mergeCell ref="E40:F40"/>
    <mergeCell ref="G40:I40"/>
    <mergeCell ref="J40:K40"/>
    <mergeCell ref="E39:F39"/>
    <mergeCell ref="R89:R90"/>
    <mergeCell ref="T85:T86"/>
    <mergeCell ref="B86:O86"/>
    <mergeCell ref="B87:P87"/>
    <mergeCell ref="B85:P85"/>
    <mergeCell ref="B81:O81"/>
    <mergeCell ref="C110:D110"/>
    <mergeCell ref="B111:O111"/>
    <mergeCell ref="E119:F119"/>
    <mergeCell ref="E108:O108"/>
    <mergeCell ref="J120:K120"/>
    <mergeCell ref="C108:D108"/>
    <mergeCell ref="AJ215:AN215"/>
    <mergeCell ref="T216:U216"/>
    <mergeCell ref="E228:F228"/>
    <mergeCell ref="T217:U217"/>
    <mergeCell ref="T218:U218"/>
    <mergeCell ref="H219:O219"/>
    <mergeCell ref="J222:K222"/>
    <mergeCell ref="B215:E219"/>
    <mergeCell ref="H215:O215"/>
    <mergeCell ref="F216:G216"/>
    <mergeCell ref="H216:O216"/>
    <mergeCell ref="H218:O218"/>
    <mergeCell ref="AD223:AG223"/>
    <mergeCell ref="Z215:AB215"/>
    <mergeCell ref="L113:O114"/>
    <mergeCell ref="G95:O95"/>
    <mergeCell ref="B114:D114"/>
    <mergeCell ref="E95:F95"/>
    <mergeCell ref="G113:I113"/>
    <mergeCell ref="E109:O109"/>
    <mergeCell ref="B372:O372"/>
    <mergeCell ref="G367:I367"/>
    <mergeCell ref="E345:F345"/>
    <mergeCell ref="J343:K343"/>
    <mergeCell ref="P270:P275"/>
    <mergeCell ref="F312:L312"/>
    <mergeCell ref="G348:I348"/>
    <mergeCell ref="E349:F349"/>
    <mergeCell ref="B348:D348"/>
    <mergeCell ref="E348:F348"/>
    <mergeCell ref="F316:L316"/>
    <mergeCell ref="F299:O299"/>
    <mergeCell ref="L270:M270"/>
    <mergeCell ref="L347:O352"/>
    <mergeCell ref="J364:K364"/>
    <mergeCell ref="B359:D359"/>
    <mergeCell ref="L341:O341"/>
    <mergeCell ref="J346:K346"/>
    <mergeCell ref="J342:K342"/>
    <mergeCell ref="G341:K341"/>
    <mergeCell ref="N306:P306"/>
    <mergeCell ref="B342:D342"/>
    <mergeCell ref="B329:D329"/>
    <mergeCell ref="E342:F342"/>
    <mergeCell ref="B336:D336"/>
    <mergeCell ref="F310:L310"/>
    <mergeCell ref="F315:L315"/>
    <mergeCell ref="B337:O337"/>
    <mergeCell ref="P382:P387"/>
    <mergeCell ref="C385:D385"/>
    <mergeCell ref="L362:O367"/>
    <mergeCell ref="E346:F346"/>
    <mergeCell ref="G378:O378"/>
    <mergeCell ref="E356:F356"/>
    <mergeCell ref="E363:F363"/>
    <mergeCell ref="J361:K361"/>
    <mergeCell ref="J353:K353"/>
    <mergeCell ref="B361:D361"/>
    <mergeCell ref="G358:I358"/>
    <mergeCell ref="G356:I356"/>
    <mergeCell ref="E357:F357"/>
    <mergeCell ref="E360:F360"/>
    <mergeCell ref="J367:K367"/>
    <mergeCell ref="C379:D379"/>
    <mergeCell ref="J379:K379"/>
    <mergeCell ref="J383:K383"/>
    <mergeCell ref="E377:F377"/>
    <mergeCell ref="E378:F378"/>
    <mergeCell ref="B375:O375"/>
    <mergeCell ref="B373:O373"/>
    <mergeCell ref="P375:P380"/>
    <mergeCell ref="J377:K377"/>
    <mergeCell ref="L377:O377"/>
    <mergeCell ref="G380:O380"/>
    <mergeCell ref="G376:K376"/>
    <mergeCell ref="L379:O379"/>
    <mergeCell ref="J358:K358"/>
    <mergeCell ref="B362:D362"/>
    <mergeCell ref="J359:K359"/>
    <mergeCell ref="G360:I360"/>
    <mergeCell ref="Z253:AB253"/>
    <mergeCell ref="B293:D302"/>
    <mergeCell ref="B281:D285"/>
    <mergeCell ref="F330:L330"/>
    <mergeCell ref="F326:L326"/>
    <mergeCell ref="F327:L327"/>
    <mergeCell ref="F323:L323"/>
    <mergeCell ref="B328:O328"/>
    <mergeCell ref="C272:E272"/>
    <mergeCell ref="B286:L286"/>
    <mergeCell ref="L272:M272"/>
    <mergeCell ref="F272:K272"/>
    <mergeCell ref="C271:E271"/>
    <mergeCell ref="E358:F358"/>
    <mergeCell ref="B307:M307"/>
    <mergeCell ref="B306:M306"/>
    <mergeCell ref="F313:L313"/>
    <mergeCell ref="G357:I357"/>
    <mergeCell ref="J347:K347"/>
    <mergeCell ref="B351:D351"/>
    <mergeCell ref="E355:F355"/>
    <mergeCell ref="E354:F354"/>
    <mergeCell ref="E352:F352"/>
    <mergeCell ref="J352:K352"/>
    <mergeCell ref="E353:F353"/>
    <mergeCell ref="AA295:AB295"/>
    <mergeCell ref="G263:O263"/>
    <mergeCell ref="F332:L332"/>
    <mergeCell ref="L342:O346"/>
    <mergeCell ref="F331:L331"/>
    <mergeCell ref="G342:I342"/>
    <mergeCell ref="F336:L336"/>
    <mergeCell ref="AJ411:AN411"/>
    <mergeCell ref="B406:O406"/>
    <mergeCell ref="J386:K386"/>
    <mergeCell ref="G385:I385"/>
    <mergeCell ref="C397:N397"/>
    <mergeCell ref="C392:O392"/>
    <mergeCell ref="F319:L319"/>
    <mergeCell ref="B408:P408"/>
    <mergeCell ref="P394:P395"/>
    <mergeCell ref="B388:O388"/>
    <mergeCell ref="B390:O390"/>
    <mergeCell ref="P390:P391"/>
    <mergeCell ref="C387:D387"/>
    <mergeCell ref="G387:I387"/>
    <mergeCell ref="E387:F387"/>
    <mergeCell ref="G379:I379"/>
    <mergeCell ref="G366:I366"/>
    <mergeCell ref="E386:F386"/>
    <mergeCell ref="L386:O386"/>
    <mergeCell ref="L353:O358"/>
    <mergeCell ref="G349:I349"/>
    <mergeCell ref="J355:K355"/>
    <mergeCell ref="B374:O374"/>
    <mergeCell ref="B358:D358"/>
    <mergeCell ref="B356:D356"/>
    <mergeCell ref="B341:F341"/>
    <mergeCell ref="C382:D382"/>
    <mergeCell ref="B369:P369"/>
    <mergeCell ref="C380:D380"/>
    <mergeCell ref="J385:K385"/>
    <mergeCell ref="J382:K382"/>
    <mergeCell ref="J344:K344"/>
    <mergeCell ref="C376:F376"/>
    <mergeCell ref="L376:O376"/>
    <mergeCell ref="B381:G381"/>
    <mergeCell ref="E382:F382"/>
    <mergeCell ref="L382:O382"/>
    <mergeCell ref="L383:O383"/>
    <mergeCell ref="B355:D355"/>
    <mergeCell ref="G377:I377"/>
    <mergeCell ref="B253:M253"/>
    <mergeCell ref="F298:L298"/>
    <mergeCell ref="N274:O274"/>
    <mergeCell ref="B268:O268"/>
    <mergeCell ref="B266:O266"/>
    <mergeCell ref="B265:O265"/>
    <mergeCell ref="F309:L309"/>
    <mergeCell ref="G345:I345"/>
    <mergeCell ref="J345:K345"/>
    <mergeCell ref="E380:F380"/>
    <mergeCell ref="E351:F351"/>
    <mergeCell ref="B366:D366"/>
    <mergeCell ref="E364:F364"/>
    <mergeCell ref="F329:L329"/>
    <mergeCell ref="B335:O335"/>
    <mergeCell ref="F300:L300"/>
    <mergeCell ref="F301:L301"/>
    <mergeCell ref="L273:M273"/>
    <mergeCell ref="F311:L311"/>
    <mergeCell ref="F334:L334"/>
    <mergeCell ref="E366:F366"/>
    <mergeCell ref="J360:K360"/>
    <mergeCell ref="G354:I354"/>
    <mergeCell ref="B370:P370"/>
    <mergeCell ref="G471:I471"/>
    <mergeCell ref="P397:P400"/>
    <mergeCell ref="F294:L294"/>
    <mergeCell ref="E365:F365"/>
    <mergeCell ref="B363:D363"/>
    <mergeCell ref="B423:O423"/>
    <mergeCell ref="J365:K365"/>
    <mergeCell ref="B367:D367"/>
    <mergeCell ref="J363:K363"/>
    <mergeCell ref="G364:I364"/>
    <mergeCell ref="B365:D365"/>
    <mergeCell ref="F317:L317"/>
    <mergeCell ref="F318:O318"/>
    <mergeCell ref="E344:F344"/>
    <mergeCell ref="G365:I365"/>
    <mergeCell ref="D418:O418"/>
    <mergeCell ref="B389:O389"/>
    <mergeCell ref="F302:L302"/>
    <mergeCell ref="B338:O338"/>
    <mergeCell ref="E347:F347"/>
    <mergeCell ref="B332:D334"/>
    <mergeCell ref="F333:L333"/>
    <mergeCell ref="G350:I350"/>
    <mergeCell ref="J351:K351"/>
    <mergeCell ref="B352:D352"/>
    <mergeCell ref="E350:F350"/>
    <mergeCell ref="B350:D350"/>
    <mergeCell ref="F322:L322"/>
    <mergeCell ref="E361:F361"/>
    <mergeCell ref="E359:F359"/>
    <mergeCell ref="B357:D357"/>
    <mergeCell ref="B323:D327"/>
    <mergeCell ref="C102:N102"/>
    <mergeCell ref="L112:O112"/>
    <mergeCell ref="G114:I114"/>
    <mergeCell ref="C103:N103"/>
    <mergeCell ref="B104:O104"/>
    <mergeCell ref="E110:O110"/>
    <mergeCell ref="G115:I115"/>
    <mergeCell ref="G118:I118"/>
    <mergeCell ref="L77:O80"/>
    <mergeCell ref="G120:I120"/>
    <mergeCell ref="B105:O105"/>
    <mergeCell ref="E156:F156"/>
    <mergeCell ref="E113:F113"/>
    <mergeCell ref="B303:O303"/>
    <mergeCell ref="F324:L324"/>
    <mergeCell ref="B279:L279"/>
    <mergeCell ref="C275:O275"/>
    <mergeCell ref="N267:O267"/>
    <mergeCell ref="B304:P304"/>
    <mergeCell ref="F296:L296"/>
    <mergeCell ref="F314:L314"/>
    <mergeCell ref="N270:O270"/>
    <mergeCell ref="F289:L289"/>
    <mergeCell ref="B280:L280"/>
    <mergeCell ref="B267:M267"/>
    <mergeCell ref="F290:L290"/>
    <mergeCell ref="E263:F263"/>
    <mergeCell ref="N254:O254"/>
    <mergeCell ref="B254:M254"/>
    <mergeCell ref="E259:F259"/>
    <mergeCell ref="G261:O261"/>
    <mergeCell ref="F288:L288"/>
    <mergeCell ref="J4:K4"/>
    <mergeCell ref="J114:K114"/>
    <mergeCell ref="J94:K94"/>
    <mergeCell ref="J79:K79"/>
    <mergeCell ref="G74:I74"/>
    <mergeCell ref="J80:K80"/>
    <mergeCell ref="G79:I79"/>
    <mergeCell ref="B27:O27"/>
    <mergeCell ref="C30:D30"/>
    <mergeCell ref="E30:O30"/>
    <mergeCell ref="G12:I12"/>
    <mergeCell ref="L11:O11"/>
    <mergeCell ref="C12:D12"/>
    <mergeCell ref="G14:O14"/>
    <mergeCell ref="L13:O13"/>
    <mergeCell ref="B88:O88"/>
    <mergeCell ref="B100:O100"/>
    <mergeCell ref="B65:O65"/>
    <mergeCell ref="G112:K112"/>
    <mergeCell ref="E68:O68"/>
    <mergeCell ref="B71:O71"/>
    <mergeCell ref="C68:D68"/>
    <mergeCell ref="G16:I16"/>
    <mergeCell ref="G18:I18"/>
    <mergeCell ref="G75:I75"/>
    <mergeCell ref="B101:O101"/>
    <mergeCell ref="C109:D109"/>
    <mergeCell ref="B112:F112"/>
    <mergeCell ref="G33:K33"/>
    <mergeCell ref="C52:F52"/>
    <mergeCell ref="J74:K74"/>
    <mergeCell ref="J113:K113"/>
    <mergeCell ref="S61:U61"/>
    <mergeCell ref="R66:S66"/>
    <mergeCell ref="J460:K460"/>
    <mergeCell ref="G461:I461"/>
    <mergeCell ref="J468:K468"/>
    <mergeCell ref="G469:I469"/>
    <mergeCell ref="J469:K469"/>
    <mergeCell ref="L446:M446"/>
    <mergeCell ref="N446:O446"/>
    <mergeCell ref="J362:K362"/>
    <mergeCell ref="G359:I359"/>
    <mergeCell ref="J366:K366"/>
    <mergeCell ref="J354:K354"/>
    <mergeCell ref="J356:K356"/>
    <mergeCell ref="B394:O394"/>
    <mergeCell ref="B401:I401"/>
    <mergeCell ref="B403:O403"/>
    <mergeCell ref="B395:O395"/>
    <mergeCell ref="G448:K448"/>
    <mergeCell ref="L384:O384"/>
    <mergeCell ref="B405:O405"/>
    <mergeCell ref="E431:F431"/>
    <mergeCell ref="J462:K462"/>
    <mergeCell ref="G455:I455"/>
    <mergeCell ref="J357:K357"/>
    <mergeCell ref="E459:F459"/>
    <mergeCell ref="B429:O429"/>
    <mergeCell ref="E436:F436"/>
    <mergeCell ref="B409:P409"/>
    <mergeCell ref="J158:K158"/>
    <mergeCell ref="E137:F137"/>
    <mergeCell ref="G137:O137"/>
    <mergeCell ref="J453:K453"/>
    <mergeCell ref="J452:K452"/>
    <mergeCell ref="E430:F430"/>
    <mergeCell ref="E114:F114"/>
    <mergeCell ref="B264:O264"/>
    <mergeCell ref="E343:F343"/>
    <mergeCell ref="G343:I343"/>
    <mergeCell ref="G355:I355"/>
    <mergeCell ref="F325:L325"/>
    <mergeCell ref="B340:P340"/>
    <mergeCell ref="B117:D117"/>
    <mergeCell ref="E117:F117"/>
    <mergeCell ref="B354:D354"/>
    <mergeCell ref="B353:D353"/>
    <mergeCell ref="G384:I384"/>
    <mergeCell ref="G363:I363"/>
    <mergeCell ref="G346:I346"/>
    <mergeCell ref="G347:I347"/>
    <mergeCell ref="B349:D349"/>
    <mergeCell ref="J115:K115"/>
    <mergeCell ref="G344:I344"/>
    <mergeCell ref="L132:O132"/>
    <mergeCell ref="J156:K156"/>
    <mergeCell ref="G155:I155"/>
    <mergeCell ref="B153:D153"/>
    <mergeCell ref="G152:K152"/>
    <mergeCell ref="G351:I351"/>
    <mergeCell ref="B269:O269"/>
    <mergeCell ref="N273:O273"/>
    <mergeCell ref="N272:O272"/>
    <mergeCell ref="B277:P277"/>
    <mergeCell ref="M279:M280"/>
    <mergeCell ref="G194:I194"/>
    <mergeCell ref="H250:O250"/>
    <mergeCell ref="B252:O252"/>
    <mergeCell ref="P341:P368"/>
    <mergeCell ref="G352:I352"/>
    <mergeCell ref="B339:P339"/>
    <mergeCell ref="B371:O371"/>
    <mergeCell ref="E199:F199"/>
    <mergeCell ref="J349:K349"/>
    <mergeCell ref="P112:P121"/>
    <mergeCell ref="J159:K159"/>
    <mergeCell ref="F273:K273"/>
    <mergeCell ref="B276:O276"/>
    <mergeCell ref="F283:L283"/>
    <mergeCell ref="B305:P305"/>
    <mergeCell ref="F291:L291"/>
    <mergeCell ref="E116:F116"/>
    <mergeCell ref="N292:O292"/>
    <mergeCell ref="F284:L284"/>
    <mergeCell ref="F281:L281"/>
    <mergeCell ref="C273:E273"/>
    <mergeCell ref="F293:L293"/>
    <mergeCell ref="F295:L295"/>
    <mergeCell ref="C274:E274"/>
    <mergeCell ref="B321:D322"/>
    <mergeCell ref="B320:O320"/>
    <mergeCell ref="F321:L321"/>
    <mergeCell ref="L274:M274"/>
    <mergeCell ref="J118:K118"/>
    <mergeCell ref="G116:I116"/>
    <mergeCell ref="B125:P125"/>
    <mergeCell ref="J116:K116"/>
    <mergeCell ref="C378:D378"/>
    <mergeCell ref="B368:O368"/>
    <mergeCell ref="E362:F362"/>
    <mergeCell ref="P430:P436"/>
    <mergeCell ref="B391:O391"/>
    <mergeCell ref="B115:D115"/>
    <mergeCell ref="W377:X377"/>
    <mergeCell ref="E367:F367"/>
    <mergeCell ref="P448:P472"/>
    <mergeCell ref="G117:I117"/>
    <mergeCell ref="J117:K117"/>
    <mergeCell ref="B331:D331"/>
    <mergeCell ref="B330:D330"/>
    <mergeCell ref="F308:L308"/>
    <mergeCell ref="N271:O271"/>
    <mergeCell ref="L271:M271"/>
    <mergeCell ref="C270:E270"/>
    <mergeCell ref="N279:P279"/>
    <mergeCell ref="B278:P278"/>
    <mergeCell ref="F271:K271"/>
    <mergeCell ref="F274:K274"/>
    <mergeCell ref="F297:L297"/>
    <mergeCell ref="J350:K350"/>
    <mergeCell ref="G361:I361"/>
    <mergeCell ref="F208:G208"/>
    <mergeCell ref="G464:I464"/>
    <mergeCell ref="J461:K461"/>
    <mergeCell ref="J451:K451"/>
    <mergeCell ref="J459:K459"/>
    <mergeCell ref="E463:F463"/>
    <mergeCell ref="J457:K457"/>
    <mergeCell ref="B208:E208"/>
    <mergeCell ref="B504:D506"/>
    <mergeCell ref="C507:D507"/>
    <mergeCell ref="R420:R421"/>
    <mergeCell ref="AA296:AB296"/>
    <mergeCell ref="AA297:AB297"/>
    <mergeCell ref="V376:Y376"/>
    <mergeCell ref="E468:F468"/>
    <mergeCell ref="E467:F467"/>
    <mergeCell ref="E465:F465"/>
    <mergeCell ref="E466:F466"/>
    <mergeCell ref="B466:D466"/>
    <mergeCell ref="G353:I353"/>
    <mergeCell ref="Y446:Z446"/>
    <mergeCell ref="G462:I462"/>
    <mergeCell ref="P257:P263"/>
    <mergeCell ref="H208:O208"/>
    <mergeCell ref="W458:W460"/>
    <mergeCell ref="F287:L287"/>
    <mergeCell ref="F285:L285"/>
    <mergeCell ref="J348:K348"/>
    <mergeCell ref="B444:O444"/>
    <mergeCell ref="B411:B412"/>
    <mergeCell ref="G457:I457"/>
    <mergeCell ref="G362:I362"/>
    <mergeCell ref="C412:O412"/>
    <mergeCell ref="B364:D364"/>
    <mergeCell ref="E383:F383"/>
    <mergeCell ref="G382:I382"/>
    <mergeCell ref="C399:N399"/>
    <mergeCell ref="C384:D384"/>
    <mergeCell ref="G383:I383"/>
    <mergeCell ref="C383:D383"/>
    <mergeCell ref="B428:O428"/>
    <mergeCell ref="G458:I458"/>
    <mergeCell ref="B393:O393"/>
    <mergeCell ref="B402:O402"/>
    <mergeCell ref="G434:O434"/>
    <mergeCell ref="E457:F457"/>
    <mergeCell ref="Y52:AA52"/>
    <mergeCell ref="Y92:AA92"/>
    <mergeCell ref="K98:N98"/>
    <mergeCell ref="K99:O99"/>
    <mergeCell ref="E98:J99"/>
    <mergeCell ref="C99:D99"/>
    <mergeCell ref="Y11:AB11"/>
    <mergeCell ref="K20:N20"/>
    <mergeCell ref="K21:O21"/>
    <mergeCell ref="E20:J21"/>
    <mergeCell ref="C21:D21"/>
    <mergeCell ref="G156:I156"/>
    <mergeCell ref="E384:F384"/>
    <mergeCell ref="E379:F379"/>
    <mergeCell ref="J387:K387"/>
    <mergeCell ref="C386:D386"/>
    <mergeCell ref="C398:N398"/>
    <mergeCell ref="G386:I386"/>
    <mergeCell ref="L387:O387"/>
    <mergeCell ref="L385:O385"/>
    <mergeCell ref="E385:F385"/>
    <mergeCell ref="J384:K384"/>
    <mergeCell ref="B419:O419"/>
    <mergeCell ref="D417:O417"/>
    <mergeCell ref="B410:O410"/>
    <mergeCell ref="C411:O411"/>
  </mergeCells>
  <phoneticPr fontId="0" type="noConversion"/>
  <conditionalFormatting sqref="J450:K450">
    <cfRule type="cellIs" dxfId="18" priority="138" stopIfTrue="1" operator="lessThan">
      <formula>$Y$449</formula>
    </cfRule>
  </conditionalFormatting>
  <dataValidations xWindow="789" yWindow="454" count="112">
    <dataValidation type="list" allowBlank="1" showInputMessage="1" showErrorMessage="1" promptTitle="Great toe amputation" prompt="Select extent of loss." sqref="B8:O8" xr:uid="{00000000-0002-0000-0600-000000000000}">
      <formula1>$U$7:$AO$7</formula1>
    </dataValidation>
    <dataValidation type="list" allowBlank="1" showInputMessage="1" showErrorMessage="1" promptTitle="Sensation loss" prompt="Select partial or total. Partial is part of the toe. Total means the entire toe." sqref="C24:N24" xr:uid="{00000000-0002-0000-0600-000001000000}">
      <formula1>$S$24:$U$24</formula1>
    </dataValidation>
    <dataValidation type="list" allowBlank="1" showInputMessage="1" showErrorMessage="1" promptTitle="Hypersensitivity" prompt="Select partial or total. Partial is part of the toe. Total means the entire toe." sqref="C25:N25" xr:uid="{00000000-0002-0000-0600-000002000000}">
      <formula1>$S$25:$U$25</formula1>
    </dataValidation>
    <dataValidation type="list" allowBlank="1" showInputMessage="1" showErrorMessage="1" promptTitle="Second toe amputation" prompt="Select extent of loss." sqref="B46:O46" xr:uid="{00000000-0002-0000-0600-000003000000}">
      <formula1>$U$45:$AO$45</formula1>
    </dataValidation>
    <dataValidation type="list" showInputMessage="1" showErrorMessage="1" promptTitle="Second toe ROM" prompt="Enter retained degrees of motion, metatarsophalangeal joint, dorsiflexion (extension). If joint was not affected by the injury, select &quot;NA&quot; or leave blank." sqref="C54:D54" xr:uid="{00000000-0002-0000-0600-000004000000}">
      <formula1>$B$512:$B$553</formula1>
    </dataValidation>
    <dataValidation type="list" showInputMessage="1" showErrorMessage="1" promptTitle="Second toe ankylosis" prompt="Enter degrees of dorsiflexion ankylosis,metatarsophalangeal joint. If joint was not affected by the injury, select &quot;NA&quot; or leave blank." sqref="C55:D55" xr:uid="{00000000-0002-0000-0600-000005000000}">
      <formula1>$B$512:$B$553</formula1>
    </dataValidation>
    <dataValidation type="list" showInputMessage="1" showErrorMessage="1" promptTitle="Second toe ROM" prompt="Enter retained degrees of motion,metatarsophalangeal joint, plantar flexion. If joint was not affected by the injury, select &quot;NA&quot; or leave blank." sqref="C56:D56" xr:uid="{00000000-0002-0000-0600-000006000000}">
      <formula1>$B$512:$B$543</formula1>
    </dataValidation>
    <dataValidation type="list" showInputMessage="1" showErrorMessage="1" promptTitle="Second toe ankylosis" prompt="Enter degrees of plantarflexion ankylosis, metatarsophalangeal joint. If joint was not affected by the injury, select &quot;NA&quot; or leave blank." sqref="C57:D57" xr:uid="{00000000-0002-0000-0600-000007000000}">
      <formula1>$B$512:$B$543</formula1>
    </dataValidation>
    <dataValidation type="list" allowBlank="1" showInputMessage="1" showErrorMessage="1" promptTitle="DIP joint" prompt="No rating is given for loss of motion in the distal interphalangeal joint, except in the case of ankylosis. " sqref="C169:G169" xr:uid="{00000000-0002-0000-0600-000008000000}">
      <formula1>$S$169:$V$169</formula1>
    </dataValidation>
    <dataValidation type="list" allowBlank="1" showInputMessage="1" showErrorMessage="1" promptTitle="PIP joint" prompt="No rating is given for loss of motion in the proximal interphalangeal joint, except in the case of ankylosis. " sqref="C170:G170" xr:uid="{00000000-0002-0000-0600-000009000000}">
      <formula1>$S$170:$V$170</formula1>
    </dataValidation>
    <dataValidation type="list" allowBlank="1" showInputMessage="1" showErrorMessage="1" promptTitle="Third toe amputation" prompt="Select extent of loss." sqref="B86:O86" xr:uid="{00000000-0002-0000-0600-00000A000000}">
      <formula1>$U$85:$AO$85</formula1>
    </dataValidation>
    <dataValidation type="list" showInputMessage="1" showErrorMessage="1" promptTitle="Third toe ROM" prompt="Enter retained degrees of motion, metatarsophalangeal joint, dorsiflexion (extension). If joint was not affected by the injury, select &quot;NA&quot; or leave blank." sqref="C94:D94" xr:uid="{00000000-0002-0000-0600-00000B000000}">
      <formula1>$B$512:$B$553</formula1>
    </dataValidation>
    <dataValidation type="list" showInputMessage="1" showErrorMessage="1" promptTitle="Third toe ankylosis" prompt="Enter degrees of dorsiflexion ankylosis,metatarsophalangeal joint. If joint was not affected by the injury, select &quot;NA&quot; or leave blank." sqref="C95:D95" xr:uid="{00000000-0002-0000-0600-00000C000000}">
      <formula1>$B$512:$B$553</formula1>
    </dataValidation>
    <dataValidation type="list" showInputMessage="1" showErrorMessage="1" promptTitle="Third toe ROM" prompt="Enter retained degrees of motion,metatarsophalangeal joint, plantar flexion. If joint was not affected by the injury, select &quot;NA&quot; or leave blank." sqref="C96:D96" xr:uid="{00000000-0002-0000-0600-00000D000000}">
      <formula1>$B$512:$B$543</formula1>
    </dataValidation>
    <dataValidation type="list" allowBlank="1" showInputMessage="1" showErrorMessage="1" promptTitle="Fourth toe amputation" prompt="Select extent of loss." sqref="B126:O126" xr:uid="{00000000-0002-0000-0600-00000E000000}">
      <formula1>$U$125:$AO$125</formula1>
    </dataValidation>
    <dataValidation type="list" showInputMessage="1" showErrorMessage="1" promptTitle="Fourth toe ROM" prompt="Enter retained degrees of motion, metatarsophalangeal joint, dorsiflexion (extension). If joint was not affected by the injury, select &quot;NA&quot; or leave blank." sqref="C134:D134" xr:uid="{00000000-0002-0000-0600-00000F000000}">
      <formula1>$B$512:$B$553</formula1>
    </dataValidation>
    <dataValidation type="list" allowBlank="1" showInputMessage="1" showErrorMessage="1" promptTitle="Fifth toe amputation" prompt="Select extent of loss." sqref="B166:O166" xr:uid="{00000000-0002-0000-0600-000010000000}">
      <formula1>$U$165:$AO$165</formula1>
    </dataValidation>
    <dataValidation type="list" showInputMessage="1" showErrorMessage="1" promptTitle="Great toe ROM" prompt="Enter retained degrees of motion, interphalangeal joint, plantar flexion. If joint was not affected by the injury, select &quot;NA&quot; or leave blank." sqref="C13:D13" xr:uid="{00000000-0002-0000-0600-000011000000}">
      <formula1>$B$512:$B$543</formula1>
    </dataValidation>
    <dataValidation type="list" showInputMessage="1" showErrorMessage="1" promptTitle="Great toe ROM" prompt="Enter retained degrees of motion, metatarsophalangeal joint, dorsiflexion (extension). If joint was not affected by the injury, select &quot;NA&quot; or leave blank." sqref="C16:D16" xr:uid="{00000000-0002-0000-0600-000012000000}">
      <formula1>$B$512:$B$563</formula1>
    </dataValidation>
    <dataValidation type="list" showInputMessage="1" showErrorMessage="1" promptTitle="Great toe ankylosis" prompt="Enter degrees of dorsiflexion ankylosis, metatarsophalangeal joint. If joint was not affected by the injury, select &quot;NA&quot; or leave blank." sqref="C17:D17" xr:uid="{00000000-0002-0000-0600-000013000000}">
      <formula1>$B$512:$B$563</formula1>
    </dataValidation>
    <dataValidation type="list" showInputMessage="1" showErrorMessage="1" promptTitle="Great toe ROM" prompt="Enter retained degrees of motion,metatarsophalangeal joint, plantar flexion. If joint was not affected by the injury, select &quot;NA&quot; or leave blank." sqref="C18:D18" xr:uid="{00000000-0002-0000-0600-000014000000}">
      <formula1>$B$512:$B$543</formula1>
    </dataValidation>
    <dataValidation type="list" showInputMessage="1" showErrorMessage="1" promptTitle="Great toe ankylosis" prompt="Enter degrees of plantarflexion ankylosis, metatarsophalangeal joint. If joint was not affected by the injury, select &quot;NA&quot; or leave blank." sqref="C19:D19" xr:uid="{00000000-0002-0000-0600-000015000000}">
      <formula1>$B$512:$B$543</formula1>
    </dataValidation>
    <dataValidation type="list" allowBlank="1" showInputMessage="1" showErrorMessage="1" promptTitle="DIP joint" prompt="No rating is given for loss of motion in the distal interphalangeal joint, except in the case of ankylosis. " sqref="C49:K49" xr:uid="{00000000-0002-0000-0600-000016000000}">
      <formula1>$S$49:$V$49</formula1>
    </dataValidation>
    <dataValidation type="list" allowBlank="1" showInputMessage="1" showErrorMessage="1" promptTitle="PIP joint" prompt="No rating is given for loss of motion in the proximal interphalangeal joint, except in the case of ankylosis. " sqref="C50:K50" xr:uid="{00000000-0002-0000-0600-000017000000}">
      <formula1>$S$50:$V$50</formula1>
    </dataValidation>
    <dataValidation type="list" allowBlank="1" showInputMessage="1" showErrorMessage="1" promptTitle="Sensation loss" prompt="Select partial or total. Partial is part of the toe. Total means the entire toe." sqref="C62:N62" xr:uid="{00000000-0002-0000-0600-000018000000}">
      <formula1>$S$62:$U$62</formula1>
    </dataValidation>
    <dataValidation type="list" allowBlank="1" showInputMessage="1" showErrorMessage="1" promptTitle="Hypersensitivity" prompt="Select partial or total. Partial is part of the toe. Total means the entire toe." sqref="C63:N63" xr:uid="{00000000-0002-0000-0600-000019000000}">
      <formula1>$S$63:$U$63</formula1>
    </dataValidation>
    <dataValidation type="list" allowBlank="1" showInputMessage="1" showErrorMessage="1" promptTitle="DIP joint" prompt="No rating is given for loss of motion in the distal interphalangeal joint, except in the case of ankylosis. " sqref="C89:G89" xr:uid="{00000000-0002-0000-0600-00001A000000}">
      <formula1>$S$89:$V$89</formula1>
    </dataValidation>
    <dataValidation type="list" allowBlank="1" showInputMessage="1" showErrorMessage="1" promptTitle="PIP joint" prompt="No rating is given for loss of motion in the proximal interphalangeal joint, except in the case of ankylosis. " sqref="C90:G90" xr:uid="{00000000-0002-0000-0600-00001B000000}">
      <formula1>$S$90:$V$90</formula1>
    </dataValidation>
    <dataValidation type="list" allowBlank="1" showInputMessage="1" showErrorMessage="1" promptTitle="Sensation loss" prompt="Select partial or total. Partial is part of the toe. Total means the entire toe." sqref="C102:N102" xr:uid="{00000000-0002-0000-0600-00001C000000}">
      <formula1>$S$102:$U$102</formula1>
    </dataValidation>
    <dataValidation type="list" allowBlank="1" showInputMessage="1" showErrorMessage="1" promptTitle="Hypersensitivity" prompt="Select partial or total. Partial is part of the toe. Total means the entire toe." sqref="C103:N103" xr:uid="{00000000-0002-0000-0600-00001D000000}">
      <formula1>$S$103:$U$103</formula1>
    </dataValidation>
    <dataValidation type="list" allowBlank="1" showInputMessage="1" showErrorMessage="1" promptTitle="DIP joint" prompt="No rating is given for loss of motion in the distal interphalangeal joint, except in the case of ankylosis. " sqref="C129:G129" xr:uid="{00000000-0002-0000-0600-00001E000000}">
      <formula1>$S$129:$V$129</formula1>
    </dataValidation>
    <dataValidation type="list" allowBlank="1" showInputMessage="1" showErrorMessage="1" promptTitle="PIP joint" prompt="No rating is given for loss of motion in the proximal interphalangeal joint, except in the case of ankylosis. " sqref="C130:G130" xr:uid="{00000000-0002-0000-0600-00001F000000}">
      <formula1>$S$130:$V$130</formula1>
    </dataValidation>
    <dataValidation type="list" showInputMessage="1" showErrorMessage="1" promptTitle="Fourth toe ankylosis" prompt="Enter degrees of dorsiflexion ankylosis,metatarsophalangeal joint. If joint was not affected by the injury, select &quot;NA&quot; or leave blank." sqref="C135:D135" xr:uid="{00000000-0002-0000-0600-000020000000}">
      <formula1>$B$512:$B$553</formula1>
    </dataValidation>
    <dataValidation type="list" showInputMessage="1" showErrorMessage="1" promptTitle="Fourth toe ROM" prompt="Enter retained degrees of motion,metatarsophalangeal joint, plantar flexion. If joint was not affected by the injury, select &quot;NA&quot; or leave blank." sqref="C136:D136" xr:uid="{00000000-0002-0000-0600-000021000000}">
      <formula1>$B$512:$B$543</formula1>
    </dataValidation>
    <dataValidation type="list" allowBlank="1" showInputMessage="1" showErrorMessage="1" promptTitle="Sensation loss" prompt="Select partial or total. Partial is part of the toe. Total means the entire toe." sqref="C142:N142" xr:uid="{00000000-0002-0000-0600-000022000000}">
      <formula1>$S$142:$U$142</formula1>
    </dataValidation>
    <dataValidation type="list" allowBlank="1" showInputMessage="1" showErrorMessage="1" promptTitle="Hypersensitivity" prompt="Select partial or total. Partial is part of the toe. Total means the entire toe." sqref="C143:N143" xr:uid="{00000000-0002-0000-0600-000023000000}">
      <formula1>$S$143:$U$143</formula1>
    </dataValidation>
    <dataValidation type="list" showInputMessage="1" showErrorMessage="1" promptTitle="Fifth toe ROM" prompt="Enter retained degrees of motion, metatarsophalangeal joint, dorsiflexion (extension). If joint was not affected by the injury, select &quot;NA&quot; or leave blank." sqref="C174:D174" xr:uid="{00000000-0002-0000-0600-000024000000}">
      <formula1>$B$512:$B$553</formula1>
    </dataValidation>
    <dataValidation type="list" showInputMessage="1" showErrorMessage="1" promptTitle="Fifth toe ankylosis" prompt="Enter degrees of dorsiflexion ankylosis,metatarsophalangeal joint. If joint was not affected by the injury, select &quot;NA&quot; or leave blank." sqref="C175:D175" xr:uid="{00000000-0002-0000-0600-000025000000}">
      <formula1>$B$512:$B$553</formula1>
    </dataValidation>
    <dataValidation type="list" showInputMessage="1" showErrorMessage="1" promptTitle="Fifth toe ROM" prompt="Enter retained degrees of motion,metatarsophalangeal joint, plantar flexion. If joint was not affected by the injury, select &quot;NA&quot; or leave blank." sqref="C176:D176" xr:uid="{00000000-0002-0000-0600-000026000000}">
      <formula1>$B$512:$B$543</formula1>
    </dataValidation>
    <dataValidation type="list" showInputMessage="1" showErrorMessage="1" promptTitle="Fifth toe ankylosis" prompt="Enter degrees of plantarflexion ankylosis, metatarsophalangeal joint. If joint was not affected by the injury, select &quot;NA&quot; or leave blank." sqref="C177:D177" xr:uid="{00000000-0002-0000-0600-000027000000}">
      <formula1>$B$512:$B$543</formula1>
    </dataValidation>
    <dataValidation type="list" allowBlank="1" showInputMessage="1" showErrorMessage="1" promptTitle="Sensation loss" prompt="Select partial or total. Partial is part of the toe. Total means the entire toe." sqref="C182:N182" xr:uid="{00000000-0002-0000-0600-000028000000}">
      <formula1>$S$182:$U$182</formula1>
    </dataValidation>
    <dataValidation type="list" allowBlank="1" showInputMessage="1" showErrorMessage="1" promptTitle="Hypersensitivity" prompt="Select partial or total. Partial is part of the toe. Total means the entire toe." sqref="C183:N183" xr:uid="{00000000-0002-0000-0600-000029000000}">
      <formula1>$S$183:$U$183</formula1>
    </dataValidation>
    <dataValidation type="list" showInputMessage="1" showErrorMessage="1" promptTitle="ROM, Foot" prompt="Enter retained degrees of motion, subtalar inversion. If joint was not affected by the injury, select &quot;NA&quot; or leave blank." sqref="C222:D222" xr:uid="{00000000-0002-0000-0600-00002A000000}">
      <formula1>$B$512:$B$543</formula1>
    </dataValidation>
    <dataValidation type="list" showInputMessage="1" showErrorMessage="1" promptTitle="Ankylosis (varus)" prompt="Enter degrees subtalar inversion ankylosis of the foot.  If joint was not affected by the injury, select &quot;NA&quot; or leave blank." sqref="C223:D223" xr:uid="{00000000-0002-0000-0600-00002B000000}">
      <formula1>$B$512:$B$543</formula1>
    </dataValidation>
    <dataValidation type="list" showInputMessage="1" showErrorMessage="1" promptTitle="ROM, Foot" prompt="Enter retained degrees of motion, subtalar eversion. If joint was not affected by the injury, select &quot;NA&quot; or leave blank." sqref="C224:D224" xr:uid="{00000000-0002-0000-0600-00002C000000}">
      <formula1>$B$512:$B$533</formula1>
    </dataValidation>
    <dataValidation type="list" showInputMessage="1" showErrorMessage="1" promptTitle="Ankylosis (valgus)" prompt="Enter degrees subtalar eversion ankylosis of the foot.  If joint was not affected by the injury, select &quot;NA&quot; or leave blank." sqref="C225:D225" xr:uid="{00000000-0002-0000-0600-00002D000000}">
      <formula1>$B$512:$B$533</formula1>
    </dataValidation>
    <dataValidation type="list" showInputMessage="1" showErrorMessage="1" promptTitle="ROM, Ankle" prompt="Enter retained degrees of motion, dorsiflexion (extension). If joint was not affected by the injury, select &quot;NA&quot; or leave blank." sqref="C228:D228" xr:uid="{00000000-0002-0000-0600-00002E000000}">
      <formula1>$B$512:$B$533</formula1>
    </dataValidation>
    <dataValidation type="list" showInputMessage="1" showErrorMessage="1" promptTitle="Ankylosis" prompt="Enter degrees dorsiflexion (extension) ankylosis of the ankle.  If joint was not affected by the injury, select &quot;NA&quot; or leave blank." sqref="C229:D229" xr:uid="{00000000-0002-0000-0600-00002F000000}">
      <formula1>$B$512:$B$533</formula1>
    </dataValidation>
    <dataValidation type="list" showInputMessage="1" showErrorMessage="1" promptTitle="ROM, Ankle" prompt="Enter retained degrees of motion, plantar flexion. If joint was not affected by the injury, select &quot;NA&quot; or leave blank." sqref="C230:D230" xr:uid="{00000000-0002-0000-0600-000030000000}">
      <formula1>$B$512:$B$553</formula1>
    </dataValidation>
    <dataValidation type="list" showInputMessage="1" showErrorMessage="1" promptTitle="Ankylosis" prompt="Enter degrees plantarflexion ankylosis of the ankle.  If joint was not affected by the injury, select &quot;NA&quot; or leave blank." sqref="C231:D231" xr:uid="{00000000-0002-0000-0600-000031000000}">
      <formula1>$B$512:$B$553</formula1>
    </dataValidation>
    <dataValidation type="list" allowBlank="1" showInputMessage="1" showErrorMessage="1" promptTitle="Sensation loss" prompt="Select partial or total. Partial is part of the foot. Total means the entire foot." sqref="C238:N238" xr:uid="{00000000-0002-0000-0600-000033000000}">
      <formula1>$S$238:$U$238</formula1>
    </dataValidation>
    <dataValidation type="list" allowBlank="1" showInputMessage="1" showErrorMessage="1" promptTitle="Hypersensitivity" prompt="Select partial or total. Partial is part of the foot. Total means the entire foot." sqref="C239:N239" xr:uid="{00000000-0002-0000-0600-000034000000}">
      <formula1>$S$239:$U$239</formula1>
    </dataValidation>
    <dataValidation type="list" allowBlank="1" showInputMessage="1" showErrorMessage="1" promptTitle="Ankle instability" prompt="Select severity of damage to the lateral collateral ligaments. Examples of ligaments that may contribute to joint instability: anterior talofibular, calcaneofibular, talocalcaneal, posterior talocalcaneal, and the posterior talofibular." sqref="G242:O242" xr:uid="{00000000-0002-0000-0600-000035000000}">
      <formula1>$S$242:$V$242</formula1>
    </dataValidation>
    <dataValidation type="list" showInputMessage="1" showErrorMessage="1" promptTitle="Knee flexion" prompt="Enter retained degrees of motion, flexion. If joint was not affected by the injury, select &quot;NA&quot; or leave blank." sqref="C377:D377" xr:uid="{00000000-0002-0000-0600-000036000000}">
      <formula1>$B$512:$B$663</formula1>
    </dataValidation>
    <dataValidation type="list" showInputMessage="1" showErrorMessage="1" promptTitle="Knee" prompt="Enter degrees of flexion ankylosis. If joint was not affected by the injury, select &quot;NA&quot; or leave blank." sqref="C378:D378" xr:uid="{00000000-0002-0000-0600-000037000000}">
      <formula1>$B$512:$B$663</formula1>
    </dataValidation>
    <dataValidation type="list" showInputMessage="1" showErrorMessage="1" promptTitle="Knee extension" prompt="Enter retained degrees of motion, extension. If joint was not affected by the injury, select &quot;NA&quot; or leave blank." sqref="C379:D379" xr:uid="{00000000-0002-0000-0600-000038000000}">
      <formula1>$B$512:$B$663</formula1>
    </dataValidation>
    <dataValidation type="list" showInputMessage="1" showErrorMessage="1" promptTitle="Knee" prompt="Enter degrees of extension ankylosis. If joint was not affected by the injury, select &quot;NA&quot; or leave blank. " sqref="C380:D380" xr:uid="{00000000-0002-0000-0600-000039000000}">
      <formula1>$B$512:$B$663</formula1>
    </dataValidation>
    <dataValidation type="list" showInputMessage="1" showErrorMessage="1" promptTitle="Hip forward flexion" prompt="Enter retained degrees of motion, forward flexion. If joint was not affected by the injury, select &quot;NA&quot; or leave blank." sqref="C382:D382" xr:uid="{00000000-0002-0000-0600-00003A000000}">
      <formula1>$B$512:$B$613</formula1>
    </dataValidation>
    <dataValidation type="list" showInputMessage="1" showErrorMessage="1" promptTitle="Hip backward extension" prompt="Enter retained degrees of motion, backward extension. If joint was not affected by the injury, select &quot;NA&quot; or leave blank." sqref="C383:D383" xr:uid="{00000000-0002-0000-0600-00003B000000}">
      <formula1>$B$512:$B$543</formula1>
    </dataValidation>
    <dataValidation type="list" showInputMessage="1" showErrorMessage="1" promptTitle="Hip abduction" prompt="Enter retained degrees of motion, abduction. If joint was not affected by the injury, select &quot;NA&quot; or leave blank." sqref="C384:D384" xr:uid="{00000000-0002-0000-0600-00003C000000}">
      <formula1>$B$512:$B$553</formula1>
    </dataValidation>
    <dataValidation type="list" showInputMessage="1" showErrorMessage="1" promptTitle="Hip adduction" prompt="Enter retained degrees of motion, adduction. If joint was not affected by the injury, select &quot;NA&quot; or leave blank." sqref="C385:D385" xr:uid="{00000000-0002-0000-0600-00003D000000}">
      <formula1>$B$512:$B$533</formula1>
    </dataValidation>
    <dataValidation type="list" showInputMessage="1" showErrorMessage="1" promptTitle="Hip, internal rotation" prompt="Enter retained degrees of motion, internal rotation. If joint was not affected by the injury, select &quot;NA&quot; or leave blank." sqref="C386:D386" xr:uid="{00000000-0002-0000-0600-00003E000000}">
      <formula1>$B$512:$B$553</formula1>
    </dataValidation>
    <dataValidation type="list" showInputMessage="1" showErrorMessage="1" promptTitle="Hip, external rotation" prompt="Enter retained degrees of motion, external rotation. If joint was not affected by the injury, select &quot;NA&quot; or leave blank." sqref="C387:D387" xr:uid="{00000000-0002-0000-0600-00003F000000}">
      <formula1>$B$512:$B$563</formula1>
    </dataValidation>
    <dataValidation type="list" allowBlank="1" showInputMessage="1" showErrorMessage="1" promptTitle="Knee joint instability" prompt="Select severity of the joint opening." sqref="C397:N400" xr:uid="{00000000-0002-0000-0600-000041000000}">
      <formula1>$S$395:$V$395</formula1>
    </dataValidation>
    <dataValidation type="list" allowBlank="1" showInputMessage="1" showErrorMessage="1" promptTitle="Tibial shaft fracture" prompt="Select severity of malalignment (rotational deformity) resulting from the tibial shaft fracture." sqref="C407:O407" xr:uid="{00000000-0002-0000-0600-000042000000}">
      <formula1>$S$406:$AM$406</formula1>
    </dataValidation>
    <dataValidation type="list" allowBlank="1" showInputMessage="1" showErrorMessage="1" promptTitle="Surgery" prompt="Menisci: Select extent of loss. No additional value is allowed for multiple partial resections of a single meniscus. A meniscectomy is rated as a complete loss unless the record indicates that more than the rim of the meniscus remains." sqref="C411:O411" xr:uid="{00000000-0002-0000-0600-000044000000}">
      <formula1>$R$410:$W$410</formula1>
    </dataValidation>
    <dataValidation type="decimal" operator="equal" allowBlank="1" showInputMessage="1" showErrorMessage="1" promptTitle="Surgery" prompt="Check (click) the box or boxes if surgery has occurred to the IP or MP joints." sqref="A30" xr:uid="{00000000-0002-0000-0600-000047000000}">
      <formula1>W30</formula1>
    </dataValidation>
    <dataValidation type="decimal" operator="equal" allowBlank="1" showInputMessage="1" showErrorMessage="1" promptTitle="Amputation - metatarsals" prompt="Check (click) the box next to amputated metatarsals, if any." sqref="A208" xr:uid="{00000000-0002-0000-0600-000048000000}">
      <formula1>W208</formula1>
    </dataValidation>
    <dataValidation type="decimal" operator="equal" allowBlank="1" showInputMessage="1" showErrorMessage="1" promptTitle="Ankylosis - metatarsals" prompt="Check (click) the box next to ankylosed  metatarsals, if any." sqref="A215" xr:uid="{00000000-0002-0000-0600-000049000000}">
      <formula1>W215</formula1>
    </dataValidation>
    <dataValidation type="decimal" operator="equal" allowBlank="1" showInputMessage="1" showErrorMessage="1" promptTitle="Ankle angulation" prompt="Check (click) varus or valgus, if applicable." sqref="A247" xr:uid="{00000000-0002-0000-0600-00004A000000}">
      <formula1>W247</formula1>
    </dataValidation>
    <dataValidation type="decimal" operator="equal" allowBlank="1" showInputMessage="1" showErrorMessage="1" promptTitle="Rocker bottom deformity" prompt="Check (click) the box if the worker has rocker bottom deformity of the foot." sqref="A248" xr:uid="{00000000-0002-0000-0600-00004B000000}">
      <formula1>W248</formula1>
    </dataValidation>
    <dataValidation type="decimal" operator="equal" allowBlank="1" showInputMessage="1" showErrorMessage="1" promptTitle="Skin loss - heel" prompt="Check (click) &quot;Yes&quot; if the worker suffered full thickness skin loss of the heel." sqref="A254" xr:uid="{00000000-0002-0000-0600-00004C000000}">
      <formula1>W254</formula1>
    </dataValidation>
    <dataValidation type="decimal" operator="equal" allowBlank="1" showInputMessage="1" showErrorMessage="1" promptTitle="Additional foot loss" prompt="Check (click) the boxes that describe the worker's condition, if any." sqref="A257" xr:uid="{00000000-0002-0000-0600-00004D000000}">
      <formula1>W257</formula1>
    </dataValidation>
    <dataValidation type="decimal" operator="equal" allowBlank="1" showInputMessage="1" showErrorMessage="1" promptTitle="Chronic condition" prompt="Select &quot;Yes&quot; if the worker has a chronic condition as described in OAR 436-035-0019." sqref="A443 A267" xr:uid="{00000000-0002-0000-0600-00004E000000}">
      <formula1>W267</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281" xr:uid="{00000000-0002-0000-0600-00004F000000}">
      <formula1>AK283</formula1>
    </dataValidation>
    <dataValidation type="decimal" operator="equal" allowBlank="1" showInputMessage="1" showErrorMessage="1" promptTitle="Amputation - Leg" prompt="Select the level of loss, if any." sqref="A373" xr:uid="{00000000-0002-0000-0600-000050000000}">
      <formula1>W373</formula1>
    </dataValidation>
    <dataValidation type="decimal" operator="equal" allowBlank="1" showInputMessage="1" showErrorMessage="1" promptTitle="Knee angulation or malalignment" prompt="Select varus or valgus deformity, if applicable." sqref="A404" xr:uid="{00000000-0002-0000-0600-000051000000}">
      <formula1>W404</formula1>
    </dataValidation>
    <dataValidation type="decimal" operator="equal" allowBlank="1" showInputMessage="1" showErrorMessage="1" promptTitle="Motor loss" prompt="Show severity of motor loss, if any, due to brain or spinal cord damage." sqref="A424" xr:uid="{00000000-0002-0000-0600-000052000000}">
      <formula1>W424</formula1>
    </dataValidation>
    <dataValidation type="decimal" operator="equal" allowBlank="1" showInputMessage="1" showErrorMessage="1" promptTitle="Additional leg impairment" prompt="Select the conditions, if any, affecting the leg." sqref="A431" xr:uid="{00000000-0002-0000-0600-000053000000}">
      <formula1>W431</formula1>
    </dataValidation>
    <dataValidation type="decimal" operator="equal" allowBlank="1" showInputMessage="1" showErrorMessage="1" promptTitle="Standing or walking limitation" prompt="Select &quot;Yes&quot; if the worker has the limitation described." sqref="A439" xr:uid="{00000000-0002-0000-0600-000054000000}">
      <formula1>W439</formula1>
    </dataValidation>
    <dataValidation type="decimal" operator="equal" allowBlank="1" showInputMessage="1" showErrorMessage="1" promptTitle="Surgery" prompt="Check (click) the box or boxes if surgery has occurred to the DIP, PIP, or MP joints." sqref="A188 A68 A108 A148" xr:uid="{00000000-0002-0000-0600-000055000000}">
      <formula1>W68</formula1>
    </dataValidation>
    <dataValidation type="decimal" operator="equal" allowBlank="1" showInputMessage="1" showErrorMessage="1" promptTitle="Amputation - Foot" prompt="Select the level of loss, if any." sqref="A207" xr:uid="{00000000-0002-0000-0600-000056000000}">
      <formula1>W207</formula1>
    </dataValidation>
    <dataValidation type="textLength" operator="equal" allowBlank="1" showInputMessage="1" showErrorMessage="1" sqref="A407:A408" xr:uid="{00000000-0002-0000-0600-000057000000}">
      <formula1>W404</formula1>
    </dataValidation>
    <dataValidation type="decimal" operator="equal" allowBlank="1" showInputMessage="1" showErrorMessage="1" promptTitle="Leg surgery" prompt="Select the type and extent of surgery, if any." sqref="A411:A412" xr:uid="{00000000-0002-0000-0600-000058000000}">
      <formula1>W413</formula1>
    </dataValidation>
    <dataValidation type="decimal" operator="equal" allowBlank="1" showInputMessage="1" showErrorMessage="1" promptTitle="Ankle joint instability" prompt="Show extent of disability." sqref="A241" xr:uid="{00000000-0002-0000-0600-000059000000}">
      <formula1>W241</formula1>
    </dataValidation>
    <dataValidation type="decimal" operator="equal" allowBlank="1" showInputMessage="1" showErrorMessage="1" promptTitle="Ankle replacement" prompt="Check the box if the worker has had a prosthetic ankle replacement." sqref="A250" xr:uid="{00000000-0002-0000-0600-00005A000000}">
      <formula1>W250</formula1>
    </dataValidation>
    <dataValidation type="list" allowBlank="1" showInputMessage="1" showErrorMessage="1" promptTitle="Ankle instability" prompt="Select severity of damage to the medial collateral ligaments._x000a_Examples of ligaments that may contribute to joint instability: tibionavicular, calcaneotibial, anterior talotibial, and the posterior talotibial." sqref="G243:O243" xr:uid="{00000000-0002-0000-0600-00005B000000}">
      <formula1>$S$242:$V$242</formula1>
    </dataValidation>
    <dataValidation allowBlank="1" showInputMessage="1" showErrorMessage="1" promptTitle="Date of injury" prompt="The dollar value of each degree of disability depends on the date of injury, and the program cannot calculate the disability award without the date." sqref="C489:E489" xr:uid="{00000000-0002-0000-0600-00005E000000}"/>
    <dataValidation allowBlank="1" showInputMessage="1" showErrorMessage="1" promptTitle="End of worksheet" prompt="Press TAB to return to top of sheet." sqref="P501" xr:uid="{00000000-0002-0000-0600-00005F000000}"/>
    <dataValidation type="list" showInputMessage="1" showErrorMessage="1" promptTitle="Great toe ankylosis" prompt="Enter degrees of plantarflexion ankylosis, interphalangeal joint. If joint was not affected by the injury, select &quot;NA&quot; or leave blank." sqref="C14:D14" xr:uid="{00000000-0002-0000-0600-000060000000}">
      <formula1>$B$512:$B$543</formula1>
    </dataValidation>
    <dataValidation type="list" showInputMessage="1" showErrorMessage="1" promptTitle="Contralateral comparison" prompt="Enter retained degrees of motion or &quot;NA&quot; if contralateral joint has a history of injury or disease." sqref="G387:I387 G16:I16" xr:uid="{00000000-0002-0000-0600-000061000000}">
      <formula1>$B$512:$B$563</formula1>
    </dataValidation>
    <dataValidation type="list" showInputMessage="1" showErrorMessage="1" promptTitle="Third toe ankylosis" prompt="Enter degrees of plantarflexion ankylosis, metatarsophalangeal joint. If joint was not affected by the injury, select &quot;NA&quot; or leave blank." sqref="C97:D97" xr:uid="{00000000-0002-0000-0600-000062000000}">
      <formula1>$B$512:$B$543</formula1>
    </dataValidation>
    <dataValidation type="list" showInputMessage="1" showErrorMessage="1" promptTitle="Fourth toe ankylosis" prompt="Enter degrees of plantarflexion ankylosis, metatarsophalangeal joint. If joint was not affected by the injury, select &quot;NA&quot; or leave blank." sqref="C137:D137" xr:uid="{00000000-0002-0000-0600-000063000000}">
      <formula1>$B$512:$B$543</formula1>
    </dataValidation>
    <dataValidation type="decimal" allowBlank="1" showInputMessage="1" showErrorMessage="1" promptTitle="Apportionment (if any)" prompt="Enter percentage of impairment caused by the injury or illness. See OAR 436-035-0013." sqref="G362:I366 G195:G197 G155:G157 G354:G358 G36:G38 H356:I358 G453:I453 H195:I195 G75:G77 H155:I155 H115:I115 H354:I354 G464:I470 G115:G117 H36:I36 H75:I75 C233 G450:G451 H451:I451" xr:uid="{00000000-0002-0000-0600-000064000000}">
      <formula1>$B$507</formula1>
      <formula2>$C$507</formula2>
    </dataValidation>
    <dataValidation type="list" allowBlank="1" showInputMessage="1" showErrorMessage="1" promptTitle="Dermatological condition" prompt="Affecting toe -- select from classes 1-5. See OAR 436-035-0230." sqref="N28:O28" xr:uid="{00000000-0002-0000-0600-000066000000}">
      <formula1>$T$28:$X$28</formula1>
    </dataValidation>
    <dataValidation type="list" allowBlank="1" showInputMessage="1" showErrorMessage="1" promptTitle="Dermatological condition" prompt="Affecting toe -- select from classes 1-5. See OAR 436-035-0230." sqref="N66:O66" xr:uid="{00000000-0002-0000-0600-000067000000}">
      <formula1>$T$66:$X$66</formula1>
    </dataValidation>
    <dataValidation type="list" allowBlank="1" showInputMessage="1" showErrorMessage="1" promptTitle="Dermatological condition" prompt="Affecting toe -- select from classes 1-5. See OAR 436-035-0230." sqref="N106:O106" xr:uid="{00000000-0002-0000-0600-000068000000}">
      <formula1>$T$106:$X$106</formula1>
    </dataValidation>
    <dataValidation type="list" allowBlank="1" showInputMessage="1" showErrorMessage="1" promptTitle="Dermatological condition" prompt="Affecting toe -- select from classes 1-5. See OAR 436-035-0230." sqref="N146:O146" xr:uid="{00000000-0002-0000-0600-000069000000}">
      <formula1>$T$146:$X$146</formula1>
    </dataValidation>
    <dataValidation type="list" allowBlank="1" showInputMessage="1" showErrorMessage="1" promptTitle="Dermatological condition" prompt="Affecting toe -- select from classes 1-5. See OAR 436-035-0230." sqref="N186:O186" xr:uid="{00000000-0002-0000-0600-000065000000}">
      <formula1>$T$186:$X$186</formula1>
    </dataValidation>
    <dataValidation type="list" allowBlank="1" showInputMessage="1" showErrorMessage="1" promptTitle="Amputation" prompt="Select extent of amputation below the knee." sqref="B207:O207" xr:uid="{00000000-0002-0000-0600-000032000000}">
      <formula1>$S$207:$U$207</formula1>
    </dataValidation>
    <dataValidation type="list" allowBlank="1" showInputMessage="1" showErrorMessage="1" promptTitle="Dermatological condition" prompt="Affecting foot -- select from classes 1-5. See OAR 436-035-0230." sqref="N253:O253" xr:uid="{00000000-0002-0000-0600-000043000000}">
      <formula1>$T$253:$X$253</formula1>
    </dataValidation>
    <dataValidation type="list" allowBlank="1" showInputMessage="1" showErrorMessage="1" promptTitle="Strength grade" prompt="Record strength using the 0 to 5  grading system as described in OAR 436-035-0011." sqref="N281:N285 N287:N291 N293:N298 N300:N302 N308:N317 N319 N321:N327 N329:N334 N336" xr:uid="{00000000-0002-0000-0600-00005C000000}">
      <formula1>$T$278:$AH$278</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281:O285 O287:O291 O293:O298 O300:O302 O308:O317 O319 O321:O327 O329:O334 O336" xr:uid="{00000000-0002-0000-0600-00005D000000}">
      <formula1>$S$278:$AH$278</formula1>
    </dataValidation>
    <dataValidation type="list" allowBlank="1" showInputMessage="1" showErrorMessage="1" promptTitle="Leg length discrepancy" prompt="Select extent of length change." sqref="C392" xr:uid="{00000000-0002-0000-0600-000040000000}">
      <formula1>$S$392:$W$392</formula1>
    </dataValidation>
    <dataValidation type="list" allowBlank="1" showInputMessage="1" showErrorMessage="1" promptTitle="Dermatological condition" prompt="Affecting leg -- select from classes 1-5. See OAR 436-035-0230." sqref="N420:O420" xr:uid="{00000000-0002-0000-0600-000045000000}">
      <formula1>$S$420:$W$420</formula1>
    </dataValidation>
    <dataValidation type="list" allowBlank="1" showInputMessage="1" showErrorMessage="1" promptTitle="Vascular dysfunction" prompt="Affecting leg -- select from classes 1-5. See OAR 436-035-0230." sqref="N421:O421" xr:uid="{00000000-0002-0000-0600-000046000000}">
      <formula1>$S$420:$W$420</formula1>
    </dataValidation>
    <dataValidation type="list" showInputMessage="1" showErrorMessage="1" promptTitle="Contralateral comparison" prompt="Enter retained degrees of motion or &quot;NA&quot; if contralateral joint has a history of injury or disease." sqref="G13:I13 G383:I383 G222:I222 G176:I176 G136:I136 G96:I96 G56:I56 G18:I18" xr:uid="{DB5EDFFA-35A2-437A-B115-8EEB7FBC3371}">
      <formula1>$B$512:$B$543</formula1>
    </dataValidation>
    <dataValidation type="list" showInputMessage="1" showErrorMessage="1" promptTitle="Contralateral comparison" prompt="Enter retained degrees of motion or &quot;NA&quot; if contralateral joint has a history of injury or disease." sqref="G54:I54 G386:I386 G384:I384 G230:I230 G174:I174 G134:I134 G94:I94" xr:uid="{4149F587-8E2E-49FA-A2DD-26200FAF1ED7}">
      <formula1>$B$512:$B$553</formula1>
    </dataValidation>
    <dataValidation type="list" showInputMessage="1" showErrorMessage="1" promptTitle="Contralateral comparison" prompt="Enter retained degrees of motion or &quot;NA&quot; if contralateral joint has a history of injury or disease." sqref="G224:I224 G385:I385 G228:I228" xr:uid="{B0D55EF7-A766-4931-82FD-43543AC3FA32}">
      <formula1>$B$512:$B$533</formula1>
    </dataValidation>
    <dataValidation type="list" showInputMessage="1" showErrorMessage="1" promptTitle="Contralateral comparison" prompt="Enter retained degrees of motion or &quot;NA&quot; if contralateral joint has a history of injury or disease." sqref="G377:I377 G379:I379" xr:uid="{F7DE39E7-09AE-4B85-9C60-FC8613184569}">
      <formula1>$B$512:$B$663</formula1>
    </dataValidation>
    <dataValidation type="list" showInputMessage="1" showErrorMessage="1" promptTitle="Contralateral comparison" prompt="Enter retained degrees of motion or &quot;NA&quot; if contralateral joint has a history of injury or disease." sqref="G382:I382" xr:uid="{8F27ED82-8452-4730-898A-B713028DD972}">
      <formula1>$B$512:$B$613</formula1>
    </dataValidation>
    <dataValidation type="decimal" allowBlank="1" showInputMessage="1" showErrorMessage="1" promptTitle="Apportionment, if any" prompt="Enter percentage of impairment caused by the injury or illness. See OAR 436-035-0013." sqref="C179:D179 C59:D59 C99:D99 C139:D139 C21:D21" xr:uid="{73238448-46BF-4381-9CFA-AA660EA5DD2C}">
      <formula1>$B$507</formula1>
      <formula2>$C$507</formula2>
    </dataValidation>
  </dataValidations>
  <hyperlinks>
    <hyperlink ref="N279:P279" location="Rules!A3" display="Strength grade &amp; loss " xr:uid="{00000000-0004-0000-0600-000000000000}"/>
    <hyperlink ref="C4:D4" location="'Lower Extremity-Right'!B6" display="'Lower Extremity-Right'!B6" xr:uid="{00000000-0004-0000-0600-000001000000}"/>
    <hyperlink ref="E4:F4" location="'Lower Extremity-Right'!B44" display="'Lower Extremity-Right'!B44" xr:uid="{00000000-0004-0000-0600-000002000000}"/>
    <hyperlink ref="G4:I4" location="'Lower Extremity-Right'!B84" display="'Lower Extremity-Right'!B84" xr:uid="{00000000-0004-0000-0600-000003000000}"/>
    <hyperlink ref="J4:K4" location="'Lower Extremity-Right'!B124" display="'Lower Extremity-Right'!B124" xr:uid="{00000000-0004-0000-0600-000004000000}"/>
    <hyperlink ref="L4:M4" location="'Lower Extremity-Right'!B164" display="'Lower Extremity-Right'!B164" xr:uid="{00000000-0004-0000-0600-000005000000}"/>
    <hyperlink ref="N4" location="'Lower Extremity-Right'!B204" display="Foot/ankle" xr:uid="{00000000-0004-0000-0600-000006000000}"/>
    <hyperlink ref="O4" location="'Lower Extremity-Right'!B367" display="Leg" xr:uid="{00000000-0004-0000-0600-000007000000}"/>
    <hyperlink ref="P4" location="'Lower Extremity-Right'!B273" display="Strength" xr:uid="{00000000-0004-0000-0600-000008000000}"/>
    <hyperlink ref="P371" location="'Lower Extremity-Right'!A260" display="Leg strength" xr:uid="{00000000-0004-0000-0600-000009000000}"/>
    <hyperlink ref="B501" location="'Lower Extremity-Right'!A1" display="Return to top of sheet" xr:uid="{00000000-0004-0000-0600-00000A000000}"/>
    <hyperlink ref="H501:M501" location="'PPD DOI on or after 2005'!A1" display="'PPD DOI on or after 2005'!A1" xr:uid="{00000000-0004-0000-0600-00000B000000}"/>
    <hyperlink ref="C501:G501" location="'PPD DOI before 2005'!A1" display="'PPD DOI before 2005'!A1" xr:uid="{00000000-0004-0000-0600-00000C000000}"/>
  </hyperlinks>
  <pageMargins left="0.69" right="0.72" top="0.52" bottom="0.92" header="0.38" footer="0.5"/>
  <pageSetup orientation="portrait" r:id="rId1"/>
  <headerFooter alignWithMargins="0">
    <oddFooter>&amp;LLower Extremity, Right&amp;CPage &amp;P</oddFooter>
  </headerFooter>
  <rowBreaks count="12" manualBreakCount="12">
    <brk id="82" max="16383" man="1"/>
    <brk id="122" max="16383" man="1"/>
    <brk id="162" max="16383" man="1"/>
    <brk id="202" max="16383" man="1"/>
    <brk id="239" max="16383" man="1"/>
    <brk id="276" max="16383" man="1"/>
    <brk id="304" max="16383" man="1"/>
    <brk id="339" max="16383" man="1"/>
    <brk id="369" max="16383" man="1"/>
    <brk id="408" max="16383" man="1"/>
    <brk id="439" max="16383" man="1"/>
    <brk id="4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6086" r:id="rId4" name="Check Box 6">
              <controlPr locked="0" defaultSize="0" autoFill="0" autoLine="0" autoPict="0">
                <anchor moveWithCells="1">
                  <from>
                    <xdr:col>4</xdr:col>
                    <xdr:colOff>9525</xdr:colOff>
                    <xdr:row>280</xdr:row>
                    <xdr:rowOff>0</xdr:rowOff>
                  </from>
                  <to>
                    <xdr:col>5</xdr:col>
                    <xdr:colOff>85725</xdr:colOff>
                    <xdr:row>281</xdr:row>
                    <xdr:rowOff>28575</xdr:rowOff>
                  </to>
                </anchor>
              </controlPr>
            </control>
          </mc:Choice>
        </mc:AlternateContent>
        <mc:AlternateContent xmlns:mc="http://schemas.openxmlformats.org/markup-compatibility/2006">
          <mc:Choice Requires="x14">
            <control shapeId="46087" r:id="rId5" name="Check Box 7">
              <controlPr locked="0" defaultSize="0" autoFill="0" autoLine="0" autoPict="0">
                <anchor moveWithCells="1">
                  <from>
                    <xdr:col>4</xdr:col>
                    <xdr:colOff>9525</xdr:colOff>
                    <xdr:row>280</xdr:row>
                    <xdr:rowOff>180975</xdr:rowOff>
                  </from>
                  <to>
                    <xdr:col>5</xdr:col>
                    <xdr:colOff>85725</xdr:colOff>
                    <xdr:row>282</xdr:row>
                    <xdr:rowOff>19050</xdr:rowOff>
                  </to>
                </anchor>
              </controlPr>
            </control>
          </mc:Choice>
        </mc:AlternateContent>
        <mc:AlternateContent xmlns:mc="http://schemas.openxmlformats.org/markup-compatibility/2006">
          <mc:Choice Requires="x14">
            <control shapeId="46088" r:id="rId6" name="Check Box 8">
              <controlPr locked="0" defaultSize="0" autoFill="0" autoLine="0" autoPict="0">
                <anchor moveWithCells="1">
                  <from>
                    <xdr:col>4</xdr:col>
                    <xdr:colOff>9525</xdr:colOff>
                    <xdr:row>281</xdr:row>
                    <xdr:rowOff>171450</xdr:rowOff>
                  </from>
                  <to>
                    <xdr:col>5</xdr:col>
                    <xdr:colOff>85725</xdr:colOff>
                    <xdr:row>283</xdr:row>
                    <xdr:rowOff>9525</xdr:rowOff>
                  </to>
                </anchor>
              </controlPr>
            </control>
          </mc:Choice>
        </mc:AlternateContent>
        <mc:AlternateContent xmlns:mc="http://schemas.openxmlformats.org/markup-compatibility/2006">
          <mc:Choice Requires="x14">
            <control shapeId="46089" r:id="rId7" name="Check Box 9">
              <controlPr locked="0" defaultSize="0" autoFill="0" autoLine="0" autoPict="0">
                <anchor moveWithCells="1">
                  <from>
                    <xdr:col>4</xdr:col>
                    <xdr:colOff>9525</xdr:colOff>
                    <xdr:row>282</xdr:row>
                    <xdr:rowOff>161925</xdr:rowOff>
                  </from>
                  <to>
                    <xdr:col>5</xdr:col>
                    <xdr:colOff>85725</xdr:colOff>
                    <xdr:row>284</xdr:row>
                    <xdr:rowOff>0</xdr:rowOff>
                  </to>
                </anchor>
              </controlPr>
            </control>
          </mc:Choice>
        </mc:AlternateContent>
        <mc:AlternateContent xmlns:mc="http://schemas.openxmlformats.org/markup-compatibility/2006">
          <mc:Choice Requires="x14">
            <control shapeId="46090" r:id="rId8" name="Check Box 10">
              <controlPr locked="0" defaultSize="0" autoFill="0" autoLine="0" autoPict="0">
                <anchor moveWithCells="1">
                  <from>
                    <xdr:col>4</xdr:col>
                    <xdr:colOff>9525</xdr:colOff>
                    <xdr:row>283</xdr:row>
                    <xdr:rowOff>171450</xdr:rowOff>
                  </from>
                  <to>
                    <xdr:col>5</xdr:col>
                    <xdr:colOff>85725</xdr:colOff>
                    <xdr:row>285</xdr:row>
                    <xdr:rowOff>9525</xdr:rowOff>
                  </to>
                </anchor>
              </controlPr>
            </control>
          </mc:Choice>
        </mc:AlternateContent>
        <mc:AlternateContent xmlns:mc="http://schemas.openxmlformats.org/markup-compatibility/2006">
          <mc:Choice Requires="x14">
            <control shapeId="46091" r:id="rId9" name="Check Box 11">
              <controlPr locked="0" defaultSize="0" autoFill="0" autoLine="0" autoPict="0">
                <anchor moveWithCells="1">
                  <from>
                    <xdr:col>4</xdr:col>
                    <xdr:colOff>9525</xdr:colOff>
                    <xdr:row>286</xdr:row>
                    <xdr:rowOff>0</xdr:rowOff>
                  </from>
                  <to>
                    <xdr:col>5</xdr:col>
                    <xdr:colOff>85725</xdr:colOff>
                    <xdr:row>286</xdr:row>
                    <xdr:rowOff>219075</xdr:rowOff>
                  </to>
                </anchor>
              </controlPr>
            </control>
          </mc:Choice>
        </mc:AlternateContent>
        <mc:AlternateContent xmlns:mc="http://schemas.openxmlformats.org/markup-compatibility/2006">
          <mc:Choice Requires="x14">
            <control shapeId="46092" r:id="rId10" name="Check Box 12">
              <controlPr locked="0" defaultSize="0" autoFill="0" autoLine="0" autoPict="0">
                <anchor moveWithCells="1">
                  <from>
                    <xdr:col>4</xdr:col>
                    <xdr:colOff>9525</xdr:colOff>
                    <xdr:row>286</xdr:row>
                    <xdr:rowOff>333375</xdr:rowOff>
                  </from>
                  <to>
                    <xdr:col>5</xdr:col>
                    <xdr:colOff>85725</xdr:colOff>
                    <xdr:row>288</xdr:row>
                    <xdr:rowOff>19050</xdr:rowOff>
                  </to>
                </anchor>
              </controlPr>
            </control>
          </mc:Choice>
        </mc:AlternateContent>
        <mc:AlternateContent xmlns:mc="http://schemas.openxmlformats.org/markup-compatibility/2006">
          <mc:Choice Requires="x14">
            <control shapeId="46093" r:id="rId11" name="Check Box 13">
              <controlPr locked="0" defaultSize="0" autoFill="0" autoLine="0" autoPict="0">
                <anchor moveWithCells="1">
                  <from>
                    <xdr:col>4</xdr:col>
                    <xdr:colOff>9525</xdr:colOff>
                    <xdr:row>287</xdr:row>
                    <xdr:rowOff>171450</xdr:rowOff>
                  </from>
                  <to>
                    <xdr:col>5</xdr:col>
                    <xdr:colOff>85725</xdr:colOff>
                    <xdr:row>289</xdr:row>
                    <xdr:rowOff>9525</xdr:rowOff>
                  </to>
                </anchor>
              </controlPr>
            </control>
          </mc:Choice>
        </mc:AlternateContent>
        <mc:AlternateContent xmlns:mc="http://schemas.openxmlformats.org/markup-compatibility/2006">
          <mc:Choice Requires="x14">
            <control shapeId="46094" r:id="rId12" name="Check Box 14">
              <controlPr locked="0" defaultSize="0" autoFill="0" autoLine="0" autoPict="0">
                <anchor moveWithCells="1">
                  <from>
                    <xdr:col>4</xdr:col>
                    <xdr:colOff>9525</xdr:colOff>
                    <xdr:row>288</xdr:row>
                    <xdr:rowOff>161925</xdr:rowOff>
                  </from>
                  <to>
                    <xdr:col>5</xdr:col>
                    <xdr:colOff>85725</xdr:colOff>
                    <xdr:row>290</xdr:row>
                    <xdr:rowOff>0</xdr:rowOff>
                  </to>
                </anchor>
              </controlPr>
            </control>
          </mc:Choice>
        </mc:AlternateContent>
        <mc:AlternateContent xmlns:mc="http://schemas.openxmlformats.org/markup-compatibility/2006">
          <mc:Choice Requires="x14">
            <control shapeId="46095" r:id="rId13" name="Check Box 15">
              <controlPr locked="0" defaultSize="0" autoFill="0" autoLine="0" autoPict="0">
                <anchor moveWithCells="1">
                  <from>
                    <xdr:col>4</xdr:col>
                    <xdr:colOff>9525</xdr:colOff>
                    <xdr:row>289</xdr:row>
                    <xdr:rowOff>171450</xdr:rowOff>
                  </from>
                  <to>
                    <xdr:col>5</xdr:col>
                    <xdr:colOff>85725</xdr:colOff>
                    <xdr:row>291</xdr:row>
                    <xdr:rowOff>9525</xdr:rowOff>
                  </to>
                </anchor>
              </controlPr>
            </control>
          </mc:Choice>
        </mc:AlternateContent>
        <mc:AlternateContent xmlns:mc="http://schemas.openxmlformats.org/markup-compatibility/2006">
          <mc:Choice Requires="x14">
            <control shapeId="46096" r:id="rId14" name="Check Box 16">
              <controlPr locked="0" defaultSize="0" autoFill="0" autoLine="0" autoPict="0">
                <anchor moveWithCells="1">
                  <from>
                    <xdr:col>4</xdr:col>
                    <xdr:colOff>9525</xdr:colOff>
                    <xdr:row>292</xdr:row>
                    <xdr:rowOff>9525</xdr:rowOff>
                  </from>
                  <to>
                    <xdr:col>5</xdr:col>
                    <xdr:colOff>85725</xdr:colOff>
                    <xdr:row>293</xdr:row>
                    <xdr:rowOff>0</xdr:rowOff>
                  </to>
                </anchor>
              </controlPr>
            </control>
          </mc:Choice>
        </mc:AlternateContent>
        <mc:AlternateContent xmlns:mc="http://schemas.openxmlformats.org/markup-compatibility/2006">
          <mc:Choice Requires="x14">
            <control shapeId="46097" r:id="rId15" name="Check Box 17">
              <controlPr locked="0" defaultSize="0" autoFill="0" autoLine="0" autoPict="0">
                <anchor moveWithCells="1">
                  <from>
                    <xdr:col>4</xdr:col>
                    <xdr:colOff>9525</xdr:colOff>
                    <xdr:row>292</xdr:row>
                    <xdr:rowOff>333375</xdr:rowOff>
                  </from>
                  <to>
                    <xdr:col>5</xdr:col>
                    <xdr:colOff>85725</xdr:colOff>
                    <xdr:row>294</xdr:row>
                    <xdr:rowOff>19050</xdr:rowOff>
                  </to>
                </anchor>
              </controlPr>
            </control>
          </mc:Choice>
        </mc:AlternateContent>
        <mc:AlternateContent xmlns:mc="http://schemas.openxmlformats.org/markup-compatibility/2006">
          <mc:Choice Requires="x14">
            <control shapeId="46098" r:id="rId16" name="Check Box 18">
              <controlPr locked="0" defaultSize="0" autoFill="0" autoLine="0" autoPict="0">
                <anchor moveWithCells="1">
                  <from>
                    <xdr:col>4</xdr:col>
                    <xdr:colOff>9525</xdr:colOff>
                    <xdr:row>293</xdr:row>
                    <xdr:rowOff>171450</xdr:rowOff>
                  </from>
                  <to>
                    <xdr:col>5</xdr:col>
                    <xdr:colOff>85725</xdr:colOff>
                    <xdr:row>295</xdr:row>
                    <xdr:rowOff>9525</xdr:rowOff>
                  </to>
                </anchor>
              </controlPr>
            </control>
          </mc:Choice>
        </mc:AlternateContent>
        <mc:AlternateContent xmlns:mc="http://schemas.openxmlformats.org/markup-compatibility/2006">
          <mc:Choice Requires="x14">
            <control shapeId="46099" r:id="rId17" name="Check Box 19">
              <controlPr locked="0" defaultSize="0" autoFill="0" autoLine="0" autoPict="0">
                <anchor moveWithCells="1">
                  <from>
                    <xdr:col>4</xdr:col>
                    <xdr:colOff>9525</xdr:colOff>
                    <xdr:row>294</xdr:row>
                    <xdr:rowOff>161925</xdr:rowOff>
                  </from>
                  <to>
                    <xdr:col>5</xdr:col>
                    <xdr:colOff>85725</xdr:colOff>
                    <xdr:row>296</xdr:row>
                    <xdr:rowOff>0</xdr:rowOff>
                  </to>
                </anchor>
              </controlPr>
            </control>
          </mc:Choice>
        </mc:AlternateContent>
        <mc:AlternateContent xmlns:mc="http://schemas.openxmlformats.org/markup-compatibility/2006">
          <mc:Choice Requires="x14">
            <control shapeId="46100" r:id="rId18" name="Check Box 20">
              <controlPr locked="0" defaultSize="0" autoFill="0" autoLine="0" autoPict="0">
                <anchor moveWithCells="1">
                  <from>
                    <xdr:col>4</xdr:col>
                    <xdr:colOff>9525</xdr:colOff>
                    <xdr:row>295</xdr:row>
                    <xdr:rowOff>171450</xdr:rowOff>
                  </from>
                  <to>
                    <xdr:col>5</xdr:col>
                    <xdr:colOff>85725</xdr:colOff>
                    <xdr:row>297</xdr:row>
                    <xdr:rowOff>9525</xdr:rowOff>
                  </to>
                </anchor>
              </controlPr>
            </control>
          </mc:Choice>
        </mc:AlternateContent>
        <mc:AlternateContent xmlns:mc="http://schemas.openxmlformats.org/markup-compatibility/2006">
          <mc:Choice Requires="x14">
            <control shapeId="46101" r:id="rId19" name="Check Box 21">
              <controlPr locked="0" defaultSize="0" autoFill="0" autoLine="0" autoPict="0">
                <anchor moveWithCells="1">
                  <from>
                    <xdr:col>4</xdr:col>
                    <xdr:colOff>9525</xdr:colOff>
                    <xdr:row>299</xdr:row>
                    <xdr:rowOff>304800</xdr:rowOff>
                  </from>
                  <to>
                    <xdr:col>5</xdr:col>
                    <xdr:colOff>85725</xdr:colOff>
                    <xdr:row>301</xdr:row>
                    <xdr:rowOff>9525</xdr:rowOff>
                  </to>
                </anchor>
              </controlPr>
            </control>
          </mc:Choice>
        </mc:AlternateContent>
        <mc:AlternateContent xmlns:mc="http://schemas.openxmlformats.org/markup-compatibility/2006">
          <mc:Choice Requires="x14">
            <control shapeId="46102" r:id="rId20" name="Check Box 22">
              <controlPr locked="0" defaultSize="0" autoFill="0" autoLine="0" autoPict="0">
                <anchor moveWithCells="1">
                  <from>
                    <xdr:col>4</xdr:col>
                    <xdr:colOff>9525</xdr:colOff>
                    <xdr:row>300</xdr:row>
                    <xdr:rowOff>171450</xdr:rowOff>
                  </from>
                  <to>
                    <xdr:col>5</xdr:col>
                    <xdr:colOff>85725</xdr:colOff>
                    <xdr:row>302</xdr:row>
                    <xdr:rowOff>9525</xdr:rowOff>
                  </to>
                </anchor>
              </controlPr>
            </control>
          </mc:Choice>
        </mc:AlternateContent>
        <mc:AlternateContent xmlns:mc="http://schemas.openxmlformats.org/markup-compatibility/2006">
          <mc:Choice Requires="x14">
            <control shapeId="46103" r:id="rId21" name="Check Box 23">
              <controlPr locked="0" defaultSize="0" autoFill="0" autoLine="0" autoPict="0">
                <anchor moveWithCells="1">
                  <from>
                    <xdr:col>4</xdr:col>
                    <xdr:colOff>9525</xdr:colOff>
                    <xdr:row>307</xdr:row>
                    <xdr:rowOff>333375</xdr:rowOff>
                  </from>
                  <to>
                    <xdr:col>5</xdr:col>
                    <xdr:colOff>85725</xdr:colOff>
                    <xdr:row>309</xdr:row>
                    <xdr:rowOff>19050</xdr:rowOff>
                  </to>
                </anchor>
              </controlPr>
            </control>
          </mc:Choice>
        </mc:AlternateContent>
        <mc:AlternateContent xmlns:mc="http://schemas.openxmlformats.org/markup-compatibility/2006">
          <mc:Choice Requires="x14">
            <control shapeId="46104" r:id="rId22" name="Check Box 24">
              <controlPr locked="0" defaultSize="0" autoFill="0" autoLine="0" autoPict="0">
                <anchor moveWithCells="1">
                  <from>
                    <xdr:col>4</xdr:col>
                    <xdr:colOff>9525</xdr:colOff>
                    <xdr:row>308</xdr:row>
                    <xdr:rowOff>180975</xdr:rowOff>
                  </from>
                  <to>
                    <xdr:col>5</xdr:col>
                    <xdr:colOff>85725</xdr:colOff>
                    <xdr:row>310</xdr:row>
                    <xdr:rowOff>19050</xdr:rowOff>
                  </to>
                </anchor>
              </controlPr>
            </control>
          </mc:Choice>
        </mc:AlternateContent>
        <mc:AlternateContent xmlns:mc="http://schemas.openxmlformats.org/markup-compatibility/2006">
          <mc:Choice Requires="x14">
            <control shapeId="46105" r:id="rId23" name="Check Box 25">
              <controlPr locked="0" defaultSize="0" autoFill="0" autoLine="0" autoPict="0">
                <anchor moveWithCells="1">
                  <from>
                    <xdr:col>4</xdr:col>
                    <xdr:colOff>9525</xdr:colOff>
                    <xdr:row>309</xdr:row>
                    <xdr:rowOff>171450</xdr:rowOff>
                  </from>
                  <to>
                    <xdr:col>5</xdr:col>
                    <xdr:colOff>85725</xdr:colOff>
                    <xdr:row>311</xdr:row>
                    <xdr:rowOff>9525</xdr:rowOff>
                  </to>
                </anchor>
              </controlPr>
            </control>
          </mc:Choice>
        </mc:AlternateContent>
        <mc:AlternateContent xmlns:mc="http://schemas.openxmlformats.org/markup-compatibility/2006">
          <mc:Choice Requires="x14">
            <control shapeId="46106" r:id="rId24" name="Check Box 26">
              <controlPr locked="0" defaultSize="0" autoFill="0" autoLine="0" autoPict="0">
                <anchor moveWithCells="1">
                  <from>
                    <xdr:col>4</xdr:col>
                    <xdr:colOff>9525</xdr:colOff>
                    <xdr:row>310</xdr:row>
                    <xdr:rowOff>161925</xdr:rowOff>
                  </from>
                  <to>
                    <xdr:col>5</xdr:col>
                    <xdr:colOff>85725</xdr:colOff>
                    <xdr:row>312</xdr:row>
                    <xdr:rowOff>0</xdr:rowOff>
                  </to>
                </anchor>
              </controlPr>
            </control>
          </mc:Choice>
        </mc:AlternateContent>
        <mc:AlternateContent xmlns:mc="http://schemas.openxmlformats.org/markup-compatibility/2006">
          <mc:Choice Requires="x14">
            <control shapeId="46107" r:id="rId25" name="Check Box 27">
              <controlPr locked="0" defaultSize="0" autoFill="0" autoLine="0" autoPict="0">
                <anchor moveWithCells="1">
                  <from>
                    <xdr:col>4</xdr:col>
                    <xdr:colOff>9525</xdr:colOff>
                    <xdr:row>311</xdr:row>
                    <xdr:rowOff>171450</xdr:rowOff>
                  </from>
                  <to>
                    <xdr:col>5</xdr:col>
                    <xdr:colOff>85725</xdr:colOff>
                    <xdr:row>313</xdr:row>
                    <xdr:rowOff>9525</xdr:rowOff>
                  </to>
                </anchor>
              </controlPr>
            </control>
          </mc:Choice>
        </mc:AlternateContent>
        <mc:AlternateContent xmlns:mc="http://schemas.openxmlformats.org/markup-compatibility/2006">
          <mc:Choice Requires="x14">
            <control shapeId="46108" r:id="rId26" name="Check Box 28">
              <controlPr locked="0" defaultSize="0" autoFill="0" autoLine="0" autoPict="0">
                <anchor moveWithCells="1">
                  <from>
                    <xdr:col>4</xdr:col>
                    <xdr:colOff>9525</xdr:colOff>
                    <xdr:row>312</xdr:row>
                    <xdr:rowOff>180975</xdr:rowOff>
                  </from>
                  <to>
                    <xdr:col>5</xdr:col>
                    <xdr:colOff>85725</xdr:colOff>
                    <xdr:row>314</xdr:row>
                    <xdr:rowOff>19050</xdr:rowOff>
                  </to>
                </anchor>
              </controlPr>
            </control>
          </mc:Choice>
        </mc:AlternateContent>
        <mc:AlternateContent xmlns:mc="http://schemas.openxmlformats.org/markup-compatibility/2006">
          <mc:Choice Requires="x14">
            <control shapeId="46109" r:id="rId27" name="Check Box 29">
              <controlPr locked="0" defaultSize="0" autoFill="0" autoLine="0" autoPict="0">
                <anchor moveWithCells="1">
                  <from>
                    <xdr:col>4</xdr:col>
                    <xdr:colOff>9525</xdr:colOff>
                    <xdr:row>313</xdr:row>
                    <xdr:rowOff>180975</xdr:rowOff>
                  </from>
                  <to>
                    <xdr:col>5</xdr:col>
                    <xdr:colOff>85725</xdr:colOff>
                    <xdr:row>315</xdr:row>
                    <xdr:rowOff>19050</xdr:rowOff>
                  </to>
                </anchor>
              </controlPr>
            </control>
          </mc:Choice>
        </mc:AlternateContent>
        <mc:AlternateContent xmlns:mc="http://schemas.openxmlformats.org/markup-compatibility/2006">
          <mc:Choice Requires="x14">
            <control shapeId="46110" r:id="rId28" name="Check Box 30">
              <controlPr locked="0" defaultSize="0" autoFill="0" autoLine="0" autoPict="0">
                <anchor moveWithCells="1">
                  <from>
                    <xdr:col>4</xdr:col>
                    <xdr:colOff>9525</xdr:colOff>
                    <xdr:row>314</xdr:row>
                    <xdr:rowOff>171450</xdr:rowOff>
                  </from>
                  <to>
                    <xdr:col>5</xdr:col>
                    <xdr:colOff>85725</xdr:colOff>
                    <xdr:row>316</xdr:row>
                    <xdr:rowOff>9525</xdr:rowOff>
                  </to>
                </anchor>
              </controlPr>
            </control>
          </mc:Choice>
        </mc:AlternateContent>
        <mc:AlternateContent xmlns:mc="http://schemas.openxmlformats.org/markup-compatibility/2006">
          <mc:Choice Requires="x14">
            <control shapeId="46111" r:id="rId29" name="Check Box 31">
              <controlPr locked="0" defaultSize="0" autoFill="0" autoLine="0" autoPict="0">
                <anchor moveWithCells="1">
                  <from>
                    <xdr:col>4</xdr:col>
                    <xdr:colOff>9525</xdr:colOff>
                    <xdr:row>315</xdr:row>
                    <xdr:rowOff>171450</xdr:rowOff>
                  </from>
                  <to>
                    <xdr:col>5</xdr:col>
                    <xdr:colOff>85725</xdr:colOff>
                    <xdr:row>317</xdr:row>
                    <xdr:rowOff>9525</xdr:rowOff>
                  </to>
                </anchor>
              </controlPr>
            </control>
          </mc:Choice>
        </mc:AlternateContent>
        <mc:AlternateContent xmlns:mc="http://schemas.openxmlformats.org/markup-compatibility/2006">
          <mc:Choice Requires="x14">
            <control shapeId="46112" r:id="rId30" name="Check Box 32">
              <controlPr locked="0" defaultSize="0" autoFill="0" autoLine="0" autoPict="0">
                <anchor moveWithCells="1">
                  <from>
                    <xdr:col>4</xdr:col>
                    <xdr:colOff>9525</xdr:colOff>
                    <xdr:row>317</xdr:row>
                    <xdr:rowOff>171450</xdr:rowOff>
                  </from>
                  <to>
                    <xdr:col>5</xdr:col>
                    <xdr:colOff>85725</xdr:colOff>
                    <xdr:row>319</xdr:row>
                    <xdr:rowOff>9525</xdr:rowOff>
                  </to>
                </anchor>
              </controlPr>
            </control>
          </mc:Choice>
        </mc:AlternateContent>
        <mc:AlternateContent xmlns:mc="http://schemas.openxmlformats.org/markup-compatibility/2006">
          <mc:Choice Requires="x14">
            <control shapeId="46113" r:id="rId31" name="Check Box 33">
              <controlPr locked="0" defaultSize="0" autoFill="0" autoLine="0" autoPict="0">
                <anchor moveWithCells="1">
                  <from>
                    <xdr:col>4</xdr:col>
                    <xdr:colOff>9525</xdr:colOff>
                    <xdr:row>320</xdr:row>
                    <xdr:rowOff>0</xdr:rowOff>
                  </from>
                  <to>
                    <xdr:col>5</xdr:col>
                    <xdr:colOff>85725</xdr:colOff>
                    <xdr:row>321</xdr:row>
                    <xdr:rowOff>28575</xdr:rowOff>
                  </to>
                </anchor>
              </controlPr>
            </control>
          </mc:Choice>
        </mc:AlternateContent>
        <mc:AlternateContent xmlns:mc="http://schemas.openxmlformats.org/markup-compatibility/2006">
          <mc:Choice Requires="x14">
            <control shapeId="46114" r:id="rId32" name="Check Box 34">
              <controlPr locked="0" defaultSize="0" autoFill="0" autoLine="0" autoPict="0">
                <anchor moveWithCells="1">
                  <from>
                    <xdr:col>4</xdr:col>
                    <xdr:colOff>9525</xdr:colOff>
                    <xdr:row>321</xdr:row>
                    <xdr:rowOff>0</xdr:rowOff>
                  </from>
                  <to>
                    <xdr:col>5</xdr:col>
                    <xdr:colOff>85725</xdr:colOff>
                    <xdr:row>322</xdr:row>
                    <xdr:rowOff>28575</xdr:rowOff>
                  </to>
                </anchor>
              </controlPr>
            </control>
          </mc:Choice>
        </mc:AlternateContent>
        <mc:AlternateContent xmlns:mc="http://schemas.openxmlformats.org/markup-compatibility/2006">
          <mc:Choice Requires="x14">
            <control shapeId="46115" r:id="rId33" name="Check Box 35">
              <controlPr locked="0" defaultSize="0" autoFill="0" autoLine="0" autoPict="0">
                <anchor moveWithCells="1">
                  <from>
                    <xdr:col>4</xdr:col>
                    <xdr:colOff>9525</xdr:colOff>
                    <xdr:row>321</xdr:row>
                    <xdr:rowOff>171450</xdr:rowOff>
                  </from>
                  <to>
                    <xdr:col>5</xdr:col>
                    <xdr:colOff>85725</xdr:colOff>
                    <xdr:row>323</xdr:row>
                    <xdr:rowOff>9525</xdr:rowOff>
                  </to>
                </anchor>
              </controlPr>
            </control>
          </mc:Choice>
        </mc:AlternateContent>
        <mc:AlternateContent xmlns:mc="http://schemas.openxmlformats.org/markup-compatibility/2006">
          <mc:Choice Requires="x14">
            <control shapeId="46116" r:id="rId34" name="Check Box 36">
              <controlPr locked="0" defaultSize="0" autoFill="0" autoLine="0" autoPict="0">
                <anchor moveWithCells="1">
                  <from>
                    <xdr:col>4</xdr:col>
                    <xdr:colOff>9525</xdr:colOff>
                    <xdr:row>322</xdr:row>
                    <xdr:rowOff>171450</xdr:rowOff>
                  </from>
                  <to>
                    <xdr:col>5</xdr:col>
                    <xdr:colOff>85725</xdr:colOff>
                    <xdr:row>324</xdr:row>
                    <xdr:rowOff>9525</xdr:rowOff>
                  </to>
                </anchor>
              </controlPr>
            </control>
          </mc:Choice>
        </mc:AlternateContent>
        <mc:AlternateContent xmlns:mc="http://schemas.openxmlformats.org/markup-compatibility/2006">
          <mc:Choice Requires="x14">
            <control shapeId="46117" r:id="rId35" name="Check Box 37">
              <controlPr locked="0" defaultSize="0" autoFill="0" autoLine="0" autoPict="0">
                <anchor moveWithCells="1">
                  <from>
                    <xdr:col>4</xdr:col>
                    <xdr:colOff>9525</xdr:colOff>
                    <xdr:row>324</xdr:row>
                    <xdr:rowOff>9525</xdr:rowOff>
                  </from>
                  <to>
                    <xdr:col>5</xdr:col>
                    <xdr:colOff>85725</xdr:colOff>
                    <xdr:row>325</xdr:row>
                    <xdr:rowOff>38100</xdr:rowOff>
                  </to>
                </anchor>
              </controlPr>
            </control>
          </mc:Choice>
        </mc:AlternateContent>
        <mc:AlternateContent xmlns:mc="http://schemas.openxmlformats.org/markup-compatibility/2006">
          <mc:Choice Requires="x14">
            <control shapeId="46118" r:id="rId36" name="Check Box 38">
              <controlPr locked="0" defaultSize="0" autoFill="0" autoLine="0" autoPict="0">
                <anchor moveWithCells="1">
                  <from>
                    <xdr:col>4</xdr:col>
                    <xdr:colOff>9525</xdr:colOff>
                    <xdr:row>324</xdr:row>
                    <xdr:rowOff>180975</xdr:rowOff>
                  </from>
                  <to>
                    <xdr:col>5</xdr:col>
                    <xdr:colOff>85725</xdr:colOff>
                    <xdr:row>326</xdr:row>
                    <xdr:rowOff>19050</xdr:rowOff>
                  </to>
                </anchor>
              </controlPr>
            </control>
          </mc:Choice>
        </mc:AlternateContent>
        <mc:AlternateContent xmlns:mc="http://schemas.openxmlformats.org/markup-compatibility/2006">
          <mc:Choice Requires="x14">
            <control shapeId="46119" r:id="rId37" name="Check Box 39">
              <controlPr locked="0" defaultSize="0" autoFill="0" autoLine="0" autoPict="0">
                <anchor moveWithCells="1">
                  <from>
                    <xdr:col>4</xdr:col>
                    <xdr:colOff>9525</xdr:colOff>
                    <xdr:row>325</xdr:row>
                    <xdr:rowOff>180975</xdr:rowOff>
                  </from>
                  <to>
                    <xdr:col>5</xdr:col>
                    <xdr:colOff>85725</xdr:colOff>
                    <xdr:row>327</xdr:row>
                    <xdr:rowOff>19050</xdr:rowOff>
                  </to>
                </anchor>
              </controlPr>
            </control>
          </mc:Choice>
        </mc:AlternateContent>
        <mc:AlternateContent xmlns:mc="http://schemas.openxmlformats.org/markup-compatibility/2006">
          <mc:Choice Requires="x14">
            <control shapeId="46120" r:id="rId38" name="Check Box 40">
              <controlPr locked="0" defaultSize="0" autoFill="0" autoLine="0" autoPict="0">
                <anchor moveWithCells="1">
                  <from>
                    <xdr:col>4</xdr:col>
                    <xdr:colOff>9525</xdr:colOff>
                    <xdr:row>328</xdr:row>
                    <xdr:rowOff>323850</xdr:rowOff>
                  </from>
                  <to>
                    <xdr:col>5</xdr:col>
                    <xdr:colOff>85725</xdr:colOff>
                    <xdr:row>329</xdr:row>
                    <xdr:rowOff>200025</xdr:rowOff>
                  </to>
                </anchor>
              </controlPr>
            </control>
          </mc:Choice>
        </mc:AlternateContent>
        <mc:AlternateContent xmlns:mc="http://schemas.openxmlformats.org/markup-compatibility/2006">
          <mc:Choice Requires="x14">
            <control shapeId="46121" r:id="rId39" name="Check Box 41">
              <controlPr locked="0" defaultSize="0" autoFill="0" autoLine="0" autoPict="0">
                <anchor moveWithCells="1">
                  <from>
                    <xdr:col>4</xdr:col>
                    <xdr:colOff>9525</xdr:colOff>
                    <xdr:row>329</xdr:row>
                    <xdr:rowOff>485775</xdr:rowOff>
                  </from>
                  <to>
                    <xdr:col>5</xdr:col>
                    <xdr:colOff>85725</xdr:colOff>
                    <xdr:row>331</xdr:row>
                    <xdr:rowOff>19050</xdr:rowOff>
                  </to>
                </anchor>
              </controlPr>
            </control>
          </mc:Choice>
        </mc:AlternateContent>
        <mc:AlternateContent xmlns:mc="http://schemas.openxmlformats.org/markup-compatibility/2006">
          <mc:Choice Requires="x14">
            <control shapeId="46122" r:id="rId40" name="Check Box 42">
              <controlPr locked="0" defaultSize="0" autoFill="0" autoLine="0" autoPict="0">
                <anchor moveWithCells="1">
                  <from>
                    <xdr:col>4</xdr:col>
                    <xdr:colOff>9525</xdr:colOff>
                    <xdr:row>330</xdr:row>
                    <xdr:rowOff>171450</xdr:rowOff>
                  </from>
                  <to>
                    <xdr:col>5</xdr:col>
                    <xdr:colOff>85725</xdr:colOff>
                    <xdr:row>332</xdr:row>
                    <xdr:rowOff>9525</xdr:rowOff>
                  </to>
                </anchor>
              </controlPr>
            </control>
          </mc:Choice>
        </mc:AlternateContent>
        <mc:AlternateContent xmlns:mc="http://schemas.openxmlformats.org/markup-compatibility/2006">
          <mc:Choice Requires="x14">
            <control shapeId="46123" r:id="rId41" name="Check Box 43">
              <controlPr locked="0" defaultSize="0" autoFill="0" autoLine="0" autoPict="0">
                <anchor moveWithCells="1">
                  <from>
                    <xdr:col>4</xdr:col>
                    <xdr:colOff>9525</xdr:colOff>
                    <xdr:row>331</xdr:row>
                    <xdr:rowOff>180975</xdr:rowOff>
                  </from>
                  <to>
                    <xdr:col>5</xdr:col>
                    <xdr:colOff>85725</xdr:colOff>
                    <xdr:row>333</xdr:row>
                    <xdr:rowOff>19050</xdr:rowOff>
                  </to>
                </anchor>
              </controlPr>
            </control>
          </mc:Choice>
        </mc:AlternateContent>
        <mc:AlternateContent xmlns:mc="http://schemas.openxmlformats.org/markup-compatibility/2006">
          <mc:Choice Requires="x14">
            <control shapeId="46124" r:id="rId42" name="Check Box 44">
              <controlPr locked="0" defaultSize="0" autoFill="0" autoLine="0" autoPict="0">
                <anchor moveWithCells="1">
                  <from>
                    <xdr:col>4</xdr:col>
                    <xdr:colOff>9525</xdr:colOff>
                    <xdr:row>332</xdr:row>
                    <xdr:rowOff>161925</xdr:rowOff>
                  </from>
                  <to>
                    <xdr:col>5</xdr:col>
                    <xdr:colOff>85725</xdr:colOff>
                    <xdr:row>334</xdr:row>
                    <xdr:rowOff>0</xdr:rowOff>
                  </to>
                </anchor>
              </controlPr>
            </control>
          </mc:Choice>
        </mc:AlternateContent>
        <mc:AlternateContent xmlns:mc="http://schemas.openxmlformats.org/markup-compatibility/2006">
          <mc:Choice Requires="x14">
            <control shapeId="46125" r:id="rId43" name="Check Box 45">
              <controlPr locked="0" defaultSize="0" autoFill="0" autoLine="0" autoPict="0">
                <anchor moveWithCells="1">
                  <from>
                    <xdr:col>4</xdr:col>
                    <xdr:colOff>9525</xdr:colOff>
                    <xdr:row>334</xdr:row>
                    <xdr:rowOff>219075</xdr:rowOff>
                  </from>
                  <to>
                    <xdr:col>5</xdr:col>
                    <xdr:colOff>85725</xdr:colOff>
                    <xdr:row>336</xdr:row>
                    <xdr:rowOff>19050</xdr:rowOff>
                  </to>
                </anchor>
              </controlPr>
            </control>
          </mc:Choice>
        </mc:AlternateContent>
        <mc:AlternateContent xmlns:mc="http://schemas.openxmlformats.org/markup-compatibility/2006">
          <mc:Choice Requires="x14">
            <control shapeId="46126" r:id="rId44" name="Check Box 46">
              <controlPr locked="0" defaultSize="0" autoFill="0" autoLine="0" autoPict="0">
                <anchor moveWithCells="1">
                  <from>
                    <xdr:col>4</xdr:col>
                    <xdr:colOff>9525</xdr:colOff>
                    <xdr:row>296</xdr:row>
                    <xdr:rowOff>171450</xdr:rowOff>
                  </from>
                  <to>
                    <xdr:col>5</xdr:col>
                    <xdr:colOff>85725</xdr:colOff>
                    <xdr:row>298</xdr:row>
                    <xdr:rowOff>9525</xdr:rowOff>
                  </to>
                </anchor>
              </controlPr>
            </control>
          </mc:Choice>
        </mc:AlternateContent>
        <mc:AlternateContent xmlns:mc="http://schemas.openxmlformats.org/markup-compatibility/2006">
          <mc:Choice Requires="x14">
            <control shapeId="46127" r:id="rId45" name="Check Box 47">
              <controlPr locked="0" defaultSize="0" autoFill="0" autoLine="0" autoPict="0">
                <anchor moveWithCells="1">
                  <from>
                    <xdr:col>4</xdr:col>
                    <xdr:colOff>9525</xdr:colOff>
                    <xdr:row>306</xdr:row>
                    <xdr:rowOff>171450</xdr:rowOff>
                  </from>
                  <to>
                    <xdr:col>5</xdr:col>
                    <xdr:colOff>85725</xdr:colOff>
                    <xdr:row>307</xdr:row>
                    <xdr:rowOff>266700</xdr:rowOff>
                  </to>
                </anchor>
              </controlPr>
            </control>
          </mc:Choice>
        </mc:AlternateContent>
        <mc:AlternateContent xmlns:mc="http://schemas.openxmlformats.org/markup-compatibility/2006">
          <mc:Choice Requires="x14">
            <control shapeId="46128" r:id="rId46" name="Check Box 48">
              <controlPr locked="0" defaultSize="0" autoFill="0" autoLine="0" autoPict="0">
                <anchor moveWithCells="1">
                  <from>
                    <xdr:col>4</xdr:col>
                    <xdr:colOff>9525</xdr:colOff>
                    <xdr:row>298</xdr:row>
                    <xdr:rowOff>180975</xdr:rowOff>
                  </from>
                  <to>
                    <xdr:col>5</xdr:col>
                    <xdr:colOff>85725</xdr:colOff>
                    <xdr:row>300</xdr:row>
                    <xdr:rowOff>0</xdr:rowOff>
                  </to>
                </anchor>
              </controlPr>
            </control>
          </mc:Choice>
        </mc:AlternateContent>
        <mc:AlternateContent xmlns:mc="http://schemas.openxmlformats.org/markup-compatibility/2006">
          <mc:Choice Requires="x14">
            <control shapeId="46129" r:id="rId47" name="Check Box 49">
              <controlPr locked="0" defaultSize="0" autoFill="0" autoLine="0" autoPict="0">
                <anchor moveWithCells="1">
                  <from>
                    <xdr:col>4</xdr:col>
                    <xdr:colOff>9525</xdr:colOff>
                    <xdr:row>328</xdr:row>
                    <xdr:rowOff>0</xdr:rowOff>
                  </from>
                  <to>
                    <xdr:col>5</xdr:col>
                    <xdr:colOff>85725</xdr:colOff>
                    <xdr:row>328</xdr:row>
                    <xdr:rowOff>219075</xdr:rowOff>
                  </to>
                </anchor>
              </controlPr>
            </control>
          </mc:Choice>
        </mc:AlternateContent>
        <mc:AlternateContent xmlns:mc="http://schemas.openxmlformats.org/markup-compatibility/2006">
          <mc:Choice Requires="x14">
            <control shapeId="46152" r:id="rId48" name="Check Box 72">
              <controlPr defaultSize="0" autoFill="0" autoLine="0" autoPict="0">
                <anchor moveWithCells="1">
                  <from>
                    <xdr:col>2</xdr:col>
                    <xdr:colOff>190500</xdr:colOff>
                    <xdr:row>67</xdr:row>
                    <xdr:rowOff>9525</xdr:rowOff>
                  </from>
                  <to>
                    <xdr:col>3</xdr:col>
                    <xdr:colOff>276225</xdr:colOff>
                    <xdr:row>68</xdr:row>
                    <xdr:rowOff>0</xdr:rowOff>
                  </to>
                </anchor>
              </controlPr>
            </control>
          </mc:Choice>
        </mc:AlternateContent>
        <mc:AlternateContent xmlns:mc="http://schemas.openxmlformats.org/markup-compatibility/2006">
          <mc:Choice Requires="x14">
            <control shapeId="46153" r:id="rId49" name="Check Box 73">
              <controlPr defaultSize="0" autoFill="0" autoLine="0" autoPict="0">
                <anchor moveWithCells="1">
                  <from>
                    <xdr:col>2</xdr:col>
                    <xdr:colOff>190500</xdr:colOff>
                    <xdr:row>68</xdr:row>
                    <xdr:rowOff>19050</xdr:rowOff>
                  </from>
                  <to>
                    <xdr:col>3</xdr:col>
                    <xdr:colOff>276225</xdr:colOff>
                    <xdr:row>69</xdr:row>
                    <xdr:rowOff>9525</xdr:rowOff>
                  </to>
                </anchor>
              </controlPr>
            </control>
          </mc:Choice>
        </mc:AlternateContent>
        <mc:AlternateContent xmlns:mc="http://schemas.openxmlformats.org/markup-compatibility/2006">
          <mc:Choice Requires="x14">
            <control shapeId="46154" r:id="rId50" name="Check Box 74">
              <controlPr locked="0" defaultSize="0" autoFill="0" autoLine="0" autoPict="0">
                <anchor moveWithCells="1">
                  <from>
                    <xdr:col>2</xdr:col>
                    <xdr:colOff>190500</xdr:colOff>
                    <xdr:row>69</xdr:row>
                    <xdr:rowOff>9525</xdr:rowOff>
                  </from>
                  <to>
                    <xdr:col>3</xdr:col>
                    <xdr:colOff>276225</xdr:colOff>
                    <xdr:row>70</xdr:row>
                    <xdr:rowOff>0</xdr:rowOff>
                  </to>
                </anchor>
              </controlPr>
            </control>
          </mc:Choice>
        </mc:AlternateContent>
        <mc:AlternateContent xmlns:mc="http://schemas.openxmlformats.org/markup-compatibility/2006">
          <mc:Choice Requires="x14">
            <control shapeId="46155" r:id="rId51" name="Check Box 75">
              <controlPr defaultSize="0" autoFill="0" autoLine="0" autoPict="0">
                <anchor moveWithCells="1">
                  <from>
                    <xdr:col>2</xdr:col>
                    <xdr:colOff>190500</xdr:colOff>
                    <xdr:row>107</xdr:row>
                    <xdr:rowOff>9525</xdr:rowOff>
                  </from>
                  <to>
                    <xdr:col>3</xdr:col>
                    <xdr:colOff>276225</xdr:colOff>
                    <xdr:row>108</xdr:row>
                    <xdr:rowOff>0</xdr:rowOff>
                  </to>
                </anchor>
              </controlPr>
            </control>
          </mc:Choice>
        </mc:AlternateContent>
        <mc:AlternateContent xmlns:mc="http://schemas.openxmlformats.org/markup-compatibility/2006">
          <mc:Choice Requires="x14">
            <control shapeId="46156" r:id="rId52" name="Check Box 76">
              <controlPr defaultSize="0" autoFill="0" autoLine="0" autoPict="0">
                <anchor moveWithCells="1">
                  <from>
                    <xdr:col>2</xdr:col>
                    <xdr:colOff>190500</xdr:colOff>
                    <xdr:row>108</xdr:row>
                    <xdr:rowOff>19050</xdr:rowOff>
                  </from>
                  <to>
                    <xdr:col>3</xdr:col>
                    <xdr:colOff>276225</xdr:colOff>
                    <xdr:row>109</xdr:row>
                    <xdr:rowOff>9525</xdr:rowOff>
                  </to>
                </anchor>
              </controlPr>
            </control>
          </mc:Choice>
        </mc:AlternateContent>
        <mc:AlternateContent xmlns:mc="http://schemas.openxmlformats.org/markup-compatibility/2006">
          <mc:Choice Requires="x14">
            <control shapeId="46157" r:id="rId53" name="Check Box 77">
              <controlPr locked="0" defaultSize="0" autoFill="0" autoLine="0" autoPict="0">
                <anchor moveWithCells="1">
                  <from>
                    <xdr:col>2</xdr:col>
                    <xdr:colOff>190500</xdr:colOff>
                    <xdr:row>109</xdr:row>
                    <xdr:rowOff>9525</xdr:rowOff>
                  </from>
                  <to>
                    <xdr:col>3</xdr:col>
                    <xdr:colOff>276225</xdr:colOff>
                    <xdr:row>110</xdr:row>
                    <xdr:rowOff>0</xdr:rowOff>
                  </to>
                </anchor>
              </controlPr>
            </control>
          </mc:Choice>
        </mc:AlternateContent>
        <mc:AlternateContent xmlns:mc="http://schemas.openxmlformats.org/markup-compatibility/2006">
          <mc:Choice Requires="x14">
            <control shapeId="46158" r:id="rId54" name="Check Box 78">
              <controlPr defaultSize="0" autoFill="0" autoLine="0" autoPict="0">
                <anchor moveWithCells="1">
                  <from>
                    <xdr:col>2</xdr:col>
                    <xdr:colOff>190500</xdr:colOff>
                    <xdr:row>147</xdr:row>
                    <xdr:rowOff>9525</xdr:rowOff>
                  </from>
                  <to>
                    <xdr:col>3</xdr:col>
                    <xdr:colOff>276225</xdr:colOff>
                    <xdr:row>148</xdr:row>
                    <xdr:rowOff>0</xdr:rowOff>
                  </to>
                </anchor>
              </controlPr>
            </control>
          </mc:Choice>
        </mc:AlternateContent>
        <mc:AlternateContent xmlns:mc="http://schemas.openxmlformats.org/markup-compatibility/2006">
          <mc:Choice Requires="x14">
            <control shapeId="46159" r:id="rId55" name="Check Box 79">
              <controlPr defaultSize="0" autoFill="0" autoLine="0" autoPict="0">
                <anchor moveWithCells="1">
                  <from>
                    <xdr:col>2</xdr:col>
                    <xdr:colOff>190500</xdr:colOff>
                    <xdr:row>148</xdr:row>
                    <xdr:rowOff>19050</xdr:rowOff>
                  </from>
                  <to>
                    <xdr:col>3</xdr:col>
                    <xdr:colOff>276225</xdr:colOff>
                    <xdr:row>149</xdr:row>
                    <xdr:rowOff>9525</xdr:rowOff>
                  </to>
                </anchor>
              </controlPr>
            </control>
          </mc:Choice>
        </mc:AlternateContent>
        <mc:AlternateContent xmlns:mc="http://schemas.openxmlformats.org/markup-compatibility/2006">
          <mc:Choice Requires="x14">
            <control shapeId="46160" r:id="rId56" name="Check Box 80">
              <controlPr locked="0" defaultSize="0" autoFill="0" autoLine="0" autoPict="0">
                <anchor moveWithCells="1">
                  <from>
                    <xdr:col>2</xdr:col>
                    <xdr:colOff>190500</xdr:colOff>
                    <xdr:row>149</xdr:row>
                    <xdr:rowOff>9525</xdr:rowOff>
                  </from>
                  <to>
                    <xdr:col>3</xdr:col>
                    <xdr:colOff>276225</xdr:colOff>
                    <xdr:row>150</xdr:row>
                    <xdr:rowOff>0</xdr:rowOff>
                  </to>
                </anchor>
              </controlPr>
            </control>
          </mc:Choice>
        </mc:AlternateContent>
        <mc:AlternateContent xmlns:mc="http://schemas.openxmlformats.org/markup-compatibility/2006">
          <mc:Choice Requires="x14">
            <control shapeId="46161" r:id="rId57" name="Check Box 81">
              <controlPr defaultSize="0" autoFill="0" autoLine="0" autoPict="0">
                <anchor moveWithCells="1">
                  <from>
                    <xdr:col>2</xdr:col>
                    <xdr:colOff>190500</xdr:colOff>
                    <xdr:row>187</xdr:row>
                    <xdr:rowOff>9525</xdr:rowOff>
                  </from>
                  <to>
                    <xdr:col>3</xdr:col>
                    <xdr:colOff>276225</xdr:colOff>
                    <xdr:row>188</xdr:row>
                    <xdr:rowOff>0</xdr:rowOff>
                  </to>
                </anchor>
              </controlPr>
            </control>
          </mc:Choice>
        </mc:AlternateContent>
        <mc:AlternateContent xmlns:mc="http://schemas.openxmlformats.org/markup-compatibility/2006">
          <mc:Choice Requires="x14">
            <control shapeId="46162" r:id="rId58" name="Check Box 82">
              <controlPr defaultSize="0" autoFill="0" autoLine="0" autoPict="0">
                <anchor moveWithCells="1">
                  <from>
                    <xdr:col>2</xdr:col>
                    <xdr:colOff>190500</xdr:colOff>
                    <xdr:row>188</xdr:row>
                    <xdr:rowOff>19050</xdr:rowOff>
                  </from>
                  <to>
                    <xdr:col>3</xdr:col>
                    <xdr:colOff>276225</xdr:colOff>
                    <xdr:row>189</xdr:row>
                    <xdr:rowOff>9525</xdr:rowOff>
                  </to>
                </anchor>
              </controlPr>
            </control>
          </mc:Choice>
        </mc:AlternateContent>
        <mc:AlternateContent xmlns:mc="http://schemas.openxmlformats.org/markup-compatibility/2006">
          <mc:Choice Requires="x14">
            <control shapeId="46163" r:id="rId59" name="Check Box 83">
              <controlPr locked="0" defaultSize="0" autoFill="0" autoLine="0" autoPict="0">
                <anchor moveWithCells="1">
                  <from>
                    <xdr:col>2</xdr:col>
                    <xdr:colOff>190500</xdr:colOff>
                    <xdr:row>189</xdr:row>
                    <xdr:rowOff>9525</xdr:rowOff>
                  </from>
                  <to>
                    <xdr:col>3</xdr:col>
                    <xdr:colOff>276225</xdr:colOff>
                    <xdr:row>190</xdr:row>
                    <xdr:rowOff>0</xdr:rowOff>
                  </to>
                </anchor>
              </controlPr>
            </control>
          </mc:Choice>
        </mc:AlternateContent>
        <mc:AlternateContent xmlns:mc="http://schemas.openxmlformats.org/markup-compatibility/2006">
          <mc:Choice Requires="x14">
            <control shapeId="46164" r:id="rId60" name="Check Box 84">
              <controlPr defaultSize="0" autoFill="0" autoLine="0" autoPict="0">
                <anchor moveWithCells="1">
                  <from>
                    <xdr:col>2</xdr:col>
                    <xdr:colOff>190500</xdr:colOff>
                    <xdr:row>29</xdr:row>
                    <xdr:rowOff>19050</xdr:rowOff>
                  </from>
                  <to>
                    <xdr:col>3</xdr:col>
                    <xdr:colOff>276225</xdr:colOff>
                    <xdr:row>30</xdr:row>
                    <xdr:rowOff>9525</xdr:rowOff>
                  </to>
                </anchor>
              </controlPr>
            </control>
          </mc:Choice>
        </mc:AlternateContent>
        <mc:AlternateContent xmlns:mc="http://schemas.openxmlformats.org/markup-compatibility/2006">
          <mc:Choice Requires="x14">
            <control shapeId="46165" r:id="rId61" name="Check Box 85">
              <controlPr locked="0" defaultSize="0" autoFill="0" autoLine="0" autoPict="0">
                <anchor moveWithCells="1">
                  <from>
                    <xdr:col>2</xdr:col>
                    <xdr:colOff>190500</xdr:colOff>
                    <xdr:row>30</xdr:row>
                    <xdr:rowOff>9525</xdr:rowOff>
                  </from>
                  <to>
                    <xdr:col>3</xdr:col>
                    <xdr:colOff>276225</xdr:colOff>
                    <xdr:row>31</xdr:row>
                    <xdr:rowOff>0</xdr:rowOff>
                  </to>
                </anchor>
              </controlPr>
            </control>
          </mc:Choice>
        </mc:AlternateContent>
        <mc:AlternateContent xmlns:mc="http://schemas.openxmlformats.org/markup-compatibility/2006">
          <mc:Choice Requires="x14">
            <control shapeId="46166" r:id="rId62" name="Check Box 86">
              <controlPr defaultSize="0" autoFill="0" autoLine="0" autoPict="0">
                <anchor moveWithCells="1">
                  <from>
                    <xdr:col>2</xdr:col>
                    <xdr:colOff>190500</xdr:colOff>
                    <xdr:row>29</xdr:row>
                    <xdr:rowOff>19050</xdr:rowOff>
                  </from>
                  <to>
                    <xdr:col>3</xdr:col>
                    <xdr:colOff>276225</xdr:colOff>
                    <xdr:row>30</xdr:row>
                    <xdr:rowOff>9525</xdr:rowOff>
                  </to>
                </anchor>
              </controlPr>
            </control>
          </mc:Choice>
        </mc:AlternateContent>
        <mc:AlternateContent xmlns:mc="http://schemas.openxmlformats.org/markup-compatibility/2006">
          <mc:Choice Requires="x14">
            <control shapeId="46167" r:id="rId63" name="Check Box 87">
              <controlPr locked="0" defaultSize="0" autoFill="0" autoLine="0" autoPict="0">
                <anchor moveWithCells="1">
                  <from>
                    <xdr:col>2</xdr:col>
                    <xdr:colOff>190500</xdr:colOff>
                    <xdr:row>30</xdr:row>
                    <xdr:rowOff>9525</xdr:rowOff>
                  </from>
                  <to>
                    <xdr:col>3</xdr:col>
                    <xdr:colOff>276225</xdr:colOff>
                    <xdr:row>31</xdr:row>
                    <xdr:rowOff>0</xdr:rowOff>
                  </to>
                </anchor>
              </controlPr>
            </control>
          </mc:Choice>
        </mc:AlternateContent>
        <mc:AlternateContent xmlns:mc="http://schemas.openxmlformats.org/markup-compatibility/2006">
          <mc:Choice Requires="x14">
            <control shapeId="46168" r:id="rId64" name="Check Box 88">
              <controlPr defaultSize="0" autoFill="0" autoLine="0" autoPict="0">
                <anchor moveWithCells="1">
                  <from>
                    <xdr:col>5</xdr:col>
                    <xdr:colOff>238125</xdr:colOff>
                    <xdr:row>207</xdr:row>
                    <xdr:rowOff>28575</xdr:rowOff>
                  </from>
                  <to>
                    <xdr:col>8</xdr:col>
                    <xdr:colOff>114300</xdr:colOff>
                    <xdr:row>208</xdr:row>
                    <xdr:rowOff>19050</xdr:rowOff>
                  </to>
                </anchor>
              </controlPr>
            </control>
          </mc:Choice>
        </mc:AlternateContent>
        <mc:AlternateContent xmlns:mc="http://schemas.openxmlformats.org/markup-compatibility/2006">
          <mc:Choice Requires="x14">
            <control shapeId="46169" r:id="rId65" name="Check Box 89">
              <controlPr defaultSize="0" autoFill="0" autoLine="0" autoPict="0">
                <anchor moveWithCells="1">
                  <from>
                    <xdr:col>5</xdr:col>
                    <xdr:colOff>238125</xdr:colOff>
                    <xdr:row>208</xdr:row>
                    <xdr:rowOff>28575</xdr:rowOff>
                  </from>
                  <to>
                    <xdr:col>8</xdr:col>
                    <xdr:colOff>114300</xdr:colOff>
                    <xdr:row>209</xdr:row>
                    <xdr:rowOff>19050</xdr:rowOff>
                  </to>
                </anchor>
              </controlPr>
            </control>
          </mc:Choice>
        </mc:AlternateContent>
        <mc:AlternateContent xmlns:mc="http://schemas.openxmlformats.org/markup-compatibility/2006">
          <mc:Choice Requires="x14">
            <control shapeId="46170" r:id="rId66" name="Check Box 90">
              <controlPr defaultSize="0" autoFill="0" autoLine="0" autoPict="0">
                <anchor moveWithCells="1">
                  <from>
                    <xdr:col>5</xdr:col>
                    <xdr:colOff>238125</xdr:colOff>
                    <xdr:row>209</xdr:row>
                    <xdr:rowOff>28575</xdr:rowOff>
                  </from>
                  <to>
                    <xdr:col>8</xdr:col>
                    <xdr:colOff>114300</xdr:colOff>
                    <xdr:row>210</xdr:row>
                    <xdr:rowOff>19050</xdr:rowOff>
                  </to>
                </anchor>
              </controlPr>
            </control>
          </mc:Choice>
        </mc:AlternateContent>
        <mc:AlternateContent xmlns:mc="http://schemas.openxmlformats.org/markup-compatibility/2006">
          <mc:Choice Requires="x14">
            <control shapeId="46171" r:id="rId67" name="Check Box 91">
              <controlPr defaultSize="0" autoFill="0" autoLine="0" autoPict="0">
                <anchor moveWithCells="1">
                  <from>
                    <xdr:col>5</xdr:col>
                    <xdr:colOff>238125</xdr:colOff>
                    <xdr:row>210</xdr:row>
                    <xdr:rowOff>28575</xdr:rowOff>
                  </from>
                  <to>
                    <xdr:col>8</xdr:col>
                    <xdr:colOff>114300</xdr:colOff>
                    <xdr:row>211</xdr:row>
                    <xdr:rowOff>19050</xdr:rowOff>
                  </to>
                </anchor>
              </controlPr>
            </control>
          </mc:Choice>
        </mc:AlternateContent>
        <mc:AlternateContent xmlns:mc="http://schemas.openxmlformats.org/markup-compatibility/2006">
          <mc:Choice Requires="x14">
            <control shapeId="46172" r:id="rId68" name="Check Box 92">
              <controlPr defaultSize="0" autoFill="0" autoLine="0" autoPict="0">
                <anchor moveWithCells="1">
                  <from>
                    <xdr:col>5</xdr:col>
                    <xdr:colOff>238125</xdr:colOff>
                    <xdr:row>211</xdr:row>
                    <xdr:rowOff>28575</xdr:rowOff>
                  </from>
                  <to>
                    <xdr:col>8</xdr:col>
                    <xdr:colOff>114300</xdr:colOff>
                    <xdr:row>212</xdr:row>
                    <xdr:rowOff>19050</xdr:rowOff>
                  </to>
                </anchor>
              </controlPr>
            </control>
          </mc:Choice>
        </mc:AlternateContent>
        <mc:AlternateContent xmlns:mc="http://schemas.openxmlformats.org/markup-compatibility/2006">
          <mc:Choice Requires="x14">
            <control shapeId="46173" r:id="rId69" name="Check Box 93">
              <controlPr defaultSize="0" autoFill="0" autoLine="0" autoPict="0">
                <anchor moveWithCells="1">
                  <from>
                    <xdr:col>5</xdr:col>
                    <xdr:colOff>238125</xdr:colOff>
                    <xdr:row>214</xdr:row>
                    <xdr:rowOff>38100</xdr:rowOff>
                  </from>
                  <to>
                    <xdr:col>7</xdr:col>
                    <xdr:colOff>19050</xdr:colOff>
                    <xdr:row>215</xdr:row>
                    <xdr:rowOff>28575</xdr:rowOff>
                  </to>
                </anchor>
              </controlPr>
            </control>
          </mc:Choice>
        </mc:AlternateContent>
        <mc:AlternateContent xmlns:mc="http://schemas.openxmlformats.org/markup-compatibility/2006">
          <mc:Choice Requires="x14">
            <control shapeId="46174" r:id="rId70" name="Check Box 94">
              <controlPr defaultSize="0" autoFill="0" autoLine="0" autoPict="0">
                <anchor moveWithCells="1">
                  <from>
                    <xdr:col>5</xdr:col>
                    <xdr:colOff>238125</xdr:colOff>
                    <xdr:row>215</xdr:row>
                    <xdr:rowOff>38100</xdr:rowOff>
                  </from>
                  <to>
                    <xdr:col>7</xdr:col>
                    <xdr:colOff>19050</xdr:colOff>
                    <xdr:row>216</xdr:row>
                    <xdr:rowOff>28575</xdr:rowOff>
                  </to>
                </anchor>
              </controlPr>
            </control>
          </mc:Choice>
        </mc:AlternateContent>
        <mc:AlternateContent xmlns:mc="http://schemas.openxmlformats.org/markup-compatibility/2006">
          <mc:Choice Requires="x14">
            <control shapeId="46175" r:id="rId71" name="Check Box 95">
              <controlPr defaultSize="0" autoFill="0" autoLine="0" autoPict="0">
                <anchor moveWithCells="1">
                  <from>
                    <xdr:col>5</xdr:col>
                    <xdr:colOff>238125</xdr:colOff>
                    <xdr:row>216</xdr:row>
                    <xdr:rowOff>38100</xdr:rowOff>
                  </from>
                  <to>
                    <xdr:col>7</xdr:col>
                    <xdr:colOff>19050</xdr:colOff>
                    <xdr:row>217</xdr:row>
                    <xdr:rowOff>28575</xdr:rowOff>
                  </to>
                </anchor>
              </controlPr>
            </control>
          </mc:Choice>
        </mc:AlternateContent>
        <mc:AlternateContent xmlns:mc="http://schemas.openxmlformats.org/markup-compatibility/2006">
          <mc:Choice Requires="x14">
            <control shapeId="46176" r:id="rId72" name="Check Box 96">
              <controlPr defaultSize="0" autoFill="0" autoLine="0" autoPict="0">
                <anchor moveWithCells="1">
                  <from>
                    <xdr:col>5</xdr:col>
                    <xdr:colOff>238125</xdr:colOff>
                    <xdr:row>217</xdr:row>
                    <xdr:rowOff>28575</xdr:rowOff>
                  </from>
                  <to>
                    <xdr:col>7</xdr:col>
                    <xdr:colOff>19050</xdr:colOff>
                    <xdr:row>218</xdr:row>
                    <xdr:rowOff>19050</xdr:rowOff>
                  </to>
                </anchor>
              </controlPr>
            </control>
          </mc:Choice>
        </mc:AlternateContent>
        <mc:AlternateContent xmlns:mc="http://schemas.openxmlformats.org/markup-compatibility/2006">
          <mc:Choice Requires="x14">
            <control shapeId="46177" r:id="rId73" name="Check Box 97">
              <controlPr defaultSize="0" autoFill="0" autoLine="0" autoPict="0">
                <anchor moveWithCells="1">
                  <from>
                    <xdr:col>5</xdr:col>
                    <xdr:colOff>238125</xdr:colOff>
                    <xdr:row>218</xdr:row>
                    <xdr:rowOff>19050</xdr:rowOff>
                  </from>
                  <to>
                    <xdr:col>7</xdr:col>
                    <xdr:colOff>19050</xdr:colOff>
                    <xdr:row>219</xdr:row>
                    <xdr:rowOff>9525</xdr:rowOff>
                  </to>
                </anchor>
              </controlPr>
            </control>
          </mc:Choice>
        </mc:AlternateContent>
        <mc:AlternateContent xmlns:mc="http://schemas.openxmlformats.org/markup-compatibility/2006">
          <mc:Choice Requires="x14">
            <control shapeId="46183" r:id="rId74" name="Check Box 103">
              <controlPr defaultSize="0" autoFill="0" autoLine="0" autoPict="0">
                <anchor moveWithCells="1">
                  <from>
                    <xdr:col>1</xdr:col>
                    <xdr:colOff>85725</xdr:colOff>
                    <xdr:row>247</xdr:row>
                    <xdr:rowOff>19050</xdr:rowOff>
                  </from>
                  <to>
                    <xdr:col>1</xdr:col>
                    <xdr:colOff>390525</xdr:colOff>
                    <xdr:row>248</xdr:row>
                    <xdr:rowOff>9525</xdr:rowOff>
                  </to>
                </anchor>
              </controlPr>
            </control>
          </mc:Choice>
        </mc:AlternateContent>
        <mc:AlternateContent xmlns:mc="http://schemas.openxmlformats.org/markup-compatibility/2006">
          <mc:Choice Requires="x14">
            <control shapeId="46184" r:id="rId75" name="Check Box 104">
              <controlPr defaultSize="0" autoFill="0" autoLine="0" autoPict="0">
                <anchor moveWithCells="1">
                  <from>
                    <xdr:col>5</xdr:col>
                    <xdr:colOff>142875</xdr:colOff>
                    <xdr:row>249</xdr:row>
                    <xdr:rowOff>19050</xdr:rowOff>
                  </from>
                  <to>
                    <xdr:col>6</xdr:col>
                    <xdr:colOff>190500</xdr:colOff>
                    <xdr:row>250</xdr:row>
                    <xdr:rowOff>9525</xdr:rowOff>
                  </to>
                </anchor>
              </controlPr>
            </control>
          </mc:Choice>
        </mc:AlternateContent>
        <mc:AlternateContent xmlns:mc="http://schemas.openxmlformats.org/markup-compatibility/2006">
          <mc:Choice Requires="x14">
            <control shapeId="46189" r:id="rId76" name="Check Box 109">
              <controlPr defaultSize="0" autoFill="0" autoLine="0" autoPict="0">
                <anchor moveWithCells="1">
                  <from>
                    <xdr:col>4</xdr:col>
                    <xdr:colOff>142875</xdr:colOff>
                    <xdr:row>256</xdr:row>
                    <xdr:rowOff>28575</xdr:rowOff>
                  </from>
                  <to>
                    <xdr:col>5</xdr:col>
                    <xdr:colOff>219075</xdr:colOff>
                    <xdr:row>257</xdr:row>
                    <xdr:rowOff>19050</xdr:rowOff>
                  </to>
                </anchor>
              </controlPr>
            </control>
          </mc:Choice>
        </mc:AlternateContent>
        <mc:AlternateContent xmlns:mc="http://schemas.openxmlformats.org/markup-compatibility/2006">
          <mc:Choice Requires="x14">
            <control shapeId="46190" r:id="rId77" name="Check Box 110">
              <controlPr defaultSize="0" autoFill="0" autoLine="0" autoPict="0">
                <anchor moveWithCells="1">
                  <from>
                    <xdr:col>4</xdr:col>
                    <xdr:colOff>142875</xdr:colOff>
                    <xdr:row>257</xdr:row>
                    <xdr:rowOff>38100</xdr:rowOff>
                  </from>
                  <to>
                    <xdr:col>5</xdr:col>
                    <xdr:colOff>219075</xdr:colOff>
                    <xdr:row>258</xdr:row>
                    <xdr:rowOff>28575</xdr:rowOff>
                  </to>
                </anchor>
              </controlPr>
            </control>
          </mc:Choice>
        </mc:AlternateContent>
        <mc:AlternateContent xmlns:mc="http://schemas.openxmlformats.org/markup-compatibility/2006">
          <mc:Choice Requires="x14">
            <control shapeId="46191" r:id="rId78" name="Check Box 111">
              <controlPr defaultSize="0" autoFill="0" autoLine="0" autoPict="0">
                <anchor moveWithCells="1">
                  <from>
                    <xdr:col>4</xdr:col>
                    <xdr:colOff>142875</xdr:colOff>
                    <xdr:row>258</xdr:row>
                    <xdr:rowOff>38100</xdr:rowOff>
                  </from>
                  <to>
                    <xdr:col>5</xdr:col>
                    <xdr:colOff>219075</xdr:colOff>
                    <xdr:row>259</xdr:row>
                    <xdr:rowOff>28575</xdr:rowOff>
                  </to>
                </anchor>
              </controlPr>
            </control>
          </mc:Choice>
        </mc:AlternateContent>
        <mc:AlternateContent xmlns:mc="http://schemas.openxmlformats.org/markup-compatibility/2006">
          <mc:Choice Requires="x14">
            <control shapeId="46192" r:id="rId79" name="Check Box 112">
              <controlPr defaultSize="0" autoFill="0" autoLine="0" autoPict="0">
                <anchor moveWithCells="1">
                  <from>
                    <xdr:col>4</xdr:col>
                    <xdr:colOff>142875</xdr:colOff>
                    <xdr:row>259</xdr:row>
                    <xdr:rowOff>38100</xdr:rowOff>
                  </from>
                  <to>
                    <xdr:col>5</xdr:col>
                    <xdr:colOff>219075</xdr:colOff>
                    <xdr:row>260</xdr:row>
                    <xdr:rowOff>28575</xdr:rowOff>
                  </to>
                </anchor>
              </controlPr>
            </control>
          </mc:Choice>
        </mc:AlternateContent>
        <mc:AlternateContent xmlns:mc="http://schemas.openxmlformats.org/markup-compatibility/2006">
          <mc:Choice Requires="x14">
            <control shapeId="46193" r:id="rId80" name="Check Box 113">
              <controlPr defaultSize="0" autoFill="0" autoLine="0" autoPict="0">
                <anchor moveWithCells="1">
                  <from>
                    <xdr:col>4</xdr:col>
                    <xdr:colOff>142875</xdr:colOff>
                    <xdr:row>260</xdr:row>
                    <xdr:rowOff>38100</xdr:rowOff>
                  </from>
                  <to>
                    <xdr:col>5</xdr:col>
                    <xdr:colOff>219075</xdr:colOff>
                    <xdr:row>261</xdr:row>
                    <xdr:rowOff>28575</xdr:rowOff>
                  </to>
                </anchor>
              </controlPr>
            </control>
          </mc:Choice>
        </mc:AlternateContent>
        <mc:AlternateContent xmlns:mc="http://schemas.openxmlformats.org/markup-compatibility/2006">
          <mc:Choice Requires="x14">
            <control shapeId="46194" r:id="rId81" name="Check Box 114">
              <controlPr defaultSize="0" autoFill="0" autoLine="0" autoPict="0">
                <anchor moveWithCells="1">
                  <from>
                    <xdr:col>4</xdr:col>
                    <xdr:colOff>142875</xdr:colOff>
                    <xdr:row>261</xdr:row>
                    <xdr:rowOff>38100</xdr:rowOff>
                  </from>
                  <to>
                    <xdr:col>5</xdr:col>
                    <xdr:colOff>219075</xdr:colOff>
                    <xdr:row>262</xdr:row>
                    <xdr:rowOff>28575</xdr:rowOff>
                  </to>
                </anchor>
              </controlPr>
            </control>
          </mc:Choice>
        </mc:AlternateContent>
        <mc:AlternateContent xmlns:mc="http://schemas.openxmlformats.org/markup-compatibility/2006">
          <mc:Choice Requires="x14">
            <control shapeId="46195" r:id="rId82" name="Check Box 115">
              <controlPr defaultSize="0" autoFill="0" autoLine="0" autoPict="0">
                <anchor moveWithCells="1">
                  <from>
                    <xdr:col>4</xdr:col>
                    <xdr:colOff>142875</xdr:colOff>
                    <xdr:row>262</xdr:row>
                    <xdr:rowOff>19050</xdr:rowOff>
                  </from>
                  <to>
                    <xdr:col>5</xdr:col>
                    <xdr:colOff>219075</xdr:colOff>
                    <xdr:row>263</xdr:row>
                    <xdr:rowOff>9525</xdr:rowOff>
                  </to>
                </anchor>
              </controlPr>
            </control>
          </mc:Choice>
        </mc:AlternateContent>
        <mc:AlternateContent xmlns:mc="http://schemas.openxmlformats.org/markup-compatibility/2006">
          <mc:Choice Requires="x14">
            <control shapeId="46210" r:id="rId83" name="Option Button 130">
              <controlPr defaultSize="0" autoFill="0" autoLine="0" autoPict="0">
                <anchor moveWithCells="1" sizeWithCells="1">
                  <from>
                    <xdr:col>2</xdr:col>
                    <xdr:colOff>142875</xdr:colOff>
                    <xdr:row>413</xdr:row>
                    <xdr:rowOff>95250</xdr:rowOff>
                  </from>
                  <to>
                    <xdr:col>3</xdr:col>
                    <xdr:colOff>371475</xdr:colOff>
                    <xdr:row>414</xdr:row>
                    <xdr:rowOff>85725</xdr:rowOff>
                  </to>
                </anchor>
              </controlPr>
            </control>
          </mc:Choice>
        </mc:AlternateContent>
        <mc:AlternateContent xmlns:mc="http://schemas.openxmlformats.org/markup-compatibility/2006">
          <mc:Choice Requires="x14">
            <control shapeId="46211" r:id="rId84" name="Option Button 131">
              <controlPr defaultSize="0" autoFill="0" autoLine="0" autoPict="0">
                <anchor moveWithCells="1" sizeWithCells="1">
                  <from>
                    <xdr:col>4</xdr:col>
                    <xdr:colOff>152400</xdr:colOff>
                    <xdr:row>412</xdr:row>
                    <xdr:rowOff>9525</xdr:rowOff>
                  </from>
                  <to>
                    <xdr:col>11</xdr:col>
                    <xdr:colOff>161925</xdr:colOff>
                    <xdr:row>413</xdr:row>
                    <xdr:rowOff>0</xdr:rowOff>
                  </to>
                </anchor>
              </controlPr>
            </control>
          </mc:Choice>
        </mc:AlternateContent>
        <mc:AlternateContent xmlns:mc="http://schemas.openxmlformats.org/markup-compatibility/2006">
          <mc:Choice Requires="x14">
            <control shapeId="46212" r:id="rId85" name="Option Button 132">
              <controlPr defaultSize="0" autoFill="0" autoLine="0" autoPict="0">
                <anchor moveWithCells="1" sizeWithCells="1">
                  <from>
                    <xdr:col>4</xdr:col>
                    <xdr:colOff>152400</xdr:colOff>
                    <xdr:row>412</xdr:row>
                    <xdr:rowOff>219075</xdr:rowOff>
                  </from>
                  <to>
                    <xdr:col>12</xdr:col>
                    <xdr:colOff>342900</xdr:colOff>
                    <xdr:row>413</xdr:row>
                    <xdr:rowOff>209550</xdr:rowOff>
                  </to>
                </anchor>
              </controlPr>
            </control>
          </mc:Choice>
        </mc:AlternateContent>
        <mc:AlternateContent xmlns:mc="http://schemas.openxmlformats.org/markup-compatibility/2006">
          <mc:Choice Requires="x14">
            <control shapeId="46213" r:id="rId86" name="Option Button 133">
              <controlPr defaultSize="0" autoFill="0" autoLine="0" autoPict="0">
                <anchor moveWithCells="1" sizeWithCells="1">
                  <from>
                    <xdr:col>4</xdr:col>
                    <xdr:colOff>152400</xdr:colOff>
                    <xdr:row>413</xdr:row>
                    <xdr:rowOff>200025</xdr:rowOff>
                  </from>
                  <to>
                    <xdr:col>12</xdr:col>
                    <xdr:colOff>342900</xdr:colOff>
                    <xdr:row>414</xdr:row>
                    <xdr:rowOff>190500</xdr:rowOff>
                  </to>
                </anchor>
              </controlPr>
            </control>
          </mc:Choice>
        </mc:AlternateContent>
        <mc:AlternateContent xmlns:mc="http://schemas.openxmlformats.org/markup-compatibility/2006">
          <mc:Choice Requires="x14">
            <control shapeId="46214" r:id="rId87" name="Option Button 134">
              <controlPr defaultSize="0" autoFill="0" autoLine="0" autoPict="0">
                <anchor moveWithCells="1" sizeWithCells="1">
                  <from>
                    <xdr:col>4</xdr:col>
                    <xdr:colOff>152400</xdr:colOff>
                    <xdr:row>414</xdr:row>
                    <xdr:rowOff>180975</xdr:rowOff>
                  </from>
                  <to>
                    <xdr:col>12</xdr:col>
                    <xdr:colOff>342900</xdr:colOff>
                    <xdr:row>415</xdr:row>
                    <xdr:rowOff>171450</xdr:rowOff>
                  </to>
                </anchor>
              </controlPr>
            </control>
          </mc:Choice>
        </mc:AlternateContent>
        <mc:AlternateContent xmlns:mc="http://schemas.openxmlformats.org/markup-compatibility/2006">
          <mc:Choice Requires="x14">
            <control shapeId="46215" r:id="rId88" name="Group Box 135">
              <controlPr defaultSize="0" autoFill="0" autoPict="0">
                <anchor moveWithCells="1" sizeWithCells="1">
                  <from>
                    <xdr:col>2</xdr:col>
                    <xdr:colOff>0</xdr:colOff>
                    <xdr:row>412</xdr:row>
                    <xdr:rowOff>0</xdr:rowOff>
                  </from>
                  <to>
                    <xdr:col>15</xdr:col>
                    <xdr:colOff>0</xdr:colOff>
                    <xdr:row>416</xdr:row>
                    <xdr:rowOff>0</xdr:rowOff>
                  </to>
                </anchor>
              </controlPr>
            </control>
          </mc:Choice>
        </mc:AlternateContent>
        <mc:AlternateContent xmlns:mc="http://schemas.openxmlformats.org/markup-compatibility/2006">
          <mc:Choice Requires="x14">
            <control shapeId="46216" r:id="rId89" name="Check Box 136">
              <controlPr defaultSize="0" autoFill="0" autoLine="0" autoPict="0">
                <anchor moveWithCells="1">
                  <from>
                    <xdr:col>2</xdr:col>
                    <xdr:colOff>0</xdr:colOff>
                    <xdr:row>416</xdr:row>
                    <xdr:rowOff>19050</xdr:rowOff>
                  </from>
                  <to>
                    <xdr:col>3</xdr:col>
                    <xdr:colOff>85725</xdr:colOff>
                    <xdr:row>417</xdr:row>
                    <xdr:rowOff>9525</xdr:rowOff>
                  </to>
                </anchor>
              </controlPr>
            </control>
          </mc:Choice>
        </mc:AlternateContent>
        <mc:AlternateContent xmlns:mc="http://schemas.openxmlformats.org/markup-compatibility/2006">
          <mc:Choice Requires="x14">
            <control shapeId="46217" r:id="rId90" name="Check Box 137">
              <controlPr defaultSize="0" autoFill="0" autoLine="0" autoPict="0">
                <anchor moveWithCells="1">
                  <from>
                    <xdr:col>2</xdr:col>
                    <xdr:colOff>0</xdr:colOff>
                    <xdr:row>417</xdr:row>
                    <xdr:rowOff>19050</xdr:rowOff>
                  </from>
                  <to>
                    <xdr:col>3</xdr:col>
                    <xdr:colOff>85725</xdr:colOff>
                    <xdr:row>418</xdr:row>
                    <xdr:rowOff>9525</xdr:rowOff>
                  </to>
                </anchor>
              </controlPr>
            </control>
          </mc:Choice>
        </mc:AlternateContent>
        <mc:AlternateContent xmlns:mc="http://schemas.openxmlformats.org/markup-compatibility/2006">
          <mc:Choice Requires="x14">
            <control shapeId="46225" r:id="rId91" name="Check Box 145">
              <controlPr defaultSize="0" autoFill="0" autoLine="0" autoPict="0">
                <anchor moveWithCells="1">
                  <from>
                    <xdr:col>4</xdr:col>
                    <xdr:colOff>142875</xdr:colOff>
                    <xdr:row>429</xdr:row>
                    <xdr:rowOff>19050</xdr:rowOff>
                  </from>
                  <to>
                    <xdr:col>5</xdr:col>
                    <xdr:colOff>219075</xdr:colOff>
                    <xdr:row>430</xdr:row>
                    <xdr:rowOff>9525</xdr:rowOff>
                  </to>
                </anchor>
              </controlPr>
            </control>
          </mc:Choice>
        </mc:AlternateContent>
        <mc:AlternateContent xmlns:mc="http://schemas.openxmlformats.org/markup-compatibility/2006">
          <mc:Choice Requires="x14">
            <control shapeId="46226" r:id="rId92" name="Check Box 146">
              <controlPr defaultSize="0" autoFill="0" autoLine="0" autoPict="0">
                <anchor moveWithCells="1">
                  <from>
                    <xdr:col>4</xdr:col>
                    <xdr:colOff>142875</xdr:colOff>
                    <xdr:row>430</xdr:row>
                    <xdr:rowOff>28575</xdr:rowOff>
                  </from>
                  <to>
                    <xdr:col>5</xdr:col>
                    <xdr:colOff>219075</xdr:colOff>
                    <xdr:row>431</xdr:row>
                    <xdr:rowOff>19050</xdr:rowOff>
                  </to>
                </anchor>
              </controlPr>
            </control>
          </mc:Choice>
        </mc:AlternateContent>
        <mc:AlternateContent xmlns:mc="http://schemas.openxmlformats.org/markup-compatibility/2006">
          <mc:Choice Requires="x14">
            <control shapeId="46227" r:id="rId93" name="Check Box 147">
              <controlPr defaultSize="0" autoFill="0" autoLine="0" autoPict="0">
                <anchor moveWithCells="1">
                  <from>
                    <xdr:col>4</xdr:col>
                    <xdr:colOff>142875</xdr:colOff>
                    <xdr:row>431</xdr:row>
                    <xdr:rowOff>9525</xdr:rowOff>
                  </from>
                  <to>
                    <xdr:col>5</xdr:col>
                    <xdr:colOff>219075</xdr:colOff>
                    <xdr:row>432</xdr:row>
                    <xdr:rowOff>0</xdr:rowOff>
                  </to>
                </anchor>
              </controlPr>
            </control>
          </mc:Choice>
        </mc:AlternateContent>
        <mc:AlternateContent xmlns:mc="http://schemas.openxmlformats.org/markup-compatibility/2006">
          <mc:Choice Requires="x14">
            <control shapeId="46228" r:id="rId94" name="Check Box 148">
              <controlPr defaultSize="0" autoFill="0" autoLine="0" autoPict="0">
                <anchor moveWithCells="1">
                  <from>
                    <xdr:col>4</xdr:col>
                    <xdr:colOff>142875</xdr:colOff>
                    <xdr:row>432</xdr:row>
                    <xdr:rowOff>19050</xdr:rowOff>
                  </from>
                  <to>
                    <xdr:col>5</xdr:col>
                    <xdr:colOff>219075</xdr:colOff>
                    <xdr:row>433</xdr:row>
                    <xdr:rowOff>9525</xdr:rowOff>
                  </to>
                </anchor>
              </controlPr>
            </control>
          </mc:Choice>
        </mc:AlternateContent>
        <mc:AlternateContent xmlns:mc="http://schemas.openxmlformats.org/markup-compatibility/2006">
          <mc:Choice Requires="x14">
            <control shapeId="46229" r:id="rId95" name="Check Box 149">
              <controlPr defaultSize="0" autoFill="0" autoLine="0" autoPict="0">
                <anchor moveWithCells="1">
                  <from>
                    <xdr:col>4</xdr:col>
                    <xdr:colOff>142875</xdr:colOff>
                    <xdr:row>433</xdr:row>
                    <xdr:rowOff>19050</xdr:rowOff>
                  </from>
                  <to>
                    <xdr:col>5</xdr:col>
                    <xdr:colOff>219075</xdr:colOff>
                    <xdr:row>434</xdr:row>
                    <xdr:rowOff>9525</xdr:rowOff>
                  </to>
                </anchor>
              </controlPr>
            </control>
          </mc:Choice>
        </mc:AlternateContent>
        <mc:AlternateContent xmlns:mc="http://schemas.openxmlformats.org/markup-compatibility/2006">
          <mc:Choice Requires="x14">
            <control shapeId="46230" r:id="rId96" name="Check Box 150">
              <controlPr defaultSize="0" autoFill="0" autoLine="0" autoPict="0">
                <anchor moveWithCells="1">
                  <from>
                    <xdr:col>4</xdr:col>
                    <xdr:colOff>142875</xdr:colOff>
                    <xdr:row>434</xdr:row>
                    <xdr:rowOff>19050</xdr:rowOff>
                  </from>
                  <to>
                    <xdr:col>5</xdr:col>
                    <xdr:colOff>219075</xdr:colOff>
                    <xdr:row>435</xdr:row>
                    <xdr:rowOff>9525</xdr:rowOff>
                  </to>
                </anchor>
              </controlPr>
            </control>
          </mc:Choice>
        </mc:AlternateContent>
        <mc:AlternateContent xmlns:mc="http://schemas.openxmlformats.org/markup-compatibility/2006">
          <mc:Choice Requires="x14">
            <control shapeId="46231" r:id="rId97" name="Check Box 151">
              <controlPr defaultSize="0" autoFill="0" autoLine="0" autoPict="0">
                <anchor moveWithCells="1">
                  <from>
                    <xdr:col>4</xdr:col>
                    <xdr:colOff>142875</xdr:colOff>
                    <xdr:row>435</xdr:row>
                    <xdr:rowOff>9525</xdr:rowOff>
                  </from>
                  <to>
                    <xdr:col>5</xdr:col>
                    <xdr:colOff>219075</xdr:colOff>
                    <xdr:row>436</xdr:row>
                    <xdr:rowOff>0</xdr:rowOff>
                  </to>
                </anchor>
              </controlPr>
            </control>
          </mc:Choice>
        </mc:AlternateContent>
        <mc:AlternateContent xmlns:mc="http://schemas.openxmlformats.org/markup-compatibility/2006">
          <mc:Choice Requires="x14">
            <control shapeId="46244" r:id="rId98" name="Check Box 164">
              <controlPr defaultSize="0" autoFill="0" autoLine="0" autoPict="0">
                <anchor moveWithCells="1">
                  <from>
                    <xdr:col>1</xdr:col>
                    <xdr:colOff>85725</xdr:colOff>
                    <xdr:row>243</xdr:row>
                    <xdr:rowOff>38100</xdr:rowOff>
                  </from>
                  <to>
                    <xdr:col>1</xdr:col>
                    <xdr:colOff>390525</xdr:colOff>
                    <xdr:row>244</xdr:row>
                    <xdr:rowOff>9525</xdr:rowOff>
                  </to>
                </anchor>
              </controlPr>
            </control>
          </mc:Choice>
        </mc:AlternateContent>
        <mc:AlternateContent xmlns:mc="http://schemas.openxmlformats.org/markup-compatibility/2006">
          <mc:Choice Requires="x14">
            <control shapeId="46142" r:id="rId99" name="Group Box 62">
              <controlPr defaultSize="0" autoFill="0" autoPict="0">
                <anchor moveWithCells="1" sizeWithCells="1">
                  <from>
                    <xdr:col>1</xdr:col>
                    <xdr:colOff>9525</xdr:colOff>
                    <xdr:row>293</xdr:row>
                    <xdr:rowOff>0</xdr:rowOff>
                  </from>
                  <to>
                    <xdr:col>3</xdr:col>
                    <xdr:colOff>276225</xdr:colOff>
                    <xdr:row>302</xdr:row>
                    <xdr:rowOff>0</xdr:rowOff>
                  </to>
                </anchor>
              </controlPr>
            </control>
          </mc:Choice>
        </mc:AlternateContent>
        <mc:AlternateContent xmlns:mc="http://schemas.openxmlformats.org/markup-compatibility/2006">
          <mc:Choice Requires="x14">
            <control shapeId="46143" r:id="rId100" name="Option Button 63">
              <controlPr defaultSize="0" autoFill="0" autoLine="0" autoPict="0">
                <anchor moveWithCells="1" sizeWithCells="1">
                  <from>
                    <xdr:col>1</xdr:col>
                    <xdr:colOff>19050</xdr:colOff>
                    <xdr:row>293</xdr:row>
                    <xdr:rowOff>19050</xdr:rowOff>
                  </from>
                  <to>
                    <xdr:col>3</xdr:col>
                    <xdr:colOff>247650</xdr:colOff>
                    <xdr:row>294</xdr:row>
                    <xdr:rowOff>85725</xdr:rowOff>
                  </to>
                </anchor>
              </controlPr>
            </control>
          </mc:Choice>
        </mc:AlternateContent>
        <mc:AlternateContent xmlns:mc="http://schemas.openxmlformats.org/markup-compatibility/2006">
          <mc:Choice Requires="x14">
            <control shapeId="46144" r:id="rId101" name="Option Button 64">
              <controlPr defaultSize="0" autoFill="0" autoLine="0" autoPict="0">
                <anchor moveWithCells="1" sizeWithCells="1">
                  <from>
                    <xdr:col>1</xdr:col>
                    <xdr:colOff>19050</xdr:colOff>
                    <xdr:row>294</xdr:row>
                    <xdr:rowOff>85725</xdr:rowOff>
                  </from>
                  <to>
                    <xdr:col>3</xdr:col>
                    <xdr:colOff>247650</xdr:colOff>
                    <xdr:row>295</xdr:row>
                    <xdr:rowOff>161925</xdr:rowOff>
                  </to>
                </anchor>
              </controlPr>
            </control>
          </mc:Choice>
        </mc:AlternateContent>
        <mc:AlternateContent xmlns:mc="http://schemas.openxmlformats.org/markup-compatibility/2006">
          <mc:Choice Requires="x14">
            <control shapeId="46145" r:id="rId102" name="Option Button 65">
              <controlPr defaultSize="0" autoFill="0" autoLine="0" autoPict="0">
                <anchor moveWithCells="1" sizeWithCells="1">
                  <from>
                    <xdr:col>1</xdr:col>
                    <xdr:colOff>400050</xdr:colOff>
                    <xdr:row>295</xdr:row>
                    <xdr:rowOff>161925</xdr:rowOff>
                  </from>
                  <to>
                    <xdr:col>3</xdr:col>
                    <xdr:colOff>238125</xdr:colOff>
                    <xdr:row>297</xdr:row>
                    <xdr:rowOff>38100</xdr:rowOff>
                  </to>
                </anchor>
              </controlPr>
            </control>
          </mc:Choice>
        </mc:AlternateContent>
        <mc:AlternateContent xmlns:mc="http://schemas.openxmlformats.org/markup-compatibility/2006">
          <mc:Choice Requires="x14">
            <control shapeId="46146" r:id="rId103" name="Option Button 66">
              <controlPr defaultSize="0" autoFill="0" autoLine="0" autoPict="0">
                <anchor moveWithCells="1" sizeWithCells="1">
                  <from>
                    <xdr:col>1</xdr:col>
                    <xdr:colOff>400050</xdr:colOff>
                    <xdr:row>297</xdr:row>
                    <xdr:rowOff>38100</xdr:rowOff>
                  </from>
                  <to>
                    <xdr:col>3</xdr:col>
                    <xdr:colOff>247650</xdr:colOff>
                    <xdr:row>298</xdr:row>
                    <xdr:rowOff>95250</xdr:rowOff>
                  </to>
                </anchor>
              </controlPr>
            </control>
          </mc:Choice>
        </mc:AlternateContent>
        <mc:AlternateContent xmlns:mc="http://schemas.openxmlformats.org/markup-compatibility/2006">
          <mc:Choice Requires="x14">
            <control shapeId="46147" r:id="rId104" name="Option Button 67">
              <controlPr defaultSize="0" autoFill="0" autoLine="0" autoPict="0">
                <anchor moveWithCells="1" sizeWithCells="1">
                  <from>
                    <xdr:col>1</xdr:col>
                    <xdr:colOff>390525</xdr:colOff>
                    <xdr:row>298</xdr:row>
                    <xdr:rowOff>95250</xdr:rowOff>
                  </from>
                  <to>
                    <xdr:col>3</xdr:col>
                    <xdr:colOff>247650</xdr:colOff>
                    <xdr:row>299</xdr:row>
                    <xdr:rowOff>161925</xdr:rowOff>
                  </to>
                </anchor>
              </controlPr>
            </control>
          </mc:Choice>
        </mc:AlternateContent>
        <mc:AlternateContent xmlns:mc="http://schemas.openxmlformats.org/markup-compatibility/2006">
          <mc:Choice Requires="x14">
            <control shapeId="46148" r:id="rId105" name="Option Button 68">
              <controlPr defaultSize="0" autoFill="0" autoLine="0" autoPict="0">
                <anchor moveWithCells="1" sizeWithCells="1">
                  <from>
                    <xdr:col>1</xdr:col>
                    <xdr:colOff>390525</xdr:colOff>
                    <xdr:row>299</xdr:row>
                    <xdr:rowOff>161925</xdr:rowOff>
                  </from>
                  <to>
                    <xdr:col>3</xdr:col>
                    <xdr:colOff>247650</xdr:colOff>
                    <xdr:row>300</xdr:row>
                    <xdr:rowOff>104775</xdr:rowOff>
                  </to>
                </anchor>
              </controlPr>
            </control>
          </mc:Choice>
        </mc:AlternateContent>
        <mc:AlternateContent xmlns:mc="http://schemas.openxmlformats.org/markup-compatibility/2006">
          <mc:Choice Requires="x14">
            <control shapeId="46151" r:id="rId106" name="Option Button 71">
              <controlPr defaultSize="0" autoFill="0" autoLine="0" autoPict="0">
                <anchor moveWithCells="1" sizeWithCells="1">
                  <from>
                    <xdr:col>1</xdr:col>
                    <xdr:colOff>28575</xdr:colOff>
                    <xdr:row>300</xdr:row>
                    <xdr:rowOff>104775</xdr:rowOff>
                  </from>
                  <to>
                    <xdr:col>3</xdr:col>
                    <xdr:colOff>257175</xdr:colOff>
                    <xdr:row>301</xdr:row>
                    <xdr:rowOff>171450</xdr:rowOff>
                  </to>
                </anchor>
              </controlPr>
            </control>
          </mc:Choice>
        </mc:AlternateContent>
        <mc:AlternateContent xmlns:mc="http://schemas.openxmlformats.org/markup-compatibility/2006">
          <mc:Choice Requires="x14">
            <control shapeId="46082" r:id="rId107" name="Group Box 2">
              <controlPr defaultSize="0" autoFill="0" autoPict="0">
                <anchor moveWithCells="1" sizeWithCells="1">
                  <from>
                    <xdr:col>1</xdr:col>
                    <xdr:colOff>0</xdr:colOff>
                    <xdr:row>287</xdr:row>
                    <xdr:rowOff>0</xdr:rowOff>
                  </from>
                  <to>
                    <xdr:col>3</xdr:col>
                    <xdr:colOff>276225</xdr:colOff>
                    <xdr:row>291</xdr:row>
                    <xdr:rowOff>0</xdr:rowOff>
                  </to>
                </anchor>
              </controlPr>
            </control>
          </mc:Choice>
        </mc:AlternateContent>
        <mc:AlternateContent xmlns:mc="http://schemas.openxmlformats.org/markup-compatibility/2006">
          <mc:Choice Requires="x14">
            <control shapeId="46083" r:id="rId108" name="Option Button 3">
              <controlPr defaultSize="0" autoFill="0" autoLine="0" autoPict="0">
                <anchor moveWithCells="1" sizeWithCells="1">
                  <from>
                    <xdr:col>1</xdr:col>
                    <xdr:colOff>19050</xdr:colOff>
                    <xdr:row>287</xdr:row>
                    <xdr:rowOff>19050</xdr:rowOff>
                  </from>
                  <to>
                    <xdr:col>3</xdr:col>
                    <xdr:colOff>257175</xdr:colOff>
                    <xdr:row>288</xdr:row>
                    <xdr:rowOff>66675</xdr:rowOff>
                  </to>
                </anchor>
              </controlPr>
            </control>
          </mc:Choice>
        </mc:AlternateContent>
        <mc:AlternateContent xmlns:mc="http://schemas.openxmlformats.org/markup-compatibility/2006">
          <mc:Choice Requires="x14">
            <control shapeId="46084" r:id="rId109" name="Option Button 4">
              <controlPr defaultSize="0" autoFill="0" autoLine="0" autoPict="0">
                <anchor moveWithCells="1" sizeWithCells="1">
                  <from>
                    <xdr:col>1</xdr:col>
                    <xdr:colOff>9525</xdr:colOff>
                    <xdr:row>288</xdr:row>
                    <xdr:rowOff>66675</xdr:rowOff>
                  </from>
                  <to>
                    <xdr:col>3</xdr:col>
                    <xdr:colOff>247650</xdr:colOff>
                    <xdr:row>289</xdr:row>
                    <xdr:rowOff>123825</xdr:rowOff>
                  </to>
                </anchor>
              </controlPr>
            </control>
          </mc:Choice>
        </mc:AlternateContent>
        <mc:AlternateContent xmlns:mc="http://schemas.openxmlformats.org/markup-compatibility/2006">
          <mc:Choice Requires="x14">
            <control shapeId="46085" r:id="rId110" name="Option Button 5">
              <controlPr defaultSize="0" autoFill="0" autoLine="0" autoPict="0">
                <anchor moveWithCells="1" sizeWithCells="1">
                  <from>
                    <xdr:col>1</xdr:col>
                    <xdr:colOff>9525</xdr:colOff>
                    <xdr:row>289</xdr:row>
                    <xdr:rowOff>114300</xdr:rowOff>
                  </from>
                  <to>
                    <xdr:col>3</xdr:col>
                    <xdr:colOff>247650</xdr:colOff>
                    <xdr:row>290</xdr:row>
                    <xdr:rowOff>161925</xdr:rowOff>
                  </to>
                </anchor>
              </controlPr>
            </control>
          </mc:Choice>
        </mc:AlternateContent>
        <mc:AlternateContent xmlns:mc="http://schemas.openxmlformats.org/markup-compatibility/2006">
          <mc:Choice Requires="x14">
            <control shapeId="46132" r:id="rId111" name="Group Box 52">
              <controlPr defaultSize="0" autoFill="0" autoPict="0">
                <anchor moveWithCells="1" sizeWithCells="1">
                  <from>
                    <xdr:col>1</xdr:col>
                    <xdr:colOff>0</xdr:colOff>
                    <xdr:row>308</xdr:row>
                    <xdr:rowOff>0</xdr:rowOff>
                  </from>
                  <to>
                    <xdr:col>3</xdr:col>
                    <xdr:colOff>371475</xdr:colOff>
                    <xdr:row>318</xdr:row>
                    <xdr:rowOff>180975</xdr:rowOff>
                  </to>
                </anchor>
              </controlPr>
            </control>
          </mc:Choice>
        </mc:AlternateContent>
        <mc:AlternateContent xmlns:mc="http://schemas.openxmlformats.org/markup-compatibility/2006">
          <mc:Choice Requires="x14">
            <control shapeId="46133" r:id="rId112" name="Option Button 53">
              <controlPr defaultSize="0" autoFill="0" autoLine="0" autoPict="0">
                <anchor moveWithCells="1" sizeWithCells="1">
                  <from>
                    <xdr:col>1</xdr:col>
                    <xdr:colOff>19050</xdr:colOff>
                    <xdr:row>308</xdr:row>
                    <xdr:rowOff>9525</xdr:rowOff>
                  </from>
                  <to>
                    <xdr:col>3</xdr:col>
                    <xdr:colOff>352425</xdr:colOff>
                    <xdr:row>309</xdr:row>
                    <xdr:rowOff>114300</xdr:rowOff>
                  </to>
                </anchor>
              </controlPr>
            </control>
          </mc:Choice>
        </mc:AlternateContent>
        <mc:AlternateContent xmlns:mc="http://schemas.openxmlformats.org/markup-compatibility/2006">
          <mc:Choice Requires="x14">
            <control shapeId="46134" r:id="rId113" name="Option Button 54">
              <controlPr defaultSize="0" autoFill="0" autoLine="0" autoPict="0">
                <anchor moveWithCells="1" sizeWithCells="1">
                  <from>
                    <xdr:col>1</xdr:col>
                    <xdr:colOff>19050</xdr:colOff>
                    <xdr:row>309</xdr:row>
                    <xdr:rowOff>104775</xdr:rowOff>
                  </from>
                  <to>
                    <xdr:col>3</xdr:col>
                    <xdr:colOff>352425</xdr:colOff>
                    <xdr:row>311</xdr:row>
                    <xdr:rowOff>19050</xdr:rowOff>
                  </to>
                </anchor>
              </controlPr>
            </control>
          </mc:Choice>
        </mc:AlternateContent>
        <mc:AlternateContent xmlns:mc="http://schemas.openxmlformats.org/markup-compatibility/2006">
          <mc:Choice Requires="x14">
            <control shapeId="46135" r:id="rId114" name="Option Button 55">
              <controlPr defaultSize="0" autoFill="0" autoLine="0" autoPict="0">
                <anchor moveWithCells="1" sizeWithCells="1">
                  <from>
                    <xdr:col>1</xdr:col>
                    <xdr:colOff>19050</xdr:colOff>
                    <xdr:row>311</xdr:row>
                    <xdr:rowOff>19050</xdr:rowOff>
                  </from>
                  <to>
                    <xdr:col>3</xdr:col>
                    <xdr:colOff>352425</xdr:colOff>
                    <xdr:row>312</xdr:row>
                    <xdr:rowOff>123825</xdr:rowOff>
                  </to>
                </anchor>
              </controlPr>
            </control>
          </mc:Choice>
        </mc:AlternateContent>
        <mc:AlternateContent xmlns:mc="http://schemas.openxmlformats.org/markup-compatibility/2006">
          <mc:Choice Requires="x14">
            <control shapeId="46136" r:id="rId115" name="Option Button 56">
              <controlPr defaultSize="0" autoFill="0" autoLine="0" autoPict="0">
                <anchor moveWithCells="1" sizeWithCells="1">
                  <from>
                    <xdr:col>1</xdr:col>
                    <xdr:colOff>19050</xdr:colOff>
                    <xdr:row>312</xdr:row>
                    <xdr:rowOff>123825</xdr:rowOff>
                  </from>
                  <to>
                    <xdr:col>3</xdr:col>
                    <xdr:colOff>352425</xdr:colOff>
                    <xdr:row>314</xdr:row>
                    <xdr:rowOff>38100</xdr:rowOff>
                  </to>
                </anchor>
              </controlPr>
            </control>
          </mc:Choice>
        </mc:AlternateContent>
        <mc:AlternateContent xmlns:mc="http://schemas.openxmlformats.org/markup-compatibility/2006">
          <mc:Choice Requires="x14">
            <control shapeId="46137" r:id="rId116" name="Option Button 57">
              <controlPr defaultSize="0" autoFill="0" autoLine="0" autoPict="0">
                <anchor moveWithCells="1" sizeWithCells="1">
                  <from>
                    <xdr:col>1</xdr:col>
                    <xdr:colOff>19050</xdr:colOff>
                    <xdr:row>314</xdr:row>
                    <xdr:rowOff>19050</xdr:rowOff>
                  </from>
                  <to>
                    <xdr:col>3</xdr:col>
                    <xdr:colOff>352425</xdr:colOff>
                    <xdr:row>315</xdr:row>
                    <xdr:rowOff>123825</xdr:rowOff>
                  </to>
                </anchor>
              </controlPr>
            </control>
          </mc:Choice>
        </mc:AlternateContent>
        <mc:AlternateContent xmlns:mc="http://schemas.openxmlformats.org/markup-compatibility/2006">
          <mc:Choice Requires="x14">
            <control shapeId="46138" r:id="rId117" name="Option Button 58">
              <controlPr defaultSize="0" autoFill="0" autoLine="0" autoPict="0">
                <anchor moveWithCells="1" sizeWithCells="1">
                  <from>
                    <xdr:col>1</xdr:col>
                    <xdr:colOff>19050</xdr:colOff>
                    <xdr:row>315</xdr:row>
                    <xdr:rowOff>123825</xdr:rowOff>
                  </from>
                  <to>
                    <xdr:col>3</xdr:col>
                    <xdr:colOff>352425</xdr:colOff>
                    <xdr:row>317</xdr:row>
                    <xdr:rowOff>38100</xdr:rowOff>
                  </to>
                </anchor>
              </controlPr>
            </control>
          </mc:Choice>
        </mc:AlternateContent>
        <mc:AlternateContent xmlns:mc="http://schemas.openxmlformats.org/markup-compatibility/2006">
          <mc:Choice Requires="x14">
            <control shapeId="46139" r:id="rId118" name="Option Button 59">
              <controlPr defaultSize="0" autoFill="0" autoLine="0" autoPict="0">
                <anchor moveWithCells="1" sizeWithCells="1">
                  <from>
                    <xdr:col>1</xdr:col>
                    <xdr:colOff>19050</xdr:colOff>
                    <xdr:row>317</xdr:row>
                    <xdr:rowOff>38100</xdr:rowOff>
                  </from>
                  <to>
                    <xdr:col>3</xdr:col>
                    <xdr:colOff>352425</xdr:colOff>
                    <xdr:row>318</xdr:row>
                    <xdr:rowOff>142875</xdr:rowOff>
                  </to>
                </anchor>
              </controlPr>
            </control>
          </mc:Choice>
        </mc:AlternateContent>
        <mc:AlternateContent xmlns:mc="http://schemas.openxmlformats.org/markup-compatibility/2006">
          <mc:Choice Requires="x14">
            <control shapeId="46179" r:id="rId119" name="Group Box 99">
              <controlPr defaultSize="0" autoFill="0" autoPict="0">
                <anchor moveWithCells="1" sizeWithCells="1">
                  <from>
                    <xdr:col>1</xdr:col>
                    <xdr:colOff>1076325</xdr:colOff>
                    <xdr:row>246</xdr:row>
                    <xdr:rowOff>0</xdr:rowOff>
                  </from>
                  <to>
                    <xdr:col>15</xdr:col>
                    <xdr:colOff>0</xdr:colOff>
                    <xdr:row>247</xdr:row>
                    <xdr:rowOff>0</xdr:rowOff>
                  </to>
                </anchor>
              </controlPr>
            </control>
          </mc:Choice>
        </mc:AlternateContent>
        <mc:AlternateContent xmlns:mc="http://schemas.openxmlformats.org/markup-compatibility/2006">
          <mc:Choice Requires="x14">
            <control shapeId="46180" r:id="rId120" name="Option Button 100">
              <controlPr defaultSize="0" autoFill="0" autoLine="0" autoPict="0">
                <anchor moveWithCells="1" sizeWithCells="1">
                  <from>
                    <xdr:col>1</xdr:col>
                    <xdr:colOff>1085850</xdr:colOff>
                    <xdr:row>246</xdr:row>
                    <xdr:rowOff>9525</xdr:rowOff>
                  </from>
                  <to>
                    <xdr:col>2</xdr:col>
                    <xdr:colOff>47625</xdr:colOff>
                    <xdr:row>246</xdr:row>
                    <xdr:rowOff>228600</xdr:rowOff>
                  </to>
                </anchor>
              </controlPr>
            </control>
          </mc:Choice>
        </mc:AlternateContent>
        <mc:AlternateContent xmlns:mc="http://schemas.openxmlformats.org/markup-compatibility/2006">
          <mc:Choice Requires="x14">
            <control shapeId="46181" r:id="rId121" name="Option Button 101">
              <controlPr defaultSize="0" autoFill="0" autoLine="0" autoPict="0">
                <anchor moveWithCells="1" sizeWithCells="1">
                  <from>
                    <xdr:col>2</xdr:col>
                    <xdr:colOff>180975</xdr:colOff>
                    <xdr:row>246</xdr:row>
                    <xdr:rowOff>19050</xdr:rowOff>
                  </from>
                  <to>
                    <xdr:col>10</xdr:col>
                    <xdr:colOff>142875</xdr:colOff>
                    <xdr:row>246</xdr:row>
                    <xdr:rowOff>238125</xdr:rowOff>
                  </to>
                </anchor>
              </controlPr>
            </control>
          </mc:Choice>
        </mc:AlternateContent>
        <mc:AlternateContent xmlns:mc="http://schemas.openxmlformats.org/markup-compatibility/2006">
          <mc:Choice Requires="x14">
            <control shapeId="46182" r:id="rId122" name="Option Button 102">
              <controlPr defaultSize="0" autoFill="0" autoLine="0" autoPict="0">
                <anchor moveWithCells="1" sizeWithCells="1">
                  <from>
                    <xdr:col>10</xdr:col>
                    <xdr:colOff>219075</xdr:colOff>
                    <xdr:row>246</xdr:row>
                    <xdr:rowOff>19050</xdr:rowOff>
                  </from>
                  <to>
                    <xdr:col>14</xdr:col>
                    <xdr:colOff>485775</xdr:colOff>
                    <xdr:row>246</xdr:row>
                    <xdr:rowOff>238125</xdr:rowOff>
                  </to>
                </anchor>
              </controlPr>
            </control>
          </mc:Choice>
        </mc:AlternateContent>
        <mc:AlternateContent xmlns:mc="http://schemas.openxmlformats.org/markup-compatibility/2006">
          <mc:Choice Requires="x14">
            <control shapeId="46186" r:id="rId123" name="Group Box 106">
              <controlPr defaultSize="0" autoFill="0" autoPict="0">
                <anchor moveWithCells="1" sizeWithCells="1">
                  <from>
                    <xdr:col>13</xdr:col>
                    <xdr:colOff>0</xdr:colOff>
                    <xdr:row>253</xdr:row>
                    <xdr:rowOff>0</xdr:rowOff>
                  </from>
                  <to>
                    <xdr:col>15</xdr:col>
                    <xdr:colOff>0</xdr:colOff>
                    <xdr:row>254</xdr:row>
                    <xdr:rowOff>0</xdr:rowOff>
                  </to>
                </anchor>
              </controlPr>
            </control>
          </mc:Choice>
        </mc:AlternateContent>
        <mc:AlternateContent xmlns:mc="http://schemas.openxmlformats.org/markup-compatibility/2006">
          <mc:Choice Requires="x14">
            <control shapeId="46187" r:id="rId124" name="Option Button 107">
              <controlPr defaultSize="0" autoFill="0" autoLine="0" autoPict="0">
                <anchor moveWithCells="1" sizeWithCells="1">
                  <from>
                    <xdr:col>13</xdr:col>
                    <xdr:colOff>76200</xdr:colOff>
                    <xdr:row>253</xdr:row>
                    <xdr:rowOff>19050</xdr:rowOff>
                  </from>
                  <to>
                    <xdr:col>14</xdr:col>
                    <xdr:colOff>0</xdr:colOff>
                    <xdr:row>253</xdr:row>
                    <xdr:rowOff>257175</xdr:rowOff>
                  </to>
                </anchor>
              </controlPr>
            </control>
          </mc:Choice>
        </mc:AlternateContent>
        <mc:AlternateContent xmlns:mc="http://schemas.openxmlformats.org/markup-compatibility/2006">
          <mc:Choice Requires="x14">
            <control shapeId="46188" r:id="rId125" name="Option Button 108">
              <controlPr defaultSize="0" autoFill="0" autoLine="0" autoPict="0">
                <anchor moveWithCells="1" sizeWithCells="1">
                  <from>
                    <xdr:col>14</xdr:col>
                    <xdr:colOff>28575</xdr:colOff>
                    <xdr:row>253</xdr:row>
                    <xdr:rowOff>19050</xdr:rowOff>
                  </from>
                  <to>
                    <xdr:col>14</xdr:col>
                    <xdr:colOff>428625</xdr:colOff>
                    <xdr:row>253</xdr:row>
                    <xdr:rowOff>257175</xdr:rowOff>
                  </to>
                </anchor>
              </controlPr>
            </control>
          </mc:Choice>
        </mc:AlternateContent>
        <mc:AlternateContent xmlns:mc="http://schemas.openxmlformats.org/markup-compatibility/2006">
          <mc:Choice Requires="x14">
            <control shapeId="46201" r:id="rId126" name="Group Box 121">
              <controlPr defaultSize="0" autoFill="0" autoPict="0">
                <anchor moveWithCells="1" sizeWithCells="1">
                  <from>
                    <xdr:col>13</xdr:col>
                    <xdr:colOff>9525</xdr:colOff>
                    <xdr:row>266</xdr:row>
                    <xdr:rowOff>9525</xdr:rowOff>
                  </from>
                  <to>
                    <xdr:col>15</xdr:col>
                    <xdr:colOff>0</xdr:colOff>
                    <xdr:row>267</xdr:row>
                    <xdr:rowOff>0</xdr:rowOff>
                  </to>
                </anchor>
              </controlPr>
            </control>
          </mc:Choice>
        </mc:AlternateContent>
        <mc:AlternateContent xmlns:mc="http://schemas.openxmlformats.org/markup-compatibility/2006">
          <mc:Choice Requires="x14">
            <control shapeId="46202" r:id="rId127" name="Option Button 122">
              <controlPr defaultSize="0" autoFill="0" autoLine="0" autoPict="0">
                <anchor moveWithCells="1" sizeWithCells="1">
                  <from>
                    <xdr:col>13</xdr:col>
                    <xdr:colOff>66675</xdr:colOff>
                    <xdr:row>266</xdr:row>
                    <xdr:rowOff>38100</xdr:rowOff>
                  </from>
                  <to>
                    <xdr:col>14</xdr:col>
                    <xdr:colOff>47625</xdr:colOff>
                    <xdr:row>266</xdr:row>
                    <xdr:rowOff>190500</xdr:rowOff>
                  </to>
                </anchor>
              </controlPr>
            </control>
          </mc:Choice>
        </mc:AlternateContent>
        <mc:AlternateContent xmlns:mc="http://schemas.openxmlformats.org/markup-compatibility/2006">
          <mc:Choice Requires="x14">
            <control shapeId="46203" r:id="rId128" name="Option Button 123">
              <controlPr defaultSize="0" autoFill="0" autoLine="0" autoPict="0">
                <anchor moveWithCells="1" sizeWithCells="1">
                  <from>
                    <xdr:col>14</xdr:col>
                    <xdr:colOff>19050</xdr:colOff>
                    <xdr:row>266</xdr:row>
                    <xdr:rowOff>38100</xdr:rowOff>
                  </from>
                  <to>
                    <xdr:col>14</xdr:col>
                    <xdr:colOff>571500</xdr:colOff>
                    <xdr:row>266</xdr:row>
                    <xdr:rowOff>190500</xdr:rowOff>
                  </to>
                </anchor>
              </controlPr>
            </control>
          </mc:Choice>
        </mc:AlternateContent>
        <mc:AlternateContent xmlns:mc="http://schemas.openxmlformats.org/markup-compatibility/2006">
          <mc:Choice Requires="x14">
            <control shapeId="46205" r:id="rId129" name="Group Box 125">
              <controlPr defaultSize="0" autoFill="0" autoPict="0">
                <anchor moveWithCells="1" sizeWithCells="1">
                  <from>
                    <xdr:col>1</xdr:col>
                    <xdr:colOff>962025</xdr:colOff>
                    <xdr:row>403</xdr:row>
                    <xdr:rowOff>9525</xdr:rowOff>
                  </from>
                  <to>
                    <xdr:col>15</xdr:col>
                    <xdr:colOff>0</xdr:colOff>
                    <xdr:row>404</xdr:row>
                    <xdr:rowOff>0</xdr:rowOff>
                  </to>
                </anchor>
              </controlPr>
            </control>
          </mc:Choice>
        </mc:AlternateContent>
        <mc:AlternateContent xmlns:mc="http://schemas.openxmlformats.org/markup-compatibility/2006">
          <mc:Choice Requires="x14">
            <control shapeId="46206" r:id="rId130" name="Option Button 126">
              <controlPr defaultSize="0" autoFill="0" autoLine="0" autoPict="0">
                <anchor moveWithCells="1" sizeWithCells="1">
                  <from>
                    <xdr:col>1</xdr:col>
                    <xdr:colOff>990600</xdr:colOff>
                    <xdr:row>403</xdr:row>
                    <xdr:rowOff>28575</xdr:rowOff>
                  </from>
                  <to>
                    <xdr:col>3</xdr:col>
                    <xdr:colOff>57150</xdr:colOff>
                    <xdr:row>403</xdr:row>
                    <xdr:rowOff>219075</xdr:rowOff>
                  </to>
                </anchor>
              </controlPr>
            </control>
          </mc:Choice>
        </mc:AlternateContent>
        <mc:AlternateContent xmlns:mc="http://schemas.openxmlformats.org/markup-compatibility/2006">
          <mc:Choice Requires="x14">
            <control shapeId="46207" r:id="rId131" name="Option Button 127">
              <controlPr defaultSize="0" autoFill="0" autoLine="0" autoPict="0">
                <anchor moveWithCells="1" sizeWithCells="1">
                  <from>
                    <xdr:col>3</xdr:col>
                    <xdr:colOff>38100</xdr:colOff>
                    <xdr:row>403</xdr:row>
                    <xdr:rowOff>28575</xdr:rowOff>
                  </from>
                  <to>
                    <xdr:col>11</xdr:col>
                    <xdr:colOff>28575</xdr:colOff>
                    <xdr:row>403</xdr:row>
                    <xdr:rowOff>219075</xdr:rowOff>
                  </to>
                </anchor>
              </controlPr>
            </control>
          </mc:Choice>
        </mc:AlternateContent>
        <mc:AlternateContent xmlns:mc="http://schemas.openxmlformats.org/markup-compatibility/2006">
          <mc:Choice Requires="x14">
            <control shapeId="46208" r:id="rId132" name="Option Button 128">
              <controlPr defaultSize="0" autoFill="0" autoLine="0" autoPict="0">
                <anchor moveWithCells="1" sizeWithCells="1">
                  <from>
                    <xdr:col>11</xdr:col>
                    <xdr:colOff>9525</xdr:colOff>
                    <xdr:row>403</xdr:row>
                    <xdr:rowOff>28575</xdr:rowOff>
                  </from>
                  <to>
                    <xdr:col>14</xdr:col>
                    <xdr:colOff>571500</xdr:colOff>
                    <xdr:row>403</xdr:row>
                    <xdr:rowOff>219075</xdr:rowOff>
                  </to>
                </anchor>
              </controlPr>
            </control>
          </mc:Choice>
        </mc:AlternateContent>
        <mc:AlternateContent xmlns:mc="http://schemas.openxmlformats.org/markup-compatibility/2006">
          <mc:Choice Requires="x14">
            <control shapeId="46219" r:id="rId133" name="Group Box 139">
              <controlPr defaultSize="0" autoFill="0" autoPict="0">
                <anchor moveWithCells="1" sizeWithCells="1">
                  <from>
                    <xdr:col>1</xdr:col>
                    <xdr:colOff>0</xdr:colOff>
                    <xdr:row>423</xdr:row>
                    <xdr:rowOff>19050</xdr:rowOff>
                  </from>
                  <to>
                    <xdr:col>1</xdr:col>
                    <xdr:colOff>1428750</xdr:colOff>
                    <xdr:row>427</xdr:row>
                    <xdr:rowOff>0</xdr:rowOff>
                  </to>
                </anchor>
              </controlPr>
            </control>
          </mc:Choice>
        </mc:AlternateContent>
        <mc:AlternateContent xmlns:mc="http://schemas.openxmlformats.org/markup-compatibility/2006">
          <mc:Choice Requires="x14">
            <control shapeId="46220" r:id="rId134" name="Option Button 140">
              <controlPr defaultSize="0" autoFill="0" autoLine="0" autoPict="0">
                <anchor moveWithCells="1" sizeWithCells="1">
                  <from>
                    <xdr:col>1</xdr:col>
                    <xdr:colOff>1085850</xdr:colOff>
                    <xdr:row>423</xdr:row>
                    <xdr:rowOff>57150</xdr:rowOff>
                  </from>
                  <to>
                    <xdr:col>1</xdr:col>
                    <xdr:colOff>1390650</xdr:colOff>
                    <xdr:row>423</xdr:row>
                    <xdr:rowOff>295275</xdr:rowOff>
                  </to>
                </anchor>
              </controlPr>
            </control>
          </mc:Choice>
        </mc:AlternateContent>
        <mc:AlternateContent xmlns:mc="http://schemas.openxmlformats.org/markup-compatibility/2006">
          <mc:Choice Requires="x14">
            <control shapeId="46221" r:id="rId135" name="Option Button 141">
              <controlPr defaultSize="0" autoFill="0" autoLine="0" autoPict="0">
                <anchor moveWithCells="1" sizeWithCells="1">
                  <from>
                    <xdr:col>1</xdr:col>
                    <xdr:colOff>1085850</xdr:colOff>
                    <xdr:row>424</xdr:row>
                    <xdr:rowOff>76200</xdr:rowOff>
                  </from>
                  <to>
                    <xdr:col>1</xdr:col>
                    <xdr:colOff>1390650</xdr:colOff>
                    <xdr:row>424</xdr:row>
                    <xdr:rowOff>314325</xdr:rowOff>
                  </to>
                </anchor>
              </controlPr>
            </control>
          </mc:Choice>
        </mc:AlternateContent>
        <mc:AlternateContent xmlns:mc="http://schemas.openxmlformats.org/markup-compatibility/2006">
          <mc:Choice Requires="x14">
            <control shapeId="46222" r:id="rId136" name="Option Button 142">
              <controlPr defaultSize="0" autoFill="0" autoLine="0" autoPict="0">
                <anchor moveWithCells="1" sizeWithCells="1">
                  <from>
                    <xdr:col>1</xdr:col>
                    <xdr:colOff>1095375</xdr:colOff>
                    <xdr:row>424</xdr:row>
                    <xdr:rowOff>419100</xdr:rowOff>
                  </from>
                  <to>
                    <xdr:col>1</xdr:col>
                    <xdr:colOff>1400175</xdr:colOff>
                    <xdr:row>425</xdr:row>
                    <xdr:rowOff>180975</xdr:rowOff>
                  </to>
                </anchor>
              </controlPr>
            </control>
          </mc:Choice>
        </mc:AlternateContent>
        <mc:AlternateContent xmlns:mc="http://schemas.openxmlformats.org/markup-compatibility/2006">
          <mc:Choice Requires="x14">
            <control shapeId="46223" r:id="rId137" name="Option Button 143">
              <controlPr defaultSize="0" autoFill="0" autoLine="0" autoPict="0">
                <anchor moveWithCells="1" sizeWithCells="1">
                  <from>
                    <xdr:col>1</xdr:col>
                    <xdr:colOff>1095375</xdr:colOff>
                    <xdr:row>425</xdr:row>
                    <xdr:rowOff>323850</xdr:rowOff>
                  </from>
                  <to>
                    <xdr:col>1</xdr:col>
                    <xdr:colOff>1400175</xdr:colOff>
                    <xdr:row>426</xdr:row>
                    <xdr:rowOff>219075</xdr:rowOff>
                  </to>
                </anchor>
              </controlPr>
            </control>
          </mc:Choice>
        </mc:AlternateContent>
        <mc:AlternateContent xmlns:mc="http://schemas.openxmlformats.org/markup-compatibility/2006">
          <mc:Choice Requires="x14">
            <control shapeId="46224" r:id="rId138" name="Option Button 144">
              <controlPr defaultSize="0" autoFill="0" autoLine="0" autoPict="0">
                <anchor moveWithCells="1" sizeWithCells="1">
                  <from>
                    <xdr:col>1</xdr:col>
                    <xdr:colOff>333375</xdr:colOff>
                    <xdr:row>424</xdr:row>
                    <xdr:rowOff>228600</xdr:rowOff>
                  </from>
                  <to>
                    <xdr:col>1</xdr:col>
                    <xdr:colOff>742950</xdr:colOff>
                    <xdr:row>425</xdr:row>
                    <xdr:rowOff>76200</xdr:rowOff>
                  </to>
                </anchor>
              </controlPr>
            </control>
          </mc:Choice>
        </mc:AlternateContent>
        <mc:AlternateContent xmlns:mc="http://schemas.openxmlformats.org/markup-compatibility/2006">
          <mc:Choice Requires="x14">
            <control shapeId="46233" r:id="rId139" name="Group Box 153">
              <controlPr defaultSize="0" autoFill="0" autoPict="0">
                <anchor moveWithCells="1" sizeWithCells="1">
                  <from>
                    <xdr:col>13</xdr:col>
                    <xdr:colOff>0</xdr:colOff>
                    <xdr:row>438</xdr:row>
                    <xdr:rowOff>0</xdr:rowOff>
                  </from>
                  <to>
                    <xdr:col>15</xdr:col>
                    <xdr:colOff>0</xdr:colOff>
                    <xdr:row>439</xdr:row>
                    <xdr:rowOff>0</xdr:rowOff>
                  </to>
                </anchor>
              </controlPr>
            </control>
          </mc:Choice>
        </mc:AlternateContent>
        <mc:AlternateContent xmlns:mc="http://schemas.openxmlformats.org/markup-compatibility/2006">
          <mc:Choice Requires="x14">
            <control shapeId="46234" r:id="rId140" name="Option Button 154">
              <controlPr defaultSize="0" autoFill="0" autoLine="0" autoPict="0">
                <anchor moveWithCells="1" sizeWithCells="1">
                  <from>
                    <xdr:col>13</xdr:col>
                    <xdr:colOff>57150</xdr:colOff>
                    <xdr:row>438</xdr:row>
                    <xdr:rowOff>85725</xdr:rowOff>
                  </from>
                  <to>
                    <xdr:col>14</xdr:col>
                    <xdr:colOff>38100</xdr:colOff>
                    <xdr:row>438</xdr:row>
                    <xdr:rowOff>428625</xdr:rowOff>
                  </to>
                </anchor>
              </controlPr>
            </control>
          </mc:Choice>
        </mc:AlternateContent>
        <mc:AlternateContent xmlns:mc="http://schemas.openxmlformats.org/markup-compatibility/2006">
          <mc:Choice Requires="x14">
            <control shapeId="46235" r:id="rId141" name="Option Button 155">
              <controlPr defaultSize="0" autoFill="0" autoLine="0" autoPict="0">
                <anchor moveWithCells="1" sizeWithCells="1">
                  <from>
                    <xdr:col>14</xdr:col>
                    <xdr:colOff>9525</xdr:colOff>
                    <xdr:row>438</xdr:row>
                    <xdr:rowOff>85725</xdr:rowOff>
                  </from>
                  <to>
                    <xdr:col>14</xdr:col>
                    <xdr:colOff>571500</xdr:colOff>
                    <xdr:row>438</xdr:row>
                    <xdr:rowOff>428625</xdr:rowOff>
                  </to>
                </anchor>
              </controlPr>
            </control>
          </mc:Choice>
        </mc:AlternateContent>
        <mc:AlternateContent xmlns:mc="http://schemas.openxmlformats.org/markup-compatibility/2006">
          <mc:Choice Requires="x14">
            <control shapeId="46237" r:id="rId142" name="Group Box 157">
              <controlPr defaultSize="0" autoFill="0" autoPict="0">
                <anchor moveWithCells="1" sizeWithCells="1">
                  <from>
                    <xdr:col>13</xdr:col>
                    <xdr:colOff>0</xdr:colOff>
                    <xdr:row>442</xdr:row>
                    <xdr:rowOff>0</xdr:rowOff>
                  </from>
                  <to>
                    <xdr:col>15</xdr:col>
                    <xdr:colOff>0</xdr:colOff>
                    <xdr:row>443</xdr:row>
                    <xdr:rowOff>0</xdr:rowOff>
                  </to>
                </anchor>
              </controlPr>
            </control>
          </mc:Choice>
        </mc:AlternateContent>
        <mc:AlternateContent xmlns:mc="http://schemas.openxmlformats.org/markup-compatibility/2006">
          <mc:Choice Requires="x14">
            <control shapeId="46238" r:id="rId143" name="Option Button 158">
              <controlPr defaultSize="0" autoFill="0" autoLine="0" autoPict="0">
                <anchor moveWithCells="1" sizeWithCells="1">
                  <from>
                    <xdr:col>13</xdr:col>
                    <xdr:colOff>57150</xdr:colOff>
                    <xdr:row>442</xdr:row>
                    <xdr:rowOff>28575</xdr:rowOff>
                  </from>
                  <to>
                    <xdr:col>14</xdr:col>
                    <xdr:colOff>38100</xdr:colOff>
                    <xdr:row>442</xdr:row>
                    <xdr:rowOff>190500</xdr:rowOff>
                  </to>
                </anchor>
              </controlPr>
            </control>
          </mc:Choice>
        </mc:AlternateContent>
        <mc:AlternateContent xmlns:mc="http://schemas.openxmlformats.org/markup-compatibility/2006">
          <mc:Choice Requires="x14">
            <control shapeId="46239" r:id="rId144" name="Option Button 159">
              <controlPr defaultSize="0" autoFill="0" autoLine="0" autoPict="0">
                <anchor moveWithCells="1" sizeWithCells="1">
                  <from>
                    <xdr:col>14</xdr:col>
                    <xdr:colOff>9525</xdr:colOff>
                    <xdr:row>442</xdr:row>
                    <xdr:rowOff>28575</xdr:rowOff>
                  </from>
                  <to>
                    <xdr:col>14</xdr:col>
                    <xdr:colOff>571500</xdr:colOff>
                    <xdr:row>442</xdr:row>
                    <xdr:rowOff>190500</xdr:rowOff>
                  </to>
                </anchor>
              </controlPr>
            </control>
          </mc:Choice>
        </mc:AlternateContent>
        <mc:AlternateContent xmlns:mc="http://schemas.openxmlformats.org/markup-compatibility/2006">
          <mc:Choice Requires="x14">
            <control shapeId="46241" r:id="rId145" name="Group Box 161">
              <controlPr defaultSize="0" autoFill="0" autoPict="0">
                <anchor moveWithCells="1" sizeWithCells="1">
                  <from>
                    <xdr:col>1</xdr:col>
                    <xdr:colOff>0</xdr:colOff>
                    <xdr:row>372</xdr:row>
                    <xdr:rowOff>0</xdr:rowOff>
                  </from>
                  <to>
                    <xdr:col>15</xdr:col>
                    <xdr:colOff>0</xdr:colOff>
                    <xdr:row>373</xdr:row>
                    <xdr:rowOff>0</xdr:rowOff>
                  </to>
                </anchor>
              </controlPr>
            </control>
          </mc:Choice>
        </mc:AlternateContent>
        <mc:AlternateContent xmlns:mc="http://schemas.openxmlformats.org/markup-compatibility/2006">
          <mc:Choice Requires="x14">
            <control shapeId="46242" r:id="rId146" name="Option Button 162">
              <controlPr defaultSize="0" autoFill="0" autoLine="0" autoPict="0">
                <anchor moveWithCells="1" sizeWithCells="1">
                  <from>
                    <xdr:col>1</xdr:col>
                    <xdr:colOff>762000</xdr:colOff>
                    <xdr:row>372</xdr:row>
                    <xdr:rowOff>19050</xdr:rowOff>
                  </from>
                  <to>
                    <xdr:col>2</xdr:col>
                    <xdr:colOff>76200</xdr:colOff>
                    <xdr:row>372</xdr:row>
                    <xdr:rowOff>257175</xdr:rowOff>
                  </to>
                </anchor>
              </controlPr>
            </control>
          </mc:Choice>
        </mc:AlternateContent>
        <mc:AlternateContent xmlns:mc="http://schemas.openxmlformats.org/markup-compatibility/2006">
          <mc:Choice Requires="x14">
            <control shapeId="46243" r:id="rId147" name="Option Button 163">
              <controlPr defaultSize="0" autoFill="0" autoLine="0" autoPict="0">
                <anchor moveWithCells="1" sizeWithCells="1">
                  <from>
                    <xdr:col>1</xdr:col>
                    <xdr:colOff>1438275</xdr:colOff>
                    <xdr:row>372</xdr:row>
                    <xdr:rowOff>19050</xdr:rowOff>
                  </from>
                  <to>
                    <xdr:col>14</xdr:col>
                    <xdr:colOff>561975</xdr:colOff>
                    <xdr:row>372</xdr:row>
                    <xdr:rowOff>257175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IG670"/>
  <sheetViews>
    <sheetView showGridLines="0" zoomScale="120" zoomScaleNormal="120" workbookViewId="0"/>
  </sheetViews>
  <sheetFormatPr defaultColWidth="3.140625" defaultRowHeight="12.75" x14ac:dyDescent="0.2"/>
  <cols>
    <col min="1" max="1" width="0.85546875" style="35" customWidth="1"/>
    <col min="2" max="2" width="21.7109375" style="35" customWidth="1"/>
    <col min="3" max="3" width="3.28515625" style="35" customWidth="1"/>
    <col min="4" max="4" width="4.28515625" style="35" customWidth="1"/>
    <col min="5" max="5" width="3.42578125" style="35" customWidth="1"/>
    <col min="6" max="6" width="3.85546875" style="35" customWidth="1"/>
    <col min="7" max="7" width="4" style="35" customWidth="1"/>
    <col min="8" max="8" width="1.42578125" style="35" customWidth="1"/>
    <col min="9" max="9" width="1.85546875" style="35" customWidth="1"/>
    <col min="10" max="10" width="3.85546875" style="35" customWidth="1"/>
    <col min="11" max="11" width="3.7109375" style="35" customWidth="1"/>
    <col min="12" max="12" width="3.28515625" style="35" customWidth="1"/>
    <col min="13" max="13" width="6" style="35" customWidth="1"/>
    <col min="14" max="15" width="8.85546875" style="35" customWidth="1"/>
    <col min="16" max="16" width="8.5703125" style="35" customWidth="1"/>
    <col min="17" max="17" width="0.42578125" style="35" customWidth="1"/>
    <col min="18" max="18" width="15.5703125" style="35" hidden="1" customWidth="1"/>
    <col min="19" max="19" width="12.85546875" style="35" hidden="1" customWidth="1"/>
    <col min="20" max="20" width="13.7109375" style="35" hidden="1" customWidth="1"/>
    <col min="21" max="21" width="18" style="35" hidden="1" customWidth="1"/>
    <col min="22" max="22" width="20.140625" style="35" hidden="1" customWidth="1"/>
    <col min="23" max="23" width="21.28515625" style="35" hidden="1" customWidth="1"/>
    <col min="24" max="24" width="10.5703125" style="35" hidden="1" customWidth="1"/>
    <col min="25" max="26" width="19.85546875" style="35" hidden="1" customWidth="1"/>
    <col min="27" max="36" width="16.42578125" style="35" hidden="1" customWidth="1"/>
    <col min="37" max="130" width="3.140625" style="35" hidden="1" customWidth="1"/>
    <col min="131" max="255" width="3.140625" style="35" customWidth="1"/>
    <col min="256" max="16384" width="3.140625" style="35"/>
  </cols>
  <sheetData>
    <row r="1" spans="2:228" ht="15" customHeight="1" x14ac:dyDescent="0.2">
      <c r="B1" s="1339" t="s">
        <v>1733</v>
      </c>
      <c r="C1" s="1389"/>
      <c r="D1" s="1347" t="str">
        <f>IF('Start here'!A6="","",'Start here'!A6)</f>
        <v/>
      </c>
      <c r="E1" s="1351"/>
      <c r="F1" s="1351"/>
      <c r="G1" s="1351"/>
      <c r="H1" s="1351"/>
      <c r="I1" s="1351"/>
      <c r="J1" s="1351"/>
      <c r="K1" s="1352"/>
      <c r="M1" s="1347" t="str">
        <f>IF('Start here'!A7="","",'Start here'!A7)</f>
        <v/>
      </c>
      <c r="N1" s="1351"/>
      <c r="O1" s="1351"/>
      <c r="P1" s="1352"/>
      <c r="R1" s="694">
        <v>38353</v>
      </c>
      <c r="S1" s="1555" t="str">
        <f>IF(R2&lt;R1,"Go to PPD Worksheet","")</f>
        <v>Go to PPD Worksheet</v>
      </c>
      <c r="T1" s="1555"/>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228" ht="16.5" customHeight="1" x14ac:dyDescent="0.2">
      <c r="B2" s="1395"/>
      <c r="C2" s="1395"/>
      <c r="D2" s="1395"/>
      <c r="E2" s="1395"/>
      <c r="F2" s="1395"/>
      <c r="G2" s="1395"/>
      <c r="H2" s="1395"/>
      <c r="I2" s="1395"/>
      <c r="J2" s="1395"/>
      <c r="K2" s="1395"/>
      <c r="L2" s="1395"/>
      <c r="M2" s="1395"/>
      <c r="N2" s="1395"/>
      <c r="O2" s="1395"/>
      <c r="P2" s="1395"/>
      <c r="R2" s="694">
        <f>'Start here'!A8</f>
        <v>0</v>
      </c>
      <c r="S2" s="1555" t="str">
        <f>IF(R2&gt;=R1,"Go to PPD Worksheet","")</f>
        <v/>
      </c>
      <c r="T2" s="1450"/>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row>
    <row r="3" spans="2:228" ht="21" customHeight="1" x14ac:dyDescent="0.3">
      <c r="B3" s="1773" t="s">
        <v>1270</v>
      </c>
      <c r="C3" s="1774"/>
      <c r="D3" s="1774"/>
      <c r="E3" s="1774"/>
      <c r="F3" s="1774"/>
      <c r="G3" s="1774"/>
      <c r="H3" s="1774"/>
      <c r="I3" s="1774"/>
      <c r="J3" s="1774"/>
      <c r="K3" s="1774"/>
      <c r="L3" s="1774"/>
      <c r="M3" s="1774"/>
      <c r="N3" s="1774"/>
      <c r="O3" s="1774"/>
      <c r="P3" s="1775"/>
      <c r="R3" s="18"/>
      <c r="T3" s="897" t="s">
        <v>1442</v>
      </c>
      <c r="U3" s="898"/>
      <c r="V3" s="898"/>
      <c r="W3" s="898"/>
      <c r="X3" s="898"/>
      <c r="Y3" s="898"/>
      <c r="Z3" s="899"/>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14"/>
      <c r="CU3" s="14"/>
      <c r="CV3" s="14"/>
      <c r="CW3" s="14"/>
      <c r="CX3" s="14"/>
      <c r="CY3" s="14"/>
      <c r="CZ3" s="14"/>
      <c r="DA3" s="14"/>
      <c r="DB3" s="14"/>
      <c r="DC3" s="14"/>
      <c r="DD3" s="14"/>
      <c r="DE3" s="14"/>
      <c r="DF3" s="14"/>
      <c r="DG3" s="14"/>
      <c r="DH3" s="14"/>
      <c r="DI3" s="14"/>
      <c r="DJ3" s="14"/>
      <c r="DK3" s="14"/>
      <c r="DL3" s="14"/>
      <c r="DM3" s="14"/>
      <c r="DN3" s="14"/>
      <c r="DO3" s="14"/>
      <c r="DP3" s="14"/>
      <c r="DQ3" s="14"/>
      <c r="DR3" s="14"/>
      <c r="DS3" s="14"/>
      <c r="DT3" s="14"/>
      <c r="DU3" s="14"/>
      <c r="DV3" s="14"/>
      <c r="DW3" s="14"/>
      <c r="DX3" s="14"/>
      <c r="DY3" s="14"/>
      <c r="DZ3" s="14"/>
      <c r="EA3" s="14"/>
      <c r="EB3" s="14"/>
      <c r="EC3" s="14"/>
      <c r="ED3" s="14"/>
      <c r="EE3" s="14"/>
      <c r="EF3" s="14"/>
      <c r="EG3" s="14"/>
      <c r="EH3" s="14"/>
      <c r="EI3" s="14"/>
      <c r="EJ3" s="14"/>
      <c r="EK3" s="14"/>
      <c r="EL3" s="14"/>
      <c r="EM3" s="14"/>
      <c r="EN3" s="14"/>
      <c r="EO3" s="14"/>
      <c r="EP3" s="14"/>
      <c r="EQ3" s="14"/>
      <c r="ER3" s="14"/>
      <c r="ES3" s="14"/>
      <c r="ET3" s="14"/>
      <c r="EU3" s="14"/>
      <c r="EV3" s="14"/>
      <c r="EW3" s="14"/>
      <c r="EX3" s="14"/>
      <c r="EY3" s="14"/>
      <c r="EZ3" s="14"/>
      <c r="FA3" s="14"/>
      <c r="FB3" s="14"/>
      <c r="FC3" s="14"/>
      <c r="FD3" s="14"/>
      <c r="FE3" s="14"/>
      <c r="FF3" s="14"/>
      <c r="FG3" s="14"/>
      <c r="FH3" s="14"/>
      <c r="FI3" s="14"/>
      <c r="FJ3" s="14"/>
      <c r="FK3" s="14"/>
      <c r="FL3" s="14"/>
      <c r="FM3" s="14"/>
      <c r="FN3" s="14"/>
      <c r="FO3" s="14"/>
      <c r="FP3" s="14"/>
      <c r="FQ3" s="14"/>
      <c r="FR3" s="14"/>
      <c r="FS3" s="14"/>
      <c r="FT3" s="14"/>
      <c r="FU3" s="14"/>
      <c r="FV3" s="14"/>
      <c r="FW3" s="14"/>
      <c r="FX3" s="14"/>
      <c r="FY3" s="14"/>
      <c r="FZ3" s="14"/>
      <c r="GA3" s="14"/>
      <c r="GB3" s="14"/>
      <c r="GC3" s="14"/>
      <c r="GD3" s="14"/>
      <c r="GE3" s="14"/>
      <c r="GF3" s="14"/>
      <c r="GG3" s="14"/>
      <c r="GH3" s="14"/>
      <c r="GI3" s="14"/>
      <c r="GJ3" s="14"/>
      <c r="GK3" s="14"/>
      <c r="GL3" s="14"/>
      <c r="GM3" s="14"/>
      <c r="GN3" s="14"/>
      <c r="GO3" s="14"/>
      <c r="GP3" s="14"/>
      <c r="GQ3" s="14"/>
      <c r="GR3" s="14"/>
      <c r="GS3" s="14"/>
      <c r="GT3" s="14"/>
      <c r="GU3" s="14"/>
      <c r="GV3" s="14"/>
      <c r="GW3" s="14"/>
      <c r="GX3" s="14"/>
      <c r="GY3" s="14"/>
      <c r="GZ3" s="14"/>
      <c r="HA3" s="14"/>
      <c r="HB3" s="14"/>
      <c r="HC3" s="14"/>
      <c r="HD3" s="14"/>
      <c r="HE3" s="14"/>
      <c r="HF3" s="14"/>
      <c r="HG3" s="14"/>
      <c r="HH3" s="14"/>
      <c r="HI3" s="14"/>
      <c r="HJ3" s="14"/>
      <c r="HK3" s="14"/>
      <c r="HL3" s="14"/>
      <c r="HM3" s="14"/>
      <c r="HN3" s="14"/>
      <c r="HO3" s="14"/>
      <c r="HP3" s="14"/>
      <c r="HQ3" s="14"/>
      <c r="HR3" s="14"/>
      <c r="HS3" s="14"/>
      <c r="HT3" s="14"/>
    </row>
    <row r="4" spans="2:228" ht="30" customHeight="1" x14ac:dyDescent="0.2">
      <c r="B4" s="229" t="s">
        <v>406</v>
      </c>
      <c r="C4" s="1717" t="s">
        <v>345</v>
      </c>
      <c r="D4" s="1718"/>
      <c r="E4" s="1717" t="s">
        <v>346</v>
      </c>
      <c r="F4" s="1718"/>
      <c r="G4" s="1717" t="s">
        <v>347</v>
      </c>
      <c r="H4" s="1718"/>
      <c r="I4" s="1718"/>
      <c r="J4" s="1717" t="s">
        <v>348</v>
      </c>
      <c r="K4" s="1718"/>
      <c r="L4" s="1717" t="s">
        <v>349</v>
      </c>
      <c r="M4" s="1718"/>
      <c r="N4" s="451" t="s">
        <v>714</v>
      </c>
      <c r="O4" s="450" t="s">
        <v>672</v>
      </c>
      <c r="P4" s="450" t="s">
        <v>1899</v>
      </c>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4"/>
      <c r="BR4" s="14"/>
      <c r="BS4" s="14"/>
      <c r="BT4" s="14"/>
      <c r="BU4" s="14"/>
      <c r="BV4" s="14"/>
      <c r="BW4" s="14"/>
      <c r="BX4" s="14"/>
      <c r="BY4" s="14"/>
      <c r="BZ4" s="14"/>
      <c r="CA4" s="14"/>
      <c r="CB4" s="14"/>
      <c r="CC4" s="14"/>
      <c r="CD4" s="14"/>
      <c r="CE4" s="14"/>
      <c r="CF4" s="14"/>
      <c r="CG4" s="14"/>
      <c r="CH4" s="14"/>
      <c r="CI4" s="14"/>
      <c r="CJ4" s="14"/>
      <c r="CK4" s="14"/>
      <c r="CL4" s="14"/>
      <c r="CM4" s="14"/>
      <c r="CN4" s="14"/>
      <c r="CO4" s="14"/>
      <c r="CP4" s="14"/>
      <c r="CQ4" s="14"/>
      <c r="CR4" s="14"/>
      <c r="CS4" s="14"/>
      <c r="CT4" s="14"/>
      <c r="CU4" s="14"/>
      <c r="CV4" s="14"/>
      <c r="CW4" s="14"/>
      <c r="CX4" s="14"/>
      <c r="CY4" s="14"/>
      <c r="CZ4" s="14"/>
      <c r="DA4" s="14"/>
      <c r="DB4" s="14"/>
      <c r="DC4" s="14"/>
      <c r="DD4" s="14"/>
      <c r="DE4" s="14"/>
      <c r="DF4" s="14"/>
      <c r="DG4" s="14"/>
      <c r="DH4" s="14"/>
      <c r="DI4" s="14"/>
      <c r="DJ4" s="14"/>
      <c r="DK4" s="14"/>
      <c r="DL4" s="14"/>
      <c r="DM4" s="14"/>
      <c r="DN4" s="14"/>
      <c r="DO4" s="14"/>
      <c r="DP4" s="14"/>
      <c r="DQ4" s="14"/>
      <c r="DR4" s="14"/>
      <c r="DS4" s="14"/>
      <c r="DT4" s="14"/>
      <c r="DU4" s="14"/>
      <c r="DV4" s="14"/>
      <c r="DW4" s="14"/>
      <c r="DX4" s="14"/>
      <c r="DY4" s="14"/>
      <c r="DZ4" s="14"/>
      <c r="EA4" s="14"/>
      <c r="EB4" s="14"/>
      <c r="EC4" s="14"/>
      <c r="ED4" s="14"/>
      <c r="EE4" s="14"/>
      <c r="EF4" s="14"/>
      <c r="EG4" s="14"/>
      <c r="EH4" s="14"/>
      <c r="EI4" s="14"/>
      <c r="EJ4" s="14"/>
      <c r="EK4" s="14"/>
      <c r="EL4" s="14"/>
      <c r="EM4" s="14"/>
      <c r="EN4" s="14"/>
      <c r="EO4" s="14"/>
      <c r="EP4" s="14"/>
      <c r="EQ4" s="14"/>
      <c r="ER4" s="14"/>
      <c r="ES4" s="14"/>
      <c r="ET4" s="14"/>
      <c r="EU4" s="14"/>
      <c r="EV4" s="14"/>
      <c r="EW4" s="14"/>
      <c r="EX4" s="14"/>
      <c r="EY4" s="14"/>
      <c r="EZ4" s="14"/>
      <c r="FA4" s="14"/>
      <c r="FB4" s="14"/>
      <c r="FC4" s="14"/>
      <c r="FD4" s="14"/>
      <c r="FE4" s="14"/>
      <c r="FF4" s="14"/>
      <c r="FG4" s="14"/>
      <c r="FH4" s="14"/>
      <c r="FI4" s="14"/>
      <c r="FJ4" s="14"/>
      <c r="FK4" s="14"/>
      <c r="FL4" s="14"/>
      <c r="FM4" s="14"/>
      <c r="FN4" s="14"/>
      <c r="FO4" s="14"/>
      <c r="FP4" s="14"/>
      <c r="FQ4" s="14"/>
      <c r="FR4" s="14"/>
      <c r="FS4" s="14"/>
      <c r="FT4" s="14"/>
      <c r="FU4" s="14"/>
      <c r="FV4" s="14"/>
      <c r="FW4" s="14"/>
      <c r="FX4" s="14"/>
      <c r="FY4" s="14"/>
      <c r="FZ4" s="14"/>
      <c r="GA4" s="14"/>
      <c r="GB4" s="14"/>
      <c r="GC4" s="14"/>
      <c r="GD4" s="14"/>
      <c r="GE4" s="14"/>
      <c r="GF4" s="14"/>
      <c r="GG4" s="14"/>
      <c r="GH4" s="14"/>
      <c r="GI4" s="14"/>
      <c r="GJ4" s="14"/>
      <c r="GK4" s="14"/>
      <c r="GL4" s="14"/>
      <c r="GM4" s="14"/>
      <c r="GN4" s="14"/>
      <c r="GO4" s="14"/>
      <c r="GP4" s="14"/>
      <c r="GQ4" s="14"/>
      <c r="GR4" s="14"/>
      <c r="GS4" s="14"/>
      <c r="GT4" s="14"/>
      <c r="GU4" s="14"/>
      <c r="GV4" s="14"/>
      <c r="GW4" s="14"/>
      <c r="GX4" s="14"/>
      <c r="GY4" s="14"/>
      <c r="GZ4" s="14"/>
      <c r="HA4" s="14"/>
      <c r="HB4" s="14"/>
      <c r="HC4" s="14"/>
      <c r="HD4" s="14"/>
      <c r="HE4" s="14"/>
      <c r="HF4" s="14"/>
      <c r="HG4" s="14"/>
      <c r="HH4" s="14"/>
      <c r="HI4" s="14"/>
      <c r="HJ4" s="14"/>
      <c r="HK4" s="14"/>
      <c r="HL4" s="14"/>
      <c r="HM4" s="14"/>
      <c r="HN4" s="14"/>
      <c r="HO4" s="14"/>
      <c r="HP4" s="14"/>
      <c r="HQ4" s="14"/>
      <c r="HR4" s="14"/>
      <c r="HS4" s="14"/>
      <c r="HT4" s="14"/>
    </row>
    <row r="5" spans="2:228" ht="9" customHeight="1" x14ac:dyDescent="0.2">
      <c r="B5" s="1772"/>
      <c r="C5" s="1772"/>
      <c r="D5" s="1772"/>
      <c r="E5" s="1772"/>
      <c r="F5" s="1772"/>
      <c r="G5" s="1772"/>
      <c r="H5" s="1772"/>
      <c r="I5" s="1772"/>
      <c r="J5" s="1772"/>
      <c r="K5" s="1772"/>
      <c r="L5" s="1772"/>
      <c r="M5" s="1772"/>
      <c r="N5" s="1772"/>
      <c r="O5" s="1772"/>
      <c r="P5" s="1772"/>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4"/>
      <c r="HM5" s="14"/>
      <c r="HN5" s="14"/>
      <c r="HO5" s="14"/>
      <c r="HP5" s="14"/>
      <c r="HQ5" s="14"/>
      <c r="HR5" s="14"/>
      <c r="HS5" s="14"/>
      <c r="HT5" s="14"/>
    </row>
    <row r="6" spans="2:228" ht="18" customHeight="1" x14ac:dyDescent="0.2">
      <c r="B6" s="1860" t="s">
        <v>1271</v>
      </c>
      <c r="C6" s="1959"/>
      <c r="D6" s="1959"/>
      <c r="E6" s="1959"/>
      <c r="F6" s="1959"/>
      <c r="G6" s="1959"/>
      <c r="H6" s="1959"/>
      <c r="I6" s="1959"/>
      <c r="J6" s="1959"/>
      <c r="K6" s="1959"/>
      <c r="L6" s="1959"/>
      <c r="M6" s="1959"/>
      <c r="N6" s="1959"/>
      <c r="O6" s="1959"/>
      <c r="P6" s="1959"/>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row>
    <row r="7" spans="2:228" ht="15" customHeight="1" x14ac:dyDescent="0.2">
      <c r="B7" s="1555" t="s">
        <v>1272</v>
      </c>
      <c r="C7" s="1555"/>
      <c r="D7" s="1555"/>
      <c r="E7" s="1555"/>
      <c r="F7" s="1555"/>
      <c r="G7" s="1555"/>
      <c r="H7" s="1555"/>
      <c r="I7" s="1555"/>
      <c r="J7" s="1555"/>
      <c r="K7" s="1555"/>
      <c r="L7" s="1555"/>
      <c r="M7" s="1555"/>
      <c r="N7" s="1555"/>
      <c r="O7" s="1555"/>
      <c r="P7" s="1555"/>
      <c r="R7" s="18"/>
      <c r="S7" s="18"/>
      <c r="T7" s="1379" t="s">
        <v>1273</v>
      </c>
      <c r="U7" s="896" t="s">
        <v>1318</v>
      </c>
      <c r="V7" s="896" t="s">
        <v>1782</v>
      </c>
      <c r="W7" s="695" t="s">
        <v>704</v>
      </c>
      <c r="X7" s="896" t="s">
        <v>705</v>
      </c>
      <c r="Y7" s="896" t="s">
        <v>706</v>
      </c>
      <c r="Z7" s="896" t="s">
        <v>707</v>
      </c>
      <c r="AA7" s="903" t="s">
        <v>1650</v>
      </c>
      <c r="AB7" s="903" t="s">
        <v>1651</v>
      </c>
      <c r="AC7" s="903" t="s">
        <v>1652</v>
      </c>
      <c r="AD7" s="896" t="s">
        <v>1104</v>
      </c>
      <c r="AE7" s="896" t="s">
        <v>1105</v>
      </c>
      <c r="AF7" s="896" t="s">
        <v>1106</v>
      </c>
      <c r="AG7" s="896" t="s">
        <v>1617</v>
      </c>
      <c r="AH7" s="896" t="s">
        <v>1045</v>
      </c>
      <c r="AI7" s="896" t="s">
        <v>1046</v>
      </c>
      <c r="AJ7" s="896" t="s">
        <v>1669</v>
      </c>
      <c r="AK7" s="896" t="s">
        <v>1351</v>
      </c>
      <c r="AL7" s="896" t="s">
        <v>1352</v>
      </c>
      <c r="AM7" s="896" t="s">
        <v>1353</v>
      </c>
      <c r="AN7" s="896" t="s">
        <v>202</v>
      </c>
      <c r="AO7" s="896" t="s">
        <v>203</v>
      </c>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4"/>
      <c r="BR7" s="14"/>
      <c r="BS7" s="14"/>
      <c r="BT7" s="14"/>
      <c r="BU7" s="14"/>
      <c r="BV7" s="14"/>
      <c r="BW7" s="14"/>
      <c r="BX7" s="14"/>
      <c r="BY7" s="14"/>
      <c r="BZ7" s="14"/>
      <c r="CA7" s="14"/>
      <c r="CB7" s="14"/>
      <c r="CC7" s="14"/>
      <c r="CD7" s="14"/>
      <c r="CE7" s="14"/>
      <c r="CF7" s="14"/>
      <c r="CG7" s="14"/>
      <c r="CH7" s="14"/>
      <c r="CI7" s="14"/>
      <c r="CJ7" s="14"/>
      <c r="CK7" s="14"/>
      <c r="CL7" s="14"/>
      <c r="CM7" s="14"/>
      <c r="CN7" s="14"/>
      <c r="CO7" s="14"/>
      <c r="CP7" s="14"/>
      <c r="CQ7" s="14"/>
      <c r="CR7" s="14"/>
      <c r="CS7" s="14"/>
      <c r="CT7" s="14"/>
      <c r="CU7" s="14"/>
      <c r="CV7" s="14"/>
      <c r="CW7" s="14"/>
      <c r="CX7" s="14"/>
      <c r="CY7" s="14"/>
      <c r="CZ7" s="14"/>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row>
    <row r="8" spans="2:228" ht="18" customHeight="1" x14ac:dyDescent="0.2">
      <c r="B8" s="1629"/>
      <c r="C8" s="1629"/>
      <c r="D8" s="1629"/>
      <c r="E8" s="1629"/>
      <c r="F8" s="1629"/>
      <c r="G8" s="1629"/>
      <c r="H8" s="1629"/>
      <c r="I8" s="1629"/>
      <c r="J8" s="1629"/>
      <c r="K8" s="1629"/>
      <c r="L8" s="1629"/>
      <c r="M8" s="1629"/>
      <c r="N8" s="1629"/>
      <c r="O8" s="1629"/>
      <c r="P8" s="26">
        <f>SUMIF(U7:AO7,B8,U8:AO8)</f>
        <v>0</v>
      </c>
      <c r="R8" s="18"/>
      <c r="S8" s="18"/>
      <c r="T8" s="1379"/>
      <c r="U8" s="902">
        <v>0</v>
      </c>
      <c r="V8" s="903">
        <v>0.05</v>
      </c>
      <c r="W8" s="903">
        <v>0.1</v>
      </c>
      <c r="X8" s="903">
        <v>0.15</v>
      </c>
      <c r="Y8" s="903">
        <v>0.2</v>
      </c>
      <c r="Z8" s="903">
        <v>0.25</v>
      </c>
      <c r="AA8" s="903">
        <v>0.3</v>
      </c>
      <c r="AB8" s="903">
        <v>0.35</v>
      </c>
      <c r="AC8" s="903">
        <v>0.4</v>
      </c>
      <c r="AD8" s="903">
        <v>0.45</v>
      </c>
      <c r="AE8" s="903">
        <v>0.5</v>
      </c>
      <c r="AF8" s="903">
        <v>0.55000000000000004</v>
      </c>
      <c r="AG8" s="903">
        <v>0.6</v>
      </c>
      <c r="AH8" s="903">
        <v>0.65</v>
      </c>
      <c r="AI8" s="903">
        <v>0.7</v>
      </c>
      <c r="AJ8" s="903">
        <v>0.75</v>
      </c>
      <c r="AK8" s="903">
        <v>0.8</v>
      </c>
      <c r="AL8" s="903">
        <v>0.85</v>
      </c>
      <c r="AM8" s="903">
        <v>0.9</v>
      </c>
      <c r="AN8" s="903">
        <v>0.95</v>
      </c>
      <c r="AO8" s="903">
        <v>1</v>
      </c>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14"/>
      <c r="HM8" s="14"/>
      <c r="HN8" s="14"/>
      <c r="HO8" s="14"/>
      <c r="HP8" s="14"/>
      <c r="HQ8" s="14"/>
      <c r="HR8" s="14"/>
      <c r="HS8" s="14"/>
      <c r="HT8" s="14"/>
    </row>
    <row r="9" spans="2:228" ht="12" customHeight="1" x14ac:dyDescent="0.25">
      <c r="B9" s="1924"/>
      <c r="C9" s="1924"/>
      <c r="D9" s="1924"/>
      <c r="E9" s="1924"/>
      <c r="F9" s="1924"/>
      <c r="G9" s="1924"/>
      <c r="H9" s="1924"/>
      <c r="I9" s="1924"/>
      <c r="J9" s="1924"/>
      <c r="K9" s="1924"/>
      <c r="L9" s="1924"/>
      <c r="M9" s="1924"/>
      <c r="N9" s="1924"/>
      <c r="O9" s="1924"/>
      <c r="P9" s="1924"/>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4"/>
      <c r="BR9" s="14"/>
      <c r="BS9" s="14"/>
      <c r="BT9" s="14"/>
      <c r="BU9" s="14"/>
      <c r="BV9" s="14"/>
      <c r="BW9" s="14"/>
      <c r="BX9" s="14"/>
      <c r="BY9" s="14"/>
      <c r="BZ9" s="14"/>
      <c r="CA9" s="14"/>
      <c r="CB9" s="14"/>
      <c r="CC9" s="14"/>
      <c r="CD9" s="14"/>
      <c r="CE9" s="14"/>
      <c r="CF9" s="14"/>
      <c r="CG9" s="14"/>
      <c r="CH9" s="14"/>
      <c r="CI9" s="14"/>
      <c r="CJ9" s="14"/>
      <c r="CK9" s="14"/>
      <c r="CL9" s="14"/>
      <c r="CM9" s="14"/>
      <c r="CN9" s="14"/>
      <c r="CO9" s="14"/>
      <c r="CP9" s="14"/>
      <c r="CQ9" s="14"/>
      <c r="CR9" s="14"/>
      <c r="CS9" s="14"/>
      <c r="CT9" s="14"/>
      <c r="CU9" s="14"/>
      <c r="CV9" s="14"/>
      <c r="CW9" s="14"/>
      <c r="CX9" s="14"/>
      <c r="CY9" s="14"/>
      <c r="CZ9" s="14"/>
      <c r="DA9" s="14"/>
      <c r="DB9" s="14"/>
      <c r="DC9" s="14"/>
      <c r="DD9" s="14"/>
      <c r="DE9" s="14"/>
      <c r="DF9" s="14"/>
      <c r="DG9" s="14"/>
      <c r="DH9" s="14"/>
      <c r="DI9" s="14"/>
      <c r="DJ9" s="14"/>
      <c r="DK9" s="14"/>
      <c r="DL9" s="14"/>
      <c r="DM9" s="14"/>
      <c r="DN9" s="14"/>
      <c r="DO9" s="14"/>
      <c r="DP9" s="14"/>
      <c r="DQ9" s="14"/>
      <c r="DR9" s="14"/>
      <c r="DS9" s="14"/>
      <c r="DT9" s="14"/>
      <c r="DU9" s="14"/>
      <c r="DV9" s="14"/>
      <c r="DW9" s="14"/>
      <c r="DX9" s="14"/>
      <c r="DY9" s="14"/>
      <c r="DZ9" s="14"/>
      <c r="EA9" s="14"/>
      <c r="EB9" s="14"/>
      <c r="EC9" s="14"/>
      <c r="ED9" s="14"/>
      <c r="EE9" s="14"/>
      <c r="EF9" s="14"/>
      <c r="EG9" s="14"/>
      <c r="EH9" s="14"/>
      <c r="EI9" s="14"/>
      <c r="EJ9" s="14"/>
      <c r="EK9" s="14"/>
      <c r="EL9" s="14"/>
      <c r="EM9" s="14"/>
      <c r="EN9" s="14"/>
      <c r="EO9" s="14"/>
      <c r="EP9" s="14"/>
      <c r="EQ9" s="14"/>
      <c r="ER9" s="14"/>
      <c r="ES9" s="14"/>
      <c r="ET9" s="14"/>
      <c r="EU9" s="14"/>
      <c r="EV9" s="14"/>
      <c r="EW9" s="14"/>
      <c r="EX9" s="14"/>
      <c r="EY9" s="14"/>
      <c r="EZ9" s="14"/>
      <c r="FA9" s="14"/>
      <c r="FB9" s="14"/>
      <c r="FC9" s="14"/>
      <c r="FD9" s="14"/>
      <c r="FE9" s="14"/>
      <c r="FF9" s="14"/>
      <c r="FG9" s="14"/>
      <c r="FH9" s="14"/>
      <c r="FI9" s="14"/>
      <c r="FJ9" s="14"/>
      <c r="FK9" s="14"/>
      <c r="FL9" s="14"/>
      <c r="FM9" s="14"/>
      <c r="FN9" s="14"/>
      <c r="FO9" s="14"/>
      <c r="FP9" s="14"/>
      <c r="FQ9" s="14"/>
      <c r="FR9" s="14"/>
      <c r="FS9" s="14"/>
      <c r="FT9" s="14"/>
      <c r="FU9" s="14"/>
      <c r="FV9" s="14"/>
      <c r="FW9" s="14"/>
      <c r="FX9" s="14"/>
      <c r="FY9" s="14"/>
      <c r="FZ9" s="14"/>
      <c r="GA9" s="14"/>
      <c r="GB9" s="14"/>
      <c r="GC9" s="14"/>
      <c r="GD9" s="14"/>
      <c r="GE9" s="14"/>
      <c r="GF9" s="14"/>
      <c r="GG9" s="14"/>
      <c r="GH9" s="14"/>
      <c r="GI9" s="14"/>
      <c r="GJ9" s="14"/>
      <c r="GK9" s="14"/>
      <c r="GL9" s="14"/>
      <c r="GM9" s="14"/>
      <c r="GN9" s="14"/>
      <c r="GO9" s="14"/>
      <c r="GP9" s="14"/>
      <c r="GQ9" s="14"/>
      <c r="GR9" s="14"/>
      <c r="GS9" s="14"/>
      <c r="GT9" s="14"/>
      <c r="GU9" s="14"/>
      <c r="GV9" s="14"/>
      <c r="GW9" s="14"/>
      <c r="GX9" s="14"/>
      <c r="GY9" s="14"/>
      <c r="GZ9" s="14"/>
      <c r="HA9" s="14"/>
      <c r="HB9" s="14"/>
      <c r="HC9" s="14"/>
      <c r="HD9" s="14"/>
      <c r="HE9" s="14"/>
      <c r="HF9" s="14"/>
      <c r="HG9" s="14"/>
      <c r="HH9" s="14"/>
      <c r="HI9" s="14"/>
      <c r="HJ9" s="14"/>
      <c r="HK9" s="14"/>
      <c r="HL9" s="14"/>
      <c r="HM9" s="14"/>
      <c r="HN9" s="14"/>
      <c r="HO9" s="14"/>
      <c r="HP9" s="14"/>
      <c r="HQ9" s="14"/>
      <c r="HR9" s="14"/>
      <c r="HS9" s="14"/>
      <c r="HT9" s="14"/>
    </row>
    <row r="10" spans="2:228" ht="18" customHeight="1" x14ac:dyDescent="0.2">
      <c r="B10" s="1549" t="s">
        <v>1193</v>
      </c>
      <c r="C10" s="1550"/>
      <c r="D10" s="1550"/>
      <c r="E10" s="1550"/>
      <c r="F10" s="1550"/>
      <c r="G10" s="1550"/>
      <c r="H10" s="1550"/>
      <c r="I10" s="1550"/>
      <c r="J10" s="1550"/>
      <c r="K10" s="1550"/>
      <c r="L10" s="1550"/>
      <c r="M10" s="1550"/>
      <c r="N10" s="1550"/>
      <c r="O10" s="1550"/>
      <c r="P10" s="1645"/>
      <c r="R10" s="18"/>
      <c r="S10" s="698"/>
      <c r="T10" s="698"/>
      <c r="U10" s="69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14"/>
      <c r="CU10" s="14"/>
      <c r="CV10" s="14"/>
      <c r="CW10" s="14"/>
      <c r="CX10" s="14"/>
      <c r="CY10" s="14"/>
      <c r="CZ10" s="14"/>
      <c r="DA10" s="14"/>
      <c r="DB10" s="14"/>
      <c r="DC10" s="14"/>
      <c r="DD10" s="14"/>
      <c r="DE10" s="14"/>
      <c r="DF10" s="14"/>
      <c r="DG10" s="14"/>
      <c r="DH10" s="14"/>
      <c r="DI10" s="14"/>
      <c r="DJ10" s="14"/>
      <c r="DK10" s="14"/>
      <c r="DL10" s="14"/>
      <c r="DM10" s="14"/>
      <c r="DN10" s="14"/>
      <c r="DO10" s="14"/>
      <c r="DP10" s="14"/>
      <c r="DQ10" s="14"/>
      <c r="DR10" s="14"/>
      <c r="DS10" s="14"/>
      <c r="DT10" s="14"/>
      <c r="DU10" s="14"/>
      <c r="DV10" s="14"/>
      <c r="DW10" s="14"/>
      <c r="DX10" s="14"/>
      <c r="DY10" s="14"/>
      <c r="DZ10" s="14"/>
      <c r="EA10" s="14"/>
      <c r="EB10" s="14"/>
      <c r="EC10" s="14"/>
      <c r="ED10" s="14"/>
      <c r="EE10" s="14"/>
      <c r="EF10" s="14"/>
      <c r="EG10" s="14"/>
      <c r="EH10" s="14"/>
      <c r="EI10" s="14"/>
      <c r="EJ10" s="14"/>
      <c r="EK10" s="14"/>
      <c r="EL10" s="14"/>
      <c r="EM10" s="14"/>
      <c r="EN10" s="14"/>
      <c r="EO10" s="14"/>
      <c r="EP10" s="14"/>
      <c r="EQ10" s="14"/>
      <c r="ER10" s="14"/>
      <c r="ES10" s="14"/>
      <c r="ET10" s="14"/>
      <c r="EU10" s="14"/>
      <c r="EV10" s="14"/>
      <c r="EW10" s="14"/>
      <c r="EX10" s="14"/>
      <c r="EY10" s="14"/>
      <c r="EZ10" s="14"/>
      <c r="FA10" s="14"/>
      <c r="FB10" s="14"/>
      <c r="FC10" s="14"/>
      <c r="FD10" s="14"/>
      <c r="FE10" s="14"/>
      <c r="FF10" s="14"/>
      <c r="FG10" s="14"/>
      <c r="FH10" s="14"/>
      <c r="FI10" s="14"/>
      <c r="FJ10" s="14"/>
      <c r="FK10" s="14"/>
      <c r="FL10" s="14"/>
      <c r="FM10" s="14"/>
      <c r="FN10" s="14"/>
      <c r="FO10" s="14"/>
      <c r="FP10" s="14"/>
      <c r="FQ10" s="14"/>
      <c r="FR10" s="14"/>
      <c r="FS10" s="14"/>
      <c r="FT10" s="14"/>
      <c r="FU10" s="14"/>
      <c r="FV10" s="14"/>
      <c r="FW10" s="14"/>
      <c r="FX10" s="14"/>
      <c r="FY10" s="14"/>
      <c r="FZ10" s="14"/>
      <c r="GA10" s="14"/>
      <c r="GB10" s="14"/>
      <c r="GC10" s="14"/>
      <c r="GD10" s="14"/>
      <c r="GE10" s="14"/>
      <c r="GF10" s="14"/>
      <c r="GG10" s="14"/>
      <c r="GH10" s="14"/>
      <c r="GI10" s="14"/>
      <c r="GJ10" s="14"/>
      <c r="GK10" s="14"/>
      <c r="GL10" s="14"/>
      <c r="GM10" s="14"/>
      <c r="GN10" s="14"/>
      <c r="GO10" s="14"/>
      <c r="GP10" s="14"/>
      <c r="GQ10" s="14"/>
      <c r="GR10" s="14"/>
      <c r="GS10" s="14"/>
      <c r="GT10" s="14"/>
      <c r="GU10" s="14"/>
      <c r="GV10" s="14"/>
      <c r="GW10" s="14"/>
      <c r="GX10" s="14"/>
      <c r="GY10" s="14"/>
      <c r="GZ10" s="14"/>
      <c r="HA10" s="14"/>
      <c r="HB10" s="14"/>
      <c r="HC10" s="14"/>
      <c r="HD10" s="14"/>
      <c r="HE10" s="14"/>
      <c r="HF10" s="14"/>
      <c r="HG10" s="14"/>
      <c r="HH10" s="14"/>
      <c r="HI10" s="14"/>
      <c r="HJ10" s="14"/>
      <c r="HK10" s="14"/>
      <c r="HL10" s="14"/>
      <c r="HM10" s="14"/>
      <c r="HN10" s="14"/>
      <c r="HO10" s="14"/>
      <c r="HP10" s="14"/>
      <c r="HQ10" s="14"/>
      <c r="HR10" s="14"/>
      <c r="HS10" s="14"/>
      <c r="HT10" s="14"/>
    </row>
    <row r="11" spans="2:228" ht="27" customHeight="1" x14ac:dyDescent="0.25">
      <c r="B11" s="468"/>
      <c r="C11" s="1452" t="s">
        <v>1596</v>
      </c>
      <c r="D11" s="1452"/>
      <c r="E11" s="1452"/>
      <c r="F11" s="1452"/>
      <c r="G11" s="1786" t="s">
        <v>1081</v>
      </c>
      <c r="H11" s="1786"/>
      <c r="I11" s="1786"/>
      <c r="J11" s="1786"/>
      <c r="K11" s="1786"/>
      <c r="L11" s="1872"/>
      <c r="M11" s="1872"/>
      <c r="N11" s="1872"/>
      <c r="O11" s="1872"/>
      <c r="P11" s="1745"/>
      <c r="R11" s="18"/>
      <c r="S11" s="906"/>
      <c r="T11" s="1536" t="s">
        <v>1258</v>
      </c>
      <c r="U11" s="1536"/>
      <c r="V11" s="18"/>
      <c r="W11" s="18"/>
      <c r="X11" s="18"/>
      <c r="Y11" s="1598" t="s">
        <v>2263</v>
      </c>
      <c r="Z11" s="1599"/>
      <c r="AA11" s="1599"/>
      <c r="AB11" s="1600"/>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4"/>
      <c r="BR11" s="14"/>
      <c r="BS11" s="14"/>
      <c r="BT11" s="14"/>
      <c r="BU11" s="14"/>
      <c r="BV11" s="14"/>
      <c r="BW11" s="14"/>
      <c r="BX11" s="14"/>
      <c r="BY11" s="14"/>
      <c r="BZ11" s="14"/>
      <c r="CA11" s="14"/>
      <c r="CB11" s="14"/>
      <c r="CC11" s="14"/>
      <c r="CD11" s="14"/>
      <c r="CE11" s="14"/>
      <c r="CF11" s="14"/>
      <c r="CG11" s="14"/>
      <c r="CH11" s="14"/>
      <c r="CI11" s="14"/>
      <c r="CJ11" s="14"/>
      <c r="CK11" s="14"/>
      <c r="CL11" s="14"/>
      <c r="CM11" s="14"/>
      <c r="CN11" s="14"/>
      <c r="CO11" s="14"/>
      <c r="CP11" s="14"/>
      <c r="CQ11" s="14"/>
      <c r="CR11" s="14"/>
      <c r="CS11" s="14"/>
      <c r="CT11" s="14"/>
      <c r="CU11" s="14"/>
      <c r="CV11" s="14"/>
      <c r="CW11" s="14"/>
      <c r="CX11" s="14"/>
      <c r="CY11" s="14"/>
      <c r="CZ11" s="14"/>
      <c r="DA11" s="14"/>
      <c r="DB11" s="14"/>
      <c r="DC11" s="14"/>
      <c r="DD11" s="14"/>
      <c r="DE11" s="14"/>
      <c r="DF11" s="14"/>
      <c r="DG11" s="14"/>
      <c r="DH11" s="14"/>
      <c r="DI11" s="14"/>
      <c r="DJ11" s="14"/>
      <c r="DK11" s="14"/>
      <c r="DL11" s="14"/>
      <c r="DM11" s="14"/>
      <c r="DN11" s="14"/>
      <c r="DO11" s="14"/>
      <c r="DP11" s="14"/>
      <c r="DQ11" s="14"/>
      <c r="DR11" s="14"/>
      <c r="DS11" s="14"/>
      <c r="DT11" s="14"/>
      <c r="DU11" s="14"/>
      <c r="DV11" s="14"/>
      <c r="DW11" s="14"/>
      <c r="DX11" s="14"/>
      <c r="DY11" s="14"/>
      <c r="DZ11" s="14"/>
      <c r="EA11" s="14"/>
      <c r="EB11" s="14"/>
      <c r="EC11" s="14"/>
      <c r="ED11" s="14"/>
      <c r="EE11" s="14"/>
      <c r="EF11" s="14"/>
      <c r="EG11" s="14"/>
      <c r="EH11" s="14"/>
      <c r="EI11" s="14"/>
      <c r="EJ11" s="14"/>
      <c r="EK11" s="14"/>
      <c r="EL11" s="14"/>
      <c r="EM11" s="14"/>
      <c r="EN11" s="14"/>
      <c r="EO11" s="14"/>
      <c r="EP11" s="14"/>
      <c r="EQ11" s="14"/>
      <c r="ER11" s="14"/>
      <c r="ES11" s="14"/>
      <c r="ET11" s="14"/>
      <c r="EU11" s="14"/>
      <c r="EV11" s="14"/>
      <c r="EW11" s="14"/>
      <c r="EX11" s="14"/>
      <c r="EY11" s="14"/>
      <c r="EZ11" s="14"/>
      <c r="FA11" s="14"/>
      <c r="FB11" s="14"/>
      <c r="FC11" s="14"/>
      <c r="FD11" s="14"/>
      <c r="FE11" s="14"/>
      <c r="FF11" s="14"/>
      <c r="FG11" s="14"/>
      <c r="FH11" s="14"/>
      <c r="FI11" s="14"/>
      <c r="FJ11" s="14"/>
      <c r="FK11" s="14"/>
      <c r="FL11" s="14"/>
      <c r="FM11" s="14"/>
      <c r="FN11" s="14"/>
      <c r="FO11" s="14"/>
      <c r="FP11" s="14"/>
      <c r="FQ11" s="14"/>
      <c r="FR11" s="14"/>
      <c r="FS11" s="14"/>
      <c r="FT11" s="14"/>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c r="HL11" s="14"/>
      <c r="HM11" s="14"/>
      <c r="HN11" s="14"/>
      <c r="HO11" s="14"/>
      <c r="HP11" s="14"/>
      <c r="HQ11" s="14"/>
      <c r="HR11" s="14"/>
      <c r="HS11" s="14"/>
      <c r="HT11" s="14"/>
    </row>
    <row r="12" spans="2:228" ht="15" customHeight="1" x14ac:dyDescent="0.2">
      <c r="B12" s="357" t="s">
        <v>1082</v>
      </c>
      <c r="C12" s="1555"/>
      <c r="D12" s="1555"/>
      <c r="E12" s="1555" t="s">
        <v>1796</v>
      </c>
      <c r="F12" s="1555"/>
      <c r="G12" s="1555" t="s">
        <v>365</v>
      </c>
      <c r="H12" s="1555"/>
      <c r="I12" s="1555"/>
      <c r="J12" s="1555" t="s">
        <v>1796</v>
      </c>
      <c r="K12" s="1555"/>
      <c r="L12" s="1949"/>
      <c r="M12" s="1950"/>
      <c r="N12" s="1950"/>
      <c r="O12" s="1951"/>
      <c r="P12" s="1745"/>
      <c r="R12" s="1111"/>
      <c r="S12" s="904" t="s">
        <v>1573</v>
      </c>
      <c r="T12" s="901" t="s">
        <v>1596</v>
      </c>
      <c r="U12" s="901" t="s">
        <v>1597</v>
      </c>
      <c r="V12" s="1555" t="s">
        <v>1083</v>
      </c>
      <c r="W12" s="1555"/>
      <c r="X12" s="906"/>
      <c r="Y12" s="243">
        <f>IF(E14&gt;0,O15,IF(AND(E14=0,W20&gt;0,O15&gt;0,C21&gt;0),C21*O15,O15))</f>
        <v>0</v>
      </c>
      <c r="Z12" s="243">
        <f>IF(W20&gt;0,O20,IF(AND(W20=0,E14&gt;0,O20&gt;0,C21&gt;0),C21*O20,O20))</f>
        <v>0</v>
      </c>
      <c r="AA12" s="243">
        <f>IF(AND(E14=0,W20=0,C21&gt;0),C21*AB19,AB19)</f>
        <v>0</v>
      </c>
      <c r="AB12" s="1113">
        <f>IF(AND(E14&gt;0,W20&gt;0),1,IF(AND(E14&gt;0,O20=0),1,IF(AND(W20&gt;0,O15=0),1,0)))</f>
        <v>0</v>
      </c>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4"/>
      <c r="BR12" s="14"/>
      <c r="BS12" s="14"/>
      <c r="BT12" s="14"/>
      <c r="BU12" s="14"/>
      <c r="BV12" s="14"/>
      <c r="BW12" s="14"/>
      <c r="BX12" s="14"/>
      <c r="BY12" s="14"/>
      <c r="BZ12" s="14"/>
      <c r="CA12" s="14"/>
      <c r="CB12" s="14"/>
      <c r="CC12" s="14"/>
      <c r="CD12" s="14"/>
      <c r="CE12" s="14"/>
      <c r="CF12" s="14"/>
      <c r="CG12" s="14"/>
      <c r="CH12" s="14"/>
      <c r="CI12" s="14"/>
      <c r="CJ12" s="14"/>
      <c r="CK12" s="14"/>
      <c r="CL12" s="14"/>
      <c r="CM12" s="14"/>
      <c r="CN12" s="14"/>
      <c r="CO12" s="14"/>
      <c r="CP12" s="14"/>
      <c r="CQ12" s="14"/>
      <c r="CR12" s="14"/>
      <c r="CS12" s="14"/>
      <c r="CT12" s="14"/>
      <c r="CU12" s="14"/>
      <c r="CV12" s="14"/>
      <c r="CW12" s="14"/>
      <c r="CX12" s="14"/>
      <c r="CY12" s="14"/>
      <c r="CZ12" s="14"/>
      <c r="DA12" s="14"/>
      <c r="DB12" s="14"/>
      <c r="DC12" s="14"/>
      <c r="DD12" s="14"/>
      <c r="DE12" s="14"/>
      <c r="DF12" s="14"/>
      <c r="DG12" s="14"/>
      <c r="DH12" s="14"/>
      <c r="DI12" s="14"/>
      <c r="DJ12" s="14"/>
      <c r="DK12" s="14"/>
      <c r="DL12" s="14"/>
      <c r="DM12" s="14"/>
      <c r="DN12" s="14"/>
      <c r="DO12" s="14"/>
      <c r="DP12" s="14"/>
      <c r="DQ12" s="14"/>
      <c r="DR12" s="14"/>
      <c r="DS12" s="14"/>
      <c r="DT12" s="14"/>
      <c r="DU12" s="14"/>
      <c r="DV12" s="14"/>
      <c r="DW12" s="14"/>
      <c r="DX12" s="14"/>
      <c r="DY12" s="14"/>
      <c r="DZ12" s="14"/>
      <c r="EA12" s="14"/>
      <c r="EB12" s="14"/>
      <c r="EC12" s="14"/>
      <c r="ED12" s="14"/>
      <c r="EE12" s="14"/>
      <c r="EF12" s="14"/>
      <c r="EG12" s="14"/>
      <c r="EH12" s="14"/>
      <c r="EI12" s="14"/>
      <c r="EJ12" s="14"/>
      <c r="EK12" s="14"/>
      <c r="EL12" s="14"/>
      <c r="EM12" s="14"/>
      <c r="EN12" s="14"/>
      <c r="EO12" s="14"/>
      <c r="EP12" s="14"/>
      <c r="EQ12" s="14"/>
      <c r="ER12" s="14"/>
      <c r="ES12" s="14"/>
      <c r="ET12" s="14"/>
      <c r="EU12" s="14"/>
      <c r="EV12" s="14"/>
      <c r="EW12" s="14"/>
      <c r="EX12" s="14"/>
      <c r="EY12" s="14"/>
      <c r="EZ12" s="14"/>
      <c r="FA12" s="14"/>
      <c r="FB12" s="14"/>
      <c r="FC12" s="14"/>
      <c r="FD12" s="14"/>
      <c r="FE12" s="14"/>
      <c r="FF12" s="14"/>
      <c r="FG12" s="14"/>
      <c r="FH12" s="14"/>
      <c r="FI12" s="14"/>
      <c r="FJ12" s="14"/>
      <c r="FK12" s="14"/>
      <c r="FL12" s="14"/>
      <c r="FM12" s="14"/>
      <c r="FN12" s="14"/>
      <c r="FO12" s="14"/>
      <c r="FP12" s="14"/>
      <c r="FQ12" s="14"/>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c r="HM12" s="14"/>
      <c r="HN12" s="14"/>
      <c r="HO12" s="14"/>
      <c r="HP12" s="14"/>
      <c r="HQ12" s="14"/>
      <c r="HR12" s="14"/>
      <c r="HS12" s="14"/>
      <c r="HT12" s="14"/>
    </row>
    <row r="13" spans="2:228" ht="15" customHeight="1" x14ac:dyDescent="0.2">
      <c r="B13" s="357" t="s">
        <v>1256</v>
      </c>
      <c r="C13" s="1944"/>
      <c r="D13" s="1945"/>
      <c r="E13" s="1865">
        <f>LETable!AT3</f>
        <v>0</v>
      </c>
      <c r="F13" s="1865"/>
      <c r="G13" s="1345"/>
      <c r="H13" s="1501"/>
      <c r="I13" s="1501"/>
      <c r="J13" s="1947">
        <f>IF(C13="",0,IF(OR(C13&lt;=0,G13&lt;=0),E13,IF(G13&lt;C13,0,LETable!AY3)))</f>
        <v>0</v>
      </c>
      <c r="K13" s="1948"/>
      <c r="L13" s="1874" t="str">
        <f>IF(OR(C13="NA",G13="NA"),"",IF(AND(C13&lt;&gt;"",G13=""),"Enter contralateral or NA.",IF(AND(C13="",G13&lt;&gt;""),"Need data","")))</f>
        <v/>
      </c>
      <c r="M13" s="1875"/>
      <c r="N13" s="1875"/>
      <c r="O13" s="1875"/>
      <c r="P13" s="1745"/>
      <c r="R13" s="160"/>
      <c r="S13" s="1103">
        <v>30</v>
      </c>
      <c r="T13" s="896" t="str">
        <f>IF(OR(C13="",C13="NA"),"",IF(C13&gt;S13,S13,IF(C13&lt;0,0,C13)))</f>
        <v/>
      </c>
      <c r="U13" s="896" t="str">
        <f>IF(OR(G13="",G13="NA"),"",IF(G13&gt;S13,S13,IF(G13&lt;0,0,G13)))</f>
        <v/>
      </c>
      <c r="V13" s="696" t="str">
        <f>IF(W13="","",ROUND(W13,0))</f>
        <v/>
      </c>
      <c r="W13" s="697" t="str">
        <f>IF(T13="","",IF(OR(U13="",U13=0,U13&lt;T13),T13,(T13*S13)/U13))</f>
        <v/>
      </c>
      <c r="X13" s="18"/>
      <c r="Y13" s="698"/>
      <c r="Z13" s="698"/>
      <c r="AA13" s="698"/>
      <c r="AB13" s="69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4"/>
      <c r="BR13" s="14"/>
      <c r="BS13" s="14"/>
      <c r="BT13" s="14"/>
      <c r="BU13" s="14"/>
      <c r="BV13" s="14"/>
      <c r="BW13" s="14"/>
      <c r="BX13" s="14"/>
      <c r="BY13" s="14"/>
      <c r="BZ13" s="14"/>
      <c r="CA13" s="14"/>
      <c r="CB13" s="14"/>
      <c r="CC13" s="14"/>
      <c r="CD13" s="14"/>
      <c r="CE13" s="14"/>
      <c r="CF13" s="14"/>
      <c r="CG13" s="14"/>
      <c r="CH13" s="14"/>
      <c r="CI13" s="14"/>
      <c r="CJ13" s="14"/>
      <c r="CK13" s="14"/>
      <c r="CL13" s="14"/>
      <c r="CM13" s="14"/>
      <c r="CN13" s="14"/>
      <c r="CO13" s="14"/>
      <c r="CP13" s="14"/>
      <c r="CQ13" s="14"/>
      <c r="CR13" s="14"/>
      <c r="CS13" s="14"/>
      <c r="CT13" s="14"/>
      <c r="CU13" s="14"/>
      <c r="CV13" s="14"/>
      <c r="CW13" s="14"/>
      <c r="CX13" s="14"/>
      <c r="CY13" s="14"/>
      <c r="CZ13" s="14"/>
      <c r="DA13" s="14"/>
      <c r="DB13" s="14"/>
      <c r="DC13" s="14"/>
      <c r="DD13" s="14"/>
      <c r="DE13" s="14"/>
      <c r="DF13" s="14"/>
      <c r="DG13" s="14"/>
      <c r="DH13" s="14"/>
      <c r="DI13" s="14"/>
      <c r="DJ13" s="14"/>
      <c r="DK13" s="14"/>
      <c r="DL13" s="14"/>
      <c r="DM13" s="14"/>
      <c r="DN13" s="14"/>
      <c r="DO13" s="14"/>
      <c r="DP13" s="14"/>
      <c r="DQ13" s="14"/>
      <c r="DR13" s="14"/>
      <c r="DS13" s="14"/>
      <c r="DT13" s="14"/>
      <c r="DU13" s="14"/>
      <c r="DV13" s="14"/>
      <c r="DW13" s="14"/>
      <c r="DX13" s="14"/>
      <c r="DY13" s="14"/>
      <c r="DZ13" s="14"/>
      <c r="EA13" s="14"/>
      <c r="EB13" s="14"/>
      <c r="EC13" s="14"/>
      <c r="ED13" s="14"/>
      <c r="EE13" s="14"/>
      <c r="EF13" s="14"/>
      <c r="EG13" s="14"/>
      <c r="EH13" s="14"/>
      <c r="EI13" s="14"/>
      <c r="EJ13" s="14"/>
      <c r="EK13" s="14"/>
      <c r="EL13" s="14"/>
      <c r="EM13" s="14"/>
      <c r="EN13" s="14"/>
      <c r="EO13" s="14"/>
      <c r="EP13" s="14"/>
      <c r="EQ13" s="14"/>
      <c r="ER13" s="14"/>
      <c r="ES13" s="14"/>
      <c r="ET13" s="14"/>
      <c r="EU13" s="14"/>
      <c r="EV13" s="14"/>
      <c r="EW13" s="14"/>
      <c r="EX13" s="14"/>
      <c r="EY13" s="14"/>
      <c r="EZ13" s="14"/>
      <c r="FA13" s="14"/>
      <c r="FB13" s="14"/>
      <c r="FC13" s="14"/>
      <c r="FD13" s="14"/>
      <c r="FE13" s="14"/>
      <c r="FF13" s="14"/>
      <c r="FG13" s="14"/>
      <c r="FH13" s="14"/>
      <c r="FI13" s="14"/>
      <c r="FJ13" s="14"/>
      <c r="FK13" s="14"/>
      <c r="FL13" s="14"/>
      <c r="FM13" s="14"/>
      <c r="FN13" s="14"/>
      <c r="FO13" s="14"/>
      <c r="FP13" s="14"/>
      <c r="FQ13" s="14"/>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c r="HM13" s="14"/>
      <c r="HN13" s="14"/>
      <c r="HO13" s="14"/>
      <c r="HP13" s="14"/>
      <c r="HQ13" s="14"/>
      <c r="HR13" s="14"/>
      <c r="HS13" s="14"/>
      <c r="HT13" s="14"/>
    </row>
    <row r="14" spans="2:228" ht="15" customHeight="1" x14ac:dyDescent="0.2">
      <c r="B14" s="357" t="s">
        <v>1840</v>
      </c>
      <c r="C14" s="1944"/>
      <c r="D14" s="1945"/>
      <c r="E14" s="1996">
        <f>IF(AND(C14&lt;&gt;"",C14&lt;&gt;"NA",C13&lt;&gt;"NA",C13&lt;&gt;""),"ERROR",LETable!AT4)</f>
        <v>0</v>
      </c>
      <c r="F14" s="1997"/>
      <c r="G14" s="1704" t="str">
        <f>IF(E14="ERROR","Error: Cannot rate ROM and ankylosis.","")</f>
        <v/>
      </c>
      <c r="H14" s="1873"/>
      <c r="I14" s="1873"/>
      <c r="J14" s="1873"/>
      <c r="K14" s="1873"/>
      <c r="L14" s="1873"/>
      <c r="M14" s="1873"/>
      <c r="N14" s="1873"/>
      <c r="O14" s="1873"/>
      <c r="P14" s="1745"/>
      <c r="S14" s="1103">
        <v>30</v>
      </c>
      <c r="T14" s="896" t="str">
        <f>IF(OR(C14="",C14="NA"),"",IF(C14&gt;S14,S14,IF(C14&lt;0,0,C14)))</f>
        <v/>
      </c>
      <c r="U14" s="18"/>
      <c r="V14" s="73"/>
      <c r="W14" s="18"/>
      <c r="X14" s="18"/>
      <c r="Y14" s="63"/>
      <c r="Z14" s="63"/>
      <c r="AA14" s="63"/>
      <c r="AB14" s="63"/>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4"/>
      <c r="BR14" s="14"/>
      <c r="BS14" s="14"/>
      <c r="BT14" s="14"/>
      <c r="BU14" s="14"/>
      <c r="BV14" s="14"/>
      <c r="BW14" s="14"/>
      <c r="BX14" s="14"/>
      <c r="BY14" s="14"/>
      <c r="BZ14" s="14"/>
      <c r="CA14" s="14"/>
      <c r="CB14" s="14"/>
      <c r="CC14" s="14"/>
      <c r="CD14" s="14"/>
      <c r="CE14" s="14"/>
      <c r="CF14" s="14"/>
      <c r="CG14" s="14"/>
      <c r="CH14" s="14"/>
      <c r="CI14" s="14"/>
      <c r="CJ14" s="14"/>
      <c r="CK14" s="14"/>
      <c r="CL14" s="14"/>
      <c r="CM14" s="14"/>
      <c r="CN14" s="14"/>
      <c r="CO14" s="14"/>
      <c r="CP14" s="14"/>
      <c r="CQ14" s="14"/>
      <c r="CR14" s="14"/>
      <c r="CS14" s="14"/>
      <c r="CT14" s="14"/>
      <c r="CU14" s="14"/>
      <c r="CV14" s="14"/>
      <c r="CW14" s="14"/>
      <c r="CX14" s="14"/>
      <c r="CY14" s="14"/>
      <c r="CZ14" s="14"/>
      <c r="DA14" s="14"/>
      <c r="DB14" s="14"/>
      <c r="DC14" s="14"/>
      <c r="DD14" s="14"/>
      <c r="DE14" s="14"/>
      <c r="DF14" s="14"/>
      <c r="DG14" s="14"/>
      <c r="DH14" s="14"/>
      <c r="DI14" s="14"/>
      <c r="DJ14" s="14"/>
      <c r="DK14" s="14"/>
      <c r="DL14" s="14"/>
      <c r="DM14" s="14"/>
      <c r="DN14" s="14"/>
      <c r="DO14" s="14"/>
      <c r="DP14" s="14"/>
      <c r="DQ14" s="14"/>
      <c r="DR14" s="14"/>
      <c r="DS14" s="14"/>
      <c r="DT14" s="14"/>
      <c r="DU14" s="14"/>
      <c r="DV14" s="14"/>
      <c r="DW14" s="14"/>
      <c r="DX14" s="14"/>
      <c r="DY14" s="14"/>
      <c r="DZ14" s="14"/>
      <c r="EA14" s="14"/>
      <c r="EB14" s="14"/>
      <c r="EC14" s="14"/>
      <c r="ED14" s="14"/>
      <c r="EE14" s="14"/>
      <c r="EF14" s="14"/>
      <c r="EG14" s="14"/>
      <c r="EH14" s="14"/>
      <c r="EI14" s="14"/>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14"/>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c r="HM14" s="14"/>
      <c r="HN14" s="14"/>
      <c r="HO14" s="14"/>
      <c r="HP14" s="14"/>
      <c r="HQ14" s="14"/>
      <c r="HR14" s="14"/>
      <c r="HS14" s="14"/>
      <c r="HT14" s="14"/>
    </row>
    <row r="15" spans="2:228" ht="15" customHeight="1" x14ac:dyDescent="0.2">
      <c r="B15" s="357" t="s">
        <v>1841</v>
      </c>
      <c r="C15" s="1991"/>
      <c r="D15" s="1992"/>
      <c r="E15" s="1992"/>
      <c r="F15" s="1992"/>
      <c r="G15" s="1992"/>
      <c r="H15" s="1992"/>
      <c r="I15" s="1992"/>
      <c r="J15" s="1992"/>
      <c r="K15" s="1993"/>
      <c r="L15" s="1740" t="s">
        <v>1842</v>
      </c>
      <c r="M15" s="1741"/>
      <c r="N15" s="1742"/>
      <c r="O15" s="71">
        <f>IF(E14="ERROR","ERROR",IF(R15&gt;1,1,R15))</f>
        <v>0</v>
      </c>
      <c r="P15" s="1745"/>
      <c r="R15" s="242">
        <f>J13+E14</f>
        <v>0</v>
      </c>
      <c r="S15" s="18"/>
      <c r="T15" s="18"/>
      <c r="U15" s="18"/>
      <c r="V15" s="18"/>
      <c r="W15" s="18"/>
      <c r="X15" s="18"/>
      <c r="Y15" s="63"/>
      <c r="Z15" s="1111"/>
      <c r="AA15" s="1111"/>
      <c r="AB15" s="1111"/>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4"/>
      <c r="BR15" s="14"/>
      <c r="BS15" s="14"/>
      <c r="BT15" s="14"/>
      <c r="BU15" s="14"/>
      <c r="BV15" s="14"/>
      <c r="BW15" s="14"/>
      <c r="BX15" s="14"/>
      <c r="BY15" s="14"/>
      <c r="BZ15" s="14"/>
      <c r="CA15" s="14"/>
      <c r="CB15" s="14"/>
      <c r="CC15" s="14"/>
      <c r="CD15" s="14"/>
      <c r="CE15" s="14"/>
      <c r="CF15" s="14"/>
      <c r="CG15" s="14"/>
      <c r="CH15" s="14"/>
      <c r="CI15" s="14"/>
      <c r="CJ15" s="14"/>
      <c r="CK15" s="14"/>
      <c r="CL15" s="14"/>
      <c r="CM15" s="14"/>
      <c r="CN15" s="14"/>
      <c r="CO15" s="14"/>
      <c r="CP15" s="14"/>
      <c r="CQ15" s="14"/>
      <c r="CR15" s="14"/>
      <c r="CS15" s="14"/>
      <c r="CT15" s="14"/>
      <c r="CU15" s="14"/>
      <c r="CV15" s="14"/>
      <c r="CW15" s="14"/>
      <c r="CX15" s="14"/>
      <c r="CY15" s="14"/>
      <c r="CZ15" s="14"/>
      <c r="DA15" s="14"/>
      <c r="DB15" s="14"/>
      <c r="DC15" s="14"/>
      <c r="DD15" s="14"/>
      <c r="DE15" s="14"/>
      <c r="DF15" s="14"/>
      <c r="DG15" s="14"/>
      <c r="DH15" s="14"/>
      <c r="DI15" s="14"/>
      <c r="DJ15" s="14"/>
      <c r="DK15" s="14"/>
      <c r="DL15" s="14"/>
      <c r="DM15" s="14"/>
      <c r="DN15" s="14"/>
      <c r="DO15" s="14"/>
      <c r="DP15" s="14"/>
      <c r="DQ15" s="14"/>
      <c r="DR15" s="14"/>
      <c r="DS15" s="14"/>
      <c r="DT15" s="14"/>
      <c r="DU15" s="14"/>
      <c r="DV15" s="14"/>
      <c r="DW15" s="14"/>
      <c r="DX15" s="14"/>
      <c r="DY15" s="14"/>
      <c r="DZ15" s="14"/>
      <c r="EA15" s="14"/>
      <c r="EB15" s="14"/>
      <c r="EC15" s="14"/>
      <c r="ED15" s="14"/>
      <c r="EE15" s="14"/>
      <c r="EF15" s="14"/>
      <c r="EG15" s="14"/>
      <c r="EH15" s="14"/>
      <c r="EI15" s="14"/>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14"/>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c r="HM15" s="14"/>
      <c r="HN15" s="14"/>
      <c r="HO15" s="14"/>
      <c r="HP15" s="14"/>
      <c r="HQ15" s="14"/>
      <c r="HR15" s="14"/>
      <c r="HS15" s="14"/>
      <c r="HT15" s="14"/>
    </row>
    <row r="16" spans="2:228" ht="15" customHeight="1" x14ac:dyDescent="0.2">
      <c r="B16" s="358" t="s">
        <v>1335</v>
      </c>
      <c r="C16" s="1637"/>
      <c r="D16" s="1637"/>
      <c r="E16" s="1865">
        <f>LETable!AT6</f>
        <v>0</v>
      </c>
      <c r="F16" s="1865"/>
      <c r="G16" s="1345"/>
      <c r="H16" s="1501"/>
      <c r="I16" s="1501"/>
      <c r="J16" s="1869">
        <f>IF(C16="",0,IF(OR(C16&lt;=0,G16&lt;=0),E16,IF(G16&lt;C16,0,LETable!AY6)))</f>
        <v>0</v>
      </c>
      <c r="K16" s="1869"/>
      <c r="L16" s="1938" t="str">
        <f>IF(OR(C16="NA",G16="NA"),"",IF(AND(C16&lt;&gt;"",G16=""),"Enter contralateral or NA.",IF(AND(C16="",G16&lt;&gt;""),"Need data","")))</f>
        <v/>
      </c>
      <c r="M16" s="1938"/>
      <c r="N16" s="1938"/>
      <c r="O16" s="1938"/>
      <c r="P16" s="1745"/>
      <c r="S16" s="1103">
        <v>50</v>
      </c>
      <c r="T16" s="896" t="str">
        <f>IF(OR(C16="",C16="NA"),"",IF(C16&gt;S16,S16,IF(C16&lt;0,0,C16)))</f>
        <v/>
      </c>
      <c r="U16" s="896" t="str">
        <f>IF(OR(G16="",G16="NA"),"",IF(G16&gt;S16,S16,IF(G16&lt;0,0,G16)))</f>
        <v/>
      </c>
      <c r="V16" s="696" t="str">
        <f>IF(W16="","",ROUND(W16,0))</f>
        <v/>
      </c>
      <c r="W16" s="697" t="str">
        <f>IF(T16="","",IF(OR(U16="",U16=0,U16&lt;T16),T16,(T16*S16)/U16))</f>
        <v/>
      </c>
      <c r="X16" s="18"/>
      <c r="Y16" s="63"/>
      <c r="Z16" s="1120"/>
      <c r="AA16" s="1120"/>
      <c r="AB16" s="1120"/>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4"/>
      <c r="BR16" s="14"/>
      <c r="BS16" s="14"/>
      <c r="BT16" s="14"/>
      <c r="BU16" s="14"/>
      <c r="BV16" s="14"/>
      <c r="BW16" s="14"/>
      <c r="BX16" s="14"/>
      <c r="BY16" s="14"/>
      <c r="BZ16" s="14"/>
      <c r="CA16" s="14"/>
      <c r="CB16" s="14"/>
      <c r="CC16" s="14"/>
      <c r="CD16" s="14"/>
      <c r="CE16" s="14"/>
      <c r="CF16" s="14"/>
      <c r="CG16" s="14"/>
      <c r="CH16" s="14"/>
      <c r="CI16" s="14"/>
      <c r="CJ16" s="14"/>
      <c r="CK16" s="14"/>
      <c r="CL16" s="14"/>
      <c r="CM16" s="14"/>
      <c r="CN16" s="14"/>
      <c r="CO16" s="14"/>
      <c r="CP16" s="14"/>
      <c r="CQ16" s="14"/>
      <c r="CR16" s="14"/>
      <c r="CS16" s="14"/>
      <c r="CT16" s="14"/>
      <c r="CU16" s="14"/>
      <c r="CV16" s="14"/>
      <c r="CW16" s="14"/>
      <c r="CX16" s="14"/>
      <c r="CY16" s="14"/>
      <c r="CZ16" s="14"/>
      <c r="DA16" s="14"/>
      <c r="DB16" s="14"/>
      <c r="DC16" s="14"/>
      <c r="DD16" s="14"/>
      <c r="DE16" s="14"/>
      <c r="DF16" s="14"/>
      <c r="DG16" s="14"/>
      <c r="DH16" s="14"/>
      <c r="DI16" s="14"/>
      <c r="DJ16" s="14"/>
      <c r="DK16" s="14"/>
      <c r="DL16" s="14"/>
      <c r="DM16" s="14"/>
      <c r="DN16" s="14"/>
      <c r="DO16" s="14"/>
      <c r="DP16" s="14"/>
      <c r="DQ16" s="14"/>
      <c r="DR16" s="14"/>
      <c r="DS16" s="14"/>
      <c r="DT16" s="14"/>
      <c r="DU16" s="14"/>
      <c r="DV16" s="14"/>
      <c r="DW16" s="14"/>
      <c r="DX16" s="14"/>
      <c r="DY16" s="14"/>
      <c r="DZ16" s="14"/>
      <c r="EA16" s="14"/>
      <c r="EB16" s="14"/>
      <c r="EC16" s="14"/>
      <c r="ED16" s="14"/>
      <c r="EE16" s="14"/>
      <c r="EF16" s="14"/>
      <c r="EG16" s="14"/>
      <c r="EH16" s="14"/>
      <c r="EI16" s="14"/>
      <c r="EJ16" s="14"/>
      <c r="EK16" s="14"/>
      <c r="EL16" s="14"/>
      <c r="EM16" s="14"/>
      <c r="EN16" s="14"/>
      <c r="EO16" s="14"/>
      <c r="EP16" s="14"/>
      <c r="EQ16" s="14"/>
      <c r="ER16" s="14"/>
      <c r="ES16" s="14"/>
      <c r="ET16" s="14"/>
      <c r="EU16" s="14"/>
      <c r="EV16" s="14"/>
      <c r="EW16" s="14"/>
      <c r="EX16" s="14"/>
      <c r="EY16" s="14"/>
      <c r="EZ16" s="14"/>
      <c r="FA16" s="14"/>
      <c r="FB16" s="14"/>
      <c r="FC16" s="14"/>
      <c r="FD16" s="14"/>
      <c r="FE16" s="14"/>
      <c r="FF16" s="14"/>
      <c r="FG16" s="14"/>
      <c r="FH16" s="14"/>
      <c r="FI16" s="14"/>
      <c r="FJ16" s="14"/>
      <c r="FK16" s="14"/>
      <c r="FL16" s="14"/>
      <c r="FM16" s="14"/>
      <c r="FN16" s="14"/>
      <c r="FO16" s="14"/>
      <c r="FP16" s="14"/>
      <c r="FQ16" s="14"/>
      <c r="FR16" s="14"/>
      <c r="FS16" s="14"/>
      <c r="FT16" s="14"/>
      <c r="FU16" s="14"/>
      <c r="FV16" s="14"/>
      <c r="FW16" s="14"/>
      <c r="FX16" s="14"/>
      <c r="FY16" s="14"/>
      <c r="FZ16" s="14"/>
      <c r="GA16" s="14"/>
      <c r="GB16" s="14"/>
      <c r="GC16" s="14"/>
      <c r="GD16" s="14"/>
      <c r="GE16" s="14"/>
      <c r="GF16" s="14"/>
      <c r="GG16" s="14"/>
      <c r="GH16" s="14"/>
      <c r="GI16" s="14"/>
      <c r="GJ16" s="14"/>
      <c r="GK16" s="14"/>
      <c r="GL16" s="14"/>
      <c r="GM16" s="14"/>
      <c r="GN16" s="14"/>
      <c r="GO16" s="14"/>
      <c r="GP16" s="14"/>
      <c r="GQ16" s="14"/>
      <c r="GR16" s="14"/>
      <c r="GS16" s="14"/>
      <c r="GT16" s="14"/>
      <c r="GU16" s="14"/>
      <c r="GV16" s="14"/>
      <c r="GW16" s="14"/>
      <c r="GX16" s="14"/>
      <c r="GY16" s="14"/>
      <c r="GZ16" s="14"/>
      <c r="HA16" s="14"/>
      <c r="HB16" s="14"/>
      <c r="HC16" s="14"/>
      <c r="HD16" s="14"/>
      <c r="HE16" s="14"/>
      <c r="HF16" s="14"/>
      <c r="HG16" s="14"/>
      <c r="HH16" s="14"/>
      <c r="HI16" s="14"/>
      <c r="HJ16" s="14"/>
      <c r="HK16" s="14"/>
      <c r="HL16" s="14"/>
      <c r="HM16" s="14"/>
      <c r="HN16" s="14"/>
      <c r="HO16" s="14"/>
      <c r="HP16" s="14"/>
      <c r="HQ16" s="14"/>
      <c r="HR16" s="14"/>
      <c r="HS16" s="14"/>
      <c r="HT16" s="14"/>
    </row>
    <row r="17" spans="1:228" ht="15" customHeight="1" x14ac:dyDescent="0.2">
      <c r="B17" s="358" t="s">
        <v>1336</v>
      </c>
      <c r="C17" s="1952"/>
      <c r="D17" s="1952"/>
      <c r="E17" s="1865">
        <f>IF(AND(C17&lt;&gt;"",C17&lt;&gt;"NA",C16&lt;&gt;"NA",C16&lt;&gt;""),"ERROR",IF(AND(C17&lt;&gt;"",C17&lt;&gt;"NA",C18&lt;&gt;"",C18&lt;&gt;"NA"),"ERROR",LETable!AT7))</f>
        <v>0</v>
      </c>
      <c r="F17" s="1865"/>
      <c r="G17" s="1556" t="str">
        <f>IF(E17="ERROR","Error: Cannot rate ROM and ankylosis.","")</f>
        <v/>
      </c>
      <c r="H17" s="1556"/>
      <c r="I17" s="1556"/>
      <c r="J17" s="1556"/>
      <c r="K17" s="1556"/>
      <c r="L17" s="1556"/>
      <c r="M17" s="1556"/>
      <c r="N17" s="1556"/>
      <c r="O17" s="1556"/>
      <c r="P17" s="1745"/>
      <c r="R17" s="18"/>
      <c r="S17" s="896">
        <v>50</v>
      </c>
      <c r="T17" s="896" t="str">
        <f>IF(OR(C17="",C17="NA"),"",IF(C17&gt;S17,S17,IF(C17&lt;0,0,C17)))</f>
        <v/>
      </c>
      <c r="U17" s="18"/>
      <c r="V17" s="18"/>
      <c r="W17" s="18"/>
      <c r="X17" s="18"/>
      <c r="Y17" s="63"/>
      <c r="Z17" s="63"/>
      <c r="AA17" s="63"/>
      <c r="AB17" s="63"/>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4"/>
      <c r="BR17" s="14"/>
      <c r="BS17" s="14"/>
      <c r="BT17" s="14"/>
      <c r="BU17" s="14"/>
      <c r="BV17" s="14"/>
      <c r="BW17" s="14"/>
      <c r="BX17" s="14"/>
      <c r="BY17" s="14"/>
      <c r="BZ17" s="14"/>
      <c r="CA17" s="14"/>
      <c r="CB17" s="14"/>
      <c r="CC17" s="14"/>
      <c r="CD17" s="14"/>
      <c r="CE17" s="14"/>
      <c r="CF17" s="14"/>
      <c r="CG17" s="14"/>
      <c r="CH17" s="14"/>
      <c r="CI17" s="14"/>
      <c r="CJ17" s="14"/>
      <c r="CK17" s="14"/>
      <c r="CL17" s="14"/>
      <c r="CM17" s="14"/>
      <c r="CN17" s="14"/>
      <c r="CO17" s="14"/>
      <c r="CP17" s="14"/>
      <c r="CQ17" s="14"/>
      <c r="CR17" s="14"/>
      <c r="CS17" s="14"/>
      <c r="CT17" s="14"/>
      <c r="CU17" s="14"/>
      <c r="CV17" s="14"/>
      <c r="CW17" s="14"/>
      <c r="CX17" s="14"/>
      <c r="CY17" s="14"/>
      <c r="CZ17" s="14"/>
      <c r="DA17" s="14"/>
      <c r="DB17" s="14"/>
      <c r="DC17" s="14"/>
      <c r="DD17" s="14"/>
      <c r="DE17" s="14"/>
      <c r="DF17" s="14"/>
      <c r="DG17" s="14"/>
      <c r="DH17" s="14"/>
      <c r="DI17" s="14"/>
      <c r="DJ17" s="14"/>
      <c r="DK17" s="14"/>
      <c r="DL17" s="14"/>
      <c r="DM17" s="14"/>
      <c r="DN17" s="14"/>
      <c r="DO17" s="14"/>
      <c r="DP17" s="14"/>
      <c r="DQ17" s="14"/>
      <c r="DR17" s="14"/>
      <c r="DS17" s="14"/>
      <c r="DT17" s="14"/>
      <c r="DU17" s="14"/>
      <c r="DV17" s="14"/>
      <c r="DW17" s="14"/>
      <c r="DX17" s="14"/>
      <c r="DY17" s="14"/>
      <c r="DZ17" s="14"/>
      <c r="EA17" s="14"/>
      <c r="EB17" s="14"/>
      <c r="EC17" s="14"/>
      <c r="ED17" s="14"/>
      <c r="EE17" s="14"/>
      <c r="EF17" s="14"/>
      <c r="EG17" s="14"/>
      <c r="EH17" s="14"/>
      <c r="EI17" s="14"/>
      <c r="EJ17" s="14"/>
      <c r="EK17" s="14"/>
      <c r="EL17" s="14"/>
      <c r="EM17" s="14"/>
      <c r="EN17" s="14"/>
      <c r="EO17" s="14"/>
      <c r="EP17" s="14"/>
      <c r="EQ17" s="14"/>
      <c r="ER17" s="14"/>
      <c r="ES17" s="14"/>
      <c r="ET17" s="14"/>
      <c r="EU17" s="14"/>
      <c r="EV17" s="14"/>
      <c r="EW17" s="14"/>
      <c r="EX17" s="14"/>
      <c r="EY17" s="14"/>
      <c r="EZ17" s="14"/>
      <c r="FA17" s="14"/>
      <c r="FB17" s="14"/>
      <c r="FC17" s="14"/>
      <c r="FD17" s="14"/>
      <c r="FE17" s="14"/>
      <c r="FF17" s="14"/>
      <c r="FG17" s="14"/>
      <c r="FH17" s="14"/>
      <c r="FI17" s="14"/>
      <c r="FJ17" s="14"/>
      <c r="FK17" s="14"/>
      <c r="FL17" s="14"/>
      <c r="FM17" s="14"/>
      <c r="FN17" s="14"/>
      <c r="FO17" s="14"/>
      <c r="FP17" s="14"/>
      <c r="FQ17" s="14"/>
      <c r="FR17" s="14"/>
      <c r="FS17" s="14"/>
      <c r="FT17" s="14"/>
      <c r="FU17" s="14"/>
      <c r="FV17" s="14"/>
      <c r="FW17" s="14"/>
      <c r="FX17" s="14"/>
      <c r="FY17" s="14"/>
      <c r="FZ17" s="14"/>
      <c r="GA17" s="14"/>
      <c r="GB17" s="14"/>
      <c r="GC17" s="14"/>
      <c r="GD17" s="14"/>
      <c r="GE17" s="14"/>
      <c r="GF17" s="14"/>
      <c r="GG17" s="14"/>
      <c r="GH17" s="14"/>
      <c r="GI17" s="14"/>
      <c r="GJ17" s="14"/>
      <c r="GK17" s="14"/>
      <c r="GL17" s="14"/>
      <c r="GM17" s="14"/>
      <c r="GN17" s="14"/>
      <c r="GO17" s="14"/>
      <c r="GP17" s="14"/>
      <c r="GQ17" s="14"/>
      <c r="GR17" s="14"/>
      <c r="GS17" s="14"/>
      <c r="GT17" s="14"/>
      <c r="GU17" s="14"/>
      <c r="GV17" s="14"/>
      <c r="GW17" s="14"/>
      <c r="GX17" s="14"/>
      <c r="GY17" s="14"/>
      <c r="GZ17" s="14"/>
      <c r="HA17" s="14"/>
      <c r="HB17" s="14"/>
      <c r="HC17" s="14"/>
      <c r="HD17" s="14"/>
      <c r="HE17" s="14"/>
      <c r="HF17" s="14"/>
      <c r="HG17" s="14"/>
      <c r="HH17" s="14"/>
      <c r="HI17" s="14"/>
      <c r="HJ17" s="14"/>
      <c r="HK17" s="14"/>
      <c r="HL17" s="14"/>
      <c r="HM17" s="14"/>
      <c r="HN17" s="14"/>
      <c r="HO17" s="14"/>
      <c r="HP17" s="14"/>
      <c r="HQ17" s="14"/>
      <c r="HR17" s="14"/>
      <c r="HS17" s="14"/>
      <c r="HT17" s="14"/>
    </row>
    <row r="18" spans="1:228" ht="15" customHeight="1" x14ac:dyDescent="0.2">
      <c r="B18" s="156" t="s">
        <v>1256</v>
      </c>
      <c r="C18" s="1952"/>
      <c r="D18" s="1952"/>
      <c r="E18" s="1865">
        <f>LETable!AT8</f>
        <v>0</v>
      </c>
      <c r="F18" s="1865"/>
      <c r="G18" s="1345"/>
      <c r="H18" s="1501"/>
      <c r="I18" s="1501"/>
      <c r="J18" s="1869">
        <f>IF(C18="",0,IF(OR(C18&lt;=0,G18&lt;=0),E18,IF(G18&lt;C18,0,LETable!AY8)))</f>
        <v>0</v>
      </c>
      <c r="K18" s="1869"/>
      <c r="L18" s="1938" t="str">
        <f>IF(OR(C18="NA",G18="NA"),"",IF(AND(C18&lt;&gt;"",G18=""),"Enter contralateral or NA.",IF(AND(C18="",G18&lt;&gt;""),"Need data","")))</f>
        <v/>
      </c>
      <c r="M18" s="1938"/>
      <c r="N18" s="1938"/>
      <c r="O18" s="1938"/>
      <c r="P18" s="1745"/>
      <c r="R18" s="18"/>
      <c r="S18" s="896">
        <v>30</v>
      </c>
      <c r="T18" s="896" t="str">
        <f>IF(OR(C18="",C18="NA"),"",IF(C18&gt;S18,S18,IF(C18&lt;0,0,C18)))</f>
        <v/>
      </c>
      <c r="U18" s="896" t="str">
        <f>IF(OR(G18="",G18="NA"),"",IF(G18&gt;S18,S18,IF(G18&lt;0,0,G18)))</f>
        <v/>
      </c>
      <c r="V18" s="696" t="str">
        <f>IF(W18="","",ROUND(W18,0))</f>
        <v/>
      </c>
      <c r="W18" s="697" t="str">
        <f>IF(T18="","",IF(OR(U18="",U18=0,U18&lt;T18),T18,(T18*S18)/U18))</f>
        <v/>
      </c>
      <c r="X18" s="18"/>
      <c r="Y18" s="1103" t="s">
        <v>1307</v>
      </c>
      <c r="Z18" s="1103" t="s">
        <v>1305</v>
      </c>
      <c r="AA18" s="1103" t="s">
        <v>1306</v>
      </c>
      <c r="AB18" s="1103" t="s">
        <v>1307</v>
      </c>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4"/>
      <c r="BR18" s="14"/>
      <c r="BS18" s="14"/>
      <c r="BT18" s="14"/>
      <c r="BU18" s="14"/>
      <c r="BV18" s="14"/>
      <c r="BW18" s="14"/>
      <c r="BX18" s="14"/>
      <c r="BY18" s="14"/>
      <c r="BZ18" s="14"/>
      <c r="CA18" s="14"/>
      <c r="CB18" s="14"/>
      <c r="CC18" s="14"/>
      <c r="CD18" s="14"/>
      <c r="CE18" s="14"/>
      <c r="CF18" s="14"/>
      <c r="CG18" s="14"/>
      <c r="CH18" s="14"/>
      <c r="CI18" s="14"/>
      <c r="CJ18" s="14"/>
      <c r="CK18" s="14"/>
      <c r="CL18" s="14"/>
      <c r="CM18" s="14"/>
      <c r="CN18" s="14"/>
      <c r="CO18" s="14"/>
      <c r="CP18" s="14"/>
      <c r="CQ18" s="14"/>
      <c r="CR18" s="14"/>
      <c r="CS18" s="14"/>
      <c r="CT18" s="14"/>
      <c r="CU18" s="14"/>
      <c r="CV18" s="14"/>
      <c r="CW18" s="14"/>
      <c r="CX18" s="14"/>
      <c r="CY18" s="14"/>
      <c r="CZ18" s="14"/>
      <c r="DA18" s="14"/>
      <c r="DB18" s="14"/>
      <c r="DC18" s="14"/>
      <c r="DD18" s="14"/>
      <c r="DE18" s="14"/>
      <c r="DF18" s="14"/>
      <c r="DG18" s="14"/>
      <c r="DH18" s="14"/>
      <c r="DI18" s="14"/>
      <c r="DJ18" s="14"/>
      <c r="DK18" s="14"/>
      <c r="DL18" s="14"/>
      <c r="DM18" s="14"/>
      <c r="DN18" s="14"/>
      <c r="DO18" s="14"/>
      <c r="DP18" s="14"/>
      <c r="DQ18" s="14"/>
      <c r="DR18" s="14"/>
      <c r="DS18" s="14"/>
      <c r="DT18" s="14"/>
      <c r="DU18" s="14"/>
      <c r="DV18" s="14"/>
      <c r="DW18" s="14"/>
      <c r="DX18" s="14"/>
      <c r="DY18" s="14"/>
      <c r="DZ18" s="14"/>
      <c r="EA18" s="14"/>
      <c r="EB18" s="14"/>
      <c r="EC18" s="14"/>
      <c r="ED18" s="14"/>
      <c r="EE18" s="14"/>
      <c r="EF18" s="14"/>
      <c r="EG18" s="14"/>
      <c r="EH18" s="14"/>
      <c r="EI18" s="14"/>
      <c r="EJ18" s="14"/>
      <c r="EK18" s="14"/>
      <c r="EL18" s="14"/>
      <c r="EM18" s="14"/>
      <c r="EN18" s="14"/>
      <c r="EO18" s="14"/>
      <c r="EP18" s="14"/>
      <c r="EQ18" s="14"/>
      <c r="ER18" s="14"/>
      <c r="ES18" s="14"/>
      <c r="ET18" s="14"/>
      <c r="EU18" s="14"/>
      <c r="EV18" s="14"/>
      <c r="EW18" s="14"/>
      <c r="EX18" s="14"/>
      <c r="EY18" s="14"/>
      <c r="EZ18" s="14"/>
      <c r="FA18" s="14"/>
      <c r="FB18" s="14"/>
      <c r="FC18" s="14"/>
      <c r="FD18" s="14"/>
      <c r="FE18" s="14"/>
      <c r="FF18" s="14"/>
      <c r="FG18" s="14"/>
      <c r="FH18" s="14"/>
      <c r="FI18" s="14"/>
      <c r="FJ18" s="14"/>
      <c r="FK18" s="14"/>
      <c r="FL18" s="14"/>
      <c r="FM18" s="14"/>
      <c r="FN18" s="14"/>
      <c r="FO18" s="14"/>
      <c r="FP18" s="14"/>
      <c r="FQ18" s="14"/>
      <c r="FR18" s="14"/>
      <c r="FS18" s="14"/>
      <c r="FT18" s="14"/>
      <c r="FU18" s="14"/>
      <c r="FV18" s="14"/>
      <c r="FW18" s="14"/>
      <c r="FX18" s="14"/>
      <c r="FY18" s="14"/>
      <c r="FZ18" s="14"/>
      <c r="GA18" s="14"/>
      <c r="GB18" s="14"/>
      <c r="GC18" s="14"/>
      <c r="GD18" s="14"/>
      <c r="GE18" s="14"/>
      <c r="GF18" s="14"/>
      <c r="GG18" s="14"/>
      <c r="GH18" s="14"/>
      <c r="GI18" s="14"/>
      <c r="GJ18" s="14"/>
      <c r="GK18" s="14"/>
      <c r="GL18" s="14"/>
      <c r="GM18" s="14"/>
      <c r="GN18" s="14"/>
      <c r="GO18" s="14"/>
      <c r="GP18" s="14"/>
      <c r="GQ18" s="14"/>
      <c r="GR18" s="14"/>
      <c r="GS18" s="14"/>
      <c r="GT18" s="14"/>
      <c r="GU18" s="14"/>
      <c r="GV18" s="14"/>
      <c r="GW18" s="14"/>
      <c r="GX18" s="14"/>
      <c r="GY18" s="14"/>
      <c r="GZ18" s="14"/>
      <c r="HA18" s="14"/>
      <c r="HB18" s="14"/>
      <c r="HC18" s="14"/>
      <c r="HD18" s="14"/>
      <c r="HE18" s="14"/>
      <c r="HF18" s="14"/>
      <c r="HG18" s="14"/>
      <c r="HH18" s="14"/>
      <c r="HI18" s="14"/>
      <c r="HJ18" s="14"/>
      <c r="HK18" s="14"/>
      <c r="HL18" s="14"/>
      <c r="HM18" s="14"/>
      <c r="HN18" s="14"/>
      <c r="HO18" s="14"/>
      <c r="HP18" s="14"/>
      <c r="HQ18" s="14"/>
      <c r="HR18" s="14"/>
      <c r="HS18" s="14"/>
      <c r="HT18" s="14"/>
    </row>
    <row r="19" spans="1:228" ht="15" customHeight="1" x14ac:dyDescent="0.2">
      <c r="B19" s="357" t="s">
        <v>1840</v>
      </c>
      <c r="C19" s="1944"/>
      <c r="D19" s="1945"/>
      <c r="E19" s="1865">
        <f>IF(AND(C19&lt;&gt;"",C19&lt;&gt;"NA",C18&lt;&gt;"NA",C18&lt;&gt;""),"ERROR",IF(AND(C19&lt;&gt;"",C19&lt;&gt;"NA",C16&lt;&gt;"",C16&lt;&gt;"NA"),"ERROR",LETable!AT9))</f>
        <v>0</v>
      </c>
      <c r="F19" s="1865"/>
      <c r="G19" s="1866" t="str">
        <f>IF(E19="ERROR","Error: Cannot rate ROM and ankylosis.",IF(AND(C17&lt;&gt;"",C17&lt;&gt;"NA",C19&lt;&gt;"",C19&lt;&gt;"NA"),"Multiple ankylosis values; use higher value only.",""))</f>
        <v/>
      </c>
      <c r="H19" s="1867"/>
      <c r="I19" s="1867"/>
      <c r="J19" s="1867"/>
      <c r="K19" s="1867"/>
      <c r="L19" s="1867"/>
      <c r="M19" s="1867"/>
      <c r="N19" s="1867"/>
      <c r="O19" s="1868"/>
      <c r="P19" s="1745"/>
      <c r="R19" s="18"/>
      <c r="S19" s="896">
        <v>30</v>
      </c>
      <c r="T19" s="896" t="str">
        <f>IF(OR(C19="",C19="NA"),"",IF(C19&gt;S19,S19,IF(C19&lt;0,0,C19)))</f>
        <v/>
      </c>
      <c r="U19" s="18"/>
      <c r="V19" s="18"/>
      <c r="W19" s="18"/>
      <c r="X19" s="18"/>
      <c r="Y19" s="1112">
        <f>IF(AND(Y12&gt;0,Y12&lt;0.01),0.01,ROUND(Y12,2))</f>
        <v>0</v>
      </c>
      <c r="Z19" s="1118">
        <f>LARGE(Y19:Y20,1)</f>
        <v>0</v>
      </c>
      <c r="AA19" s="684">
        <f>Z19+Z20*(1-Z19)</f>
        <v>0</v>
      </c>
      <c r="AB19" s="684">
        <f>ROUND(AA19,2)</f>
        <v>0</v>
      </c>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4"/>
      <c r="CZ19" s="14"/>
      <c r="DA19" s="14"/>
      <c r="DB19" s="14"/>
      <c r="DC19" s="14"/>
      <c r="DD19" s="14"/>
      <c r="DE19" s="14"/>
      <c r="DF19" s="14"/>
      <c r="DG19" s="14"/>
      <c r="DH19" s="14"/>
      <c r="DI19" s="14"/>
      <c r="DJ19" s="14"/>
      <c r="DK19" s="14"/>
      <c r="DL19" s="14"/>
      <c r="DM19" s="14"/>
      <c r="DN19" s="14"/>
      <c r="DO19" s="14"/>
      <c r="DP19" s="14"/>
      <c r="DQ19" s="14"/>
      <c r="DR19" s="14"/>
      <c r="DS19" s="14"/>
      <c r="DT19" s="14"/>
      <c r="DU19" s="14"/>
      <c r="DV19" s="14"/>
      <c r="DW19" s="14"/>
      <c r="DX19" s="14"/>
      <c r="DY19" s="14"/>
      <c r="DZ19" s="14"/>
      <c r="EA19" s="14"/>
      <c r="EB19" s="14"/>
      <c r="EC19" s="14"/>
      <c r="ED19" s="14"/>
      <c r="EE19" s="14"/>
      <c r="EF19" s="14"/>
      <c r="EG19" s="14"/>
      <c r="EH19" s="14"/>
      <c r="EI19" s="14"/>
      <c r="EJ19" s="14"/>
      <c r="EK19" s="14"/>
      <c r="EL19" s="14"/>
      <c r="EM19" s="14"/>
      <c r="EN19" s="14"/>
      <c r="EO19" s="14"/>
      <c r="EP19" s="14"/>
      <c r="EQ19" s="14"/>
      <c r="ER19" s="14"/>
      <c r="ES19" s="14"/>
      <c r="ET19" s="14"/>
      <c r="EU19" s="14"/>
      <c r="EV19" s="14"/>
      <c r="EW19" s="14"/>
      <c r="EX19" s="14"/>
      <c r="EY19" s="14"/>
      <c r="EZ19" s="14"/>
      <c r="FA19" s="14"/>
      <c r="FB19" s="14"/>
      <c r="FC19" s="14"/>
      <c r="FD19" s="14"/>
      <c r="FE19" s="14"/>
      <c r="FF19" s="14"/>
      <c r="FG19" s="14"/>
      <c r="FH19" s="14"/>
      <c r="FI19" s="14"/>
      <c r="FJ19" s="14"/>
      <c r="FK19" s="14"/>
      <c r="FL19" s="14"/>
      <c r="FM19" s="14"/>
      <c r="FN19" s="14"/>
      <c r="FO19" s="14"/>
      <c r="FP19" s="14"/>
      <c r="FQ19" s="14"/>
      <c r="FR19" s="14"/>
      <c r="FS19" s="14"/>
      <c r="FT19" s="14"/>
      <c r="FU19" s="14"/>
      <c r="FV19" s="14"/>
      <c r="FW19" s="14"/>
      <c r="FX19" s="14"/>
      <c r="FY19" s="14"/>
      <c r="FZ19" s="14"/>
      <c r="GA19" s="14"/>
      <c r="GB19" s="14"/>
      <c r="GC19" s="14"/>
      <c r="GD19" s="14"/>
      <c r="GE19" s="14"/>
      <c r="GF19" s="14"/>
      <c r="GG19" s="14"/>
      <c r="GH19" s="14"/>
      <c r="GI19" s="14"/>
      <c r="GJ19" s="14"/>
      <c r="GK19" s="14"/>
      <c r="GL19" s="14"/>
      <c r="GM19" s="14"/>
      <c r="GN19" s="14"/>
      <c r="GO19" s="14"/>
      <c r="GP19" s="14"/>
      <c r="GQ19" s="14"/>
      <c r="GR19" s="14"/>
      <c r="GS19" s="14"/>
      <c r="GT19" s="14"/>
      <c r="GU19" s="14"/>
      <c r="GV19" s="14"/>
      <c r="GW19" s="14"/>
      <c r="GX19" s="14"/>
      <c r="GY19" s="14"/>
      <c r="GZ19" s="14"/>
      <c r="HA19" s="14"/>
      <c r="HB19" s="14"/>
      <c r="HC19" s="14"/>
      <c r="HD19" s="14"/>
      <c r="HE19" s="14"/>
      <c r="HF19" s="14"/>
      <c r="HG19" s="14"/>
      <c r="HH19" s="14"/>
      <c r="HI19" s="14"/>
      <c r="HJ19" s="14"/>
      <c r="HK19" s="14"/>
      <c r="HL19" s="14"/>
      <c r="HM19" s="14"/>
      <c r="HN19" s="14"/>
      <c r="HO19" s="14"/>
      <c r="HP19" s="14"/>
      <c r="HQ19" s="14"/>
      <c r="HR19" s="14"/>
      <c r="HS19" s="14"/>
      <c r="HT19" s="14"/>
    </row>
    <row r="20" spans="1:228" ht="21" customHeight="1" x14ac:dyDescent="0.2">
      <c r="B20" s="1045"/>
      <c r="C20" s="1046"/>
      <c r="D20" s="1046"/>
      <c r="E20" s="1571" t="str">
        <f>IF(AND(OR(E14&gt;0,W20&gt;0),C21&gt;0),"Note: Ankylosis impairment is not apportioned.","")</f>
        <v/>
      </c>
      <c r="F20" s="1572"/>
      <c r="G20" s="1572"/>
      <c r="H20" s="1572"/>
      <c r="I20" s="1572"/>
      <c r="J20" s="1573"/>
      <c r="K20" s="1740" t="s">
        <v>1842</v>
      </c>
      <c r="L20" s="1741"/>
      <c r="M20" s="1741"/>
      <c r="N20" s="1742"/>
      <c r="O20" s="71">
        <f>IF(OR(E17="ERROR",E19="ERROR"),"ERROR",IF(R20&gt;1,1,R20))</f>
        <v>0</v>
      </c>
      <c r="P20" s="1746"/>
      <c r="R20" s="242">
        <f>SUM(J16,J18,W20)</f>
        <v>0</v>
      </c>
      <c r="S20" s="18"/>
      <c r="T20" s="18"/>
      <c r="U20" s="18"/>
      <c r="V20" s="18"/>
      <c r="W20" s="747">
        <f>IF(AND(E17&lt;&gt;"ERROR",E19&lt;&gt;"ERROR",C19&lt;&gt;"",E19&lt;&gt;""),MAX(E17,E19),E17+E19)</f>
        <v>0</v>
      </c>
      <c r="X20" s="18"/>
      <c r="Y20" s="1112">
        <f>IF(AND(Z12&gt;0,Z12&lt;0.01),0.01,ROUND(Z12,2))</f>
        <v>0</v>
      </c>
      <c r="Z20" s="1118">
        <f>LARGE(Y19:Y20,2)</f>
        <v>0</v>
      </c>
      <c r="AA20" s="1111"/>
      <c r="AB20" s="1111"/>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14"/>
      <c r="CU20" s="14"/>
      <c r="CV20" s="14"/>
      <c r="CW20" s="14"/>
      <c r="CX20" s="14"/>
      <c r="CY20" s="14"/>
      <c r="CZ20" s="14"/>
      <c r="DA20" s="14"/>
      <c r="DB20" s="14"/>
      <c r="DC20" s="14"/>
      <c r="DD20" s="14"/>
      <c r="DE20" s="14"/>
      <c r="DF20" s="14"/>
      <c r="DG20" s="14"/>
      <c r="DH20" s="14"/>
      <c r="DI20" s="14"/>
      <c r="DJ20" s="14"/>
      <c r="DK20" s="14"/>
      <c r="DL20" s="14"/>
      <c r="DM20" s="14"/>
      <c r="DN20" s="14"/>
      <c r="DO20" s="14"/>
      <c r="DP20" s="14"/>
      <c r="DQ20" s="14"/>
      <c r="DR20" s="14"/>
      <c r="DS20" s="14"/>
      <c r="DT20" s="14"/>
      <c r="DU20" s="14"/>
      <c r="DV20" s="14"/>
      <c r="DW20" s="14"/>
      <c r="DX20" s="14"/>
      <c r="DY20" s="14"/>
      <c r="DZ20" s="14"/>
      <c r="EA20" s="14"/>
      <c r="EB20" s="14"/>
      <c r="EC20" s="14"/>
      <c r="ED20" s="14"/>
      <c r="EE20" s="14"/>
      <c r="EF20" s="14"/>
      <c r="EG20" s="14"/>
      <c r="EH20" s="14"/>
      <c r="EI20" s="14"/>
      <c r="EJ20" s="14"/>
      <c r="EK20" s="14"/>
      <c r="EL20" s="14"/>
      <c r="EM20" s="14"/>
      <c r="EN20" s="14"/>
      <c r="EO20" s="14"/>
      <c r="EP20" s="14"/>
      <c r="EQ20" s="14"/>
      <c r="ER20" s="14"/>
      <c r="ES20" s="14"/>
      <c r="ET20" s="14"/>
      <c r="EU20" s="14"/>
      <c r="EV20" s="14"/>
      <c r="EW20" s="14"/>
      <c r="EX20" s="14"/>
      <c r="EY20" s="14"/>
      <c r="EZ20" s="14"/>
      <c r="FA20" s="14"/>
      <c r="FB20" s="14"/>
      <c r="FC20" s="14"/>
      <c r="FD20" s="14"/>
      <c r="FE20" s="14"/>
      <c r="FF20" s="14"/>
      <c r="FG20" s="14"/>
      <c r="FH20" s="14"/>
      <c r="FI20" s="14"/>
      <c r="FJ20" s="14"/>
      <c r="FK20" s="14"/>
      <c r="FL20" s="14"/>
      <c r="FM20" s="14"/>
      <c r="FN20" s="14"/>
      <c r="FO20" s="14"/>
      <c r="FP20" s="14"/>
      <c r="FQ20" s="14"/>
      <c r="FR20" s="14"/>
      <c r="FS20" s="14"/>
      <c r="FT20" s="14"/>
      <c r="FU20" s="14"/>
      <c r="FV20" s="14"/>
      <c r="FW20" s="14"/>
      <c r="FX20" s="14"/>
      <c r="FY20" s="14"/>
      <c r="FZ20" s="14"/>
      <c r="GA20" s="14"/>
      <c r="GB20" s="14"/>
      <c r="GC20" s="14"/>
      <c r="GD20" s="14"/>
      <c r="GE20" s="14"/>
      <c r="GF20" s="14"/>
      <c r="GG20" s="14"/>
      <c r="GH20" s="14"/>
      <c r="GI20" s="14"/>
      <c r="GJ20" s="14"/>
      <c r="GK20" s="14"/>
      <c r="GL20" s="14"/>
      <c r="GM20" s="14"/>
      <c r="GN20" s="14"/>
      <c r="GO20" s="14"/>
      <c r="GP20" s="14"/>
      <c r="GQ20" s="14"/>
      <c r="GR20" s="14"/>
      <c r="GS20" s="14"/>
      <c r="GT20" s="14"/>
      <c r="GU20" s="14"/>
      <c r="GV20" s="14"/>
      <c r="GW20" s="14"/>
      <c r="GX20" s="14"/>
      <c r="GY20" s="14"/>
      <c r="GZ20" s="14"/>
      <c r="HA20" s="14"/>
      <c r="HB20" s="14"/>
      <c r="HC20" s="14"/>
      <c r="HD20" s="14"/>
      <c r="HE20" s="14"/>
      <c r="HF20" s="14"/>
      <c r="HG20" s="14"/>
      <c r="HH20" s="14"/>
      <c r="HI20" s="14"/>
      <c r="HJ20" s="14"/>
      <c r="HK20" s="14"/>
      <c r="HL20" s="14"/>
      <c r="HM20" s="14"/>
      <c r="HN20" s="14"/>
      <c r="HO20" s="14"/>
      <c r="HP20" s="14"/>
      <c r="HQ20" s="14"/>
      <c r="HR20" s="14"/>
      <c r="HS20" s="14"/>
      <c r="HT20" s="14"/>
    </row>
    <row r="21" spans="1:228" ht="21" customHeight="1" x14ac:dyDescent="0.2">
      <c r="B21" s="1114" t="s">
        <v>2259</v>
      </c>
      <c r="C21" s="1544"/>
      <c r="D21" s="1577"/>
      <c r="E21" s="1574"/>
      <c r="F21" s="1575"/>
      <c r="G21" s="1575"/>
      <c r="H21" s="1575"/>
      <c r="I21" s="1575"/>
      <c r="J21" s="1576"/>
      <c r="K21" s="1740" t="s">
        <v>1370</v>
      </c>
      <c r="L21" s="1741"/>
      <c r="M21" s="1741"/>
      <c r="N21" s="1741"/>
      <c r="O21" s="1742"/>
      <c r="P21" s="1115">
        <f>IF(OR(O15="ERROR",O20="ERROR"),"ERROR",IF(AND(AA12&gt;0,AA12&lt;0.01),0.01,ROUND(AA12,2)))</f>
        <v>0</v>
      </c>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4"/>
      <c r="BR21" s="14"/>
      <c r="BS21" s="14"/>
      <c r="BT21" s="14"/>
      <c r="BU21" s="14"/>
      <c r="BV21" s="14"/>
      <c r="BW21" s="14"/>
      <c r="BX21" s="14"/>
      <c r="BY21" s="14"/>
      <c r="BZ21" s="14"/>
      <c r="CA21" s="14"/>
      <c r="CB21" s="14"/>
      <c r="CC21" s="14"/>
      <c r="CD21" s="14"/>
      <c r="CE21" s="14"/>
      <c r="CF21" s="14"/>
      <c r="CG21" s="14"/>
      <c r="CH21" s="14"/>
      <c r="CI21" s="14"/>
      <c r="CJ21" s="14"/>
      <c r="CK21" s="14"/>
      <c r="CL21" s="14"/>
      <c r="CM21" s="14"/>
      <c r="CN21" s="14"/>
      <c r="CO21" s="14"/>
      <c r="CP21" s="14"/>
      <c r="CQ21" s="14"/>
      <c r="CR21" s="14"/>
      <c r="CS21" s="14"/>
      <c r="CT21" s="14"/>
      <c r="CU21" s="14"/>
      <c r="CV21" s="14"/>
      <c r="CW21" s="14"/>
      <c r="CX21" s="14"/>
      <c r="CY21" s="14"/>
      <c r="CZ21" s="14"/>
      <c r="DA21" s="14"/>
      <c r="DB21" s="14"/>
      <c r="DC21" s="14"/>
      <c r="DD21" s="14"/>
      <c r="DE21" s="14"/>
      <c r="DF21" s="14"/>
      <c r="DG21" s="14"/>
      <c r="DH21" s="14"/>
      <c r="DI21" s="14"/>
      <c r="DJ21" s="14"/>
      <c r="DK21" s="14"/>
      <c r="DL21" s="14"/>
      <c r="DM21" s="14"/>
      <c r="DN21" s="14"/>
      <c r="DO21" s="14"/>
      <c r="DP21" s="14"/>
      <c r="DQ21" s="14"/>
      <c r="DR21" s="14"/>
      <c r="DS21" s="14"/>
      <c r="DT21" s="14"/>
      <c r="DU21" s="14"/>
      <c r="DV21" s="14"/>
      <c r="DW21" s="14"/>
      <c r="DX21" s="14"/>
      <c r="DY21" s="14"/>
      <c r="DZ21" s="14"/>
      <c r="EA21" s="14"/>
      <c r="EB21" s="14"/>
      <c r="EC21" s="14"/>
      <c r="ED21" s="14"/>
      <c r="EE21" s="14"/>
      <c r="EF21" s="14"/>
      <c r="EG21" s="14"/>
      <c r="EH21" s="14"/>
      <c r="EI21" s="14"/>
      <c r="EJ21" s="14"/>
      <c r="EK21" s="14"/>
      <c r="EL21" s="14"/>
      <c r="EM21" s="14"/>
      <c r="EN21" s="14"/>
      <c r="EO21" s="14"/>
      <c r="EP21" s="14"/>
      <c r="EQ21" s="14"/>
      <c r="ER21" s="14"/>
      <c r="ES21" s="14"/>
      <c r="ET21" s="14"/>
      <c r="EU21" s="14"/>
      <c r="EV21" s="14"/>
      <c r="EW21" s="14"/>
      <c r="EX21" s="14"/>
      <c r="EY21" s="14"/>
      <c r="EZ21" s="14"/>
      <c r="FA21" s="14"/>
      <c r="FB21" s="14"/>
      <c r="FC21" s="14"/>
      <c r="FD21" s="14"/>
      <c r="FE21" s="14"/>
      <c r="FF21" s="14"/>
      <c r="FG21" s="14"/>
      <c r="FH21" s="14"/>
      <c r="FI21" s="14"/>
      <c r="FJ21" s="14"/>
      <c r="FK21" s="14"/>
      <c r="FL21" s="14"/>
      <c r="FM21" s="14"/>
      <c r="FN21" s="14"/>
      <c r="FO21" s="14"/>
      <c r="FP21" s="14"/>
      <c r="FQ21" s="14"/>
      <c r="FR21" s="14"/>
      <c r="FS21" s="14"/>
      <c r="FT21" s="14"/>
      <c r="FU21" s="14"/>
      <c r="FV21" s="14"/>
      <c r="FW21" s="14"/>
      <c r="FX21" s="14"/>
      <c r="FY21" s="14"/>
      <c r="FZ21" s="14"/>
      <c r="GA21" s="14"/>
      <c r="GB21" s="14"/>
      <c r="GC21" s="14"/>
      <c r="GD21" s="14"/>
      <c r="GE21" s="14"/>
      <c r="GF21" s="14"/>
      <c r="GG21" s="14"/>
      <c r="GH21" s="14"/>
      <c r="GI21" s="14"/>
      <c r="GJ21" s="14"/>
      <c r="GK21" s="14"/>
      <c r="GL21" s="14"/>
      <c r="GM21" s="14"/>
      <c r="GN21" s="14"/>
      <c r="GO21" s="14"/>
      <c r="GP21" s="14"/>
      <c r="GQ21" s="14"/>
      <c r="GR21" s="14"/>
      <c r="GS21" s="14"/>
      <c r="GT21" s="14"/>
      <c r="GU21" s="14"/>
      <c r="GV21" s="14"/>
      <c r="GW21" s="14"/>
      <c r="GX21" s="14"/>
      <c r="GY21" s="14"/>
      <c r="GZ21" s="14"/>
      <c r="HA21" s="14"/>
      <c r="HB21" s="14"/>
      <c r="HC21" s="14"/>
      <c r="HD21" s="14"/>
      <c r="HE21" s="14"/>
      <c r="HF21" s="14"/>
      <c r="HG21" s="14"/>
      <c r="HH21" s="14"/>
      <c r="HI21" s="14"/>
      <c r="HJ21" s="14"/>
      <c r="HK21" s="14"/>
      <c r="HL21" s="14"/>
      <c r="HM21" s="14"/>
      <c r="HN21" s="14"/>
      <c r="HO21" s="14"/>
      <c r="HP21" s="14"/>
      <c r="HQ21" s="14"/>
      <c r="HR21" s="14"/>
      <c r="HS21" s="14"/>
      <c r="HT21" s="14"/>
    </row>
    <row r="22" spans="1:228" ht="12" customHeight="1" x14ac:dyDescent="0.25">
      <c r="B22" s="1876"/>
      <c r="C22" s="1876"/>
      <c r="D22" s="1876"/>
      <c r="E22" s="1876"/>
      <c r="F22" s="1876"/>
      <c r="G22" s="1876"/>
      <c r="H22" s="1876"/>
      <c r="I22" s="1876"/>
      <c r="J22" s="1876"/>
      <c r="K22" s="1876"/>
      <c r="L22" s="1876"/>
      <c r="M22" s="1876"/>
      <c r="N22" s="1876"/>
      <c r="O22" s="1876"/>
      <c r="P22" s="469"/>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4"/>
      <c r="BR22" s="14"/>
      <c r="BS22" s="14"/>
      <c r="BT22" s="14"/>
      <c r="BU22" s="14"/>
      <c r="BV22" s="14"/>
      <c r="BW22" s="14"/>
      <c r="BX22" s="14"/>
      <c r="BY22" s="14"/>
      <c r="BZ22" s="14"/>
      <c r="CA22" s="14"/>
      <c r="CB22" s="14"/>
      <c r="CC22" s="14"/>
      <c r="CD22" s="14"/>
      <c r="CE22" s="14"/>
      <c r="CF22" s="14"/>
      <c r="CG22" s="14"/>
      <c r="CH22" s="14"/>
      <c r="CI22" s="14"/>
      <c r="CJ22" s="14"/>
      <c r="CK22" s="14"/>
      <c r="CL22" s="14"/>
      <c r="CM22" s="14"/>
      <c r="CN22" s="14"/>
      <c r="CO22" s="14"/>
      <c r="CP22" s="14"/>
      <c r="CQ22" s="14"/>
      <c r="CR22" s="14"/>
      <c r="CS22" s="14"/>
      <c r="CT22" s="14"/>
      <c r="CU22" s="14"/>
      <c r="CV22" s="14"/>
      <c r="CW22" s="14"/>
      <c r="CX22" s="14"/>
      <c r="CY22" s="14"/>
      <c r="CZ22" s="14"/>
      <c r="DA22" s="14"/>
      <c r="DB22" s="14"/>
      <c r="DC22" s="14"/>
      <c r="DD22" s="14"/>
      <c r="DE22" s="14"/>
      <c r="DF22" s="14"/>
      <c r="DG22" s="14"/>
      <c r="DH22" s="14"/>
      <c r="DI22" s="14"/>
      <c r="DJ22" s="14"/>
      <c r="DK22" s="14"/>
      <c r="DL22" s="14"/>
      <c r="DM22" s="14"/>
      <c r="DN22" s="14"/>
      <c r="DO22" s="14"/>
      <c r="DP22" s="14"/>
      <c r="DQ22" s="14"/>
      <c r="DR22" s="14"/>
      <c r="DS22" s="14"/>
      <c r="DT22" s="14"/>
      <c r="DU22" s="14"/>
      <c r="DV22" s="14"/>
      <c r="DW22" s="14"/>
      <c r="DX22" s="14"/>
      <c r="DY22" s="14"/>
      <c r="DZ22" s="14"/>
      <c r="EA22" s="14"/>
      <c r="EB22" s="14"/>
      <c r="EC22" s="14"/>
      <c r="ED22" s="14"/>
      <c r="EE22" s="14"/>
      <c r="EF22" s="14"/>
      <c r="EG22" s="14"/>
      <c r="EH22" s="14"/>
      <c r="EI22" s="14"/>
      <c r="EJ22" s="14"/>
      <c r="EK22" s="14"/>
      <c r="EL22" s="14"/>
      <c r="EM22" s="14"/>
      <c r="EN22" s="14"/>
      <c r="EO22" s="14"/>
      <c r="EP22" s="14"/>
      <c r="EQ22" s="14"/>
      <c r="ER22" s="14"/>
      <c r="ES22" s="14"/>
      <c r="ET22" s="14"/>
      <c r="EU22" s="14"/>
      <c r="EV22" s="14"/>
      <c r="EW22" s="14"/>
      <c r="EX22" s="14"/>
      <c r="EY22" s="14"/>
      <c r="EZ22" s="14"/>
      <c r="FA22" s="14"/>
      <c r="FB22" s="14"/>
      <c r="FC22" s="14"/>
      <c r="FD22" s="14"/>
      <c r="FE22" s="14"/>
      <c r="FF22" s="14"/>
      <c r="FG22" s="14"/>
      <c r="FH22" s="14"/>
      <c r="FI22" s="14"/>
      <c r="FJ22" s="14"/>
      <c r="FK22" s="14"/>
      <c r="FL22" s="14"/>
      <c r="FM22" s="14"/>
      <c r="FN22" s="14"/>
      <c r="FO22" s="14"/>
      <c r="FP22" s="14"/>
      <c r="FQ22" s="14"/>
      <c r="FR22" s="14"/>
      <c r="FS22" s="14"/>
      <c r="FT22" s="14"/>
      <c r="FU22" s="14"/>
      <c r="FV22" s="14"/>
      <c r="FW22" s="14"/>
      <c r="FX22" s="14"/>
      <c r="FY22" s="14"/>
      <c r="FZ22" s="14"/>
      <c r="GA22" s="14"/>
      <c r="GB22" s="14"/>
      <c r="GC22" s="14"/>
      <c r="GD22" s="14"/>
      <c r="GE22" s="14"/>
      <c r="GF22" s="14"/>
      <c r="GG22" s="14"/>
      <c r="GH22" s="14"/>
      <c r="GI22" s="14"/>
      <c r="GJ22" s="14"/>
      <c r="GK22" s="14"/>
      <c r="GL22" s="14"/>
      <c r="GM22" s="14"/>
      <c r="GN22" s="14"/>
      <c r="GO22" s="14"/>
      <c r="GP22" s="14"/>
      <c r="GQ22" s="14"/>
      <c r="GR22" s="14"/>
      <c r="GS22" s="14"/>
      <c r="GT22" s="14"/>
      <c r="GU22" s="14"/>
      <c r="GV22" s="14"/>
      <c r="GW22" s="14"/>
      <c r="GX22" s="14"/>
      <c r="GY22" s="14"/>
      <c r="GZ22" s="14"/>
      <c r="HA22" s="14"/>
      <c r="HB22" s="14"/>
      <c r="HC22" s="14"/>
      <c r="HD22" s="14"/>
      <c r="HE22" s="14"/>
      <c r="HF22" s="14"/>
      <c r="HG22" s="14"/>
      <c r="HH22" s="14"/>
      <c r="HI22" s="14"/>
      <c r="HJ22" s="14"/>
      <c r="HK22" s="14"/>
      <c r="HL22" s="14"/>
      <c r="HM22" s="14"/>
      <c r="HN22" s="14"/>
      <c r="HO22" s="14"/>
      <c r="HP22" s="14"/>
      <c r="HQ22" s="14"/>
      <c r="HR22" s="14"/>
      <c r="HS22" s="14"/>
      <c r="HT22" s="14"/>
    </row>
    <row r="23" spans="1:228" ht="15" customHeight="1" x14ac:dyDescent="0.25">
      <c r="B23" s="1555" t="s">
        <v>2005</v>
      </c>
      <c r="C23" s="1555"/>
      <c r="D23" s="1555"/>
      <c r="E23" s="1555"/>
      <c r="F23" s="1555"/>
      <c r="G23" s="1555"/>
      <c r="H23" s="1555"/>
      <c r="I23" s="1555"/>
      <c r="J23" s="1555"/>
      <c r="K23" s="1555"/>
      <c r="L23" s="1555"/>
      <c r="M23" s="1555"/>
      <c r="N23" s="1555"/>
      <c r="O23" s="1555"/>
      <c r="P23" s="470"/>
      <c r="R23" s="18"/>
      <c r="S23" s="1487" t="s">
        <v>2197</v>
      </c>
      <c r="T23" s="1487"/>
      <c r="U23" s="1487"/>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14"/>
      <c r="CU23" s="14"/>
      <c r="CV23" s="14"/>
      <c r="CW23" s="14"/>
      <c r="CX23" s="14"/>
      <c r="CY23" s="14"/>
      <c r="CZ23" s="14"/>
      <c r="DA23" s="14"/>
      <c r="DB23" s="14"/>
      <c r="DC23" s="14"/>
      <c r="DD23" s="14"/>
      <c r="DE23" s="14"/>
      <c r="DF23" s="14"/>
      <c r="DG23" s="14"/>
      <c r="DH23" s="14"/>
      <c r="DI23" s="14"/>
      <c r="DJ23" s="14"/>
      <c r="DK23" s="14"/>
      <c r="DL23" s="14"/>
      <c r="DM23" s="14"/>
      <c r="DN23" s="14"/>
      <c r="DO23" s="14"/>
      <c r="DP23" s="14"/>
      <c r="DQ23" s="14"/>
      <c r="DR23" s="14"/>
      <c r="DS23" s="14"/>
      <c r="DT23" s="14"/>
      <c r="DU23" s="14"/>
      <c r="DV23" s="14"/>
      <c r="DW23" s="14"/>
      <c r="DX23" s="14"/>
      <c r="DY23" s="14"/>
      <c r="DZ23" s="14"/>
      <c r="EA23" s="14"/>
      <c r="EB23" s="14"/>
      <c r="EC23" s="14"/>
      <c r="ED23" s="14"/>
      <c r="EE23" s="14"/>
      <c r="EF23" s="14"/>
      <c r="EG23" s="14"/>
      <c r="EH23" s="14"/>
      <c r="EI23" s="14"/>
      <c r="EJ23" s="14"/>
      <c r="EK23" s="14"/>
      <c r="EL23" s="14"/>
      <c r="EM23" s="14"/>
      <c r="EN23" s="14"/>
      <c r="EO23" s="14"/>
      <c r="EP23" s="14"/>
      <c r="EQ23" s="14"/>
      <c r="ER23" s="14"/>
      <c r="ES23" s="14"/>
      <c r="ET23" s="14"/>
      <c r="EU23" s="14"/>
      <c r="EV23" s="14"/>
      <c r="EW23" s="14"/>
      <c r="EX23" s="14"/>
      <c r="EY23" s="14"/>
      <c r="EZ23" s="14"/>
      <c r="FA23" s="14"/>
      <c r="FB23" s="14"/>
      <c r="FC23" s="14"/>
      <c r="FD23" s="14"/>
      <c r="FE23" s="14"/>
      <c r="FF23" s="14"/>
      <c r="FG23" s="14"/>
      <c r="FH23" s="14"/>
      <c r="FI23" s="14"/>
      <c r="FJ23" s="14"/>
      <c r="FK23" s="14"/>
      <c r="FL23" s="14"/>
      <c r="FM23" s="14"/>
      <c r="FN23" s="14"/>
      <c r="FO23" s="14"/>
      <c r="FP23" s="14"/>
      <c r="FQ23" s="14"/>
      <c r="FR23" s="14"/>
      <c r="FS23" s="14"/>
      <c r="FT23" s="14"/>
      <c r="FU23" s="14"/>
      <c r="FV23" s="14"/>
      <c r="FW23" s="14"/>
      <c r="FX23" s="14"/>
      <c r="FY23" s="14"/>
      <c r="FZ23" s="14"/>
      <c r="GA23" s="14"/>
      <c r="GB23" s="14"/>
      <c r="GC23" s="14"/>
      <c r="GD23" s="14"/>
      <c r="GE23" s="14"/>
      <c r="GF23" s="14"/>
      <c r="GG23" s="14"/>
      <c r="GH23" s="14"/>
      <c r="GI23" s="14"/>
      <c r="GJ23" s="14"/>
      <c r="GK23" s="14"/>
      <c r="GL23" s="14"/>
      <c r="GM23" s="14"/>
      <c r="GN23" s="14"/>
      <c r="GO23" s="14"/>
      <c r="GP23" s="14"/>
      <c r="GQ23" s="14"/>
      <c r="GR23" s="14"/>
      <c r="GS23" s="14"/>
      <c r="GT23" s="14"/>
      <c r="GU23" s="14"/>
      <c r="GV23" s="14"/>
      <c r="GW23" s="14"/>
      <c r="GX23" s="14"/>
      <c r="GY23" s="14"/>
      <c r="GZ23" s="14"/>
      <c r="HA23" s="14"/>
      <c r="HB23" s="14"/>
      <c r="HC23" s="14"/>
      <c r="HD23" s="14"/>
      <c r="HE23" s="14"/>
      <c r="HF23" s="14"/>
      <c r="HG23" s="14"/>
      <c r="HH23" s="14"/>
      <c r="HI23" s="14"/>
      <c r="HJ23" s="14"/>
      <c r="HK23" s="14"/>
      <c r="HL23" s="14"/>
      <c r="HM23" s="14"/>
      <c r="HN23" s="14"/>
      <c r="HO23" s="14"/>
      <c r="HP23" s="14"/>
      <c r="HQ23" s="14"/>
      <c r="HR23" s="14"/>
      <c r="HS23" s="14"/>
      <c r="HT23" s="14"/>
    </row>
    <row r="24" spans="1:228" ht="15" customHeight="1" x14ac:dyDescent="0.25">
      <c r="B24" s="376" t="s">
        <v>2012</v>
      </c>
      <c r="C24" s="1308"/>
      <c r="D24" s="1308"/>
      <c r="E24" s="1308"/>
      <c r="F24" s="1308"/>
      <c r="G24" s="1308"/>
      <c r="H24" s="1308"/>
      <c r="I24" s="1308"/>
      <c r="J24" s="1308"/>
      <c r="K24" s="1308"/>
      <c r="L24" s="1308"/>
      <c r="M24" s="1308"/>
      <c r="N24" s="1308"/>
      <c r="O24" s="72"/>
      <c r="P24" s="26">
        <f>IF($W$239&gt;0,0,R24)</f>
        <v>0</v>
      </c>
      <c r="R24" s="903">
        <f>IF(C24=S24,0,IF(C24=T24,0.05,IF(C24=U24,0.1,0)))</f>
        <v>0</v>
      </c>
      <c r="S24" s="896" t="s">
        <v>1942</v>
      </c>
      <c r="T24" s="896" t="s">
        <v>1785</v>
      </c>
      <c r="U24" s="896" t="s">
        <v>1786</v>
      </c>
      <c r="V24" s="161"/>
      <c r="W24" s="114"/>
      <c r="X24" s="162"/>
      <c r="Y24" s="1946"/>
      <c r="Z24" s="73"/>
      <c r="AA24" s="73"/>
      <c r="AB24" s="74"/>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14"/>
      <c r="CU24" s="14"/>
      <c r="CV24" s="14"/>
      <c r="CW24" s="14"/>
      <c r="CX24" s="14"/>
      <c r="CY24" s="14"/>
      <c r="CZ24" s="14"/>
      <c r="DA24" s="14"/>
      <c r="DB24" s="14"/>
      <c r="DC24" s="14"/>
      <c r="DD24" s="14"/>
      <c r="DE24" s="14"/>
      <c r="DF24" s="14"/>
      <c r="DG24" s="14"/>
      <c r="DH24" s="14"/>
      <c r="DI24" s="14"/>
      <c r="DJ24" s="14"/>
      <c r="DK24" s="14"/>
      <c r="DL24" s="14"/>
      <c r="DM24" s="14"/>
      <c r="DN24" s="14"/>
      <c r="DO24" s="14"/>
      <c r="DP24" s="14"/>
      <c r="DQ24" s="14"/>
      <c r="DR24" s="14"/>
      <c r="DS24" s="14"/>
      <c r="DT24" s="14"/>
      <c r="DU24" s="14"/>
      <c r="DV24" s="14"/>
      <c r="DW24" s="14"/>
      <c r="DX24" s="14"/>
      <c r="DY24" s="14"/>
      <c r="DZ24" s="14"/>
      <c r="EA24" s="14"/>
      <c r="EB24" s="14"/>
      <c r="EC24" s="14"/>
      <c r="ED24" s="14"/>
      <c r="EE24" s="14"/>
      <c r="EF24" s="14"/>
      <c r="EG24" s="14"/>
      <c r="EH24" s="14"/>
      <c r="EI24" s="14"/>
      <c r="EJ24" s="14"/>
      <c r="EK24" s="14"/>
      <c r="EL24" s="14"/>
      <c r="EM24" s="14"/>
      <c r="EN24" s="14"/>
      <c r="EO24" s="14"/>
      <c r="EP24" s="14"/>
      <c r="EQ24" s="14"/>
      <c r="ER24" s="14"/>
      <c r="ES24" s="14"/>
      <c r="ET24" s="14"/>
      <c r="EU24" s="14"/>
      <c r="EV24" s="14"/>
      <c r="EW24" s="14"/>
      <c r="EX24" s="14"/>
      <c r="EY24" s="14"/>
      <c r="EZ24" s="14"/>
      <c r="FA24" s="14"/>
      <c r="FB24" s="14"/>
      <c r="FC24" s="14"/>
      <c r="FD24" s="14"/>
      <c r="FE24" s="14"/>
      <c r="FF24" s="14"/>
      <c r="FG24" s="14"/>
      <c r="FH24" s="14"/>
      <c r="FI24" s="14"/>
      <c r="FJ24" s="14"/>
      <c r="FK24" s="14"/>
      <c r="FL24" s="14"/>
      <c r="FM24" s="14"/>
      <c r="FN24" s="14"/>
      <c r="FO24" s="14"/>
      <c r="FP24" s="14"/>
      <c r="FQ24" s="14"/>
      <c r="FR24" s="14"/>
      <c r="FS24" s="14"/>
      <c r="FT24" s="14"/>
      <c r="FU24" s="14"/>
      <c r="FV24" s="14"/>
      <c r="FW24" s="14"/>
      <c r="FX24" s="14"/>
      <c r="FY24" s="14"/>
      <c r="FZ24" s="14"/>
      <c r="GA24" s="14"/>
      <c r="GB24" s="14"/>
      <c r="GC24" s="14"/>
      <c r="GD24" s="14"/>
      <c r="GE24" s="14"/>
      <c r="GF24" s="14"/>
      <c r="GG24" s="14"/>
      <c r="GH24" s="14"/>
      <c r="GI24" s="14"/>
      <c r="GJ24" s="14"/>
      <c r="GK24" s="14"/>
      <c r="GL24" s="14"/>
      <c r="GM24" s="14"/>
      <c r="GN24" s="14"/>
      <c r="GO24" s="14"/>
      <c r="GP24" s="14"/>
      <c r="GQ24" s="14"/>
      <c r="GR24" s="14"/>
      <c r="GS24" s="14"/>
      <c r="GT24" s="14"/>
      <c r="GU24" s="14"/>
      <c r="GV24" s="14"/>
      <c r="GW24" s="14"/>
      <c r="GX24" s="14"/>
      <c r="GY24" s="14"/>
      <c r="GZ24" s="14"/>
      <c r="HA24" s="14"/>
      <c r="HB24" s="14"/>
      <c r="HC24" s="14"/>
      <c r="HD24" s="14"/>
      <c r="HE24" s="14"/>
      <c r="HF24" s="14"/>
      <c r="HG24" s="14"/>
      <c r="HH24" s="14"/>
      <c r="HI24" s="14"/>
      <c r="HJ24" s="14"/>
      <c r="HK24" s="14"/>
      <c r="HL24" s="14"/>
      <c r="HM24" s="14"/>
      <c r="HN24" s="14"/>
      <c r="HO24" s="14"/>
      <c r="HP24" s="14"/>
      <c r="HQ24" s="14"/>
      <c r="HR24" s="14"/>
      <c r="HS24" s="14"/>
      <c r="HT24" s="14"/>
    </row>
    <row r="25" spans="1:228" ht="15" customHeight="1" x14ac:dyDescent="0.25">
      <c r="B25" s="376" t="s">
        <v>2013</v>
      </c>
      <c r="C25" s="1308"/>
      <c r="D25" s="1308"/>
      <c r="E25" s="1308"/>
      <c r="F25" s="1308"/>
      <c r="G25" s="1308"/>
      <c r="H25" s="1308"/>
      <c r="I25" s="1308"/>
      <c r="J25" s="1308"/>
      <c r="K25" s="1308"/>
      <c r="L25" s="1308"/>
      <c r="M25" s="1308"/>
      <c r="N25" s="1308"/>
      <c r="O25" s="72"/>
      <c r="P25" s="26">
        <f>IF($W$239&gt;0,0,R25)</f>
        <v>0</v>
      </c>
      <c r="R25" s="903">
        <f>IF(C25=S25,0,IF(C25=T25,0.05,IF(C25=U25,0.1,0)))</f>
        <v>0</v>
      </c>
      <c r="S25" s="896" t="s">
        <v>1942</v>
      </c>
      <c r="T25" s="896" t="s">
        <v>1997</v>
      </c>
      <c r="U25" s="896" t="s">
        <v>1998</v>
      </c>
      <c r="V25" s="161"/>
      <c r="W25" s="114"/>
      <c r="X25" s="162"/>
      <c r="Y25" s="1946"/>
      <c r="Z25" s="73"/>
      <c r="AA25" s="73"/>
      <c r="AB25" s="74"/>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14"/>
      <c r="CU25" s="14"/>
      <c r="CV25" s="14"/>
      <c r="CW25" s="14"/>
      <c r="CX25" s="14"/>
      <c r="CY25" s="14"/>
      <c r="CZ25" s="14"/>
      <c r="DA25" s="14"/>
      <c r="DB25" s="14"/>
      <c r="DC25" s="14"/>
      <c r="DD25" s="14"/>
      <c r="DE25" s="14"/>
      <c r="DF25" s="14"/>
      <c r="DG25" s="14"/>
      <c r="DH25" s="14"/>
      <c r="DI25" s="14"/>
      <c r="DJ25" s="14"/>
      <c r="DK25" s="14"/>
      <c r="DL25" s="14"/>
      <c r="DM25" s="14"/>
      <c r="DN25" s="14"/>
      <c r="DO25" s="14"/>
      <c r="DP25" s="14"/>
      <c r="DQ25" s="14"/>
      <c r="DR25" s="14"/>
      <c r="DS25" s="14"/>
      <c r="DT25" s="14"/>
      <c r="DU25" s="14"/>
      <c r="DV25" s="14"/>
      <c r="DW25" s="14"/>
      <c r="DX25" s="14"/>
      <c r="DY25" s="14"/>
      <c r="DZ25" s="14"/>
      <c r="EA25" s="14"/>
      <c r="EB25" s="14"/>
      <c r="EC25" s="14"/>
      <c r="ED25" s="14"/>
      <c r="EE25" s="14"/>
      <c r="EF25" s="14"/>
      <c r="EG25" s="14"/>
      <c r="EH25" s="14"/>
      <c r="EI25" s="14"/>
      <c r="EJ25" s="14"/>
      <c r="EK25" s="14"/>
      <c r="EL25" s="14"/>
      <c r="EM25" s="14"/>
      <c r="EN25" s="14"/>
      <c r="EO25" s="14"/>
      <c r="EP25" s="14"/>
      <c r="EQ25" s="14"/>
      <c r="ER25" s="14"/>
      <c r="ES25" s="14"/>
      <c r="ET25" s="14"/>
      <c r="EU25" s="14"/>
      <c r="EV25" s="14"/>
      <c r="EW25" s="14"/>
      <c r="EX25" s="14"/>
      <c r="EY25" s="14"/>
      <c r="EZ25" s="14"/>
      <c r="FA25" s="14"/>
      <c r="FB25" s="14"/>
      <c r="FC25" s="14"/>
      <c r="FD25" s="14"/>
      <c r="FE25" s="14"/>
      <c r="FF25" s="14"/>
      <c r="FG25" s="14"/>
      <c r="FH25" s="14"/>
      <c r="FI25" s="14"/>
      <c r="FJ25" s="14"/>
      <c r="FK25" s="14"/>
      <c r="FL25" s="14"/>
      <c r="FM25" s="14"/>
      <c r="FN25" s="14"/>
      <c r="FO25" s="14"/>
      <c r="FP25" s="14"/>
      <c r="FQ25" s="14"/>
      <c r="FR25" s="14"/>
      <c r="FS25" s="14"/>
      <c r="FT25" s="14"/>
      <c r="FU25" s="14"/>
      <c r="FV25" s="14"/>
      <c r="FW25" s="14"/>
      <c r="FX25" s="14"/>
      <c r="FY25" s="14"/>
      <c r="FZ25" s="14"/>
      <c r="GA25" s="14"/>
      <c r="GB25" s="14"/>
      <c r="GC25" s="14"/>
      <c r="GD25" s="14"/>
      <c r="GE25" s="14"/>
      <c r="GF25" s="14"/>
      <c r="GG25" s="14"/>
      <c r="GH25" s="14"/>
      <c r="GI25" s="14"/>
      <c r="GJ25" s="14"/>
      <c r="GK25" s="14"/>
      <c r="GL25" s="14"/>
      <c r="GM25" s="14"/>
      <c r="GN25" s="14"/>
      <c r="GO25" s="14"/>
      <c r="GP25" s="14"/>
      <c r="GQ25" s="14"/>
      <c r="GR25" s="14"/>
      <c r="GS25" s="14"/>
      <c r="GT25" s="14"/>
      <c r="GU25" s="14"/>
      <c r="GV25" s="14"/>
      <c r="GW25" s="14"/>
      <c r="GX25" s="14"/>
      <c r="GY25" s="14"/>
      <c r="GZ25" s="14"/>
      <c r="HA25" s="14"/>
      <c r="HB25" s="14"/>
      <c r="HC25" s="14"/>
      <c r="HD25" s="14"/>
      <c r="HE25" s="14"/>
      <c r="HF25" s="14"/>
      <c r="HG25" s="14"/>
      <c r="HH25" s="14"/>
      <c r="HI25" s="14"/>
      <c r="HJ25" s="14"/>
      <c r="HK25" s="14"/>
      <c r="HL25" s="14"/>
      <c r="HM25" s="14"/>
      <c r="HN25" s="14"/>
      <c r="HO25" s="14"/>
      <c r="HP25" s="14"/>
      <c r="HQ25" s="14"/>
      <c r="HR25" s="14"/>
      <c r="HS25" s="14"/>
      <c r="HT25" s="14"/>
    </row>
    <row r="26" spans="1:228" ht="27" customHeight="1" x14ac:dyDescent="0.2">
      <c r="B26" s="1883" t="str">
        <f>IF(AND(OR(R24&gt;0,R25&gt;0),$W$239&gt;0),"A value has been given for loss of sensation or hypersensitivity in the foot. No additional value is allowed for the toes.","")</f>
        <v/>
      </c>
      <c r="C26" s="1883"/>
      <c r="D26" s="1883"/>
      <c r="E26" s="1883"/>
      <c r="F26" s="1883"/>
      <c r="G26" s="1883"/>
      <c r="H26" s="1883"/>
      <c r="I26" s="1883"/>
      <c r="J26" s="1883"/>
      <c r="K26" s="1883"/>
      <c r="L26" s="1883"/>
      <c r="M26" s="1883"/>
      <c r="N26" s="1883"/>
      <c r="O26" s="1883"/>
      <c r="P26" s="248"/>
      <c r="R26" s="18"/>
      <c r="S26" s="19"/>
      <c r="T26" s="19"/>
      <c r="U26" s="19"/>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14"/>
      <c r="CU26" s="14"/>
      <c r="CV26" s="14"/>
      <c r="CW26" s="14"/>
      <c r="CX26" s="14"/>
      <c r="CY26" s="14"/>
      <c r="CZ26" s="14"/>
      <c r="DA26" s="14"/>
      <c r="DB26" s="14"/>
      <c r="DC26" s="14"/>
      <c r="DD26" s="14"/>
      <c r="DE26" s="14"/>
      <c r="DF26" s="14"/>
      <c r="DG26" s="14"/>
      <c r="DH26" s="14"/>
      <c r="DI26" s="14"/>
      <c r="DJ26" s="14"/>
      <c r="DK26" s="14"/>
      <c r="DL26" s="14"/>
      <c r="DM26" s="14"/>
      <c r="DN26" s="14"/>
      <c r="DO26" s="14"/>
      <c r="DP26" s="14"/>
      <c r="DQ26" s="14"/>
      <c r="DR26" s="14"/>
      <c r="DS26" s="14"/>
      <c r="DT26" s="14"/>
      <c r="DU26" s="14"/>
      <c r="DV26" s="14"/>
      <c r="DW26" s="14"/>
      <c r="DX26" s="14"/>
      <c r="DY26" s="14"/>
      <c r="DZ26" s="14"/>
      <c r="EA26" s="14"/>
      <c r="EB26" s="14"/>
      <c r="EC26" s="14"/>
      <c r="ED26" s="14"/>
      <c r="EE26" s="14"/>
      <c r="EF26" s="14"/>
      <c r="EG26" s="14"/>
      <c r="EH26" s="14"/>
      <c r="EI26" s="14"/>
      <c r="EJ26" s="14"/>
      <c r="EK26" s="14"/>
      <c r="EL26" s="14"/>
      <c r="EM26" s="14"/>
      <c r="EN26" s="14"/>
      <c r="EO26" s="14"/>
      <c r="EP26" s="14"/>
      <c r="EQ26" s="14"/>
      <c r="ER26" s="14"/>
      <c r="ES26" s="14"/>
      <c r="ET26" s="14"/>
      <c r="EU26" s="14"/>
      <c r="EV26" s="14"/>
      <c r="EW26" s="14"/>
      <c r="EX26" s="14"/>
      <c r="EY26" s="14"/>
      <c r="EZ26" s="14"/>
      <c r="FA26" s="14"/>
      <c r="FB26" s="14"/>
      <c r="FC26" s="14"/>
      <c r="FD26" s="14"/>
      <c r="FE26" s="14"/>
      <c r="FF26" s="14"/>
      <c r="FG26" s="14"/>
      <c r="FH26" s="14"/>
      <c r="FI26" s="14"/>
      <c r="FJ26" s="14"/>
      <c r="FK26" s="14"/>
      <c r="FL26" s="14"/>
      <c r="FM26" s="14"/>
      <c r="FN26" s="14"/>
      <c r="FO26" s="14"/>
      <c r="FP26" s="14"/>
      <c r="FQ26" s="14"/>
      <c r="FR26" s="14"/>
      <c r="FS26" s="14"/>
      <c r="FT26" s="14"/>
      <c r="FU26" s="14"/>
      <c r="FV26" s="14"/>
      <c r="FW26" s="14"/>
      <c r="FX26" s="14"/>
      <c r="FY26" s="14"/>
      <c r="FZ26" s="14"/>
      <c r="GA26" s="14"/>
      <c r="GB26" s="14"/>
      <c r="GC26" s="14"/>
      <c r="GD26" s="14"/>
      <c r="GE26" s="14"/>
      <c r="GF26" s="14"/>
      <c r="GG26" s="14"/>
      <c r="GH26" s="14"/>
      <c r="GI26" s="14"/>
      <c r="GJ26" s="14"/>
      <c r="GK26" s="14"/>
      <c r="GL26" s="14"/>
      <c r="GM26" s="14"/>
      <c r="GN26" s="14"/>
      <c r="GO26" s="14"/>
      <c r="GP26" s="14"/>
      <c r="GQ26" s="14"/>
      <c r="GR26" s="14"/>
      <c r="GS26" s="14"/>
      <c r="GT26" s="14"/>
      <c r="GU26" s="14"/>
      <c r="GV26" s="14"/>
      <c r="GW26" s="14"/>
      <c r="GX26" s="14"/>
      <c r="GY26" s="14"/>
      <c r="GZ26" s="14"/>
      <c r="HA26" s="14"/>
      <c r="HB26" s="14"/>
      <c r="HC26" s="14"/>
      <c r="HD26" s="14"/>
      <c r="HE26" s="14"/>
      <c r="HF26" s="14"/>
      <c r="HG26" s="14"/>
      <c r="HH26" s="14"/>
      <c r="HI26" s="14"/>
      <c r="HJ26" s="14"/>
      <c r="HK26" s="14"/>
      <c r="HL26" s="14"/>
      <c r="HM26" s="14"/>
      <c r="HN26" s="14"/>
      <c r="HO26" s="14"/>
      <c r="HP26" s="14"/>
      <c r="HQ26" s="14"/>
      <c r="HR26" s="14"/>
      <c r="HS26" s="14"/>
      <c r="HT26" s="14"/>
    </row>
    <row r="27" spans="1:228" s="63" customFormat="1" ht="12" customHeight="1" x14ac:dyDescent="0.25">
      <c r="A27" s="35"/>
      <c r="B27" s="1602"/>
      <c r="C27" s="1395"/>
      <c r="D27" s="1395"/>
      <c r="E27" s="1395"/>
      <c r="F27" s="1395"/>
      <c r="G27" s="1395"/>
      <c r="H27" s="1395"/>
      <c r="I27" s="1395"/>
      <c r="J27" s="1395"/>
      <c r="K27" s="1395"/>
      <c r="L27" s="1395"/>
      <c r="M27" s="1395"/>
      <c r="N27" s="1395"/>
      <c r="O27" s="1395"/>
      <c r="P27" s="75"/>
      <c r="Q27" s="35"/>
      <c r="R27" s="18"/>
      <c r="S27" s="18"/>
      <c r="Y27" s="60"/>
      <c r="Z27" s="1569"/>
      <c r="AA27" s="1569"/>
      <c r="AB27" s="1569"/>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14"/>
      <c r="CU27" s="14"/>
      <c r="CV27" s="14"/>
      <c r="CW27" s="14"/>
      <c r="CX27" s="14"/>
      <c r="CY27" s="14"/>
      <c r="CZ27" s="14"/>
      <c r="DA27" s="14"/>
      <c r="DB27" s="14"/>
      <c r="DC27" s="14"/>
      <c r="DD27" s="14"/>
      <c r="DE27" s="14"/>
      <c r="DF27" s="14"/>
      <c r="DG27" s="14"/>
      <c r="DH27" s="14"/>
      <c r="DI27" s="14"/>
      <c r="DJ27" s="14"/>
      <c r="DK27" s="14"/>
      <c r="DL27" s="14"/>
      <c r="DM27" s="14"/>
      <c r="DN27" s="14"/>
      <c r="DO27" s="14"/>
      <c r="DP27" s="14"/>
      <c r="DQ27" s="14"/>
      <c r="DR27" s="14"/>
      <c r="DS27" s="14"/>
      <c r="DT27" s="14"/>
      <c r="DU27" s="14"/>
      <c r="DV27" s="14"/>
      <c r="DW27" s="14"/>
      <c r="DX27" s="14"/>
      <c r="DY27" s="14"/>
      <c r="DZ27" s="14"/>
      <c r="EA27" s="14"/>
      <c r="EB27" s="14"/>
      <c r="EC27" s="14"/>
      <c r="ED27" s="14"/>
      <c r="EE27" s="14"/>
      <c r="EF27" s="14"/>
      <c r="EG27" s="14"/>
      <c r="EH27" s="14"/>
      <c r="EI27" s="14"/>
      <c r="EJ27" s="14"/>
      <c r="EK27" s="14"/>
      <c r="EL27" s="14"/>
    </row>
    <row r="28" spans="1:228" s="63" customFormat="1" ht="15" customHeight="1" x14ac:dyDescent="0.2">
      <c r="A28" s="8"/>
      <c r="B28" s="1379" t="s">
        <v>2016</v>
      </c>
      <c r="C28" s="1379"/>
      <c r="D28" s="1379"/>
      <c r="E28" s="1379"/>
      <c r="F28" s="1379"/>
      <c r="G28" s="1379"/>
      <c r="H28" s="1379"/>
      <c r="I28" s="1379"/>
      <c r="J28" s="1379"/>
      <c r="K28" s="1379"/>
      <c r="L28" s="1379"/>
      <c r="M28" s="1379"/>
      <c r="N28" s="1308"/>
      <c r="O28" s="1308"/>
      <c r="P28" s="26">
        <f>IF(N28=T28,0.03,IF(N28=U28,0.15,IF(N28=V28,0.38,IF(N28=W28,0.68,IF(N28=X28,0.9,0)))))</f>
        <v>0</v>
      </c>
      <c r="Q28" s="35"/>
      <c r="R28" s="1487" t="s">
        <v>2197</v>
      </c>
      <c r="S28" s="1487"/>
      <c r="T28" s="908" t="s">
        <v>1969</v>
      </c>
      <c r="U28" s="908" t="s">
        <v>1970</v>
      </c>
      <c r="V28" s="909" t="s">
        <v>1972</v>
      </c>
      <c r="W28" s="908" t="s">
        <v>945</v>
      </c>
      <c r="X28" s="909" t="s">
        <v>558</v>
      </c>
      <c r="Y28" s="60"/>
      <c r="Z28" s="1569"/>
      <c r="AA28" s="1569"/>
      <c r="AB28" s="1569"/>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14"/>
      <c r="CU28" s="14"/>
      <c r="CV28" s="14"/>
      <c r="CW28" s="14"/>
      <c r="CX28" s="14"/>
      <c r="CY28" s="14"/>
      <c r="CZ28" s="14"/>
      <c r="DA28" s="14"/>
      <c r="DB28" s="14"/>
      <c r="DC28" s="14"/>
      <c r="DD28" s="14"/>
      <c r="DE28" s="14"/>
      <c r="DF28" s="14"/>
      <c r="DG28" s="14"/>
      <c r="DH28" s="14"/>
      <c r="DI28" s="14"/>
      <c r="DJ28" s="14"/>
      <c r="DK28" s="14"/>
      <c r="DL28" s="14"/>
      <c r="DM28" s="14"/>
      <c r="DN28" s="14"/>
      <c r="DO28" s="14"/>
      <c r="DP28" s="14"/>
      <c r="DQ28" s="14"/>
      <c r="DR28" s="14"/>
      <c r="DS28" s="14"/>
      <c r="DT28" s="14"/>
      <c r="DU28" s="14"/>
      <c r="DV28" s="14"/>
      <c r="DW28" s="14"/>
      <c r="DX28" s="14"/>
      <c r="DY28" s="14"/>
      <c r="DZ28" s="14"/>
      <c r="EA28" s="14"/>
      <c r="EB28" s="14"/>
      <c r="EC28" s="14"/>
      <c r="ED28" s="14"/>
      <c r="EE28" s="14"/>
      <c r="EF28" s="14"/>
      <c r="EG28" s="14"/>
      <c r="EH28" s="14"/>
      <c r="EI28" s="14"/>
      <c r="EJ28" s="14"/>
      <c r="EK28" s="14"/>
      <c r="EL28" s="14"/>
    </row>
    <row r="29" spans="1:228" ht="12" customHeight="1" x14ac:dyDescent="0.25">
      <c r="B29" s="657"/>
      <c r="C29" s="657"/>
      <c r="D29" s="657"/>
      <c r="E29" s="657"/>
      <c r="F29" s="657"/>
      <c r="G29" s="657"/>
      <c r="H29" s="657"/>
      <c r="I29" s="657"/>
      <c r="J29" s="657"/>
      <c r="K29" s="657"/>
      <c r="L29" s="657"/>
      <c r="M29" s="657"/>
      <c r="N29" s="657"/>
      <c r="O29" s="657"/>
      <c r="P29" s="75"/>
      <c r="R29" s="18"/>
      <c r="S29" s="19"/>
      <c r="T29" s="19"/>
      <c r="U29" s="19"/>
      <c r="V29" s="19"/>
      <c r="W29" s="19"/>
      <c r="X29" s="19"/>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4"/>
      <c r="BR29" s="14"/>
      <c r="BS29" s="14"/>
      <c r="BT29" s="14"/>
      <c r="BU29" s="14"/>
      <c r="BV29" s="14"/>
      <c r="BW29" s="14"/>
      <c r="BX29" s="14"/>
      <c r="BY29" s="14"/>
      <c r="BZ29" s="14"/>
      <c r="CA29" s="14"/>
      <c r="CB29" s="14"/>
      <c r="CC29" s="14"/>
      <c r="CD29" s="14"/>
      <c r="CE29" s="14"/>
      <c r="CF29" s="14"/>
      <c r="CG29" s="14"/>
      <c r="CH29" s="14"/>
      <c r="CI29" s="14"/>
      <c r="CJ29" s="14"/>
      <c r="CK29" s="14"/>
      <c r="CL29" s="14"/>
      <c r="CM29" s="14"/>
      <c r="CN29" s="14"/>
      <c r="CO29" s="14"/>
      <c r="CP29" s="14"/>
      <c r="CQ29" s="14"/>
      <c r="CR29" s="14"/>
      <c r="CS29" s="14"/>
      <c r="CT29" s="14"/>
      <c r="CU29" s="14"/>
      <c r="CV29" s="14"/>
      <c r="CW29" s="14"/>
      <c r="CX29" s="14"/>
      <c r="CY29" s="14"/>
      <c r="CZ29" s="14"/>
      <c r="DA29" s="14"/>
      <c r="DB29" s="14"/>
      <c r="DC29" s="14"/>
      <c r="DD29" s="14"/>
      <c r="DE29" s="14"/>
      <c r="DF29" s="14"/>
      <c r="DG29" s="14"/>
      <c r="DH29" s="14"/>
      <c r="DI29" s="14"/>
      <c r="DJ29" s="14"/>
      <c r="DK29" s="14"/>
      <c r="DL29" s="14"/>
      <c r="DM29" s="14"/>
      <c r="DN29" s="14"/>
      <c r="DO29" s="14"/>
      <c r="DP29" s="14"/>
      <c r="DQ29" s="14"/>
      <c r="DR29" s="14"/>
      <c r="DS29" s="14"/>
      <c r="DT29" s="14"/>
      <c r="DU29" s="14"/>
      <c r="DV29" s="14"/>
      <c r="DW29" s="14"/>
      <c r="DX29" s="14"/>
      <c r="DY29" s="14"/>
      <c r="DZ29" s="14"/>
      <c r="EA29" s="14"/>
      <c r="EB29" s="14"/>
      <c r="EC29" s="14"/>
      <c r="ED29" s="14"/>
      <c r="EE29" s="14"/>
      <c r="EF29" s="14"/>
      <c r="EG29" s="14"/>
      <c r="EH29" s="14"/>
      <c r="EI29" s="14"/>
      <c r="EJ29" s="14"/>
      <c r="EK29" s="14"/>
      <c r="EL29" s="14"/>
      <c r="EM29" s="14"/>
      <c r="EN29" s="14"/>
      <c r="EO29" s="14"/>
      <c r="EP29" s="14"/>
      <c r="EQ29" s="14"/>
      <c r="ER29" s="14"/>
      <c r="ES29" s="14"/>
      <c r="ET29" s="14"/>
      <c r="EU29" s="14"/>
      <c r="EV29" s="14"/>
      <c r="EW29" s="14"/>
      <c r="EX29" s="14"/>
      <c r="EY29" s="14"/>
      <c r="EZ29" s="14"/>
      <c r="FA29" s="14"/>
      <c r="FB29" s="14"/>
      <c r="FC29" s="14"/>
      <c r="FD29" s="14"/>
      <c r="FE29" s="14"/>
      <c r="FF29" s="14"/>
      <c r="FG29" s="14"/>
      <c r="FH29" s="14"/>
      <c r="FI29" s="14"/>
      <c r="FJ29" s="14"/>
      <c r="FK29" s="14"/>
      <c r="FL29" s="14"/>
      <c r="FM29" s="14"/>
      <c r="FN29" s="14"/>
      <c r="FO29" s="14"/>
      <c r="FP29" s="14"/>
      <c r="FQ29" s="14"/>
      <c r="FR29" s="14"/>
      <c r="FS29" s="14"/>
      <c r="FT29" s="14"/>
      <c r="FU29" s="14"/>
      <c r="FV29" s="14"/>
      <c r="FW29" s="14"/>
      <c r="FX29" s="14"/>
      <c r="FY29" s="14"/>
      <c r="FZ29" s="14"/>
      <c r="GA29" s="14"/>
      <c r="GB29" s="14"/>
      <c r="GC29" s="14"/>
      <c r="GD29" s="14"/>
      <c r="GE29" s="14"/>
      <c r="GF29" s="14"/>
      <c r="GG29" s="14"/>
      <c r="GH29" s="14"/>
      <c r="GI29" s="14"/>
      <c r="GJ29" s="14"/>
      <c r="GK29" s="14"/>
      <c r="GL29" s="14"/>
      <c r="GM29" s="14"/>
      <c r="GN29" s="14"/>
      <c r="GO29" s="14"/>
      <c r="GP29" s="14"/>
      <c r="GQ29" s="14"/>
      <c r="GR29" s="14"/>
      <c r="GS29" s="14"/>
      <c r="GT29" s="14"/>
      <c r="GU29" s="14"/>
      <c r="GV29" s="14"/>
      <c r="GW29" s="14"/>
      <c r="GX29" s="14"/>
      <c r="GY29" s="14"/>
      <c r="GZ29" s="14"/>
      <c r="HA29" s="14"/>
      <c r="HB29" s="14"/>
      <c r="HC29" s="14"/>
      <c r="HD29" s="14"/>
      <c r="HE29" s="14"/>
      <c r="HF29" s="14"/>
      <c r="HG29" s="14"/>
      <c r="HH29" s="14"/>
      <c r="HI29" s="14"/>
      <c r="HJ29" s="14"/>
      <c r="HK29" s="14"/>
      <c r="HL29" s="14"/>
      <c r="HM29" s="14"/>
      <c r="HN29" s="14"/>
      <c r="HO29" s="14"/>
      <c r="HP29" s="14"/>
      <c r="HQ29" s="14"/>
      <c r="HR29" s="14"/>
      <c r="HS29" s="14"/>
      <c r="HT29" s="14"/>
    </row>
    <row r="30" spans="1:228" ht="18" customHeight="1" x14ac:dyDescent="0.2">
      <c r="A30" s="189"/>
      <c r="B30" s="316" t="s">
        <v>624</v>
      </c>
      <c r="C30" s="1870"/>
      <c r="D30" s="1871"/>
      <c r="E30" s="1362" t="s">
        <v>625</v>
      </c>
      <c r="F30" s="1363"/>
      <c r="G30" s="1363"/>
      <c r="H30" s="1363"/>
      <c r="I30" s="1363"/>
      <c r="J30" s="1363"/>
      <c r="K30" s="1363"/>
      <c r="L30" s="1363"/>
      <c r="M30" s="1363"/>
      <c r="N30" s="1363"/>
      <c r="O30" s="1364"/>
      <c r="P30" s="303">
        <f>IF(T30=1,0.2,0)</f>
        <v>0</v>
      </c>
      <c r="R30" s="18"/>
      <c r="S30" s="706" t="b">
        <v>0</v>
      </c>
      <c r="T30" s="908">
        <f>IF(S30=TRUE,1,0)</f>
        <v>0</v>
      </c>
      <c r="U30" s="18"/>
      <c r="V30" s="18"/>
      <c r="W30" s="18">
        <v>1E-4</v>
      </c>
      <c r="X30" s="1111"/>
      <c r="Y30" s="1111"/>
      <c r="Z30" s="1111"/>
      <c r="AA30" s="1111"/>
      <c r="AB30" s="1111"/>
      <c r="AC30" s="1111"/>
      <c r="AD30" s="1111"/>
      <c r="AE30" s="1111"/>
      <c r="AF30" s="1111"/>
      <c r="AG30" s="1111"/>
      <c r="AH30" s="1111"/>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4"/>
      <c r="BR30" s="14"/>
      <c r="BS30" s="14"/>
      <c r="BT30" s="14"/>
      <c r="BU30" s="14"/>
      <c r="BV30" s="14"/>
      <c r="BW30" s="14"/>
      <c r="BX30" s="14"/>
      <c r="BY30" s="14"/>
      <c r="BZ30" s="14"/>
      <c r="CA30" s="14"/>
      <c r="CB30" s="14"/>
      <c r="CC30" s="14"/>
      <c r="CD30" s="14"/>
      <c r="CE30" s="14"/>
      <c r="CF30" s="14"/>
      <c r="CG30" s="14"/>
      <c r="CH30" s="14"/>
      <c r="CI30" s="14"/>
      <c r="CJ30" s="14"/>
      <c r="CK30" s="14"/>
      <c r="CL30" s="14"/>
      <c r="CM30" s="14"/>
      <c r="CN30" s="14"/>
      <c r="CO30" s="14"/>
      <c r="CP30" s="14"/>
      <c r="CQ30" s="14"/>
      <c r="CR30" s="14"/>
      <c r="CS30" s="14"/>
      <c r="CT30" s="14"/>
      <c r="CU30" s="14"/>
      <c r="CV30" s="14"/>
      <c r="CW30" s="14"/>
      <c r="CX30" s="14"/>
      <c r="CY30" s="14"/>
      <c r="CZ30" s="14"/>
      <c r="DA30" s="14"/>
      <c r="DB30" s="14"/>
      <c r="DC30" s="14"/>
      <c r="DD30" s="14"/>
      <c r="DE30" s="14"/>
      <c r="DF30" s="14"/>
      <c r="DG30" s="14"/>
      <c r="DH30" s="14"/>
      <c r="DI30" s="14"/>
      <c r="DJ30" s="14"/>
      <c r="DK30" s="14"/>
      <c r="DL30" s="14"/>
      <c r="DM30" s="14"/>
      <c r="DN30" s="14"/>
      <c r="DO30" s="14"/>
      <c r="DP30" s="14"/>
      <c r="DQ30" s="14"/>
      <c r="DR30" s="14"/>
      <c r="DS30" s="14"/>
      <c r="DT30" s="14"/>
      <c r="DU30" s="14"/>
      <c r="DV30" s="14"/>
      <c r="DW30" s="14"/>
      <c r="DX30" s="14"/>
      <c r="DY30" s="14"/>
      <c r="DZ30" s="14"/>
      <c r="EA30" s="14"/>
      <c r="EB30" s="14"/>
      <c r="EC30" s="14"/>
      <c r="ED30" s="14"/>
      <c r="EE30" s="14"/>
      <c r="EF30" s="14"/>
      <c r="EG30" s="14"/>
      <c r="EH30" s="14"/>
      <c r="EI30" s="14"/>
      <c r="EJ30" s="14"/>
      <c r="EK30" s="14"/>
      <c r="EL30" s="14"/>
      <c r="EM30" s="14"/>
      <c r="EN30" s="14"/>
      <c r="EO30" s="14"/>
      <c r="EP30" s="14"/>
      <c r="EQ30" s="14"/>
      <c r="ER30" s="14"/>
      <c r="ES30" s="14"/>
      <c r="ET30" s="14"/>
      <c r="EU30" s="14"/>
      <c r="EV30" s="14"/>
      <c r="EW30" s="14"/>
      <c r="EX30" s="14"/>
      <c r="EY30" s="14"/>
      <c r="EZ30" s="14"/>
      <c r="FA30" s="14"/>
      <c r="FB30" s="14"/>
      <c r="FC30" s="14"/>
      <c r="FD30" s="14"/>
      <c r="FE30" s="14"/>
      <c r="FF30" s="14"/>
      <c r="FG30" s="14"/>
      <c r="FH30" s="14"/>
      <c r="FI30" s="14"/>
      <c r="FJ30" s="14"/>
      <c r="FK30" s="14"/>
      <c r="FL30" s="14"/>
      <c r="FM30" s="14"/>
      <c r="FN30" s="14"/>
      <c r="FO30" s="14"/>
      <c r="FP30" s="14"/>
      <c r="FQ30" s="14"/>
      <c r="FR30" s="14"/>
      <c r="FS30" s="14"/>
      <c r="FT30" s="14"/>
      <c r="FU30" s="14"/>
      <c r="FV30" s="14"/>
      <c r="FW30" s="14"/>
      <c r="FX30" s="14"/>
      <c r="FY30" s="14"/>
      <c r="FZ30" s="14"/>
      <c r="GA30" s="14"/>
      <c r="GB30" s="14"/>
      <c r="GC30" s="14"/>
      <c r="GD30" s="14"/>
      <c r="GE30" s="14"/>
      <c r="GF30" s="14"/>
      <c r="GG30" s="14"/>
      <c r="GH30" s="14"/>
      <c r="GI30" s="14"/>
      <c r="GJ30" s="14"/>
      <c r="GK30" s="14"/>
      <c r="GL30" s="14"/>
      <c r="GM30" s="14"/>
      <c r="GN30" s="14"/>
      <c r="GO30" s="14"/>
      <c r="GP30" s="14"/>
      <c r="GQ30" s="14"/>
      <c r="GR30" s="14"/>
      <c r="GS30" s="14"/>
      <c r="GT30" s="14"/>
      <c r="GU30" s="14"/>
      <c r="GV30" s="14"/>
      <c r="GW30" s="14"/>
      <c r="GX30" s="14"/>
      <c r="GY30" s="14"/>
      <c r="GZ30" s="14"/>
      <c r="HA30" s="14"/>
      <c r="HB30" s="14"/>
      <c r="HC30" s="14"/>
      <c r="HD30" s="14"/>
      <c r="HE30" s="14"/>
      <c r="HF30" s="14"/>
      <c r="HG30" s="14"/>
      <c r="HH30" s="14"/>
      <c r="HI30" s="14"/>
      <c r="HJ30" s="14"/>
      <c r="HK30" s="14"/>
      <c r="HL30" s="14"/>
      <c r="HM30" s="14"/>
      <c r="HN30" s="14"/>
      <c r="HO30" s="14"/>
      <c r="HP30" s="14"/>
      <c r="HQ30" s="14"/>
      <c r="HR30" s="14"/>
      <c r="HS30" s="14"/>
      <c r="HT30" s="14"/>
    </row>
    <row r="31" spans="1:228" ht="18" customHeight="1" x14ac:dyDescent="0.2">
      <c r="B31" s="471" t="s">
        <v>626</v>
      </c>
      <c r="C31" s="1925"/>
      <c r="D31" s="1925"/>
      <c r="E31" s="1546" t="s">
        <v>627</v>
      </c>
      <c r="F31" s="1547"/>
      <c r="G31" s="1547"/>
      <c r="H31" s="1547"/>
      <c r="I31" s="1547"/>
      <c r="J31" s="1547"/>
      <c r="K31" s="1547"/>
      <c r="L31" s="1547"/>
      <c r="M31" s="1547"/>
      <c r="N31" s="1547"/>
      <c r="O31" s="1548"/>
      <c r="P31" s="338">
        <f>IF(T31=1,0.3,0)</f>
        <v>0</v>
      </c>
      <c r="R31" s="18"/>
      <c r="S31" s="706" t="b">
        <v>0</v>
      </c>
      <c r="T31" s="908">
        <f>IF(S31=TRUE,1,0)</f>
        <v>0</v>
      </c>
      <c r="U31" s="18"/>
      <c r="V31" s="18"/>
      <c r="W31" s="18"/>
      <c r="X31" s="1111"/>
      <c r="Y31" s="1111"/>
      <c r="Z31" s="1111"/>
      <c r="AA31" s="1111"/>
      <c r="AB31" s="1111"/>
      <c r="AC31" s="1111"/>
      <c r="AD31" s="1111"/>
      <c r="AE31" s="1111"/>
      <c r="AF31" s="1111"/>
      <c r="AG31" s="1111"/>
      <c r="AH31" s="1111"/>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4"/>
      <c r="DE31" s="14"/>
      <c r="DF31" s="14"/>
      <c r="DG31" s="14"/>
      <c r="DH31" s="14"/>
      <c r="DI31" s="14"/>
      <c r="DJ31" s="14"/>
      <c r="DK31" s="14"/>
      <c r="DL31" s="14"/>
      <c r="DM31" s="14"/>
      <c r="DN31" s="14"/>
      <c r="DO31" s="14"/>
      <c r="DP31" s="14"/>
      <c r="DQ31" s="14"/>
      <c r="DR31" s="14"/>
      <c r="DS31" s="14"/>
      <c r="DT31" s="14"/>
      <c r="DU31" s="14"/>
      <c r="DV31" s="14"/>
      <c r="DW31" s="14"/>
      <c r="DX31" s="14"/>
      <c r="DY31" s="14"/>
      <c r="DZ31" s="14"/>
      <c r="EA31" s="14"/>
      <c r="EB31" s="14"/>
      <c r="EC31" s="14"/>
      <c r="ED31" s="14"/>
      <c r="EE31" s="14"/>
      <c r="EF31" s="14"/>
      <c r="EG31" s="14"/>
      <c r="EH31" s="14"/>
      <c r="EI31" s="14"/>
      <c r="EJ31" s="14"/>
      <c r="EK31" s="14"/>
      <c r="EL31" s="14"/>
      <c r="EM31" s="14"/>
      <c r="EN31" s="14"/>
      <c r="EO31" s="14"/>
      <c r="EP31" s="14"/>
      <c r="EQ31" s="14"/>
      <c r="ER31" s="14"/>
      <c r="ES31" s="14"/>
      <c r="ET31" s="14"/>
      <c r="EU31" s="14"/>
      <c r="EV31" s="14"/>
      <c r="EW31" s="14"/>
      <c r="EX31" s="14"/>
      <c r="EY31" s="14"/>
      <c r="EZ31" s="14"/>
      <c r="FA31" s="14"/>
      <c r="FB31" s="14"/>
      <c r="FC31" s="14"/>
      <c r="FD31" s="14"/>
      <c r="FE31" s="14"/>
      <c r="FF31" s="14"/>
      <c r="FG31" s="14"/>
      <c r="FH31" s="14"/>
      <c r="FI31" s="14"/>
      <c r="FJ31" s="14"/>
      <c r="FK31" s="14"/>
      <c r="FL31" s="14"/>
      <c r="FM31" s="14"/>
      <c r="FN31" s="14"/>
      <c r="FO31" s="14"/>
      <c r="FP31" s="14"/>
      <c r="FQ31" s="14"/>
      <c r="FR31" s="14"/>
      <c r="FS31" s="14"/>
      <c r="FT31" s="14"/>
      <c r="FU31" s="14"/>
      <c r="FV31" s="14"/>
      <c r="FW31" s="14"/>
      <c r="FX31" s="14"/>
      <c r="FY31" s="14"/>
      <c r="FZ31" s="14"/>
      <c r="GA31" s="14"/>
      <c r="GB31" s="14"/>
      <c r="GC31" s="14"/>
      <c r="GD31" s="14"/>
      <c r="GE31" s="14"/>
      <c r="GF31" s="14"/>
      <c r="GG31" s="14"/>
      <c r="GH31" s="14"/>
      <c r="GI31" s="14"/>
      <c r="GJ31" s="14"/>
      <c r="GK31" s="14"/>
      <c r="GL31" s="14"/>
      <c r="GM31" s="14"/>
      <c r="GN31" s="14"/>
      <c r="GO31" s="14"/>
      <c r="GP31" s="14"/>
      <c r="GQ31" s="14"/>
      <c r="GR31" s="14"/>
      <c r="GS31" s="14"/>
      <c r="GT31" s="14"/>
      <c r="GU31" s="14"/>
      <c r="GV31" s="14"/>
      <c r="GW31" s="14"/>
      <c r="GX31" s="14"/>
      <c r="GY31" s="14"/>
      <c r="GZ31" s="14"/>
      <c r="HA31" s="14"/>
      <c r="HB31" s="14"/>
      <c r="HC31" s="14"/>
      <c r="HD31" s="14"/>
      <c r="HE31" s="14"/>
      <c r="HF31" s="14"/>
      <c r="HG31" s="14"/>
      <c r="HH31" s="14"/>
      <c r="HI31" s="14"/>
      <c r="HJ31" s="14"/>
      <c r="HK31" s="14"/>
      <c r="HL31" s="14"/>
      <c r="HM31" s="14"/>
      <c r="HN31" s="14"/>
      <c r="HO31" s="14"/>
      <c r="HP31" s="14"/>
      <c r="HQ31" s="14"/>
      <c r="HR31" s="14"/>
      <c r="HS31" s="14"/>
      <c r="HT31" s="14"/>
    </row>
    <row r="32" spans="1:228" ht="12" customHeight="1" x14ac:dyDescent="0.2">
      <c r="B32" s="1877"/>
      <c r="C32" s="1877"/>
      <c r="D32" s="1877"/>
      <c r="E32" s="1877"/>
      <c r="F32" s="1877"/>
      <c r="G32" s="1877"/>
      <c r="H32" s="1877"/>
      <c r="I32" s="1877"/>
      <c r="J32" s="1877"/>
      <c r="K32" s="1877"/>
      <c r="L32" s="1877"/>
      <c r="M32" s="1877"/>
      <c r="N32" s="1877"/>
      <c r="O32" s="1877"/>
      <c r="R32" s="18"/>
      <c r="S32" s="18"/>
      <c r="T32" s="18"/>
      <c r="U32" s="18"/>
      <c r="V32" s="18"/>
      <c r="W32" s="63"/>
      <c r="X32" s="1111"/>
      <c r="Y32" s="1111"/>
      <c r="Z32" s="1111"/>
      <c r="AA32" s="1111"/>
      <c r="AB32" s="1111"/>
      <c r="AC32" s="1111"/>
      <c r="AD32" s="1111"/>
      <c r="AE32" s="1111"/>
      <c r="AF32" s="1111"/>
      <c r="AG32" s="1111"/>
      <c r="AH32" s="1111"/>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c r="CP32" s="14"/>
      <c r="CQ32" s="14"/>
      <c r="CR32" s="14"/>
      <c r="CS32" s="14"/>
      <c r="CT32" s="14"/>
      <c r="CU32" s="14"/>
      <c r="CV32" s="14"/>
      <c r="CW32" s="14"/>
      <c r="CX32" s="14"/>
      <c r="CY32" s="14"/>
      <c r="CZ32" s="14"/>
      <c r="DA32" s="14"/>
      <c r="DB32" s="14"/>
      <c r="DC32" s="14"/>
      <c r="DD32" s="14"/>
      <c r="DE32" s="14"/>
      <c r="DF32" s="14"/>
      <c r="DG32" s="14"/>
      <c r="DH32" s="14"/>
      <c r="DI32" s="14"/>
      <c r="DJ32" s="14"/>
      <c r="DK32" s="14"/>
      <c r="DL32" s="14"/>
      <c r="DM32" s="14"/>
      <c r="DN32" s="14"/>
      <c r="DO32" s="14"/>
      <c r="DP32" s="14"/>
      <c r="DQ32" s="14"/>
      <c r="DR32" s="14"/>
      <c r="DS32" s="14"/>
      <c r="DT32" s="14"/>
      <c r="DU32" s="14"/>
      <c r="DV32" s="14"/>
      <c r="DW32" s="14"/>
      <c r="DX32" s="14"/>
      <c r="DY32" s="14"/>
      <c r="DZ32" s="14"/>
      <c r="EA32" s="14"/>
      <c r="EB32" s="14"/>
      <c r="EC32" s="14"/>
      <c r="ED32" s="14"/>
      <c r="EE32" s="14"/>
      <c r="EF32" s="14"/>
      <c r="EG32" s="14"/>
      <c r="EH32" s="14"/>
      <c r="EI32" s="14"/>
      <c r="EJ32" s="14"/>
      <c r="EK32" s="14"/>
      <c r="EL32" s="14"/>
      <c r="EM32" s="14"/>
      <c r="EN32" s="14"/>
      <c r="EO32" s="14"/>
      <c r="EP32" s="14"/>
      <c r="EQ32" s="14"/>
      <c r="ER32" s="14"/>
      <c r="ES32" s="14"/>
      <c r="ET32" s="14"/>
      <c r="EU32" s="14"/>
      <c r="EV32" s="14"/>
      <c r="EW32" s="14"/>
      <c r="EX32" s="14"/>
      <c r="EY32" s="14"/>
      <c r="EZ32" s="14"/>
      <c r="FA32" s="14"/>
      <c r="FB32" s="14"/>
      <c r="FC32" s="14"/>
      <c r="FD32" s="14"/>
      <c r="FE32" s="14"/>
      <c r="FF32" s="14"/>
      <c r="FG32" s="14"/>
      <c r="FH32" s="14"/>
      <c r="FI32" s="14"/>
      <c r="FJ32" s="14"/>
      <c r="FK32" s="14"/>
      <c r="FL32" s="14"/>
      <c r="FM32" s="14"/>
      <c r="FN32" s="14"/>
      <c r="FO32" s="14"/>
      <c r="FP32" s="14"/>
      <c r="FQ32" s="14"/>
      <c r="FR32" s="14"/>
      <c r="FS32" s="14"/>
      <c r="FT32" s="14"/>
      <c r="FU32" s="14"/>
      <c r="FV32" s="14"/>
      <c r="FW32" s="14"/>
      <c r="FX32" s="14"/>
      <c r="FY32" s="14"/>
      <c r="FZ32" s="14"/>
      <c r="GA32" s="14"/>
      <c r="GB32" s="14"/>
      <c r="GC32" s="14"/>
      <c r="GD32" s="14"/>
      <c r="GE32" s="14"/>
      <c r="GF32" s="14"/>
      <c r="GG32" s="14"/>
      <c r="GH32" s="14"/>
      <c r="GI32" s="14"/>
      <c r="GJ32" s="14"/>
      <c r="GK32" s="14"/>
      <c r="GL32" s="14"/>
      <c r="GM32" s="14"/>
      <c r="GN32" s="14"/>
      <c r="GO32" s="14"/>
      <c r="GP32" s="14"/>
      <c r="GQ32" s="14"/>
      <c r="GR32" s="14"/>
      <c r="GS32" s="14"/>
      <c r="GT32" s="14"/>
      <c r="GU32" s="14"/>
      <c r="GV32" s="14"/>
      <c r="GW32" s="14"/>
      <c r="GX32" s="14"/>
      <c r="GY32" s="14"/>
      <c r="GZ32" s="14"/>
      <c r="HA32" s="14"/>
      <c r="HB32" s="14"/>
      <c r="HC32" s="14"/>
      <c r="HD32" s="14"/>
      <c r="HE32" s="14"/>
      <c r="HF32" s="14"/>
      <c r="HG32" s="14"/>
      <c r="HH32" s="14"/>
      <c r="HI32" s="14"/>
      <c r="HJ32" s="14"/>
      <c r="HK32" s="14"/>
      <c r="HL32" s="14"/>
      <c r="HM32" s="14"/>
      <c r="HN32" s="14"/>
      <c r="HO32" s="14"/>
      <c r="HP32" s="14"/>
      <c r="HQ32" s="14"/>
      <c r="HR32" s="14"/>
      <c r="HS32" s="14"/>
      <c r="HT32" s="14"/>
    </row>
    <row r="33" spans="2:228" ht="27" customHeight="1" x14ac:dyDescent="0.2">
      <c r="B33" s="1632" t="s">
        <v>443</v>
      </c>
      <c r="C33" s="1633"/>
      <c r="D33" s="1633"/>
      <c r="E33" s="1633"/>
      <c r="F33" s="1633"/>
      <c r="G33" s="1626" t="s">
        <v>1525</v>
      </c>
      <c r="H33" s="1627"/>
      <c r="I33" s="1627"/>
      <c r="J33" s="1627"/>
      <c r="K33" s="1628"/>
      <c r="L33" s="1616"/>
      <c r="M33" s="1617"/>
      <c r="N33" s="1617"/>
      <c r="O33" s="1618"/>
      <c r="P33" s="1481">
        <f>IF(J41&gt;0,J41,V39)</f>
        <v>0</v>
      </c>
      <c r="R33" s="18"/>
      <c r="S33" s="908" t="s">
        <v>1865</v>
      </c>
      <c r="T33" s="908" t="s">
        <v>1305</v>
      </c>
      <c r="U33" s="908" t="s">
        <v>1306</v>
      </c>
      <c r="V33" s="908" t="s">
        <v>1307</v>
      </c>
      <c r="W33" s="63"/>
      <c r="X33" s="1111"/>
      <c r="Y33" s="1111"/>
      <c r="Z33" s="1111"/>
      <c r="AA33" s="1111"/>
      <c r="AB33" s="1111"/>
      <c r="AC33" s="1111"/>
      <c r="AD33" s="1111"/>
      <c r="AE33" s="1111"/>
      <c r="AF33" s="1111"/>
      <c r="AG33" s="1111"/>
      <c r="AH33" s="1111"/>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c r="CP33" s="14"/>
      <c r="CQ33" s="14"/>
      <c r="CR33" s="14"/>
      <c r="CS33" s="14"/>
      <c r="CT33" s="14"/>
      <c r="CU33" s="14"/>
      <c r="CV33" s="14"/>
      <c r="CW33" s="14"/>
      <c r="CX33" s="14"/>
      <c r="CY33" s="14"/>
      <c r="CZ33" s="14"/>
      <c r="DA33" s="14"/>
      <c r="DB33" s="14"/>
      <c r="DC33" s="14"/>
      <c r="DD33" s="14"/>
      <c r="DE33" s="14"/>
      <c r="DF33" s="14"/>
      <c r="DG33" s="14"/>
      <c r="DH33" s="14"/>
      <c r="DI33" s="14"/>
      <c r="DJ33" s="14"/>
      <c r="DK33" s="14"/>
      <c r="DL33" s="14"/>
      <c r="DM33" s="14"/>
      <c r="DN33" s="14"/>
      <c r="DO33" s="14"/>
      <c r="DP33" s="14"/>
      <c r="DQ33" s="14"/>
      <c r="DR33" s="14"/>
      <c r="DS33" s="14"/>
      <c r="DT33" s="14"/>
      <c r="DU33" s="14"/>
      <c r="DV33" s="14"/>
      <c r="DW33" s="14"/>
      <c r="DX33" s="14"/>
      <c r="DY33" s="14"/>
      <c r="DZ33" s="14"/>
      <c r="EA33" s="14"/>
      <c r="EB33" s="14"/>
      <c r="EC33" s="14"/>
      <c r="ED33" s="14"/>
      <c r="EE33" s="14"/>
      <c r="EF33" s="14"/>
      <c r="EG33" s="14"/>
      <c r="EH33" s="14"/>
      <c r="EI33" s="14"/>
      <c r="EJ33" s="14"/>
      <c r="EK33" s="14"/>
      <c r="EL33" s="14"/>
      <c r="EM33" s="14"/>
      <c r="EN33" s="14"/>
      <c r="EO33" s="14"/>
      <c r="EP33" s="14"/>
      <c r="EQ33" s="14"/>
      <c r="ER33" s="14"/>
      <c r="ES33" s="14"/>
      <c r="ET33" s="14"/>
      <c r="EU33" s="14"/>
      <c r="EV33" s="14"/>
      <c r="EW33" s="14"/>
      <c r="EX33" s="14"/>
      <c r="EY33" s="14"/>
      <c r="EZ33" s="14"/>
      <c r="FA33" s="14"/>
      <c r="FB33" s="14"/>
      <c r="FC33" s="14"/>
      <c r="FD33" s="14"/>
      <c r="FE33" s="14"/>
      <c r="FF33" s="14"/>
      <c r="FG33" s="14"/>
      <c r="FH33" s="14"/>
      <c r="FI33" s="14"/>
      <c r="FJ33" s="14"/>
      <c r="FK33" s="14"/>
      <c r="FL33" s="14"/>
      <c r="FM33" s="14"/>
      <c r="FN33" s="14"/>
      <c r="FO33" s="14"/>
      <c r="FP33" s="14"/>
      <c r="FQ33" s="14"/>
      <c r="FR33" s="14"/>
      <c r="FS33" s="14"/>
      <c r="FT33" s="14"/>
      <c r="FU33" s="14"/>
      <c r="FV33" s="14"/>
      <c r="FW33" s="14"/>
      <c r="FX33" s="14"/>
      <c r="FY33" s="14"/>
      <c r="FZ33" s="14"/>
      <c r="GA33" s="14"/>
      <c r="GB33" s="14"/>
      <c r="GC33" s="14"/>
      <c r="GD33" s="14"/>
      <c r="GE33" s="14"/>
      <c r="GF33" s="14"/>
      <c r="GG33" s="14"/>
      <c r="GH33" s="14"/>
      <c r="GI33" s="14"/>
      <c r="GJ33" s="14"/>
      <c r="GK33" s="14"/>
      <c r="GL33" s="14"/>
      <c r="GM33" s="14"/>
      <c r="GN33" s="14"/>
      <c r="GO33" s="14"/>
      <c r="GP33" s="14"/>
      <c r="GQ33" s="14"/>
      <c r="GR33" s="14"/>
      <c r="GS33" s="14"/>
      <c r="GT33" s="14"/>
      <c r="GU33" s="14"/>
      <c r="GV33" s="14"/>
      <c r="GW33" s="14"/>
      <c r="GX33" s="14"/>
      <c r="GY33" s="14"/>
      <c r="GZ33" s="14"/>
      <c r="HA33" s="14"/>
      <c r="HB33" s="14"/>
      <c r="HC33" s="14"/>
      <c r="HD33" s="14"/>
      <c r="HE33" s="14"/>
      <c r="HF33" s="14"/>
      <c r="HG33" s="14"/>
      <c r="HH33" s="14"/>
      <c r="HI33" s="14"/>
      <c r="HJ33" s="14"/>
      <c r="HK33" s="14"/>
      <c r="HL33" s="14"/>
      <c r="HM33" s="14"/>
      <c r="HN33" s="14"/>
      <c r="HO33" s="14"/>
      <c r="HP33" s="14"/>
      <c r="HQ33" s="14"/>
      <c r="HR33" s="14"/>
      <c r="HS33" s="14"/>
      <c r="HT33" s="14"/>
    </row>
    <row r="34" spans="2:228" ht="18" customHeight="1" x14ac:dyDescent="0.2">
      <c r="B34" s="1394" t="s">
        <v>628</v>
      </c>
      <c r="C34" s="1394"/>
      <c r="D34" s="1394"/>
      <c r="E34" s="1623">
        <f>P8</f>
        <v>0</v>
      </c>
      <c r="F34" s="1624"/>
      <c r="G34" s="1702" t="s">
        <v>1942</v>
      </c>
      <c r="H34" s="1627"/>
      <c r="I34" s="1628"/>
      <c r="J34" s="2065"/>
      <c r="K34" s="2066"/>
      <c r="L34" s="1619"/>
      <c r="M34" s="1620"/>
      <c r="N34" s="1620"/>
      <c r="O34" s="1621"/>
      <c r="P34" s="1631"/>
      <c r="R34" s="18"/>
      <c r="S34" s="910">
        <f>E34</f>
        <v>0</v>
      </c>
      <c r="T34" s="909">
        <f>LARGE($S$34:$S$40,1)</f>
        <v>0</v>
      </c>
      <c r="U34" s="684">
        <f>T34+T35*(1-T34)</f>
        <v>0</v>
      </c>
      <c r="V34" s="910">
        <f t="shared" ref="V34:V39" si="0">ROUND(U34,2)</f>
        <v>0</v>
      </c>
      <c r="W34" s="63"/>
      <c r="X34" s="1111"/>
      <c r="Y34" s="1111"/>
      <c r="Z34" s="1111"/>
      <c r="AA34" s="1111"/>
      <c r="AB34" s="1111"/>
      <c r="AC34" s="1111"/>
      <c r="AD34" s="1111"/>
      <c r="AE34" s="1111"/>
      <c r="AF34" s="1111"/>
      <c r="AG34" s="1111"/>
      <c r="AH34" s="1111"/>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c r="CP34" s="14"/>
      <c r="CQ34" s="14"/>
      <c r="CR34" s="14"/>
      <c r="CS34" s="14"/>
      <c r="CT34" s="14"/>
      <c r="CU34" s="14"/>
      <c r="CV34" s="14"/>
      <c r="CW34" s="14"/>
      <c r="CX34" s="14"/>
      <c r="CY34" s="14"/>
      <c r="CZ34" s="14"/>
      <c r="DA34" s="14"/>
      <c r="DB34" s="14"/>
      <c r="DC34" s="14"/>
      <c r="DD34" s="14"/>
      <c r="DE34" s="14"/>
      <c r="DF34" s="14"/>
      <c r="DG34" s="14"/>
      <c r="DH34" s="14"/>
      <c r="DI34" s="14"/>
      <c r="DJ34" s="14"/>
      <c r="DK34" s="14"/>
      <c r="DL34" s="14"/>
      <c r="DM34" s="14"/>
      <c r="DN34" s="14"/>
      <c r="DO34" s="14"/>
      <c r="DP34" s="14"/>
      <c r="DQ34" s="14"/>
      <c r="DR34" s="14"/>
      <c r="DS34" s="14"/>
      <c r="DT34" s="14"/>
      <c r="DU34" s="14"/>
      <c r="DV34" s="14"/>
      <c r="DW34" s="14"/>
      <c r="DX34" s="14"/>
      <c r="DY34" s="14"/>
      <c r="DZ34" s="14"/>
      <c r="EA34" s="14"/>
      <c r="EB34" s="14"/>
      <c r="EC34" s="14"/>
      <c r="ED34" s="14"/>
      <c r="EE34" s="14"/>
      <c r="EF34" s="14"/>
      <c r="EG34" s="14"/>
      <c r="EH34" s="14"/>
      <c r="EI34" s="14"/>
      <c r="EJ34" s="14"/>
      <c r="EK34" s="14"/>
      <c r="EL34" s="14"/>
      <c r="EM34" s="14"/>
      <c r="EN34" s="14"/>
      <c r="EO34" s="14"/>
      <c r="EP34" s="14"/>
      <c r="EQ34" s="14"/>
      <c r="ER34" s="14"/>
      <c r="ES34" s="14"/>
      <c r="ET34" s="14"/>
      <c r="EU34" s="14"/>
      <c r="EV34" s="14"/>
      <c r="EW34" s="14"/>
      <c r="EX34" s="14"/>
      <c r="EY34" s="14"/>
      <c r="EZ34" s="14"/>
      <c r="FA34" s="14"/>
      <c r="FB34" s="14"/>
      <c r="FC34" s="14"/>
      <c r="FD34" s="14"/>
      <c r="FE34" s="14"/>
      <c r="FF34" s="14"/>
      <c r="FG34" s="14"/>
      <c r="FH34" s="14"/>
      <c r="FI34" s="14"/>
      <c r="FJ34" s="14"/>
      <c r="FK34" s="14"/>
      <c r="FL34" s="14"/>
      <c r="FM34" s="14"/>
      <c r="FN34" s="14"/>
      <c r="FO34" s="14"/>
      <c r="FP34" s="14"/>
      <c r="FQ34" s="14"/>
      <c r="FR34" s="14"/>
      <c r="FS34" s="14"/>
      <c r="FT34" s="14"/>
      <c r="FU34" s="14"/>
      <c r="FV34" s="14"/>
      <c r="FW34" s="14"/>
      <c r="FX34" s="14"/>
      <c r="FY34" s="14"/>
      <c r="FZ34" s="14"/>
      <c r="GA34" s="14"/>
      <c r="GB34" s="14"/>
      <c r="GC34" s="14"/>
      <c r="GD34" s="14"/>
      <c r="GE34" s="14"/>
      <c r="GF34" s="14"/>
      <c r="GG34" s="14"/>
      <c r="GH34" s="14"/>
      <c r="GI34" s="14"/>
      <c r="GJ34" s="14"/>
      <c r="GK34" s="14"/>
      <c r="GL34" s="14"/>
      <c r="GM34" s="14"/>
      <c r="GN34" s="14"/>
      <c r="GO34" s="14"/>
      <c r="GP34" s="14"/>
      <c r="GQ34" s="14"/>
      <c r="GR34" s="14"/>
      <c r="GS34" s="14"/>
      <c r="GT34" s="14"/>
      <c r="GU34" s="14"/>
      <c r="GV34" s="14"/>
      <c r="GW34" s="14"/>
      <c r="GX34" s="14"/>
      <c r="GY34" s="14"/>
      <c r="GZ34" s="14"/>
      <c r="HA34" s="14"/>
      <c r="HB34" s="14"/>
      <c r="HC34" s="14"/>
      <c r="HD34" s="14"/>
      <c r="HE34" s="14"/>
      <c r="HF34" s="14"/>
      <c r="HG34" s="14"/>
      <c r="HH34" s="14"/>
      <c r="HI34" s="14"/>
      <c r="HJ34" s="14"/>
      <c r="HK34" s="14"/>
      <c r="HL34" s="14"/>
      <c r="HM34" s="14"/>
      <c r="HN34" s="14"/>
      <c r="HO34" s="14"/>
      <c r="HP34" s="14"/>
      <c r="HQ34" s="14"/>
      <c r="HR34" s="14"/>
      <c r="HS34" s="14"/>
      <c r="HT34" s="14"/>
    </row>
    <row r="35" spans="2:228" ht="18" customHeight="1" x14ac:dyDescent="0.2">
      <c r="B35" s="1410" t="s">
        <v>1959</v>
      </c>
      <c r="C35" s="1410"/>
      <c r="D35" s="1410"/>
      <c r="E35" s="1373">
        <f>IF(P427&gt;0,0,P21)</f>
        <v>0</v>
      </c>
      <c r="F35" s="1346"/>
      <c r="G35" s="1833" t="s">
        <v>2260</v>
      </c>
      <c r="H35" s="1834"/>
      <c r="I35" s="1835"/>
      <c r="J35" s="2065"/>
      <c r="K35" s="2066"/>
      <c r="L35" s="1619"/>
      <c r="M35" s="1620"/>
      <c r="N35" s="1620"/>
      <c r="O35" s="1621"/>
      <c r="P35" s="1631"/>
      <c r="R35" s="18"/>
      <c r="S35" s="909">
        <f>IF(J35&gt;0,J35,E35)</f>
        <v>0</v>
      </c>
      <c r="T35" s="909">
        <f>LARGE($S$34:$S$40,2)</f>
        <v>0</v>
      </c>
      <c r="U35" s="684">
        <f>V34+T36*(1-V34)</f>
        <v>0</v>
      </c>
      <c r="V35" s="910">
        <f t="shared" si="0"/>
        <v>0</v>
      </c>
      <c r="W35" s="63"/>
      <c r="X35" s="1111"/>
      <c r="Y35" s="1111"/>
      <c r="Z35" s="1111"/>
      <c r="AA35" s="1111"/>
      <c r="AB35" s="1111"/>
      <c r="AC35" s="1111"/>
      <c r="AD35" s="1111"/>
      <c r="AE35" s="1111"/>
      <c r="AF35" s="1111"/>
      <c r="AG35" s="1111"/>
      <c r="AH35" s="1111"/>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c r="CP35" s="14"/>
      <c r="CQ35" s="14"/>
      <c r="CR35" s="14"/>
      <c r="CS35" s="14"/>
      <c r="CT35" s="14"/>
      <c r="CU35" s="14"/>
      <c r="CV35" s="14"/>
      <c r="CW35" s="14"/>
      <c r="CX35" s="14"/>
      <c r="CY35" s="14"/>
      <c r="CZ35" s="14"/>
      <c r="DA35" s="14"/>
      <c r="DB35" s="14"/>
      <c r="DC35" s="14"/>
      <c r="DD35" s="14"/>
      <c r="DE35" s="14"/>
      <c r="DF35" s="14"/>
      <c r="DG35" s="14"/>
      <c r="DH35" s="14"/>
      <c r="DI35" s="14"/>
      <c r="DJ35" s="14"/>
      <c r="DK35" s="14"/>
      <c r="DL35" s="14"/>
      <c r="DM35" s="14"/>
      <c r="DN35" s="14"/>
      <c r="DO35" s="14"/>
      <c r="DP35" s="14"/>
      <c r="DQ35" s="14"/>
      <c r="DR35" s="14"/>
      <c r="DS35" s="14"/>
      <c r="DT35" s="14"/>
      <c r="DU35" s="14"/>
      <c r="DV35" s="14"/>
      <c r="DW35" s="14"/>
      <c r="DX35" s="14"/>
      <c r="DY35" s="14"/>
      <c r="DZ35" s="14"/>
      <c r="EA35" s="14"/>
      <c r="EB35" s="14"/>
      <c r="EC35" s="14"/>
      <c r="ED35" s="14"/>
      <c r="EE35" s="14"/>
      <c r="EF35" s="14"/>
      <c r="EG35" s="14"/>
      <c r="EH35" s="14"/>
      <c r="EI35" s="14"/>
      <c r="EJ35" s="14"/>
      <c r="EK35" s="14"/>
      <c r="EL35" s="14"/>
      <c r="EM35" s="14"/>
      <c r="EN35" s="14"/>
      <c r="EO35" s="14"/>
      <c r="EP35" s="14"/>
      <c r="EQ35" s="14"/>
      <c r="ER35" s="14"/>
      <c r="ES35" s="14"/>
      <c r="ET35" s="14"/>
      <c r="EU35" s="14"/>
      <c r="EV35" s="14"/>
      <c r="EW35" s="14"/>
      <c r="EX35" s="14"/>
      <c r="EY35" s="14"/>
      <c r="EZ35" s="14"/>
      <c r="FA35" s="14"/>
      <c r="FB35" s="14"/>
      <c r="FC35" s="14"/>
      <c r="FD35" s="14"/>
      <c r="FE35" s="14"/>
      <c r="FF35" s="14"/>
      <c r="FG35" s="14"/>
      <c r="FH35" s="14"/>
      <c r="FI35" s="14"/>
      <c r="FJ35" s="14"/>
      <c r="FK35" s="14"/>
      <c r="FL35" s="14"/>
      <c r="FM35" s="14"/>
      <c r="FN35" s="14"/>
      <c r="FO35" s="14"/>
      <c r="FP35" s="14"/>
      <c r="FQ35" s="14"/>
      <c r="FR35" s="14"/>
      <c r="FS35" s="14"/>
      <c r="FT35" s="14"/>
      <c r="FU35" s="14"/>
      <c r="FV35" s="14"/>
      <c r="FW35" s="14"/>
      <c r="FX35" s="14"/>
      <c r="FY35" s="14"/>
      <c r="FZ35" s="14"/>
      <c r="GA35" s="14"/>
      <c r="GB35" s="14"/>
      <c r="GC35" s="14"/>
      <c r="GD35" s="14"/>
      <c r="GE35" s="14"/>
      <c r="GF35" s="14"/>
      <c r="GG35" s="14"/>
      <c r="GH35" s="14"/>
      <c r="GI35" s="14"/>
      <c r="GJ35" s="14"/>
      <c r="GK35" s="14"/>
      <c r="GL35" s="14"/>
      <c r="GM35" s="14"/>
      <c r="GN35" s="14"/>
      <c r="GO35" s="14"/>
      <c r="GP35" s="14"/>
      <c r="GQ35" s="14"/>
      <c r="GR35" s="14"/>
      <c r="GS35" s="14"/>
      <c r="GT35" s="14"/>
      <c r="GU35" s="14"/>
      <c r="GV35" s="14"/>
      <c r="GW35" s="14"/>
      <c r="GX35" s="14"/>
      <c r="GY35" s="14"/>
      <c r="GZ35" s="14"/>
      <c r="HA35" s="14"/>
      <c r="HB35" s="14"/>
      <c r="HC35" s="14"/>
      <c r="HD35" s="14"/>
      <c r="HE35" s="14"/>
      <c r="HF35" s="14"/>
      <c r="HG35" s="14"/>
      <c r="HH35" s="14"/>
      <c r="HI35" s="14"/>
      <c r="HJ35" s="14"/>
      <c r="HK35" s="14"/>
      <c r="HL35" s="14"/>
      <c r="HM35" s="14"/>
      <c r="HN35" s="14"/>
      <c r="HO35" s="14"/>
      <c r="HP35" s="14"/>
      <c r="HQ35" s="14"/>
      <c r="HR35" s="14"/>
      <c r="HS35" s="14"/>
      <c r="HT35" s="14"/>
    </row>
    <row r="36" spans="2:228" ht="18" customHeight="1" x14ac:dyDescent="0.2">
      <c r="B36" s="1410" t="s">
        <v>2017</v>
      </c>
      <c r="C36" s="1410"/>
      <c r="D36" s="1410"/>
      <c r="E36" s="1373">
        <f>P24</f>
        <v>0</v>
      </c>
      <c r="F36" s="1346"/>
      <c r="G36" s="1658"/>
      <c r="H36" s="1658"/>
      <c r="I36" s="1658"/>
      <c r="J36" s="2073">
        <f>IF(AND(W36&lt;0.01,W36&gt;0),0.01,ROUND(W36,2))</f>
        <v>0</v>
      </c>
      <c r="K36" s="2073"/>
      <c r="L36" s="1619"/>
      <c r="M36" s="1620"/>
      <c r="N36" s="1620"/>
      <c r="O36" s="1621"/>
      <c r="P36" s="1631"/>
      <c r="R36" s="18"/>
      <c r="S36" s="909">
        <f>IF(J36&gt;0,J36,E36)</f>
        <v>0</v>
      </c>
      <c r="T36" s="909">
        <f>LARGE($S$34:$S$40,3)</f>
        <v>0</v>
      </c>
      <c r="U36" s="684">
        <f>V35+T37*(1-V35)</f>
        <v>0</v>
      </c>
      <c r="V36" s="910">
        <f t="shared" si="0"/>
        <v>0</v>
      </c>
      <c r="W36" s="907">
        <f>G36*E36</f>
        <v>0</v>
      </c>
      <c r="X36" s="1111"/>
      <c r="Y36" s="1111"/>
      <c r="Z36" s="1111"/>
      <c r="AA36" s="1111"/>
      <c r="AB36" s="1111"/>
      <c r="AC36" s="1111"/>
      <c r="AD36" s="1111"/>
      <c r="AE36" s="1111"/>
      <c r="AF36" s="1111"/>
      <c r="AG36" s="1111"/>
      <c r="AH36" s="1111"/>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c r="CP36" s="14"/>
      <c r="CQ36" s="14"/>
      <c r="CR36" s="14"/>
      <c r="CS36" s="14"/>
      <c r="CT36" s="14"/>
      <c r="CU36" s="14"/>
      <c r="CV36" s="14"/>
      <c r="CW36" s="14"/>
      <c r="CX36" s="14"/>
      <c r="CY36" s="14"/>
      <c r="CZ36" s="14"/>
      <c r="DA36" s="14"/>
      <c r="DB36" s="14"/>
      <c r="DC36" s="14"/>
      <c r="DD36" s="14"/>
      <c r="DE36" s="14"/>
      <c r="DF36" s="14"/>
      <c r="DG36" s="14"/>
      <c r="DH36" s="14"/>
      <c r="DI36" s="14"/>
      <c r="DJ36" s="14"/>
      <c r="DK36" s="14"/>
      <c r="DL36" s="14"/>
      <c r="DM36" s="14"/>
      <c r="DN36" s="14"/>
      <c r="DO36" s="14"/>
      <c r="DP36" s="14"/>
      <c r="DQ36" s="14"/>
      <c r="DR36" s="14"/>
      <c r="DS36" s="14"/>
      <c r="DT36" s="14"/>
      <c r="DU36" s="14"/>
      <c r="DV36" s="14"/>
      <c r="DW36" s="14"/>
      <c r="DX36" s="14"/>
      <c r="DY36" s="14"/>
      <c r="DZ36" s="14"/>
      <c r="EA36" s="14"/>
      <c r="EB36" s="14"/>
      <c r="EC36" s="14"/>
      <c r="ED36" s="14"/>
      <c r="EE36" s="14"/>
      <c r="EF36" s="14"/>
      <c r="EG36" s="14"/>
      <c r="EH36" s="14"/>
      <c r="EI36" s="14"/>
      <c r="EJ36" s="14"/>
      <c r="EK36" s="14"/>
      <c r="EL36" s="14"/>
      <c r="EM36" s="14"/>
      <c r="EN36" s="14"/>
      <c r="EO36" s="14"/>
      <c r="EP36" s="14"/>
      <c r="EQ36" s="14"/>
      <c r="ER36" s="14"/>
      <c r="ES36" s="14"/>
      <c r="ET36" s="14"/>
      <c r="EU36" s="14"/>
      <c r="EV36" s="14"/>
      <c r="EW36" s="14"/>
      <c r="EX36" s="14"/>
      <c r="EY36" s="14"/>
      <c r="EZ36" s="14"/>
      <c r="FA36" s="14"/>
      <c r="FB36" s="14"/>
      <c r="FC36" s="14"/>
      <c r="FD36" s="14"/>
      <c r="FE36" s="14"/>
      <c r="FF36" s="14"/>
      <c r="FG36" s="14"/>
      <c r="FH36" s="14"/>
      <c r="FI36" s="14"/>
      <c r="FJ36" s="14"/>
      <c r="FK36" s="14"/>
      <c r="FL36" s="14"/>
      <c r="FM36" s="14"/>
      <c r="FN36" s="14"/>
      <c r="FO36" s="14"/>
      <c r="FP36" s="14"/>
      <c r="FQ36" s="14"/>
      <c r="FR36" s="14"/>
      <c r="FS36" s="14"/>
      <c r="FT36" s="14"/>
      <c r="FU36" s="14"/>
      <c r="FV36" s="14"/>
      <c r="FW36" s="14"/>
      <c r="FX36" s="14"/>
      <c r="FY36" s="14"/>
      <c r="FZ36" s="14"/>
      <c r="GA36" s="14"/>
      <c r="GB36" s="14"/>
      <c r="GC36" s="14"/>
      <c r="GD36" s="14"/>
      <c r="GE36" s="14"/>
      <c r="GF36" s="14"/>
      <c r="GG36" s="14"/>
      <c r="GH36" s="14"/>
      <c r="GI36" s="14"/>
      <c r="GJ36" s="14"/>
      <c r="GK36" s="14"/>
      <c r="GL36" s="14"/>
      <c r="GM36" s="14"/>
      <c r="GN36" s="14"/>
      <c r="GO36" s="14"/>
      <c r="GP36" s="14"/>
      <c r="GQ36" s="14"/>
      <c r="GR36" s="14"/>
      <c r="GS36" s="14"/>
      <c r="GT36" s="14"/>
      <c r="GU36" s="14"/>
      <c r="GV36" s="14"/>
      <c r="GW36" s="14"/>
      <c r="GX36" s="14"/>
      <c r="GY36" s="14"/>
      <c r="GZ36" s="14"/>
      <c r="HA36" s="14"/>
      <c r="HB36" s="14"/>
      <c r="HC36" s="14"/>
      <c r="HD36" s="14"/>
      <c r="HE36" s="14"/>
      <c r="HF36" s="14"/>
      <c r="HG36" s="14"/>
      <c r="HH36" s="14"/>
      <c r="HI36" s="14"/>
      <c r="HJ36" s="14"/>
      <c r="HK36" s="14"/>
      <c r="HL36" s="14"/>
      <c r="HM36" s="14"/>
      <c r="HN36" s="14"/>
      <c r="HO36" s="14"/>
      <c r="HP36" s="14"/>
      <c r="HQ36" s="14"/>
      <c r="HR36" s="14"/>
      <c r="HS36" s="14"/>
      <c r="HT36" s="14"/>
    </row>
    <row r="37" spans="2:228" ht="18" customHeight="1" x14ac:dyDescent="0.2">
      <c r="B37" s="1362" t="s">
        <v>1227</v>
      </c>
      <c r="C37" s="1363"/>
      <c r="D37" s="1364"/>
      <c r="E37" s="1373">
        <f>P25</f>
        <v>0</v>
      </c>
      <c r="F37" s="1346"/>
      <c r="G37" s="1658"/>
      <c r="H37" s="1658"/>
      <c r="I37" s="1658"/>
      <c r="J37" s="2073">
        <f>IF(AND(W37&lt;0.01,W37&gt;0),0.01,ROUND(W37,2))</f>
        <v>0</v>
      </c>
      <c r="K37" s="2073"/>
      <c r="L37" s="1588" t="str">
        <f>IF(AND(P21&gt;0,$P$427&gt;0),"The worker has motor loss impairment. No additional impairment value is allowed for reduced range of motion in the same extremity.","")</f>
        <v/>
      </c>
      <c r="M37" s="1589"/>
      <c r="N37" s="1589"/>
      <c r="O37" s="1590"/>
      <c r="P37" s="1631"/>
      <c r="R37" s="18"/>
      <c r="S37" s="909">
        <f>IF(J37&gt;0,J37,E37)</f>
        <v>0</v>
      </c>
      <c r="T37" s="909">
        <f>LARGE($S$34:$S$40,4)</f>
        <v>0</v>
      </c>
      <c r="U37" s="684">
        <f>V36+T38*(1-V36)</f>
        <v>0</v>
      </c>
      <c r="V37" s="910">
        <f t="shared" si="0"/>
        <v>0</v>
      </c>
      <c r="W37" s="1105">
        <f t="shared" ref="W37:W38" si="1">G37*E37</f>
        <v>0</v>
      </c>
      <c r="X37" s="1111"/>
      <c r="Y37" s="1111"/>
      <c r="Z37" s="1111"/>
      <c r="AA37" s="1111"/>
      <c r="AB37" s="1111"/>
      <c r="AC37" s="1111"/>
      <c r="AD37" s="1111"/>
      <c r="AE37" s="1111"/>
      <c r="AF37" s="1111"/>
      <c r="AG37" s="1111"/>
      <c r="AH37" s="1111"/>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c r="CP37" s="14"/>
      <c r="CQ37" s="14"/>
      <c r="CR37" s="14"/>
      <c r="CS37" s="14"/>
      <c r="CT37" s="14"/>
      <c r="CU37" s="14"/>
      <c r="CV37" s="14"/>
      <c r="CW37" s="14"/>
      <c r="CX37" s="14"/>
      <c r="CY37" s="14"/>
      <c r="CZ37" s="14"/>
      <c r="DA37" s="14"/>
      <c r="DB37" s="14"/>
      <c r="DC37" s="14"/>
      <c r="DD37" s="14"/>
      <c r="DE37" s="14"/>
      <c r="DF37" s="14"/>
      <c r="DG37" s="14"/>
      <c r="DH37" s="14"/>
      <c r="DI37" s="14"/>
      <c r="DJ37" s="14"/>
      <c r="DK37" s="14"/>
      <c r="DL37" s="14"/>
      <c r="DM37" s="14"/>
      <c r="DN37" s="14"/>
      <c r="DO37" s="14"/>
      <c r="DP37" s="14"/>
      <c r="DQ37" s="14"/>
      <c r="DR37" s="14"/>
      <c r="DS37" s="14"/>
      <c r="DT37" s="14"/>
      <c r="DU37" s="14"/>
      <c r="DV37" s="14"/>
      <c r="DW37" s="14"/>
      <c r="DX37" s="14"/>
      <c r="DY37" s="14"/>
      <c r="DZ37" s="14"/>
      <c r="EA37" s="14"/>
      <c r="EB37" s="14"/>
      <c r="EC37" s="14"/>
      <c r="ED37" s="14"/>
      <c r="EE37" s="14"/>
      <c r="EF37" s="14"/>
      <c r="EG37" s="14"/>
      <c r="EH37" s="14"/>
      <c r="EI37" s="14"/>
      <c r="EJ37" s="14"/>
      <c r="EK37" s="14"/>
      <c r="EL37" s="14"/>
      <c r="EM37" s="14"/>
      <c r="EN37" s="14"/>
      <c r="EO37" s="14"/>
      <c r="EP37" s="14"/>
      <c r="EQ37" s="14"/>
      <c r="ER37" s="14"/>
      <c r="ES37" s="14"/>
      <c r="ET37" s="14"/>
      <c r="EU37" s="14"/>
      <c r="EV37" s="14"/>
      <c r="EW37" s="14"/>
      <c r="EX37" s="14"/>
      <c r="EY37" s="14"/>
      <c r="EZ37" s="14"/>
      <c r="FA37" s="14"/>
      <c r="FB37" s="14"/>
      <c r="FC37" s="14"/>
      <c r="FD37" s="14"/>
      <c r="FE37" s="14"/>
      <c r="FF37" s="14"/>
      <c r="FG37" s="14"/>
      <c r="FH37" s="14"/>
      <c r="FI37" s="14"/>
      <c r="FJ37" s="14"/>
      <c r="FK37" s="14"/>
      <c r="FL37" s="14"/>
      <c r="FM37" s="14"/>
      <c r="FN37" s="14"/>
      <c r="FO37" s="14"/>
      <c r="FP37" s="14"/>
      <c r="FQ37" s="14"/>
      <c r="FR37" s="14"/>
      <c r="FS37" s="14"/>
      <c r="FT37" s="14"/>
      <c r="FU37" s="14"/>
      <c r="FV37" s="14"/>
      <c r="FW37" s="14"/>
      <c r="FX37" s="14"/>
      <c r="FY37" s="14"/>
      <c r="FZ37" s="14"/>
      <c r="GA37" s="14"/>
      <c r="GB37" s="14"/>
      <c r="GC37" s="14"/>
      <c r="GD37" s="14"/>
      <c r="GE37" s="14"/>
      <c r="GF37" s="14"/>
      <c r="GG37" s="14"/>
      <c r="GH37" s="14"/>
      <c r="GI37" s="14"/>
      <c r="GJ37" s="14"/>
      <c r="GK37" s="14"/>
      <c r="GL37" s="14"/>
      <c r="GM37" s="14"/>
      <c r="GN37" s="14"/>
      <c r="GO37" s="14"/>
      <c r="GP37" s="14"/>
      <c r="GQ37" s="14"/>
      <c r="GR37" s="14"/>
      <c r="GS37" s="14"/>
      <c r="GT37" s="14"/>
      <c r="GU37" s="14"/>
      <c r="GV37" s="14"/>
      <c r="GW37" s="14"/>
      <c r="GX37" s="14"/>
      <c r="GY37" s="14"/>
      <c r="GZ37" s="14"/>
      <c r="HA37" s="14"/>
      <c r="HB37" s="14"/>
      <c r="HC37" s="14"/>
      <c r="HD37" s="14"/>
      <c r="HE37" s="14"/>
      <c r="HF37" s="14"/>
      <c r="HG37" s="14"/>
      <c r="HH37" s="14"/>
      <c r="HI37" s="14"/>
      <c r="HJ37" s="14"/>
      <c r="HK37" s="14"/>
      <c r="HL37" s="14"/>
      <c r="HM37" s="14"/>
      <c r="HN37" s="14"/>
      <c r="HO37" s="14"/>
      <c r="HP37" s="14"/>
      <c r="HQ37" s="14"/>
      <c r="HR37" s="14"/>
      <c r="HS37" s="14"/>
      <c r="HT37" s="14"/>
    </row>
    <row r="38" spans="2:228" ht="18" customHeight="1" x14ac:dyDescent="0.2">
      <c r="B38" s="1362" t="s">
        <v>1447</v>
      </c>
      <c r="C38" s="1363"/>
      <c r="D38" s="1364"/>
      <c r="E38" s="1342">
        <f>P28</f>
        <v>0</v>
      </c>
      <c r="F38" s="1344"/>
      <c r="G38" s="1658"/>
      <c r="H38" s="1658"/>
      <c r="I38" s="1658"/>
      <c r="J38" s="2073">
        <f>IF(AND(W38&lt;0.01,W38&gt;0),0.01,ROUND(W38,2))</f>
        <v>0</v>
      </c>
      <c r="K38" s="2073"/>
      <c r="L38" s="1588"/>
      <c r="M38" s="1589"/>
      <c r="N38" s="1589"/>
      <c r="O38" s="1590"/>
      <c r="P38" s="1631"/>
      <c r="R38" s="18"/>
      <c r="S38" s="909">
        <f>IF(J38&gt;0,J38,E38)</f>
        <v>0</v>
      </c>
      <c r="T38" s="909">
        <f>LARGE($S$34:$S$40,5)</f>
        <v>0</v>
      </c>
      <c r="U38" s="684">
        <f>V37+T39*(1-V37)</f>
        <v>0</v>
      </c>
      <c r="V38" s="910">
        <f t="shared" si="0"/>
        <v>0</v>
      </c>
      <c r="W38" s="1105">
        <f t="shared" si="1"/>
        <v>0</v>
      </c>
      <c r="X38" s="1111"/>
      <c r="Y38" s="1111"/>
      <c r="Z38" s="1111"/>
      <c r="AA38" s="1111"/>
      <c r="AB38" s="1111"/>
      <c r="AC38" s="1111"/>
      <c r="AD38" s="1111"/>
      <c r="AE38" s="1111"/>
      <c r="AF38" s="1111"/>
      <c r="AG38" s="1111"/>
      <c r="AH38" s="1111"/>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c r="CP38" s="14"/>
      <c r="CQ38" s="14"/>
      <c r="CR38" s="14"/>
      <c r="CS38" s="14"/>
      <c r="CT38" s="14"/>
      <c r="CU38" s="14"/>
      <c r="CV38" s="14"/>
      <c r="CW38" s="14"/>
      <c r="CX38" s="14"/>
      <c r="CY38" s="14"/>
      <c r="CZ38" s="14"/>
      <c r="DA38" s="14"/>
      <c r="DB38" s="14"/>
      <c r="DC38" s="14"/>
      <c r="DD38" s="14"/>
      <c r="DE38" s="14"/>
      <c r="DF38" s="14"/>
      <c r="DG38" s="14"/>
      <c r="DH38" s="14"/>
      <c r="DI38" s="14"/>
      <c r="DJ38" s="14"/>
      <c r="DK38" s="14"/>
      <c r="DL38" s="14"/>
      <c r="DM38" s="14"/>
      <c r="DN38" s="14"/>
      <c r="DO38" s="14"/>
      <c r="DP38" s="14"/>
      <c r="DQ38" s="14"/>
      <c r="DR38" s="14"/>
      <c r="DS38" s="14"/>
      <c r="DT38" s="14"/>
      <c r="DU38" s="14"/>
      <c r="DV38" s="14"/>
      <c r="DW38" s="14"/>
      <c r="DX38" s="14"/>
      <c r="DY38" s="14"/>
      <c r="DZ38" s="14"/>
      <c r="EA38" s="14"/>
      <c r="EB38" s="14"/>
      <c r="EC38" s="14"/>
      <c r="ED38" s="14"/>
      <c r="EE38" s="14"/>
      <c r="EF38" s="14"/>
      <c r="EG38" s="14"/>
      <c r="EH38" s="14"/>
      <c r="EI38" s="14"/>
      <c r="EJ38" s="14"/>
      <c r="EK38" s="14"/>
      <c r="EL38" s="14"/>
      <c r="EM38" s="14"/>
      <c r="EN38" s="14"/>
      <c r="EO38" s="14"/>
      <c r="EP38" s="14"/>
      <c r="EQ38" s="14"/>
      <c r="ER38" s="14"/>
      <c r="ES38" s="14"/>
      <c r="ET38" s="14"/>
      <c r="EU38" s="14"/>
      <c r="EV38" s="14"/>
      <c r="EW38" s="14"/>
      <c r="EX38" s="14"/>
      <c r="EY38" s="14"/>
      <c r="EZ38" s="14"/>
      <c r="FA38" s="14"/>
      <c r="FB38" s="14"/>
      <c r="FC38" s="14"/>
      <c r="FD38" s="14"/>
      <c r="FE38" s="14"/>
      <c r="FF38" s="14"/>
      <c r="FG38" s="14"/>
      <c r="FH38" s="14"/>
      <c r="FI38" s="14"/>
      <c r="FJ38" s="14"/>
      <c r="FK38" s="14"/>
      <c r="FL38" s="14"/>
      <c r="FM38" s="14"/>
      <c r="FN38" s="14"/>
      <c r="FO38" s="14"/>
      <c r="FP38" s="14"/>
      <c r="FQ38" s="14"/>
      <c r="FR38" s="14"/>
      <c r="FS38" s="14"/>
      <c r="FT38" s="14"/>
      <c r="FU38" s="14"/>
      <c r="FV38" s="14"/>
      <c r="FW38" s="14"/>
      <c r="FX38" s="14"/>
      <c r="FY38" s="14"/>
      <c r="FZ38" s="14"/>
      <c r="GA38" s="14"/>
      <c r="GB38" s="14"/>
      <c r="GC38" s="14"/>
      <c r="GD38" s="14"/>
      <c r="GE38" s="14"/>
      <c r="GF38" s="14"/>
      <c r="GG38" s="14"/>
      <c r="GH38" s="14"/>
      <c r="GI38" s="14"/>
      <c r="GJ38" s="14"/>
      <c r="GK38" s="14"/>
      <c r="GL38" s="14"/>
      <c r="GM38" s="14"/>
      <c r="GN38" s="14"/>
      <c r="GO38" s="14"/>
      <c r="GP38" s="14"/>
      <c r="GQ38" s="14"/>
      <c r="GR38" s="14"/>
      <c r="GS38" s="14"/>
      <c r="GT38" s="14"/>
      <c r="GU38" s="14"/>
      <c r="GV38" s="14"/>
      <c r="GW38" s="14"/>
      <c r="GX38" s="14"/>
      <c r="GY38" s="14"/>
      <c r="GZ38" s="14"/>
      <c r="HA38" s="14"/>
      <c r="HB38" s="14"/>
      <c r="HC38" s="14"/>
      <c r="HD38" s="14"/>
      <c r="HE38" s="14"/>
      <c r="HF38" s="14"/>
      <c r="HG38" s="14"/>
      <c r="HH38" s="14"/>
      <c r="HI38" s="14"/>
      <c r="HJ38" s="14"/>
      <c r="HK38" s="14"/>
      <c r="HL38" s="14"/>
      <c r="HM38" s="14"/>
      <c r="HN38" s="14"/>
      <c r="HO38" s="14"/>
      <c r="HP38" s="14"/>
      <c r="HQ38" s="14"/>
      <c r="HR38" s="14"/>
      <c r="HS38" s="14"/>
      <c r="HT38" s="14"/>
    </row>
    <row r="39" spans="2:228" ht="18" customHeight="1" x14ac:dyDescent="0.2">
      <c r="B39" s="1410" t="s">
        <v>1127</v>
      </c>
      <c r="C39" s="1410"/>
      <c r="D39" s="1410"/>
      <c r="E39" s="1373">
        <f>P30</f>
        <v>0</v>
      </c>
      <c r="F39" s="1346"/>
      <c r="G39" s="1702" t="s">
        <v>1942</v>
      </c>
      <c r="H39" s="1627"/>
      <c r="I39" s="1628"/>
      <c r="J39" s="1940"/>
      <c r="K39" s="1940"/>
      <c r="L39" s="1588"/>
      <c r="M39" s="1589"/>
      <c r="N39" s="1589"/>
      <c r="O39" s="1590"/>
      <c r="P39" s="1631"/>
      <c r="R39" s="18"/>
      <c r="S39" s="910">
        <f>E39</f>
        <v>0</v>
      </c>
      <c r="T39" s="909">
        <f>LARGE($S$34:$S$40,6)</f>
        <v>0</v>
      </c>
      <c r="U39" s="684">
        <f>V38+T40*(1-V38)</f>
        <v>0</v>
      </c>
      <c r="V39" s="910">
        <f t="shared" si="0"/>
        <v>0</v>
      </c>
      <c r="W39" s="18"/>
      <c r="X39" s="1111"/>
      <c r="Y39" s="1111"/>
      <c r="Z39" s="1111"/>
      <c r="AA39" s="1111"/>
      <c r="AB39" s="1111"/>
      <c r="AC39" s="1111"/>
      <c r="AD39" s="1111"/>
      <c r="AE39" s="1111"/>
      <c r="AF39" s="1111"/>
      <c r="AG39" s="1111"/>
      <c r="AH39" s="1111"/>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c r="CP39" s="14"/>
      <c r="CQ39" s="14"/>
      <c r="CR39" s="14"/>
      <c r="CS39" s="14"/>
      <c r="CT39" s="14"/>
      <c r="CU39" s="14"/>
      <c r="CV39" s="14"/>
      <c r="CW39" s="14"/>
      <c r="CX39" s="14"/>
      <c r="CY39" s="14"/>
      <c r="CZ39" s="14"/>
      <c r="DA39" s="14"/>
      <c r="DB39" s="14"/>
      <c r="DC39" s="14"/>
      <c r="DD39" s="14"/>
      <c r="DE39" s="14"/>
      <c r="DF39" s="14"/>
      <c r="DG39" s="14"/>
      <c r="DH39" s="14"/>
      <c r="DI39" s="14"/>
      <c r="DJ39" s="14"/>
      <c r="DK39" s="14"/>
      <c r="DL39" s="14"/>
      <c r="DM39" s="14"/>
      <c r="DN39" s="14"/>
      <c r="DO39" s="14"/>
      <c r="DP39" s="14"/>
      <c r="DQ39" s="14"/>
      <c r="DR39" s="14"/>
      <c r="DS39" s="14"/>
      <c r="DT39" s="14"/>
      <c r="DU39" s="14"/>
      <c r="DV39" s="14"/>
      <c r="DW39" s="14"/>
      <c r="DX39" s="14"/>
      <c r="DY39" s="14"/>
      <c r="DZ39" s="14"/>
      <c r="EA39" s="14"/>
      <c r="EB39" s="14"/>
      <c r="EC39" s="14"/>
      <c r="ED39" s="14"/>
      <c r="EE39" s="14"/>
      <c r="EF39" s="14"/>
      <c r="EG39" s="14"/>
      <c r="EH39" s="14"/>
      <c r="EI39" s="14"/>
      <c r="EJ39" s="14"/>
      <c r="EK39" s="14"/>
      <c r="EL39" s="14"/>
      <c r="EM39" s="14"/>
      <c r="EN39" s="14"/>
      <c r="EO39" s="14"/>
      <c r="EP39" s="14"/>
      <c r="EQ39" s="14"/>
      <c r="ER39" s="14"/>
      <c r="ES39" s="14"/>
      <c r="ET39" s="14"/>
      <c r="EU39" s="14"/>
      <c r="EV39" s="14"/>
      <c r="EW39" s="14"/>
      <c r="EX39" s="14"/>
      <c r="EY39" s="14"/>
      <c r="EZ39" s="14"/>
      <c r="FA39" s="14"/>
      <c r="FB39" s="14"/>
      <c r="FC39" s="14"/>
      <c r="FD39" s="14"/>
      <c r="FE39" s="14"/>
      <c r="FF39" s="14"/>
      <c r="FG39" s="14"/>
      <c r="FH39" s="14"/>
      <c r="FI39" s="14"/>
      <c r="FJ39" s="14"/>
      <c r="FK39" s="14"/>
      <c r="FL39" s="14"/>
      <c r="FM39" s="14"/>
      <c r="FN39" s="14"/>
      <c r="FO39" s="14"/>
      <c r="FP39" s="14"/>
      <c r="FQ39" s="14"/>
      <c r="FR39" s="14"/>
      <c r="FS39" s="14"/>
      <c r="FT39" s="14"/>
      <c r="FU39" s="14"/>
      <c r="FV39" s="14"/>
      <c r="FW39" s="14"/>
      <c r="FX39" s="14"/>
      <c r="FY39" s="14"/>
      <c r="FZ39" s="14"/>
      <c r="GA39" s="14"/>
      <c r="GB39" s="14"/>
      <c r="GC39" s="14"/>
      <c r="GD39" s="14"/>
      <c r="GE39" s="14"/>
      <c r="GF39" s="14"/>
      <c r="GG39" s="14"/>
      <c r="GH39" s="14"/>
      <c r="GI39" s="14"/>
      <c r="GJ39" s="14"/>
      <c r="GK39" s="14"/>
      <c r="GL39" s="14"/>
      <c r="GM39" s="14"/>
      <c r="GN39" s="14"/>
      <c r="GO39" s="14"/>
      <c r="GP39" s="14"/>
      <c r="GQ39" s="14"/>
      <c r="GR39" s="14"/>
      <c r="GS39" s="14"/>
      <c r="GT39" s="14"/>
      <c r="GU39" s="14"/>
      <c r="GV39" s="14"/>
      <c r="GW39" s="14"/>
      <c r="GX39" s="14"/>
      <c r="GY39" s="14"/>
      <c r="GZ39" s="14"/>
      <c r="HA39" s="14"/>
      <c r="HB39" s="14"/>
      <c r="HC39" s="14"/>
      <c r="HD39" s="14"/>
      <c r="HE39" s="14"/>
      <c r="HF39" s="14"/>
      <c r="HG39" s="14"/>
      <c r="HH39" s="14"/>
      <c r="HI39" s="14"/>
      <c r="HJ39" s="14"/>
      <c r="HK39" s="14"/>
      <c r="HL39" s="14"/>
      <c r="HM39" s="14"/>
      <c r="HN39" s="14"/>
      <c r="HO39" s="14"/>
      <c r="HP39" s="14"/>
      <c r="HQ39" s="14"/>
      <c r="HR39" s="14"/>
      <c r="HS39" s="14"/>
      <c r="HT39" s="14"/>
    </row>
    <row r="40" spans="2:228" ht="18" customHeight="1" x14ac:dyDescent="0.2">
      <c r="B40" s="1462" t="s">
        <v>1128</v>
      </c>
      <c r="C40" s="1463"/>
      <c r="D40" s="1464"/>
      <c r="E40" s="1728">
        <f>P31</f>
        <v>0</v>
      </c>
      <c r="F40" s="1846"/>
      <c r="G40" s="1941" t="s">
        <v>1942</v>
      </c>
      <c r="H40" s="1902"/>
      <c r="I40" s="1942"/>
      <c r="J40" s="1943"/>
      <c r="K40" s="1943"/>
      <c r="L40" s="1588"/>
      <c r="M40" s="1589"/>
      <c r="N40" s="1589"/>
      <c r="O40" s="1590"/>
      <c r="P40" s="1631"/>
      <c r="R40" s="18"/>
      <c r="S40" s="910">
        <f>E40</f>
        <v>0</v>
      </c>
      <c r="T40" s="909">
        <f>LARGE($S$34:$S$40,7)</f>
        <v>0</v>
      </c>
      <c r="U40" s="114"/>
      <c r="V40" s="157"/>
      <c r="W40" s="18"/>
      <c r="X40" s="1111"/>
      <c r="Y40" s="1111"/>
      <c r="Z40" s="1111"/>
      <c r="AA40" s="1111"/>
      <c r="AB40" s="1111"/>
      <c r="AC40" s="1111"/>
      <c r="AD40" s="1111"/>
      <c r="AE40" s="1111"/>
      <c r="AF40" s="1111"/>
      <c r="AG40" s="1111"/>
      <c r="AH40" s="1111"/>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c r="CP40" s="14"/>
      <c r="CQ40" s="14"/>
      <c r="CR40" s="14"/>
      <c r="CS40" s="14"/>
      <c r="CT40" s="14"/>
      <c r="CU40" s="14"/>
      <c r="CV40" s="14"/>
      <c r="CW40" s="14"/>
      <c r="CX40" s="14"/>
      <c r="CY40" s="14"/>
      <c r="CZ40" s="14"/>
      <c r="DA40" s="14"/>
      <c r="DB40" s="14"/>
      <c r="DC40" s="14"/>
      <c r="DD40" s="14"/>
      <c r="DE40" s="14"/>
      <c r="DF40" s="14"/>
      <c r="DG40" s="14"/>
      <c r="DH40" s="14"/>
      <c r="DI40" s="14"/>
      <c r="DJ40" s="14"/>
      <c r="DK40" s="14"/>
      <c r="DL40" s="14"/>
      <c r="DM40" s="14"/>
      <c r="DN40" s="14"/>
      <c r="DO40" s="14"/>
      <c r="DP40" s="14"/>
      <c r="DQ40" s="14"/>
      <c r="DR40" s="14"/>
      <c r="DS40" s="14"/>
      <c r="DT40" s="14"/>
      <c r="DU40" s="14"/>
      <c r="DV40" s="14"/>
      <c r="DW40" s="14"/>
      <c r="DX40" s="14"/>
      <c r="DY40" s="14"/>
      <c r="DZ40" s="14"/>
      <c r="EA40" s="14"/>
      <c r="EB40" s="14"/>
      <c r="EC40" s="14"/>
      <c r="ED40" s="14"/>
      <c r="EE40" s="14"/>
      <c r="EF40" s="14"/>
      <c r="EG40" s="14"/>
      <c r="EH40" s="14"/>
      <c r="EI40" s="14"/>
      <c r="EJ40" s="14"/>
      <c r="EK40" s="14"/>
      <c r="EL40" s="14"/>
      <c r="EM40" s="14"/>
      <c r="EN40" s="14"/>
      <c r="EO40" s="14"/>
      <c r="EP40" s="14"/>
      <c r="EQ40" s="14"/>
      <c r="ER40" s="14"/>
      <c r="ES40" s="14"/>
      <c r="ET40" s="14"/>
      <c r="EU40" s="14"/>
      <c r="EV40" s="14"/>
      <c r="EW40" s="14"/>
      <c r="EX40" s="14"/>
      <c r="EY40" s="14"/>
      <c r="EZ40" s="14"/>
      <c r="FA40" s="14"/>
      <c r="FB40" s="14"/>
      <c r="FC40" s="14"/>
      <c r="FD40" s="14"/>
      <c r="FE40" s="14"/>
      <c r="FF40" s="14"/>
      <c r="FG40" s="14"/>
      <c r="FH40" s="14"/>
      <c r="FI40" s="14"/>
      <c r="FJ40" s="14"/>
      <c r="FK40" s="14"/>
      <c r="FL40" s="14"/>
      <c r="FM40" s="14"/>
      <c r="FN40" s="14"/>
      <c r="FO40" s="14"/>
      <c r="FP40" s="14"/>
      <c r="FQ40" s="14"/>
      <c r="FR40" s="14"/>
      <c r="FS40" s="14"/>
      <c r="FT40" s="14"/>
      <c r="FU40" s="14"/>
      <c r="FV40" s="14"/>
      <c r="FW40" s="14"/>
      <c r="FX40" s="14"/>
      <c r="FY40" s="14"/>
      <c r="FZ40" s="14"/>
      <c r="GA40" s="14"/>
      <c r="GB40" s="14"/>
      <c r="GC40" s="14"/>
      <c r="GD40" s="14"/>
      <c r="GE40" s="14"/>
      <c r="GF40" s="14"/>
      <c r="GG40" s="14"/>
      <c r="GH40" s="14"/>
      <c r="GI40" s="14"/>
      <c r="GJ40" s="14"/>
      <c r="GK40" s="14"/>
      <c r="GL40" s="14"/>
      <c r="GM40" s="14"/>
      <c r="GN40" s="14"/>
      <c r="GO40" s="14"/>
      <c r="GP40" s="14"/>
      <c r="GQ40" s="14"/>
      <c r="GR40" s="14"/>
      <c r="GS40" s="14"/>
      <c r="GT40" s="14"/>
      <c r="GU40" s="14"/>
      <c r="GV40" s="14"/>
      <c r="GW40" s="14"/>
      <c r="GX40" s="14"/>
      <c r="GY40" s="14"/>
      <c r="GZ40" s="14"/>
      <c r="HA40" s="14"/>
      <c r="HB40" s="14"/>
      <c r="HC40" s="14"/>
      <c r="HD40" s="14"/>
      <c r="HE40" s="14"/>
      <c r="HF40" s="14"/>
      <c r="HG40" s="14"/>
      <c r="HH40" s="14"/>
      <c r="HI40" s="14"/>
      <c r="HJ40" s="14"/>
      <c r="HK40" s="14"/>
      <c r="HL40" s="14"/>
      <c r="HM40" s="14"/>
      <c r="HN40" s="14"/>
      <c r="HO40" s="14"/>
      <c r="HP40" s="14"/>
      <c r="HQ40" s="14"/>
      <c r="HR40" s="14"/>
      <c r="HS40" s="14"/>
      <c r="HT40" s="14"/>
    </row>
    <row r="41" spans="2:228" ht="18" customHeight="1" x14ac:dyDescent="0.2">
      <c r="B41" s="1570" t="s">
        <v>444</v>
      </c>
      <c r="C41" s="1570"/>
      <c r="D41" s="1570"/>
      <c r="E41" s="1570"/>
      <c r="F41" s="1570"/>
      <c r="G41" s="1570"/>
      <c r="H41" s="1570"/>
      <c r="I41" s="1570"/>
      <c r="J41" s="1570"/>
      <c r="K41" s="1570"/>
      <c r="L41" s="1570"/>
      <c r="M41" s="1570"/>
      <c r="N41" s="1570"/>
      <c r="O41" s="1570"/>
      <c r="P41" s="1623"/>
      <c r="R41" s="18"/>
      <c r="S41" s="19"/>
      <c r="T41" s="114"/>
      <c r="U41" s="157"/>
      <c r="V41" s="1111"/>
      <c r="W41" s="1111"/>
      <c r="X41" s="1111"/>
      <c r="Y41" s="1111"/>
      <c r="Z41" s="1111"/>
      <c r="AA41" s="1111"/>
      <c r="AB41" s="1111"/>
      <c r="AC41" s="1111"/>
      <c r="AD41" s="1111"/>
      <c r="AE41" s="1111"/>
      <c r="AF41" s="1111"/>
      <c r="AG41" s="1111"/>
      <c r="AH41" s="1111"/>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4"/>
      <c r="HM41" s="14"/>
      <c r="HN41" s="14"/>
      <c r="HO41" s="14"/>
      <c r="HP41" s="14"/>
      <c r="HQ41" s="14"/>
      <c r="HR41" s="14"/>
      <c r="HS41" s="14"/>
      <c r="HT41" s="14"/>
    </row>
    <row r="42" spans="2:228" ht="10.5" customHeight="1" x14ac:dyDescent="0.2">
      <c r="B42" s="1772"/>
      <c r="C42" s="1772"/>
      <c r="D42" s="1772"/>
      <c r="E42" s="1772"/>
      <c r="F42" s="1772"/>
      <c r="G42" s="1772"/>
      <c r="H42" s="1772"/>
      <c r="I42" s="1772"/>
      <c r="J42" s="1772"/>
      <c r="K42" s="1772"/>
      <c r="L42" s="1772"/>
      <c r="M42" s="1772"/>
      <c r="N42" s="1772"/>
      <c r="O42" s="1772"/>
      <c r="P42" s="1772"/>
      <c r="R42" s="18"/>
      <c r="S42" s="18"/>
      <c r="T42" s="18"/>
      <c r="U42" s="18"/>
      <c r="V42" s="1111"/>
      <c r="W42" s="1111"/>
      <c r="X42" s="1111"/>
      <c r="Y42" s="1111"/>
      <c r="Z42" s="1111"/>
      <c r="AA42" s="1111"/>
      <c r="AB42" s="1111"/>
      <c r="AC42" s="1111"/>
      <c r="AD42" s="1111"/>
      <c r="AE42" s="1111"/>
      <c r="AF42" s="1111"/>
      <c r="AG42" s="1111"/>
      <c r="AH42" s="1111"/>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c r="CP42" s="14"/>
      <c r="CQ42" s="14"/>
      <c r="CR42" s="14"/>
      <c r="CS42" s="14"/>
      <c r="CT42" s="14"/>
      <c r="CU42" s="14"/>
      <c r="CV42" s="14"/>
      <c r="CW42" s="14"/>
      <c r="CX42" s="14"/>
      <c r="CY42" s="14"/>
      <c r="CZ42" s="14"/>
      <c r="DA42" s="14"/>
      <c r="DB42" s="14"/>
      <c r="DC42" s="14"/>
      <c r="DD42" s="14"/>
      <c r="DE42" s="14"/>
      <c r="DF42" s="14"/>
      <c r="DG42" s="14"/>
      <c r="DH42" s="14"/>
      <c r="DI42" s="14"/>
      <c r="DJ42" s="14"/>
      <c r="DK42" s="14"/>
      <c r="DL42" s="14"/>
      <c r="DM42" s="14"/>
      <c r="DN42" s="14"/>
      <c r="DO42" s="14"/>
      <c r="DP42" s="14"/>
      <c r="DQ42" s="14"/>
      <c r="DR42" s="14"/>
      <c r="DS42" s="14"/>
      <c r="DT42" s="14"/>
      <c r="DU42" s="14"/>
      <c r="DV42" s="14"/>
      <c r="DW42" s="14"/>
      <c r="DX42" s="14"/>
      <c r="DY42" s="14"/>
      <c r="DZ42" s="14"/>
      <c r="EA42" s="14"/>
      <c r="EB42" s="14"/>
      <c r="EC42" s="14"/>
      <c r="ED42" s="14"/>
      <c r="EE42" s="14"/>
      <c r="EF42" s="14"/>
      <c r="EG42" s="14"/>
      <c r="EH42" s="14"/>
      <c r="EI42" s="14"/>
      <c r="EJ42" s="14"/>
      <c r="EK42" s="14"/>
      <c r="EL42" s="14"/>
      <c r="EM42" s="14"/>
      <c r="EN42" s="14"/>
      <c r="EO42" s="14"/>
      <c r="EP42" s="14"/>
      <c r="EQ42" s="14"/>
      <c r="ER42" s="14"/>
      <c r="ES42" s="14"/>
      <c r="ET42" s="14"/>
      <c r="EU42" s="14"/>
      <c r="EV42" s="14"/>
      <c r="EW42" s="14"/>
      <c r="EX42" s="14"/>
      <c r="EY42" s="14"/>
      <c r="EZ42" s="14"/>
      <c r="FA42" s="14"/>
      <c r="FB42" s="14"/>
      <c r="FC42" s="14"/>
      <c r="FD42" s="14"/>
      <c r="FE42" s="14"/>
      <c r="FF42" s="14"/>
      <c r="FG42" s="14"/>
      <c r="FH42" s="14"/>
      <c r="FI42" s="14"/>
      <c r="FJ42" s="14"/>
      <c r="FK42" s="14"/>
      <c r="FL42" s="14"/>
      <c r="FM42" s="14"/>
      <c r="FN42" s="14"/>
      <c r="FO42" s="14"/>
      <c r="FP42" s="14"/>
      <c r="FQ42" s="14"/>
      <c r="FR42" s="14"/>
      <c r="FS42" s="14"/>
      <c r="FT42" s="14"/>
      <c r="FU42" s="14"/>
      <c r="FV42" s="14"/>
      <c r="FW42" s="14"/>
      <c r="FX42" s="14"/>
      <c r="FY42" s="14"/>
      <c r="FZ42" s="14"/>
      <c r="GA42" s="14"/>
      <c r="GB42" s="14"/>
      <c r="GC42" s="14"/>
      <c r="GD42" s="14"/>
      <c r="GE42" s="14"/>
      <c r="GF42" s="14"/>
      <c r="GG42" s="14"/>
      <c r="GH42" s="14"/>
      <c r="GI42" s="14"/>
      <c r="GJ42" s="14"/>
      <c r="GK42" s="14"/>
      <c r="GL42" s="14"/>
      <c r="GM42" s="14"/>
      <c r="GN42" s="14"/>
      <c r="GO42" s="14"/>
      <c r="GP42" s="14"/>
      <c r="GQ42" s="14"/>
      <c r="GR42" s="14"/>
      <c r="GS42" s="14"/>
      <c r="GT42" s="14"/>
      <c r="GU42" s="14"/>
      <c r="GV42" s="14"/>
      <c r="GW42" s="14"/>
      <c r="GX42" s="14"/>
      <c r="GY42" s="14"/>
      <c r="GZ42" s="14"/>
      <c r="HA42" s="14"/>
      <c r="HB42" s="14"/>
      <c r="HC42" s="14"/>
      <c r="HD42" s="14"/>
      <c r="HE42" s="14"/>
      <c r="HF42" s="14"/>
      <c r="HG42" s="14"/>
      <c r="HH42" s="14"/>
      <c r="HI42" s="14"/>
      <c r="HJ42" s="14"/>
      <c r="HK42" s="14"/>
      <c r="HL42" s="14"/>
      <c r="HM42" s="14"/>
      <c r="HN42" s="14"/>
      <c r="HO42" s="14"/>
      <c r="HP42" s="14"/>
      <c r="HQ42" s="14"/>
      <c r="HR42" s="14"/>
      <c r="HS42" s="14"/>
      <c r="HT42" s="14"/>
    </row>
    <row r="43" spans="2:228" ht="10.5" customHeight="1" x14ac:dyDescent="0.2">
      <c r="B43" s="1395"/>
      <c r="C43" s="1395"/>
      <c r="D43" s="1395"/>
      <c r="E43" s="1395"/>
      <c r="F43" s="1395"/>
      <c r="G43" s="1395"/>
      <c r="H43" s="1395"/>
      <c r="I43" s="1395"/>
      <c r="J43" s="1395"/>
      <c r="K43" s="1395"/>
      <c r="L43" s="1395"/>
      <c r="M43" s="1395"/>
      <c r="N43" s="1395"/>
      <c r="O43" s="1395"/>
      <c r="P43" s="1395"/>
      <c r="R43" s="18"/>
      <c r="S43" s="18"/>
      <c r="T43" s="18"/>
      <c r="U43" s="18"/>
      <c r="V43" s="1111"/>
      <c r="W43" s="1111"/>
      <c r="X43" s="63"/>
      <c r="Y43" s="63"/>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c r="CP43" s="14"/>
      <c r="CQ43" s="14"/>
      <c r="CR43" s="14"/>
      <c r="CS43" s="14"/>
      <c r="CT43" s="14"/>
      <c r="CU43" s="14"/>
      <c r="CV43" s="14"/>
      <c r="CW43" s="14"/>
      <c r="CX43" s="14"/>
      <c r="CY43" s="14"/>
      <c r="CZ43" s="14"/>
      <c r="DA43" s="14"/>
      <c r="DB43" s="14"/>
      <c r="DC43" s="14"/>
      <c r="DD43" s="14"/>
      <c r="DE43" s="14"/>
      <c r="DF43" s="14"/>
      <c r="DG43" s="14"/>
      <c r="DH43" s="14"/>
      <c r="DI43" s="14"/>
      <c r="DJ43" s="14"/>
      <c r="DK43" s="14"/>
      <c r="DL43" s="14"/>
      <c r="DM43" s="14"/>
      <c r="DN43" s="14"/>
      <c r="DO43" s="14"/>
      <c r="DP43" s="14"/>
      <c r="DQ43" s="14"/>
      <c r="DR43" s="14"/>
      <c r="DS43" s="14"/>
      <c r="DT43" s="14"/>
      <c r="DU43" s="14"/>
      <c r="DV43" s="14"/>
      <c r="DW43" s="14"/>
      <c r="DX43" s="14"/>
      <c r="DY43" s="14"/>
      <c r="DZ43" s="14"/>
      <c r="EA43" s="14"/>
      <c r="EB43" s="14"/>
      <c r="EC43" s="14"/>
      <c r="ED43" s="14"/>
      <c r="EE43" s="14"/>
      <c r="EF43" s="14"/>
      <c r="EG43" s="14"/>
      <c r="EH43" s="14"/>
      <c r="EI43" s="14"/>
      <c r="EJ43" s="14"/>
      <c r="EK43" s="14"/>
      <c r="EL43" s="14"/>
      <c r="EM43" s="14"/>
      <c r="EN43" s="14"/>
      <c r="EO43" s="14"/>
      <c r="EP43" s="14"/>
      <c r="EQ43" s="14"/>
      <c r="ER43" s="14"/>
      <c r="ES43" s="14"/>
      <c r="ET43" s="14"/>
      <c r="EU43" s="14"/>
      <c r="EV43" s="14"/>
      <c r="EW43" s="14"/>
      <c r="EX43" s="14"/>
      <c r="EY43" s="14"/>
      <c r="EZ43" s="14"/>
      <c r="FA43" s="14"/>
      <c r="FB43" s="14"/>
      <c r="FC43" s="14"/>
      <c r="FD43" s="14"/>
      <c r="FE43" s="14"/>
      <c r="FF43" s="14"/>
      <c r="FG43" s="14"/>
      <c r="FH43" s="14"/>
      <c r="FI43" s="14"/>
      <c r="FJ43" s="14"/>
      <c r="FK43" s="14"/>
      <c r="FL43" s="14"/>
      <c r="FM43" s="14"/>
      <c r="FN43" s="14"/>
      <c r="FO43" s="14"/>
      <c r="FP43" s="14"/>
      <c r="FQ43" s="14"/>
      <c r="FR43" s="14"/>
      <c r="FS43" s="14"/>
      <c r="FT43" s="14"/>
      <c r="FU43" s="14"/>
      <c r="FV43" s="14"/>
      <c r="FW43" s="14"/>
      <c r="FX43" s="14"/>
      <c r="FY43" s="14"/>
      <c r="FZ43" s="14"/>
      <c r="GA43" s="14"/>
      <c r="GB43" s="14"/>
      <c r="GC43" s="14"/>
      <c r="GD43" s="14"/>
      <c r="GE43" s="14"/>
      <c r="GF43" s="14"/>
      <c r="GG43" s="14"/>
      <c r="GH43" s="14"/>
      <c r="GI43" s="14"/>
      <c r="GJ43" s="14"/>
      <c r="GK43" s="14"/>
      <c r="GL43" s="14"/>
      <c r="GM43" s="14"/>
      <c r="GN43" s="14"/>
      <c r="GO43" s="14"/>
      <c r="GP43" s="14"/>
      <c r="GQ43" s="14"/>
      <c r="GR43" s="14"/>
      <c r="GS43" s="14"/>
      <c r="GT43" s="14"/>
      <c r="GU43" s="14"/>
      <c r="GV43" s="14"/>
      <c r="GW43" s="14"/>
      <c r="GX43" s="14"/>
      <c r="GY43" s="14"/>
      <c r="GZ43" s="14"/>
      <c r="HA43" s="14"/>
      <c r="HB43" s="14"/>
      <c r="HC43" s="14"/>
      <c r="HD43" s="14"/>
      <c r="HE43" s="14"/>
      <c r="HF43" s="14"/>
      <c r="HG43" s="14"/>
      <c r="HH43" s="14"/>
      <c r="HI43" s="14"/>
      <c r="HJ43" s="14"/>
      <c r="HK43" s="14"/>
      <c r="HL43" s="14"/>
      <c r="HM43" s="14"/>
      <c r="HN43" s="14"/>
      <c r="HO43" s="14"/>
      <c r="HP43" s="14"/>
      <c r="HQ43" s="14"/>
      <c r="HR43" s="14"/>
      <c r="HS43" s="14"/>
      <c r="HT43" s="14"/>
    </row>
    <row r="44" spans="2:228" ht="21" customHeight="1" x14ac:dyDescent="0.2">
      <c r="B44" s="1860" t="s">
        <v>1129</v>
      </c>
      <c r="C44" s="1959"/>
      <c r="D44" s="1959"/>
      <c r="E44" s="1959"/>
      <c r="F44" s="1959"/>
      <c r="G44" s="1959"/>
      <c r="H44" s="1959"/>
      <c r="I44" s="1959"/>
      <c r="J44" s="1959"/>
      <c r="K44" s="1959"/>
      <c r="L44" s="1959"/>
      <c r="M44" s="1959"/>
      <c r="N44" s="1959"/>
      <c r="O44" s="1959"/>
      <c r="P44" s="1959"/>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14"/>
      <c r="HM44" s="14"/>
      <c r="HN44" s="14"/>
      <c r="HO44" s="14"/>
      <c r="HP44" s="14"/>
      <c r="HQ44" s="14"/>
      <c r="HR44" s="14"/>
      <c r="HS44" s="14"/>
      <c r="HT44" s="14"/>
    </row>
    <row r="45" spans="2:228" ht="15" customHeight="1" x14ac:dyDescent="0.2">
      <c r="B45" s="1555" t="s">
        <v>1130</v>
      </c>
      <c r="C45" s="1555"/>
      <c r="D45" s="1555"/>
      <c r="E45" s="1555"/>
      <c r="F45" s="1555"/>
      <c r="G45" s="1555"/>
      <c r="H45" s="1555"/>
      <c r="I45" s="1555"/>
      <c r="J45" s="1555"/>
      <c r="K45" s="1555"/>
      <c r="L45" s="1555"/>
      <c r="M45" s="1555"/>
      <c r="N45" s="1555"/>
      <c r="O45" s="1555"/>
      <c r="P45" s="1555"/>
      <c r="R45" s="18"/>
      <c r="S45" s="18"/>
      <c r="T45" s="1379" t="s">
        <v>1131</v>
      </c>
      <c r="U45" s="911" t="s">
        <v>1318</v>
      </c>
      <c r="V45" s="911" t="s">
        <v>1075</v>
      </c>
      <c r="W45" s="695" t="s">
        <v>1076</v>
      </c>
      <c r="X45" s="911" t="s">
        <v>1264</v>
      </c>
      <c r="Y45" s="911" t="s">
        <v>1265</v>
      </c>
      <c r="Z45" s="911" t="s">
        <v>1866</v>
      </c>
      <c r="AA45" s="914" t="s">
        <v>1704</v>
      </c>
      <c r="AB45" s="914" t="s">
        <v>99</v>
      </c>
      <c r="AC45" s="914" t="s">
        <v>100</v>
      </c>
      <c r="AD45" s="911" t="s">
        <v>1741</v>
      </c>
      <c r="AE45" s="911" t="s">
        <v>1742</v>
      </c>
      <c r="AF45" s="911" t="s">
        <v>1743</v>
      </c>
      <c r="AG45" s="911" t="s">
        <v>78</v>
      </c>
      <c r="AH45" s="911" t="s">
        <v>79</v>
      </c>
      <c r="AI45" s="911" t="s">
        <v>821</v>
      </c>
      <c r="AJ45" s="911" t="s">
        <v>822</v>
      </c>
      <c r="AK45" s="911" t="s">
        <v>823</v>
      </c>
      <c r="AL45" s="911" t="s">
        <v>824</v>
      </c>
      <c r="AM45" s="911" t="s">
        <v>1134</v>
      </c>
      <c r="AN45" s="911" t="s">
        <v>1544</v>
      </c>
      <c r="AO45" s="911" t="s">
        <v>203</v>
      </c>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4"/>
      <c r="EH45" s="14"/>
      <c r="EI45" s="14"/>
      <c r="EJ45" s="14"/>
      <c r="EK45" s="14"/>
      <c r="EL45" s="14"/>
      <c r="EM45" s="14"/>
      <c r="EN45" s="14"/>
      <c r="EO45" s="14"/>
      <c r="EP45" s="14"/>
      <c r="EQ45" s="14"/>
      <c r="ER45" s="14"/>
      <c r="ES45" s="14"/>
      <c r="ET45" s="14"/>
      <c r="EU45" s="14"/>
      <c r="EV45" s="14"/>
      <c r="EW45" s="14"/>
      <c r="EX45" s="14"/>
      <c r="EY45" s="14"/>
      <c r="EZ45" s="14"/>
      <c r="FA45" s="14"/>
      <c r="FB45" s="14"/>
      <c r="FC45" s="14"/>
      <c r="FD45" s="14"/>
      <c r="FE45" s="14"/>
      <c r="FF45" s="14"/>
      <c r="FG45" s="14"/>
      <c r="FH45" s="14"/>
      <c r="FI45" s="14"/>
      <c r="FJ45" s="14"/>
      <c r="FK45" s="14"/>
      <c r="FL45" s="14"/>
      <c r="FM45" s="14"/>
      <c r="FN45" s="14"/>
      <c r="FO45" s="14"/>
      <c r="FP45" s="14"/>
      <c r="FQ45" s="14"/>
      <c r="FR45" s="14"/>
      <c r="FS45" s="14"/>
      <c r="FT45" s="14"/>
      <c r="FU45" s="14"/>
      <c r="FV45" s="14"/>
      <c r="FW45" s="14"/>
      <c r="FX45" s="14"/>
      <c r="FY45" s="14"/>
      <c r="FZ45" s="14"/>
      <c r="GA45" s="14"/>
      <c r="GB45" s="14"/>
      <c r="GC45" s="14"/>
      <c r="GD45" s="14"/>
      <c r="GE45" s="14"/>
      <c r="GF45" s="14"/>
      <c r="GG45" s="14"/>
      <c r="GH45" s="14"/>
      <c r="GI45" s="14"/>
      <c r="GJ45" s="14"/>
      <c r="GK45" s="14"/>
      <c r="GL45" s="14"/>
      <c r="GM45" s="14"/>
      <c r="GN45" s="14"/>
      <c r="GO45" s="14"/>
      <c r="GP45" s="14"/>
      <c r="GQ45" s="14"/>
      <c r="GR45" s="14"/>
      <c r="GS45" s="14"/>
      <c r="GT45" s="14"/>
      <c r="GU45" s="14"/>
      <c r="GV45" s="14"/>
      <c r="GW45" s="14"/>
      <c r="GX45" s="14"/>
      <c r="GY45" s="14"/>
      <c r="GZ45" s="14"/>
      <c r="HA45" s="14"/>
      <c r="HB45" s="14"/>
      <c r="HC45" s="14"/>
      <c r="HD45" s="14"/>
      <c r="HE45" s="14"/>
      <c r="HF45" s="14"/>
      <c r="HG45" s="14"/>
      <c r="HH45" s="14"/>
      <c r="HI45" s="14"/>
      <c r="HJ45" s="14"/>
      <c r="HK45" s="14"/>
      <c r="HL45" s="14"/>
      <c r="HM45" s="14"/>
      <c r="HN45" s="14"/>
      <c r="HO45" s="14"/>
      <c r="HP45" s="14"/>
      <c r="HQ45" s="14"/>
      <c r="HR45" s="14"/>
      <c r="HS45" s="14"/>
      <c r="HT45" s="14"/>
    </row>
    <row r="46" spans="2:228" ht="27" customHeight="1" x14ac:dyDescent="0.2">
      <c r="B46" s="1629"/>
      <c r="C46" s="1629"/>
      <c r="D46" s="1629"/>
      <c r="E46" s="1629"/>
      <c r="F46" s="1629"/>
      <c r="G46" s="1629"/>
      <c r="H46" s="1629"/>
      <c r="I46" s="1629"/>
      <c r="J46" s="1629"/>
      <c r="K46" s="1629"/>
      <c r="L46" s="1629"/>
      <c r="M46" s="1629"/>
      <c r="N46" s="1629"/>
      <c r="O46" s="1629"/>
      <c r="P46" s="26">
        <f>SUMIF(U45:AO45,B46,U46:AO46)</f>
        <v>0</v>
      </c>
      <c r="R46" s="18"/>
      <c r="S46" s="18"/>
      <c r="T46" s="1379"/>
      <c r="U46" s="913">
        <v>0</v>
      </c>
      <c r="V46" s="914">
        <v>0.05</v>
      </c>
      <c r="W46" s="914">
        <v>0.1</v>
      </c>
      <c r="X46" s="914">
        <v>0.15</v>
      </c>
      <c r="Y46" s="914">
        <v>0.2</v>
      </c>
      <c r="Z46" s="914">
        <v>0.25</v>
      </c>
      <c r="AA46" s="914">
        <v>0.3</v>
      </c>
      <c r="AB46" s="914">
        <v>0.35</v>
      </c>
      <c r="AC46" s="914">
        <v>0.4</v>
      </c>
      <c r="AD46" s="914">
        <v>0.45</v>
      </c>
      <c r="AE46" s="914">
        <v>0.5</v>
      </c>
      <c r="AF46" s="914">
        <v>0.55000000000000004</v>
      </c>
      <c r="AG46" s="914">
        <v>0.6</v>
      </c>
      <c r="AH46" s="914">
        <v>0.65</v>
      </c>
      <c r="AI46" s="914">
        <v>0.7</v>
      </c>
      <c r="AJ46" s="914">
        <v>0.75</v>
      </c>
      <c r="AK46" s="914">
        <v>0.8</v>
      </c>
      <c r="AL46" s="914">
        <v>0.85</v>
      </c>
      <c r="AM46" s="914">
        <v>0.9</v>
      </c>
      <c r="AN46" s="914">
        <v>0.95</v>
      </c>
      <c r="AO46" s="914">
        <v>1</v>
      </c>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4"/>
      <c r="EH46" s="14"/>
      <c r="EI46" s="14"/>
      <c r="EJ46" s="14"/>
      <c r="EK46" s="14"/>
      <c r="EL46" s="14"/>
      <c r="EM46" s="14"/>
      <c r="EN46" s="14"/>
      <c r="EO46" s="14"/>
      <c r="EP46" s="14"/>
      <c r="EQ46" s="14"/>
      <c r="ER46" s="14"/>
      <c r="ES46" s="14"/>
      <c r="ET46" s="14"/>
      <c r="EU46" s="14"/>
      <c r="EV46" s="14"/>
      <c r="EW46" s="14"/>
      <c r="EX46" s="14"/>
      <c r="EY46" s="14"/>
      <c r="EZ46" s="14"/>
      <c r="FA46" s="14"/>
      <c r="FB46" s="14"/>
      <c r="FC46" s="14"/>
      <c r="FD46" s="14"/>
      <c r="FE46" s="14"/>
      <c r="FF46" s="14"/>
      <c r="FG46" s="14"/>
      <c r="FH46" s="14"/>
      <c r="FI46" s="14"/>
      <c r="FJ46" s="14"/>
      <c r="FK46" s="14"/>
      <c r="FL46" s="14"/>
      <c r="FM46" s="14"/>
      <c r="FN46" s="14"/>
      <c r="FO46" s="14"/>
      <c r="FP46" s="14"/>
      <c r="FQ46" s="14"/>
      <c r="FR46" s="14"/>
      <c r="FS46" s="14"/>
      <c r="FT46" s="14"/>
      <c r="FU46" s="14"/>
      <c r="FV46" s="14"/>
      <c r="FW46" s="14"/>
      <c r="FX46" s="14"/>
      <c r="FY46" s="14"/>
      <c r="FZ46" s="14"/>
      <c r="GA46" s="14"/>
      <c r="GB46" s="14"/>
      <c r="GC46" s="14"/>
      <c r="GD46" s="14"/>
      <c r="GE46" s="14"/>
      <c r="GF46" s="14"/>
      <c r="GG46" s="14"/>
      <c r="GH46" s="14"/>
      <c r="GI46" s="14"/>
      <c r="GJ46" s="14"/>
      <c r="GK46" s="14"/>
      <c r="GL46" s="14"/>
      <c r="GM46" s="14"/>
      <c r="GN46" s="14"/>
      <c r="GO46" s="14"/>
      <c r="GP46" s="14"/>
      <c r="GQ46" s="14"/>
      <c r="GR46" s="14"/>
      <c r="GS46" s="14"/>
      <c r="GT46" s="14"/>
      <c r="GU46" s="14"/>
      <c r="GV46" s="14"/>
      <c r="GW46" s="14"/>
      <c r="GX46" s="14"/>
      <c r="GY46" s="14"/>
      <c r="GZ46" s="14"/>
      <c r="HA46" s="14"/>
      <c r="HB46" s="14"/>
      <c r="HC46" s="14"/>
      <c r="HD46" s="14"/>
      <c r="HE46" s="14"/>
      <c r="HF46" s="14"/>
      <c r="HG46" s="14"/>
      <c r="HH46" s="14"/>
      <c r="HI46" s="14"/>
      <c r="HJ46" s="14"/>
      <c r="HK46" s="14"/>
      <c r="HL46" s="14"/>
      <c r="HM46" s="14"/>
      <c r="HN46" s="14"/>
      <c r="HO46" s="14"/>
      <c r="HP46" s="14"/>
      <c r="HQ46" s="14"/>
      <c r="HR46" s="14"/>
      <c r="HS46" s="14"/>
      <c r="HT46" s="14"/>
    </row>
    <row r="47" spans="2:228" ht="15" customHeight="1" x14ac:dyDescent="0.25">
      <c r="B47" s="1924"/>
      <c r="C47" s="1924"/>
      <c r="D47" s="1924"/>
      <c r="E47" s="1924"/>
      <c r="F47" s="1924"/>
      <c r="G47" s="1924"/>
      <c r="H47" s="1924"/>
      <c r="I47" s="1924"/>
      <c r="J47" s="1924"/>
      <c r="K47" s="1924"/>
      <c r="L47" s="1924"/>
      <c r="M47" s="1924"/>
      <c r="N47" s="1924"/>
      <c r="O47" s="1924"/>
      <c r="P47" s="1924"/>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4"/>
      <c r="EH47" s="14"/>
      <c r="EI47" s="14"/>
      <c r="EJ47" s="14"/>
      <c r="EK47" s="14"/>
      <c r="EL47" s="14"/>
      <c r="EM47" s="14"/>
      <c r="EN47" s="14"/>
      <c r="EO47" s="14"/>
      <c r="EP47" s="14"/>
      <c r="EQ47" s="14"/>
      <c r="ER47" s="14"/>
      <c r="ES47" s="14"/>
      <c r="ET47" s="14"/>
      <c r="EU47" s="14"/>
      <c r="EV47" s="14"/>
      <c r="EW47" s="14"/>
      <c r="EX47" s="14"/>
      <c r="EY47" s="14"/>
      <c r="EZ47" s="14"/>
      <c r="FA47" s="14"/>
      <c r="FB47" s="14"/>
      <c r="FC47" s="14"/>
      <c r="FD47" s="14"/>
      <c r="FE47" s="14"/>
      <c r="FF47" s="14"/>
      <c r="FG47" s="14"/>
      <c r="FH47" s="14"/>
      <c r="FI47" s="14"/>
      <c r="FJ47" s="14"/>
      <c r="FK47" s="14"/>
      <c r="FL47" s="14"/>
      <c r="FM47" s="14"/>
      <c r="FN47" s="14"/>
      <c r="FO47" s="14"/>
      <c r="FP47" s="14"/>
      <c r="FQ47" s="14"/>
      <c r="FR47" s="14"/>
      <c r="FS47" s="14"/>
      <c r="FT47" s="14"/>
      <c r="FU47" s="14"/>
      <c r="FV47" s="14"/>
      <c r="FW47" s="14"/>
      <c r="FX47" s="14"/>
      <c r="FY47" s="14"/>
      <c r="FZ47" s="14"/>
      <c r="GA47" s="14"/>
      <c r="GB47" s="14"/>
      <c r="GC47" s="14"/>
      <c r="GD47" s="14"/>
      <c r="GE47" s="14"/>
      <c r="GF47" s="14"/>
      <c r="GG47" s="14"/>
      <c r="GH47" s="14"/>
      <c r="GI47" s="14"/>
      <c r="GJ47" s="14"/>
      <c r="GK47" s="14"/>
      <c r="GL47" s="14"/>
      <c r="GM47" s="14"/>
      <c r="GN47" s="14"/>
      <c r="GO47" s="14"/>
      <c r="GP47" s="14"/>
      <c r="GQ47" s="14"/>
      <c r="GR47" s="14"/>
      <c r="GS47" s="14"/>
      <c r="GT47" s="14"/>
      <c r="GU47" s="14"/>
      <c r="GV47" s="14"/>
      <c r="GW47" s="14"/>
      <c r="GX47" s="14"/>
      <c r="GY47" s="14"/>
      <c r="GZ47" s="14"/>
      <c r="HA47" s="14"/>
      <c r="HB47" s="14"/>
      <c r="HC47" s="14"/>
      <c r="HD47" s="14"/>
      <c r="HE47" s="14"/>
      <c r="HF47" s="14"/>
      <c r="HG47" s="14"/>
      <c r="HH47" s="14"/>
      <c r="HI47" s="14"/>
      <c r="HJ47" s="14"/>
      <c r="HK47" s="14"/>
      <c r="HL47" s="14"/>
      <c r="HM47" s="14"/>
      <c r="HN47" s="14"/>
      <c r="HO47" s="14"/>
      <c r="HP47" s="14"/>
      <c r="HQ47" s="14"/>
      <c r="HR47" s="14"/>
      <c r="HS47" s="14"/>
      <c r="HT47" s="14"/>
    </row>
    <row r="48" spans="2:228" ht="18" customHeight="1" x14ac:dyDescent="0.2">
      <c r="B48" s="1822" t="s">
        <v>1545</v>
      </c>
      <c r="C48" s="1817"/>
      <c r="D48" s="1817"/>
      <c r="E48" s="1817"/>
      <c r="F48" s="1817"/>
      <c r="G48" s="1817"/>
      <c r="H48" s="1817"/>
      <c r="I48" s="1817"/>
      <c r="J48" s="1817"/>
      <c r="K48" s="1817"/>
      <c r="L48" s="1817"/>
      <c r="M48" s="1817"/>
      <c r="N48" s="1817"/>
      <c r="O48" s="1817"/>
      <c r="P48" s="1645"/>
      <c r="R48" s="18"/>
      <c r="S48" s="18"/>
      <c r="T48" s="18"/>
      <c r="U48" s="18"/>
      <c r="V48" s="18"/>
      <c r="W48" s="18"/>
      <c r="X48" s="18"/>
      <c r="Y48" s="18"/>
      <c r="Z48" s="18"/>
      <c r="AA48" s="916"/>
      <c r="AB48" s="916"/>
      <c r="AC48" s="916"/>
      <c r="AD48" s="916"/>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c r="CP48" s="14"/>
      <c r="CQ48" s="14"/>
      <c r="CR48" s="14"/>
      <c r="CS48" s="14"/>
      <c r="CT48" s="14"/>
      <c r="CU48" s="14"/>
      <c r="CV48" s="14"/>
      <c r="CW48" s="14"/>
      <c r="CX48" s="14"/>
      <c r="CY48" s="14"/>
      <c r="CZ48" s="14"/>
      <c r="DA48" s="14"/>
      <c r="DB48" s="14"/>
      <c r="DC48" s="14"/>
      <c r="DD48" s="14"/>
      <c r="DE48" s="14"/>
      <c r="DF48" s="14"/>
      <c r="DG48" s="14"/>
      <c r="DH48" s="14"/>
      <c r="DI48" s="14"/>
      <c r="DJ48" s="14"/>
      <c r="DK48" s="14"/>
      <c r="DL48" s="14"/>
      <c r="DM48" s="14"/>
      <c r="DN48" s="14"/>
      <c r="DO48" s="14"/>
      <c r="DP48" s="14"/>
      <c r="DQ48" s="14"/>
      <c r="DR48" s="14"/>
      <c r="DS48" s="14"/>
      <c r="DT48" s="14"/>
      <c r="DU48" s="14"/>
      <c r="DV48" s="14"/>
      <c r="DW48" s="14"/>
      <c r="DX48" s="14"/>
      <c r="DY48" s="14"/>
      <c r="DZ48" s="14"/>
      <c r="EA48" s="14"/>
      <c r="EB48" s="14"/>
      <c r="EC48" s="14"/>
      <c r="ED48" s="14"/>
      <c r="EE48" s="14"/>
      <c r="EF48" s="14"/>
      <c r="EG48" s="14"/>
      <c r="EH48" s="14"/>
      <c r="EI48" s="14"/>
      <c r="EJ48" s="14"/>
      <c r="EK48" s="14"/>
      <c r="EL48" s="14"/>
      <c r="EM48" s="14"/>
      <c r="EN48" s="14"/>
      <c r="EO48" s="14"/>
      <c r="EP48" s="14"/>
      <c r="EQ48" s="14"/>
      <c r="ER48" s="14"/>
      <c r="ES48" s="14"/>
      <c r="ET48" s="14"/>
      <c r="EU48" s="14"/>
      <c r="EV48" s="14"/>
      <c r="EW48" s="14"/>
      <c r="EX48" s="14"/>
      <c r="EY48" s="14"/>
      <c r="EZ48" s="14"/>
      <c r="FA48" s="14"/>
      <c r="FB48" s="14"/>
      <c r="FC48" s="14"/>
      <c r="FD48" s="14"/>
      <c r="FE48" s="14"/>
      <c r="FF48" s="14"/>
      <c r="FG48" s="14"/>
      <c r="FH48" s="14"/>
      <c r="FI48" s="14"/>
      <c r="FJ48" s="14"/>
      <c r="FK48" s="14"/>
      <c r="FL48" s="14"/>
      <c r="FM48" s="14"/>
      <c r="FN48" s="14"/>
      <c r="FO48" s="14"/>
      <c r="FP48" s="14"/>
      <c r="FQ48" s="14"/>
      <c r="FR48" s="14"/>
      <c r="FS48" s="14"/>
      <c r="FT48" s="14"/>
      <c r="FU48" s="14"/>
      <c r="FV48" s="14"/>
      <c r="FW48" s="14"/>
      <c r="FX48" s="14"/>
      <c r="FY48" s="14"/>
      <c r="FZ48" s="14"/>
      <c r="GA48" s="14"/>
      <c r="GB48" s="14"/>
      <c r="GC48" s="14"/>
      <c r="GD48" s="14"/>
      <c r="GE48" s="14"/>
      <c r="GF48" s="14"/>
      <c r="GG48" s="14"/>
      <c r="GH48" s="14"/>
      <c r="GI48" s="14"/>
      <c r="GJ48" s="14"/>
      <c r="GK48" s="14"/>
      <c r="GL48" s="14"/>
      <c r="GM48" s="14"/>
      <c r="GN48" s="14"/>
      <c r="GO48" s="14"/>
      <c r="GP48" s="14"/>
      <c r="GQ48" s="14"/>
      <c r="GR48" s="14"/>
      <c r="GS48" s="14"/>
      <c r="GT48" s="14"/>
      <c r="GU48" s="14"/>
      <c r="GV48" s="14"/>
      <c r="GW48" s="14"/>
      <c r="GX48" s="14"/>
      <c r="GY48" s="14"/>
      <c r="GZ48" s="14"/>
      <c r="HA48" s="14"/>
      <c r="HB48" s="14"/>
      <c r="HC48" s="14"/>
      <c r="HD48" s="14"/>
      <c r="HE48" s="14"/>
      <c r="HF48" s="14"/>
      <c r="HG48" s="14"/>
      <c r="HH48" s="14"/>
      <c r="HI48" s="14"/>
      <c r="HJ48" s="14"/>
      <c r="HK48" s="14"/>
      <c r="HL48" s="14"/>
      <c r="HM48" s="14"/>
      <c r="HN48" s="14"/>
      <c r="HO48" s="14"/>
      <c r="HP48" s="14"/>
      <c r="HQ48" s="14"/>
      <c r="HR48" s="14"/>
      <c r="HS48" s="14"/>
      <c r="HT48" s="14"/>
    </row>
    <row r="49" spans="2:228" ht="15" customHeight="1" x14ac:dyDescent="0.2">
      <c r="B49" s="334" t="s">
        <v>1546</v>
      </c>
      <c r="C49" s="1637"/>
      <c r="D49" s="1637"/>
      <c r="E49" s="1637"/>
      <c r="F49" s="1637"/>
      <c r="G49" s="1637"/>
      <c r="H49" s="1637"/>
      <c r="I49" s="1637"/>
      <c r="J49" s="1637"/>
      <c r="K49" s="1637"/>
      <c r="L49" s="1644"/>
      <c r="M49" s="1644"/>
      <c r="N49" s="1644"/>
      <c r="O49" s="76">
        <f>IF(C49=T49,0.45,IF(C49=U49,0.3,IF(C49=V49,0.45,0)))</f>
        <v>0</v>
      </c>
      <c r="P49" s="1745"/>
      <c r="R49" s="1536" t="s">
        <v>2197</v>
      </c>
      <c r="S49" s="911" t="s">
        <v>1942</v>
      </c>
      <c r="T49" s="911" t="s">
        <v>1547</v>
      </c>
      <c r="U49" s="912" t="s">
        <v>1548</v>
      </c>
      <c r="V49" s="911" t="s">
        <v>1549</v>
      </c>
      <c r="W49" s="18"/>
      <c r="X49" s="18"/>
      <c r="Y49" s="18"/>
      <c r="Z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c r="CP49" s="14"/>
      <c r="CQ49" s="14"/>
      <c r="CR49" s="14"/>
      <c r="CS49" s="14"/>
      <c r="CT49" s="14"/>
      <c r="CU49" s="14"/>
      <c r="CV49" s="14"/>
      <c r="CW49" s="14"/>
      <c r="CX49" s="14"/>
      <c r="CY49" s="14"/>
      <c r="CZ49" s="14"/>
      <c r="DA49" s="14"/>
      <c r="DB49" s="14"/>
      <c r="DC49" s="14"/>
      <c r="DD49" s="14"/>
      <c r="DE49" s="14"/>
      <c r="DF49" s="14"/>
      <c r="DG49" s="14"/>
      <c r="DH49" s="14"/>
      <c r="DI49" s="14"/>
      <c r="DJ49" s="14"/>
      <c r="DK49" s="14"/>
      <c r="DL49" s="14"/>
      <c r="DM49" s="14"/>
      <c r="DN49" s="14"/>
      <c r="DO49" s="14"/>
      <c r="DP49" s="14"/>
      <c r="DQ49" s="14"/>
      <c r="DR49" s="14"/>
      <c r="DS49" s="14"/>
      <c r="DT49" s="14"/>
      <c r="DU49" s="14"/>
      <c r="DV49" s="14"/>
      <c r="DW49" s="14"/>
      <c r="DX49" s="14"/>
      <c r="DY49" s="14"/>
      <c r="DZ49" s="14"/>
      <c r="EA49" s="14"/>
      <c r="EB49" s="14"/>
      <c r="EC49" s="14"/>
      <c r="ED49" s="14"/>
      <c r="EE49" s="14"/>
      <c r="EF49" s="14"/>
      <c r="EG49" s="14"/>
      <c r="EH49" s="14"/>
      <c r="EI49" s="14"/>
      <c r="EJ49" s="14"/>
      <c r="EK49" s="14"/>
      <c r="EL49" s="14"/>
      <c r="EM49" s="14"/>
      <c r="EN49" s="14"/>
      <c r="EO49" s="14"/>
      <c r="EP49" s="14"/>
      <c r="EQ49" s="14"/>
      <c r="ER49" s="14"/>
      <c r="ES49" s="14"/>
      <c r="ET49" s="14"/>
      <c r="EU49" s="14"/>
      <c r="EV49" s="14"/>
      <c r="EW49" s="14"/>
      <c r="EX49" s="14"/>
      <c r="EY49" s="14"/>
      <c r="EZ49" s="14"/>
      <c r="FA49" s="14"/>
      <c r="FB49" s="14"/>
      <c r="FC49" s="14"/>
      <c r="FD49" s="14"/>
      <c r="FE49" s="14"/>
      <c r="FF49" s="14"/>
      <c r="FG49" s="14"/>
      <c r="FH49" s="14"/>
      <c r="FI49" s="14"/>
      <c r="FJ49" s="14"/>
      <c r="FK49" s="14"/>
      <c r="FL49" s="14"/>
      <c r="FM49" s="14"/>
      <c r="FN49" s="14"/>
      <c r="FO49" s="14"/>
      <c r="FP49" s="14"/>
      <c r="FQ49" s="14"/>
      <c r="FR49" s="14"/>
      <c r="FS49" s="14"/>
      <c r="FT49" s="14"/>
      <c r="FU49" s="14"/>
      <c r="FV49" s="14"/>
      <c r="FW49" s="14"/>
      <c r="FX49" s="14"/>
      <c r="FY49" s="14"/>
      <c r="FZ49" s="14"/>
      <c r="GA49" s="14"/>
      <c r="GB49" s="14"/>
      <c r="GC49" s="14"/>
      <c r="GD49" s="14"/>
      <c r="GE49" s="14"/>
      <c r="GF49" s="14"/>
      <c r="GG49" s="14"/>
      <c r="GH49" s="14"/>
      <c r="GI49" s="14"/>
      <c r="GJ49" s="14"/>
      <c r="GK49" s="14"/>
      <c r="GL49" s="14"/>
      <c r="GM49" s="14"/>
      <c r="GN49" s="14"/>
      <c r="GO49" s="14"/>
      <c r="GP49" s="14"/>
      <c r="GQ49" s="14"/>
      <c r="GR49" s="14"/>
      <c r="GS49" s="14"/>
      <c r="GT49" s="14"/>
      <c r="GU49" s="14"/>
      <c r="GV49" s="14"/>
      <c r="GW49" s="14"/>
      <c r="GX49" s="14"/>
      <c r="GY49" s="14"/>
      <c r="GZ49" s="14"/>
      <c r="HA49" s="14"/>
      <c r="HB49" s="14"/>
      <c r="HC49" s="14"/>
      <c r="HD49" s="14"/>
      <c r="HE49" s="14"/>
      <c r="HF49" s="14"/>
      <c r="HG49" s="14"/>
      <c r="HH49" s="14"/>
      <c r="HI49" s="14"/>
      <c r="HJ49" s="14"/>
      <c r="HK49" s="14"/>
      <c r="HL49" s="14"/>
      <c r="HM49" s="14"/>
      <c r="HN49" s="14"/>
      <c r="HO49" s="14"/>
      <c r="HP49" s="14"/>
      <c r="HQ49" s="14"/>
      <c r="HR49" s="14"/>
      <c r="HS49" s="14"/>
      <c r="HT49" s="14"/>
    </row>
    <row r="50" spans="2:228" ht="15" customHeight="1" x14ac:dyDescent="0.2">
      <c r="B50" s="334" t="s">
        <v>1706</v>
      </c>
      <c r="C50" s="1637"/>
      <c r="D50" s="1637"/>
      <c r="E50" s="1637"/>
      <c r="F50" s="1637"/>
      <c r="G50" s="1637"/>
      <c r="H50" s="1637"/>
      <c r="I50" s="1637"/>
      <c r="J50" s="1637"/>
      <c r="K50" s="1637"/>
      <c r="L50" s="1644"/>
      <c r="M50" s="1644"/>
      <c r="N50" s="1644"/>
      <c r="O50" s="76">
        <f>IF(C50=T50,0.8,IF(C50=U50,0.45,IF(C50=V50,0.8,0)))</f>
        <v>0</v>
      </c>
      <c r="P50" s="1745"/>
      <c r="R50" s="1536"/>
      <c r="S50" s="911" t="s">
        <v>1942</v>
      </c>
      <c r="T50" s="911" t="s">
        <v>1547</v>
      </c>
      <c r="U50" s="912" t="s">
        <v>1548</v>
      </c>
      <c r="V50" s="911" t="s">
        <v>1549</v>
      </c>
      <c r="W50" s="18"/>
      <c r="X50" s="18"/>
      <c r="Y50" s="18"/>
      <c r="Z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c r="CP50" s="14"/>
      <c r="CQ50" s="14"/>
      <c r="CR50" s="14"/>
      <c r="CS50" s="14"/>
      <c r="CT50" s="14"/>
      <c r="CU50" s="14"/>
      <c r="CV50" s="14"/>
      <c r="CW50" s="14"/>
      <c r="CX50" s="14"/>
      <c r="CY50" s="14"/>
      <c r="CZ50" s="14"/>
      <c r="DA50" s="14"/>
      <c r="DB50" s="14"/>
      <c r="DC50" s="14"/>
      <c r="DD50" s="14"/>
      <c r="DE50" s="14"/>
      <c r="DF50" s="14"/>
      <c r="DG50" s="14"/>
      <c r="DH50" s="14"/>
      <c r="DI50" s="14"/>
      <c r="DJ50" s="14"/>
      <c r="DK50" s="14"/>
      <c r="DL50" s="14"/>
      <c r="DM50" s="14"/>
      <c r="DN50" s="14"/>
      <c r="DO50" s="14"/>
      <c r="DP50" s="14"/>
      <c r="DQ50" s="14"/>
      <c r="DR50" s="14"/>
      <c r="DS50" s="14"/>
      <c r="DT50" s="14"/>
      <c r="DU50" s="14"/>
      <c r="DV50" s="14"/>
      <c r="DW50" s="14"/>
      <c r="DX50" s="14"/>
      <c r="DY50" s="14"/>
      <c r="DZ50" s="14"/>
      <c r="EA50" s="14"/>
      <c r="EB50" s="14"/>
      <c r="EC50" s="14"/>
      <c r="ED50" s="14"/>
      <c r="EE50" s="14"/>
      <c r="EF50" s="14"/>
      <c r="EG50" s="14"/>
      <c r="EH50" s="14"/>
      <c r="EI50" s="14"/>
      <c r="EJ50" s="14"/>
      <c r="EK50" s="14"/>
      <c r="EL50" s="14"/>
      <c r="EM50" s="14"/>
      <c r="EN50" s="14"/>
      <c r="EO50" s="14"/>
      <c r="EP50" s="14"/>
      <c r="EQ50" s="14"/>
      <c r="ER50" s="14"/>
      <c r="ES50" s="14"/>
      <c r="ET50" s="14"/>
      <c r="EU50" s="14"/>
      <c r="EV50" s="14"/>
      <c r="EW50" s="14"/>
      <c r="EX50" s="14"/>
      <c r="EY50" s="14"/>
      <c r="EZ50" s="14"/>
      <c r="FA50" s="14"/>
      <c r="FB50" s="14"/>
      <c r="FC50" s="14"/>
      <c r="FD50" s="14"/>
      <c r="FE50" s="14"/>
      <c r="FF50" s="14"/>
      <c r="FG50" s="14"/>
      <c r="FH50" s="14"/>
      <c r="FI50" s="14"/>
      <c r="FJ50" s="14"/>
      <c r="FK50" s="14"/>
      <c r="FL50" s="14"/>
      <c r="FM50" s="14"/>
      <c r="FN50" s="14"/>
      <c r="FO50" s="14"/>
      <c r="FP50" s="14"/>
      <c r="FQ50" s="14"/>
      <c r="FR50" s="14"/>
      <c r="FS50" s="14"/>
      <c r="FT50" s="14"/>
      <c r="FU50" s="14"/>
      <c r="FV50" s="14"/>
      <c r="FW50" s="14"/>
      <c r="FX50" s="14"/>
      <c r="FY50" s="14"/>
      <c r="FZ50" s="14"/>
      <c r="GA50" s="14"/>
      <c r="GB50" s="14"/>
      <c r="GC50" s="14"/>
      <c r="GD50" s="14"/>
      <c r="GE50" s="14"/>
      <c r="GF50" s="14"/>
      <c r="GG50" s="14"/>
      <c r="GH50" s="14"/>
      <c r="GI50" s="14"/>
      <c r="GJ50" s="14"/>
      <c r="GK50" s="14"/>
      <c r="GL50" s="14"/>
      <c r="GM50" s="14"/>
      <c r="GN50" s="14"/>
      <c r="GO50" s="14"/>
      <c r="GP50" s="14"/>
      <c r="GQ50" s="14"/>
      <c r="GR50" s="14"/>
      <c r="GS50" s="14"/>
      <c r="GT50" s="14"/>
      <c r="GU50" s="14"/>
      <c r="GV50" s="14"/>
      <c r="GW50" s="14"/>
      <c r="GX50" s="14"/>
      <c r="GY50" s="14"/>
      <c r="GZ50" s="14"/>
      <c r="HA50" s="14"/>
      <c r="HB50" s="14"/>
      <c r="HC50" s="14"/>
      <c r="HD50" s="14"/>
      <c r="HE50" s="14"/>
      <c r="HF50" s="14"/>
      <c r="HG50" s="14"/>
      <c r="HH50" s="14"/>
      <c r="HI50" s="14"/>
      <c r="HJ50" s="14"/>
      <c r="HK50" s="14"/>
      <c r="HL50" s="14"/>
      <c r="HM50" s="14"/>
      <c r="HN50" s="14"/>
      <c r="HO50" s="14"/>
      <c r="HP50" s="14"/>
      <c r="HQ50" s="14"/>
      <c r="HR50" s="14"/>
      <c r="HS50" s="14"/>
      <c r="HT50" s="14"/>
    </row>
    <row r="51" spans="2:228" ht="15" customHeight="1" x14ac:dyDescent="0.25">
      <c r="B51" s="1961"/>
      <c r="C51" s="1876"/>
      <c r="D51" s="1876"/>
      <c r="E51" s="1876"/>
      <c r="F51" s="1876"/>
      <c r="G51" s="1876"/>
      <c r="H51" s="1876"/>
      <c r="I51" s="1876"/>
      <c r="J51" s="1876"/>
      <c r="K51" s="1876"/>
      <c r="L51" s="1876"/>
      <c r="M51" s="1876"/>
      <c r="N51" s="1876"/>
      <c r="O51" s="1876"/>
      <c r="P51" s="1745"/>
      <c r="R51" s="18"/>
      <c r="S51" s="698"/>
      <c r="T51" s="698"/>
      <c r="U51" s="698"/>
      <c r="V51" s="929"/>
      <c r="W51" s="929"/>
      <c r="X51" s="18"/>
      <c r="Y51" s="18"/>
      <c r="Z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c r="CP51" s="14"/>
      <c r="CQ51" s="14"/>
      <c r="CR51" s="14"/>
      <c r="CS51" s="14"/>
      <c r="CT51" s="14"/>
      <c r="CU51" s="14"/>
      <c r="CV51" s="14"/>
      <c r="CW51" s="14"/>
      <c r="CX51" s="14"/>
      <c r="CY51" s="14"/>
      <c r="CZ51" s="14"/>
      <c r="DA51" s="14"/>
      <c r="DB51" s="14"/>
      <c r="DC51" s="14"/>
      <c r="DD51" s="14"/>
      <c r="DE51" s="14"/>
      <c r="DF51" s="14"/>
      <c r="DG51" s="14"/>
      <c r="DH51" s="14"/>
      <c r="DI51" s="14"/>
      <c r="DJ51" s="14"/>
      <c r="DK51" s="14"/>
      <c r="DL51" s="14"/>
      <c r="DM51" s="14"/>
      <c r="DN51" s="14"/>
      <c r="DO51" s="14"/>
      <c r="DP51" s="14"/>
      <c r="DQ51" s="14"/>
      <c r="DR51" s="14"/>
      <c r="DS51" s="14"/>
      <c r="DT51" s="14"/>
      <c r="DU51" s="14"/>
      <c r="DV51" s="14"/>
      <c r="DW51" s="14"/>
      <c r="DX51" s="14"/>
      <c r="DY51" s="14"/>
      <c r="DZ51" s="14"/>
      <c r="EA51" s="14"/>
      <c r="EB51" s="14"/>
      <c r="EC51" s="14"/>
      <c r="ED51" s="14"/>
      <c r="EE51" s="14"/>
      <c r="EF51" s="14"/>
      <c r="EG51" s="14"/>
      <c r="EH51" s="14"/>
      <c r="EI51" s="14"/>
      <c r="EJ51" s="14"/>
      <c r="EK51" s="14"/>
      <c r="EL51" s="14"/>
      <c r="EM51" s="14"/>
      <c r="EN51" s="14"/>
      <c r="EO51" s="14"/>
      <c r="EP51" s="14"/>
      <c r="EQ51" s="14"/>
      <c r="ER51" s="14"/>
      <c r="ES51" s="14"/>
      <c r="ET51" s="14"/>
      <c r="EU51" s="14"/>
      <c r="EV51" s="14"/>
      <c r="EW51" s="14"/>
      <c r="EX51" s="14"/>
      <c r="EY51" s="14"/>
      <c r="EZ51" s="14"/>
      <c r="FA51" s="14"/>
      <c r="FB51" s="14"/>
      <c r="FC51" s="14"/>
      <c r="FD51" s="14"/>
      <c r="FE51" s="14"/>
      <c r="FF51" s="14"/>
      <c r="FG51" s="14"/>
      <c r="FH51" s="14"/>
      <c r="FI51" s="14"/>
      <c r="FJ51" s="14"/>
      <c r="FK51" s="14"/>
      <c r="FL51" s="14"/>
      <c r="FM51" s="14"/>
      <c r="FN51" s="14"/>
      <c r="FO51" s="14"/>
      <c r="FP51" s="14"/>
      <c r="FQ51" s="14"/>
      <c r="FR51" s="14"/>
      <c r="FS51" s="14"/>
      <c r="FT51" s="14"/>
      <c r="FU51" s="14"/>
      <c r="FV51" s="14"/>
      <c r="FW51" s="14"/>
      <c r="FX51" s="14"/>
      <c r="FY51" s="14"/>
      <c r="FZ51" s="14"/>
      <c r="GA51" s="14"/>
      <c r="GB51" s="14"/>
      <c r="GC51" s="14"/>
      <c r="GD51" s="14"/>
      <c r="GE51" s="14"/>
      <c r="GF51" s="14"/>
      <c r="GG51" s="14"/>
      <c r="GH51" s="14"/>
      <c r="GI51" s="14"/>
      <c r="GJ51" s="14"/>
      <c r="GK51" s="14"/>
      <c r="GL51" s="14"/>
      <c r="GM51" s="14"/>
      <c r="GN51" s="14"/>
      <c r="GO51" s="14"/>
      <c r="GP51" s="14"/>
      <c r="GQ51" s="14"/>
      <c r="GR51" s="14"/>
      <c r="GS51" s="14"/>
      <c r="GT51" s="14"/>
      <c r="GU51" s="14"/>
      <c r="GV51" s="14"/>
      <c r="GW51" s="14"/>
      <c r="GX51" s="14"/>
      <c r="GY51" s="14"/>
      <c r="GZ51" s="14"/>
      <c r="HA51" s="14"/>
      <c r="HB51" s="14"/>
      <c r="HC51" s="14"/>
      <c r="HD51" s="14"/>
      <c r="HE51" s="14"/>
      <c r="HF51" s="14"/>
      <c r="HG51" s="14"/>
      <c r="HH51" s="14"/>
      <c r="HI51" s="14"/>
      <c r="HJ51" s="14"/>
      <c r="HK51" s="14"/>
      <c r="HL51" s="14"/>
      <c r="HM51" s="14"/>
      <c r="HN51" s="14"/>
      <c r="HO51" s="14"/>
      <c r="HP51" s="14"/>
      <c r="HQ51" s="14"/>
      <c r="HR51" s="14"/>
      <c r="HS51" s="14"/>
      <c r="HT51" s="14"/>
    </row>
    <row r="52" spans="2:228" ht="27" customHeight="1" x14ac:dyDescent="0.2">
      <c r="B52" s="250"/>
      <c r="C52" s="1549" t="s">
        <v>1596</v>
      </c>
      <c r="D52" s="1550"/>
      <c r="E52" s="1550"/>
      <c r="F52" s="1550"/>
      <c r="G52" s="1536" t="s">
        <v>1081</v>
      </c>
      <c r="H52" s="1536"/>
      <c r="I52" s="1536"/>
      <c r="J52" s="1536"/>
      <c r="K52" s="1536"/>
      <c r="L52" s="1395"/>
      <c r="M52" s="1395"/>
      <c r="N52" s="1395"/>
      <c r="O52" s="1395"/>
      <c r="P52" s="1745"/>
      <c r="R52" s="1111"/>
      <c r="S52" s="933"/>
      <c r="T52" s="1536" t="s">
        <v>1258</v>
      </c>
      <c r="U52" s="1536"/>
      <c r="V52" s="929"/>
      <c r="W52" s="929"/>
      <c r="X52" s="18"/>
      <c r="Y52" s="1531" t="s">
        <v>2263</v>
      </c>
      <c r="Z52" s="1535"/>
      <c r="AA52" s="1532"/>
      <c r="AB52" s="1111"/>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c r="CP52" s="14"/>
      <c r="CQ52" s="14"/>
      <c r="CR52" s="14"/>
      <c r="CS52" s="14"/>
      <c r="CT52" s="14"/>
      <c r="CU52" s="14"/>
      <c r="CV52" s="14"/>
      <c r="CW52" s="14"/>
      <c r="CX52" s="14"/>
      <c r="CY52" s="14"/>
      <c r="CZ52" s="14"/>
      <c r="DA52" s="14"/>
      <c r="DB52" s="14"/>
      <c r="DC52" s="14"/>
      <c r="DD52" s="14"/>
      <c r="DE52" s="14"/>
      <c r="DF52" s="14"/>
      <c r="DG52" s="14"/>
      <c r="DH52" s="14"/>
      <c r="DI52" s="14"/>
      <c r="DJ52" s="14"/>
      <c r="DK52" s="14"/>
      <c r="DL52" s="14"/>
      <c r="DM52" s="14"/>
      <c r="DN52" s="14"/>
      <c r="DO52" s="14"/>
      <c r="DP52" s="14"/>
      <c r="DQ52" s="14"/>
      <c r="DR52" s="14"/>
      <c r="DS52" s="14"/>
      <c r="DT52" s="14"/>
      <c r="DU52" s="14"/>
      <c r="DV52" s="14"/>
      <c r="DW52" s="14"/>
      <c r="DX52" s="14"/>
      <c r="DY52" s="14"/>
      <c r="DZ52" s="14"/>
      <c r="EA52" s="14"/>
      <c r="EB52" s="14"/>
      <c r="EC52" s="14"/>
      <c r="ED52" s="14"/>
      <c r="EE52" s="14"/>
      <c r="EF52" s="14"/>
      <c r="EG52" s="14"/>
      <c r="EH52" s="14"/>
      <c r="EI52" s="14"/>
      <c r="EJ52" s="14"/>
      <c r="EK52" s="14"/>
      <c r="EL52" s="14"/>
      <c r="EM52" s="14"/>
      <c r="EN52" s="14"/>
      <c r="EO52" s="14"/>
      <c r="EP52" s="14"/>
      <c r="EQ52" s="14"/>
      <c r="ER52" s="14"/>
      <c r="ES52" s="14"/>
      <c r="ET52" s="14"/>
      <c r="EU52" s="14"/>
      <c r="EV52" s="14"/>
      <c r="EW52" s="14"/>
      <c r="EX52" s="14"/>
      <c r="EY52" s="14"/>
      <c r="EZ52" s="14"/>
      <c r="FA52" s="14"/>
      <c r="FB52" s="14"/>
      <c r="FC52" s="14"/>
      <c r="FD52" s="14"/>
      <c r="FE52" s="14"/>
      <c r="FF52" s="14"/>
      <c r="FG52" s="14"/>
      <c r="FH52" s="14"/>
      <c r="FI52" s="14"/>
      <c r="FJ52" s="14"/>
      <c r="FK52" s="14"/>
      <c r="FL52" s="14"/>
      <c r="FM52" s="14"/>
      <c r="FN52" s="14"/>
      <c r="FO52" s="14"/>
      <c r="FP52" s="14"/>
      <c r="FQ52" s="14"/>
      <c r="FR52" s="14"/>
      <c r="FS52" s="14"/>
      <c r="FT52" s="14"/>
      <c r="FU52" s="14"/>
      <c r="FV52" s="14"/>
      <c r="FW52" s="14"/>
      <c r="FX52" s="14"/>
      <c r="FY52" s="14"/>
      <c r="FZ52" s="14"/>
      <c r="GA52" s="14"/>
      <c r="GB52" s="14"/>
      <c r="GC52" s="14"/>
      <c r="GD52" s="14"/>
      <c r="GE52" s="14"/>
      <c r="GF52" s="14"/>
      <c r="GG52" s="14"/>
      <c r="GH52" s="14"/>
      <c r="GI52" s="14"/>
      <c r="GJ52" s="14"/>
      <c r="GK52" s="14"/>
      <c r="GL52" s="14"/>
      <c r="GM52" s="14"/>
      <c r="GN52" s="14"/>
      <c r="GO52" s="14"/>
      <c r="GP52" s="14"/>
      <c r="GQ52" s="14"/>
      <c r="GR52" s="14"/>
      <c r="GS52" s="14"/>
      <c r="GT52" s="14"/>
      <c r="GU52" s="14"/>
      <c r="GV52" s="14"/>
      <c r="GW52" s="14"/>
      <c r="GX52" s="14"/>
      <c r="GY52" s="14"/>
      <c r="GZ52" s="14"/>
      <c r="HA52" s="14"/>
      <c r="HB52" s="14"/>
      <c r="HC52" s="14"/>
      <c r="HD52" s="14"/>
      <c r="HE52" s="14"/>
      <c r="HF52" s="14"/>
      <c r="HG52" s="14"/>
      <c r="HH52" s="14"/>
      <c r="HI52" s="14"/>
      <c r="HJ52" s="14"/>
      <c r="HK52" s="14"/>
      <c r="HL52" s="14"/>
      <c r="HM52" s="14"/>
      <c r="HN52" s="14"/>
      <c r="HO52" s="14"/>
      <c r="HP52" s="14"/>
      <c r="HQ52" s="14"/>
      <c r="HR52" s="14"/>
      <c r="HS52" s="14"/>
      <c r="HT52" s="14"/>
    </row>
    <row r="53" spans="2:228" ht="15" customHeight="1" x14ac:dyDescent="0.2">
      <c r="B53" s="358" t="s">
        <v>1707</v>
      </c>
      <c r="C53" s="1555" t="s">
        <v>365</v>
      </c>
      <c r="D53" s="1555"/>
      <c r="E53" s="1555" t="s">
        <v>1796</v>
      </c>
      <c r="F53" s="1555"/>
      <c r="G53" s="1555" t="s">
        <v>365</v>
      </c>
      <c r="H53" s="1555"/>
      <c r="I53" s="1555"/>
      <c r="J53" s="1555" t="s">
        <v>1796</v>
      </c>
      <c r="K53" s="1555"/>
      <c r="L53" s="1644"/>
      <c r="M53" s="1644"/>
      <c r="N53" s="1644"/>
      <c r="O53" s="1646"/>
      <c r="P53" s="1745"/>
      <c r="R53" s="1111"/>
      <c r="S53" s="915" t="s">
        <v>1573</v>
      </c>
      <c r="T53" s="912" t="s">
        <v>1596</v>
      </c>
      <c r="U53" s="912" t="s">
        <v>1597</v>
      </c>
      <c r="V53" s="1555" t="s">
        <v>1083</v>
      </c>
      <c r="W53" s="1555"/>
      <c r="X53" s="916"/>
      <c r="Y53" s="1113">
        <f>IF(OR(O49&gt;0,O50&gt;0,E55&gt;0,E57&gt;0),1,0)</f>
        <v>0</v>
      </c>
      <c r="Z53" s="1080">
        <f>IF(AND(OR(O49&gt;0,O50&gt;0),OR(E54&gt;0,E56&gt;0),C59&gt;0),C59*O58,O58)</f>
        <v>0</v>
      </c>
      <c r="AA53" s="1056">
        <f>IF(AND(Y53=0,C59&gt;0),C59*AB58,AB58)</f>
        <v>0</v>
      </c>
      <c r="AB53" s="63"/>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c r="CP53" s="14"/>
      <c r="CQ53" s="14"/>
      <c r="CR53" s="14"/>
      <c r="CS53" s="14"/>
      <c r="CT53" s="14"/>
      <c r="CU53" s="14"/>
      <c r="CV53" s="14"/>
      <c r="CW53" s="14"/>
      <c r="CX53" s="14"/>
      <c r="CY53" s="14"/>
      <c r="CZ53" s="14"/>
      <c r="DA53" s="14"/>
      <c r="DB53" s="14"/>
      <c r="DC53" s="14"/>
      <c r="DD53" s="14"/>
      <c r="DE53" s="14"/>
      <c r="DF53" s="14"/>
      <c r="DG53" s="14"/>
      <c r="DH53" s="14"/>
      <c r="DI53" s="14"/>
      <c r="DJ53" s="14"/>
      <c r="DK53" s="14"/>
      <c r="DL53" s="14"/>
      <c r="DM53" s="14"/>
      <c r="DN53" s="14"/>
      <c r="DO53" s="14"/>
      <c r="DP53" s="14"/>
      <c r="DQ53" s="14"/>
      <c r="DR53" s="14"/>
      <c r="DS53" s="14"/>
      <c r="DT53" s="14"/>
      <c r="DU53" s="14"/>
      <c r="DV53" s="14"/>
      <c r="DW53" s="14"/>
      <c r="DX53" s="14"/>
      <c r="DY53" s="14"/>
      <c r="DZ53" s="14"/>
      <c r="EA53" s="14"/>
      <c r="EB53" s="14"/>
      <c r="EC53" s="14"/>
      <c r="ED53" s="14"/>
      <c r="EE53" s="14"/>
      <c r="EF53" s="14"/>
      <c r="EG53" s="14"/>
      <c r="EH53" s="14"/>
      <c r="EI53" s="14"/>
      <c r="EJ53" s="14"/>
      <c r="EK53" s="14"/>
      <c r="EL53" s="14"/>
      <c r="EM53" s="14"/>
      <c r="EN53" s="14"/>
      <c r="EO53" s="14"/>
      <c r="EP53" s="14"/>
      <c r="EQ53" s="14"/>
      <c r="ER53" s="14"/>
      <c r="ES53" s="14"/>
      <c r="ET53" s="14"/>
      <c r="EU53" s="14"/>
      <c r="EV53" s="14"/>
      <c r="EW53" s="14"/>
      <c r="EX53" s="14"/>
      <c r="EY53" s="14"/>
      <c r="EZ53" s="14"/>
      <c r="FA53" s="14"/>
      <c r="FB53" s="14"/>
      <c r="FC53" s="14"/>
      <c r="FD53" s="14"/>
      <c r="FE53" s="14"/>
      <c r="FF53" s="14"/>
      <c r="FG53" s="14"/>
      <c r="FH53" s="14"/>
      <c r="FI53" s="14"/>
      <c r="FJ53" s="14"/>
      <c r="FK53" s="14"/>
      <c r="FL53" s="14"/>
      <c r="FM53" s="14"/>
      <c r="FN53" s="14"/>
      <c r="FO53" s="14"/>
      <c r="FP53" s="14"/>
      <c r="FQ53" s="14"/>
      <c r="FR53" s="14"/>
      <c r="FS53" s="14"/>
      <c r="FT53" s="14"/>
      <c r="FU53" s="14"/>
      <c r="FV53" s="14"/>
      <c r="FW53" s="14"/>
      <c r="FX53" s="14"/>
      <c r="FY53" s="14"/>
      <c r="FZ53" s="14"/>
      <c r="GA53" s="14"/>
      <c r="GB53" s="14"/>
      <c r="GC53" s="14"/>
      <c r="GD53" s="14"/>
      <c r="GE53" s="14"/>
      <c r="GF53" s="14"/>
      <c r="GG53" s="14"/>
      <c r="GH53" s="14"/>
      <c r="GI53" s="14"/>
      <c r="GJ53" s="14"/>
      <c r="GK53" s="14"/>
      <c r="GL53" s="14"/>
      <c r="GM53" s="14"/>
      <c r="GN53" s="14"/>
      <c r="GO53" s="14"/>
      <c r="GP53" s="14"/>
      <c r="GQ53" s="14"/>
      <c r="GR53" s="14"/>
      <c r="GS53" s="14"/>
      <c r="GT53" s="14"/>
      <c r="GU53" s="14"/>
      <c r="GV53" s="14"/>
      <c r="GW53" s="14"/>
      <c r="GX53" s="14"/>
      <c r="GY53" s="14"/>
      <c r="GZ53" s="14"/>
      <c r="HA53" s="14"/>
      <c r="HB53" s="14"/>
      <c r="HC53" s="14"/>
      <c r="HD53" s="14"/>
      <c r="HE53" s="14"/>
      <c r="HF53" s="14"/>
      <c r="HG53" s="14"/>
      <c r="HH53" s="14"/>
      <c r="HI53" s="14"/>
      <c r="HJ53" s="14"/>
      <c r="HK53" s="14"/>
      <c r="HL53" s="14"/>
      <c r="HM53" s="14"/>
      <c r="HN53" s="14"/>
      <c r="HO53" s="14"/>
      <c r="HP53" s="14"/>
      <c r="HQ53" s="14"/>
      <c r="HR53" s="14"/>
      <c r="HS53" s="14"/>
      <c r="HT53" s="14"/>
    </row>
    <row r="54" spans="2:228" ht="15" customHeight="1" x14ac:dyDescent="0.2">
      <c r="B54" s="358" t="s">
        <v>1335</v>
      </c>
      <c r="C54" s="1637"/>
      <c r="D54" s="1637"/>
      <c r="E54" s="1865">
        <f>LETable!AT12</f>
        <v>0</v>
      </c>
      <c r="F54" s="1865"/>
      <c r="G54" s="1308"/>
      <c r="H54" s="1308"/>
      <c r="I54" s="1308"/>
      <c r="J54" s="1869">
        <f>IF(C54="",0,IF(OR(C54&lt;=0,G54&lt;=0),E54,IF(G54&lt;C54,0,LETable!AY12)))</f>
        <v>0</v>
      </c>
      <c r="K54" s="1869"/>
      <c r="L54" s="1938" t="str">
        <f>IF(OR(C54="NA",G54="NA"),"",IF(AND(C54&lt;&gt;"",G54=""),"Enter contralateral or NA.",IF(AND(C54="",G54&lt;&gt;""),"Need data","")))</f>
        <v/>
      </c>
      <c r="M54" s="1938"/>
      <c r="N54" s="1938"/>
      <c r="O54" s="1939"/>
      <c r="P54" s="1745"/>
      <c r="S54" s="911">
        <v>40</v>
      </c>
      <c r="T54" s="911" t="str">
        <f>IF(OR(C54="",C54="NA"),"",IF(C54&gt;S54,S54,IF(C54&lt;0,0,C54)))</f>
        <v/>
      </c>
      <c r="U54" s="911" t="str">
        <f>IF(OR(G54="",G54="NA"),"",IF(G54&gt;S54,S54,IF(G54&lt;0,0,G54)))</f>
        <v/>
      </c>
      <c r="V54" s="696" t="str">
        <f>IF(W54="","",ROUND(W54,0))</f>
        <v/>
      </c>
      <c r="W54" s="697" t="str">
        <f>IF(T54="","",IF(OR(U54="",U54=0,U54&lt;T54),T54,(T54*S54)/U54))</f>
        <v/>
      </c>
      <c r="X54" s="18"/>
      <c r="Y54" s="63"/>
      <c r="Z54" s="63"/>
      <c r="AA54" s="63"/>
      <c r="AB54" s="63"/>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c r="CP54" s="14"/>
      <c r="CQ54" s="14"/>
      <c r="CR54" s="14"/>
      <c r="CS54" s="14"/>
      <c r="CT54" s="14"/>
      <c r="CU54" s="14"/>
      <c r="CV54" s="14"/>
      <c r="CW54" s="14"/>
      <c r="CX54" s="14"/>
      <c r="CY54" s="14"/>
      <c r="CZ54" s="14"/>
      <c r="DA54" s="14"/>
      <c r="DB54" s="14"/>
      <c r="DC54" s="14"/>
      <c r="DD54" s="14"/>
      <c r="DE54" s="14"/>
      <c r="DF54" s="14"/>
      <c r="DG54" s="14"/>
      <c r="DH54" s="14"/>
      <c r="DI54" s="14"/>
      <c r="DJ54" s="14"/>
      <c r="DK54" s="14"/>
      <c r="DL54" s="14"/>
      <c r="DM54" s="14"/>
      <c r="DN54" s="14"/>
      <c r="DO54" s="14"/>
      <c r="DP54" s="14"/>
      <c r="DQ54" s="14"/>
      <c r="DR54" s="14"/>
      <c r="DS54" s="14"/>
      <c r="DT54" s="14"/>
      <c r="DU54" s="14"/>
      <c r="DV54" s="14"/>
      <c r="DW54" s="14"/>
      <c r="DX54" s="14"/>
      <c r="DY54" s="14"/>
      <c r="DZ54" s="14"/>
      <c r="EA54" s="14"/>
      <c r="EB54" s="14"/>
      <c r="EC54" s="14"/>
      <c r="ED54" s="14"/>
      <c r="EE54" s="14"/>
      <c r="EF54" s="14"/>
      <c r="EG54" s="14"/>
      <c r="EH54" s="14"/>
      <c r="EI54" s="14"/>
      <c r="EJ54" s="14"/>
      <c r="EK54" s="14"/>
      <c r="EL54" s="14"/>
      <c r="EM54" s="14"/>
      <c r="EN54" s="14"/>
      <c r="EO54" s="14"/>
      <c r="EP54" s="14"/>
      <c r="EQ54" s="14"/>
      <c r="ER54" s="14"/>
      <c r="ES54" s="14"/>
      <c r="ET54" s="14"/>
      <c r="EU54" s="14"/>
      <c r="EV54" s="14"/>
      <c r="EW54" s="14"/>
      <c r="EX54" s="14"/>
      <c r="EY54" s="14"/>
      <c r="EZ54" s="14"/>
      <c r="FA54" s="14"/>
      <c r="FB54" s="14"/>
      <c r="FC54" s="14"/>
      <c r="FD54" s="14"/>
      <c r="FE54" s="14"/>
      <c r="FF54" s="14"/>
      <c r="FG54" s="14"/>
      <c r="FH54" s="14"/>
      <c r="FI54" s="14"/>
      <c r="FJ54" s="14"/>
      <c r="FK54" s="14"/>
      <c r="FL54" s="14"/>
      <c r="FM54" s="14"/>
      <c r="FN54" s="14"/>
      <c r="FO54" s="14"/>
      <c r="FP54" s="14"/>
      <c r="FQ54" s="14"/>
      <c r="FR54" s="14"/>
      <c r="FS54" s="14"/>
      <c r="FT54" s="14"/>
      <c r="FU54" s="14"/>
      <c r="FV54" s="14"/>
      <c r="FW54" s="14"/>
      <c r="FX54" s="14"/>
      <c r="FY54" s="14"/>
      <c r="FZ54" s="14"/>
      <c r="GA54" s="14"/>
      <c r="GB54" s="14"/>
      <c r="GC54" s="14"/>
      <c r="GD54" s="14"/>
      <c r="GE54" s="14"/>
      <c r="GF54" s="14"/>
      <c r="GG54" s="14"/>
      <c r="GH54" s="14"/>
      <c r="GI54" s="14"/>
      <c r="GJ54" s="14"/>
      <c r="GK54" s="14"/>
      <c r="GL54" s="14"/>
      <c r="GM54" s="14"/>
      <c r="GN54" s="14"/>
      <c r="GO54" s="14"/>
      <c r="GP54" s="14"/>
      <c r="GQ54" s="14"/>
      <c r="GR54" s="14"/>
      <c r="GS54" s="14"/>
      <c r="GT54" s="14"/>
      <c r="GU54" s="14"/>
      <c r="GV54" s="14"/>
      <c r="GW54" s="14"/>
      <c r="GX54" s="14"/>
      <c r="GY54" s="14"/>
      <c r="GZ54" s="14"/>
      <c r="HA54" s="14"/>
      <c r="HB54" s="14"/>
      <c r="HC54" s="14"/>
      <c r="HD54" s="14"/>
      <c r="HE54" s="14"/>
      <c r="HF54" s="14"/>
      <c r="HG54" s="14"/>
      <c r="HH54" s="14"/>
      <c r="HI54" s="14"/>
      <c r="HJ54" s="14"/>
      <c r="HK54" s="14"/>
      <c r="HL54" s="14"/>
      <c r="HM54" s="14"/>
      <c r="HN54" s="14"/>
      <c r="HO54" s="14"/>
      <c r="HP54" s="14"/>
      <c r="HQ54" s="14"/>
      <c r="HR54" s="14"/>
      <c r="HS54" s="14"/>
      <c r="HT54" s="14"/>
    </row>
    <row r="55" spans="2:228" ht="15" customHeight="1" x14ac:dyDescent="0.2">
      <c r="B55" s="358" t="s">
        <v>1336</v>
      </c>
      <c r="C55" s="1952"/>
      <c r="D55" s="1952"/>
      <c r="E55" s="1865">
        <f>IF(AND(C55&lt;&gt;"",C55&lt;&gt;"NA",C54&lt;&gt;"NA",C54&lt;&gt;""),"ERROR",IF(AND(C55&lt;&gt;"",C55&lt;&gt;"NA",C56&lt;&gt;"",C56&lt;&gt;"NA"),"ERROR",LETable!AT13))</f>
        <v>0</v>
      </c>
      <c r="F55" s="1865"/>
      <c r="G55" s="1556" t="str">
        <f>IF(E55="ERROR","Error: Cannot rate ROM and ankylosis.","")</f>
        <v/>
      </c>
      <c r="H55" s="1556"/>
      <c r="I55" s="1556"/>
      <c r="J55" s="1556"/>
      <c r="K55" s="1556"/>
      <c r="L55" s="1556"/>
      <c r="M55" s="1556"/>
      <c r="N55" s="1556"/>
      <c r="O55" s="1704"/>
      <c r="P55" s="1745"/>
      <c r="R55" s="18"/>
      <c r="S55" s="911">
        <v>40</v>
      </c>
      <c r="T55" s="911" t="str">
        <f>IF(OR(C55="",C55="NA"),"",IF(C55&gt;S55,S55,IF(C55&lt;0,0,C55)))</f>
        <v/>
      </c>
      <c r="U55" s="18"/>
      <c r="V55" s="18"/>
      <c r="W55" s="18"/>
      <c r="X55" s="18"/>
      <c r="Y55" s="63"/>
      <c r="Z55" s="63"/>
      <c r="AA55" s="63"/>
      <c r="AB55" s="63"/>
      <c r="AC55" s="18"/>
      <c r="AD55" s="18"/>
      <c r="AE55" s="18"/>
      <c r="AF55" s="18"/>
      <c r="AG55" s="18"/>
      <c r="AH55" s="18"/>
      <c r="AI55" s="18"/>
      <c r="AJ55" s="18"/>
      <c r="AK55" s="18"/>
      <c r="AL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c r="CP55" s="14"/>
      <c r="CQ55" s="14"/>
      <c r="CR55" s="14"/>
      <c r="CS55" s="14"/>
      <c r="CT55" s="14"/>
      <c r="CU55" s="14"/>
      <c r="CV55" s="14"/>
      <c r="CW55" s="14"/>
      <c r="CX55" s="14"/>
      <c r="CY55" s="14"/>
      <c r="CZ55" s="14"/>
      <c r="DA55" s="14"/>
      <c r="DB55" s="14"/>
      <c r="DC55" s="14"/>
      <c r="DD55" s="14"/>
      <c r="DE55" s="14"/>
      <c r="DF55" s="14"/>
      <c r="DG55" s="14"/>
      <c r="DH55" s="14"/>
      <c r="DI55" s="14"/>
      <c r="DJ55" s="14"/>
      <c r="DK55" s="14"/>
      <c r="DL55" s="14"/>
      <c r="DM55" s="14"/>
      <c r="DN55" s="14"/>
      <c r="DO55" s="14"/>
      <c r="DP55" s="14"/>
      <c r="DQ55" s="14"/>
      <c r="DR55" s="14"/>
      <c r="DS55" s="14"/>
      <c r="DT55" s="14"/>
      <c r="DU55" s="14"/>
      <c r="DV55" s="14"/>
      <c r="DW55" s="14"/>
      <c r="DX55" s="14"/>
      <c r="DY55" s="14"/>
      <c r="DZ55" s="14"/>
      <c r="EA55" s="14"/>
      <c r="EB55" s="14"/>
      <c r="EC55" s="14"/>
      <c r="ED55" s="14"/>
      <c r="EE55" s="14"/>
      <c r="EF55" s="14"/>
      <c r="EG55" s="14"/>
      <c r="EH55" s="14"/>
      <c r="EI55" s="14"/>
      <c r="EJ55" s="14"/>
      <c r="EK55" s="14"/>
      <c r="EL55" s="14"/>
      <c r="EM55" s="14"/>
      <c r="EN55" s="14"/>
      <c r="EO55" s="14"/>
      <c r="EP55" s="14"/>
      <c r="EQ55" s="14"/>
      <c r="ER55" s="14"/>
      <c r="ES55" s="14"/>
      <c r="ET55" s="14"/>
      <c r="EU55" s="14"/>
      <c r="EV55" s="14"/>
      <c r="EW55" s="14"/>
      <c r="EX55" s="14"/>
      <c r="EY55" s="14"/>
      <c r="EZ55" s="14"/>
      <c r="FA55" s="14"/>
      <c r="FB55" s="14"/>
      <c r="FC55" s="14"/>
      <c r="FD55" s="14"/>
      <c r="FE55" s="14"/>
      <c r="FF55" s="14"/>
      <c r="FG55" s="14"/>
      <c r="FH55" s="14"/>
      <c r="FI55" s="14"/>
      <c r="FJ55" s="14"/>
      <c r="FK55" s="14"/>
      <c r="FL55" s="14"/>
      <c r="FM55" s="14"/>
      <c r="FN55" s="14"/>
      <c r="FO55" s="14"/>
      <c r="FP55" s="14"/>
      <c r="FQ55" s="14"/>
      <c r="FR55" s="14"/>
      <c r="FS55" s="14"/>
      <c r="FT55" s="14"/>
      <c r="FU55" s="14"/>
      <c r="FV55" s="14"/>
      <c r="FW55" s="14"/>
      <c r="FX55" s="14"/>
      <c r="FY55" s="14"/>
      <c r="FZ55" s="14"/>
      <c r="GA55" s="14"/>
      <c r="GB55" s="14"/>
      <c r="GC55" s="14"/>
      <c r="GD55" s="14"/>
      <c r="GE55" s="14"/>
      <c r="GF55" s="14"/>
      <c r="GG55" s="14"/>
      <c r="GH55" s="14"/>
      <c r="GI55" s="14"/>
      <c r="GJ55" s="14"/>
      <c r="GK55" s="14"/>
      <c r="GL55" s="14"/>
      <c r="GM55" s="14"/>
      <c r="GN55" s="14"/>
      <c r="GO55" s="14"/>
      <c r="GP55" s="14"/>
      <c r="GQ55" s="14"/>
      <c r="GR55" s="14"/>
      <c r="GS55" s="14"/>
      <c r="GT55" s="14"/>
      <c r="GU55" s="14"/>
      <c r="GV55" s="14"/>
      <c r="GW55" s="14"/>
      <c r="GX55" s="14"/>
      <c r="GY55" s="14"/>
      <c r="GZ55" s="14"/>
      <c r="HA55" s="14"/>
      <c r="HB55" s="14"/>
      <c r="HC55" s="14"/>
      <c r="HD55" s="14"/>
      <c r="HE55" s="14"/>
      <c r="HF55" s="14"/>
      <c r="HG55" s="14"/>
      <c r="HH55" s="14"/>
      <c r="HI55" s="14"/>
      <c r="HJ55" s="14"/>
      <c r="HK55" s="14"/>
      <c r="HL55" s="14"/>
      <c r="HM55" s="14"/>
      <c r="HN55" s="14"/>
      <c r="HO55" s="14"/>
      <c r="HP55" s="14"/>
      <c r="HQ55" s="14"/>
      <c r="HR55" s="14"/>
      <c r="HS55" s="14"/>
      <c r="HT55" s="14"/>
    </row>
    <row r="56" spans="2:228" ht="15" customHeight="1" x14ac:dyDescent="0.2">
      <c r="B56" s="156" t="s">
        <v>1256</v>
      </c>
      <c r="C56" s="1952"/>
      <c r="D56" s="1952"/>
      <c r="E56" s="1865">
        <f>LETable!AT14</f>
        <v>0</v>
      </c>
      <c r="F56" s="1865"/>
      <c r="G56" s="1308" t="s">
        <v>1942</v>
      </c>
      <c r="H56" s="1308"/>
      <c r="I56" s="1308"/>
      <c r="J56" s="1869">
        <f>IF(C56="",0,IF(OR(C56&lt;=0,G56&lt;=0),E56,IF(G56&lt;C56,0,LETable!AY14)))</f>
        <v>0</v>
      </c>
      <c r="K56" s="1869"/>
      <c r="L56" s="1938" t="str">
        <f>IF(OR(C56="NA",G56="NA"),"",IF(AND(C56&lt;&gt;"",G56=""),"Enter contralateral or NA.",IF(AND(C56="",G56&lt;&gt;""),"Need data","")))</f>
        <v/>
      </c>
      <c r="M56" s="1938"/>
      <c r="N56" s="1938"/>
      <c r="O56" s="1939"/>
      <c r="P56" s="1745"/>
      <c r="R56" s="18"/>
      <c r="S56" s="911">
        <v>30</v>
      </c>
      <c r="T56" s="911" t="str">
        <f>IF(OR(C56="",C56="NA"),"",IF(C56&gt;S56,S56,IF(C56&lt;0,0,C56)))</f>
        <v/>
      </c>
      <c r="U56" s="911" t="str">
        <f>IF(OR(G56="",G56="NA"),"",IF(G56&gt;S56,S56,IF(G56&lt;0,0,G56)))</f>
        <v/>
      </c>
      <c r="V56" s="696" t="str">
        <f>IF(W56="","",ROUND(W56,0))</f>
        <v/>
      </c>
      <c r="W56" s="697" t="str">
        <f>IF(T56="","",IF(OR(U56="",U56=0,U56&lt;T56),T56,(T56*S56)/U56))</f>
        <v/>
      </c>
      <c r="X56" s="18"/>
      <c r="Y56" s="1103" t="s">
        <v>2225</v>
      </c>
      <c r="Z56" s="1103" t="s">
        <v>1305</v>
      </c>
      <c r="AA56" s="1103" t="s">
        <v>1306</v>
      </c>
      <c r="AB56" s="1103" t="s">
        <v>1307</v>
      </c>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c r="CP56" s="14"/>
      <c r="CQ56" s="14"/>
      <c r="CR56" s="14"/>
      <c r="CS56" s="14"/>
      <c r="CT56" s="14"/>
      <c r="CU56" s="14"/>
      <c r="CV56" s="14"/>
      <c r="CW56" s="14"/>
      <c r="CX56" s="14"/>
      <c r="CY56" s="14"/>
      <c r="CZ56" s="14"/>
      <c r="DA56" s="14"/>
      <c r="DB56" s="14"/>
      <c r="DC56" s="14"/>
      <c r="DD56" s="14"/>
      <c r="DE56" s="14"/>
      <c r="DF56" s="14"/>
      <c r="DG56" s="14"/>
      <c r="DH56" s="14"/>
      <c r="DI56" s="14"/>
      <c r="DJ56" s="14"/>
      <c r="DK56" s="14"/>
      <c r="DL56" s="14"/>
      <c r="DM56" s="14"/>
      <c r="DN56" s="14"/>
      <c r="DO56" s="14"/>
      <c r="DP56" s="14"/>
      <c r="DQ56" s="14"/>
      <c r="DR56" s="14"/>
      <c r="DS56" s="14"/>
      <c r="DT56" s="14"/>
      <c r="DU56" s="14"/>
      <c r="DV56" s="14"/>
      <c r="DW56" s="14"/>
      <c r="DX56" s="14"/>
      <c r="DY56" s="14"/>
      <c r="DZ56" s="14"/>
      <c r="EA56" s="14"/>
      <c r="EB56" s="14"/>
      <c r="EC56" s="14"/>
      <c r="ED56" s="14"/>
      <c r="EE56" s="14"/>
      <c r="EF56" s="14"/>
      <c r="EG56" s="14"/>
      <c r="EH56" s="14"/>
      <c r="EI56" s="14"/>
      <c r="EJ56" s="14"/>
      <c r="EK56" s="14"/>
      <c r="EL56" s="14"/>
      <c r="EM56" s="14"/>
      <c r="EN56" s="14"/>
      <c r="EO56" s="14"/>
      <c r="EP56" s="14"/>
      <c r="EQ56" s="14"/>
      <c r="ER56" s="14"/>
      <c r="ES56" s="14"/>
      <c r="ET56" s="14"/>
      <c r="EU56" s="14"/>
      <c r="EV56" s="14"/>
      <c r="EW56" s="14"/>
      <c r="EX56" s="14"/>
      <c r="EY56" s="14"/>
      <c r="EZ56" s="14"/>
      <c r="FA56" s="14"/>
      <c r="FB56" s="14"/>
      <c r="FC56" s="14"/>
      <c r="FD56" s="14"/>
      <c r="FE56" s="14"/>
      <c r="FF56" s="14"/>
      <c r="FG56" s="14"/>
      <c r="FH56" s="14"/>
      <c r="FI56" s="14"/>
      <c r="FJ56" s="14"/>
      <c r="FK56" s="14"/>
      <c r="FL56" s="14"/>
      <c r="FM56" s="14"/>
      <c r="FN56" s="14"/>
      <c r="FO56" s="14"/>
      <c r="FP56" s="14"/>
      <c r="FQ56" s="14"/>
      <c r="FR56" s="14"/>
      <c r="FS56" s="14"/>
      <c r="FT56" s="14"/>
      <c r="FU56" s="14"/>
      <c r="FV56" s="14"/>
      <c r="FW56" s="14"/>
      <c r="FX56" s="14"/>
      <c r="FY56" s="14"/>
      <c r="FZ56" s="14"/>
      <c r="GA56" s="14"/>
      <c r="GB56" s="14"/>
      <c r="GC56" s="14"/>
      <c r="GD56" s="14"/>
      <c r="GE56" s="14"/>
      <c r="GF56" s="14"/>
      <c r="GG56" s="14"/>
      <c r="GH56" s="14"/>
      <c r="GI56" s="14"/>
      <c r="GJ56" s="14"/>
      <c r="GK56" s="14"/>
      <c r="GL56" s="14"/>
      <c r="GM56" s="14"/>
      <c r="GN56" s="14"/>
      <c r="GO56" s="14"/>
      <c r="GP56" s="14"/>
      <c r="GQ56" s="14"/>
      <c r="GR56" s="14"/>
      <c r="GS56" s="14"/>
      <c r="GT56" s="14"/>
      <c r="GU56" s="14"/>
      <c r="GV56" s="14"/>
      <c r="GW56" s="14"/>
      <c r="GX56" s="14"/>
      <c r="GY56" s="14"/>
      <c r="GZ56" s="14"/>
      <c r="HA56" s="14"/>
      <c r="HB56" s="14"/>
      <c r="HC56" s="14"/>
      <c r="HD56" s="14"/>
      <c r="HE56" s="14"/>
      <c r="HF56" s="14"/>
      <c r="HG56" s="14"/>
      <c r="HH56" s="14"/>
      <c r="HI56" s="14"/>
      <c r="HJ56" s="14"/>
      <c r="HK56" s="14"/>
      <c r="HL56" s="14"/>
      <c r="HM56" s="14"/>
      <c r="HN56" s="14"/>
      <c r="HO56" s="14"/>
      <c r="HP56" s="14"/>
      <c r="HQ56" s="14"/>
      <c r="HR56" s="14"/>
      <c r="HS56" s="14"/>
      <c r="HT56" s="14"/>
    </row>
    <row r="57" spans="2:228" ht="15" customHeight="1" x14ac:dyDescent="0.2">
      <c r="B57" s="357" t="s">
        <v>1840</v>
      </c>
      <c r="C57" s="1944"/>
      <c r="D57" s="1945"/>
      <c r="E57" s="1865">
        <f>IF(AND(C57&lt;&gt;"",C57&lt;&gt;"NA",C56&lt;&gt;"NA",C56&lt;&gt;""),"ERROR",IF(AND(C57&lt;&gt;"",C57&lt;&gt;"NA",C54&lt;&gt;"",C54&lt;&gt;"NA"),"ERROR",LETable!AT15))</f>
        <v>0</v>
      </c>
      <c r="F57" s="1865"/>
      <c r="G57" s="1866" t="str">
        <f>IF(E57="ERROR","Error: Cannot rate ROM and ankylosis.",IF(AND(C55&lt;&gt;"",C55&lt;&gt;"NA",C57&lt;&gt;"",C57&lt;&gt;"NA"),"Multiple ankylosis values; use higher value only.",""))</f>
        <v/>
      </c>
      <c r="H57" s="1867"/>
      <c r="I57" s="1867"/>
      <c r="J57" s="1867"/>
      <c r="K57" s="1867"/>
      <c r="L57" s="1867"/>
      <c r="M57" s="1867"/>
      <c r="N57" s="1867"/>
      <c r="O57" s="1868"/>
      <c r="P57" s="1745"/>
      <c r="R57" s="18"/>
      <c r="S57" s="911">
        <v>30</v>
      </c>
      <c r="T57" s="911" t="str">
        <f>IF(OR(C57="",C57="NA"),"",IF(C57&gt;S57,S57,IF(C57&lt;0,0,C57)))</f>
        <v/>
      </c>
      <c r="U57" s="18"/>
      <c r="V57" s="18"/>
      <c r="W57" s="18"/>
      <c r="X57" s="18"/>
      <c r="Y57" s="242">
        <f>O49</f>
        <v>0</v>
      </c>
      <c r="Z57" s="1118">
        <f>LARGE($Y$57:$Y$59,1)</f>
        <v>0</v>
      </c>
      <c r="AA57" s="684">
        <f>Z57+Z58*(1-Z57)</f>
        <v>0</v>
      </c>
      <c r="AB57" s="1112">
        <f>ROUND(AA57,2)</f>
        <v>0</v>
      </c>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c r="CP57" s="14"/>
      <c r="CQ57" s="14"/>
      <c r="CR57" s="14"/>
      <c r="CS57" s="14"/>
      <c r="CT57" s="14"/>
      <c r="CU57" s="14"/>
      <c r="CV57" s="14"/>
      <c r="CW57" s="14"/>
      <c r="CX57" s="14"/>
      <c r="CY57" s="14"/>
      <c r="CZ57" s="14"/>
      <c r="DA57" s="14"/>
      <c r="DB57" s="14"/>
      <c r="DC57" s="14"/>
      <c r="DD57" s="14"/>
      <c r="DE57" s="14"/>
      <c r="DF57" s="14"/>
      <c r="DG57" s="14"/>
      <c r="DH57" s="14"/>
      <c r="DI57" s="14"/>
      <c r="DJ57" s="14"/>
      <c r="DK57" s="14"/>
      <c r="DL57" s="14"/>
      <c r="DM57" s="14"/>
      <c r="DN57" s="14"/>
      <c r="DO57" s="14"/>
      <c r="DP57" s="14"/>
      <c r="DQ57" s="14"/>
      <c r="DR57" s="14"/>
      <c r="DS57" s="14"/>
      <c r="DT57" s="14"/>
      <c r="DU57" s="14"/>
      <c r="DV57" s="14"/>
      <c r="DW57" s="14"/>
      <c r="DX57" s="14"/>
      <c r="DY57" s="14"/>
      <c r="DZ57" s="14"/>
      <c r="EA57" s="14"/>
      <c r="EB57" s="14"/>
      <c r="EC57" s="14"/>
      <c r="ED57" s="14"/>
      <c r="EE57" s="14"/>
      <c r="EF57" s="14"/>
      <c r="EG57" s="14"/>
      <c r="EH57" s="14"/>
      <c r="EI57" s="14"/>
      <c r="EJ57" s="14"/>
      <c r="EK57" s="14"/>
      <c r="EL57" s="14"/>
      <c r="EM57" s="14"/>
      <c r="EN57" s="14"/>
      <c r="EO57" s="14"/>
      <c r="EP57" s="14"/>
      <c r="EQ57" s="14"/>
      <c r="ER57" s="14"/>
      <c r="ES57" s="14"/>
      <c r="ET57" s="14"/>
      <c r="EU57" s="14"/>
      <c r="EV57" s="14"/>
      <c r="EW57" s="14"/>
      <c r="EX57" s="14"/>
      <c r="EY57" s="14"/>
      <c r="EZ57" s="14"/>
      <c r="FA57" s="14"/>
      <c r="FB57" s="14"/>
      <c r="FC57" s="14"/>
      <c r="FD57" s="14"/>
      <c r="FE57" s="14"/>
      <c r="FF57" s="14"/>
      <c r="FG57" s="14"/>
      <c r="FH57" s="14"/>
      <c r="FI57" s="14"/>
      <c r="FJ57" s="14"/>
      <c r="FK57" s="14"/>
      <c r="FL57" s="14"/>
      <c r="FM57" s="14"/>
      <c r="FN57" s="14"/>
      <c r="FO57" s="14"/>
      <c r="FP57" s="14"/>
      <c r="FQ57" s="14"/>
      <c r="FR57" s="14"/>
      <c r="FS57" s="14"/>
      <c r="FT57" s="14"/>
      <c r="FU57" s="14"/>
      <c r="FV57" s="14"/>
      <c r="FW57" s="14"/>
      <c r="FX57" s="14"/>
      <c r="FY57" s="14"/>
      <c r="FZ57" s="14"/>
      <c r="GA57" s="14"/>
      <c r="GB57" s="14"/>
      <c r="GC57" s="14"/>
      <c r="GD57" s="14"/>
      <c r="GE57" s="14"/>
      <c r="GF57" s="14"/>
      <c r="GG57" s="14"/>
      <c r="GH57" s="14"/>
      <c r="GI57" s="14"/>
      <c r="GJ57" s="14"/>
      <c r="GK57" s="14"/>
      <c r="GL57" s="14"/>
      <c r="GM57" s="14"/>
      <c r="GN57" s="14"/>
      <c r="GO57" s="14"/>
      <c r="GP57" s="14"/>
      <c r="GQ57" s="14"/>
      <c r="GR57" s="14"/>
      <c r="GS57" s="14"/>
      <c r="GT57" s="14"/>
      <c r="GU57" s="14"/>
      <c r="GV57" s="14"/>
      <c r="GW57" s="14"/>
      <c r="GX57" s="14"/>
      <c r="GY57" s="14"/>
      <c r="GZ57" s="14"/>
      <c r="HA57" s="14"/>
      <c r="HB57" s="14"/>
      <c r="HC57" s="14"/>
      <c r="HD57" s="14"/>
      <c r="HE57" s="14"/>
      <c r="HF57" s="14"/>
      <c r="HG57" s="14"/>
      <c r="HH57" s="14"/>
      <c r="HI57" s="14"/>
      <c r="HJ57" s="14"/>
      <c r="HK57" s="14"/>
      <c r="HL57" s="14"/>
      <c r="HM57" s="14"/>
      <c r="HN57" s="14"/>
      <c r="HO57" s="14"/>
      <c r="HP57" s="14"/>
      <c r="HQ57" s="14"/>
      <c r="HR57" s="14"/>
      <c r="HS57" s="14"/>
      <c r="HT57" s="14"/>
    </row>
    <row r="58" spans="2:228" ht="21" customHeight="1" x14ac:dyDescent="0.2">
      <c r="B58" s="1045"/>
      <c r="C58" s="1046"/>
      <c r="D58" s="1046"/>
      <c r="E58" s="1571" t="str">
        <f>IF(AND(OR(O49&gt;0,O50&gt;0,E55&gt;0,E57&gt;0),C59&gt;0),"Note: Ankylosis impairment is not apportioned.","")</f>
        <v/>
      </c>
      <c r="F58" s="1572"/>
      <c r="G58" s="1572"/>
      <c r="H58" s="1572"/>
      <c r="I58" s="1572"/>
      <c r="J58" s="1573"/>
      <c r="K58" s="1740" t="s">
        <v>1842</v>
      </c>
      <c r="L58" s="1741"/>
      <c r="M58" s="1741"/>
      <c r="N58" s="1742"/>
      <c r="O58" s="71">
        <f>IF(OR(E55="ERROR",E57="ERROR"),"ERROR",IF(R58&gt;1,1,R58))</f>
        <v>0</v>
      </c>
      <c r="P58" s="1746"/>
      <c r="R58" s="243">
        <f>SUM(J54,J56,W58)</f>
        <v>0</v>
      </c>
      <c r="S58" s="18"/>
      <c r="T58" s="18"/>
      <c r="U58" s="18"/>
      <c r="V58" s="18"/>
      <c r="W58" s="747">
        <f>IF(AND(E55&lt;&gt;"ERROR",E57&lt;&gt;"ERROR",C57&lt;&gt;"",E57&lt;&gt;""),MAX(E55,E57),E55+E57)</f>
        <v>0</v>
      </c>
      <c r="X58" s="18"/>
      <c r="Y58" s="242">
        <f>O50</f>
        <v>0</v>
      </c>
      <c r="Z58" s="1118">
        <f>LARGE($Y$57:$Y$59,2)</f>
        <v>0</v>
      </c>
      <c r="AA58" s="684">
        <f>AB57+Z59*(1-AB57)</f>
        <v>0</v>
      </c>
      <c r="AB58" s="1112">
        <f>ROUND(AA58,2)</f>
        <v>0</v>
      </c>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c r="CP58" s="14"/>
      <c r="CQ58" s="14"/>
      <c r="CR58" s="14"/>
      <c r="CS58" s="14"/>
      <c r="CT58" s="14"/>
      <c r="CU58" s="14"/>
      <c r="CV58" s="14"/>
      <c r="CW58" s="14"/>
      <c r="CX58" s="14"/>
      <c r="CY58" s="14"/>
      <c r="CZ58" s="14"/>
      <c r="DA58" s="14"/>
      <c r="DB58" s="14"/>
      <c r="DC58" s="14"/>
      <c r="DD58" s="14"/>
      <c r="DE58" s="14"/>
      <c r="DF58" s="14"/>
      <c r="DG58" s="14"/>
      <c r="DH58" s="14"/>
      <c r="DI58" s="14"/>
      <c r="DJ58" s="14"/>
      <c r="DK58" s="14"/>
      <c r="DL58" s="14"/>
      <c r="DM58" s="14"/>
      <c r="DN58" s="14"/>
      <c r="DO58" s="14"/>
      <c r="DP58" s="14"/>
      <c r="DQ58" s="14"/>
      <c r="DR58" s="14"/>
      <c r="DS58" s="14"/>
      <c r="DT58" s="14"/>
      <c r="DU58" s="14"/>
      <c r="DV58" s="14"/>
      <c r="DW58" s="14"/>
      <c r="DX58" s="14"/>
      <c r="DY58" s="14"/>
      <c r="DZ58" s="14"/>
      <c r="EA58" s="14"/>
      <c r="EB58" s="14"/>
      <c r="EC58" s="14"/>
      <c r="ED58" s="14"/>
      <c r="EE58" s="14"/>
      <c r="EF58" s="14"/>
      <c r="EG58" s="14"/>
      <c r="EH58" s="14"/>
      <c r="EI58" s="14"/>
      <c r="EJ58" s="14"/>
      <c r="EK58" s="14"/>
      <c r="EL58" s="14"/>
      <c r="EM58" s="14"/>
      <c r="EN58" s="14"/>
      <c r="EO58" s="14"/>
      <c r="EP58" s="14"/>
      <c r="EQ58" s="14"/>
      <c r="ER58" s="14"/>
      <c r="ES58" s="14"/>
      <c r="ET58" s="14"/>
      <c r="EU58" s="14"/>
      <c r="EV58" s="14"/>
      <c r="EW58" s="14"/>
      <c r="EX58" s="14"/>
      <c r="EY58" s="14"/>
      <c r="EZ58" s="14"/>
      <c r="FA58" s="14"/>
      <c r="FB58" s="14"/>
      <c r="FC58" s="14"/>
      <c r="FD58" s="14"/>
      <c r="FE58" s="14"/>
      <c r="FF58" s="14"/>
      <c r="FG58" s="14"/>
      <c r="FH58" s="14"/>
      <c r="FI58" s="14"/>
      <c r="FJ58" s="14"/>
      <c r="FK58" s="14"/>
      <c r="FL58" s="14"/>
      <c r="FM58" s="14"/>
      <c r="FN58" s="14"/>
      <c r="FO58" s="14"/>
      <c r="FP58" s="14"/>
      <c r="FQ58" s="14"/>
      <c r="FR58" s="14"/>
      <c r="FS58" s="14"/>
      <c r="FT58" s="14"/>
      <c r="FU58" s="14"/>
      <c r="FV58" s="14"/>
      <c r="FW58" s="14"/>
      <c r="FX58" s="14"/>
      <c r="FY58" s="14"/>
      <c r="FZ58" s="14"/>
      <c r="GA58" s="14"/>
      <c r="GB58" s="14"/>
      <c r="GC58" s="14"/>
      <c r="GD58" s="14"/>
      <c r="GE58" s="14"/>
      <c r="GF58" s="14"/>
      <c r="GG58" s="14"/>
      <c r="GH58" s="14"/>
      <c r="GI58" s="14"/>
      <c r="GJ58" s="14"/>
      <c r="GK58" s="14"/>
      <c r="GL58" s="14"/>
      <c r="GM58" s="14"/>
      <c r="GN58" s="14"/>
      <c r="GO58" s="14"/>
      <c r="GP58" s="14"/>
      <c r="GQ58" s="14"/>
      <c r="GR58" s="14"/>
      <c r="GS58" s="14"/>
      <c r="GT58" s="14"/>
      <c r="GU58" s="14"/>
      <c r="GV58" s="14"/>
      <c r="GW58" s="14"/>
      <c r="GX58" s="14"/>
      <c r="GY58" s="14"/>
      <c r="GZ58" s="14"/>
      <c r="HA58" s="14"/>
      <c r="HB58" s="14"/>
      <c r="HC58" s="14"/>
      <c r="HD58" s="14"/>
      <c r="HE58" s="14"/>
      <c r="HF58" s="14"/>
      <c r="HG58" s="14"/>
      <c r="HH58" s="14"/>
      <c r="HI58" s="14"/>
      <c r="HJ58" s="14"/>
      <c r="HK58" s="14"/>
      <c r="HL58" s="14"/>
      <c r="HM58" s="14"/>
      <c r="HN58" s="14"/>
      <c r="HO58" s="14"/>
      <c r="HP58" s="14"/>
      <c r="HQ58" s="14"/>
      <c r="HR58" s="14"/>
      <c r="HS58" s="14"/>
      <c r="HT58" s="14"/>
    </row>
    <row r="59" spans="2:228" ht="21" customHeight="1" x14ac:dyDescent="0.2">
      <c r="B59" s="1114" t="s">
        <v>2259</v>
      </c>
      <c r="C59" s="1544"/>
      <c r="D59" s="1577"/>
      <c r="E59" s="1574"/>
      <c r="F59" s="1575"/>
      <c r="G59" s="1575"/>
      <c r="H59" s="1575"/>
      <c r="I59" s="1575"/>
      <c r="J59" s="1576"/>
      <c r="K59" s="1740" t="s">
        <v>1708</v>
      </c>
      <c r="L59" s="1741"/>
      <c r="M59" s="1741"/>
      <c r="N59" s="1741"/>
      <c r="O59" s="1742"/>
      <c r="P59" s="1115">
        <f>IF(O58="ERROR","ERROR",IF(AND(AA53&gt;0,AA53&lt;0.01),0.01,ROUND(AA53,2)))</f>
        <v>0</v>
      </c>
      <c r="R59" s="18"/>
      <c r="S59" s="18"/>
      <c r="T59" s="18"/>
      <c r="U59" s="18"/>
      <c r="V59" s="18"/>
      <c r="W59" s="18"/>
      <c r="X59" s="18"/>
      <c r="Y59" s="242">
        <f>IF(AND(Z53&lt;0.01,Z53&gt;0),0.01,ROUND(Z53,2))</f>
        <v>0</v>
      </c>
      <c r="Z59" s="1118">
        <f>LARGE($Y$57:$Y$59,3)</f>
        <v>0</v>
      </c>
      <c r="AA59" s="1111"/>
      <c r="AB59" s="1111"/>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c r="CP59" s="14"/>
      <c r="CQ59" s="14"/>
      <c r="CR59" s="14"/>
      <c r="CS59" s="14"/>
      <c r="CT59" s="14"/>
      <c r="CU59" s="14"/>
      <c r="CV59" s="14"/>
      <c r="CW59" s="14"/>
      <c r="CX59" s="14"/>
      <c r="CY59" s="14"/>
      <c r="CZ59" s="14"/>
      <c r="DA59" s="14"/>
      <c r="DB59" s="14"/>
      <c r="DC59" s="14"/>
      <c r="DD59" s="14"/>
      <c r="DE59" s="14"/>
      <c r="DF59" s="14"/>
      <c r="DG59" s="14"/>
      <c r="DH59" s="14"/>
      <c r="DI59" s="14"/>
      <c r="DJ59" s="14"/>
      <c r="DK59" s="14"/>
      <c r="DL59" s="14"/>
      <c r="DM59" s="14"/>
      <c r="DN59" s="14"/>
      <c r="DO59" s="14"/>
      <c r="DP59" s="14"/>
      <c r="DQ59" s="14"/>
      <c r="DR59" s="14"/>
      <c r="DS59" s="14"/>
      <c r="DT59" s="14"/>
      <c r="DU59" s="14"/>
      <c r="DV59" s="14"/>
      <c r="DW59" s="14"/>
      <c r="DX59" s="14"/>
      <c r="DY59" s="14"/>
      <c r="DZ59" s="14"/>
      <c r="EA59" s="14"/>
      <c r="EB59" s="14"/>
      <c r="EC59" s="14"/>
      <c r="ED59" s="14"/>
      <c r="EE59" s="14"/>
      <c r="EF59" s="14"/>
      <c r="EG59" s="14"/>
      <c r="EH59" s="14"/>
      <c r="EI59" s="14"/>
      <c r="EJ59" s="14"/>
      <c r="EK59" s="14"/>
      <c r="EL59" s="14"/>
      <c r="EM59" s="14"/>
      <c r="EN59" s="14"/>
      <c r="EO59" s="14"/>
      <c r="EP59" s="14"/>
      <c r="EQ59" s="14"/>
      <c r="ER59" s="14"/>
      <c r="ES59" s="14"/>
      <c r="ET59" s="14"/>
      <c r="EU59" s="14"/>
      <c r="EV59" s="14"/>
      <c r="EW59" s="14"/>
      <c r="EX59" s="14"/>
      <c r="EY59" s="14"/>
      <c r="EZ59" s="14"/>
      <c r="FA59" s="14"/>
      <c r="FB59" s="14"/>
      <c r="FC59" s="14"/>
      <c r="FD59" s="14"/>
      <c r="FE59" s="14"/>
      <c r="FF59" s="14"/>
      <c r="FG59" s="14"/>
      <c r="FH59" s="14"/>
      <c r="FI59" s="14"/>
      <c r="FJ59" s="14"/>
      <c r="FK59" s="14"/>
      <c r="FL59" s="14"/>
      <c r="FM59" s="14"/>
      <c r="FN59" s="14"/>
      <c r="FO59" s="14"/>
      <c r="FP59" s="14"/>
      <c r="FQ59" s="14"/>
      <c r="FR59" s="14"/>
      <c r="FS59" s="14"/>
      <c r="FT59" s="14"/>
      <c r="FU59" s="14"/>
      <c r="FV59" s="14"/>
      <c r="FW59" s="14"/>
      <c r="FX59" s="14"/>
      <c r="FY59" s="14"/>
      <c r="FZ59" s="14"/>
      <c r="GA59" s="14"/>
      <c r="GB59" s="14"/>
      <c r="GC59" s="14"/>
      <c r="GD59" s="14"/>
      <c r="GE59" s="14"/>
      <c r="GF59" s="14"/>
      <c r="GG59" s="14"/>
      <c r="GH59" s="14"/>
      <c r="GI59" s="14"/>
      <c r="GJ59" s="14"/>
      <c r="GK59" s="14"/>
      <c r="GL59" s="14"/>
      <c r="GM59" s="14"/>
      <c r="GN59" s="14"/>
      <c r="GO59" s="14"/>
      <c r="GP59" s="14"/>
      <c r="GQ59" s="14"/>
      <c r="GR59" s="14"/>
      <c r="GS59" s="14"/>
      <c r="GT59" s="14"/>
      <c r="GU59" s="14"/>
      <c r="GV59" s="14"/>
      <c r="GW59" s="14"/>
      <c r="GX59" s="14"/>
      <c r="GY59" s="14"/>
      <c r="GZ59" s="14"/>
      <c r="HA59" s="14"/>
      <c r="HB59" s="14"/>
      <c r="HC59" s="14"/>
      <c r="HD59" s="14"/>
      <c r="HE59" s="14"/>
      <c r="HF59" s="14"/>
      <c r="HG59" s="14"/>
      <c r="HH59" s="14"/>
      <c r="HI59" s="14"/>
      <c r="HJ59" s="14"/>
      <c r="HK59" s="14"/>
      <c r="HL59" s="14"/>
      <c r="HM59" s="14"/>
      <c r="HN59" s="14"/>
      <c r="HO59" s="14"/>
      <c r="HP59" s="14"/>
      <c r="HQ59" s="14"/>
      <c r="HR59" s="14"/>
      <c r="HS59" s="14"/>
      <c r="HT59" s="14"/>
    </row>
    <row r="60" spans="2:228" ht="12" customHeight="1" x14ac:dyDescent="0.25">
      <c r="B60" s="1876"/>
      <c r="C60" s="1876"/>
      <c r="D60" s="1876"/>
      <c r="E60" s="1876"/>
      <c r="F60" s="1876"/>
      <c r="G60" s="1876"/>
      <c r="H60" s="1876"/>
      <c r="I60" s="1876"/>
      <c r="J60" s="1876"/>
      <c r="K60" s="1876"/>
      <c r="L60" s="1876"/>
      <c r="M60" s="1876"/>
      <c r="N60" s="1876"/>
      <c r="O60" s="1876"/>
      <c r="P60" s="469"/>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c r="CP60" s="14"/>
      <c r="CQ60" s="14"/>
      <c r="CR60" s="14"/>
      <c r="CS60" s="14"/>
      <c r="CT60" s="14"/>
      <c r="CU60" s="14"/>
      <c r="CV60" s="14"/>
      <c r="CW60" s="14"/>
      <c r="CX60" s="14"/>
      <c r="CY60" s="14"/>
      <c r="CZ60" s="14"/>
      <c r="DA60" s="14"/>
      <c r="DB60" s="14"/>
      <c r="DC60" s="14"/>
      <c r="DD60" s="14"/>
      <c r="DE60" s="14"/>
      <c r="DF60" s="14"/>
      <c r="DG60" s="14"/>
      <c r="DH60" s="14"/>
      <c r="DI60" s="14"/>
      <c r="DJ60" s="14"/>
      <c r="DK60" s="14"/>
      <c r="DL60" s="14"/>
      <c r="DM60" s="14"/>
      <c r="DN60" s="14"/>
      <c r="DO60" s="14"/>
      <c r="DP60" s="14"/>
      <c r="DQ60" s="14"/>
      <c r="DR60" s="14"/>
      <c r="DS60" s="14"/>
      <c r="DT60" s="14"/>
      <c r="DU60" s="14"/>
      <c r="DV60" s="14"/>
      <c r="DW60" s="14"/>
      <c r="DX60" s="14"/>
      <c r="DY60" s="14"/>
      <c r="DZ60" s="14"/>
      <c r="EA60" s="14"/>
      <c r="EB60" s="14"/>
      <c r="EC60" s="14"/>
      <c r="ED60" s="14"/>
      <c r="EE60" s="14"/>
      <c r="EF60" s="14"/>
      <c r="EG60" s="14"/>
      <c r="EH60" s="14"/>
      <c r="EI60" s="14"/>
      <c r="EJ60" s="14"/>
      <c r="EK60" s="14"/>
      <c r="EL60" s="14"/>
      <c r="EM60" s="14"/>
      <c r="EN60" s="14"/>
      <c r="EO60" s="14"/>
      <c r="EP60" s="14"/>
      <c r="EQ60" s="14"/>
      <c r="ER60" s="14"/>
      <c r="ES60" s="14"/>
      <c r="ET60" s="14"/>
      <c r="EU60" s="14"/>
      <c r="EV60" s="14"/>
      <c r="EW60" s="14"/>
      <c r="EX60" s="14"/>
      <c r="EY60" s="14"/>
      <c r="EZ60" s="14"/>
      <c r="FA60" s="14"/>
      <c r="FB60" s="14"/>
      <c r="FC60" s="14"/>
      <c r="FD60" s="14"/>
      <c r="FE60" s="14"/>
      <c r="FF60" s="14"/>
      <c r="FG60" s="14"/>
      <c r="FH60" s="14"/>
      <c r="FI60" s="14"/>
      <c r="FJ60" s="14"/>
      <c r="FK60" s="14"/>
      <c r="FL60" s="14"/>
      <c r="FM60" s="14"/>
      <c r="FN60" s="14"/>
      <c r="FO60" s="14"/>
      <c r="FP60" s="14"/>
      <c r="FQ60" s="14"/>
      <c r="FR60" s="14"/>
      <c r="FS60" s="14"/>
      <c r="FT60" s="14"/>
      <c r="FU60" s="14"/>
      <c r="FV60" s="14"/>
      <c r="FW60" s="14"/>
      <c r="FX60" s="14"/>
      <c r="FY60" s="14"/>
      <c r="FZ60" s="14"/>
      <c r="GA60" s="14"/>
      <c r="GB60" s="14"/>
      <c r="GC60" s="14"/>
      <c r="GD60" s="14"/>
      <c r="GE60" s="14"/>
      <c r="GF60" s="14"/>
      <c r="GG60" s="14"/>
      <c r="GH60" s="14"/>
      <c r="GI60" s="14"/>
      <c r="GJ60" s="14"/>
      <c r="GK60" s="14"/>
      <c r="GL60" s="14"/>
      <c r="GM60" s="14"/>
      <c r="GN60" s="14"/>
      <c r="GO60" s="14"/>
      <c r="GP60" s="14"/>
      <c r="GQ60" s="14"/>
      <c r="GR60" s="14"/>
      <c r="GS60" s="14"/>
      <c r="GT60" s="14"/>
      <c r="GU60" s="14"/>
      <c r="GV60" s="14"/>
      <c r="GW60" s="14"/>
      <c r="GX60" s="14"/>
      <c r="GY60" s="14"/>
      <c r="GZ60" s="14"/>
      <c r="HA60" s="14"/>
      <c r="HB60" s="14"/>
      <c r="HC60" s="14"/>
      <c r="HD60" s="14"/>
      <c r="HE60" s="14"/>
      <c r="HF60" s="14"/>
      <c r="HG60" s="14"/>
      <c r="HH60" s="14"/>
      <c r="HI60" s="14"/>
      <c r="HJ60" s="14"/>
      <c r="HK60" s="14"/>
      <c r="HL60" s="14"/>
      <c r="HM60" s="14"/>
      <c r="HN60" s="14"/>
      <c r="HO60" s="14"/>
      <c r="HP60" s="14"/>
      <c r="HQ60" s="14"/>
      <c r="HR60" s="14"/>
      <c r="HS60" s="14"/>
      <c r="HT60" s="14"/>
    </row>
    <row r="61" spans="2:228" ht="15" customHeight="1" x14ac:dyDescent="0.25">
      <c r="B61" s="1549" t="s">
        <v>2006</v>
      </c>
      <c r="C61" s="1550"/>
      <c r="D61" s="1550"/>
      <c r="E61" s="1550"/>
      <c r="F61" s="1550"/>
      <c r="G61" s="1550"/>
      <c r="H61" s="1550"/>
      <c r="I61" s="1550"/>
      <c r="J61" s="1550"/>
      <c r="K61" s="1550"/>
      <c r="L61" s="1550"/>
      <c r="M61" s="1550"/>
      <c r="N61" s="1550"/>
      <c r="O61" s="1550"/>
      <c r="P61" s="470"/>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c r="CP61" s="14"/>
      <c r="CQ61" s="14"/>
      <c r="CR61" s="14"/>
      <c r="CS61" s="14"/>
      <c r="CT61" s="14"/>
      <c r="CU61" s="14"/>
      <c r="CV61" s="14"/>
      <c r="CW61" s="14"/>
      <c r="CX61" s="14"/>
      <c r="CY61" s="14"/>
      <c r="CZ61" s="14"/>
      <c r="DA61" s="14"/>
      <c r="DB61" s="14"/>
      <c r="DC61" s="14"/>
      <c r="DD61" s="14"/>
      <c r="DE61" s="14"/>
      <c r="DF61" s="14"/>
      <c r="DG61" s="14"/>
      <c r="DH61" s="14"/>
      <c r="DI61" s="14"/>
      <c r="DJ61" s="14"/>
      <c r="DK61" s="14"/>
      <c r="DL61" s="14"/>
      <c r="DM61" s="14"/>
      <c r="DN61" s="14"/>
      <c r="DO61" s="14"/>
      <c r="DP61" s="14"/>
      <c r="DQ61" s="14"/>
      <c r="DR61" s="14"/>
      <c r="DS61" s="14"/>
      <c r="DT61" s="14"/>
      <c r="DU61" s="14"/>
      <c r="DV61" s="14"/>
      <c r="DW61" s="14"/>
      <c r="DX61" s="14"/>
      <c r="DY61" s="14"/>
      <c r="DZ61" s="14"/>
      <c r="EA61" s="14"/>
      <c r="EB61" s="14"/>
      <c r="EC61" s="14"/>
      <c r="ED61" s="14"/>
      <c r="EE61" s="14"/>
      <c r="EF61" s="14"/>
      <c r="EG61" s="14"/>
      <c r="EH61" s="14"/>
      <c r="EI61" s="14"/>
      <c r="EJ61" s="14"/>
      <c r="EK61" s="14"/>
      <c r="EL61" s="14"/>
      <c r="EM61" s="14"/>
      <c r="EN61" s="14"/>
      <c r="EO61" s="14"/>
      <c r="EP61" s="14"/>
      <c r="EQ61" s="14"/>
      <c r="ER61" s="14"/>
      <c r="ES61" s="14"/>
      <c r="ET61" s="14"/>
      <c r="EU61" s="14"/>
      <c r="EV61" s="14"/>
      <c r="EW61" s="14"/>
      <c r="EX61" s="14"/>
      <c r="EY61" s="14"/>
      <c r="EZ61" s="14"/>
      <c r="FA61" s="14"/>
      <c r="FB61" s="14"/>
      <c r="FC61" s="14"/>
      <c r="FD61" s="14"/>
      <c r="FE61" s="14"/>
      <c r="FF61" s="14"/>
      <c r="FG61" s="14"/>
      <c r="FH61" s="14"/>
      <c r="FI61" s="14"/>
      <c r="FJ61" s="14"/>
      <c r="FK61" s="14"/>
      <c r="FL61" s="14"/>
      <c r="FM61" s="14"/>
      <c r="FN61" s="14"/>
      <c r="FO61" s="14"/>
      <c r="FP61" s="14"/>
      <c r="FQ61" s="14"/>
      <c r="FR61" s="14"/>
      <c r="FS61" s="14"/>
      <c r="FT61" s="14"/>
      <c r="FU61" s="14"/>
      <c r="FV61" s="14"/>
      <c r="FW61" s="14"/>
      <c r="FX61" s="14"/>
      <c r="FY61" s="14"/>
      <c r="FZ61" s="14"/>
      <c r="GA61" s="14"/>
      <c r="GB61" s="14"/>
      <c r="GC61" s="14"/>
      <c r="GD61" s="14"/>
      <c r="GE61" s="14"/>
      <c r="GF61" s="14"/>
      <c r="GG61" s="14"/>
      <c r="GH61" s="14"/>
      <c r="GI61" s="14"/>
      <c r="GJ61" s="14"/>
      <c r="GK61" s="14"/>
      <c r="GL61" s="14"/>
      <c r="GM61" s="14"/>
      <c r="GN61" s="14"/>
      <c r="GO61" s="14"/>
      <c r="GP61" s="14"/>
      <c r="GQ61" s="14"/>
      <c r="GR61" s="14"/>
      <c r="GS61" s="14"/>
      <c r="GT61" s="14"/>
      <c r="GU61" s="14"/>
      <c r="GV61" s="14"/>
      <c r="GW61" s="14"/>
      <c r="GX61" s="14"/>
      <c r="GY61" s="14"/>
      <c r="GZ61" s="14"/>
      <c r="HA61" s="14"/>
      <c r="HB61" s="14"/>
      <c r="HC61" s="14"/>
      <c r="HD61" s="14"/>
      <c r="HE61" s="14"/>
      <c r="HF61" s="14"/>
      <c r="HG61" s="14"/>
      <c r="HH61" s="14"/>
      <c r="HI61" s="14"/>
      <c r="HJ61" s="14"/>
      <c r="HK61" s="14"/>
      <c r="HL61" s="14"/>
      <c r="HM61" s="14"/>
      <c r="HN61" s="14"/>
      <c r="HO61" s="14"/>
      <c r="HP61" s="14"/>
      <c r="HQ61" s="14"/>
      <c r="HR61" s="14"/>
      <c r="HS61" s="14"/>
      <c r="HT61" s="14"/>
    </row>
    <row r="62" spans="2:228" ht="15" customHeight="1" x14ac:dyDescent="0.2">
      <c r="B62" s="376" t="s">
        <v>2012</v>
      </c>
      <c r="C62" s="1954"/>
      <c r="D62" s="1955"/>
      <c r="E62" s="1955"/>
      <c r="F62" s="1955"/>
      <c r="G62" s="1955"/>
      <c r="H62" s="1955"/>
      <c r="I62" s="1955"/>
      <c r="J62" s="1955"/>
      <c r="K62" s="1955"/>
      <c r="L62" s="1955"/>
      <c r="M62" s="1955"/>
      <c r="N62" s="1955"/>
      <c r="O62" s="78"/>
      <c r="P62" s="57">
        <f>IF($W$239&gt;0,0,R62)</f>
        <v>0</v>
      </c>
      <c r="R62" s="920">
        <f>IF(C62=S62,0,IF(C62=T62,0.05,IF(C62=U62,0.1,0)))</f>
        <v>0</v>
      </c>
      <c r="S62" s="918" t="s">
        <v>1942</v>
      </c>
      <c r="T62" s="918" t="s">
        <v>1785</v>
      </c>
      <c r="U62" s="918" t="s">
        <v>1786</v>
      </c>
      <c r="V62" s="161"/>
      <c r="W62" s="114"/>
      <c r="X62" s="162"/>
      <c r="Y62" s="1946"/>
      <c r="Z62" s="73"/>
      <c r="AA62" s="73"/>
      <c r="AB62" s="74"/>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c r="CP62" s="14"/>
      <c r="CQ62" s="14"/>
      <c r="CR62" s="14"/>
      <c r="CS62" s="14"/>
      <c r="CT62" s="14"/>
      <c r="CU62" s="14"/>
      <c r="CV62" s="14"/>
      <c r="CW62" s="14"/>
      <c r="CX62" s="14"/>
      <c r="CY62" s="14"/>
      <c r="CZ62" s="14"/>
      <c r="DA62" s="14"/>
      <c r="DB62" s="14"/>
      <c r="DC62" s="14"/>
      <c r="DD62" s="14"/>
      <c r="DE62" s="14"/>
      <c r="DF62" s="14"/>
      <c r="DG62" s="14"/>
      <c r="DH62" s="14"/>
      <c r="DI62" s="14"/>
      <c r="DJ62" s="14"/>
      <c r="DK62" s="14"/>
      <c r="DL62" s="14"/>
      <c r="DM62" s="14"/>
      <c r="DN62" s="14"/>
      <c r="DO62" s="14"/>
      <c r="DP62" s="14"/>
      <c r="DQ62" s="14"/>
      <c r="DR62" s="14"/>
      <c r="DS62" s="14"/>
      <c r="DT62" s="14"/>
      <c r="DU62" s="14"/>
      <c r="DV62" s="14"/>
      <c r="DW62" s="14"/>
      <c r="DX62" s="14"/>
      <c r="DY62" s="14"/>
      <c r="DZ62" s="14"/>
      <c r="EA62" s="14"/>
      <c r="EB62" s="14"/>
      <c r="EC62" s="14"/>
      <c r="ED62" s="14"/>
      <c r="EE62" s="14"/>
      <c r="EF62" s="14"/>
      <c r="EG62" s="14"/>
      <c r="EH62" s="14"/>
      <c r="EI62" s="14"/>
      <c r="EJ62" s="14"/>
      <c r="EK62" s="14"/>
      <c r="EL62" s="14"/>
      <c r="EM62" s="14"/>
      <c r="EN62" s="14"/>
      <c r="EO62" s="14"/>
      <c r="EP62" s="14"/>
      <c r="EQ62" s="14"/>
      <c r="ER62" s="14"/>
      <c r="ES62" s="14"/>
      <c r="ET62" s="14"/>
      <c r="EU62" s="14"/>
      <c r="EV62" s="14"/>
      <c r="EW62" s="14"/>
      <c r="EX62" s="14"/>
      <c r="EY62" s="14"/>
      <c r="EZ62" s="14"/>
      <c r="FA62" s="14"/>
      <c r="FB62" s="14"/>
      <c r="FC62" s="14"/>
      <c r="FD62" s="14"/>
      <c r="FE62" s="14"/>
      <c r="FF62" s="14"/>
      <c r="FG62" s="14"/>
      <c r="FH62" s="14"/>
      <c r="FI62" s="14"/>
      <c r="FJ62" s="14"/>
      <c r="FK62" s="14"/>
      <c r="FL62" s="14"/>
      <c r="FM62" s="14"/>
      <c r="FN62" s="14"/>
      <c r="FO62" s="14"/>
      <c r="FP62" s="14"/>
      <c r="FQ62" s="14"/>
      <c r="FR62" s="14"/>
      <c r="FS62" s="14"/>
      <c r="FT62" s="14"/>
      <c r="FU62" s="14"/>
      <c r="FV62" s="14"/>
      <c r="FW62" s="14"/>
      <c r="FX62" s="14"/>
      <c r="FY62" s="14"/>
      <c r="FZ62" s="14"/>
      <c r="GA62" s="14"/>
      <c r="GB62" s="14"/>
      <c r="GC62" s="14"/>
      <c r="GD62" s="14"/>
      <c r="GE62" s="14"/>
      <c r="GF62" s="14"/>
      <c r="GG62" s="14"/>
      <c r="GH62" s="14"/>
      <c r="GI62" s="14"/>
      <c r="GJ62" s="14"/>
      <c r="GK62" s="14"/>
      <c r="GL62" s="14"/>
      <c r="GM62" s="14"/>
      <c r="GN62" s="14"/>
      <c r="GO62" s="14"/>
      <c r="GP62" s="14"/>
      <c r="GQ62" s="14"/>
      <c r="GR62" s="14"/>
      <c r="GS62" s="14"/>
      <c r="GT62" s="14"/>
      <c r="GU62" s="14"/>
      <c r="GV62" s="14"/>
      <c r="GW62" s="14"/>
      <c r="GX62" s="14"/>
      <c r="GY62" s="14"/>
      <c r="GZ62" s="14"/>
      <c r="HA62" s="14"/>
      <c r="HB62" s="14"/>
      <c r="HC62" s="14"/>
      <c r="HD62" s="14"/>
      <c r="HE62" s="14"/>
      <c r="HF62" s="14"/>
      <c r="HG62" s="14"/>
      <c r="HH62" s="14"/>
      <c r="HI62" s="14"/>
      <c r="HJ62" s="14"/>
      <c r="HK62" s="14"/>
      <c r="HL62" s="14"/>
      <c r="HM62" s="14"/>
      <c r="HN62" s="14"/>
      <c r="HO62" s="14"/>
      <c r="HP62" s="14"/>
      <c r="HQ62" s="14"/>
      <c r="HR62" s="14"/>
      <c r="HS62" s="14"/>
      <c r="HT62" s="14"/>
    </row>
    <row r="63" spans="2:228" ht="15" customHeight="1" x14ac:dyDescent="0.2">
      <c r="B63" s="376" t="s">
        <v>2013</v>
      </c>
      <c r="C63" s="1954"/>
      <c r="D63" s="1955"/>
      <c r="E63" s="1955"/>
      <c r="F63" s="1955"/>
      <c r="G63" s="1955"/>
      <c r="H63" s="1955"/>
      <c r="I63" s="1955"/>
      <c r="J63" s="1955"/>
      <c r="K63" s="1955"/>
      <c r="L63" s="1955"/>
      <c r="M63" s="1955"/>
      <c r="N63" s="1955"/>
      <c r="O63" s="78"/>
      <c r="P63" s="26">
        <f>IF($W$239&gt;0,0,R63)</f>
        <v>0</v>
      </c>
      <c r="R63" s="920">
        <f>IF(C63=S63,0,IF(C63=T63,0.05,IF(C63=U63,0.1,0)))</f>
        <v>0</v>
      </c>
      <c r="S63" s="918" t="s">
        <v>1942</v>
      </c>
      <c r="T63" s="918" t="s">
        <v>1997</v>
      </c>
      <c r="U63" s="918" t="s">
        <v>1998</v>
      </c>
      <c r="V63" s="161"/>
      <c r="W63" s="114"/>
      <c r="X63" s="162"/>
      <c r="Y63" s="1946"/>
      <c r="Z63" s="73"/>
      <c r="AA63" s="73"/>
      <c r="AB63" s="74"/>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c r="CP63" s="14"/>
      <c r="CQ63" s="14"/>
      <c r="CR63" s="14"/>
      <c r="CS63" s="14"/>
      <c r="CT63" s="14"/>
      <c r="CU63" s="14"/>
      <c r="CV63" s="14"/>
      <c r="CW63" s="14"/>
      <c r="CX63" s="14"/>
      <c r="CY63" s="14"/>
      <c r="CZ63" s="14"/>
      <c r="DA63" s="14"/>
      <c r="DB63" s="14"/>
      <c r="DC63" s="14"/>
      <c r="DD63" s="14"/>
      <c r="DE63" s="14"/>
      <c r="DF63" s="14"/>
      <c r="DG63" s="14"/>
      <c r="DH63" s="14"/>
      <c r="DI63" s="14"/>
      <c r="DJ63" s="14"/>
      <c r="DK63" s="14"/>
      <c r="DL63" s="14"/>
      <c r="DM63" s="14"/>
      <c r="DN63" s="14"/>
      <c r="DO63" s="14"/>
      <c r="DP63" s="14"/>
      <c r="DQ63" s="14"/>
      <c r="DR63" s="14"/>
      <c r="DS63" s="14"/>
      <c r="DT63" s="14"/>
      <c r="DU63" s="14"/>
      <c r="DV63" s="14"/>
      <c r="DW63" s="14"/>
      <c r="DX63" s="14"/>
      <c r="DY63" s="14"/>
      <c r="DZ63" s="14"/>
      <c r="EA63" s="14"/>
      <c r="EB63" s="14"/>
      <c r="EC63" s="14"/>
      <c r="ED63" s="14"/>
      <c r="EE63" s="14"/>
      <c r="EF63" s="14"/>
      <c r="EG63" s="14"/>
      <c r="EH63" s="14"/>
      <c r="EI63" s="14"/>
      <c r="EJ63" s="14"/>
      <c r="EK63" s="14"/>
      <c r="EL63" s="14"/>
      <c r="EM63" s="14"/>
      <c r="EN63" s="14"/>
      <c r="EO63" s="14"/>
      <c r="EP63" s="14"/>
      <c r="EQ63" s="14"/>
      <c r="ER63" s="14"/>
      <c r="ES63" s="14"/>
      <c r="ET63" s="14"/>
      <c r="EU63" s="14"/>
      <c r="EV63" s="14"/>
      <c r="EW63" s="14"/>
      <c r="EX63" s="14"/>
      <c r="EY63" s="14"/>
      <c r="EZ63" s="14"/>
      <c r="FA63" s="14"/>
      <c r="FB63" s="14"/>
      <c r="FC63" s="14"/>
      <c r="FD63" s="14"/>
      <c r="FE63" s="14"/>
      <c r="FF63" s="14"/>
      <c r="FG63" s="14"/>
      <c r="FH63" s="14"/>
      <c r="FI63" s="14"/>
      <c r="FJ63" s="14"/>
      <c r="FK63" s="14"/>
      <c r="FL63" s="14"/>
      <c r="FM63" s="14"/>
      <c r="FN63" s="14"/>
      <c r="FO63" s="14"/>
      <c r="FP63" s="14"/>
      <c r="FQ63" s="14"/>
      <c r="FR63" s="14"/>
      <c r="FS63" s="14"/>
      <c r="FT63" s="14"/>
      <c r="FU63" s="14"/>
      <c r="FV63" s="14"/>
      <c r="FW63" s="14"/>
      <c r="FX63" s="14"/>
      <c r="FY63" s="14"/>
      <c r="FZ63" s="14"/>
      <c r="GA63" s="14"/>
      <c r="GB63" s="14"/>
      <c r="GC63" s="14"/>
      <c r="GD63" s="14"/>
      <c r="GE63" s="14"/>
      <c r="GF63" s="14"/>
      <c r="GG63" s="14"/>
      <c r="GH63" s="14"/>
      <c r="GI63" s="14"/>
      <c r="GJ63" s="14"/>
      <c r="GK63" s="14"/>
      <c r="GL63" s="14"/>
      <c r="GM63" s="14"/>
      <c r="GN63" s="14"/>
      <c r="GO63" s="14"/>
      <c r="GP63" s="14"/>
      <c r="GQ63" s="14"/>
      <c r="GR63" s="14"/>
      <c r="GS63" s="14"/>
      <c r="GT63" s="14"/>
      <c r="GU63" s="14"/>
      <c r="GV63" s="14"/>
      <c r="GW63" s="14"/>
      <c r="GX63" s="14"/>
      <c r="GY63" s="14"/>
      <c r="GZ63" s="14"/>
      <c r="HA63" s="14"/>
      <c r="HB63" s="14"/>
      <c r="HC63" s="14"/>
      <c r="HD63" s="14"/>
      <c r="HE63" s="14"/>
      <c r="HF63" s="14"/>
      <c r="HG63" s="14"/>
      <c r="HH63" s="14"/>
      <c r="HI63" s="14"/>
      <c r="HJ63" s="14"/>
      <c r="HK63" s="14"/>
      <c r="HL63" s="14"/>
      <c r="HM63" s="14"/>
      <c r="HN63" s="14"/>
      <c r="HO63" s="14"/>
      <c r="HP63" s="14"/>
      <c r="HQ63" s="14"/>
      <c r="HR63" s="14"/>
      <c r="HS63" s="14"/>
      <c r="HT63" s="14"/>
    </row>
    <row r="64" spans="2:228" ht="27" customHeight="1" x14ac:dyDescent="0.2">
      <c r="B64" s="1883" t="str">
        <f>IF(AND(OR(R62&gt;0,R63&gt;0),$W$239&gt;0),"A value has been given for loss of sensation or hypersensitivity in the foot. No additional value is allowed for the toes.","")</f>
        <v/>
      </c>
      <c r="C64" s="1883"/>
      <c r="D64" s="1883"/>
      <c r="E64" s="1883"/>
      <c r="F64" s="1883"/>
      <c r="G64" s="1883"/>
      <c r="H64" s="1883"/>
      <c r="I64" s="1883"/>
      <c r="J64" s="1883"/>
      <c r="K64" s="1883"/>
      <c r="L64" s="1883"/>
      <c r="M64" s="1883"/>
      <c r="N64" s="1883"/>
      <c r="O64" s="1883"/>
      <c r="P64" s="659"/>
      <c r="R64" s="18"/>
      <c r="S64" s="19"/>
      <c r="T64" s="19"/>
      <c r="U64" s="19"/>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4"/>
      <c r="BR64" s="14"/>
      <c r="BS64" s="14"/>
      <c r="BT64" s="14"/>
      <c r="BU64" s="14"/>
      <c r="BV64" s="14"/>
      <c r="BW64" s="14"/>
      <c r="BX64" s="14"/>
      <c r="BY64" s="14"/>
      <c r="BZ64" s="14"/>
      <c r="CA64" s="14"/>
      <c r="CB64" s="14"/>
      <c r="CC64" s="14"/>
      <c r="CD64" s="14"/>
      <c r="CE64" s="14"/>
      <c r="CF64" s="14"/>
      <c r="CG64" s="14"/>
      <c r="CH64" s="14"/>
      <c r="CI64" s="14"/>
      <c r="CJ64" s="14"/>
      <c r="CK64" s="14"/>
      <c r="CL64" s="14"/>
      <c r="CM64" s="14"/>
      <c r="CN64" s="14"/>
      <c r="CO64" s="14"/>
      <c r="CP64" s="14"/>
      <c r="CQ64" s="14"/>
      <c r="CR64" s="14"/>
      <c r="CS64" s="14"/>
      <c r="CT64" s="14"/>
      <c r="CU64" s="14"/>
      <c r="CV64" s="14"/>
      <c r="CW64" s="14"/>
      <c r="CX64" s="14"/>
      <c r="CY64" s="14"/>
      <c r="CZ64" s="14"/>
      <c r="DA64" s="14"/>
      <c r="DB64" s="14"/>
      <c r="DC64" s="14"/>
      <c r="DD64" s="14"/>
      <c r="DE64" s="14"/>
      <c r="DF64" s="14"/>
      <c r="DG64" s="14"/>
      <c r="DH64" s="14"/>
      <c r="DI64" s="14"/>
      <c r="DJ64" s="14"/>
      <c r="DK64" s="14"/>
      <c r="DL64" s="14"/>
      <c r="DM64" s="14"/>
      <c r="DN64" s="14"/>
      <c r="DO64" s="14"/>
      <c r="DP64" s="14"/>
      <c r="DQ64" s="14"/>
      <c r="DR64" s="14"/>
      <c r="DS64" s="14"/>
      <c r="DT64" s="14"/>
      <c r="DU64" s="14"/>
      <c r="DV64" s="14"/>
      <c r="DW64" s="14"/>
      <c r="DX64" s="14"/>
      <c r="DY64" s="14"/>
      <c r="DZ64" s="14"/>
      <c r="EA64" s="14"/>
      <c r="EB64" s="14"/>
      <c r="EC64" s="14"/>
      <c r="ED64" s="14"/>
      <c r="EE64" s="14"/>
      <c r="EF64" s="14"/>
      <c r="EG64" s="14"/>
      <c r="EH64" s="14"/>
      <c r="EI64" s="14"/>
      <c r="EJ64" s="14"/>
      <c r="EK64" s="14"/>
      <c r="EL64" s="14"/>
      <c r="EM64" s="14"/>
      <c r="EN64" s="14"/>
      <c r="EO64" s="14"/>
      <c r="EP64" s="14"/>
      <c r="EQ64" s="14"/>
      <c r="ER64" s="14"/>
      <c r="ES64" s="14"/>
      <c r="ET64" s="14"/>
      <c r="EU64" s="14"/>
      <c r="EV64" s="14"/>
      <c r="EW64" s="14"/>
      <c r="EX64" s="14"/>
      <c r="EY64" s="14"/>
      <c r="EZ64" s="14"/>
      <c r="FA64" s="14"/>
      <c r="FB64" s="14"/>
      <c r="FC64" s="14"/>
      <c r="FD64" s="14"/>
      <c r="FE64" s="14"/>
      <c r="FF64" s="14"/>
      <c r="FG64" s="14"/>
      <c r="FH64" s="14"/>
      <c r="FI64" s="14"/>
      <c r="FJ64" s="14"/>
      <c r="FK64" s="14"/>
      <c r="FL64" s="14"/>
      <c r="FM64" s="14"/>
      <c r="FN64" s="14"/>
      <c r="FO64" s="14"/>
      <c r="FP64" s="14"/>
      <c r="FQ64" s="14"/>
      <c r="FR64" s="14"/>
      <c r="FS64" s="14"/>
      <c r="FT64" s="14"/>
      <c r="FU64" s="14"/>
      <c r="FV64" s="14"/>
      <c r="FW64" s="14"/>
      <c r="FX64" s="14"/>
      <c r="FY64" s="14"/>
      <c r="FZ64" s="14"/>
      <c r="GA64" s="14"/>
      <c r="GB64" s="14"/>
      <c r="GC64" s="14"/>
      <c r="GD64" s="14"/>
      <c r="GE64" s="14"/>
      <c r="GF64" s="14"/>
      <c r="GG64" s="14"/>
      <c r="GH64" s="14"/>
      <c r="GI64" s="14"/>
      <c r="GJ64" s="14"/>
      <c r="GK64" s="14"/>
      <c r="GL64" s="14"/>
      <c r="GM64" s="14"/>
      <c r="GN64" s="14"/>
      <c r="GO64" s="14"/>
      <c r="GP64" s="14"/>
      <c r="GQ64" s="14"/>
      <c r="GR64" s="14"/>
      <c r="GS64" s="14"/>
      <c r="GT64" s="14"/>
      <c r="GU64" s="14"/>
      <c r="GV64" s="14"/>
      <c r="GW64" s="14"/>
      <c r="GX64" s="14"/>
      <c r="GY64" s="14"/>
      <c r="GZ64" s="14"/>
      <c r="HA64" s="14"/>
      <c r="HB64" s="14"/>
      <c r="HC64" s="14"/>
      <c r="HD64" s="14"/>
      <c r="HE64" s="14"/>
      <c r="HF64" s="14"/>
      <c r="HG64" s="14"/>
      <c r="HH64" s="14"/>
      <c r="HI64" s="14"/>
      <c r="HJ64" s="14"/>
      <c r="HK64" s="14"/>
      <c r="HL64" s="14"/>
      <c r="HM64" s="14"/>
      <c r="HN64" s="14"/>
      <c r="HO64" s="14"/>
      <c r="HP64" s="14"/>
      <c r="HQ64" s="14"/>
      <c r="HR64" s="14"/>
      <c r="HS64" s="14"/>
      <c r="HT64" s="14"/>
    </row>
    <row r="65" spans="1:228" s="63" customFormat="1" ht="12" customHeight="1" x14ac:dyDescent="0.25">
      <c r="A65" s="35"/>
      <c r="B65" s="1602"/>
      <c r="C65" s="1395"/>
      <c r="D65" s="1395"/>
      <c r="E65" s="1395"/>
      <c r="F65" s="1395"/>
      <c r="G65" s="1395"/>
      <c r="H65" s="1395"/>
      <c r="I65" s="1395"/>
      <c r="J65" s="1395"/>
      <c r="K65" s="1395"/>
      <c r="L65" s="1395"/>
      <c r="M65" s="1395"/>
      <c r="N65" s="1395"/>
      <c r="O65" s="1395"/>
      <c r="P65" s="75"/>
      <c r="Q65" s="35"/>
      <c r="R65" s="18"/>
      <c r="S65" s="18"/>
      <c r="Y65" s="60"/>
      <c r="Z65" s="1569"/>
      <c r="AA65" s="1569"/>
      <c r="AB65" s="1569"/>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4"/>
      <c r="BB65" s="14"/>
      <c r="BC65" s="14"/>
      <c r="BD65" s="14"/>
      <c r="BE65" s="14"/>
      <c r="BF65" s="14"/>
      <c r="BG65" s="14"/>
      <c r="BH65" s="14"/>
      <c r="BI65" s="14"/>
      <c r="BJ65" s="14"/>
      <c r="BK65" s="14"/>
      <c r="BL65" s="14"/>
      <c r="BM65" s="14"/>
      <c r="BN65" s="14"/>
      <c r="BO65" s="14"/>
      <c r="BP65" s="14"/>
      <c r="BQ65" s="14"/>
      <c r="BR65" s="14"/>
      <c r="BS65" s="14"/>
      <c r="BT65" s="14"/>
      <c r="BU65" s="14"/>
      <c r="BV65" s="14"/>
      <c r="BW65" s="14"/>
      <c r="BX65" s="14"/>
      <c r="BY65" s="14"/>
      <c r="BZ65" s="14"/>
      <c r="CA65" s="14"/>
      <c r="CB65" s="14"/>
      <c r="CC65" s="14"/>
      <c r="CD65" s="14"/>
      <c r="CE65" s="14"/>
      <c r="CF65" s="14"/>
      <c r="CG65" s="14"/>
      <c r="CH65" s="14"/>
      <c r="CI65" s="14"/>
      <c r="CJ65" s="14"/>
      <c r="CK65" s="14"/>
      <c r="CL65" s="14"/>
      <c r="CM65" s="14"/>
      <c r="CN65" s="14"/>
      <c r="CO65" s="14"/>
      <c r="CP65" s="14"/>
      <c r="CQ65" s="14"/>
      <c r="CR65" s="14"/>
      <c r="CS65" s="14"/>
      <c r="CT65" s="14"/>
      <c r="CU65" s="14"/>
      <c r="CV65" s="14"/>
      <c r="CW65" s="14"/>
      <c r="CX65" s="14"/>
      <c r="CY65" s="14"/>
      <c r="CZ65" s="14"/>
      <c r="DA65" s="14"/>
      <c r="DB65" s="14"/>
      <c r="DC65" s="14"/>
      <c r="DD65" s="14"/>
      <c r="DE65" s="14"/>
      <c r="DF65" s="14"/>
      <c r="DG65" s="14"/>
      <c r="DH65" s="14"/>
      <c r="DI65" s="14"/>
      <c r="DJ65" s="14"/>
      <c r="DK65" s="14"/>
      <c r="DL65" s="14"/>
      <c r="DM65" s="14"/>
      <c r="DN65" s="14"/>
      <c r="DO65" s="14"/>
      <c r="DP65" s="14"/>
      <c r="DQ65" s="14"/>
      <c r="DR65" s="14"/>
      <c r="DS65" s="14"/>
      <c r="DT65" s="14"/>
      <c r="DU65" s="14"/>
      <c r="DV65" s="14"/>
      <c r="DW65" s="14"/>
      <c r="DX65" s="14"/>
      <c r="DY65" s="14"/>
      <c r="DZ65" s="14"/>
      <c r="EA65" s="14"/>
      <c r="EB65" s="14"/>
      <c r="EC65" s="14"/>
      <c r="ED65" s="14"/>
      <c r="EE65" s="14"/>
      <c r="EF65" s="14"/>
      <c r="EG65" s="14"/>
      <c r="EH65" s="14"/>
      <c r="EI65" s="14"/>
      <c r="EJ65" s="14"/>
      <c r="EK65" s="14"/>
      <c r="EL65" s="14"/>
    </row>
    <row r="66" spans="1:228" s="63" customFormat="1" ht="15" customHeight="1" x14ac:dyDescent="0.2">
      <c r="A66" s="8"/>
      <c r="B66" s="1379" t="s">
        <v>2016</v>
      </c>
      <c r="C66" s="1379"/>
      <c r="D66" s="1379"/>
      <c r="E66" s="1379"/>
      <c r="F66" s="1379"/>
      <c r="G66" s="1379"/>
      <c r="H66" s="1379"/>
      <c r="I66" s="1379"/>
      <c r="J66" s="1379"/>
      <c r="K66" s="1379"/>
      <c r="L66" s="1379"/>
      <c r="M66" s="1379"/>
      <c r="N66" s="1308"/>
      <c r="O66" s="1308"/>
      <c r="P66" s="919">
        <f>IF(N66=T66,0.03,IF(N66=U66,0.15,IF(N66=V66,0.38,IF(N66=W66,0.68,IF(N66=X66,0.9,0)))))</f>
        <v>0</v>
      </c>
      <c r="Q66" s="35"/>
      <c r="R66" s="1487" t="s">
        <v>2197</v>
      </c>
      <c r="S66" s="1487"/>
      <c r="T66" s="918" t="s">
        <v>1969</v>
      </c>
      <c r="U66" s="918" t="s">
        <v>1970</v>
      </c>
      <c r="V66" s="920" t="s">
        <v>1972</v>
      </c>
      <c r="W66" s="918" t="s">
        <v>945</v>
      </c>
      <c r="X66" s="920" t="s">
        <v>558</v>
      </c>
      <c r="Y66" s="60"/>
      <c r="Z66" s="1569"/>
      <c r="AA66" s="1569"/>
      <c r="AB66" s="1569"/>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4"/>
      <c r="BB66" s="14"/>
      <c r="BC66" s="14"/>
      <c r="BD66" s="14"/>
      <c r="BE66" s="14"/>
      <c r="BF66" s="14"/>
      <c r="BG66" s="14"/>
      <c r="BH66" s="14"/>
      <c r="BI66" s="14"/>
      <c r="BJ66" s="14"/>
      <c r="BK66" s="14"/>
      <c r="BL66" s="14"/>
      <c r="BM66" s="14"/>
      <c r="BN66" s="14"/>
      <c r="BO66" s="14"/>
      <c r="BP66" s="14"/>
      <c r="BQ66" s="14"/>
      <c r="BR66" s="14"/>
      <c r="BS66" s="14"/>
      <c r="BT66" s="14"/>
      <c r="BU66" s="14"/>
      <c r="BV66" s="14"/>
      <c r="BW66" s="14"/>
      <c r="BX66" s="14"/>
      <c r="BY66" s="14"/>
      <c r="BZ66" s="14"/>
      <c r="CA66" s="14"/>
      <c r="CB66" s="14"/>
      <c r="CC66" s="14"/>
      <c r="CD66" s="14"/>
      <c r="CE66" s="14"/>
      <c r="CF66" s="14"/>
      <c r="CG66" s="14"/>
      <c r="CH66" s="14"/>
      <c r="CI66" s="14"/>
      <c r="CJ66" s="14"/>
      <c r="CK66" s="14"/>
      <c r="CL66" s="14"/>
      <c r="CM66" s="14"/>
      <c r="CN66" s="14"/>
      <c r="CO66" s="14"/>
      <c r="CP66" s="14"/>
      <c r="CQ66" s="14"/>
      <c r="CR66" s="14"/>
      <c r="CS66" s="14"/>
      <c r="CT66" s="14"/>
      <c r="CU66" s="14"/>
      <c r="CV66" s="14"/>
      <c r="CW66" s="14"/>
      <c r="CX66" s="14"/>
      <c r="CY66" s="14"/>
      <c r="CZ66" s="14"/>
      <c r="DA66" s="14"/>
      <c r="DB66" s="14"/>
      <c r="DC66" s="14"/>
      <c r="DD66" s="14"/>
      <c r="DE66" s="14"/>
      <c r="DF66" s="14"/>
      <c r="DG66" s="14"/>
      <c r="DH66" s="14"/>
      <c r="DI66" s="14"/>
      <c r="DJ66" s="14"/>
      <c r="DK66" s="14"/>
      <c r="DL66" s="14"/>
      <c r="DM66" s="14"/>
      <c r="DN66" s="14"/>
      <c r="DO66" s="14"/>
      <c r="DP66" s="14"/>
      <c r="DQ66" s="14"/>
      <c r="DR66" s="14"/>
      <c r="DS66" s="14"/>
      <c r="DT66" s="14"/>
      <c r="DU66" s="14"/>
      <c r="DV66" s="14"/>
      <c r="DW66" s="14"/>
      <c r="DX66" s="14"/>
      <c r="DY66" s="14"/>
      <c r="DZ66" s="14"/>
      <c r="EA66" s="14"/>
      <c r="EB66" s="14"/>
      <c r="EC66" s="14"/>
      <c r="ED66" s="14"/>
      <c r="EE66" s="14"/>
      <c r="EF66" s="14"/>
      <c r="EG66" s="14"/>
      <c r="EH66" s="14"/>
      <c r="EI66" s="14"/>
      <c r="EJ66" s="14"/>
      <c r="EK66" s="14"/>
      <c r="EL66" s="14"/>
    </row>
    <row r="67" spans="1:228" ht="12" customHeight="1" x14ac:dyDescent="0.25">
      <c r="B67" s="657"/>
      <c r="C67" s="657"/>
      <c r="D67" s="657"/>
      <c r="E67" s="657"/>
      <c r="F67" s="657"/>
      <c r="G67" s="657"/>
      <c r="H67" s="657"/>
      <c r="I67" s="657"/>
      <c r="J67" s="657"/>
      <c r="K67" s="657"/>
      <c r="L67" s="657"/>
      <c r="M67" s="657"/>
      <c r="N67" s="657"/>
      <c r="O67" s="657"/>
      <c r="P67" s="75"/>
      <c r="R67" s="18"/>
      <c r="S67" s="19"/>
      <c r="T67" s="19"/>
      <c r="U67" s="19"/>
      <c r="V67" s="19"/>
      <c r="W67" s="19"/>
      <c r="X67" s="19"/>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4"/>
      <c r="BR67" s="14"/>
      <c r="BS67" s="14"/>
      <c r="BT67" s="14"/>
      <c r="BU67" s="14"/>
      <c r="BV67" s="14"/>
      <c r="BW67" s="14"/>
      <c r="BX67" s="14"/>
      <c r="BY67" s="14"/>
      <c r="BZ67" s="14"/>
      <c r="CA67" s="14"/>
      <c r="CB67" s="14"/>
      <c r="CC67" s="14"/>
      <c r="CD67" s="14"/>
      <c r="CE67" s="14"/>
      <c r="CF67" s="14"/>
      <c r="CG67" s="14"/>
      <c r="CH67" s="14"/>
      <c r="CI67" s="14"/>
      <c r="CJ67" s="14"/>
      <c r="CK67" s="14"/>
      <c r="CL67" s="14"/>
      <c r="CM67" s="14"/>
      <c r="CN67" s="14"/>
      <c r="CO67" s="14"/>
      <c r="CP67" s="14"/>
      <c r="CQ67" s="14"/>
      <c r="CR67" s="14"/>
      <c r="CS67" s="14"/>
      <c r="CT67" s="14"/>
      <c r="CU67" s="14"/>
      <c r="CV67" s="14"/>
      <c r="CW67" s="14"/>
      <c r="CX67" s="14"/>
      <c r="CY67" s="14"/>
      <c r="CZ67" s="14"/>
      <c r="DA67" s="14"/>
      <c r="DB67" s="14"/>
      <c r="DC67" s="14"/>
      <c r="DD67" s="14"/>
      <c r="DE67" s="14"/>
      <c r="DF67" s="14"/>
      <c r="DG67" s="14"/>
      <c r="DH67" s="14"/>
      <c r="DI67" s="14"/>
      <c r="DJ67" s="14"/>
      <c r="DK67" s="14"/>
      <c r="DL67" s="14"/>
      <c r="DM67" s="14"/>
      <c r="DN67" s="14"/>
      <c r="DO67" s="14"/>
      <c r="DP67" s="14"/>
      <c r="DQ67" s="14"/>
      <c r="DR67" s="14"/>
      <c r="DS67" s="14"/>
      <c r="DT67" s="14"/>
      <c r="DU67" s="14"/>
      <c r="DV67" s="14"/>
      <c r="DW67" s="14"/>
      <c r="DX67" s="14"/>
      <c r="DY67" s="14"/>
      <c r="DZ67" s="14"/>
      <c r="EA67" s="14"/>
      <c r="EB67" s="14"/>
      <c r="EC67" s="14"/>
      <c r="ED67" s="14"/>
      <c r="EE67" s="14"/>
      <c r="EF67" s="14"/>
      <c r="EG67" s="14"/>
      <c r="EH67" s="14"/>
      <c r="EI67" s="14"/>
      <c r="EJ67" s="14"/>
      <c r="EK67" s="14"/>
      <c r="EL67" s="14"/>
      <c r="EM67" s="14"/>
      <c r="EN67" s="14"/>
      <c r="EO67" s="14"/>
      <c r="EP67" s="14"/>
      <c r="EQ67" s="14"/>
      <c r="ER67" s="14"/>
      <c r="ES67" s="14"/>
      <c r="ET67" s="14"/>
      <c r="EU67" s="14"/>
      <c r="EV67" s="14"/>
      <c r="EW67" s="14"/>
      <c r="EX67" s="14"/>
      <c r="EY67" s="14"/>
      <c r="EZ67" s="14"/>
      <c r="FA67" s="14"/>
      <c r="FB67" s="14"/>
      <c r="FC67" s="14"/>
      <c r="FD67" s="14"/>
      <c r="FE67" s="14"/>
      <c r="FF67" s="14"/>
      <c r="FG67" s="14"/>
      <c r="FH67" s="14"/>
      <c r="FI67" s="14"/>
      <c r="FJ67" s="14"/>
      <c r="FK67" s="14"/>
      <c r="FL67" s="14"/>
      <c r="FM67" s="14"/>
      <c r="FN67" s="14"/>
      <c r="FO67" s="14"/>
      <c r="FP67" s="14"/>
      <c r="FQ67" s="14"/>
      <c r="FR67" s="14"/>
      <c r="FS67" s="14"/>
      <c r="FT67" s="14"/>
      <c r="FU67" s="14"/>
      <c r="FV67" s="14"/>
      <c r="FW67" s="14"/>
      <c r="FX67" s="14"/>
      <c r="FY67" s="14"/>
      <c r="FZ67" s="14"/>
      <c r="GA67" s="14"/>
      <c r="GB67" s="14"/>
      <c r="GC67" s="14"/>
      <c r="GD67" s="14"/>
      <c r="GE67" s="14"/>
      <c r="GF67" s="14"/>
      <c r="GG67" s="14"/>
      <c r="GH67" s="14"/>
      <c r="GI67" s="14"/>
      <c r="GJ67" s="14"/>
      <c r="GK67" s="14"/>
      <c r="GL67" s="14"/>
      <c r="GM67" s="14"/>
      <c r="GN67" s="14"/>
      <c r="GO67" s="14"/>
      <c r="GP67" s="14"/>
      <c r="GQ67" s="14"/>
      <c r="GR67" s="14"/>
      <c r="GS67" s="14"/>
      <c r="GT67" s="14"/>
      <c r="GU67" s="14"/>
      <c r="GV67" s="14"/>
      <c r="GW67" s="14"/>
      <c r="GX67" s="14"/>
      <c r="GY67" s="14"/>
      <c r="GZ67" s="14"/>
      <c r="HA67" s="14"/>
      <c r="HB67" s="14"/>
      <c r="HC67" s="14"/>
      <c r="HD67" s="14"/>
      <c r="HE67" s="14"/>
      <c r="HF67" s="14"/>
      <c r="HG67" s="14"/>
      <c r="HH67" s="14"/>
      <c r="HI67" s="14"/>
      <c r="HJ67" s="14"/>
      <c r="HK67" s="14"/>
      <c r="HL67" s="14"/>
      <c r="HM67" s="14"/>
      <c r="HN67" s="14"/>
      <c r="HO67" s="14"/>
      <c r="HP67" s="14"/>
      <c r="HQ67" s="14"/>
      <c r="HR67" s="14"/>
      <c r="HS67" s="14"/>
      <c r="HT67" s="14"/>
    </row>
    <row r="68" spans="1:228" ht="18" customHeight="1" x14ac:dyDescent="0.2">
      <c r="A68" s="189"/>
      <c r="B68" s="316" t="s">
        <v>1709</v>
      </c>
      <c r="C68" s="1878"/>
      <c r="D68" s="1878"/>
      <c r="E68" s="1362" t="s">
        <v>1710</v>
      </c>
      <c r="F68" s="1363"/>
      <c r="G68" s="1363"/>
      <c r="H68" s="1363"/>
      <c r="I68" s="1363"/>
      <c r="J68" s="1363"/>
      <c r="K68" s="1363"/>
      <c r="L68" s="1363"/>
      <c r="M68" s="1363"/>
      <c r="N68" s="1363"/>
      <c r="O68" s="1363"/>
      <c r="P68" s="303">
        <f>IF(T68=1,0.15,0)</f>
        <v>0</v>
      </c>
      <c r="R68" s="18"/>
      <c r="S68" s="706" t="b">
        <v>0</v>
      </c>
      <c r="T68" s="918">
        <f>IF(S68=TRUE,1,0)</f>
        <v>0</v>
      </c>
      <c r="U68" s="18"/>
      <c r="V68" s="18"/>
      <c r="W68" s="18">
        <v>1E-4</v>
      </c>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4"/>
      <c r="BR68" s="14"/>
      <c r="BS68" s="14"/>
      <c r="BT68" s="14"/>
      <c r="BU68" s="14"/>
      <c r="BV68" s="14"/>
      <c r="BW68" s="14"/>
      <c r="BX68" s="14"/>
      <c r="BY68" s="14"/>
      <c r="BZ68" s="14"/>
      <c r="CA68" s="14"/>
      <c r="CB68" s="14"/>
      <c r="CC68" s="14"/>
      <c r="CD68" s="14"/>
      <c r="CE68" s="14"/>
      <c r="CF68" s="14"/>
      <c r="CG68" s="14"/>
      <c r="CH68" s="14"/>
      <c r="CI68" s="14"/>
      <c r="CJ68" s="14"/>
      <c r="CK68" s="14"/>
      <c r="CL68" s="14"/>
      <c r="CM68" s="14"/>
      <c r="CN68" s="14"/>
      <c r="CO68" s="14"/>
      <c r="CP68" s="14"/>
      <c r="CQ68" s="14"/>
      <c r="CR68" s="14"/>
      <c r="CS68" s="14"/>
      <c r="CT68" s="14"/>
      <c r="CU68" s="14"/>
      <c r="CV68" s="14"/>
      <c r="CW68" s="14"/>
      <c r="CX68" s="14"/>
      <c r="CY68" s="14"/>
      <c r="CZ68" s="14"/>
      <c r="DA68" s="14"/>
      <c r="DB68" s="14"/>
      <c r="DC68" s="14"/>
      <c r="DD68" s="14"/>
      <c r="DE68" s="14"/>
      <c r="DF68" s="14"/>
      <c r="DG68" s="14"/>
      <c r="DH68" s="14"/>
      <c r="DI68" s="14"/>
      <c r="DJ68" s="14"/>
      <c r="DK68" s="14"/>
      <c r="DL68" s="14"/>
      <c r="DM68" s="14"/>
      <c r="DN68" s="14"/>
      <c r="DO68" s="14"/>
      <c r="DP68" s="14"/>
      <c r="DQ68" s="14"/>
      <c r="DR68" s="14"/>
      <c r="DS68" s="14"/>
      <c r="DT68" s="14"/>
      <c r="DU68" s="14"/>
      <c r="DV68" s="14"/>
      <c r="DW68" s="14"/>
      <c r="DX68" s="14"/>
      <c r="DY68" s="14"/>
      <c r="DZ68" s="14"/>
      <c r="EA68" s="14"/>
      <c r="EB68" s="14"/>
      <c r="EC68" s="14"/>
      <c r="ED68" s="14"/>
      <c r="EE68" s="14"/>
      <c r="EF68" s="14"/>
      <c r="EG68" s="14"/>
      <c r="EH68" s="14"/>
      <c r="EI68" s="14"/>
      <c r="EJ68" s="14"/>
      <c r="EK68" s="14"/>
      <c r="EL68" s="14"/>
      <c r="EM68" s="14"/>
      <c r="EN68" s="14"/>
      <c r="EO68" s="14"/>
      <c r="EP68" s="14"/>
      <c r="EQ68" s="14"/>
      <c r="ER68" s="14"/>
      <c r="ES68" s="14"/>
      <c r="ET68" s="14"/>
      <c r="EU68" s="14"/>
      <c r="EV68" s="14"/>
      <c r="EW68" s="14"/>
      <c r="EX68" s="14"/>
      <c r="EY68" s="14"/>
      <c r="EZ68" s="14"/>
      <c r="FA68" s="14"/>
      <c r="FB68" s="14"/>
      <c r="FC68" s="14"/>
      <c r="FD68" s="14"/>
      <c r="FE68" s="14"/>
      <c r="FF68" s="14"/>
      <c r="FG68" s="14"/>
      <c r="FH68" s="14"/>
      <c r="FI68" s="14"/>
      <c r="FJ68" s="14"/>
      <c r="FK68" s="14"/>
      <c r="FL68" s="14"/>
      <c r="FM68" s="14"/>
      <c r="FN68" s="14"/>
      <c r="FO68" s="14"/>
      <c r="FP68" s="14"/>
      <c r="FQ68" s="14"/>
      <c r="FR68" s="14"/>
      <c r="FS68" s="14"/>
      <c r="FT68" s="14"/>
      <c r="FU68" s="14"/>
      <c r="FV68" s="14"/>
      <c r="FW68" s="14"/>
      <c r="FX68" s="14"/>
      <c r="FY68" s="14"/>
      <c r="FZ68" s="14"/>
      <c r="GA68" s="14"/>
      <c r="GB68" s="14"/>
      <c r="GC68" s="14"/>
      <c r="GD68" s="14"/>
      <c r="GE68" s="14"/>
      <c r="GF68" s="14"/>
      <c r="GG68" s="14"/>
      <c r="GH68" s="14"/>
      <c r="GI68" s="14"/>
      <c r="GJ68" s="14"/>
      <c r="GK68" s="14"/>
      <c r="GL68" s="14"/>
      <c r="GM68" s="14"/>
      <c r="GN68" s="14"/>
      <c r="GO68" s="14"/>
      <c r="GP68" s="14"/>
      <c r="GQ68" s="14"/>
      <c r="GR68" s="14"/>
      <c r="GS68" s="14"/>
      <c r="GT68" s="14"/>
      <c r="GU68" s="14"/>
      <c r="GV68" s="14"/>
      <c r="GW68" s="14"/>
      <c r="GX68" s="14"/>
      <c r="GY68" s="14"/>
      <c r="GZ68" s="14"/>
      <c r="HA68" s="14"/>
      <c r="HB68" s="14"/>
      <c r="HC68" s="14"/>
      <c r="HD68" s="14"/>
      <c r="HE68" s="14"/>
      <c r="HF68" s="14"/>
      <c r="HG68" s="14"/>
      <c r="HH68" s="14"/>
      <c r="HI68" s="14"/>
      <c r="HJ68" s="14"/>
      <c r="HK68" s="14"/>
      <c r="HL68" s="14"/>
      <c r="HM68" s="14"/>
      <c r="HN68" s="14"/>
      <c r="HO68" s="14"/>
      <c r="HP68" s="14"/>
      <c r="HQ68" s="14"/>
      <c r="HR68" s="14"/>
      <c r="HS68" s="14"/>
      <c r="HT68" s="14"/>
    </row>
    <row r="69" spans="1:228" ht="18" customHeight="1" x14ac:dyDescent="0.2">
      <c r="B69" s="316" t="s">
        <v>1711</v>
      </c>
      <c r="C69" s="1878"/>
      <c r="D69" s="1878"/>
      <c r="E69" s="1362" t="s">
        <v>1712</v>
      </c>
      <c r="F69" s="1363"/>
      <c r="G69" s="1363"/>
      <c r="H69" s="1363"/>
      <c r="I69" s="1363"/>
      <c r="J69" s="1363"/>
      <c r="K69" s="1363"/>
      <c r="L69" s="1363"/>
      <c r="M69" s="1363"/>
      <c r="N69" s="1363"/>
      <c r="O69" s="1363"/>
      <c r="P69" s="303">
        <f>IF(T69=1,0.25,0)</f>
        <v>0</v>
      </c>
      <c r="R69" s="18"/>
      <c r="S69" s="706" t="b">
        <v>0</v>
      </c>
      <c r="T69" s="918">
        <f>IF(S69=TRUE,1,0)</f>
        <v>0</v>
      </c>
      <c r="U69" s="18"/>
      <c r="V69" s="18"/>
      <c r="W69" s="18"/>
      <c r="X69" s="1111"/>
      <c r="Y69" s="1111"/>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4"/>
      <c r="BR69" s="14"/>
      <c r="BS69" s="14"/>
      <c r="BT69" s="14"/>
      <c r="BU69" s="14"/>
      <c r="BV69" s="14"/>
      <c r="BW69" s="14"/>
      <c r="BX69" s="14"/>
      <c r="BY69" s="14"/>
      <c r="BZ69" s="14"/>
      <c r="CA69" s="14"/>
      <c r="CB69" s="14"/>
      <c r="CC69" s="14"/>
      <c r="CD69" s="14"/>
      <c r="CE69" s="14"/>
      <c r="CF69" s="14"/>
      <c r="CG69" s="14"/>
      <c r="CH69" s="14"/>
      <c r="CI69" s="14"/>
      <c r="CJ69" s="14"/>
      <c r="CK69" s="14"/>
      <c r="CL69" s="14"/>
      <c r="CM69" s="14"/>
      <c r="CN69" s="14"/>
      <c r="CO69" s="14"/>
      <c r="CP69" s="14"/>
      <c r="CQ69" s="14"/>
      <c r="CR69" s="14"/>
      <c r="CS69" s="14"/>
      <c r="CT69" s="14"/>
      <c r="CU69" s="14"/>
      <c r="CV69" s="14"/>
      <c r="CW69" s="14"/>
      <c r="CX69" s="14"/>
      <c r="CY69" s="14"/>
      <c r="CZ69" s="14"/>
      <c r="DA69" s="14"/>
      <c r="DB69" s="14"/>
      <c r="DC69" s="14"/>
      <c r="DD69" s="14"/>
      <c r="DE69" s="14"/>
      <c r="DF69" s="14"/>
      <c r="DG69" s="14"/>
      <c r="DH69" s="14"/>
      <c r="DI69" s="14"/>
      <c r="DJ69" s="14"/>
      <c r="DK69" s="14"/>
      <c r="DL69" s="14"/>
      <c r="DM69" s="14"/>
      <c r="DN69" s="14"/>
      <c r="DO69" s="14"/>
      <c r="DP69" s="14"/>
      <c r="DQ69" s="14"/>
      <c r="DR69" s="14"/>
      <c r="DS69" s="14"/>
      <c r="DT69" s="14"/>
      <c r="DU69" s="14"/>
      <c r="DV69" s="14"/>
      <c r="DW69" s="14"/>
      <c r="DX69" s="14"/>
      <c r="DY69" s="14"/>
      <c r="DZ69" s="14"/>
      <c r="EA69" s="14"/>
      <c r="EB69" s="14"/>
      <c r="EC69" s="14"/>
      <c r="ED69" s="14"/>
      <c r="EE69" s="14"/>
      <c r="EF69" s="14"/>
      <c r="EG69" s="14"/>
      <c r="EH69" s="14"/>
      <c r="EI69" s="14"/>
      <c r="EJ69" s="14"/>
      <c r="EK69" s="14"/>
      <c r="EL69" s="14"/>
      <c r="EM69" s="14"/>
      <c r="EN69" s="14"/>
      <c r="EO69" s="14"/>
      <c r="EP69" s="14"/>
      <c r="EQ69" s="14"/>
      <c r="ER69" s="14"/>
      <c r="ES69" s="14"/>
      <c r="ET69" s="14"/>
      <c r="EU69" s="14"/>
      <c r="EV69" s="14"/>
      <c r="EW69" s="14"/>
      <c r="EX69" s="14"/>
      <c r="EY69" s="14"/>
      <c r="EZ69" s="14"/>
      <c r="FA69" s="14"/>
      <c r="FB69" s="14"/>
      <c r="FC69" s="14"/>
      <c r="FD69" s="14"/>
      <c r="FE69" s="14"/>
      <c r="FF69" s="14"/>
      <c r="FG69" s="14"/>
      <c r="FH69" s="14"/>
      <c r="FI69" s="14"/>
      <c r="FJ69" s="14"/>
      <c r="FK69" s="14"/>
      <c r="FL69" s="14"/>
      <c r="FM69" s="14"/>
      <c r="FN69" s="14"/>
      <c r="FO69" s="14"/>
      <c r="FP69" s="14"/>
      <c r="FQ69" s="14"/>
      <c r="FR69" s="14"/>
      <c r="FS69" s="14"/>
      <c r="FT69" s="14"/>
      <c r="FU69" s="14"/>
      <c r="FV69" s="14"/>
      <c r="FW69" s="14"/>
      <c r="FX69" s="14"/>
      <c r="FY69" s="14"/>
      <c r="FZ69" s="14"/>
      <c r="GA69" s="14"/>
      <c r="GB69" s="14"/>
      <c r="GC69" s="14"/>
      <c r="GD69" s="14"/>
      <c r="GE69" s="14"/>
      <c r="GF69" s="14"/>
      <c r="GG69" s="14"/>
      <c r="GH69" s="14"/>
      <c r="GI69" s="14"/>
      <c r="GJ69" s="14"/>
      <c r="GK69" s="14"/>
      <c r="GL69" s="14"/>
      <c r="GM69" s="14"/>
      <c r="GN69" s="14"/>
      <c r="GO69" s="14"/>
      <c r="GP69" s="14"/>
      <c r="GQ69" s="14"/>
      <c r="GR69" s="14"/>
      <c r="GS69" s="14"/>
      <c r="GT69" s="14"/>
      <c r="GU69" s="14"/>
      <c r="GV69" s="14"/>
      <c r="GW69" s="14"/>
      <c r="GX69" s="14"/>
      <c r="GY69" s="14"/>
      <c r="GZ69" s="14"/>
      <c r="HA69" s="14"/>
      <c r="HB69" s="14"/>
      <c r="HC69" s="14"/>
      <c r="HD69" s="14"/>
      <c r="HE69" s="14"/>
      <c r="HF69" s="14"/>
      <c r="HG69" s="14"/>
      <c r="HH69" s="14"/>
      <c r="HI69" s="14"/>
      <c r="HJ69" s="14"/>
      <c r="HK69" s="14"/>
      <c r="HL69" s="14"/>
      <c r="HM69" s="14"/>
      <c r="HN69" s="14"/>
      <c r="HO69" s="14"/>
      <c r="HP69" s="14"/>
      <c r="HQ69" s="14"/>
      <c r="HR69" s="14"/>
      <c r="HS69" s="14"/>
      <c r="HT69" s="14"/>
    </row>
    <row r="70" spans="1:228" ht="18" customHeight="1" x14ac:dyDescent="0.2">
      <c r="B70" s="471" t="s">
        <v>626</v>
      </c>
      <c r="C70" s="1925"/>
      <c r="D70" s="1925"/>
      <c r="E70" s="1546" t="s">
        <v>627</v>
      </c>
      <c r="F70" s="1547"/>
      <c r="G70" s="1547"/>
      <c r="H70" s="1547"/>
      <c r="I70" s="1547"/>
      <c r="J70" s="1547"/>
      <c r="K70" s="1547"/>
      <c r="L70" s="1547"/>
      <c r="M70" s="1547"/>
      <c r="N70" s="1547"/>
      <c r="O70" s="1547"/>
      <c r="P70" s="338">
        <f>IF(T70=1,0.25,0)</f>
        <v>0</v>
      </c>
      <c r="R70" s="18"/>
      <c r="S70" s="706" t="b">
        <v>0</v>
      </c>
      <c r="T70" s="918">
        <f>IF(S70=TRUE,1,0)</f>
        <v>0</v>
      </c>
      <c r="U70" s="18"/>
      <c r="V70" s="18"/>
      <c r="W70" s="18"/>
      <c r="X70" s="1111"/>
      <c r="Y70" s="1111"/>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4"/>
      <c r="BR70" s="14"/>
      <c r="BS70" s="14"/>
      <c r="BT70" s="14"/>
      <c r="BU70" s="14"/>
      <c r="BV70" s="14"/>
      <c r="BW70" s="14"/>
      <c r="BX70" s="14"/>
      <c r="BY70" s="14"/>
      <c r="BZ70" s="14"/>
      <c r="CA70" s="14"/>
      <c r="CB70" s="14"/>
      <c r="CC70" s="14"/>
      <c r="CD70" s="14"/>
      <c r="CE70" s="14"/>
      <c r="CF70" s="14"/>
      <c r="CG70" s="14"/>
      <c r="CH70" s="14"/>
      <c r="CI70" s="14"/>
      <c r="CJ70" s="14"/>
      <c r="CK70" s="14"/>
      <c r="CL70" s="14"/>
      <c r="CM70" s="14"/>
      <c r="CN70" s="14"/>
      <c r="CO70" s="14"/>
      <c r="CP70" s="14"/>
      <c r="CQ70" s="14"/>
      <c r="CR70" s="14"/>
      <c r="CS70" s="14"/>
      <c r="CT70" s="14"/>
      <c r="CU70" s="14"/>
      <c r="CV70" s="14"/>
      <c r="CW70" s="14"/>
      <c r="CX70" s="14"/>
      <c r="CY70" s="14"/>
      <c r="CZ70" s="14"/>
      <c r="DA70" s="14"/>
      <c r="DB70" s="14"/>
      <c r="DC70" s="14"/>
      <c r="DD70" s="14"/>
      <c r="DE70" s="14"/>
      <c r="DF70" s="14"/>
      <c r="DG70" s="14"/>
      <c r="DH70" s="14"/>
      <c r="DI70" s="14"/>
      <c r="DJ70" s="14"/>
      <c r="DK70" s="14"/>
      <c r="DL70" s="14"/>
      <c r="DM70" s="14"/>
      <c r="DN70" s="14"/>
      <c r="DO70" s="14"/>
      <c r="DP70" s="14"/>
      <c r="DQ70" s="14"/>
      <c r="DR70" s="14"/>
      <c r="DS70" s="14"/>
      <c r="DT70" s="14"/>
      <c r="DU70" s="14"/>
      <c r="DV70" s="14"/>
      <c r="DW70" s="14"/>
      <c r="DX70" s="14"/>
      <c r="DY70" s="14"/>
      <c r="DZ70" s="14"/>
      <c r="EA70" s="14"/>
      <c r="EB70" s="14"/>
      <c r="EC70" s="14"/>
      <c r="ED70" s="14"/>
      <c r="EE70" s="14"/>
      <c r="EF70" s="14"/>
      <c r="EG70" s="14"/>
      <c r="EH70" s="14"/>
      <c r="EI70" s="14"/>
      <c r="EJ70" s="14"/>
      <c r="EK70" s="14"/>
      <c r="EL70" s="14"/>
      <c r="EM70" s="14"/>
      <c r="EN70" s="14"/>
      <c r="EO70" s="14"/>
      <c r="EP70" s="14"/>
      <c r="EQ70" s="14"/>
      <c r="ER70" s="14"/>
      <c r="ES70" s="14"/>
      <c r="ET70" s="14"/>
      <c r="EU70" s="14"/>
      <c r="EV70" s="14"/>
      <c r="EW70" s="14"/>
      <c r="EX70" s="14"/>
      <c r="EY70" s="14"/>
      <c r="EZ70" s="14"/>
      <c r="FA70" s="14"/>
      <c r="FB70" s="14"/>
      <c r="FC70" s="14"/>
      <c r="FD70" s="14"/>
      <c r="FE70" s="14"/>
      <c r="FF70" s="14"/>
      <c r="FG70" s="14"/>
      <c r="FH70" s="14"/>
      <c r="FI70" s="14"/>
      <c r="FJ70" s="14"/>
      <c r="FK70" s="14"/>
      <c r="FL70" s="14"/>
      <c r="FM70" s="14"/>
      <c r="FN70" s="14"/>
      <c r="FO70" s="14"/>
      <c r="FP70" s="14"/>
      <c r="FQ70" s="14"/>
      <c r="FR70" s="14"/>
      <c r="FS70" s="14"/>
      <c r="FT70" s="14"/>
      <c r="FU70" s="14"/>
      <c r="FV70" s="14"/>
      <c r="FW70" s="14"/>
      <c r="FX70" s="14"/>
      <c r="FY70" s="14"/>
      <c r="FZ70" s="14"/>
      <c r="GA70" s="14"/>
      <c r="GB70" s="14"/>
      <c r="GC70" s="14"/>
      <c r="GD70" s="14"/>
      <c r="GE70" s="14"/>
      <c r="GF70" s="14"/>
      <c r="GG70" s="14"/>
      <c r="GH70" s="14"/>
      <c r="GI70" s="14"/>
      <c r="GJ70" s="14"/>
      <c r="GK70" s="14"/>
      <c r="GL70" s="14"/>
      <c r="GM70" s="14"/>
      <c r="GN70" s="14"/>
      <c r="GO70" s="14"/>
      <c r="GP70" s="14"/>
      <c r="GQ70" s="14"/>
      <c r="GR70" s="14"/>
      <c r="GS70" s="14"/>
      <c r="GT70" s="14"/>
      <c r="GU70" s="14"/>
      <c r="GV70" s="14"/>
      <c r="GW70" s="14"/>
      <c r="GX70" s="14"/>
      <c r="GY70" s="14"/>
      <c r="GZ70" s="14"/>
      <c r="HA70" s="14"/>
      <c r="HB70" s="14"/>
      <c r="HC70" s="14"/>
      <c r="HD70" s="14"/>
      <c r="HE70" s="14"/>
      <c r="HF70" s="14"/>
      <c r="HG70" s="14"/>
      <c r="HH70" s="14"/>
      <c r="HI70" s="14"/>
      <c r="HJ70" s="14"/>
      <c r="HK70" s="14"/>
      <c r="HL70" s="14"/>
      <c r="HM70" s="14"/>
      <c r="HN70" s="14"/>
      <c r="HO70" s="14"/>
      <c r="HP70" s="14"/>
      <c r="HQ70" s="14"/>
      <c r="HR70" s="14"/>
      <c r="HS70" s="14"/>
      <c r="HT70" s="14"/>
    </row>
    <row r="71" spans="1:228" ht="15" customHeight="1" x14ac:dyDescent="0.2">
      <c r="B71" s="1877"/>
      <c r="C71" s="1877"/>
      <c r="D71" s="1877"/>
      <c r="E71" s="1877"/>
      <c r="F71" s="1877"/>
      <c r="G71" s="1877"/>
      <c r="H71" s="1877"/>
      <c r="I71" s="1877"/>
      <c r="J71" s="1877"/>
      <c r="K71" s="1877"/>
      <c r="L71" s="1877"/>
      <c r="M71" s="1877"/>
      <c r="N71" s="1877"/>
      <c r="O71" s="1877"/>
      <c r="R71" s="18"/>
      <c r="S71" s="18"/>
      <c r="T71" s="18"/>
      <c r="U71" s="18"/>
      <c r="V71" s="18"/>
      <c r="W71" s="63"/>
      <c r="X71" s="1111"/>
      <c r="Y71" s="1111"/>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4"/>
      <c r="BR71" s="14"/>
      <c r="BS71" s="14"/>
      <c r="BT71" s="14"/>
      <c r="BU71" s="14"/>
      <c r="BV71" s="14"/>
      <c r="BW71" s="14"/>
      <c r="BX71" s="14"/>
      <c r="BY71" s="14"/>
      <c r="BZ71" s="14"/>
      <c r="CA71" s="14"/>
      <c r="CB71" s="14"/>
      <c r="CC71" s="14"/>
      <c r="CD71" s="14"/>
      <c r="CE71" s="14"/>
      <c r="CF71" s="14"/>
      <c r="CG71" s="14"/>
      <c r="CH71" s="14"/>
      <c r="CI71" s="14"/>
      <c r="CJ71" s="14"/>
      <c r="CK71" s="14"/>
      <c r="CL71" s="14"/>
      <c r="CM71" s="14"/>
      <c r="CN71" s="14"/>
      <c r="CO71" s="14"/>
      <c r="CP71" s="14"/>
      <c r="CQ71" s="14"/>
      <c r="CR71" s="14"/>
      <c r="CS71" s="14"/>
      <c r="CT71" s="14"/>
      <c r="CU71" s="14"/>
      <c r="CV71" s="14"/>
      <c r="CW71" s="14"/>
      <c r="CX71" s="14"/>
      <c r="CY71" s="14"/>
      <c r="CZ71" s="14"/>
      <c r="DA71" s="14"/>
      <c r="DB71" s="14"/>
      <c r="DC71" s="14"/>
      <c r="DD71" s="14"/>
      <c r="DE71" s="14"/>
      <c r="DF71" s="14"/>
      <c r="DG71" s="14"/>
      <c r="DH71" s="14"/>
      <c r="DI71" s="14"/>
      <c r="DJ71" s="14"/>
      <c r="DK71" s="14"/>
      <c r="DL71" s="14"/>
      <c r="DM71" s="14"/>
      <c r="DN71" s="14"/>
      <c r="DO71" s="14"/>
      <c r="DP71" s="14"/>
      <c r="DQ71" s="14"/>
      <c r="DR71" s="14"/>
      <c r="DS71" s="14"/>
      <c r="DT71" s="14"/>
      <c r="DU71" s="14"/>
      <c r="DV71" s="14"/>
      <c r="DW71" s="14"/>
      <c r="DX71" s="14"/>
      <c r="DY71" s="14"/>
      <c r="DZ71" s="14"/>
      <c r="EA71" s="14"/>
      <c r="EB71" s="14"/>
      <c r="EC71" s="14"/>
      <c r="ED71" s="14"/>
      <c r="EE71" s="14"/>
      <c r="EF71" s="14"/>
      <c r="EG71" s="14"/>
      <c r="EH71" s="14"/>
      <c r="EI71" s="14"/>
      <c r="EJ71" s="14"/>
      <c r="EK71" s="14"/>
      <c r="EL71" s="14"/>
      <c r="EM71" s="14"/>
      <c r="EN71" s="14"/>
      <c r="EO71" s="14"/>
      <c r="EP71" s="14"/>
      <c r="EQ71" s="14"/>
      <c r="ER71" s="14"/>
      <c r="ES71" s="14"/>
      <c r="ET71" s="14"/>
      <c r="EU71" s="14"/>
      <c r="EV71" s="14"/>
      <c r="EW71" s="14"/>
      <c r="EX71" s="14"/>
      <c r="EY71" s="14"/>
      <c r="EZ71" s="14"/>
      <c r="FA71" s="14"/>
      <c r="FB71" s="14"/>
      <c r="FC71" s="14"/>
      <c r="FD71" s="14"/>
      <c r="FE71" s="14"/>
      <c r="FF71" s="14"/>
      <c r="FG71" s="14"/>
      <c r="FH71" s="14"/>
      <c r="FI71" s="14"/>
      <c r="FJ71" s="14"/>
      <c r="FK71" s="14"/>
      <c r="FL71" s="14"/>
      <c r="FM71" s="14"/>
      <c r="FN71" s="14"/>
      <c r="FO71" s="14"/>
      <c r="FP71" s="14"/>
      <c r="FQ71" s="14"/>
      <c r="FR71" s="14"/>
      <c r="FS71" s="14"/>
      <c r="FT71" s="14"/>
      <c r="FU71" s="14"/>
      <c r="FV71" s="14"/>
      <c r="FW71" s="14"/>
      <c r="FX71" s="14"/>
      <c r="FY71" s="14"/>
      <c r="FZ71" s="14"/>
      <c r="GA71" s="14"/>
      <c r="GB71" s="14"/>
      <c r="GC71" s="14"/>
      <c r="GD71" s="14"/>
      <c r="GE71" s="14"/>
      <c r="GF71" s="14"/>
      <c r="GG71" s="14"/>
      <c r="GH71" s="14"/>
      <c r="GI71" s="14"/>
      <c r="GJ71" s="14"/>
      <c r="GK71" s="14"/>
      <c r="GL71" s="14"/>
      <c r="GM71" s="14"/>
      <c r="GN71" s="14"/>
      <c r="GO71" s="14"/>
      <c r="GP71" s="14"/>
      <c r="GQ71" s="14"/>
      <c r="GR71" s="14"/>
      <c r="GS71" s="14"/>
      <c r="GT71" s="14"/>
      <c r="GU71" s="14"/>
      <c r="GV71" s="14"/>
      <c r="GW71" s="14"/>
      <c r="GX71" s="14"/>
      <c r="GY71" s="14"/>
      <c r="GZ71" s="14"/>
      <c r="HA71" s="14"/>
      <c r="HB71" s="14"/>
      <c r="HC71" s="14"/>
      <c r="HD71" s="14"/>
      <c r="HE71" s="14"/>
      <c r="HF71" s="14"/>
      <c r="HG71" s="14"/>
      <c r="HH71" s="14"/>
      <c r="HI71" s="14"/>
      <c r="HJ71" s="14"/>
      <c r="HK71" s="14"/>
      <c r="HL71" s="14"/>
      <c r="HM71" s="14"/>
      <c r="HN71" s="14"/>
      <c r="HO71" s="14"/>
      <c r="HP71" s="14"/>
      <c r="HQ71" s="14"/>
      <c r="HR71" s="14"/>
      <c r="HS71" s="14"/>
      <c r="HT71" s="14"/>
    </row>
    <row r="72" spans="1:228" ht="27" customHeight="1" x14ac:dyDescent="0.2">
      <c r="B72" s="1632" t="s">
        <v>445</v>
      </c>
      <c r="C72" s="1633"/>
      <c r="D72" s="1633"/>
      <c r="E72" s="1633"/>
      <c r="F72" s="1633"/>
      <c r="G72" s="1626" t="s">
        <v>1525</v>
      </c>
      <c r="H72" s="1627"/>
      <c r="I72" s="1627"/>
      <c r="J72" s="1627"/>
      <c r="K72" s="1628"/>
      <c r="L72" s="2068"/>
      <c r="M72" s="2069"/>
      <c r="N72" s="2069"/>
      <c r="O72" s="2070"/>
      <c r="P72" s="1481">
        <f>IF(J81&gt;0,J81,V79)</f>
        <v>0</v>
      </c>
      <c r="R72" s="18"/>
      <c r="S72" s="918" t="s">
        <v>1865</v>
      </c>
      <c r="T72" s="918" t="s">
        <v>1305</v>
      </c>
      <c r="U72" s="918" t="s">
        <v>1306</v>
      </c>
      <c r="V72" s="918" t="s">
        <v>1307</v>
      </c>
      <c r="W72" s="63"/>
      <c r="X72" s="1111"/>
      <c r="Y72" s="1111"/>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4"/>
      <c r="BR72" s="14"/>
      <c r="BS72" s="14"/>
      <c r="BT72" s="14"/>
      <c r="BU72" s="14"/>
      <c r="BV72" s="14"/>
      <c r="BW72" s="14"/>
      <c r="BX72" s="14"/>
      <c r="BY72" s="14"/>
      <c r="BZ72" s="14"/>
      <c r="CA72" s="14"/>
      <c r="CB72" s="14"/>
      <c r="CC72" s="14"/>
      <c r="CD72" s="14"/>
      <c r="CE72" s="14"/>
      <c r="CF72" s="14"/>
      <c r="CG72" s="14"/>
      <c r="CH72" s="14"/>
      <c r="CI72" s="14"/>
      <c r="CJ72" s="14"/>
      <c r="CK72" s="14"/>
      <c r="CL72" s="14"/>
      <c r="CM72" s="14"/>
      <c r="CN72" s="14"/>
      <c r="CO72" s="14"/>
      <c r="CP72" s="14"/>
      <c r="CQ72" s="14"/>
      <c r="CR72" s="14"/>
      <c r="CS72" s="14"/>
      <c r="CT72" s="14"/>
      <c r="CU72" s="14"/>
      <c r="CV72" s="14"/>
      <c r="CW72" s="14"/>
      <c r="CX72" s="14"/>
      <c r="CY72" s="14"/>
      <c r="CZ72" s="14"/>
      <c r="DA72" s="14"/>
      <c r="DB72" s="14"/>
      <c r="DC72" s="14"/>
      <c r="DD72" s="14"/>
      <c r="DE72" s="14"/>
      <c r="DF72" s="14"/>
      <c r="DG72" s="14"/>
      <c r="DH72" s="14"/>
      <c r="DI72" s="14"/>
      <c r="DJ72" s="14"/>
      <c r="DK72" s="14"/>
      <c r="DL72" s="14"/>
      <c r="DM72" s="14"/>
      <c r="DN72" s="14"/>
      <c r="DO72" s="14"/>
      <c r="DP72" s="14"/>
      <c r="DQ72" s="14"/>
      <c r="DR72" s="14"/>
      <c r="DS72" s="14"/>
      <c r="DT72" s="14"/>
      <c r="DU72" s="14"/>
      <c r="DV72" s="14"/>
      <c r="DW72" s="14"/>
      <c r="DX72" s="14"/>
      <c r="DY72" s="14"/>
      <c r="DZ72" s="14"/>
      <c r="EA72" s="14"/>
      <c r="EB72" s="14"/>
      <c r="EC72" s="14"/>
      <c r="ED72" s="14"/>
      <c r="EE72" s="14"/>
      <c r="EF72" s="14"/>
      <c r="EG72" s="14"/>
      <c r="EH72" s="14"/>
      <c r="EI72" s="14"/>
      <c r="EJ72" s="14"/>
      <c r="EK72" s="14"/>
      <c r="EL72" s="14"/>
      <c r="EM72" s="14"/>
      <c r="EN72" s="14"/>
      <c r="EO72" s="14"/>
      <c r="EP72" s="14"/>
      <c r="EQ72" s="14"/>
      <c r="ER72" s="14"/>
      <c r="ES72" s="14"/>
      <c r="ET72" s="14"/>
      <c r="EU72" s="14"/>
      <c r="EV72" s="14"/>
      <c r="EW72" s="14"/>
      <c r="EX72" s="14"/>
      <c r="EY72" s="14"/>
      <c r="EZ72" s="14"/>
      <c r="FA72" s="14"/>
      <c r="FB72" s="14"/>
      <c r="FC72" s="14"/>
      <c r="FD72" s="14"/>
      <c r="FE72" s="14"/>
      <c r="FF72" s="14"/>
      <c r="FG72" s="14"/>
      <c r="FH72" s="14"/>
      <c r="FI72" s="14"/>
      <c r="FJ72" s="14"/>
      <c r="FK72" s="14"/>
      <c r="FL72" s="14"/>
      <c r="FM72" s="14"/>
      <c r="FN72" s="14"/>
      <c r="FO72" s="14"/>
      <c r="FP72" s="14"/>
      <c r="FQ72" s="14"/>
      <c r="FR72" s="14"/>
      <c r="FS72" s="14"/>
      <c r="FT72" s="14"/>
      <c r="FU72" s="14"/>
      <c r="FV72" s="14"/>
      <c r="FW72" s="14"/>
      <c r="FX72" s="14"/>
      <c r="FY72" s="14"/>
      <c r="FZ72" s="14"/>
      <c r="GA72" s="14"/>
      <c r="GB72" s="14"/>
      <c r="GC72" s="14"/>
      <c r="GD72" s="14"/>
      <c r="GE72" s="14"/>
      <c r="GF72" s="14"/>
      <c r="GG72" s="14"/>
      <c r="GH72" s="14"/>
      <c r="GI72" s="14"/>
      <c r="GJ72" s="14"/>
      <c r="GK72" s="14"/>
      <c r="GL72" s="14"/>
      <c r="GM72" s="14"/>
      <c r="GN72" s="14"/>
      <c r="GO72" s="14"/>
      <c r="GP72" s="14"/>
      <c r="GQ72" s="14"/>
      <c r="GR72" s="14"/>
      <c r="GS72" s="14"/>
      <c r="GT72" s="14"/>
      <c r="GU72" s="14"/>
      <c r="GV72" s="14"/>
      <c r="GW72" s="14"/>
      <c r="GX72" s="14"/>
      <c r="GY72" s="14"/>
      <c r="GZ72" s="14"/>
      <c r="HA72" s="14"/>
      <c r="HB72" s="14"/>
      <c r="HC72" s="14"/>
      <c r="HD72" s="14"/>
      <c r="HE72" s="14"/>
      <c r="HF72" s="14"/>
      <c r="HG72" s="14"/>
      <c r="HH72" s="14"/>
      <c r="HI72" s="14"/>
      <c r="HJ72" s="14"/>
      <c r="HK72" s="14"/>
      <c r="HL72" s="14"/>
      <c r="HM72" s="14"/>
      <c r="HN72" s="14"/>
      <c r="HO72" s="14"/>
      <c r="HP72" s="14"/>
      <c r="HQ72" s="14"/>
      <c r="HR72" s="14"/>
      <c r="HS72" s="14"/>
      <c r="HT72" s="14"/>
    </row>
    <row r="73" spans="1:228" ht="18" customHeight="1" x14ac:dyDescent="0.2">
      <c r="B73" s="1394" t="s">
        <v>628</v>
      </c>
      <c r="C73" s="1394"/>
      <c r="D73" s="1394"/>
      <c r="E73" s="1623">
        <f>P46</f>
        <v>0</v>
      </c>
      <c r="F73" s="1624"/>
      <c r="G73" s="1702" t="s">
        <v>1942</v>
      </c>
      <c r="H73" s="1627"/>
      <c r="I73" s="1628"/>
      <c r="J73" s="1534"/>
      <c r="K73" s="1534"/>
      <c r="L73" s="1616"/>
      <c r="M73" s="1617"/>
      <c r="N73" s="1617"/>
      <c r="O73" s="1618"/>
      <c r="P73" s="1631"/>
      <c r="R73" s="18"/>
      <c r="S73" s="921">
        <f>E73</f>
        <v>0</v>
      </c>
      <c r="T73" s="920">
        <f>LARGE($S$73:$S$80,1)</f>
        <v>0</v>
      </c>
      <c r="U73" s="684">
        <f>T73+T74*(1-T73)</f>
        <v>0</v>
      </c>
      <c r="V73" s="921">
        <f t="shared" ref="V73:V79" si="2">ROUND(U73,2)</f>
        <v>0</v>
      </c>
      <c r="W73" s="63"/>
      <c r="X73" s="1111"/>
      <c r="Y73" s="1111"/>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row>
    <row r="74" spans="1:228" ht="18" customHeight="1" x14ac:dyDescent="0.2">
      <c r="B74" s="1410" t="s">
        <v>1959</v>
      </c>
      <c r="C74" s="1410"/>
      <c r="D74" s="1410"/>
      <c r="E74" s="1373">
        <f>IF(P427&gt;0,0,P59)</f>
        <v>0</v>
      </c>
      <c r="F74" s="1346"/>
      <c r="G74" s="1833" t="s">
        <v>2260</v>
      </c>
      <c r="H74" s="1834"/>
      <c r="I74" s="1835"/>
      <c r="J74" s="1534"/>
      <c r="K74" s="1534"/>
      <c r="L74" s="1619"/>
      <c r="M74" s="1620"/>
      <c r="N74" s="1620"/>
      <c r="O74" s="1621"/>
      <c r="P74" s="1631"/>
      <c r="R74" s="18"/>
      <c r="S74" s="920">
        <f>IF(J74&gt;0,J74,E74)</f>
        <v>0</v>
      </c>
      <c r="T74" s="920">
        <f>LARGE($S$73:$S$80,2)</f>
        <v>0</v>
      </c>
      <c r="U74" s="684">
        <f t="shared" ref="U74:U79" si="3">V73+T75*(1-V73)</f>
        <v>0</v>
      </c>
      <c r="V74" s="921">
        <f t="shared" si="2"/>
        <v>0</v>
      </c>
      <c r="W74" s="63"/>
      <c r="X74" s="1111"/>
      <c r="Y74" s="1111"/>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row>
    <row r="75" spans="1:228" ht="18" customHeight="1" x14ac:dyDescent="0.2">
      <c r="B75" s="1410" t="s">
        <v>2017</v>
      </c>
      <c r="C75" s="1410"/>
      <c r="D75" s="1410"/>
      <c r="E75" s="1373">
        <f>P62</f>
        <v>0</v>
      </c>
      <c r="F75" s="1346"/>
      <c r="G75" s="1658"/>
      <c r="H75" s="1658"/>
      <c r="I75" s="1658"/>
      <c r="J75" s="1847">
        <f>IF(AND(W75&lt;0.01,W75&gt;0),0.01,ROUND(W75,2))</f>
        <v>0</v>
      </c>
      <c r="K75" s="1847"/>
      <c r="L75" s="1030"/>
      <c r="M75" s="1031"/>
      <c r="N75" s="1031"/>
      <c r="O75" s="1032"/>
      <c r="P75" s="1631"/>
      <c r="R75" s="18"/>
      <c r="S75" s="920">
        <f>IF(J75&gt;0,J75,E75)</f>
        <v>0</v>
      </c>
      <c r="T75" s="920">
        <f>LARGE($S$73:$S$80,3)</f>
        <v>0</v>
      </c>
      <c r="U75" s="684">
        <f t="shared" si="3"/>
        <v>0</v>
      </c>
      <c r="V75" s="921">
        <f t="shared" si="2"/>
        <v>0</v>
      </c>
      <c r="W75" s="917">
        <f>G75*E75</f>
        <v>0</v>
      </c>
      <c r="X75" s="1111"/>
      <c r="Y75" s="1111"/>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row>
    <row r="76" spans="1:228" ht="18" customHeight="1" x14ac:dyDescent="0.2">
      <c r="B76" s="1362" t="s">
        <v>1227</v>
      </c>
      <c r="C76" s="1363"/>
      <c r="D76" s="1364"/>
      <c r="E76" s="1373">
        <f>P63</f>
        <v>0</v>
      </c>
      <c r="F76" s="1346"/>
      <c r="G76" s="1658"/>
      <c r="H76" s="1658"/>
      <c r="I76" s="1658"/>
      <c r="J76" s="1847">
        <f>IF(AND(W76&lt;0.01,W76&gt;0),0.01,ROUND(W76,2))</f>
        <v>0</v>
      </c>
      <c r="K76" s="1847"/>
      <c r="L76" s="1030"/>
      <c r="M76" s="1031"/>
      <c r="N76" s="1031"/>
      <c r="O76" s="1032"/>
      <c r="P76" s="1631"/>
      <c r="R76" s="18"/>
      <c r="S76" s="920">
        <f>IF(J76&gt;0,J76,E76)</f>
        <v>0</v>
      </c>
      <c r="T76" s="920">
        <f>LARGE($S$73:$S$80,4)</f>
        <v>0</v>
      </c>
      <c r="U76" s="684">
        <f t="shared" si="3"/>
        <v>0</v>
      </c>
      <c r="V76" s="921">
        <f t="shared" si="2"/>
        <v>0</v>
      </c>
      <c r="W76" s="1105">
        <f t="shared" ref="W76:W77" si="4">G76*E76</f>
        <v>0</v>
      </c>
      <c r="X76" s="1111"/>
      <c r="Y76" s="1111"/>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row>
    <row r="77" spans="1:228" ht="18" customHeight="1" x14ac:dyDescent="0.2">
      <c r="B77" s="1362" t="s">
        <v>1447</v>
      </c>
      <c r="C77" s="1363"/>
      <c r="D77" s="1364"/>
      <c r="E77" s="1342">
        <f>P66</f>
        <v>0</v>
      </c>
      <c r="F77" s="1344"/>
      <c r="G77" s="1658"/>
      <c r="H77" s="1658"/>
      <c r="I77" s="1658"/>
      <c r="J77" s="1847">
        <f>IF(AND(W77&lt;0.01,W77&gt;0),0.01,ROUND(W77,2))</f>
        <v>0</v>
      </c>
      <c r="K77" s="1847"/>
      <c r="L77" s="1588" t="str">
        <f>IF(AND(P59&gt;0,$P$427&gt;0),"The worker has motor loss impairment. No additional impairment value is allowed for reduced range of motion in the same extremity.","")</f>
        <v/>
      </c>
      <c r="M77" s="1589"/>
      <c r="N77" s="1589"/>
      <c r="O77" s="1590"/>
      <c r="P77" s="1631"/>
      <c r="R77" s="18"/>
      <c r="S77" s="920">
        <f>IF(J77&gt;0,J77,E77)</f>
        <v>0</v>
      </c>
      <c r="T77" s="920">
        <f>LARGE($S$73:$S$80,5)</f>
        <v>0</v>
      </c>
      <c r="U77" s="684">
        <f t="shared" si="3"/>
        <v>0</v>
      </c>
      <c r="V77" s="921">
        <f t="shared" si="2"/>
        <v>0</v>
      </c>
      <c r="W77" s="1105">
        <f t="shared" si="4"/>
        <v>0</v>
      </c>
      <c r="X77" s="1111"/>
      <c r="Y77" s="1111"/>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row>
    <row r="78" spans="1:228" ht="18" customHeight="1" x14ac:dyDescent="0.2">
      <c r="B78" s="1410" t="s">
        <v>1713</v>
      </c>
      <c r="C78" s="1410"/>
      <c r="D78" s="1410"/>
      <c r="E78" s="1373">
        <f>P68</f>
        <v>0</v>
      </c>
      <c r="F78" s="1346"/>
      <c r="G78" s="1702" t="s">
        <v>1942</v>
      </c>
      <c r="H78" s="1627"/>
      <c r="I78" s="1628"/>
      <c r="J78" s="1534"/>
      <c r="K78" s="1534"/>
      <c r="L78" s="1588"/>
      <c r="M78" s="1589"/>
      <c r="N78" s="1589"/>
      <c r="O78" s="1590"/>
      <c r="P78" s="1631"/>
      <c r="R78" s="18"/>
      <c r="S78" s="921">
        <f>E78</f>
        <v>0</v>
      </c>
      <c r="T78" s="920">
        <f>LARGE($S$73:$S$80,6)</f>
        <v>0</v>
      </c>
      <c r="U78" s="684">
        <f t="shared" si="3"/>
        <v>0</v>
      </c>
      <c r="V78" s="921">
        <f t="shared" si="2"/>
        <v>0</v>
      </c>
      <c r="W78" s="18"/>
      <c r="X78" s="1111"/>
      <c r="Y78" s="1111"/>
      <c r="Z78" s="63"/>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row>
    <row r="79" spans="1:228" ht="18" customHeight="1" x14ac:dyDescent="0.2">
      <c r="B79" s="1362" t="s">
        <v>1714</v>
      </c>
      <c r="C79" s="1363"/>
      <c r="D79" s="1364"/>
      <c r="E79" s="1342">
        <f>P69</f>
        <v>0</v>
      </c>
      <c r="F79" s="1344"/>
      <c r="G79" s="1702" t="s">
        <v>1942</v>
      </c>
      <c r="H79" s="1627"/>
      <c r="I79" s="1628"/>
      <c r="J79" s="1534"/>
      <c r="K79" s="1534"/>
      <c r="L79" s="1588"/>
      <c r="M79" s="1589"/>
      <c r="N79" s="1589"/>
      <c r="O79" s="1590"/>
      <c r="P79" s="1631"/>
      <c r="R79" s="18"/>
      <c r="S79" s="921">
        <f>E79</f>
        <v>0</v>
      </c>
      <c r="T79" s="920">
        <f>LARGE($S$73:$S$80,7)</f>
        <v>0</v>
      </c>
      <c r="U79" s="684">
        <f t="shared" si="3"/>
        <v>0</v>
      </c>
      <c r="V79" s="921">
        <f t="shared" si="2"/>
        <v>0</v>
      </c>
      <c r="W79" s="18"/>
      <c r="X79" s="1111"/>
      <c r="Y79" s="1111"/>
      <c r="Z79" s="1"/>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row>
    <row r="80" spans="1:228" ht="18" customHeight="1" x14ac:dyDescent="0.2">
      <c r="B80" s="1462" t="s">
        <v>1128</v>
      </c>
      <c r="C80" s="1463"/>
      <c r="D80" s="1464"/>
      <c r="E80" s="1728">
        <f>P70</f>
        <v>0</v>
      </c>
      <c r="F80" s="1846"/>
      <c r="G80" s="1941" t="s">
        <v>1942</v>
      </c>
      <c r="H80" s="1902"/>
      <c r="I80" s="1942"/>
      <c r="J80" s="1645"/>
      <c r="K80" s="1645"/>
      <c r="L80" s="1588"/>
      <c r="M80" s="1589"/>
      <c r="N80" s="1589"/>
      <c r="O80" s="1590"/>
      <c r="P80" s="1631"/>
      <c r="R80" s="18"/>
      <c r="S80" s="921">
        <f>E80</f>
        <v>0</v>
      </c>
      <c r="T80" s="920">
        <f>LARGE($S$73:$S$80,8)</f>
        <v>0</v>
      </c>
      <c r="U80" s="114"/>
      <c r="V80" s="157"/>
      <c r="W80" s="63"/>
      <c r="X80" s="1111"/>
      <c r="Y80" s="1111"/>
      <c r="Z80" s="63"/>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row>
    <row r="81" spans="2:228" ht="18" customHeight="1" x14ac:dyDescent="0.2">
      <c r="B81" s="1570" t="s">
        <v>1715</v>
      </c>
      <c r="C81" s="1570"/>
      <c r="D81" s="1570"/>
      <c r="E81" s="1570"/>
      <c r="F81" s="1570"/>
      <c r="G81" s="1570"/>
      <c r="H81" s="1570"/>
      <c r="I81" s="1570"/>
      <c r="J81" s="1570"/>
      <c r="K81" s="1570"/>
      <c r="L81" s="1570"/>
      <c r="M81" s="1570"/>
      <c r="N81" s="1570"/>
      <c r="O81" s="1570"/>
      <c r="P81" s="1623"/>
      <c r="R81" s="18"/>
      <c r="S81" s="19"/>
      <c r="T81" s="114"/>
      <c r="U81" s="157"/>
      <c r="V81" s="18"/>
      <c r="W81" s="1111"/>
      <c r="X81" s="1111"/>
      <c r="Y81" s="1111"/>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row>
    <row r="82" spans="2:228" ht="15" customHeight="1" x14ac:dyDescent="0.25">
      <c r="B82" s="1903"/>
      <c r="C82" s="1903"/>
      <c r="D82" s="1903"/>
      <c r="E82" s="1903"/>
      <c r="F82" s="1903"/>
      <c r="G82" s="1903"/>
      <c r="H82" s="1903"/>
      <c r="I82" s="1903"/>
      <c r="J82" s="1903"/>
      <c r="K82" s="1903"/>
      <c r="L82" s="1903"/>
      <c r="M82" s="1903"/>
      <c r="N82" s="1903"/>
      <c r="O82" s="1903"/>
      <c r="P82" s="1903"/>
      <c r="R82" s="18"/>
      <c r="S82" s="19"/>
      <c r="T82" s="114"/>
      <c r="U82" s="157"/>
      <c r="V82" s="1111"/>
      <c r="W82" s="1111"/>
      <c r="X82" s="63"/>
      <c r="Y82" s="63"/>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row>
    <row r="83" spans="2:228" x14ac:dyDescent="0.2">
      <c r="B83" s="1772"/>
      <c r="C83" s="1772"/>
      <c r="D83" s="1772"/>
      <c r="E83" s="1772"/>
      <c r="F83" s="1772"/>
      <c r="G83" s="1772"/>
      <c r="H83" s="1772"/>
      <c r="I83" s="1772"/>
      <c r="J83" s="1772"/>
      <c r="K83" s="1772"/>
      <c r="L83" s="1772"/>
      <c r="M83" s="1772"/>
      <c r="N83" s="1772"/>
      <c r="O83" s="1772"/>
      <c r="P83" s="1772"/>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row>
    <row r="84" spans="2:228" ht="18" customHeight="1" x14ac:dyDescent="0.2">
      <c r="B84" s="1860" t="s">
        <v>1716</v>
      </c>
      <c r="C84" s="1959"/>
      <c r="D84" s="1959"/>
      <c r="E84" s="1959"/>
      <c r="F84" s="1959"/>
      <c r="G84" s="1959"/>
      <c r="H84" s="1959"/>
      <c r="I84" s="1959"/>
      <c r="J84" s="1959"/>
      <c r="K84" s="1959"/>
      <c r="L84" s="1959"/>
      <c r="M84" s="1959"/>
      <c r="N84" s="1959"/>
      <c r="O84" s="1959"/>
      <c r="P84" s="1959"/>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row>
    <row r="85" spans="2:228" ht="15" customHeight="1" x14ac:dyDescent="0.2">
      <c r="B85" s="1555" t="s">
        <v>1717</v>
      </c>
      <c r="C85" s="1555"/>
      <c r="D85" s="1555"/>
      <c r="E85" s="1555"/>
      <c r="F85" s="1555"/>
      <c r="G85" s="1555"/>
      <c r="H85" s="1555"/>
      <c r="I85" s="1555"/>
      <c r="J85" s="1555"/>
      <c r="K85" s="1555"/>
      <c r="L85" s="1555"/>
      <c r="M85" s="1555"/>
      <c r="N85" s="1555"/>
      <c r="O85" s="1555"/>
      <c r="P85" s="1555"/>
      <c r="R85" s="18"/>
      <c r="S85" s="18"/>
      <c r="T85" s="1379" t="s">
        <v>1718</v>
      </c>
      <c r="U85" s="922" t="s">
        <v>1318</v>
      </c>
      <c r="V85" s="922" t="s">
        <v>1075</v>
      </c>
      <c r="W85" s="695" t="s">
        <v>1076</v>
      </c>
      <c r="X85" s="922" t="s">
        <v>1264</v>
      </c>
      <c r="Y85" s="922" t="s">
        <v>1265</v>
      </c>
      <c r="Z85" s="922" t="s">
        <v>1866</v>
      </c>
      <c r="AA85" s="932" t="s">
        <v>1704</v>
      </c>
      <c r="AB85" s="932" t="s">
        <v>99</v>
      </c>
      <c r="AC85" s="932" t="s">
        <v>100</v>
      </c>
      <c r="AD85" s="922" t="s">
        <v>1741</v>
      </c>
      <c r="AE85" s="922" t="s">
        <v>1742</v>
      </c>
      <c r="AF85" s="922" t="s">
        <v>1743</v>
      </c>
      <c r="AG85" s="922" t="s">
        <v>78</v>
      </c>
      <c r="AH85" s="922" t="s">
        <v>79</v>
      </c>
      <c r="AI85" s="922" t="s">
        <v>821</v>
      </c>
      <c r="AJ85" s="922" t="s">
        <v>822</v>
      </c>
      <c r="AK85" s="922" t="s">
        <v>823</v>
      </c>
      <c r="AL85" s="922" t="s">
        <v>824</v>
      </c>
      <c r="AM85" s="922" t="s">
        <v>1134</v>
      </c>
      <c r="AN85" s="922" t="s">
        <v>1544</v>
      </c>
      <c r="AO85" s="922" t="s">
        <v>203</v>
      </c>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row>
    <row r="86" spans="2:228" ht="27" customHeight="1" x14ac:dyDescent="0.2">
      <c r="B86" s="1629"/>
      <c r="C86" s="1629"/>
      <c r="D86" s="1629"/>
      <c r="E86" s="1629"/>
      <c r="F86" s="1629"/>
      <c r="G86" s="1629"/>
      <c r="H86" s="1629"/>
      <c r="I86" s="1629"/>
      <c r="J86" s="1629"/>
      <c r="K86" s="1629"/>
      <c r="L86" s="1629"/>
      <c r="M86" s="1629"/>
      <c r="N86" s="1629"/>
      <c r="O86" s="1629"/>
      <c r="P86" s="26">
        <f>SUMIF(U85:AO85,B86,U86:AO86)</f>
        <v>0</v>
      </c>
      <c r="R86" s="18"/>
      <c r="S86" s="18"/>
      <c r="T86" s="1379"/>
      <c r="U86" s="930">
        <v>0</v>
      </c>
      <c r="V86" s="932">
        <v>0.05</v>
      </c>
      <c r="W86" s="932">
        <v>0.1</v>
      </c>
      <c r="X86" s="932">
        <v>0.15</v>
      </c>
      <c r="Y86" s="932">
        <v>0.2</v>
      </c>
      <c r="Z86" s="932">
        <v>0.25</v>
      </c>
      <c r="AA86" s="932">
        <v>0.3</v>
      </c>
      <c r="AB86" s="932">
        <v>0.35</v>
      </c>
      <c r="AC86" s="932">
        <v>0.4</v>
      </c>
      <c r="AD86" s="932">
        <v>0.45</v>
      </c>
      <c r="AE86" s="932">
        <v>0.5</v>
      </c>
      <c r="AF86" s="932">
        <v>0.55000000000000004</v>
      </c>
      <c r="AG86" s="932">
        <v>0.6</v>
      </c>
      <c r="AH86" s="932">
        <v>0.65</v>
      </c>
      <c r="AI86" s="932">
        <v>0.7</v>
      </c>
      <c r="AJ86" s="932">
        <v>0.75</v>
      </c>
      <c r="AK86" s="932">
        <v>0.8</v>
      </c>
      <c r="AL86" s="932">
        <v>0.85</v>
      </c>
      <c r="AM86" s="932">
        <v>0.9</v>
      </c>
      <c r="AN86" s="932">
        <v>0.95</v>
      </c>
      <c r="AO86" s="932">
        <v>1</v>
      </c>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row>
    <row r="87" spans="2:228" ht="12" customHeight="1" x14ac:dyDescent="0.25">
      <c r="B87" s="1924"/>
      <c r="C87" s="1924"/>
      <c r="D87" s="1924"/>
      <c r="E87" s="1924"/>
      <c r="F87" s="1924"/>
      <c r="G87" s="1924"/>
      <c r="H87" s="1924"/>
      <c r="I87" s="1924"/>
      <c r="J87" s="1924"/>
      <c r="K87" s="1924"/>
      <c r="L87" s="1924"/>
      <c r="M87" s="1924"/>
      <c r="N87" s="1924"/>
      <c r="O87" s="1924"/>
      <c r="P87" s="1924"/>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row>
    <row r="88" spans="2:228" ht="18" customHeight="1" x14ac:dyDescent="0.2">
      <c r="B88" s="1549" t="s">
        <v>189</v>
      </c>
      <c r="C88" s="1550"/>
      <c r="D88" s="1550"/>
      <c r="E88" s="1550"/>
      <c r="F88" s="1550"/>
      <c r="G88" s="1550"/>
      <c r="H88" s="1550"/>
      <c r="I88" s="1550"/>
      <c r="J88" s="1550"/>
      <c r="K88" s="1550"/>
      <c r="L88" s="1550"/>
      <c r="M88" s="1550"/>
      <c r="N88" s="1550"/>
      <c r="O88" s="1550"/>
      <c r="P88" s="1645"/>
      <c r="R88" s="18"/>
      <c r="S88" s="18"/>
      <c r="T88" s="18"/>
      <c r="U88" s="18"/>
      <c r="V88" s="18"/>
      <c r="W88" s="18"/>
      <c r="X88" s="18"/>
      <c r="Y88" s="18"/>
      <c r="Z88" s="18"/>
      <c r="AA88" s="1569"/>
      <c r="AB88" s="1569"/>
      <c r="AC88" s="1569"/>
      <c r="AD88" s="1569"/>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row>
    <row r="89" spans="2:228" ht="15" customHeight="1" x14ac:dyDescent="0.2">
      <c r="B89" s="345" t="s">
        <v>1546</v>
      </c>
      <c r="C89" s="1962"/>
      <c r="D89" s="1963"/>
      <c r="E89" s="1963"/>
      <c r="F89" s="1963"/>
      <c r="G89" s="1963"/>
      <c r="H89" s="1963"/>
      <c r="I89" s="1963"/>
      <c r="J89" s="1963"/>
      <c r="K89" s="1963"/>
      <c r="L89" s="1956"/>
      <c r="M89" s="1957"/>
      <c r="N89" s="1958"/>
      <c r="O89" s="79">
        <f>IF(C89=T89,0.45,IF(C89=U89,0.3,IF(C89=V89,0.45,0)))</f>
        <v>0</v>
      </c>
      <c r="P89" s="1745"/>
      <c r="R89" s="1557" t="s">
        <v>2197</v>
      </c>
      <c r="S89" s="922" t="s">
        <v>1942</v>
      </c>
      <c r="T89" s="922" t="s">
        <v>1547</v>
      </c>
      <c r="U89" s="928" t="s">
        <v>1548</v>
      </c>
      <c r="V89" s="922" t="s">
        <v>1549</v>
      </c>
      <c r="W89" s="18"/>
      <c r="X89" s="18"/>
      <c r="Y89" s="18"/>
      <c r="Z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row>
    <row r="90" spans="2:228" ht="15" customHeight="1" x14ac:dyDescent="0.2">
      <c r="B90" s="337" t="s">
        <v>190</v>
      </c>
      <c r="C90" s="1944"/>
      <c r="D90" s="1953"/>
      <c r="E90" s="1953"/>
      <c r="F90" s="1953"/>
      <c r="G90" s="1953"/>
      <c r="H90" s="1953"/>
      <c r="I90" s="1953"/>
      <c r="J90" s="1953"/>
      <c r="K90" s="1953"/>
      <c r="L90" s="1646"/>
      <c r="M90" s="1647"/>
      <c r="N90" s="1648"/>
      <c r="O90" s="76">
        <f>IF(C90=T90,0.8,IF(C90=U90,0.45,IF(C90=V90,0.8,0)))</f>
        <v>0</v>
      </c>
      <c r="P90" s="1745"/>
      <c r="R90" s="1557"/>
      <c r="S90" s="922" t="s">
        <v>1942</v>
      </c>
      <c r="T90" s="922" t="s">
        <v>1547</v>
      </c>
      <c r="U90" s="928" t="s">
        <v>1548</v>
      </c>
      <c r="V90" s="922" t="s">
        <v>1549</v>
      </c>
      <c r="W90" s="18"/>
      <c r="X90" s="18"/>
      <c r="Y90" s="18"/>
      <c r="Z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row>
    <row r="91" spans="2:228" ht="12" customHeight="1" x14ac:dyDescent="0.25">
      <c r="B91" s="1961"/>
      <c r="C91" s="1876"/>
      <c r="D91" s="1876"/>
      <c r="E91" s="1876"/>
      <c r="F91" s="1876"/>
      <c r="G91" s="1876"/>
      <c r="H91" s="1876"/>
      <c r="I91" s="1876"/>
      <c r="J91" s="1876"/>
      <c r="K91" s="1876"/>
      <c r="L91" s="1876"/>
      <c r="M91" s="1876"/>
      <c r="N91" s="1876"/>
      <c r="O91" s="1876"/>
      <c r="P91" s="1745"/>
      <c r="R91" s="18"/>
      <c r="S91" s="698"/>
      <c r="T91" s="698"/>
      <c r="U91" s="698"/>
      <c r="V91" s="18"/>
      <c r="W91" s="18"/>
      <c r="X91" s="18"/>
      <c r="Y91" s="18"/>
      <c r="Z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row>
    <row r="92" spans="2:228" ht="39" customHeight="1" x14ac:dyDescent="0.2">
      <c r="B92" s="250"/>
      <c r="C92" s="1555" t="s">
        <v>1596</v>
      </c>
      <c r="D92" s="1555"/>
      <c r="E92" s="1555"/>
      <c r="F92" s="1555"/>
      <c r="G92" s="1811" t="s">
        <v>1081</v>
      </c>
      <c r="H92" s="1811"/>
      <c r="I92" s="1811"/>
      <c r="J92" s="1811"/>
      <c r="K92" s="1811"/>
      <c r="L92" s="1395"/>
      <c r="M92" s="1395"/>
      <c r="N92" s="1395"/>
      <c r="O92" s="1395"/>
      <c r="P92" s="1745"/>
      <c r="R92" s="1111"/>
      <c r="S92" s="933"/>
      <c r="T92" s="1536" t="s">
        <v>1258</v>
      </c>
      <c r="U92" s="1536"/>
      <c r="V92" s="18"/>
      <c r="W92" s="18"/>
      <c r="X92" s="18"/>
      <c r="Y92" s="1531" t="s">
        <v>2263</v>
      </c>
      <c r="Z92" s="1535"/>
      <c r="AA92" s="1532"/>
      <c r="AB92" s="1111"/>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row>
    <row r="93" spans="2:228" ht="15" customHeight="1" x14ac:dyDescent="0.2">
      <c r="B93" s="340" t="s">
        <v>1841</v>
      </c>
      <c r="C93" s="1555" t="s">
        <v>365</v>
      </c>
      <c r="D93" s="1555"/>
      <c r="E93" s="1555" t="s">
        <v>1796</v>
      </c>
      <c r="F93" s="1555"/>
      <c r="G93" s="1555" t="s">
        <v>365</v>
      </c>
      <c r="H93" s="1555"/>
      <c r="I93" s="1555"/>
      <c r="J93" s="1555" t="s">
        <v>1796</v>
      </c>
      <c r="K93" s="1555"/>
      <c r="L93" s="1644"/>
      <c r="M93" s="1644"/>
      <c r="N93" s="1644"/>
      <c r="O93" s="1646"/>
      <c r="P93" s="1745"/>
      <c r="R93" s="1111"/>
      <c r="S93" s="927" t="s">
        <v>1573</v>
      </c>
      <c r="T93" s="924" t="s">
        <v>1596</v>
      </c>
      <c r="U93" s="924" t="s">
        <v>1597</v>
      </c>
      <c r="V93" s="1555" t="s">
        <v>1083</v>
      </c>
      <c r="W93" s="1555"/>
      <c r="X93" s="933"/>
      <c r="Y93" s="1113">
        <f>IF(OR(O89&gt;0,O90&gt;0,E95&gt;0,E97&gt;0),1,0)</f>
        <v>0</v>
      </c>
      <c r="Z93" s="1080">
        <f>IF(AND(OR(O89&gt;0,O90&gt;0),OR(E94&gt;0,E96&gt;0),C99&gt;0),C99*O98,O98)</f>
        <v>0</v>
      </c>
      <c r="AA93" s="1056">
        <f>IF(AND(Y93=0,C99&gt;0),C99*AB98,AB98)</f>
        <v>0</v>
      </c>
      <c r="AB93" s="63"/>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row>
    <row r="94" spans="2:228" ht="15" customHeight="1" x14ac:dyDescent="0.2">
      <c r="B94" s="358" t="s">
        <v>1335</v>
      </c>
      <c r="C94" s="1944"/>
      <c r="D94" s="1945"/>
      <c r="E94" s="1865">
        <f>LETable!AT18</f>
        <v>0</v>
      </c>
      <c r="F94" s="1865"/>
      <c r="G94" s="1308"/>
      <c r="H94" s="1308"/>
      <c r="I94" s="1308"/>
      <c r="J94" s="1869">
        <f>IF(C94="",0,IF(OR(C94&lt;=0,G94&lt;=0),E94,IF(G94&lt;C94,0,LETable!AY18)))</f>
        <v>0</v>
      </c>
      <c r="K94" s="1869"/>
      <c r="L94" s="1938" t="str">
        <f>IF(OR(C94="NA",G94="NA"),"",IF(AND(C94&lt;&gt;"",G94=""),"Enter contralateral or NA.",IF(AND(C94="",G94&lt;&gt;""),"Need data","")))</f>
        <v/>
      </c>
      <c r="M94" s="1938"/>
      <c r="N94" s="1938"/>
      <c r="O94" s="1939"/>
      <c r="P94" s="1745"/>
      <c r="S94" s="922">
        <v>40</v>
      </c>
      <c r="T94" s="922" t="str">
        <f>IF(OR(C94="",C94="NA"),"",IF(C94&gt;S94,S94,IF(C94&lt;0,0,C94)))</f>
        <v/>
      </c>
      <c r="U94" s="922" t="str">
        <f>IF(OR(G94="",G94="NA"),"",IF(G94&gt;S94,S94,IF(G94&lt;0,0,G94)))</f>
        <v/>
      </c>
      <c r="V94" s="696" t="str">
        <f>IF(W94="","",ROUND(W94,0))</f>
        <v/>
      </c>
      <c r="W94" s="697" t="str">
        <f>IF(T94="","",IF(OR(U94="",U94=0,U94&lt;T94),T94,(T94*S94)/U94))</f>
        <v/>
      </c>
      <c r="X94" s="18"/>
      <c r="Y94" s="63"/>
      <c r="Z94" s="63"/>
      <c r="AA94" s="63"/>
      <c r="AB94" s="63"/>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row>
    <row r="95" spans="2:228" ht="15" customHeight="1" x14ac:dyDescent="0.2">
      <c r="B95" s="358" t="s">
        <v>1336</v>
      </c>
      <c r="C95" s="1944"/>
      <c r="D95" s="1945"/>
      <c r="E95" s="1865">
        <f>IF(AND(C95&lt;&gt;"",C95&lt;&gt;"NA",C94&lt;&gt;"NA",C94&lt;&gt;""),"ERROR",IF(AND(C95&lt;&gt;"",C95&lt;&gt;"NA",C96&lt;&gt;"",C96&lt;&gt;"NA"),"ERROR",LETable!AT19))</f>
        <v>0</v>
      </c>
      <c r="F95" s="1865"/>
      <c r="G95" s="1556" t="str">
        <f>IF(E95="ERROR","Error: Cannot rate ROM and ankylosis.","")</f>
        <v/>
      </c>
      <c r="H95" s="1556"/>
      <c r="I95" s="1556"/>
      <c r="J95" s="1556"/>
      <c r="K95" s="1556"/>
      <c r="L95" s="1556"/>
      <c r="M95" s="1556"/>
      <c r="N95" s="1556"/>
      <c r="O95" s="1704"/>
      <c r="P95" s="1745"/>
      <c r="R95" s="18"/>
      <c r="S95" s="922">
        <v>40</v>
      </c>
      <c r="T95" s="922" t="str">
        <f>IF(OR(C95="",C95="NA"),"",IF(C95&gt;S95,S95,IF(C95&lt;0,0,C95)))</f>
        <v/>
      </c>
      <c r="U95" s="18"/>
      <c r="V95" s="18"/>
      <c r="W95" s="18"/>
      <c r="X95" s="18"/>
      <c r="Y95" s="63"/>
      <c r="Z95" s="63"/>
      <c r="AA95" s="63"/>
      <c r="AB95" s="63"/>
      <c r="AC95" s="18"/>
      <c r="AD95" s="18"/>
      <c r="AE95" s="18"/>
      <c r="AF95" s="18"/>
      <c r="AG95" s="18"/>
      <c r="AH95" s="18"/>
      <c r="AI95" s="18"/>
      <c r="AJ95" s="18"/>
      <c r="AK95" s="18"/>
      <c r="AL95" s="18"/>
      <c r="AM95" s="18"/>
      <c r="AN95" s="18"/>
      <c r="AO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row>
    <row r="96" spans="2:228" ht="15" customHeight="1" x14ac:dyDescent="0.2">
      <c r="B96" s="156" t="s">
        <v>1256</v>
      </c>
      <c r="C96" s="1944"/>
      <c r="D96" s="1945"/>
      <c r="E96" s="1865">
        <f>LETable!AT20</f>
        <v>0</v>
      </c>
      <c r="F96" s="1865"/>
      <c r="G96" s="1308"/>
      <c r="H96" s="1308"/>
      <c r="I96" s="1308"/>
      <c r="J96" s="1869">
        <f>IF(C96="",0,IF(OR(C96&lt;=0,G96&lt;=0),E96,IF(G96&lt;C96,0,LETable!AY20)))</f>
        <v>0</v>
      </c>
      <c r="K96" s="1869"/>
      <c r="L96" s="1938" t="str">
        <f>IF(OR(C96="NA",G96="NA"),"",IF(AND(C96&lt;&gt;"",G96=""),"Enter contralateral or NA.",IF(AND(C96="",G96&lt;&gt;""),"Need data","")))</f>
        <v/>
      </c>
      <c r="M96" s="1938"/>
      <c r="N96" s="1938"/>
      <c r="O96" s="1939"/>
      <c r="P96" s="1745"/>
      <c r="R96" s="18"/>
      <c r="S96" s="922">
        <v>30</v>
      </c>
      <c r="T96" s="922" t="str">
        <f>IF(OR(C96="",C96="NA"),"",IF(C96&gt;S96,S96,IF(C96&lt;0,0,C96)))</f>
        <v/>
      </c>
      <c r="U96" s="922" t="str">
        <f>IF(OR(G96="",G96="NA"),"",IF(G96&gt;S96,S96,IF(G96&lt;0,0,G96)))</f>
        <v/>
      </c>
      <c r="V96" s="696" t="str">
        <f>IF(W96="","",ROUND(W96,0))</f>
        <v/>
      </c>
      <c r="W96" s="697" t="str">
        <f>IF(T96="","",IF(OR(U96="",U96=0,U96&lt;T96),T96,(T96*S96)/U96))</f>
        <v/>
      </c>
      <c r="X96" s="18"/>
      <c r="Y96" s="1103" t="s">
        <v>2225</v>
      </c>
      <c r="Z96" s="1103" t="s">
        <v>1305</v>
      </c>
      <c r="AA96" s="1103" t="s">
        <v>1306</v>
      </c>
      <c r="AB96" s="1103" t="s">
        <v>1307</v>
      </c>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row>
    <row r="97" spans="1:228" ht="15" customHeight="1" x14ac:dyDescent="0.2">
      <c r="B97" s="357" t="s">
        <v>1840</v>
      </c>
      <c r="C97" s="1944"/>
      <c r="D97" s="1945"/>
      <c r="E97" s="1865">
        <f>IF(AND(C97&lt;&gt;"",C97&lt;&gt;"NA",C96&lt;&gt;"NA",C96&lt;&gt;""),"ERROR",IF(AND(C97&lt;&gt;"",C97&lt;&gt;"NA",C94&lt;&gt;"",C94&lt;&gt;"NA"),"ERROR",LETable!AT21))</f>
        <v>0</v>
      </c>
      <c r="F97" s="1865"/>
      <c r="G97" s="1866" t="str">
        <f>IF(E97="ERROR","Error: Cannot rate ROM and ankylosis.",IF(AND(C95&lt;&gt;"",C95&lt;&gt;"NA",C97&lt;&gt;"",C97&lt;&gt;"NA"),"Multiple ankylosis values; use higher value only.",""))</f>
        <v/>
      </c>
      <c r="H97" s="1867"/>
      <c r="I97" s="1867"/>
      <c r="J97" s="1867"/>
      <c r="K97" s="1867"/>
      <c r="L97" s="1867"/>
      <c r="M97" s="1867"/>
      <c r="N97" s="1867"/>
      <c r="O97" s="1868"/>
      <c r="P97" s="1745"/>
      <c r="R97" s="18"/>
      <c r="S97" s="922">
        <v>30</v>
      </c>
      <c r="T97" s="922" t="str">
        <f>IF(OR(C97="",C97="NA"),"",IF(C97&gt;S97,S97,IF(C97&lt;0,0,C97)))</f>
        <v/>
      </c>
      <c r="U97" s="18"/>
      <c r="V97" s="18"/>
      <c r="W97" s="18"/>
      <c r="X97" s="18"/>
      <c r="Y97" s="242">
        <f>O89</f>
        <v>0</v>
      </c>
      <c r="Z97" s="1118">
        <f>LARGE($Y$97:$Y$99,1)</f>
        <v>0</v>
      </c>
      <c r="AA97" s="684">
        <f>Z97+Z98*(1-Z97)</f>
        <v>0</v>
      </c>
      <c r="AB97" s="1112">
        <f>ROUND(AA97,2)</f>
        <v>0</v>
      </c>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row>
    <row r="98" spans="1:228" ht="21" customHeight="1" x14ac:dyDescent="0.2">
      <c r="B98" s="1045"/>
      <c r="C98" s="1046"/>
      <c r="D98" s="1046"/>
      <c r="E98" s="1571" t="str">
        <f>IF(AND(OR(O89&gt;0,O90&gt;0,E95&gt;0,E97&gt;0),C99&gt;0),"Note: Ankylosis impairment is not apportioned.","")</f>
        <v/>
      </c>
      <c r="F98" s="1572"/>
      <c r="G98" s="1572"/>
      <c r="H98" s="1572"/>
      <c r="I98" s="1572"/>
      <c r="J98" s="1573"/>
      <c r="K98" s="1121" t="s">
        <v>1842</v>
      </c>
      <c r="L98" s="1122"/>
      <c r="M98" s="1122"/>
      <c r="N98" s="1123"/>
      <c r="O98" s="71">
        <f>IF(OR(E95="ERROR",E97="ERROR"),"ERROR",IF(R98&gt;1,1,R98))</f>
        <v>0</v>
      </c>
      <c r="P98" s="1746"/>
      <c r="R98" s="243">
        <f>SUM(J94,J96,W98)</f>
        <v>0</v>
      </c>
      <c r="S98" s="18"/>
      <c r="T98" s="18"/>
      <c r="U98" s="18"/>
      <c r="V98" s="18"/>
      <c r="W98" s="747">
        <f>IF(AND(E95&lt;&gt;"ERROR",E97&lt;&gt;"ERROR",C97&lt;&gt;"",E97&lt;&gt;""),MAX(E95,E97),E95+E97)</f>
        <v>0</v>
      </c>
      <c r="X98" s="18"/>
      <c r="Y98" s="242">
        <f>O90</f>
        <v>0</v>
      </c>
      <c r="Z98" s="1118">
        <f>LARGE($Y$97:$Y$99,2)</f>
        <v>0</v>
      </c>
      <c r="AA98" s="684">
        <f>AB97+Z99*(1-AB97)</f>
        <v>0</v>
      </c>
      <c r="AB98" s="1112">
        <f>ROUND(AA98,2)</f>
        <v>0</v>
      </c>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row>
    <row r="99" spans="1:228" ht="21" customHeight="1" x14ac:dyDescent="0.2">
      <c r="B99" s="1114" t="s">
        <v>2259</v>
      </c>
      <c r="C99" s="1544"/>
      <c r="D99" s="1577"/>
      <c r="E99" s="1574"/>
      <c r="F99" s="1575"/>
      <c r="G99" s="1575"/>
      <c r="H99" s="1575"/>
      <c r="I99" s="1575"/>
      <c r="J99" s="1576"/>
      <c r="K99" s="1121" t="s">
        <v>191</v>
      </c>
      <c r="L99" s="1122"/>
      <c r="M99" s="1122"/>
      <c r="N99" s="1122"/>
      <c r="O99" s="1123"/>
      <c r="P99" s="1115">
        <f>IF(O98="ERROR","ERROR",IF(AND(AA93&gt;0,AA93&lt;0.01),0.01,ROUND(AA93,2)))</f>
        <v>0</v>
      </c>
      <c r="R99" s="18"/>
      <c r="S99" s="18"/>
      <c r="T99" s="18"/>
      <c r="U99" s="18"/>
      <c r="V99" s="18"/>
      <c r="W99" s="18"/>
      <c r="X99" s="18"/>
      <c r="Y99" s="242">
        <f>IF(AND(Z93&lt;0.01,Z93&gt;0),0.01,ROUND(Z93,2))</f>
        <v>0</v>
      </c>
      <c r="Z99" s="1118">
        <f>LARGE($Y$97:$Y$99,3)</f>
        <v>0</v>
      </c>
      <c r="AA99" s="1111"/>
      <c r="AB99" s="1111"/>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row>
    <row r="100" spans="1:228" ht="12" customHeight="1" x14ac:dyDescent="0.25">
      <c r="B100" s="1876"/>
      <c r="C100" s="1876"/>
      <c r="D100" s="1876"/>
      <c r="E100" s="1876"/>
      <c r="F100" s="1876"/>
      <c r="G100" s="1876"/>
      <c r="H100" s="1876"/>
      <c r="I100" s="1876"/>
      <c r="J100" s="1876"/>
      <c r="K100" s="1876"/>
      <c r="L100" s="1876"/>
      <c r="M100" s="1876"/>
      <c r="N100" s="1876"/>
      <c r="O100" s="1876"/>
      <c r="P100" s="469"/>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row>
    <row r="101" spans="1:228" ht="15" customHeight="1" x14ac:dyDescent="0.25">
      <c r="B101" s="1549" t="s">
        <v>2007</v>
      </c>
      <c r="C101" s="1550"/>
      <c r="D101" s="1550"/>
      <c r="E101" s="1550"/>
      <c r="F101" s="1550"/>
      <c r="G101" s="1550"/>
      <c r="H101" s="1550"/>
      <c r="I101" s="1550"/>
      <c r="J101" s="1550"/>
      <c r="K101" s="1550"/>
      <c r="L101" s="1550"/>
      <c r="M101" s="1550"/>
      <c r="N101" s="1550"/>
      <c r="O101" s="1550"/>
      <c r="P101" s="470"/>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row>
    <row r="102" spans="1:228" ht="15" customHeight="1" x14ac:dyDescent="0.25">
      <c r="B102" s="376" t="s">
        <v>2012</v>
      </c>
      <c r="C102" s="1542"/>
      <c r="D102" s="1542"/>
      <c r="E102" s="1542"/>
      <c r="F102" s="1542"/>
      <c r="G102" s="1542"/>
      <c r="H102" s="1542"/>
      <c r="I102" s="1542"/>
      <c r="J102" s="1542"/>
      <c r="K102" s="1542"/>
      <c r="L102" s="1542"/>
      <c r="M102" s="1542"/>
      <c r="N102" s="1542"/>
      <c r="O102" s="80"/>
      <c r="P102" s="658">
        <f>IF($W$239&gt;0,0,R102)</f>
        <v>0</v>
      </c>
      <c r="R102" s="932">
        <f>IF(C102=S102,0,IF(C102=T102,0.05,IF(C102=U102,0.1,0)))</f>
        <v>0</v>
      </c>
      <c r="S102" s="922" t="s">
        <v>1942</v>
      </c>
      <c r="T102" s="922" t="s">
        <v>1785</v>
      </c>
      <c r="U102" s="922" t="s">
        <v>1786</v>
      </c>
      <c r="V102" s="161"/>
      <c r="W102" s="114"/>
      <c r="X102" s="162"/>
      <c r="Y102" s="162"/>
      <c r="Z102" s="73"/>
      <c r="AA102" s="73"/>
      <c r="AB102" s="74"/>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row>
    <row r="103" spans="1:228" ht="15" customHeight="1" x14ac:dyDescent="0.25">
      <c r="B103" s="376" t="s">
        <v>2013</v>
      </c>
      <c r="C103" s="1542"/>
      <c r="D103" s="1542"/>
      <c r="E103" s="1542"/>
      <c r="F103" s="1542"/>
      <c r="G103" s="1542"/>
      <c r="H103" s="1542"/>
      <c r="I103" s="1542"/>
      <c r="J103" s="1542"/>
      <c r="K103" s="1542"/>
      <c r="L103" s="1542"/>
      <c r="M103" s="1542"/>
      <c r="N103" s="1542"/>
      <c r="O103" s="81"/>
      <c r="P103" s="26">
        <f>IF($W$239&gt;0,0,R103)</f>
        <v>0</v>
      </c>
      <c r="R103" s="932">
        <f>IF(C103=S103,0,IF(C103=T103,0.05,IF(C103=U103,0.1,0)))</f>
        <v>0</v>
      </c>
      <c r="S103" s="922" t="s">
        <v>1942</v>
      </c>
      <c r="T103" s="922" t="s">
        <v>1997</v>
      </c>
      <c r="U103" s="922" t="s">
        <v>1998</v>
      </c>
      <c r="V103" s="161"/>
      <c r="W103" s="114"/>
      <c r="X103" s="162"/>
      <c r="Y103" s="162"/>
      <c r="Z103" s="73"/>
      <c r="AA103" s="73"/>
      <c r="AB103" s="74"/>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row>
    <row r="104" spans="1:228" ht="27" customHeight="1" x14ac:dyDescent="0.2">
      <c r="B104" s="1883" t="str">
        <f>IF(AND(OR(R102&gt;0,R103&gt;0),$W$239&gt;0),"A value has been given for loss of sensation or hypersensitivity in the foot. No additional value is allowed for the toes.","")</f>
        <v/>
      </c>
      <c r="C104" s="1883"/>
      <c r="D104" s="1883"/>
      <c r="E104" s="1883"/>
      <c r="F104" s="1883"/>
      <c r="G104" s="1883"/>
      <c r="H104" s="1883"/>
      <c r="I104" s="1883"/>
      <c r="J104" s="1883"/>
      <c r="K104" s="1883"/>
      <c r="L104" s="1883"/>
      <c r="M104" s="1883"/>
      <c r="N104" s="1883"/>
      <c r="O104" s="1883"/>
      <c r="P104" s="659"/>
      <c r="R104" s="18"/>
      <c r="S104" s="19"/>
      <c r="T104" s="19"/>
      <c r="U104" s="19"/>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row>
    <row r="105" spans="1:228" s="63" customFormat="1" ht="12" customHeight="1" x14ac:dyDescent="0.25">
      <c r="A105" s="35"/>
      <c r="B105" s="1602"/>
      <c r="C105" s="1395"/>
      <c r="D105" s="1395"/>
      <c r="E105" s="1395"/>
      <c r="F105" s="1395"/>
      <c r="G105" s="1395"/>
      <c r="H105" s="1395"/>
      <c r="I105" s="1395"/>
      <c r="J105" s="1395"/>
      <c r="K105" s="1395"/>
      <c r="L105" s="1395"/>
      <c r="M105" s="1395"/>
      <c r="N105" s="1395"/>
      <c r="O105" s="1395"/>
      <c r="P105" s="75"/>
      <c r="Q105" s="35"/>
      <c r="R105" s="18"/>
      <c r="S105" s="18"/>
      <c r="Y105" s="60"/>
      <c r="Z105" s="1569"/>
      <c r="AA105" s="1569"/>
      <c r="AB105" s="1569"/>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row>
    <row r="106" spans="1:228" s="63" customFormat="1" ht="15" customHeight="1" x14ac:dyDescent="0.2">
      <c r="A106" s="8"/>
      <c r="B106" s="1379" t="s">
        <v>2016</v>
      </c>
      <c r="C106" s="1379"/>
      <c r="D106" s="1379"/>
      <c r="E106" s="1379"/>
      <c r="F106" s="1379"/>
      <c r="G106" s="1379"/>
      <c r="H106" s="1379"/>
      <c r="I106" s="1379"/>
      <c r="J106" s="1379"/>
      <c r="K106" s="1379"/>
      <c r="L106" s="1379"/>
      <c r="M106" s="1379"/>
      <c r="N106" s="1308"/>
      <c r="O106" s="1308"/>
      <c r="P106" s="931">
        <f>IF(N106=T106,0.03,IF(N106=U106,0.15,IF(N106=V106,0.38,IF(N106=W106,0.68,IF(N106=X106,0.9,0)))))</f>
        <v>0</v>
      </c>
      <c r="Q106" s="926"/>
      <c r="R106" s="1487" t="s">
        <v>2197</v>
      </c>
      <c r="S106" s="1487"/>
      <c r="T106" s="922" t="s">
        <v>1969</v>
      </c>
      <c r="U106" s="922" t="s">
        <v>1970</v>
      </c>
      <c r="V106" s="932" t="s">
        <v>1972</v>
      </c>
      <c r="W106" s="922" t="s">
        <v>945</v>
      </c>
      <c r="X106" s="932" t="s">
        <v>558</v>
      </c>
      <c r="Y106" s="60"/>
      <c r="Z106" s="1569"/>
      <c r="AA106" s="1569"/>
      <c r="AB106" s="1569"/>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row>
    <row r="107" spans="1:228" ht="12" customHeight="1" x14ac:dyDescent="0.25">
      <c r="B107" s="657"/>
      <c r="C107" s="657"/>
      <c r="D107" s="657"/>
      <c r="E107" s="657"/>
      <c r="F107" s="657"/>
      <c r="G107" s="657"/>
      <c r="H107" s="657"/>
      <c r="I107" s="657"/>
      <c r="J107" s="657"/>
      <c r="K107" s="657"/>
      <c r="L107" s="657"/>
      <c r="M107" s="657"/>
      <c r="N107" s="657"/>
      <c r="O107" s="657"/>
      <c r="P107" s="75"/>
      <c r="R107" s="18"/>
      <c r="S107" s="19"/>
      <c r="T107" s="19"/>
      <c r="U107" s="19"/>
      <c r="V107" s="19"/>
      <c r="W107" s="19"/>
      <c r="X107" s="19"/>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row>
    <row r="108" spans="1:228" ht="18" customHeight="1" x14ac:dyDescent="0.2">
      <c r="A108" s="189"/>
      <c r="B108" s="316" t="s">
        <v>1709</v>
      </c>
      <c r="C108" s="1878"/>
      <c r="D108" s="1878"/>
      <c r="E108" s="1362" t="s">
        <v>1710</v>
      </c>
      <c r="F108" s="1363"/>
      <c r="G108" s="1363"/>
      <c r="H108" s="1363"/>
      <c r="I108" s="1363"/>
      <c r="J108" s="1363"/>
      <c r="K108" s="1363"/>
      <c r="L108" s="1363"/>
      <c r="M108" s="1363"/>
      <c r="N108" s="1363"/>
      <c r="O108" s="1363"/>
      <c r="P108" s="303">
        <f>IF(T108=1,0.15,0)</f>
        <v>0</v>
      </c>
      <c r="R108" s="18"/>
      <c r="S108" s="706" t="b">
        <v>0</v>
      </c>
      <c r="T108" s="922">
        <f>IF(S108=TRUE,1,0)</f>
        <v>0</v>
      </c>
      <c r="U108" s="18"/>
      <c r="V108" s="18"/>
      <c r="W108" s="18">
        <v>1E-4</v>
      </c>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row>
    <row r="109" spans="1:228" ht="18" customHeight="1" x14ac:dyDescent="0.2">
      <c r="B109" s="316" t="s">
        <v>1711</v>
      </c>
      <c r="C109" s="1878"/>
      <c r="D109" s="1878"/>
      <c r="E109" s="1362" t="s">
        <v>1712</v>
      </c>
      <c r="F109" s="1363"/>
      <c r="G109" s="1363"/>
      <c r="H109" s="1363"/>
      <c r="I109" s="1363"/>
      <c r="J109" s="1363"/>
      <c r="K109" s="1363"/>
      <c r="L109" s="1363"/>
      <c r="M109" s="1363"/>
      <c r="N109" s="1363"/>
      <c r="O109" s="1363"/>
      <c r="P109" s="303">
        <f>IF(T109=1,0.25,0)</f>
        <v>0</v>
      </c>
      <c r="R109" s="18"/>
      <c r="S109" s="706" t="b">
        <v>0</v>
      </c>
      <c r="T109" s="922">
        <f>IF(S109=TRUE,1,0)</f>
        <v>0</v>
      </c>
      <c r="U109" s="18"/>
      <c r="V109" s="18"/>
      <c r="W109" s="18"/>
      <c r="X109" s="1111"/>
      <c r="Y109" s="1111"/>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row>
    <row r="110" spans="1:228" ht="18" customHeight="1" x14ac:dyDescent="0.2">
      <c r="B110" s="471" t="s">
        <v>626</v>
      </c>
      <c r="C110" s="1925"/>
      <c r="D110" s="1925"/>
      <c r="E110" s="1546" t="s">
        <v>627</v>
      </c>
      <c r="F110" s="1547"/>
      <c r="G110" s="1547"/>
      <c r="H110" s="1547"/>
      <c r="I110" s="1547"/>
      <c r="J110" s="1547"/>
      <c r="K110" s="1547"/>
      <c r="L110" s="1547"/>
      <c r="M110" s="1547"/>
      <c r="N110" s="1547"/>
      <c r="O110" s="1547"/>
      <c r="P110" s="338">
        <f>IF(T110=1,0.25,0)</f>
        <v>0</v>
      </c>
      <c r="R110" s="18"/>
      <c r="S110" s="706" t="b">
        <v>0</v>
      </c>
      <c r="T110" s="922">
        <f>IF(S110=TRUE,1,0)</f>
        <v>0</v>
      </c>
      <c r="U110" s="18"/>
      <c r="V110" s="18"/>
      <c r="W110" s="18"/>
      <c r="X110" s="1111"/>
      <c r="Y110" s="1111"/>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row>
    <row r="111" spans="1:228" ht="12" customHeight="1" x14ac:dyDescent="0.35">
      <c r="B111" s="1877"/>
      <c r="C111" s="1877"/>
      <c r="D111" s="1877"/>
      <c r="E111" s="1877"/>
      <c r="F111" s="1877"/>
      <c r="G111" s="1877"/>
      <c r="H111" s="1877"/>
      <c r="I111" s="1877"/>
      <c r="J111" s="1877"/>
      <c r="K111" s="1877"/>
      <c r="L111" s="1877"/>
      <c r="M111" s="1877"/>
      <c r="N111" s="1877"/>
      <c r="O111" s="1877"/>
      <c r="R111" s="18"/>
      <c r="S111" s="249"/>
      <c r="T111" s="18"/>
      <c r="U111" s="18"/>
      <c r="V111" s="18"/>
      <c r="W111" s="63"/>
      <c r="X111" s="1111"/>
      <c r="Y111" s="1111"/>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row>
    <row r="112" spans="1:228" ht="27" customHeight="1" x14ac:dyDescent="0.2">
      <c r="B112" s="1632" t="s">
        <v>817</v>
      </c>
      <c r="C112" s="1633"/>
      <c r="D112" s="1633"/>
      <c r="E112" s="1633"/>
      <c r="F112" s="1633"/>
      <c r="G112" s="1687" t="s">
        <v>1525</v>
      </c>
      <c r="H112" s="1534"/>
      <c r="I112" s="1534"/>
      <c r="J112" s="1534"/>
      <c r="K112" s="1534"/>
      <c r="L112" s="2068"/>
      <c r="M112" s="2069"/>
      <c r="N112" s="2069"/>
      <c r="O112" s="2070"/>
      <c r="P112" s="1481">
        <f>IF(J121&gt;0,J121,V119)</f>
        <v>0</v>
      </c>
      <c r="R112" s="18"/>
      <c r="S112" s="922" t="s">
        <v>1865</v>
      </c>
      <c r="T112" s="922" t="s">
        <v>1305</v>
      </c>
      <c r="U112" s="922" t="s">
        <v>1306</v>
      </c>
      <c r="V112" s="922" t="s">
        <v>1307</v>
      </c>
      <c r="W112" s="63"/>
      <c r="X112" s="1111"/>
      <c r="Y112" s="1111"/>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c r="ES112" s="14"/>
      <c r="ET112" s="14"/>
      <c r="EU112" s="14"/>
      <c r="EV112" s="14"/>
      <c r="EW112" s="14"/>
      <c r="EX112" s="14"/>
      <c r="EY112" s="14"/>
      <c r="EZ112" s="14"/>
      <c r="FA112" s="14"/>
      <c r="FB112" s="14"/>
      <c r="FC112" s="14"/>
      <c r="FD112" s="14"/>
      <c r="FE112" s="14"/>
      <c r="FF112" s="14"/>
      <c r="FG112" s="14"/>
      <c r="FH112" s="14"/>
      <c r="FI112" s="14"/>
      <c r="FJ112" s="14"/>
      <c r="FK112" s="14"/>
      <c r="FL112" s="14"/>
      <c r="FM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HN112" s="14"/>
      <c r="HO112" s="14"/>
      <c r="HP112" s="14"/>
      <c r="HQ112" s="14"/>
      <c r="HR112" s="14"/>
      <c r="HS112" s="14"/>
      <c r="HT112" s="14"/>
    </row>
    <row r="113" spans="2:228" ht="18" customHeight="1" x14ac:dyDescent="0.2">
      <c r="B113" s="1394" t="s">
        <v>628</v>
      </c>
      <c r="C113" s="1394"/>
      <c r="D113" s="1394"/>
      <c r="E113" s="1623">
        <f>P86</f>
        <v>0</v>
      </c>
      <c r="F113" s="1624"/>
      <c r="G113" s="1534" t="s">
        <v>1942</v>
      </c>
      <c r="H113" s="1534"/>
      <c r="I113" s="1534"/>
      <c r="J113" s="1879"/>
      <c r="K113" s="1879"/>
      <c r="L113" s="1616"/>
      <c r="M113" s="1617"/>
      <c r="N113" s="1617"/>
      <c r="O113" s="1618"/>
      <c r="P113" s="1631"/>
      <c r="R113" s="18"/>
      <c r="S113" s="930">
        <f>E113</f>
        <v>0</v>
      </c>
      <c r="T113" s="932">
        <f>LARGE($S$113:$S$120,1)</f>
        <v>0</v>
      </c>
      <c r="U113" s="684">
        <f>T113+T114*(1-T113)</f>
        <v>0</v>
      </c>
      <c r="V113" s="930">
        <f t="shared" ref="V113:V119" si="5">ROUND(U113,2)</f>
        <v>0</v>
      </c>
      <c r="W113" s="63"/>
      <c r="X113" s="1111"/>
      <c r="Y113" s="1111"/>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c r="HT113" s="14"/>
    </row>
    <row r="114" spans="2:228" ht="18" customHeight="1" x14ac:dyDescent="0.2">
      <c r="B114" s="1410" t="s">
        <v>1959</v>
      </c>
      <c r="C114" s="1410"/>
      <c r="D114" s="1410"/>
      <c r="E114" s="1373">
        <f>IF(P427&gt;0,0,P99)</f>
        <v>0</v>
      </c>
      <c r="F114" s="1346"/>
      <c r="G114" s="1729" t="s">
        <v>2260</v>
      </c>
      <c r="H114" s="1729"/>
      <c r="I114" s="1729"/>
      <c r="J114" s="1879"/>
      <c r="K114" s="1879"/>
      <c r="L114" s="1619"/>
      <c r="M114" s="1620"/>
      <c r="N114" s="1620"/>
      <c r="O114" s="1621"/>
      <c r="P114" s="1631"/>
      <c r="R114" s="18"/>
      <c r="S114" s="932">
        <f>IF(J114&gt;0,J114,E114)</f>
        <v>0</v>
      </c>
      <c r="T114" s="932">
        <f>LARGE($S$113:$S$120,2)</f>
        <v>0</v>
      </c>
      <c r="U114" s="684">
        <f t="shared" ref="U114:U119" si="6">V113+T115*(1-V113)</f>
        <v>0</v>
      </c>
      <c r="V114" s="930">
        <f t="shared" si="5"/>
        <v>0</v>
      </c>
      <c r="W114" s="63"/>
      <c r="X114" s="1111"/>
      <c r="Y114" s="1111"/>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c r="HT114" s="14"/>
    </row>
    <row r="115" spans="2:228" ht="18" customHeight="1" x14ac:dyDescent="0.2">
      <c r="B115" s="1410" t="s">
        <v>2017</v>
      </c>
      <c r="C115" s="1410"/>
      <c r="D115" s="1410"/>
      <c r="E115" s="1373">
        <f>P102</f>
        <v>0</v>
      </c>
      <c r="F115" s="1346"/>
      <c r="G115" s="1658"/>
      <c r="H115" s="1658"/>
      <c r="I115" s="1658"/>
      <c r="J115" s="1847">
        <f>IF(AND(W115&lt;0.01,W115&gt;0),0.01,ROUND(W115,2))</f>
        <v>0</v>
      </c>
      <c r="K115" s="1847"/>
      <c r="L115" s="1030"/>
      <c r="M115" s="1031"/>
      <c r="N115" s="1031"/>
      <c r="O115" s="1032"/>
      <c r="P115" s="1631"/>
      <c r="R115" s="18"/>
      <c r="S115" s="932">
        <f>IF(J115&gt;0,J115,E115)</f>
        <v>0</v>
      </c>
      <c r="T115" s="932">
        <f>LARGE($S$113:$S$120,3)</f>
        <v>0</v>
      </c>
      <c r="U115" s="684">
        <f t="shared" si="6"/>
        <v>0</v>
      </c>
      <c r="V115" s="930">
        <f t="shared" si="5"/>
        <v>0</v>
      </c>
      <c r="W115" s="923">
        <f>G115*E115</f>
        <v>0</v>
      </c>
      <c r="X115" s="1111"/>
      <c r="Y115" s="1111"/>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c r="HT115" s="14"/>
    </row>
    <row r="116" spans="2:228" ht="18" customHeight="1" x14ac:dyDescent="0.2">
      <c r="B116" s="1362" t="s">
        <v>1227</v>
      </c>
      <c r="C116" s="1363"/>
      <c r="D116" s="1364"/>
      <c r="E116" s="1373">
        <f>P103</f>
        <v>0</v>
      </c>
      <c r="F116" s="1346"/>
      <c r="G116" s="1658"/>
      <c r="H116" s="1658"/>
      <c r="I116" s="1658"/>
      <c r="J116" s="1847">
        <f>IF(AND(W116&lt;0.01,W116&gt;0),0.01,ROUND(W116,2))</f>
        <v>0</v>
      </c>
      <c r="K116" s="1847"/>
      <c r="L116" s="1030"/>
      <c r="M116" s="1031"/>
      <c r="N116" s="1031"/>
      <c r="O116" s="1032"/>
      <c r="P116" s="1631"/>
      <c r="R116" s="18"/>
      <c r="S116" s="932">
        <f>IF(J116&gt;0,J116,E116)</f>
        <v>0</v>
      </c>
      <c r="T116" s="932">
        <f>LARGE($S$113:$S$120,4)</f>
        <v>0</v>
      </c>
      <c r="U116" s="684">
        <f t="shared" si="6"/>
        <v>0</v>
      </c>
      <c r="V116" s="930">
        <f t="shared" si="5"/>
        <v>0</v>
      </c>
      <c r="W116" s="1105">
        <f t="shared" ref="W116:W117" si="7">G116*E116</f>
        <v>0</v>
      </c>
      <c r="X116" s="1111"/>
      <c r="Y116" s="1111"/>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c r="ES116" s="14"/>
      <c r="ET116" s="14"/>
      <c r="EU116" s="14"/>
      <c r="EV116" s="14"/>
      <c r="EW116" s="14"/>
      <c r="EX116" s="14"/>
      <c r="EY116" s="14"/>
      <c r="EZ116" s="14"/>
      <c r="FA116" s="14"/>
      <c r="FB116" s="14"/>
      <c r="FC116" s="14"/>
      <c r="FD116" s="14"/>
      <c r="FE116" s="14"/>
      <c r="FF116" s="14"/>
      <c r="FG116" s="14"/>
      <c r="FH116" s="14"/>
      <c r="FI116" s="14"/>
      <c r="FJ116" s="14"/>
      <c r="FK116" s="14"/>
      <c r="FL116" s="14"/>
      <c r="FM116" s="14"/>
      <c r="FN116" s="14"/>
      <c r="FO116" s="14"/>
      <c r="FP116" s="14"/>
      <c r="FQ116" s="14"/>
      <c r="FR116" s="14"/>
      <c r="FS116" s="14"/>
      <c r="FT116" s="14"/>
      <c r="FU116" s="14"/>
      <c r="FV116" s="14"/>
      <c r="FW116" s="14"/>
      <c r="FX116" s="14"/>
      <c r="FY116" s="14"/>
      <c r="FZ116" s="14"/>
      <c r="GA116" s="14"/>
      <c r="GB116" s="14"/>
      <c r="GC116" s="14"/>
      <c r="GD116" s="14"/>
      <c r="GE116" s="14"/>
      <c r="GF116" s="14"/>
      <c r="GG116" s="14"/>
      <c r="GH116" s="14"/>
      <c r="GI116" s="14"/>
      <c r="GJ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c r="HJ116" s="14"/>
      <c r="HK116" s="14"/>
      <c r="HL116" s="14"/>
      <c r="HM116" s="14"/>
      <c r="HN116" s="14"/>
      <c r="HO116" s="14"/>
      <c r="HP116" s="14"/>
      <c r="HQ116" s="14"/>
      <c r="HR116" s="14"/>
      <c r="HS116" s="14"/>
      <c r="HT116" s="14"/>
    </row>
    <row r="117" spans="2:228" ht="18" customHeight="1" x14ac:dyDescent="0.2">
      <c r="B117" s="1362" t="s">
        <v>1447</v>
      </c>
      <c r="C117" s="1363"/>
      <c r="D117" s="1364"/>
      <c r="E117" s="1342">
        <f>P106</f>
        <v>0</v>
      </c>
      <c r="F117" s="1344"/>
      <c r="G117" s="1658"/>
      <c r="H117" s="1658"/>
      <c r="I117" s="1658"/>
      <c r="J117" s="1847">
        <f>IF(AND(W117&lt;0.01,W117&gt;0),0.01,ROUND(W117,2))</f>
        <v>0</v>
      </c>
      <c r="K117" s="1847"/>
      <c r="L117" s="1588" t="str">
        <f>IF(AND(P99&gt;0,$P$427&gt;0),"The worker has motor loss impairment. No additional impairment value is allowed for reduced range of motion in the same extremity.","")</f>
        <v/>
      </c>
      <c r="M117" s="1589"/>
      <c r="N117" s="1589"/>
      <c r="O117" s="1590"/>
      <c r="P117" s="1631"/>
      <c r="R117" s="18"/>
      <c r="S117" s="932">
        <f>IF(J117&gt;0,J117,E117)</f>
        <v>0</v>
      </c>
      <c r="T117" s="932">
        <f>LARGE($S$113:$S$120,5)</f>
        <v>0</v>
      </c>
      <c r="U117" s="684">
        <f t="shared" si="6"/>
        <v>0</v>
      </c>
      <c r="V117" s="930">
        <f t="shared" si="5"/>
        <v>0</v>
      </c>
      <c r="W117" s="1105">
        <f t="shared" si="7"/>
        <v>0</v>
      </c>
      <c r="X117" s="1111"/>
      <c r="Y117" s="1111"/>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HN117" s="14"/>
      <c r="HO117" s="14"/>
      <c r="HP117" s="14"/>
      <c r="HQ117" s="14"/>
      <c r="HR117" s="14"/>
      <c r="HS117" s="14"/>
      <c r="HT117" s="14"/>
    </row>
    <row r="118" spans="2:228" ht="18" customHeight="1" x14ac:dyDescent="0.2">
      <c r="B118" s="1410" t="s">
        <v>1713</v>
      </c>
      <c r="C118" s="1410"/>
      <c r="D118" s="1410"/>
      <c r="E118" s="1373">
        <f>P108</f>
        <v>0</v>
      </c>
      <c r="F118" s="1346"/>
      <c r="G118" s="1534" t="s">
        <v>1942</v>
      </c>
      <c r="H118" s="1534"/>
      <c r="I118" s="1534"/>
      <c r="J118" s="1534"/>
      <c r="K118" s="1534"/>
      <c r="L118" s="1588"/>
      <c r="M118" s="1589"/>
      <c r="N118" s="1589"/>
      <c r="O118" s="1590"/>
      <c r="P118" s="1631"/>
      <c r="R118" s="18"/>
      <c r="S118" s="930">
        <f>E118</f>
        <v>0</v>
      </c>
      <c r="T118" s="932">
        <f>LARGE($S$113:$S$120,6)</f>
        <v>0</v>
      </c>
      <c r="U118" s="684">
        <f t="shared" si="6"/>
        <v>0</v>
      </c>
      <c r="V118" s="930">
        <f t="shared" si="5"/>
        <v>0</v>
      </c>
      <c r="W118" s="18"/>
      <c r="X118" s="1111"/>
      <c r="Y118" s="1111"/>
      <c r="Z118" s="63"/>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4"/>
      <c r="FJ118" s="14"/>
      <c r="FK118" s="14"/>
      <c r="FL118" s="14"/>
      <c r="FM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HN118" s="14"/>
      <c r="HO118" s="14"/>
      <c r="HP118" s="14"/>
      <c r="HQ118" s="14"/>
      <c r="HR118" s="14"/>
      <c r="HS118" s="14"/>
      <c r="HT118" s="14"/>
    </row>
    <row r="119" spans="2:228" ht="18" customHeight="1" x14ac:dyDescent="0.2">
      <c r="B119" s="1362" t="s">
        <v>1714</v>
      </c>
      <c r="C119" s="1363"/>
      <c r="D119" s="1364"/>
      <c r="E119" s="1342">
        <f>P109</f>
        <v>0</v>
      </c>
      <c r="F119" s="1344"/>
      <c r="G119" s="1534" t="s">
        <v>1942</v>
      </c>
      <c r="H119" s="1534"/>
      <c r="I119" s="1534"/>
      <c r="J119" s="1534"/>
      <c r="K119" s="1534"/>
      <c r="L119" s="1588"/>
      <c r="M119" s="1589"/>
      <c r="N119" s="1589"/>
      <c r="O119" s="1590"/>
      <c r="P119" s="1631"/>
      <c r="R119" s="18"/>
      <c r="S119" s="930">
        <f>E119</f>
        <v>0</v>
      </c>
      <c r="T119" s="932">
        <f>LARGE($S$113:$S$120,7)</f>
        <v>0</v>
      </c>
      <c r="U119" s="684">
        <f t="shared" si="6"/>
        <v>0</v>
      </c>
      <c r="V119" s="930">
        <f t="shared" si="5"/>
        <v>0</v>
      </c>
      <c r="W119" s="18"/>
      <c r="X119" s="1111"/>
      <c r="Y119" s="1111"/>
      <c r="Z119" s="1"/>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c r="ES119" s="14"/>
      <c r="ET119" s="14"/>
      <c r="EU119" s="14"/>
      <c r="EV119" s="14"/>
      <c r="EW119" s="14"/>
      <c r="EX119" s="14"/>
      <c r="EY119" s="14"/>
      <c r="EZ119" s="14"/>
      <c r="FA119" s="14"/>
      <c r="FB119" s="14"/>
      <c r="FC119" s="14"/>
      <c r="FD119" s="14"/>
      <c r="FE119" s="14"/>
      <c r="FF119" s="14"/>
      <c r="FG119" s="14"/>
      <c r="FH119" s="14"/>
      <c r="FI119" s="14"/>
      <c r="FJ119" s="14"/>
      <c r="FK119" s="14"/>
      <c r="FL119" s="14"/>
      <c r="FM119" s="14"/>
      <c r="FN119" s="14"/>
      <c r="FO119" s="14"/>
      <c r="FP119" s="14"/>
      <c r="FQ119" s="14"/>
      <c r="FR119" s="14"/>
      <c r="FS119" s="14"/>
      <c r="FT119" s="14"/>
      <c r="FU119" s="14"/>
      <c r="FV119" s="14"/>
      <c r="FW119" s="14"/>
      <c r="FX119" s="14"/>
      <c r="FY119" s="14"/>
      <c r="FZ119" s="14"/>
      <c r="GA119" s="14"/>
      <c r="GB119" s="14"/>
      <c r="GC119" s="14"/>
      <c r="GD119" s="14"/>
      <c r="GE119" s="14"/>
      <c r="GF119" s="14"/>
      <c r="GG119" s="14"/>
      <c r="GH119" s="14"/>
      <c r="GI119" s="14"/>
      <c r="GJ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c r="HJ119" s="14"/>
      <c r="HK119" s="14"/>
      <c r="HL119" s="14"/>
      <c r="HM119" s="14"/>
      <c r="HN119" s="14"/>
      <c r="HO119" s="14"/>
      <c r="HP119" s="14"/>
      <c r="HQ119" s="14"/>
      <c r="HR119" s="14"/>
      <c r="HS119" s="14"/>
      <c r="HT119" s="14"/>
    </row>
    <row r="120" spans="2:228" ht="18" customHeight="1" x14ac:dyDescent="0.2">
      <c r="B120" s="1408" t="s">
        <v>1128</v>
      </c>
      <c r="C120" s="1408"/>
      <c r="D120" s="1408"/>
      <c r="E120" s="1630">
        <f>P110</f>
        <v>0</v>
      </c>
      <c r="F120" s="1630"/>
      <c r="G120" s="1645" t="s">
        <v>1942</v>
      </c>
      <c r="H120" s="1645"/>
      <c r="I120" s="1645"/>
      <c r="J120" s="1645"/>
      <c r="K120" s="1645"/>
      <c r="L120" s="1588"/>
      <c r="M120" s="1589"/>
      <c r="N120" s="1589"/>
      <c r="O120" s="1590"/>
      <c r="P120" s="1631"/>
      <c r="R120" s="18"/>
      <c r="S120" s="930">
        <f>E120</f>
        <v>0</v>
      </c>
      <c r="T120" s="932">
        <f>LARGE($S$113:$S$120,8)</f>
        <v>0</v>
      </c>
      <c r="U120" s="114"/>
      <c r="V120" s="157"/>
      <c r="W120" s="63"/>
      <c r="X120" s="1111"/>
      <c r="Y120" s="1111"/>
      <c r="Z120" s="63"/>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c r="FL120" s="14"/>
      <c r="FM120" s="14"/>
      <c r="FN120" s="14"/>
      <c r="FO120" s="14"/>
      <c r="FP120" s="14"/>
      <c r="FQ120" s="14"/>
      <c r="FR120" s="14"/>
      <c r="FS120" s="14"/>
      <c r="FT120" s="14"/>
      <c r="FU120" s="14"/>
      <c r="FV120" s="14"/>
      <c r="FW120" s="14"/>
      <c r="FX120" s="14"/>
      <c r="FY120" s="14"/>
      <c r="FZ120" s="14"/>
      <c r="GA120" s="14"/>
      <c r="GB120" s="14"/>
      <c r="GC120" s="14"/>
      <c r="GD120" s="14"/>
      <c r="GE120" s="14"/>
      <c r="GF120" s="14"/>
      <c r="GG120" s="14"/>
      <c r="GH120" s="14"/>
      <c r="GI120" s="14"/>
      <c r="GJ120" s="14"/>
      <c r="GK120" s="14"/>
      <c r="GL120" s="14"/>
      <c r="GM120" s="14"/>
      <c r="GN120" s="14"/>
      <c r="GO120" s="14"/>
      <c r="GP120" s="14"/>
      <c r="GQ120" s="14"/>
      <c r="GR120" s="14"/>
      <c r="GS120" s="14"/>
      <c r="GT120" s="14"/>
      <c r="GU120" s="14"/>
      <c r="GV120" s="14"/>
      <c r="GW120" s="14"/>
      <c r="GX120" s="14"/>
      <c r="GY120" s="14"/>
      <c r="GZ120" s="14"/>
      <c r="HA120" s="14"/>
      <c r="HB120" s="14"/>
      <c r="HC120" s="14"/>
      <c r="HD120" s="14"/>
      <c r="HE120" s="14"/>
      <c r="HF120" s="14"/>
      <c r="HG120" s="14"/>
      <c r="HH120" s="14"/>
      <c r="HI120" s="14"/>
      <c r="HJ120" s="14"/>
      <c r="HK120" s="14"/>
      <c r="HL120" s="14"/>
      <c r="HM120" s="14"/>
      <c r="HN120" s="14"/>
      <c r="HO120" s="14"/>
      <c r="HP120" s="14"/>
      <c r="HQ120" s="14"/>
      <c r="HR120" s="14"/>
      <c r="HS120" s="14"/>
      <c r="HT120" s="14"/>
    </row>
    <row r="121" spans="2:228" ht="18" customHeight="1" x14ac:dyDescent="0.2">
      <c r="B121" s="1570" t="s">
        <v>577</v>
      </c>
      <c r="C121" s="1570"/>
      <c r="D121" s="1570"/>
      <c r="E121" s="1570"/>
      <c r="F121" s="1570"/>
      <c r="G121" s="1570"/>
      <c r="H121" s="1570"/>
      <c r="I121" s="1570"/>
      <c r="J121" s="1570"/>
      <c r="K121" s="1570"/>
      <c r="L121" s="1570"/>
      <c r="M121" s="1570"/>
      <c r="N121" s="1570"/>
      <c r="O121" s="1570"/>
      <c r="P121" s="1623"/>
      <c r="R121" s="18"/>
      <c r="S121" s="19"/>
      <c r="T121" s="114"/>
      <c r="U121" s="157"/>
      <c r="V121" s="18"/>
      <c r="W121" s="1111"/>
      <c r="X121" s="1111"/>
      <c r="Y121" s="1111"/>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4"/>
      <c r="BR121" s="14"/>
      <c r="BS121" s="14"/>
      <c r="BT121" s="14"/>
      <c r="BU121" s="14"/>
      <c r="BV121" s="14"/>
      <c r="BW121" s="14"/>
      <c r="BX121" s="14"/>
      <c r="BY121" s="14"/>
      <c r="BZ121" s="14"/>
      <c r="CA121" s="14"/>
      <c r="CB121" s="14"/>
      <c r="CC121" s="14"/>
      <c r="CD121" s="14"/>
      <c r="CE121" s="14"/>
      <c r="CF121" s="14"/>
      <c r="CG121" s="14"/>
      <c r="CH121" s="14"/>
      <c r="CI121" s="14"/>
      <c r="CJ121" s="14"/>
      <c r="CK121" s="14"/>
      <c r="CL121" s="14"/>
      <c r="CM121" s="14"/>
      <c r="CN121" s="14"/>
      <c r="CO121" s="14"/>
      <c r="CP121" s="14"/>
      <c r="CQ121" s="14"/>
      <c r="CR121" s="14"/>
      <c r="CS121" s="14"/>
      <c r="CT121" s="14"/>
      <c r="CU121" s="14"/>
      <c r="CV121" s="14"/>
      <c r="CW121" s="14"/>
      <c r="CX121" s="14"/>
      <c r="CY121" s="14"/>
      <c r="CZ121" s="14"/>
      <c r="DA121" s="14"/>
      <c r="DB121" s="14"/>
      <c r="DC121" s="14"/>
      <c r="DD121" s="14"/>
      <c r="DE121" s="14"/>
      <c r="DF121" s="14"/>
      <c r="DG121" s="14"/>
      <c r="DH121" s="14"/>
      <c r="DI121" s="14"/>
      <c r="DJ121" s="14"/>
      <c r="DK121" s="14"/>
      <c r="DL121" s="14"/>
      <c r="DM121" s="14"/>
      <c r="DN121" s="14"/>
      <c r="DO121" s="14"/>
      <c r="DP121" s="14"/>
      <c r="DQ121" s="14"/>
      <c r="DR121" s="14"/>
      <c r="DS121" s="14"/>
      <c r="DT121" s="14"/>
      <c r="DU121" s="14"/>
      <c r="DV121" s="14"/>
      <c r="DW121" s="14"/>
      <c r="DX121" s="14"/>
      <c r="DY121" s="14"/>
      <c r="DZ121" s="14"/>
      <c r="EA121" s="14"/>
      <c r="EB121" s="14"/>
      <c r="EC121" s="14"/>
      <c r="ED121" s="14"/>
      <c r="EE121" s="14"/>
      <c r="EF121" s="14"/>
      <c r="EG121" s="14"/>
      <c r="EH121" s="14"/>
      <c r="EI121" s="14"/>
      <c r="EJ121" s="14"/>
      <c r="EK121" s="14"/>
      <c r="EL121" s="14"/>
      <c r="EM121" s="14"/>
      <c r="EN121" s="14"/>
      <c r="EO121" s="14"/>
      <c r="EP121" s="14"/>
      <c r="EQ121" s="14"/>
      <c r="ER121" s="14"/>
      <c r="ES121" s="14"/>
      <c r="ET121" s="14"/>
      <c r="EU121" s="14"/>
      <c r="EV121" s="14"/>
      <c r="EW121" s="14"/>
      <c r="EX121" s="14"/>
      <c r="EY121" s="14"/>
      <c r="EZ121" s="14"/>
      <c r="FA121" s="14"/>
      <c r="FB121" s="14"/>
      <c r="FC121" s="14"/>
      <c r="FD121" s="14"/>
      <c r="FE121" s="14"/>
      <c r="FF121" s="14"/>
      <c r="FG121" s="14"/>
      <c r="FH121" s="14"/>
      <c r="FI121" s="14"/>
      <c r="FJ121" s="14"/>
      <c r="FK121" s="14"/>
      <c r="FL121" s="14"/>
      <c r="FM121" s="14"/>
      <c r="FN121" s="14"/>
      <c r="FO121" s="14"/>
      <c r="FP121" s="14"/>
      <c r="FQ121" s="14"/>
      <c r="FR121" s="14"/>
      <c r="FS121" s="14"/>
      <c r="FT121" s="14"/>
      <c r="FU121" s="14"/>
      <c r="FV121" s="14"/>
      <c r="FW121" s="14"/>
      <c r="FX121" s="14"/>
      <c r="FY121" s="14"/>
      <c r="FZ121" s="14"/>
      <c r="GA121" s="14"/>
      <c r="GB121" s="14"/>
      <c r="GC121" s="14"/>
      <c r="GD121" s="14"/>
      <c r="GE121" s="14"/>
      <c r="GF121" s="14"/>
      <c r="GG121" s="14"/>
      <c r="GH121" s="14"/>
      <c r="GI121" s="14"/>
      <c r="GJ121" s="14"/>
      <c r="GK121" s="14"/>
      <c r="GL121" s="14"/>
      <c r="GM121" s="14"/>
      <c r="GN121" s="14"/>
      <c r="GO121" s="14"/>
      <c r="GP121" s="14"/>
      <c r="GQ121" s="14"/>
      <c r="GR121" s="14"/>
      <c r="GS121" s="14"/>
      <c r="GT121" s="14"/>
      <c r="GU121" s="14"/>
      <c r="GV121" s="14"/>
      <c r="GW121" s="14"/>
      <c r="GX121" s="14"/>
      <c r="GY121" s="14"/>
      <c r="GZ121" s="14"/>
      <c r="HA121" s="14"/>
      <c r="HB121" s="14"/>
      <c r="HC121" s="14"/>
      <c r="HD121" s="14"/>
      <c r="HE121" s="14"/>
      <c r="HF121" s="14"/>
      <c r="HG121" s="14"/>
      <c r="HH121" s="14"/>
      <c r="HI121" s="14"/>
      <c r="HJ121" s="14"/>
      <c r="HK121" s="14"/>
      <c r="HL121" s="14"/>
      <c r="HM121" s="14"/>
      <c r="HN121" s="14"/>
      <c r="HO121" s="14"/>
      <c r="HP121" s="14"/>
      <c r="HQ121" s="14"/>
      <c r="HR121" s="14"/>
      <c r="HS121" s="14"/>
      <c r="HT121" s="14"/>
    </row>
    <row r="122" spans="2:228" ht="11.25" customHeight="1" x14ac:dyDescent="0.2">
      <c r="B122" s="1772"/>
      <c r="C122" s="1772"/>
      <c r="D122" s="1772"/>
      <c r="E122" s="1772"/>
      <c r="F122" s="1772"/>
      <c r="G122" s="1772"/>
      <c r="H122" s="1772"/>
      <c r="I122" s="1772"/>
      <c r="J122" s="1772"/>
      <c r="K122" s="1772"/>
      <c r="L122" s="1772"/>
      <c r="M122" s="1772"/>
      <c r="N122" s="1772"/>
      <c r="O122" s="1772"/>
      <c r="P122" s="1772"/>
      <c r="R122" s="18"/>
      <c r="S122" s="18"/>
      <c r="T122" s="18"/>
      <c r="U122" s="18"/>
      <c r="V122" s="1111"/>
      <c r="W122" s="1111"/>
      <c r="X122" s="63"/>
      <c r="Y122" s="63"/>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4"/>
      <c r="BR122" s="14"/>
      <c r="BS122" s="14"/>
      <c r="BT122" s="14"/>
      <c r="BU122" s="14"/>
      <c r="BV122" s="14"/>
      <c r="BW122" s="14"/>
      <c r="BX122" s="14"/>
      <c r="BY122" s="14"/>
      <c r="BZ122" s="14"/>
      <c r="CA122" s="14"/>
      <c r="CB122" s="14"/>
      <c r="CC122" s="14"/>
      <c r="CD122" s="14"/>
      <c r="CE122" s="14"/>
      <c r="CF122" s="14"/>
      <c r="CG122" s="14"/>
      <c r="CH122" s="14"/>
      <c r="CI122" s="14"/>
      <c r="CJ122" s="14"/>
      <c r="CK122" s="14"/>
      <c r="CL122" s="14"/>
      <c r="CM122" s="14"/>
      <c r="CN122" s="14"/>
      <c r="CO122" s="14"/>
      <c r="CP122" s="14"/>
      <c r="CQ122" s="14"/>
      <c r="CR122" s="14"/>
      <c r="CS122" s="14"/>
      <c r="CT122" s="14"/>
      <c r="CU122" s="14"/>
      <c r="CV122" s="14"/>
      <c r="CW122" s="14"/>
      <c r="CX122" s="14"/>
      <c r="CY122" s="14"/>
      <c r="CZ122" s="14"/>
      <c r="DA122" s="14"/>
      <c r="DB122" s="14"/>
      <c r="DC122" s="14"/>
      <c r="DD122" s="14"/>
      <c r="DE122" s="14"/>
      <c r="DF122" s="14"/>
      <c r="DG122" s="14"/>
      <c r="DH122" s="14"/>
      <c r="DI122" s="14"/>
      <c r="DJ122" s="14"/>
      <c r="DK122" s="14"/>
      <c r="DL122" s="14"/>
      <c r="DM122" s="14"/>
      <c r="DN122" s="14"/>
      <c r="DO122" s="14"/>
      <c r="DP122" s="14"/>
      <c r="DQ122" s="14"/>
      <c r="DR122" s="14"/>
      <c r="DS122" s="14"/>
      <c r="DT122" s="14"/>
      <c r="DU122" s="14"/>
      <c r="DV122" s="14"/>
      <c r="DW122" s="14"/>
      <c r="DX122" s="14"/>
      <c r="DY122" s="14"/>
      <c r="DZ122" s="14"/>
      <c r="EA122" s="14"/>
      <c r="EB122" s="14"/>
      <c r="EC122" s="14"/>
      <c r="ED122" s="14"/>
      <c r="EE122" s="14"/>
      <c r="EF122" s="14"/>
      <c r="EG122" s="14"/>
      <c r="EH122" s="14"/>
      <c r="EI122" s="14"/>
      <c r="EJ122" s="14"/>
      <c r="EK122" s="14"/>
      <c r="EL122" s="14"/>
      <c r="EM122" s="14"/>
      <c r="EN122" s="14"/>
      <c r="EO122" s="14"/>
      <c r="EP122" s="14"/>
      <c r="EQ122" s="14"/>
      <c r="ER122" s="14"/>
      <c r="ES122" s="14"/>
      <c r="ET122" s="14"/>
      <c r="EU122" s="14"/>
      <c r="EV122" s="14"/>
      <c r="EW122" s="14"/>
      <c r="EX122" s="14"/>
      <c r="EY122" s="14"/>
      <c r="EZ122" s="14"/>
      <c r="FA122" s="14"/>
      <c r="FB122" s="14"/>
      <c r="FC122" s="14"/>
      <c r="FD122" s="14"/>
      <c r="FE122" s="14"/>
      <c r="FF122" s="14"/>
      <c r="FG122" s="14"/>
      <c r="FH122" s="14"/>
      <c r="FI122" s="14"/>
      <c r="FJ122" s="14"/>
      <c r="FK122" s="14"/>
      <c r="FL122" s="14"/>
      <c r="FM122" s="14"/>
      <c r="FN122" s="14"/>
      <c r="FO122" s="14"/>
      <c r="FP122" s="14"/>
      <c r="FQ122" s="14"/>
      <c r="FR122" s="14"/>
      <c r="FS122" s="14"/>
      <c r="FT122" s="14"/>
      <c r="FU122" s="14"/>
      <c r="FV122" s="14"/>
      <c r="FW122" s="14"/>
      <c r="FX122" s="14"/>
      <c r="FY122" s="14"/>
      <c r="FZ122" s="14"/>
      <c r="GA122" s="14"/>
      <c r="GB122" s="14"/>
      <c r="GC122" s="14"/>
      <c r="GD122" s="14"/>
      <c r="GE122" s="14"/>
      <c r="GF122" s="14"/>
      <c r="GG122" s="14"/>
      <c r="GH122" s="14"/>
      <c r="GI122" s="14"/>
      <c r="GJ122" s="14"/>
      <c r="GK122" s="14"/>
      <c r="GL122" s="14"/>
      <c r="GM122" s="14"/>
      <c r="GN122" s="14"/>
      <c r="GO122" s="14"/>
      <c r="GP122" s="14"/>
      <c r="GQ122" s="14"/>
      <c r="GR122" s="14"/>
      <c r="GS122" s="14"/>
      <c r="GT122" s="14"/>
      <c r="GU122" s="14"/>
      <c r="GV122" s="14"/>
      <c r="GW122" s="14"/>
      <c r="GX122" s="14"/>
      <c r="GY122" s="14"/>
      <c r="GZ122" s="14"/>
      <c r="HA122" s="14"/>
      <c r="HB122" s="14"/>
      <c r="HC122" s="14"/>
      <c r="HD122" s="14"/>
      <c r="HE122" s="14"/>
      <c r="HF122" s="14"/>
      <c r="HG122" s="14"/>
      <c r="HH122" s="14"/>
      <c r="HI122" s="14"/>
      <c r="HJ122" s="14"/>
      <c r="HK122" s="14"/>
      <c r="HL122" s="14"/>
      <c r="HM122" s="14"/>
      <c r="HN122" s="14"/>
      <c r="HO122" s="14"/>
      <c r="HP122" s="14"/>
      <c r="HQ122" s="14"/>
      <c r="HR122" s="14"/>
      <c r="HS122" s="14"/>
      <c r="HT122" s="14"/>
    </row>
    <row r="123" spans="2:228" x14ac:dyDescent="0.2">
      <c r="B123" s="1772"/>
      <c r="C123" s="1772"/>
      <c r="D123" s="1772"/>
      <c r="E123" s="1772"/>
      <c r="F123" s="1772"/>
      <c r="G123" s="1772"/>
      <c r="H123" s="1772"/>
      <c r="I123" s="1772"/>
      <c r="J123" s="1772"/>
      <c r="K123" s="1772"/>
      <c r="L123" s="1772"/>
      <c r="M123" s="1772"/>
      <c r="N123" s="1772"/>
      <c r="O123" s="1772"/>
      <c r="P123" s="1772"/>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4"/>
      <c r="BR123" s="14"/>
      <c r="BS123" s="14"/>
      <c r="BT123" s="14"/>
      <c r="BU123" s="14"/>
      <c r="BV123" s="14"/>
      <c r="BW123" s="14"/>
      <c r="BX123" s="14"/>
      <c r="BY123" s="14"/>
      <c r="BZ123" s="14"/>
      <c r="CA123" s="14"/>
      <c r="CB123" s="14"/>
      <c r="CC123" s="14"/>
      <c r="CD123" s="14"/>
      <c r="CE123" s="14"/>
      <c r="CF123" s="14"/>
      <c r="CG123" s="14"/>
      <c r="CH123" s="14"/>
      <c r="CI123" s="14"/>
      <c r="CJ123" s="14"/>
      <c r="CK123" s="14"/>
      <c r="CL123" s="14"/>
      <c r="CM123" s="14"/>
      <c r="CN123" s="14"/>
      <c r="CO123" s="14"/>
      <c r="CP123" s="14"/>
      <c r="CQ123" s="14"/>
      <c r="CR123" s="14"/>
      <c r="CS123" s="14"/>
      <c r="CT123" s="14"/>
      <c r="CU123" s="14"/>
      <c r="CV123" s="14"/>
      <c r="CW123" s="14"/>
      <c r="CX123" s="14"/>
      <c r="CY123" s="14"/>
      <c r="CZ123" s="14"/>
      <c r="DA123" s="14"/>
      <c r="DB123" s="14"/>
      <c r="DC123" s="14"/>
      <c r="DD123" s="14"/>
      <c r="DE123" s="14"/>
      <c r="DF123" s="14"/>
      <c r="DG123" s="14"/>
      <c r="DH123" s="14"/>
      <c r="DI123" s="14"/>
      <c r="DJ123" s="14"/>
      <c r="DK123" s="14"/>
      <c r="DL123" s="14"/>
      <c r="DM123" s="14"/>
      <c r="DN123" s="14"/>
      <c r="DO123" s="14"/>
      <c r="DP123" s="14"/>
      <c r="DQ123" s="14"/>
      <c r="DR123" s="14"/>
      <c r="DS123" s="14"/>
      <c r="DT123" s="14"/>
      <c r="DU123" s="14"/>
      <c r="DV123" s="14"/>
      <c r="DW123" s="14"/>
      <c r="DX123" s="14"/>
      <c r="DY123" s="14"/>
      <c r="DZ123" s="14"/>
      <c r="EA123" s="14"/>
      <c r="EB123" s="14"/>
      <c r="EC123" s="14"/>
      <c r="ED123" s="14"/>
      <c r="EE123" s="14"/>
      <c r="EF123" s="14"/>
      <c r="EG123" s="14"/>
      <c r="EH123" s="14"/>
      <c r="EI123" s="14"/>
      <c r="EJ123" s="14"/>
      <c r="EK123" s="14"/>
      <c r="EL123" s="14"/>
      <c r="EM123" s="14"/>
      <c r="EN123" s="14"/>
      <c r="EO123" s="14"/>
      <c r="EP123" s="14"/>
      <c r="EQ123" s="14"/>
      <c r="ER123" s="14"/>
      <c r="ES123" s="14"/>
      <c r="ET123" s="14"/>
      <c r="EU123" s="14"/>
      <c r="EV123" s="14"/>
      <c r="EW123" s="14"/>
      <c r="EX123" s="14"/>
      <c r="EY123" s="14"/>
      <c r="EZ123" s="14"/>
      <c r="FA123" s="14"/>
      <c r="FB123" s="14"/>
      <c r="FC123" s="14"/>
      <c r="FD123" s="14"/>
      <c r="FE123" s="14"/>
      <c r="FF123" s="14"/>
      <c r="FG123" s="14"/>
      <c r="FH123" s="14"/>
      <c r="FI123" s="14"/>
      <c r="FJ123" s="14"/>
      <c r="FK123" s="14"/>
      <c r="FL123" s="14"/>
      <c r="FM123" s="14"/>
      <c r="FN123" s="14"/>
      <c r="FO123" s="14"/>
      <c r="FP123" s="14"/>
      <c r="FQ123" s="14"/>
      <c r="FR123" s="14"/>
      <c r="FS123" s="14"/>
      <c r="FT123" s="14"/>
      <c r="FU123" s="14"/>
      <c r="FV123" s="14"/>
      <c r="FW123" s="14"/>
      <c r="FX123" s="14"/>
      <c r="FY123" s="14"/>
      <c r="FZ123" s="14"/>
      <c r="GA123" s="14"/>
      <c r="GB123" s="14"/>
      <c r="GC123" s="14"/>
      <c r="GD123" s="14"/>
      <c r="GE123" s="14"/>
      <c r="GF123" s="14"/>
      <c r="GG123" s="14"/>
      <c r="GH123" s="14"/>
      <c r="GI123" s="14"/>
      <c r="GJ123" s="14"/>
      <c r="GK123" s="14"/>
      <c r="GL123" s="14"/>
      <c r="GM123" s="14"/>
      <c r="GN123" s="14"/>
      <c r="GO123" s="14"/>
      <c r="GP123" s="14"/>
      <c r="GQ123" s="14"/>
      <c r="GR123" s="14"/>
      <c r="GS123" s="14"/>
      <c r="GT123" s="14"/>
      <c r="GU123" s="14"/>
      <c r="GV123" s="14"/>
      <c r="GW123" s="14"/>
      <c r="GX123" s="14"/>
      <c r="GY123" s="14"/>
      <c r="GZ123" s="14"/>
      <c r="HA123" s="14"/>
      <c r="HB123" s="14"/>
      <c r="HC123" s="14"/>
      <c r="HD123" s="14"/>
      <c r="HE123" s="14"/>
      <c r="HF123" s="14"/>
      <c r="HG123" s="14"/>
      <c r="HH123" s="14"/>
      <c r="HI123" s="14"/>
      <c r="HJ123" s="14"/>
      <c r="HK123" s="14"/>
      <c r="HL123" s="14"/>
      <c r="HM123" s="14"/>
      <c r="HN123" s="14"/>
      <c r="HO123" s="14"/>
      <c r="HP123" s="14"/>
      <c r="HQ123" s="14"/>
      <c r="HR123" s="14"/>
      <c r="HS123" s="14"/>
      <c r="HT123" s="14"/>
    </row>
    <row r="124" spans="2:228" ht="18" customHeight="1" x14ac:dyDescent="0.2">
      <c r="B124" s="1860" t="s">
        <v>578</v>
      </c>
      <c r="C124" s="1959"/>
      <c r="D124" s="1959"/>
      <c r="E124" s="1959"/>
      <c r="F124" s="1959"/>
      <c r="G124" s="1959"/>
      <c r="H124" s="1959"/>
      <c r="I124" s="1959"/>
      <c r="J124" s="1959"/>
      <c r="K124" s="1959"/>
      <c r="L124" s="1959"/>
      <c r="M124" s="1959"/>
      <c r="N124" s="1959"/>
      <c r="O124" s="1959"/>
      <c r="P124" s="1959"/>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4"/>
      <c r="BR124" s="14"/>
      <c r="BS124" s="14"/>
      <c r="BT124" s="14"/>
      <c r="BU124" s="14"/>
      <c r="BV124" s="14"/>
      <c r="BW124" s="14"/>
      <c r="BX124" s="14"/>
      <c r="BY124" s="14"/>
      <c r="BZ124" s="14"/>
      <c r="CA124" s="14"/>
      <c r="CB124" s="14"/>
      <c r="CC124" s="14"/>
      <c r="CD124" s="14"/>
      <c r="CE124" s="14"/>
      <c r="CF124" s="14"/>
      <c r="CG124" s="14"/>
      <c r="CH124" s="14"/>
      <c r="CI124" s="14"/>
      <c r="CJ124" s="14"/>
      <c r="CK124" s="14"/>
      <c r="CL124" s="14"/>
      <c r="CM124" s="14"/>
      <c r="CN124" s="14"/>
      <c r="CO124" s="14"/>
      <c r="CP124" s="14"/>
      <c r="CQ124" s="14"/>
      <c r="CR124" s="14"/>
      <c r="CS124" s="14"/>
      <c r="CT124" s="14"/>
      <c r="CU124" s="14"/>
      <c r="CV124" s="14"/>
      <c r="CW124" s="14"/>
      <c r="CX124" s="14"/>
      <c r="CY124" s="14"/>
      <c r="CZ124" s="14"/>
      <c r="DA124" s="14"/>
      <c r="DB124" s="14"/>
      <c r="DC124" s="14"/>
      <c r="DD124" s="14"/>
      <c r="DE124" s="14"/>
      <c r="DF124" s="14"/>
      <c r="DG124" s="14"/>
      <c r="DH124" s="14"/>
      <c r="DI124" s="14"/>
      <c r="DJ124" s="14"/>
      <c r="DK124" s="14"/>
      <c r="DL124" s="14"/>
      <c r="DM124" s="14"/>
      <c r="DN124" s="14"/>
      <c r="DO124" s="14"/>
      <c r="DP124" s="14"/>
      <c r="DQ124" s="14"/>
      <c r="DR124" s="14"/>
      <c r="DS124" s="14"/>
      <c r="DT124" s="14"/>
      <c r="DU124" s="14"/>
      <c r="DV124" s="14"/>
      <c r="DW124" s="14"/>
      <c r="DX124" s="14"/>
      <c r="DY124" s="14"/>
      <c r="DZ124" s="14"/>
      <c r="EA124" s="14"/>
      <c r="EB124" s="14"/>
      <c r="EC124" s="14"/>
      <c r="ED124" s="14"/>
      <c r="EE124" s="14"/>
      <c r="EF124" s="14"/>
      <c r="EG124" s="14"/>
      <c r="EH124" s="14"/>
      <c r="EI124" s="14"/>
      <c r="EJ124" s="14"/>
      <c r="EK124" s="14"/>
      <c r="EL124" s="14"/>
      <c r="EM124" s="14"/>
      <c r="EN124" s="14"/>
      <c r="EO124" s="14"/>
      <c r="EP124" s="14"/>
      <c r="EQ124" s="14"/>
      <c r="ER124" s="14"/>
      <c r="ES124" s="14"/>
      <c r="ET124" s="14"/>
      <c r="EU124" s="14"/>
      <c r="EV124" s="14"/>
      <c r="EW124" s="14"/>
      <c r="EX124" s="14"/>
      <c r="EY124" s="14"/>
      <c r="EZ124" s="14"/>
      <c r="FA124" s="14"/>
      <c r="FB124" s="14"/>
      <c r="FC124" s="14"/>
      <c r="FD124" s="14"/>
      <c r="FE124" s="14"/>
      <c r="FF124" s="14"/>
      <c r="FG124" s="14"/>
      <c r="FH124" s="14"/>
      <c r="FI124" s="14"/>
      <c r="FJ124" s="14"/>
      <c r="FK124" s="14"/>
      <c r="FL124" s="14"/>
      <c r="FM124" s="14"/>
      <c r="FN124" s="14"/>
      <c r="FO124" s="14"/>
      <c r="FP124" s="14"/>
      <c r="FQ124" s="14"/>
      <c r="FR124" s="14"/>
      <c r="FS124" s="14"/>
      <c r="FT124" s="14"/>
      <c r="FU124" s="14"/>
      <c r="FV124" s="14"/>
      <c r="FW124" s="14"/>
      <c r="FX124" s="14"/>
      <c r="FY124" s="14"/>
      <c r="FZ124" s="14"/>
      <c r="GA124" s="14"/>
      <c r="GB124" s="14"/>
      <c r="GC124" s="14"/>
      <c r="GD124" s="14"/>
      <c r="GE124" s="14"/>
      <c r="GF124" s="14"/>
      <c r="GG124" s="14"/>
      <c r="GH124" s="14"/>
      <c r="GI124" s="14"/>
      <c r="GJ124" s="14"/>
      <c r="GK124" s="14"/>
      <c r="GL124" s="14"/>
      <c r="GM124" s="14"/>
      <c r="GN124" s="14"/>
      <c r="GO124" s="14"/>
      <c r="GP124" s="14"/>
      <c r="GQ124" s="14"/>
      <c r="GR124" s="14"/>
      <c r="GS124" s="14"/>
      <c r="GT124" s="14"/>
      <c r="GU124" s="14"/>
      <c r="GV124" s="14"/>
      <c r="GW124" s="14"/>
      <c r="GX124" s="14"/>
      <c r="GY124" s="14"/>
      <c r="GZ124" s="14"/>
      <c r="HA124" s="14"/>
      <c r="HB124" s="14"/>
      <c r="HC124" s="14"/>
      <c r="HD124" s="14"/>
      <c r="HE124" s="14"/>
      <c r="HF124" s="14"/>
      <c r="HG124" s="14"/>
      <c r="HH124" s="14"/>
      <c r="HI124" s="14"/>
      <c r="HJ124" s="14"/>
      <c r="HK124" s="14"/>
      <c r="HL124" s="14"/>
      <c r="HM124" s="14"/>
      <c r="HN124" s="14"/>
      <c r="HO124" s="14"/>
      <c r="HP124" s="14"/>
      <c r="HQ124" s="14"/>
      <c r="HR124" s="14"/>
      <c r="HS124" s="14"/>
      <c r="HT124" s="14"/>
    </row>
    <row r="125" spans="2:228" ht="15" customHeight="1" x14ac:dyDescent="0.2">
      <c r="B125" s="1555" t="s">
        <v>579</v>
      </c>
      <c r="C125" s="1555"/>
      <c r="D125" s="1555"/>
      <c r="E125" s="1555"/>
      <c r="F125" s="1555"/>
      <c r="G125" s="1555"/>
      <c r="H125" s="1555"/>
      <c r="I125" s="1555"/>
      <c r="J125" s="1555"/>
      <c r="K125" s="1555"/>
      <c r="L125" s="1555"/>
      <c r="M125" s="1555"/>
      <c r="N125" s="1555"/>
      <c r="O125" s="1555"/>
      <c r="P125" s="1555"/>
      <c r="R125" s="18"/>
      <c r="S125" s="18"/>
      <c r="T125" s="1379" t="s">
        <v>580</v>
      </c>
      <c r="U125" s="922" t="s">
        <v>1318</v>
      </c>
      <c r="V125" s="922" t="s">
        <v>1075</v>
      </c>
      <c r="W125" s="695" t="s">
        <v>1076</v>
      </c>
      <c r="X125" s="922" t="s">
        <v>1264</v>
      </c>
      <c r="Y125" s="922" t="s">
        <v>1265</v>
      </c>
      <c r="Z125" s="922" t="s">
        <v>1866</v>
      </c>
      <c r="AA125" s="932" t="s">
        <v>1704</v>
      </c>
      <c r="AB125" s="932" t="s">
        <v>99</v>
      </c>
      <c r="AC125" s="932" t="s">
        <v>100</v>
      </c>
      <c r="AD125" s="922" t="s">
        <v>1741</v>
      </c>
      <c r="AE125" s="922" t="s">
        <v>1742</v>
      </c>
      <c r="AF125" s="922" t="s">
        <v>1743</v>
      </c>
      <c r="AG125" s="922" t="s">
        <v>78</v>
      </c>
      <c r="AH125" s="922" t="s">
        <v>79</v>
      </c>
      <c r="AI125" s="922" t="s">
        <v>821</v>
      </c>
      <c r="AJ125" s="922" t="s">
        <v>822</v>
      </c>
      <c r="AK125" s="922" t="s">
        <v>823</v>
      </c>
      <c r="AL125" s="922" t="s">
        <v>824</v>
      </c>
      <c r="AM125" s="922" t="s">
        <v>1134</v>
      </c>
      <c r="AN125" s="922" t="s">
        <v>1544</v>
      </c>
      <c r="AO125" s="922" t="s">
        <v>203</v>
      </c>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4"/>
      <c r="EG125" s="14"/>
      <c r="EH125" s="14"/>
      <c r="EI125" s="14"/>
      <c r="EJ125" s="14"/>
      <c r="EK125" s="14"/>
      <c r="EL125" s="14"/>
      <c r="EM125" s="14"/>
      <c r="EN125" s="14"/>
      <c r="EO125" s="14"/>
      <c r="EP125" s="14"/>
      <c r="EQ125" s="14"/>
      <c r="ER125" s="14"/>
      <c r="ES125" s="14"/>
      <c r="ET125" s="14"/>
      <c r="EU125" s="14"/>
      <c r="EV125" s="14"/>
      <c r="EW125" s="14"/>
      <c r="EX125" s="14"/>
      <c r="EY125" s="14"/>
      <c r="EZ125" s="14"/>
      <c r="FA125" s="14"/>
      <c r="FB125" s="14"/>
      <c r="FC125" s="14"/>
      <c r="FD125" s="14"/>
      <c r="FE125" s="14"/>
      <c r="FF125" s="14"/>
      <c r="FG125" s="14"/>
      <c r="FH125" s="14"/>
      <c r="FI125" s="14"/>
      <c r="FJ125" s="14"/>
      <c r="FK125" s="14"/>
      <c r="FL125" s="14"/>
      <c r="FM125" s="14"/>
      <c r="FN125" s="14"/>
      <c r="FO125" s="14"/>
      <c r="FP125" s="14"/>
      <c r="FQ125" s="14"/>
      <c r="FR125" s="14"/>
      <c r="FS125" s="14"/>
      <c r="FT125" s="14"/>
      <c r="FU125" s="14"/>
      <c r="FV125" s="14"/>
      <c r="FW125" s="14"/>
      <c r="FX125" s="14"/>
      <c r="FY125" s="14"/>
      <c r="FZ125" s="14"/>
      <c r="GA125" s="14"/>
      <c r="GB125" s="14"/>
      <c r="GC125" s="14"/>
      <c r="GD125" s="14"/>
      <c r="GE125" s="14"/>
      <c r="GF125" s="14"/>
      <c r="GG125" s="14"/>
      <c r="GH125" s="14"/>
      <c r="GI125" s="14"/>
      <c r="GJ125" s="14"/>
      <c r="GK125" s="14"/>
      <c r="GL125" s="14"/>
      <c r="GM125" s="14"/>
      <c r="GN125" s="14"/>
      <c r="GO125" s="14"/>
      <c r="GP125" s="14"/>
      <c r="GQ125" s="14"/>
      <c r="GR125" s="14"/>
      <c r="GS125" s="14"/>
      <c r="GT125" s="14"/>
      <c r="GU125" s="14"/>
      <c r="GV125" s="14"/>
      <c r="GW125" s="14"/>
      <c r="GX125" s="14"/>
      <c r="GY125" s="14"/>
      <c r="GZ125" s="14"/>
      <c r="HA125" s="14"/>
      <c r="HB125" s="14"/>
      <c r="HC125" s="14"/>
      <c r="HD125" s="14"/>
      <c r="HE125" s="14"/>
      <c r="HF125" s="14"/>
      <c r="HG125" s="14"/>
      <c r="HH125" s="14"/>
      <c r="HI125" s="14"/>
      <c r="HJ125" s="14"/>
      <c r="HK125" s="14"/>
      <c r="HL125" s="14"/>
      <c r="HM125" s="14"/>
      <c r="HN125" s="14"/>
      <c r="HO125" s="14"/>
      <c r="HP125" s="14"/>
      <c r="HQ125" s="14"/>
      <c r="HR125" s="14"/>
      <c r="HS125" s="14"/>
      <c r="HT125" s="14"/>
    </row>
    <row r="126" spans="2:228" ht="27.75" customHeight="1" x14ac:dyDescent="0.2">
      <c r="B126" s="1629"/>
      <c r="C126" s="1629"/>
      <c r="D126" s="1629"/>
      <c r="E126" s="1629"/>
      <c r="F126" s="1629"/>
      <c r="G126" s="1629"/>
      <c r="H126" s="1629"/>
      <c r="I126" s="1629"/>
      <c r="J126" s="1629"/>
      <c r="K126" s="1629"/>
      <c r="L126" s="1629"/>
      <c r="M126" s="1629"/>
      <c r="N126" s="1629"/>
      <c r="O126" s="1629"/>
      <c r="P126" s="26">
        <f>SUMIF(U125:AO125,B126,U126:AO126)</f>
        <v>0</v>
      </c>
      <c r="R126" s="18"/>
      <c r="S126" s="18"/>
      <c r="T126" s="1379"/>
      <c r="U126" s="930">
        <v>0</v>
      </c>
      <c r="V126" s="932">
        <v>0.05</v>
      </c>
      <c r="W126" s="932">
        <v>0.1</v>
      </c>
      <c r="X126" s="932">
        <v>0.15</v>
      </c>
      <c r="Y126" s="932">
        <v>0.2</v>
      </c>
      <c r="Z126" s="932">
        <v>0.25</v>
      </c>
      <c r="AA126" s="932">
        <v>0.3</v>
      </c>
      <c r="AB126" s="932">
        <v>0.35</v>
      </c>
      <c r="AC126" s="932">
        <v>0.4</v>
      </c>
      <c r="AD126" s="932">
        <v>0.45</v>
      </c>
      <c r="AE126" s="932">
        <v>0.5</v>
      </c>
      <c r="AF126" s="932">
        <v>0.55000000000000004</v>
      </c>
      <c r="AG126" s="932">
        <v>0.6</v>
      </c>
      <c r="AH126" s="932">
        <v>0.65</v>
      </c>
      <c r="AI126" s="932">
        <v>0.7</v>
      </c>
      <c r="AJ126" s="932">
        <v>0.75</v>
      </c>
      <c r="AK126" s="932">
        <v>0.8</v>
      </c>
      <c r="AL126" s="932">
        <v>0.85</v>
      </c>
      <c r="AM126" s="932">
        <v>0.9</v>
      </c>
      <c r="AN126" s="932">
        <v>0.95</v>
      </c>
      <c r="AO126" s="932">
        <v>1</v>
      </c>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4"/>
      <c r="EG126" s="14"/>
      <c r="EH126" s="14"/>
      <c r="EI126" s="14"/>
      <c r="EJ126" s="14"/>
      <c r="EK126" s="14"/>
      <c r="EL126" s="14"/>
      <c r="EM126" s="14"/>
      <c r="EN126" s="14"/>
      <c r="EO126" s="14"/>
      <c r="EP126" s="14"/>
      <c r="EQ126" s="14"/>
      <c r="ER126" s="14"/>
      <c r="ES126" s="14"/>
      <c r="ET126" s="14"/>
      <c r="EU126" s="14"/>
      <c r="EV126" s="14"/>
      <c r="EW126" s="14"/>
      <c r="EX126" s="14"/>
      <c r="EY126" s="14"/>
      <c r="EZ126" s="14"/>
      <c r="FA126" s="14"/>
      <c r="FB126" s="14"/>
      <c r="FC126" s="14"/>
      <c r="FD126" s="14"/>
      <c r="FE126" s="14"/>
      <c r="FF126" s="14"/>
      <c r="FG126" s="14"/>
      <c r="FH126" s="14"/>
      <c r="FI126" s="14"/>
      <c r="FJ126" s="14"/>
      <c r="FK126" s="14"/>
      <c r="FL126" s="14"/>
      <c r="FM126" s="14"/>
      <c r="FN126" s="14"/>
      <c r="FO126" s="14"/>
      <c r="FP126" s="14"/>
      <c r="FQ126" s="14"/>
      <c r="FR126" s="14"/>
      <c r="FS126" s="14"/>
      <c r="FT126" s="14"/>
      <c r="FU126" s="14"/>
      <c r="FV126" s="14"/>
      <c r="FW126" s="14"/>
      <c r="FX126" s="14"/>
      <c r="FY126" s="14"/>
      <c r="FZ126" s="14"/>
      <c r="GA126" s="14"/>
      <c r="GB126" s="14"/>
      <c r="GC126" s="14"/>
      <c r="GD126" s="14"/>
      <c r="GE126" s="14"/>
      <c r="GF126" s="14"/>
      <c r="GG126" s="14"/>
      <c r="GH126" s="14"/>
      <c r="GI126" s="14"/>
      <c r="GJ126" s="14"/>
      <c r="GK126" s="14"/>
      <c r="GL126" s="14"/>
      <c r="GM126" s="14"/>
      <c r="GN126" s="14"/>
      <c r="GO126" s="14"/>
      <c r="GP126" s="14"/>
      <c r="GQ126" s="14"/>
      <c r="GR126" s="14"/>
      <c r="GS126" s="14"/>
      <c r="GT126" s="14"/>
      <c r="GU126" s="14"/>
      <c r="GV126" s="14"/>
      <c r="GW126" s="14"/>
      <c r="GX126" s="14"/>
      <c r="GY126" s="14"/>
      <c r="GZ126" s="14"/>
      <c r="HA126" s="14"/>
      <c r="HB126" s="14"/>
      <c r="HC126" s="14"/>
      <c r="HD126" s="14"/>
      <c r="HE126" s="14"/>
      <c r="HF126" s="14"/>
      <c r="HG126" s="14"/>
      <c r="HH126" s="14"/>
      <c r="HI126" s="14"/>
      <c r="HJ126" s="14"/>
      <c r="HK126" s="14"/>
      <c r="HL126" s="14"/>
      <c r="HM126" s="14"/>
      <c r="HN126" s="14"/>
      <c r="HO126" s="14"/>
      <c r="HP126" s="14"/>
      <c r="HQ126" s="14"/>
      <c r="HR126" s="14"/>
      <c r="HS126" s="14"/>
      <c r="HT126" s="14"/>
    </row>
    <row r="127" spans="2:228" ht="12" customHeight="1" x14ac:dyDescent="0.25">
      <c r="B127" s="1924"/>
      <c r="C127" s="1924"/>
      <c r="D127" s="1924"/>
      <c r="E127" s="1924"/>
      <c r="F127" s="1924"/>
      <c r="G127" s="1924"/>
      <c r="H127" s="1924"/>
      <c r="I127" s="1924"/>
      <c r="J127" s="1924"/>
      <c r="K127" s="1924"/>
      <c r="L127" s="1924"/>
      <c r="M127" s="1924"/>
      <c r="N127" s="1924"/>
      <c r="O127" s="1924"/>
      <c r="P127" s="1924"/>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4"/>
      <c r="BR127" s="14"/>
      <c r="BS127" s="14"/>
      <c r="BT127" s="14"/>
      <c r="BU127" s="14"/>
      <c r="BV127" s="14"/>
      <c r="BW127" s="14"/>
      <c r="BX127" s="14"/>
      <c r="BY127" s="14"/>
      <c r="BZ127" s="14"/>
      <c r="CA127" s="14"/>
      <c r="CB127" s="14"/>
      <c r="CC127" s="14"/>
      <c r="CD127" s="14"/>
      <c r="CE127" s="14"/>
      <c r="CF127" s="14"/>
      <c r="CG127" s="14"/>
      <c r="CH127" s="14"/>
      <c r="CI127" s="14"/>
      <c r="CJ127" s="14"/>
      <c r="CK127" s="14"/>
      <c r="CL127" s="14"/>
      <c r="CM127" s="14"/>
      <c r="CN127" s="14"/>
      <c r="CO127" s="14"/>
      <c r="CP127" s="14"/>
      <c r="CQ127" s="14"/>
      <c r="CR127" s="14"/>
      <c r="CS127" s="14"/>
      <c r="CT127" s="14"/>
      <c r="CU127" s="14"/>
      <c r="CV127" s="14"/>
      <c r="CW127" s="14"/>
      <c r="CX127" s="14"/>
      <c r="CY127" s="14"/>
      <c r="CZ127" s="14"/>
      <c r="DA127" s="14"/>
      <c r="DB127" s="14"/>
      <c r="DC127" s="14"/>
      <c r="DD127" s="14"/>
      <c r="DE127" s="14"/>
      <c r="DF127" s="14"/>
      <c r="DG127" s="14"/>
      <c r="DH127" s="14"/>
      <c r="DI127" s="14"/>
      <c r="DJ127" s="14"/>
      <c r="DK127" s="14"/>
      <c r="DL127" s="14"/>
      <c r="DM127" s="14"/>
      <c r="DN127" s="14"/>
      <c r="DO127" s="14"/>
      <c r="DP127" s="14"/>
      <c r="DQ127" s="14"/>
      <c r="DR127" s="14"/>
      <c r="DS127" s="14"/>
      <c r="DT127" s="14"/>
      <c r="DU127" s="14"/>
      <c r="DV127" s="14"/>
      <c r="DW127" s="14"/>
      <c r="DX127" s="14"/>
      <c r="DY127" s="14"/>
      <c r="DZ127" s="14"/>
      <c r="EA127" s="14"/>
      <c r="EB127" s="14"/>
      <c r="EC127" s="14"/>
      <c r="ED127" s="14"/>
      <c r="EE127" s="14"/>
      <c r="EF127" s="14"/>
      <c r="EG127" s="14"/>
      <c r="EH127" s="14"/>
      <c r="EI127" s="14"/>
      <c r="EJ127" s="14"/>
      <c r="EK127" s="14"/>
      <c r="EL127" s="14"/>
      <c r="EM127" s="14"/>
      <c r="EN127" s="14"/>
      <c r="EO127" s="14"/>
      <c r="EP127" s="14"/>
      <c r="EQ127" s="14"/>
      <c r="ER127" s="14"/>
      <c r="ES127" s="14"/>
      <c r="ET127" s="14"/>
      <c r="EU127" s="14"/>
      <c r="EV127" s="14"/>
      <c r="EW127" s="14"/>
      <c r="EX127" s="14"/>
      <c r="EY127" s="14"/>
      <c r="EZ127" s="14"/>
      <c r="FA127" s="14"/>
      <c r="FB127" s="14"/>
      <c r="FC127" s="14"/>
      <c r="FD127" s="14"/>
      <c r="FE127" s="14"/>
      <c r="FF127" s="14"/>
      <c r="FG127" s="14"/>
      <c r="FH127" s="14"/>
      <c r="FI127" s="14"/>
      <c r="FJ127" s="14"/>
      <c r="FK127" s="14"/>
      <c r="FL127" s="14"/>
      <c r="FM127" s="14"/>
      <c r="FN127" s="14"/>
      <c r="FO127" s="14"/>
      <c r="FP127" s="14"/>
      <c r="FQ127" s="14"/>
      <c r="FR127" s="14"/>
      <c r="FS127" s="14"/>
      <c r="FT127" s="14"/>
      <c r="FU127" s="14"/>
      <c r="FV127" s="14"/>
      <c r="FW127" s="14"/>
      <c r="FX127" s="14"/>
      <c r="FY127" s="14"/>
      <c r="FZ127" s="14"/>
      <c r="GA127" s="14"/>
      <c r="GB127" s="14"/>
      <c r="GC127" s="14"/>
      <c r="GD127" s="14"/>
      <c r="GE127" s="14"/>
      <c r="GF127" s="14"/>
      <c r="GG127" s="14"/>
      <c r="GH127" s="14"/>
      <c r="GI127" s="14"/>
      <c r="GJ127" s="14"/>
      <c r="GK127" s="14"/>
      <c r="GL127" s="14"/>
      <c r="GM127" s="14"/>
      <c r="GN127" s="14"/>
      <c r="GO127" s="14"/>
      <c r="GP127" s="14"/>
      <c r="GQ127" s="14"/>
      <c r="GR127" s="14"/>
      <c r="GS127" s="14"/>
      <c r="GT127" s="14"/>
      <c r="GU127" s="14"/>
      <c r="GV127" s="14"/>
      <c r="GW127" s="14"/>
      <c r="GX127" s="14"/>
      <c r="GY127" s="14"/>
      <c r="GZ127" s="14"/>
      <c r="HA127" s="14"/>
      <c r="HB127" s="14"/>
      <c r="HC127" s="14"/>
      <c r="HD127" s="14"/>
      <c r="HE127" s="14"/>
      <c r="HF127" s="14"/>
      <c r="HG127" s="14"/>
      <c r="HH127" s="14"/>
      <c r="HI127" s="14"/>
      <c r="HJ127" s="14"/>
      <c r="HK127" s="14"/>
      <c r="HL127" s="14"/>
      <c r="HM127" s="14"/>
      <c r="HN127" s="14"/>
      <c r="HO127" s="14"/>
      <c r="HP127" s="14"/>
      <c r="HQ127" s="14"/>
      <c r="HR127" s="14"/>
      <c r="HS127" s="14"/>
      <c r="HT127" s="14"/>
    </row>
    <row r="128" spans="2:228" ht="18" customHeight="1" x14ac:dyDescent="0.2">
      <c r="B128" s="1549" t="s">
        <v>581</v>
      </c>
      <c r="C128" s="1550"/>
      <c r="D128" s="1550"/>
      <c r="E128" s="1550"/>
      <c r="F128" s="1550"/>
      <c r="G128" s="1550"/>
      <c r="H128" s="1550"/>
      <c r="I128" s="1550"/>
      <c r="J128" s="1550"/>
      <c r="K128" s="1550"/>
      <c r="L128" s="1550"/>
      <c r="M128" s="1550"/>
      <c r="N128" s="1550"/>
      <c r="O128" s="1550"/>
      <c r="P128" s="1645"/>
      <c r="R128" s="18"/>
      <c r="S128" s="18"/>
      <c r="T128" s="18"/>
      <c r="U128" s="18"/>
      <c r="V128" s="18"/>
      <c r="W128" s="18"/>
      <c r="X128" s="18"/>
      <c r="Y128" s="18"/>
      <c r="Z128" s="18"/>
      <c r="AA128" s="933"/>
      <c r="AB128" s="933"/>
      <c r="AC128" s="933"/>
      <c r="AD128" s="933"/>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4"/>
      <c r="BR128" s="14"/>
      <c r="BS128" s="14"/>
      <c r="BT128" s="14"/>
      <c r="BU128" s="14"/>
      <c r="BV128" s="14"/>
      <c r="BW128" s="14"/>
      <c r="BX128" s="14"/>
      <c r="BY128" s="14"/>
      <c r="BZ128" s="14"/>
      <c r="CA128" s="14"/>
      <c r="CB128" s="14"/>
      <c r="CC128" s="14"/>
      <c r="CD128" s="14"/>
      <c r="CE128" s="14"/>
      <c r="CF128" s="14"/>
      <c r="CG128" s="14"/>
      <c r="CH128" s="14"/>
      <c r="CI128" s="14"/>
      <c r="CJ128" s="14"/>
      <c r="CK128" s="14"/>
      <c r="CL128" s="14"/>
      <c r="CM128" s="14"/>
      <c r="CN128" s="14"/>
      <c r="CO128" s="14"/>
      <c r="CP128" s="14"/>
      <c r="CQ128" s="14"/>
      <c r="CR128" s="14"/>
      <c r="CS128" s="14"/>
      <c r="CT128" s="14"/>
      <c r="CU128" s="14"/>
      <c r="CV128" s="14"/>
      <c r="CW128" s="14"/>
      <c r="CX128" s="14"/>
      <c r="CY128" s="14"/>
      <c r="CZ128" s="14"/>
      <c r="DA128" s="14"/>
      <c r="DB128" s="14"/>
      <c r="DC128" s="14"/>
      <c r="DD128" s="14"/>
      <c r="DE128" s="14"/>
      <c r="DF128" s="14"/>
      <c r="DG128" s="14"/>
      <c r="DH128" s="14"/>
      <c r="DI128" s="14"/>
      <c r="DJ128" s="14"/>
      <c r="DK128" s="14"/>
      <c r="DL128" s="14"/>
      <c r="DM128" s="14"/>
      <c r="DN128" s="14"/>
      <c r="DO128" s="14"/>
      <c r="DP128" s="14"/>
      <c r="DQ128" s="14"/>
      <c r="DR128" s="14"/>
      <c r="DS128" s="14"/>
      <c r="DT128" s="14"/>
      <c r="DU128" s="14"/>
      <c r="DV128" s="14"/>
      <c r="DW128" s="14"/>
      <c r="DX128" s="14"/>
      <c r="DY128" s="14"/>
      <c r="DZ128" s="14"/>
      <c r="EA128" s="14"/>
      <c r="EB128" s="14"/>
      <c r="EC128" s="14"/>
      <c r="ED128" s="14"/>
      <c r="EE128" s="14"/>
      <c r="EF128" s="14"/>
      <c r="EG128" s="14"/>
      <c r="EH128" s="14"/>
      <c r="EI128" s="14"/>
      <c r="EJ128" s="14"/>
      <c r="EK128" s="14"/>
      <c r="EL128" s="14"/>
      <c r="EM128" s="14"/>
      <c r="EN128" s="14"/>
      <c r="EO128" s="14"/>
      <c r="EP128" s="14"/>
      <c r="EQ128" s="14"/>
      <c r="ER128" s="14"/>
      <c r="ES128" s="14"/>
      <c r="ET128" s="14"/>
      <c r="EU128" s="14"/>
      <c r="EV128" s="14"/>
      <c r="EW128" s="14"/>
      <c r="EX128" s="14"/>
      <c r="EY128" s="14"/>
      <c r="EZ128" s="14"/>
      <c r="FA128" s="14"/>
      <c r="FB128" s="14"/>
      <c r="FC128" s="14"/>
      <c r="FD128" s="14"/>
      <c r="FE128" s="14"/>
      <c r="FF128" s="14"/>
      <c r="FG128" s="14"/>
      <c r="FH128" s="14"/>
      <c r="FI128" s="14"/>
      <c r="FJ128" s="14"/>
      <c r="FK128" s="14"/>
      <c r="FL128" s="14"/>
      <c r="FM128" s="14"/>
      <c r="FN128" s="14"/>
      <c r="FO128" s="14"/>
      <c r="FP128" s="14"/>
      <c r="FQ128" s="14"/>
      <c r="FR128" s="14"/>
      <c r="FS128" s="14"/>
      <c r="FT128" s="14"/>
      <c r="FU128" s="14"/>
      <c r="FV128" s="14"/>
      <c r="FW128" s="14"/>
      <c r="FX128" s="14"/>
      <c r="FY128" s="14"/>
      <c r="FZ128" s="14"/>
      <c r="GA128" s="14"/>
      <c r="GB128" s="14"/>
      <c r="GC128" s="14"/>
      <c r="GD128" s="14"/>
      <c r="GE128" s="14"/>
      <c r="GF128" s="14"/>
      <c r="GG128" s="14"/>
      <c r="GH128" s="14"/>
      <c r="GI128" s="14"/>
      <c r="GJ128" s="14"/>
      <c r="GK128" s="14"/>
      <c r="GL128" s="14"/>
      <c r="GM128" s="14"/>
      <c r="GN128" s="14"/>
      <c r="GO128" s="14"/>
      <c r="GP128" s="14"/>
      <c r="GQ128" s="14"/>
      <c r="GR128" s="14"/>
      <c r="GS128" s="14"/>
      <c r="GT128" s="14"/>
      <c r="GU128" s="14"/>
      <c r="GV128" s="14"/>
      <c r="GW128" s="14"/>
      <c r="GX128" s="14"/>
      <c r="GY128" s="14"/>
      <c r="GZ128" s="14"/>
      <c r="HA128" s="14"/>
      <c r="HB128" s="14"/>
      <c r="HC128" s="14"/>
      <c r="HD128" s="14"/>
      <c r="HE128" s="14"/>
      <c r="HF128" s="14"/>
      <c r="HG128" s="14"/>
      <c r="HH128" s="14"/>
      <c r="HI128" s="14"/>
      <c r="HJ128" s="14"/>
      <c r="HK128" s="14"/>
      <c r="HL128" s="14"/>
      <c r="HM128" s="14"/>
      <c r="HN128" s="14"/>
      <c r="HO128" s="14"/>
      <c r="HP128" s="14"/>
      <c r="HQ128" s="14"/>
      <c r="HR128" s="14"/>
      <c r="HS128" s="14"/>
      <c r="HT128" s="14"/>
    </row>
    <row r="129" spans="2:228" ht="15" customHeight="1" x14ac:dyDescent="0.2">
      <c r="B129" s="345" t="s">
        <v>1546</v>
      </c>
      <c r="C129" s="1962"/>
      <c r="D129" s="1963"/>
      <c r="E129" s="1963"/>
      <c r="F129" s="1963"/>
      <c r="G129" s="1963"/>
      <c r="H129" s="1963"/>
      <c r="I129" s="1963"/>
      <c r="J129" s="1963"/>
      <c r="K129" s="1963"/>
      <c r="L129" s="1956"/>
      <c r="M129" s="1957"/>
      <c r="N129" s="1958"/>
      <c r="O129" s="79">
        <f>IF(C129=T129,0.45,IF(C129=U129,0.3,IF(C129=V129,0.45,0)))</f>
        <v>0</v>
      </c>
      <c r="P129" s="1745"/>
      <c r="R129" s="1557" t="s">
        <v>2197</v>
      </c>
      <c r="S129" s="922" t="s">
        <v>1942</v>
      </c>
      <c r="T129" s="922" t="s">
        <v>1547</v>
      </c>
      <c r="U129" s="928" t="s">
        <v>1548</v>
      </c>
      <c r="V129" s="922" t="s">
        <v>1549</v>
      </c>
      <c r="W129" s="18"/>
      <c r="X129" s="18"/>
      <c r="Y129" s="18"/>
      <c r="Z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4"/>
      <c r="BR129" s="14"/>
      <c r="BS129" s="14"/>
      <c r="BT129" s="14"/>
      <c r="BU129" s="14"/>
      <c r="BV129" s="14"/>
      <c r="BW129" s="14"/>
      <c r="BX129" s="14"/>
      <c r="BY129" s="14"/>
      <c r="BZ129" s="14"/>
      <c r="CA129" s="14"/>
      <c r="CB129" s="14"/>
      <c r="CC129" s="14"/>
      <c r="CD129" s="14"/>
      <c r="CE129" s="14"/>
      <c r="CF129" s="14"/>
      <c r="CG129" s="14"/>
      <c r="CH129" s="14"/>
      <c r="CI129" s="14"/>
      <c r="CJ129" s="14"/>
      <c r="CK129" s="14"/>
      <c r="CL129" s="14"/>
      <c r="CM129" s="14"/>
      <c r="CN129" s="14"/>
      <c r="CO129" s="14"/>
      <c r="CP129" s="14"/>
      <c r="CQ129" s="14"/>
      <c r="CR129" s="14"/>
      <c r="CS129" s="14"/>
      <c r="CT129" s="14"/>
      <c r="CU129" s="14"/>
      <c r="CV129" s="14"/>
      <c r="CW129" s="14"/>
      <c r="CX129" s="14"/>
      <c r="CY129" s="14"/>
      <c r="CZ129" s="14"/>
      <c r="DA129" s="14"/>
      <c r="DB129" s="14"/>
      <c r="DC129" s="14"/>
      <c r="DD129" s="14"/>
      <c r="DE129" s="14"/>
      <c r="DF129" s="14"/>
      <c r="DG129" s="14"/>
      <c r="DH129" s="14"/>
      <c r="DI129" s="14"/>
      <c r="DJ129" s="14"/>
      <c r="DK129" s="14"/>
      <c r="DL129" s="14"/>
      <c r="DM129" s="14"/>
      <c r="DN129" s="14"/>
      <c r="DO129" s="14"/>
      <c r="DP129" s="14"/>
      <c r="DQ129" s="14"/>
      <c r="DR129" s="14"/>
      <c r="DS129" s="14"/>
      <c r="DT129" s="14"/>
      <c r="DU129" s="14"/>
      <c r="DV129" s="14"/>
      <c r="DW129" s="14"/>
      <c r="DX129" s="14"/>
      <c r="DY129" s="14"/>
      <c r="DZ129" s="14"/>
      <c r="EA129" s="14"/>
      <c r="EB129" s="14"/>
      <c r="EC129" s="14"/>
      <c r="ED129" s="14"/>
      <c r="EE129" s="14"/>
      <c r="EF129" s="14"/>
      <c r="EG129" s="14"/>
      <c r="EH129" s="14"/>
      <c r="EI129" s="14"/>
      <c r="EJ129" s="14"/>
      <c r="EK129" s="14"/>
      <c r="EL129" s="14"/>
      <c r="EM129" s="14"/>
      <c r="EN129" s="14"/>
      <c r="EO129" s="14"/>
      <c r="EP129" s="14"/>
      <c r="EQ129" s="14"/>
      <c r="ER129" s="14"/>
      <c r="ES129" s="14"/>
      <c r="ET129" s="14"/>
      <c r="EU129" s="14"/>
      <c r="EV129" s="14"/>
      <c r="EW129" s="14"/>
      <c r="EX129" s="14"/>
      <c r="EY129" s="14"/>
      <c r="EZ129" s="14"/>
      <c r="FA129" s="14"/>
      <c r="FB129" s="14"/>
      <c r="FC129" s="14"/>
      <c r="FD129" s="14"/>
      <c r="FE129" s="14"/>
      <c r="FF129" s="14"/>
      <c r="FG129" s="14"/>
      <c r="FH129" s="14"/>
      <c r="FI129" s="14"/>
      <c r="FJ129" s="14"/>
      <c r="FK129" s="14"/>
      <c r="FL129" s="14"/>
      <c r="FM129" s="14"/>
      <c r="FN129" s="14"/>
      <c r="FO129" s="14"/>
      <c r="FP129" s="14"/>
      <c r="FQ129" s="14"/>
      <c r="FR129" s="14"/>
      <c r="FS129" s="14"/>
      <c r="FT129" s="14"/>
      <c r="FU129" s="14"/>
      <c r="FV129" s="14"/>
      <c r="FW129" s="14"/>
      <c r="FX129" s="14"/>
      <c r="FY129" s="14"/>
      <c r="FZ129" s="14"/>
      <c r="GA129" s="14"/>
      <c r="GB129" s="14"/>
      <c r="GC129" s="14"/>
      <c r="GD129" s="14"/>
      <c r="GE129" s="14"/>
      <c r="GF129" s="14"/>
      <c r="GG129" s="14"/>
      <c r="GH129" s="14"/>
      <c r="GI129" s="14"/>
      <c r="GJ129" s="14"/>
      <c r="GK129" s="14"/>
      <c r="GL129" s="14"/>
      <c r="GM129" s="14"/>
      <c r="GN129" s="14"/>
      <c r="GO129" s="14"/>
      <c r="GP129" s="14"/>
      <c r="GQ129" s="14"/>
      <c r="GR129" s="14"/>
      <c r="GS129" s="14"/>
      <c r="GT129" s="14"/>
      <c r="GU129" s="14"/>
      <c r="GV129" s="14"/>
      <c r="GW129" s="14"/>
      <c r="GX129" s="14"/>
      <c r="GY129" s="14"/>
      <c r="GZ129" s="14"/>
      <c r="HA129" s="14"/>
      <c r="HB129" s="14"/>
      <c r="HC129" s="14"/>
      <c r="HD129" s="14"/>
      <c r="HE129" s="14"/>
      <c r="HF129" s="14"/>
      <c r="HG129" s="14"/>
      <c r="HH129" s="14"/>
      <c r="HI129" s="14"/>
      <c r="HJ129" s="14"/>
      <c r="HK129" s="14"/>
      <c r="HL129" s="14"/>
      <c r="HM129" s="14"/>
      <c r="HN129" s="14"/>
      <c r="HO129" s="14"/>
      <c r="HP129" s="14"/>
      <c r="HQ129" s="14"/>
      <c r="HR129" s="14"/>
      <c r="HS129" s="14"/>
      <c r="HT129" s="14"/>
    </row>
    <row r="130" spans="2:228" ht="15" customHeight="1" x14ac:dyDescent="0.2">
      <c r="B130" s="337" t="s">
        <v>1706</v>
      </c>
      <c r="C130" s="1944"/>
      <c r="D130" s="1953"/>
      <c r="E130" s="1953"/>
      <c r="F130" s="1953"/>
      <c r="G130" s="1953"/>
      <c r="H130" s="1953"/>
      <c r="I130" s="1953"/>
      <c r="J130" s="1953"/>
      <c r="K130" s="1953"/>
      <c r="L130" s="1646"/>
      <c r="M130" s="1647"/>
      <c r="N130" s="1648"/>
      <c r="O130" s="76">
        <f>IF(C130=T130,0.8,IF(C130=U130,0.45,IF(C130=V130,0.8,0)))</f>
        <v>0</v>
      </c>
      <c r="P130" s="1745"/>
      <c r="R130" s="1557"/>
      <c r="S130" s="922" t="s">
        <v>1942</v>
      </c>
      <c r="T130" s="922" t="s">
        <v>1547</v>
      </c>
      <c r="U130" s="928" t="s">
        <v>1548</v>
      </c>
      <c r="V130" s="922" t="s">
        <v>1549</v>
      </c>
      <c r="W130" s="18"/>
      <c r="X130" s="18"/>
      <c r="Y130" s="18"/>
      <c r="Z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4"/>
      <c r="BR130" s="14"/>
      <c r="BS130" s="14"/>
      <c r="BT130" s="14"/>
      <c r="BU130" s="14"/>
      <c r="BV130" s="14"/>
      <c r="BW130" s="14"/>
      <c r="BX130" s="14"/>
      <c r="BY130" s="14"/>
      <c r="BZ130" s="14"/>
      <c r="CA130" s="14"/>
      <c r="CB130" s="14"/>
      <c r="CC130" s="14"/>
      <c r="CD130" s="14"/>
      <c r="CE130" s="14"/>
      <c r="CF130" s="14"/>
      <c r="CG130" s="14"/>
      <c r="CH130" s="14"/>
      <c r="CI130" s="14"/>
      <c r="CJ130" s="14"/>
      <c r="CK130" s="14"/>
      <c r="CL130" s="14"/>
      <c r="CM130" s="14"/>
      <c r="CN130" s="14"/>
      <c r="CO130" s="14"/>
      <c r="CP130" s="14"/>
      <c r="CQ130" s="14"/>
      <c r="CR130" s="14"/>
      <c r="CS130" s="14"/>
      <c r="CT130" s="14"/>
      <c r="CU130" s="14"/>
      <c r="CV130" s="14"/>
      <c r="CW130" s="14"/>
      <c r="CX130" s="14"/>
      <c r="CY130" s="14"/>
      <c r="CZ130" s="14"/>
      <c r="DA130" s="14"/>
      <c r="DB130" s="14"/>
      <c r="DC130" s="14"/>
      <c r="DD130" s="14"/>
      <c r="DE130" s="14"/>
      <c r="DF130" s="14"/>
      <c r="DG130" s="14"/>
      <c r="DH130" s="14"/>
      <c r="DI130" s="14"/>
      <c r="DJ130" s="14"/>
      <c r="DK130" s="14"/>
      <c r="DL130" s="14"/>
      <c r="DM130" s="14"/>
      <c r="DN130" s="14"/>
      <c r="DO130" s="14"/>
      <c r="DP130" s="14"/>
      <c r="DQ130" s="14"/>
      <c r="DR130" s="14"/>
      <c r="DS130" s="14"/>
      <c r="DT130" s="14"/>
      <c r="DU130" s="14"/>
      <c r="DV130" s="14"/>
      <c r="DW130" s="14"/>
      <c r="DX130" s="14"/>
      <c r="DY130" s="14"/>
      <c r="DZ130" s="14"/>
      <c r="EA130" s="14"/>
      <c r="EB130" s="14"/>
      <c r="EC130" s="14"/>
      <c r="ED130" s="14"/>
      <c r="EE130" s="14"/>
      <c r="EF130" s="14"/>
      <c r="EG130" s="14"/>
      <c r="EH130" s="14"/>
      <c r="EI130" s="14"/>
      <c r="EJ130" s="14"/>
      <c r="EK130" s="14"/>
      <c r="EL130" s="14"/>
      <c r="EM130" s="14"/>
      <c r="EN130" s="14"/>
      <c r="EO130" s="14"/>
      <c r="EP130" s="14"/>
      <c r="EQ130" s="14"/>
      <c r="ER130" s="14"/>
      <c r="ES130" s="14"/>
      <c r="ET130" s="14"/>
      <c r="EU130" s="14"/>
      <c r="EV130" s="14"/>
      <c r="EW130" s="14"/>
      <c r="EX130" s="14"/>
      <c r="EY130" s="14"/>
      <c r="EZ130" s="14"/>
      <c r="FA130" s="14"/>
      <c r="FB130" s="14"/>
      <c r="FC130" s="14"/>
      <c r="FD130" s="14"/>
      <c r="FE130" s="14"/>
      <c r="FF130" s="14"/>
      <c r="FG130" s="14"/>
      <c r="FH130" s="14"/>
      <c r="FI130" s="14"/>
      <c r="FJ130" s="14"/>
      <c r="FK130" s="14"/>
      <c r="FL130" s="14"/>
      <c r="FM130" s="14"/>
      <c r="FN130" s="14"/>
      <c r="FO130" s="14"/>
      <c r="FP130" s="14"/>
      <c r="FQ130" s="14"/>
      <c r="FR130" s="14"/>
      <c r="FS130" s="14"/>
      <c r="FT130" s="14"/>
      <c r="FU130" s="14"/>
      <c r="FV130" s="14"/>
      <c r="FW130" s="14"/>
      <c r="FX130" s="14"/>
      <c r="FY130" s="14"/>
      <c r="FZ130" s="14"/>
      <c r="GA130" s="14"/>
      <c r="GB130" s="14"/>
      <c r="GC130" s="14"/>
      <c r="GD130" s="14"/>
      <c r="GE130" s="14"/>
      <c r="GF130" s="14"/>
      <c r="GG130" s="14"/>
      <c r="GH130" s="14"/>
      <c r="GI130" s="14"/>
      <c r="GJ130" s="14"/>
      <c r="GK130" s="14"/>
      <c r="GL130" s="14"/>
      <c r="GM130" s="14"/>
      <c r="GN130" s="14"/>
      <c r="GO130" s="14"/>
      <c r="GP130" s="14"/>
      <c r="GQ130" s="14"/>
      <c r="GR130" s="14"/>
      <c r="GS130" s="14"/>
      <c r="GT130" s="14"/>
      <c r="GU130" s="14"/>
      <c r="GV130" s="14"/>
      <c r="GW130" s="14"/>
      <c r="GX130" s="14"/>
      <c r="GY130" s="14"/>
      <c r="GZ130" s="14"/>
      <c r="HA130" s="14"/>
      <c r="HB130" s="14"/>
      <c r="HC130" s="14"/>
      <c r="HD130" s="14"/>
      <c r="HE130" s="14"/>
      <c r="HF130" s="14"/>
      <c r="HG130" s="14"/>
      <c r="HH130" s="14"/>
      <c r="HI130" s="14"/>
      <c r="HJ130" s="14"/>
      <c r="HK130" s="14"/>
      <c r="HL130" s="14"/>
      <c r="HM130" s="14"/>
      <c r="HN130" s="14"/>
      <c r="HO130" s="14"/>
      <c r="HP130" s="14"/>
      <c r="HQ130" s="14"/>
      <c r="HR130" s="14"/>
      <c r="HS130" s="14"/>
      <c r="HT130" s="14"/>
    </row>
    <row r="131" spans="2:228" ht="12" customHeight="1" x14ac:dyDescent="0.25">
      <c r="B131" s="1961"/>
      <c r="C131" s="1876"/>
      <c r="D131" s="1876"/>
      <c r="E131" s="1876"/>
      <c r="F131" s="1876"/>
      <c r="G131" s="1876"/>
      <c r="H131" s="1876"/>
      <c r="I131" s="1876"/>
      <c r="J131" s="1876"/>
      <c r="K131" s="1876"/>
      <c r="L131" s="1876"/>
      <c r="M131" s="1876"/>
      <c r="N131" s="1876"/>
      <c r="O131" s="1876"/>
      <c r="P131" s="1745"/>
      <c r="R131" s="18"/>
      <c r="S131" s="698"/>
      <c r="T131" s="698"/>
      <c r="U131" s="698"/>
      <c r="V131" s="18"/>
      <c r="W131" s="18"/>
      <c r="X131" s="18"/>
      <c r="Y131" s="18"/>
      <c r="Z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4"/>
      <c r="BR131" s="14"/>
      <c r="BS131" s="14"/>
      <c r="BT131" s="14"/>
      <c r="BU131" s="14"/>
      <c r="BV131" s="14"/>
      <c r="BW131" s="14"/>
      <c r="BX131" s="14"/>
      <c r="BY131" s="14"/>
      <c r="BZ131" s="14"/>
      <c r="CA131" s="14"/>
      <c r="CB131" s="14"/>
      <c r="CC131" s="14"/>
      <c r="CD131" s="14"/>
      <c r="CE131" s="14"/>
      <c r="CF131" s="14"/>
      <c r="CG131" s="14"/>
      <c r="CH131" s="14"/>
      <c r="CI131" s="14"/>
      <c r="CJ131" s="14"/>
      <c r="CK131" s="14"/>
      <c r="CL131" s="14"/>
      <c r="CM131" s="14"/>
      <c r="CN131" s="14"/>
      <c r="CO131" s="14"/>
      <c r="CP131" s="14"/>
      <c r="CQ131" s="14"/>
      <c r="CR131" s="14"/>
      <c r="CS131" s="14"/>
      <c r="CT131" s="14"/>
      <c r="CU131" s="14"/>
      <c r="CV131" s="14"/>
      <c r="CW131" s="14"/>
      <c r="CX131" s="14"/>
      <c r="CY131" s="14"/>
      <c r="CZ131" s="14"/>
      <c r="DA131" s="14"/>
      <c r="DB131" s="14"/>
      <c r="DC131" s="14"/>
      <c r="DD131" s="14"/>
      <c r="DE131" s="14"/>
      <c r="DF131" s="14"/>
      <c r="DG131" s="14"/>
      <c r="DH131" s="14"/>
      <c r="DI131" s="14"/>
      <c r="DJ131" s="14"/>
      <c r="DK131" s="14"/>
      <c r="DL131" s="14"/>
      <c r="DM131" s="14"/>
      <c r="DN131" s="14"/>
      <c r="DO131" s="14"/>
      <c r="DP131" s="14"/>
      <c r="DQ131" s="14"/>
      <c r="DR131" s="14"/>
      <c r="DS131" s="14"/>
      <c r="DT131" s="14"/>
      <c r="DU131" s="14"/>
      <c r="DV131" s="14"/>
      <c r="DW131" s="14"/>
      <c r="DX131" s="14"/>
      <c r="DY131" s="14"/>
      <c r="DZ131" s="14"/>
      <c r="EA131" s="14"/>
      <c r="EB131" s="14"/>
      <c r="EC131" s="14"/>
      <c r="ED131" s="14"/>
      <c r="EE131" s="14"/>
      <c r="EF131" s="14"/>
      <c r="EG131" s="14"/>
      <c r="EH131" s="14"/>
      <c r="EI131" s="14"/>
      <c r="EJ131" s="14"/>
      <c r="EK131" s="14"/>
      <c r="EL131" s="14"/>
      <c r="EM131" s="14"/>
      <c r="EN131" s="14"/>
      <c r="EO131" s="14"/>
      <c r="EP131" s="14"/>
      <c r="EQ131" s="14"/>
      <c r="ER131" s="14"/>
      <c r="ES131" s="14"/>
      <c r="ET131" s="14"/>
      <c r="EU131" s="14"/>
      <c r="EV131" s="14"/>
      <c r="EW131" s="14"/>
      <c r="EX131" s="14"/>
      <c r="EY131" s="14"/>
      <c r="EZ131" s="14"/>
      <c r="FA131" s="14"/>
      <c r="FB131" s="14"/>
      <c r="FC131" s="14"/>
      <c r="FD131" s="14"/>
      <c r="FE131" s="14"/>
      <c r="FF131" s="14"/>
      <c r="FG131" s="14"/>
      <c r="FH131" s="14"/>
      <c r="FI131" s="14"/>
      <c r="FJ131" s="14"/>
      <c r="FK131" s="14"/>
      <c r="FL131" s="14"/>
      <c r="FM131" s="14"/>
      <c r="FN131" s="14"/>
      <c r="FO131" s="14"/>
      <c r="FP131" s="14"/>
      <c r="FQ131" s="14"/>
      <c r="FR131" s="14"/>
      <c r="FS131" s="14"/>
      <c r="FT131" s="14"/>
      <c r="FU131" s="14"/>
      <c r="FV131" s="14"/>
      <c r="FW131" s="14"/>
      <c r="FX131" s="14"/>
      <c r="FY131" s="14"/>
      <c r="FZ131" s="14"/>
      <c r="GA131" s="14"/>
      <c r="GB131" s="14"/>
      <c r="GC131" s="14"/>
      <c r="GD131" s="14"/>
      <c r="GE131" s="14"/>
      <c r="GF131" s="14"/>
      <c r="GG131" s="14"/>
      <c r="GH131" s="14"/>
      <c r="GI131" s="14"/>
      <c r="GJ131" s="14"/>
      <c r="GK131" s="14"/>
      <c r="GL131" s="14"/>
      <c r="GM131" s="14"/>
      <c r="GN131" s="14"/>
      <c r="GO131" s="14"/>
      <c r="GP131" s="14"/>
      <c r="GQ131" s="14"/>
      <c r="GR131" s="14"/>
      <c r="GS131" s="14"/>
      <c r="GT131" s="14"/>
      <c r="GU131" s="14"/>
      <c r="GV131" s="14"/>
      <c r="GW131" s="14"/>
      <c r="GX131" s="14"/>
      <c r="GY131" s="14"/>
      <c r="GZ131" s="14"/>
      <c r="HA131" s="14"/>
      <c r="HB131" s="14"/>
      <c r="HC131" s="14"/>
      <c r="HD131" s="14"/>
      <c r="HE131" s="14"/>
      <c r="HF131" s="14"/>
      <c r="HG131" s="14"/>
      <c r="HH131" s="14"/>
      <c r="HI131" s="14"/>
      <c r="HJ131" s="14"/>
      <c r="HK131" s="14"/>
      <c r="HL131" s="14"/>
      <c r="HM131" s="14"/>
      <c r="HN131" s="14"/>
      <c r="HO131" s="14"/>
      <c r="HP131" s="14"/>
      <c r="HQ131" s="14"/>
      <c r="HR131" s="14"/>
      <c r="HS131" s="14"/>
      <c r="HT131" s="14"/>
    </row>
    <row r="132" spans="2:228" ht="27" customHeight="1" x14ac:dyDescent="0.25">
      <c r="B132" s="359"/>
      <c r="C132" s="1555" t="s">
        <v>1596</v>
      </c>
      <c r="D132" s="1555"/>
      <c r="E132" s="1555"/>
      <c r="F132" s="1555"/>
      <c r="G132" s="1536" t="s">
        <v>1081</v>
      </c>
      <c r="H132" s="1536"/>
      <c r="I132" s="1536"/>
      <c r="J132" s="1536"/>
      <c r="K132" s="1536"/>
      <c r="L132" s="1395"/>
      <c r="M132" s="1395"/>
      <c r="N132" s="1395"/>
      <c r="O132" s="1395"/>
      <c r="P132" s="1745"/>
      <c r="R132" s="1111"/>
      <c r="S132" s="933"/>
      <c r="T132" s="1536" t="s">
        <v>1258</v>
      </c>
      <c r="U132" s="1536"/>
      <c r="V132" s="18"/>
      <c r="W132" s="18"/>
      <c r="X132" s="18"/>
      <c r="Y132" s="1531" t="s">
        <v>2263</v>
      </c>
      <c r="Z132" s="1535"/>
      <c r="AA132" s="1532"/>
      <c r="AB132" s="1111"/>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4"/>
      <c r="BR132" s="14"/>
      <c r="BS132" s="14"/>
      <c r="BT132" s="14"/>
      <c r="BU132" s="14"/>
      <c r="BV132" s="14"/>
      <c r="BW132" s="14"/>
      <c r="BX132" s="14"/>
      <c r="BY132" s="14"/>
      <c r="BZ132" s="14"/>
      <c r="CA132" s="14"/>
      <c r="CB132" s="14"/>
      <c r="CC132" s="14"/>
      <c r="CD132" s="14"/>
      <c r="CE132" s="14"/>
      <c r="CF132" s="14"/>
      <c r="CG132" s="14"/>
      <c r="CH132" s="14"/>
      <c r="CI132" s="14"/>
      <c r="CJ132" s="14"/>
      <c r="CK132" s="14"/>
      <c r="CL132" s="14"/>
      <c r="CM132" s="14"/>
      <c r="CN132" s="14"/>
      <c r="CO132" s="14"/>
      <c r="CP132" s="14"/>
      <c r="CQ132" s="14"/>
      <c r="CR132" s="14"/>
      <c r="CS132" s="14"/>
      <c r="CT132" s="14"/>
      <c r="CU132" s="14"/>
      <c r="CV132" s="14"/>
      <c r="CW132" s="14"/>
      <c r="CX132" s="14"/>
      <c r="CY132" s="14"/>
      <c r="CZ132" s="14"/>
      <c r="DA132" s="14"/>
      <c r="DB132" s="14"/>
      <c r="DC132" s="14"/>
      <c r="DD132" s="14"/>
      <c r="DE132" s="14"/>
      <c r="DF132" s="14"/>
      <c r="DG132" s="14"/>
      <c r="DH132" s="14"/>
      <c r="DI132" s="14"/>
      <c r="DJ132" s="14"/>
      <c r="DK132" s="14"/>
      <c r="DL132" s="14"/>
      <c r="DM132" s="14"/>
      <c r="DN132" s="14"/>
      <c r="DO132" s="14"/>
      <c r="DP132" s="14"/>
      <c r="DQ132" s="14"/>
      <c r="DR132" s="14"/>
      <c r="DS132" s="14"/>
      <c r="DT132" s="14"/>
      <c r="DU132" s="14"/>
      <c r="DV132" s="14"/>
      <c r="DW132" s="14"/>
      <c r="DX132" s="14"/>
      <c r="DY132" s="14"/>
      <c r="DZ132" s="14"/>
      <c r="EA132" s="14"/>
      <c r="EB132" s="14"/>
      <c r="EC132" s="14"/>
      <c r="ED132" s="14"/>
      <c r="EE132" s="14"/>
      <c r="EF132" s="14"/>
      <c r="EG132" s="14"/>
      <c r="EH132" s="14"/>
      <c r="EI132" s="14"/>
      <c r="EJ132" s="14"/>
      <c r="EK132" s="14"/>
      <c r="EL132" s="14"/>
      <c r="EM132" s="14"/>
      <c r="EN132" s="14"/>
      <c r="EO132" s="14"/>
      <c r="EP132" s="14"/>
      <c r="EQ132" s="14"/>
      <c r="ER132" s="14"/>
      <c r="ES132" s="14"/>
      <c r="ET132" s="14"/>
      <c r="EU132" s="14"/>
      <c r="EV132" s="14"/>
      <c r="EW132" s="14"/>
      <c r="EX132" s="14"/>
      <c r="EY132" s="14"/>
      <c r="EZ132" s="14"/>
      <c r="FA132" s="14"/>
      <c r="FB132" s="14"/>
      <c r="FC132" s="14"/>
      <c r="FD132" s="14"/>
      <c r="FE132" s="14"/>
      <c r="FF132" s="14"/>
      <c r="FG132" s="14"/>
      <c r="FH132" s="14"/>
      <c r="FI132" s="14"/>
      <c r="FJ132" s="14"/>
      <c r="FK132" s="14"/>
      <c r="FL132" s="14"/>
      <c r="FM132" s="14"/>
      <c r="FN132" s="14"/>
      <c r="FO132" s="14"/>
      <c r="FP132" s="14"/>
      <c r="FQ132" s="14"/>
      <c r="FR132" s="14"/>
      <c r="FS132" s="14"/>
      <c r="FT132" s="14"/>
      <c r="FU132" s="14"/>
      <c r="FV132" s="14"/>
      <c r="FW132" s="14"/>
      <c r="FX132" s="14"/>
      <c r="FY132" s="14"/>
      <c r="FZ132" s="14"/>
      <c r="GA132" s="14"/>
      <c r="GB132" s="14"/>
      <c r="GC132" s="14"/>
      <c r="GD132" s="14"/>
      <c r="GE132" s="14"/>
      <c r="GF132" s="14"/>
      <c r="GG132" s="14"/>
      <c r="GH132" s="14"/>
      <c r="GI132" s="14"/>
      <c r="GJ132" s="14"/>
      <c r="GK132" s="14"/>
      <c r="GL132" s="14"/>
      <c r="GM132" s="14"/>
      <c r="GN132" s="14"/>
      <c r="GO132" s="14"/>
      <c r="GP132" s="14"/>
      <c r="GQ132" s="14"/>
      <c r="GR132" s="14"/>
      <c r="GS132" s="14"/>
      <c r="GT132" s="14"/>
      <c r="GU132" s="14"/>
      <c r="GV132" s="14"/>
      <c r="GW132" s="14"/>
      <c r="GX132" s="14"/>
      <c r="GY132" s="14"/>
      <c r="GZ132" s="14"/>
      <c r="HA132" s="14"/>
      <c r="HB132" s="14"/>
      <c r="HC132" s="14"/>
      <c r="HD132" s="14"/>
      <c r="HE132" s="14"/>
      <c r="HF132" s="14"/>
      <c r="HG132" s="14"/>
      <c r="HH132" s="14"/>
      <c r="HI132" s="14"/>
      <c r="HJ132" s="14"/>
      <c r="HK132" s="14"/>
      <c r="HL132" s="14"/>
      <c r="HM132" s="14"/>
      <c r="HN132" s="14"/>
      <c r="HO132" s="14"/>
      <c r="HP132" s="14"/>
      <c r="HQ132" s="14"/>
      <c r="HR132" s="14"/>
      <c r="HS132" s="14"/>
      <c r="HT132" s="14"/>
    </row>
    <row r="133" spans="2:228" ht="15" customHeight="1" x14ac:dyDescent="0.2">
      <c r="B133" s="358" t="s">
        <v>1841</v>
      </c>
      <c r="C133" s="1555" t="s">
        <v>365</v>
      </c>
      <c r="D133" s="1964"/>
      <c r="E133" s="1555" t="s">
        <v>1796</v>
      </c>
      <c r="F133" s="1555"/>
      <c r="G133" s="1555" t="s">
        <v>365</v>
      </c>
      <c r="H133" s="1555"/>
      <c r="I133" s="1555"/>
      <c r="J133" s="1555" t="s">
        <v>1796</v>
      </c>
      <c r="K133" s="1555"/>
      <c r="L133" s="1957"/>
      <c r="M133" s="1957"/>
      <c r="N133" s="1957"/>
      <c r="O133" s="1957"/>
      <c r="P133" s="1745"/>
      <c r="R133" s="1111"/>
      <c r="S133" s="922" t="s">
        <v>1573</v>
      </c>
      <c r="T133" s="928" t="s">
        <v>1596</v>
      </c>
      <c r="U133" s="928" t="s">
        <v>1597</v>
      </c>
      <c r="V133" s="1555" t="s">
        <v>1083</v>
      </c>
      <c r="W133" s="1555"/>
      <c r="X133" s="933"/>
      <c r="Y133" s="1113">
        <f>IF(OR(O129&gt;0,O130&gt;0,E135&gt;0,E137&gt;0),1,0)</f>
        <v>0</v>
      </c>
      <c r="Z133" s="1080">
        <f>IF(AND(OR(O129&gt;0,O130&gt;0),OR(E134&gt;0,E136&gt;0),C139&gt;0),C139*O138,O138)</f>
        <v>0</v>
      </c>
      <c r="AA133" s="1056">
        <f>IF(AND(Y133=0,C139&gt;0),C139*AB138,AB138)</f>
        <v>0</v>
      </c>
      <c r="AB133" s="63"/>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4"/>
      <c r="BR133" s="14"/>
      <c r="BS133" s="14"/>
      <c r="BT133" s="14"/>
      <c r="BU133" s="14"/>
      <c r="BV133" s="14"/>
      <c r="BW133" s="14"/>
      <c r="BX133" s="14"/>
      <c r="BY133" s="14"/>
      <c r="BZ133" s="14"/>
      <c r="CA133" s="14"/>
      <c r="CB133" s="14"/>
      <c r="CC133" s="14"/>
      <c r="CD133" s="14"/>
      <c r="CE133" s="14"/>
      <c r="CF133" s="14"/>
      <c r="CG133" s="14"/>
      <c r="CH133" s="14"/>
      <c r="CI133" s="14"/>
      <c r="CJ133" s="14"/>
      <c r="CK133" s="14"/>
      <c r="CL133" s="14"/>
      <c r="CM133" s="14"/>
      <c r="CN133" s="14"/>
      <c r="CO133" s="14"/>
      <c r="CP133" s="14"/>
      <c r="CQ133" s="14"/>
      <c r="CR133" s="14"/>
      <c r="CS133" s="14"/>
      <c r="CT133" s="14"/>
      <c r="CU133" s="14"/>
      <c r="CV133" s="14"/>
      <c r="CW133" s="14"/>
      <c r="CX133" s="14"/>
      <c r="CY133" s="14"/>
      <c r="CZ133" s="14"/>
      <c r="DA133" s="14"/>
      <c r="DB133" s="14"/>
      <c r="DC133" s="14"/>
      <c r="DD133" s="14"/>
      <c r="DE133" s="14"/>
      <c r="DF133" s="14"/>
      <c r="DG133" s="14"/>
      <c r="DH133" s="14"/>
      <c r="DI133" s="14"/>
      <c r="DJ133" s="14"/>
      <c r="DK133" s="14"/>
      <c r="DL133" s="14"/>
      <c r="DM133" s="14"/>
      <c r="DN133" s="14"/>
      <c r="DO133" s="14"/>
      <c r="DP133" s="14"/>
      <c r="DQ133" s="14"/>
      <c r="DR133" s="14"/>
      <c r="DS133" s="14"/>
      <c r="DT133" s="14"/>
      <c r="DU133" s="14"/>
      <c r="DV133" s="14"/>
      <c r="DW133" s="14"/>
      <c r="DX133" s="14"/>
      <c r="DY133" s="14"/>
      <c r="DZ133" s="14"/>
      <c r="EA133" s="14"/>
      <c r="EB133" s="14"/>
      <c r="EC133" s="14"/>
      <c r="ED133" s="14"/>
      <c r="EE133" s="14"/>
      <c r="EF133" s="14"/>
      <c r="EG133" s="14"/>
      <c r="EH133" s="14"/>
      <c r="EI133" s="14"/>
      <c r="EJ133" s="14"/>
      <c r="EK133" s="14"/>
      <c r="EL133" s="14"/>
      <c r="EM133" s="14"/>
      <c r="EN133" s="14"/>
      <c r="EO133" s="14"/>
      <c r="EP133" s="14"/>
      <c r="EQ133" s="14"/>
      <c r="ER133" s="14"/>
      <c r="ES133" s="14"/>
      <c r="ET133" s="14"/>
      <c r="EU133" s="14"/>
      <c r="EV133" s="14"/>
      <c r="EW133" s="14"/>
      <c r="EX133" s="14"/>
      <c r="EY133" s="14"/>
      <c r="EZ133" s="14"/>
      <c r="FA133" s="14"/>
      <c r="FB133" s="14"/>
      <c r="FC133" s="14"/>
      <c r="FD133" s="14"/>
      <c r="FE133" s="14"/>
      <c r="FF133" s="14"/>
      <c r="FG133" s="14"/>
      <c r="FH133" s="14"/>
      <c r="FI133" s="14"/>
      <c r="FJ133" s="14"/>
      <c r="FK133" s="14"/>
      <c r="FL133" s="14"/>
      <c r="FM133" s="14"/>
      <c r="FN133" s="14"/>
      <c r="FO133" s="14"/>
      <c r="FP133" s="14"/>
      <c r="FQ133" s="14"/>
      <c r="FR133" s="14"/>
      <c r="FS133" s="14"/>
      <c r="FT133" s="14"/>
      <c r="FU133" s="14"/>
      <c r="FV133" s="14"/>
      <c r="FW133" s="14"/>
      <c r="FX133" s="14"/>
      <c r="FY133" s="14"/>
      <c r="FZ133" s="14"/>
      <c r="GA133" s="14"/>
      <c r="GB133" s="14"/>
      <c r="GC133" s="14"/>
      <c r="GD133" s="14"/>
      <c r="GE133" s="14"/>
      <c r="GF133" s="14"/>
      <c r="GG133" s="14"/>
      <c r="GH133" s="14"/>
      <c r="GI133" s="14"/>
      <c r="GJ133" s="14"/>
      <c r="GK133" s="14"/>
      <c r="GL133" s="14"/>
      <c r="GM133" s="14"/>
      <c r="GN133" s="14"/>
      <c r="GO133" s="14"/>
      <c r="GP133" s="14"/>
      <c r="GQ133" s="14"/>
      <c r="GR133" s="14"/>
      <c r="GS133" s="14"/>
      <c r="GT133" s="14"/>
      <c r="GU133" s="14"/>
      <c r="GV133" s="14"/>
      <c r="GW133" s="14"/>
      <c r="GX133" s="14"/>
      <c r="GY133" s="14"/>
      <c r="GZ133" s="14"/>
      <c r="HA133" s="14"/>
      <c r="HB133" s="14"/>
      <c r="HC133" s="14"/>
      <c r="HD133" s="14"/>
      <c r="HE133" s="14"/>
      <c r="HF133" s="14"/>
      <c r="HG133" s="14"/>
      <c r="HH133" s="14"/>
      <c r="HI133" s="14"/>
      <c r="HJ133" s="14"/>
      <c r="HK133" s="14"/>
      <c r="HL133" s="14"/>
      <c r="HM133" s="14"/>
      <c r="HN133" s="14"/>
      <c r="HO133" s="14"/>
      <c r="HP133" s="14"/>
      <c r="HQ133" s="14"/>
      <c r="HR133" s="14"/>
      <c r="HS133" s="14"/>
      <c r="HT133" s="14"/>
    </row>
    <row r="134" spans="2:228" ht="15" customHeight="1" x14ac:dyDescent="0.2">
      <c r="B134" s="358" t="s">
        <v>1335</v>
      </c>
      <c r="C134" s="1944"/>
      <c r="D134" s="1945"/>
      <c r="E134" s="1865">
        <f>LETable!AT24</f>
        <v>0</v>
      </c>
      <c r="F134" s="1865"/>
      <c r="G134" s="1308"/>
      <c r="H134" s="1308"/>
      <c r="I134" s="1308"/>
      <c r="J134" s="1869">
        <f>IF(C134="",0,IF(OR(C134&lt;=0,G134&lt;=0),E134,IF(G134&lt;C134,0,LETable!AY24)))</f>
        <v>0</v>
      </c>
      <c r="K134" s="1869"/>
      <c r="L134" s="1938" t="str">
        <f>IF(OR(C134="NA",G134="NA"),"",IF(AND(C134&lt;&gt;"",G134=""),"Enter contralateral or NA.",IF(AND(C134="",G134&lt;&gt;""),"Need data","")))</f>
        <v/>
      </c>
      <c r="M134" s="1938"/>
      <c r="N134" s="1938"/>
      <c r="O134" s="1939"/>
      <c r="P134" s="1745"/>
      <c r="S134" s="922">
        <v>40</v>
      </c>
      <c r="T134" s="922" t="str">
        <f>IF(OR(C134="",C134="NA"),"",IF(C134&gt;S134,S134,IF(C134&lt;0,0,C134)))</f>
        <v/>
      </c>
      <c r="U134" s="922" t="str">
        <f>IF(OR(G134="",G134="NA"),"",IF(G134&gt;S134,S134,IF(G134&lt;0,0,G134)))</f>
        <v/>
      </c>
      <c r="V134" s="696" t="str">
        <f>IF(W134="","",ROUND(W134,0))</f>
        <v/>
      </c>
      <c r="W134" s="697" t="str">
        <f>IF(T134="","",IF(OR(U134="",U134=0,U134&lt;T134),T134,(T134*S134)/U134))</f>
        <v/>
      </c>
      <c r="X134" s="18"/>
      <c r="Y134" s="63"/>
      <c r="Z134" s="63"/>
      <c r="AA134" s="63"/>
      <c r="AB134" s="63"/>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4"/>
      <c r="BR134" s="14"/>
      <c r="BS134" s="14"/>
      <c r="BT134" s="14"/>
      <c r="BU134" s="14"/>
      <c r="BV134" s="14"/>
      <c r="BW134" s="14"/>
      <c r="BX134" s="14"/>
      <c r="BY134" s="14"/>
      <c r="BZ134" s="14"/>
      <c r="CA134" s="14"/>
      <c r="CB134" s="14"/>
      <c r="CC134" s="14"/>
      <c r="CD134" s="14"/>
      <c r="CE134" s="14"/>
      <c r="CF134" s="14"/>
      <c r="CG134" s="14"/>
      <c r="CH134" s="14"/>
      <c r="CI134" s="14"/>
      <c r="CJ134" s="14"/>
      <c r="CK134" s="14"/>
      <c r="CL134" s="14"/>
      <c r="CM134" s="14"/>
      <c r="CN134" s="14"/>
      <c r="CO134" s="14"/>
      <c r="CP134" s="14"/>
      <c r="CQ134" s="14"/>
      <c r="CR134" s="14"/>
      <c r="CS134" s="14"/>
      <c r="CT134" s="14"/>
      <c r="CU134" s="14"/>
      <c r="CV134" s="14"/>
      <c r="CW134" s="14"/>
      <c r="CX134" s="14"/>
      <c r="CY134" s="14"/>
      <c r="CZ134" s="14"/>
      <c r="DA134" s="14"/>
      <c r="DB134" s="14"/>
      <c r="DC134" s="14"/>
      <c r="DD134" s="14"/>
      <c r="DE134" s="14"/>
      <c r="DF134" s="14"/>
      <c r="DG134" s="14"/>
      <c r="DH134" s="14"/>
      <c r="DI134" s="14"/>
      <c r="DJ134" s="14"/>
      <c r="DK134" s="14"/>
      <c r="DL134" s="14"/>
      <c r="DM134" s="14"/>
      <c r="DN134" s="14"/>
      <c r="DO134" s="14"/>
      <c r="DP134" s="14"/>
      <c r="DQ134" s="14"/>
      <c r="DR134" s="14"/>
      <c r="DS134" s="14"/>
      <c r="DT134" s="14"/>
      <c r="DU134" s="14"/>
      <c r="DV134" s="14"/>
      <c r="DW134" s="14"/>
      <c r="DX134" s="14"/>
      <c r="DY134" s="14"/>
      <c r="DZ134" s="14"/>
      <c r="EA134" s="14"/>
      <c r="EB134" s="14"/>
      <c r="EC134" s="14"/>
      <c r="ED134" s="14"/>
      <c r="EE134" s="14"/>
      <c r="EF134" s="14"/>
      <c r="EG134" s="14"/>
      <c r="EH134" s="14"/>
      <c r="EI134" s="14"/>
      <c r="EJ134" s="14"/>
      <c r="EK134" s="14"/>
      <c r="EL134" s="14"/>
      <c r="EM134" s="14"/>
      <c r="EN134" s="14"/>
      <c r="EO134" s="14"/>
      <c r="EP134" s="14"/>
      <c r="EQ134" s="14"/>
      <c r="ER134" s="14"/>
      <c r="ES134" s="14"/>
      <c r="ET134" s="14"/>
      <c r="EU134" s="14"/>
      <c r="EV134" s="14"/>
      <c r="EW134" s="14"/>
      <c r="EX134" s="14"/>
      <c r="EY134" s="14"/>
      <c r="EZ134" s="14"/>
      <c r="FA134" s="14"/>
      <c r="FB134" s="14"/>
      <c r="FC134" s="14"/>
      <c r="FD134" s="14"/>
      <c r="FE134" s="14"/>
      <c r="FF134" s="14"/>
      <c r="FG134" s="14"/>
      <c r="FH134" s="14"/>
      <c r="FI134" s="14"/>
      <c r="FJ134" s="14"/>
      <c r="FK134" s="14"/>
      <c r="FL134" s="14"/>
      <c r="FM134" s="14"/>
      <c r="FN134" s="14"/>
      <c r="FO134" s="14"/>
      <c r="FP134" s="14"/>
      <c r="FQ134" s="14"/>
      <c r="FR134" s="14"/>
      <c r="FS134" s="14"/>
      <c r="FT134" s="14"/>
      <c r="FU134" s="14"/>
      <c r="FV134" s="14"/>
      <c r="FW134" s="14"/>
      <c r="FX134" s="14"/>
      <c r="FY134" s="14"/>
      <c r="FZ134" s="14"/>
      <c r="GA134" s="14"/>
      <c r="GB134" s="14"/>
      <c r="GC134" s="14"/>
      <c r="GD134" s="14"/>
      <c r="GE134" s="14"/>
      <c r="GF134" s="14"/>
      <c r="GG134" s="14"/>
      <c r="GH134" s="14"/>
      <c r="GI134" s="14"/>
      <c r="GJ134" s="14"/>
      <c r="GK134" s="14"/>
      <c r="GL134" s="14"/>
      <c r="GM134" s="14"/>
      <c r="GN134" s="14"/>
      <c r="GO134" s="14"/>
      <c r="GP134" s="14"/>
      <c r="GQ134" s="14"/>
      <c r="GR134" s="14"/>
      <c r="GS134" s="14"/>
      <c r="GT134" s="14"/>
      <c r="GU134" s="14"/>
      <c r="GV134" s="14"/>
      <c r="GW134" s="14"/>
      <c r="GX134" s="14"/>
      <c r="GY134" s="14"/>
      <c r="GZ134" s="14"/>
      <c r="HA134" s="14"/>
      <c r="HB134" s="14"/>
      <c r="HC134" s="14"/>
      <c r="HD134" s="14"/>
      <c r="HE134" s="14"/>
      <c r="HF134" s="14"/>
      <c r="HG134" s="14"/>
      <c r="HH134" s="14"/>
      <c r="HI134" s="14"/>
      <c r="HJ134" s="14"/>
      <c r="HK134" s="14"/>
      <c r="HL134" s="14"/>
      <c r="HM134" s="14"/>
      <c r="HN134" s="14"/>
      <c r="HO134" s="14"/>
      <c r="HP134" s="14"/>
      <c r="HQ134" s="14"/>
      <c r="HR134" s="14"/>
      <c r="HS134" s="14"/>
      <c r="HT134" s="14"/>
    </row>
    <row r="135" spans="2:228" ht="15" customHeight="1" x14ac:dyDescent="0.2">
      <c r="B135" s="358" t="s">
        <v>1336</v>
      </c>
      <c r="C135" s="1944"/>
      <c r="D135" s="1945"/>
      <c r="E135" s="1865">
        <f>IF(AND(C135&lt;&gt;"",C135&lt;&gt;"NA",C134&lt;&gt;"NA",C134&lt;&gt;""),"ERROR",IF(AND(C135&lt;&gt;"",C135&lt;&gt;"NA",C136&lt;&gt;"",C136&lt;&gt;"NA"),"ERROR",LETable!AT25))</f>
        <v>0</v>
      </c>
      <c r="F135" s="1865"/>
      <c r="G135" s="1556" t="str">
        <f>IF(E135="ERROR","Error: Cannot rate ROM and ankylosis.","")</f>
        <v/>
      </c>
      <c r="H135" s="1556"/>
      <c r="I135" s="1556"/>
      <c r="J135" s="1556"/>
      <c r="K135" s="1556"/>
      <c r="L135" s="1556"/>
      <c r="M135" s="1556"/>
      <c r="N135" s="1556"/>
      <c r="O135" s="1704"/>
      <c r="P135" s="1745"/>
      <c r="R135" s="18"/>
      <c r="S135" s="922">
        <v>40</v>
      </c>
      <c r="T135" s="922" t="str">
        <f>IF(OR(C135="",C135="NA"),"",IF(C135&gt;S135,S135,IF(C135&lt;0,0,C135)))</f>
        <v/>
      </c>
      <c r="U135" s="18"/>
      <c r="V135" s="18"/>
      <c r="W135" s="18"/>
      <c r="X135" s="18"/>
      <c r="Y135" s="63"/>
      <c r="Z135" s="63"/>
      <c r="AA135" s="63"/>
      <c r="AB135" s="63"/>
      <c r="AC135" s="18"/>
      <c r="AD135" s="18"/>
      <c r="AE135" s="18"/>
      <c r="AF135" s="18"/>
      <c r="AG135" s="18"/>
      <c r="AH135" s="18"/>
      <c r="AI135" s="18"/>
      <c r="AJ135" s="18"/>
      <c r="AK135" s="18"/>
      <c r="AL135" s="18"/>
      <c r="AM135" s="18"/>
      <c r="AN135" s="18"/>
      <c r="AO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4"/>
      <c r="BR135" s="14"/>
      <c r="BS135" s="14"/>
      <c r="BT135" s="14"/>
      <c r="BU135" s="14"/>
      <c r="BV135" s="14"/>
      <c r="BW135" s="14"/>
      <c r="BX135" s="14"/>
      <c r="BY135" s="14"/>
      <c r="BZ135" s="14"/>
      <c r="CA135" s="14"/>
      <c r="CB135" s="14"/>
      <c r="CC135" s="14"/>
      <c r="CD135" s="14"/>
      <c r="CE135" s="14"/>
      <c r="CF135" s="14"/>
      <c r="CG135" s="14"/>
      <c r="CH135" s="14"/>
      <c r="CI135" s="14"/>
      <c r="CJ135" s="14"/>
      <c r="CK135" s="14"/>
      <c r="CL135" s="14"/>
      <c r="CM135" s="14"/>
      <c r="CN135" s="14"/>
      <c r="CO135" s="14"/>
      <c r="CP135" s="14"/>
      <c r="CQ135" s="14"/>
      <c r="CR135" s="14"/>
      <c r="CS135" s="14"/>
      <c r="CT135" s="14"/>
      <c r="CU135" s="14"/>
      <c r="CV135" s="14"/>
      <c r="CW135" s="14"/>
      <c r="CX135" s="14"/>
      <c r="CY135" s="14"/>
      <c r="CZ135" s="14"/>
      <c r="DA135" s="14"/>
      <c r="DB135" s="14"/>
      <c r="DC135" s="14"/>
      <c r="DD135" s="14"/>
      <c r="DE135" s="14"/>
      <c r="DF135" s="14"/>
      <c r="DG135" s="14"/>
      <c r="DH135" s="14"/>
      <c r="DI135" s="14"/>
      <c r="DJ135" s="14"/>
      <c r="DK135" s="14"/>
      <c r="DL135" s="14"/>
      <c r="DM135" s="14"/>
      <c r="DN135" s="14"/>
      <c r="DO135" s="14"/>
      <c r="DP135" s="14"/>
      <c r="DQ135" s="14"/>
      <c r="DR135" s="14"/>
      <c r="DS135" s="14"/>
      <c r="DT135" s="14"/>
      <c r="DU135" s="14"/>
      <c r="DV135" s="14"/>
      <c r="DW135" s="14"/>
      <c r="DX135" s="14"/>
      <c r="DY135" s="14"/>
      <c r="DZ135" s="14"/>
      <c r="EA135" s="14"/>
      <c r="EB135" s="14"/>
      <c r="EC135" s="14"/>
      <c r="ED135" s="14"/>
      <c r="EE135" s="14"/>
      <c r="EF135" s="14"/>
      <c r="EG135" s="14"/>
      <c r="EH135" s="14"/>
      <c r="EI135" s="14"/>
      <c r="EJ135" s="14"/>
      <c r="EK135" s="14"/>
      <c r="EL135" s="14"/>
      <c r="EM135" s="14"/>
      <c r="EN135" s="14"/>
      <c r="EO135" s="14"/>
      <c r="EP135" s="14"/>
      <c r="EQ135" s="14"/>
      <c r="ER135" s="14"/>
      <c r="ES135" s="14"/>
      <c r="ET135" s="14"/>
      <c r="EU135" s="14"/>
      <c r="EV135" s="14"/>
      <c r="EW135" s="14"/>
      <c r="EX135" s="14"/>
      <c r="EY135" s="14"/>
      <c r="EZ135" s="14"/>
      <c r="FA135" s="14"/>
      <c r="FB135" s="14"/>
      <c r="FC135" s="14"/>
      <c r="FD135" s="14"/>
      <c r="FE135" s="14"/>
      <c r="FF135" s="14"/>
      <c r="FG135" s="14"/>
      <c r="FH135" s="14"/>
      <c r="FI135" s="14"/>
      <c r="FJ135" s="14"/>
      <c r="FK135" s="14"/>
      <c r="FL135" s="14"/>
      <c r="FM135" s="14"/>
      <c r="FN135" s="14"/>
      <c r="FO135" s="14"/>
      <c r="FP135" s="14"/>
      <c r="FQ135" s="14"/>
      <c r="FR135" s="14"/>
      <c r="FS135" s="14"/>
      <c r="FT135" s="14"/>
      <c r="FU135" s="14"/>
      <c r="FV135" s="14"/>
      <c r="FW135" s="14"/>
      <c r="FX135" s="14"/>
      <c r="FY135" s="14"/>
      <c r="FZ135" s="14"/>
      <c r="GA135" s="14"/>
      <c r="GB135" s="14"/>
      <c r="GC135" s="14"/>
      <c r="GD135" s="14"/>
      <c r="GE135" s="14"/>
      <c r="GF135" s="14"/>
      <c r="GG135" s="14"/>
      <c r="GH135" s="14"/>
      <c r="GI135" s="14"/>
      <c r="GJ135" s="14"/>
      <c r="GK135" s="14"/>
      <c r="GL135" s="14"/>
      <c r="GM135" s="14"/>
      <c r="GN135" s="14"/>
      <c r="GO135" s="14"/>
      <c r="GP135" s="14"/>
      <c r="GQ135" s="14"/>
      <c r="GR135" s="14"/>
      <c r="GS135" s="14"/>
      <c r="GT135" s="14"/>
      <c r="GU135" s="14"/>
      <c r="GV135" s="14"/>
      <c r="GW135" s="14"/>
      <c r="GX135" s="14"/>
      <c r="GY135" s="14"/>
      <c r="GZ135" s="14"/>
      <c r="HA135" s="14"/>
      <c r="HB135" s="14"/>
      <c r="HC135" s="14"/>
      <c r="HD135" s="14"/>
      <c r="HE135" s="14"/>
      <c r="HF135" s="14"/>
      <c r="HG135" s="14"/>
      <c r="HH135" s="14"/>
      <c r="HI135" s="14"/>
      <c r="HJ135" s="14"/>
      <c r="HK135" s="14"/>
      <c r="HL135" s="14"/>
      <c r="HM135" s="14"/>
      <c r="HN135" s="14"/>
      <c r="HO135" s="14"/>
      <c r="HP135" s="14"/>
      <c r="HQ135" s="14"/>
      <c r="HR135" s="14"/>
      <c r="HS135" s="14"/>
      <c r="HT135" s="14"/>
    </row>
    <row r="136" spans="2:228" ht="15" customHeight="1" x14ac:dyDescent="0.2">
      <c r="B136" s="156" t="s">
        <v>1256</v>
      </c>
      <c r="C136" s="1944"/>
      <c r="D136" s="1945"/>
      <c r="E136" s="1865">
        <f>LETable!AT26</f>
        <v>0</v>
      </c>
      <c r="F136" s="1865"/>
      <c r="G136" s="1308"/>
      <c r="H136" s="1308"/>
      <c r="I136" s="1308"/>
      <c r="J136" s="1869">
        <f>IF(C136="",0,IF(OR(C136&lt;=0,G136&lt;=0),E136,IF(G136&lt;C136,0,LETable!AY26)))</f>
        <v>0</v>
      </c>
      <c r="K136" s="1869"/>
      <c r="L136" s="1938" t="str">
        <f>IF(OR(C136="NA",G136="NA"),"",IF(AND(C136&lt;&gt;"",G136=""),"Enter contralateral or NA.",IF(AND(C136="",G136&lt;&gt;""),"Need data","")))</f>
        <v/>
      </c>
      <c r="M136" s="1938"/>
      <c r="N136" s="1938"/>
      <c r="O136" s="1939"/>
      <c r="P136" s="1745"/>
      <c r="R136" s="18"/>
      <c r="S136" s="922">
        <v>30</v>
      </c>
      <c r="T136" s="922" t="str">
        <f>IF(OR(C136="",C136="NA"),"",IF(C136&gt;S136,S136,IF(C136&lt;0,0,C136)))</f>
        <v/>
      </c>
      <c r="U136" s="922" t="str">
        <f>IF(OR(G136="",G136="NA"),"",IF(G136&gt;S136,S136,IF(G136&lt;0,0,G136)))</f>
        <v/>
      </c>
      <c r="V136" s="696" t="str">
        <f>IF(W136="","",ROUND(W136,0))</f>
        <v/>
      </c>
      <c r="W136" s="697" t="str">
        <f>IF(T136="","",IF(OR(U136="",U136=0,U136&lt;T136),T136,(T136*S136)/U136))</f>
        <v/>
      </c>
      <c r="X136" s="18"/>
      <c r="Y136" s="1103" t="s">
        <v>2225</v>
      </c>
      <c r="Z136" s="1103" t="s">
        <v>1305</v>
      </c>
      <c r="AA136" s="1103" t="s">
        <v>1306</v>
      </c>
      <c r="AB136" s="1103" t="s">
        <v>1307</v>
      </c>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4"/>
      <c r="BR136" s="14"/>
      <c r="BS136" s="14"/>
      <c r="BT136" s="14"/>
      <c r="BU136" s="14"/>
      <c r="BV136" s="14"/>
      <c r="BW136" s="14"/>
      <c r="BX136" s="14"/>
      <c r="BY136" s="14"/>
      <c r="BZ136" s="14"/>
      <c r="CA136" s="14"/>
      <c r="CB136" s="14"/>
      <c r="CC136" s="14"/>
      <c r="CD136" s="14"/>
      <c r="CE136" s="14"/>
      <c r="CF136" s="14"/>
      <c r="CG136" s="14"/>
      <c r="CH136" s="14"/>
      <c r="CI136" s="14"/>
      <c r="CJ136" s="14"/>
      <c r="CK136" s="14"/>
      <c r="CL136" s="14"/>
      <c r="CM136" s="14"/>
      <c r="CN136" s="14"/>
      <c r="CO136" s="14"/>
      <c r="CP136" s="14"/>
      <c r="CQ136" s="14"/>
      <c r="CR136" s="14"/>
      <c r="CS136" s="14"/>
      <c r="CT136" s="14"/>
      <c r="CU136" s="14"/>
      <c r="CV136" s="14"/>
      <c r="CW136" s="14"/>
      <c r="CX136" s="14"/>
      <c r="CY136" s="14"/>
      <c r="CZ136" s="14"/>
      <c r="DA136" s="14"/>
      <c r="DB136" s="14"/>
      <c r="DC136" s="14"/>
      <c r="DD136" s="14"/>
      <c r="DE136" s="14"/>
      <c r="DF136" s="14"/>
      <c r="DG136" s="14"/>
      <c r="DH136" s="14"/>
      <c r="DI136" s="14"/>
      <c r="DJ136" s="14"/>
      <c r="DK136" s="14"/>
      <c r="DL136" s="14"/>
      <c r="DM136" s="14"/>
      <c r="DN136" s="14"/>
      <c r="DO136" s="14"/>
      <c r="DP136" s="14"/>
      <c r="DQ136" s="14"/>
      <c r="DR136" s="14"/>
      <c r="DS136" s="14"/>
      <c r="DT136" s="14"/>
      <c r="DU136" s="14"/>
      <c r="DV136" s="14"/>
      <c r="DW136" s="14"/>
      <c r="DX136" s="14"/>
      <c r="DY136" s="14"/>
      <c r="DZ136" s="14"/>
      <c r="EA136" s="14"/>
      <c r="EB136" s="14"/>
      <c r="EC136" s="14"/>
      <c r="ED136" s="14"/>
      <c r="EE136" s="14"/>
      <c r="EF136" s="14"/>
      <c r="EG136" s="14"/>
      <c r="EH136" s="14"/>
      <c r="EI136" s="14"/>
      <c r="EJ136" s="14"/>
      <c r="EK136" s="14"/>
      <c r="EL136" s="14"/>
      <c r="EM136" s="14"/>
      <c r="EN136" s="14"/>
      <c r="EO136" s="14"/>
      <c r="EP136" s="14"/>
      <c r="EQ136" s="14"/>
      <c r="ER136" s="14"/>
      <c r="ES136" s="14"/>
      <c r="ET136" s="14"/>
      <c r="EU136" s="14"/>
      <c r="EV136" s="14"/>
      <c r="EW136" s="14"/>
      <c r="EX136" s="14"/>
      <c r="EY136" s="14"/>
      <c r="EZ136" s="14"/>
      <c r="FA136" s="14"/>
      <c r="FB136" s="14"/>
      <c r="FC136" s="14"/>
      <c r="FD136" s="14"/>
      <c r="FE136" s="14"/>
      <c r="FF136" s="14"/>
      <c r="FG136" s="14"/>
      <c r="FH136" s="14"/>
      <c r="FI136" s="14"/>
      <c r="FJ136" s="14"/>
      <c r="FK136" s="14"/>
      <c r="FL136" s="14"/>
      <c r="FM136" s="14"/>
      <c r="FN136" s="14"/>
      <c r="FO136" s="14"/>
      <c r="FP136" s="14"/>
      <c r="FQ136" s="14"/>
      <c r="FR136" s="14"/>
      <c r="FS136" s="14"/>
      <c r="FT136" s="14"/>
      <c r="FU136" s="14"/>
      <c r="FV136" s="14"/>
      <c r="FW136" s="14"/>
      <c r="FX136" s="14"/>
      <c r="FY136" s="14"/>
      <c r="FZ136" s="14"/>
      <c r="GA136" s="14"/>
      <c r="GB136" s="14"/>
      <c r="GC136" s="14"/>
      <c r="GD136" s="14"/>
      <c r="GE136" s="14"/>
      <c r="GF136" s="14"/>
      <c r="GG136" s="14"/>
      <c r="GH136" s="14"/>
      <c r="GI136" s="14"/>
      <c r="GJ136" s="14"/>
      <c r="GK136" s="14"/>
      <c r="GL136" s="14"/>
      <c r="GM136" s="14"/>
      <c r="GN136" s="14"/>
      <c r="GO136" s="14"/>
      <c r="GP136" s="14"/>
      <c r="GQ136" s="14"/>
      <c r="GR136" s="14"/>
      <c r="GS136" s="14"/>
      <c r="GT136" s="14"/>
      <c r="GU136" s="14"/>
      <c r="GV136" s="14"/>
      <c r="GW136" s="14"/>
      <c r="GX136" s="14"/>
      <c r="GY136" s="14"/>
      <c r="GZ136" s="14"/>
      <c r="HA136" s="14"/>
      <c r="HB136" s="14"/>
      <c r="HC136" s="14"/>
      <c r="HD136" s="14"/>
      <c r="HE136" s="14"/>
      <c r="HF136" s="14"/>
      <c r="HG136" s="14"/>
      <c r="HH136" s="14"/>
      <c r="HI136" s="14"/>
      <c r="HJ136" s="14"/>
      <c r="HK136" s="14"/>
      <c r="HL136" s="14"/>
      <c r="HM136" s="14"/>
      <c r="HN136" s="14"/>
      <c r="HO136" s="14"/>
      <c r="HP136" s="14"/>
      <c r="HQ136" s="14"/>
      <c r="HR136" s="14"/>
      <c r="HS136" s="14"/>
      <c r="HT136" s="14"/>
    </row>
    <row r="137" spans="2:228" ht="15" customHeight="1" x14ac:dyDescent="0.2">
      <c r="B137" s="357" t="s">
        <v>1840</v>
      </c>
      <c r="C137" s="1944"/>
      <c r="D137" s="1960"/>
      <c r="E137" s="1865">
        <f>IF(AND(C137&lt;&gt;"",C137&lt;&gt;"NA",C136&lt;&gt;"NA",C136&lt;&gt;""),"ERROR",IF(AND(C137&lt;&gt;"",C137&lt;&gt;"NA",C134&lt;&gt;"",C134&lt;&gt;"NA"),"ERROR",LETable!AT27))</f>
        <v>0</v>
      </c>
      <c r="F137" s="1865"/>
      <c r="G137" s="1866" t="str">
        <f>IF(E137="ERROR","Error: Cannot rate ROM and ankylosis.",IF(AND(C135&lt;&gt;"",C135&lt;&gt;"NA",C137&lt;&gt;"",C137&lt;&gt;"NA"),"Multiple ankylosis values; use higher value only.",""))</f>
        <v/>
      </c>
      <c r="H137" s="1867"/>
      <c r="I137" s="1867"/>
      <c r="J137" s="1867"/>
      <c r="K137" s="1867"/>
      <c r="L137" s="1867"/>
      <c r="M137" s="1867"/>
      <c r="N137" s="1867"/>
      <c r="O137" s="1868"/>
      <c r="P137" s="1745"/>
      <c r="R137" s="18"/>
      <c r="S137" s="922">
        <v>30</v>
      </c>
      <c r="T137" s="922" t="str">
        <f>IF(OR(C137="",C137="NA"),"",IF(C137&gt;S137,S137,IF(C137&lt;0,0,C137)))</f>
        <v/>
      </c>
      <c r="U137" s="18"/>
      <c r="V137" s="18"/>
      <c r="W137" s="18"/>
      <c r="X137" s="18"/>
      <c r="Y137" s="242">
        <f>O129</f>
        <v>0</v>
      </c>
      <c r="Z137" s="1118">
        <f>LARGE($Y$137:$Y$139,1)</f>
        <v>0</v>
      </c>
      <c r="AA137" s="684">
        <f>Z137+Z138*(1-Z137)</f>
        <v>0</v>
      </c>
      <c r="AB137" s="1112">
        <f>ROUND(AA137,2)</f>
        <v>0</v>
      </c>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4"/>
      <c r="BR137" s="14"/>
      <c r="BS137" s="14"/>
      <c r="BT137" s="14"/>
      <c r="BU137" s="14"/>
      <c r="BV137" s="14"/>
      <c r="BW137" s="14"/>
      <c r="BX137" s="14"/>
      <c r="BY137" s="14"/>
      <c r="BZ137" s="14"/>
      <c r="CA137" s="14"/>
      <c r="CB137" s="14"/>
      <c r="CC137" s="14"/>
      <c r="CD137" s="14"/>
      <c r="CE137" s="14"/>
      <c r="CF137" s="14"/>
      <c r="CG137" s="14"/>
      <c r="CH137" s="14"/>
      <c r="CI137" s="14"/>
      <c r="CJ137" s="14"/>
      <c r="CK137" s="14"/>
      <c r="CL137" s="14"/>
      <c r="CM137" s="14"/>
      <c r="CN137" s="14"/>
      <c r="CO137" s="14"/>
      <c r="CP137" s="14"/>
      <c r="CQ137" s="14"/>
      <c r="CR137" s="14"/>
      <c r="CS137" s="14"/>
      <c r="CT137" s="14"/>
      <c r="CU137" s="14"/>
      <c r="CV137" s="14"/>
      <c r="CW137" s="14"/>
      <c r="CX137" s="14"/>
      <c r="CY137" s="14"/>
      <c r="CZ137" s="14"/>
      <c r="DA137" s="14"/>
      <c r="DB137" s="14"/>
      <c r="DC137" s="14"/>
      <c r="DD137" s="14"/>
      <c r="DE137" s="14"/>
      <c r="DF137" s="14"/>
      <c r="DG137" s="14"/>
      <c r="DH137" s="14"/>
      <c r="DI137" s="14"/>
      <c r="DJ137" s="14"/>
      <c r="DK137" s="14"/>
      <c r="DL137" s="14"/>
      <c r="DM137" s="14"/>
      <c r="DN137" s="14"/>
      <c r="DO137" s="14"/>
      <c r="DP137" s="14"/>
      <c r="DQ137" s="14"/>
      <c r="DR137" s="14"/>
      <c r="DS137" s="14"/>
      <c r="DT137" s="14"/>
      <c r="DU137" s="14"/>
      <c r="DV137" s="14"/>
      <c r="DW137" s="14"/>
      <c r="DX137" s="14"/>
      <c r="DY137" s="14"/>
      <c r="DZ137" s="14"/>
      <c r="EA137" s="14"/>
      <c r="EB137" s="14"/>
      <c r="EC137" s="14"/>
      <c r="ED137" s="14"/>
      <c r="EE137" s="14"/>
      <c r="EF137" s="14"/>
      <c r="EG137" s="14"/>
      <c r="EH137" s="14"/>
      <c r="EI137" s="14"/>
      <c r="EJ137" s="14"/>
      <c r="EK137" s="14"/>
      <c r="EL137" s="14"/>
      <c r="EM137" s="14"/>
      <c r="EN137" s="14"/>
      <c r="EO137" s="14"/>
      <c r="EP137" s="14"/>
      <c r="EQ137" s="14"/>
      <c r="ER137" s="14"/>
      <c r="ES137" s="14"/>
      <c r="ET137" s="14"/>
      <c r="EU137" s="14"/>
      <c r="EV137" s="14"/>
      <c r="EW137" s="14"/>
      <c r="EX137" s="14"/>
      <c r="EY137" s="14"/>
      <c r="EZ137" s="14"/>
      <c r="FA137" s="14"/>
      <c r="FB137" s="14"/>
      <c r="FC137" s="14"/>
      <c r="FD137" s="14"/>
      <c r="FE137" s="14"/>
      <c r="FF137" s="14"/>
      <c r="FG137" s="14"/>
      <c r="FH137" s="14"/>
      <c r="FI137" s="14"/>
      <c r="FJ137" s="14"/>
      <c r="FK137" s="14"/>
      <c r="FL137" s="14"/>
      <c r="FM137" s="14"/>
      <c r="FN137" s="14"/>
      <c r="FO137" s="14"/>
      <c r="FP137" s="14"/>
      <c r="FQ137" s="14"/>
      <c r="FR137" s="14"/>
      <c r="FS137" s="14"/>
      <c r="FT137" s="14"/>
      <c r="FU137" s="14"/>
      <c r="FV137" s="14"/>
      <c r="FW137" s="14"/>
      <c r="FX137" s="14"/>
      <c r="FY137" s="14"/>
      <c r="FZ137" s="14"/>
      <c r="GA137" s="14"/>
      <c r="GB137" s="14"/>
      <c r="GC137" s="14"/>
      <c r="GD137" s="14"/>
      <c r="GE137" s="14"/>
      <c r="GF137" s="14"/>
      <c r="GG137" s="14"/>
      <c r="GH137" s="14"/>
      <c r="GI137" s="14"/>
      <c r="GJ137" s="14"/>
      <c r="GK137" s="14"/>
      <c r="GL137" s="14"/>
      <c r="GM137" s="14"/>
      <c r="GN137" s="14"/>
      <c r="GO137" s="14"/>
      <c r="GP137" s="14"/>
      <c r="GQ137" s="14"/>
      <c r="GR137" s="14"/>
      <c r="GS137" s="14"/>
      <c r="GT137" s="14"/>
      <c r="GU137" s="14"/>
      <c r="GV137" s="14"/>
      <c r="GW137" s="14"/>
      <c r="GX137" s="14"/>
      <c r="GY137" s="14"/>
      <c r="GZ137" s="14"/>
      <c r="HA137" s="14"/>
      <c r="HB137" s="14"/>
      <c r="HC137" s="14"/>
      <c r="HD137" s="14"/>
      <c r="HE137" s="14"/>
      <c r="HF137" s="14"/>
      <c r="HG137" s="14"/>
      <c r="HH137" s="14"/>
      <c r="HI137" s="14"/>
      <c r="HJ137" s="14"/>
      <c r="HK137" s="14"/>
      <c r="HL137" s="14"/>
      <c r="HM137" s="14"/>
      <c r="HN137" s="14"/>
      <c r="HO137" s="14"/>
      <c r="HP137" s="14"/>
      <c r="HQ137" s="14"/>
      <c r="HR137" s="14"/>
      <c r="HS137" s="14"/>
      <c r="HT137" s="14"/>
    </row>
    <row r="138" spans="2:228" ht="21" customHeight="1" x14ac:dyDescent="0.2">
      <c r="B138" s="1045"/>
      <c r="C138" s="1046"/>
      <c r="D138" s="1046"/>
      <c r="E138" s="1571" t="str">
        <f>IF(AND(OR(O129&gt;0,O130&gt;0,E135&gt;0,E137&gt;0),C139&gt;0),"Note: Ankylosis impairment is not apportioned.","")</f>
        <v/>
      </c>
      <c r="F138" s="1572"/>
      <c r="G138" s="1572"/>
      <c r="H138" s="1572"/>
      <c r="I138" s="1572"/>
      <c r="J138" s="1573"/>
      <c r="K138" s="1740" t="s">
        <v>1842</v>
      </c>
      <c r="L138" s="1741"/>
      <c r="M138" s="1741"/>
      <c r="N138" s="1742"/>
      <c r="O138" s="1116">
        <f>IF(OR(E135="ERROR",E137="ERROR"),"ERROR",IF(R138&gt;1,1,R138))</f>
        <v>0</v>
      </c>
      <c r="P138" s="1746"/>
      <c r="R138" s="243">
        <f>SUM(J134,J136,W138)</f>
        <v>0</v>
      </c>
      <c r="S138" s="18"/>
      <c r="T138" s="18"/>
      <c r="U138" s="18"/>
      <c r="V138" s="18"/>
      <c r="W138" s="747">
        <f>IF(AND(E135&lt;&gt;"ERROR",E137&lt;&gt;"ERROR",C137&lt;&gt;"",E137&lt;&gt;""),MAX(E135,E137),E135+E137)</f>
        <v>0</v>
      </c>
      <c r="X138" s="18"/>
      <c r="Y138" s="242">
        <f>O130</f>
        <v>0</v>
      </c>
      <c r="Z138" s="1118">
        <f>LARGE($Y$137:$Y$139,2)</f>
        <v>0</v>
      </c>
      <c r="AA138" s="684">
        <f>AB137+Z139*(1-AB137)</f>
        <v>0</v>
      </c>
      <c r="AB138" s="1112">
        <f>ROUND(AA138,2)</f>
        <v>0</v>
      </c>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4"/>
      <c r="BR138" s="14"/>
      <c r="BS138" s="14"/>
      <c r="BT138" s="14"/>
      <c r="BU138" s="14"/>
      <c r="BV138" s="14"/>
      <c r="BW138" s="14"/>
      <c r="BX138" s="14"/>
      <c r="BY138" s="14"/>
      <c r="BZ138" s="14"/>
      <c r="CA138" s="14"/>
      <c r="CB138" s="14"/>
      <c r="CC138" s="14"/>
      <c r="CD138" s="14"/>
      <c r="CE138" s="14"/>
      <c r="CF138" s="14"/>
      <c r="CG138" s="14"/>
      <c r="CH138" s="14"/>
      <c r="CI138" s="14"/>
      <c r="CJ138" s="14"/>
      <c r="CK138" s="14"/>
      <c r="CL138" s="14"/>
      <c r="CM138" s="14"/>
      <c r="CN138" s="14"/>
      <c r="CO138" s="14"/>
      <c r="CP138" s="14"/>
      <c r="CQ138" s="14"/>
      <c r="CR138" s="14"/>
      <c r="CS138" s="14"/>
      <c r="CT138" s="14"/>
      <c r="CU138" s="14"/>
      <c r="CV138" s="14"/>
      <c r="CW138" s="14"/>
      <c r="CX138" s="14"/>
      <c r="CY138" s="14"/>
      <c r="CZ138" s="14"/>
      <c r="DA138" s="14"/>
      <c r="DB138" s="14"/>
      <c r="DC138" s="14"/>
      <c r="DD138" s="14"/>
      <c r="DE138" s="14"/>
      <c r="DF138" s="14"/>
      <c r="DG138" s="14"/>
      <c r="DH138" s="14"/>
      <c r="DI138" s="14"/>
      <c r="DJ138" s="14"/>
      <c r="DK138" s="14"/>
      <c r="DL138" s="14"/>
      <c r="DM138" s="14"/>
      <c r="DN138" s="14"/>
      <c r="DO138" s="14"/>
      <c r="DP138" s="14"/>
      <c r="DQ138" s="14"/>
      <c r="DR138" s="14"/>
      <c r="DS138" s="14"/>
      <c r="DT138" s="14"/>
      <c r="DU138" s="14"/>
      <c r="DV138" s="14"/>
      <c r="DW138" s="14"/>
      <c r="DX138" s="14"/>
      <c r="DY138" s="14"/>
      <c r="DZ138" s="14"/>
      <c r="EA138" s="14"/>
      <c r="EB138" s="14"/>
      <c r="EC138" s="14"/>
      <c r="ED138" s="14"/>
      <c r="EE138" s="14"/>
      <c r="EF138" s="14"/>
      <c r="EG138" s="14"/>
      <c r="EH138" s="14"/>
      <c r="EI138" s="14"/>
      <c r="EJ138" s="14"/>
      <c r="EK138" s="14"/>
      <c r="EL138" s="14"/>
      <c r="EM138" s="14"/>
      <c r="EN138" s="14"/>
      <c r="EO138" s="14"/>
      <c r="EP138" s="14"/>
      <c r="EQ138" s="14"/>
      <c r="ER138" s="14"/>
      <c r="ES138" s="14"/>
      <c r="ET138" s="14"/>
      <c r="EU138" s="14"/>
      <c r="EV138" s="14"/>
      <c r="EW138" s="14"/>
      <c r="EX138" s="14"/>
      <c r="EY138" s="14"/>
      <c r="EZ138" s="14"/>
      <c r="FA138" s="14"/>
      <c r="FB138" s="14"/>
      <c r="FC138" s="14"/>
      <c r="FD138" s="14"/>
      <c r="FE138" s="14"/>
      <c r="FF138" s="14"/>
      <c r="FG138" s="14"/>
      <c r="FH138" s="14"/>
      <c r="FI138" s="14"/>
      <c r="FJ138" s="14"/>
      <c r="FK138" s="14"/>
      <c r="FL138" s="14"/>
      <c r="FM138" s="14"/>
      <c r="FN138" s="14"/>
      <c r="FO138" s="14"/>
      <c r="FP138" s="14"/>
      <c r="FQ138" s="14"/>
      <c r="FR138" s="14"/>
      <c r="FS138" s="14"/>
      <c r="FT138" s="14"/>
      <c r="FU138" s="14"/>
      <c r="FV138" s="14"/>
      <c r="FW138" s="14"/>
      <c r="FX138" s="14"/>
      <c r="FY138" s="14"/>
      <c r="FZ138" s="14"/>
      <c r="GA138" s="14"/>
      <c r="GB138" s="14"/>
      <c r="GC138" s="14"/>
      <c r="GD138" s="14"/>
      <c r="GE138" s="14"/>
      <c r="GF138" s="14"/>
      <c r="GG138" s="14"/>
      <c r="GH138" s="14"/>
      <c r="GI138" s="14"/>
      <c r="GJ138" s="14"/>
      <c r="GK138" s="14"/>
      <c r="GL138" s="14"/>
      <c r="GM138" s="14"/>
      <c r="GN138" s="14"/>
      <c r="GO138" s="14"/>
      <c r="GP138" s="14"/>
      <c r="GQ138" s="14"/>
      <c r="GR138" s="14"/>
      <c r="GS138" s="14"/>
      <c r="GT138" s="14"/>
      <c r="GU138" s="14"/>
      <c r="GV138" s="14"/>
      <c r="GW138" s="14"/>
      <c r="GX138" s="14"/>
      <c r="GY138" s="14"/>
      <c r="GZ138" s="14"/>
      <c r="HA138" s="14"/>
      <c r="HB138" s="14"/>
      <c r="HC138" s="14"/>
      <c r="HD138" s="14"/>
      <c r="HE138" s="14"/>
      <c r="HF138" s="14"/>
      <c r="HG138" s="14"/>
      <c r="HH138" s="14"/>
      <c r="HI138" s="14"/>
      <c r="HJ138" s="14"/>
      <c r="HK138" s="14"/>
      <c r="HL138" s="14"/>
      <c r="HM138" s="14"/>
      <c r="HN138" s="14"/>
      <c r="HO138" s="14"/>
      <c r="HP138" s="14"/>
      <c r="HQ138" s="14"/>
      <c r="HR138" s="14"/>
      <c r="HS138" s="14"/>
      <c r="HT138" s="14"/>
    </row>
    <row r="139" spans="2:228" ht="21" customHeight="1" x14ac:dyDescent="0.2">
      <c r="B139" s="1114" t="s">
        <v>2259</v>
      </c>
      <c r="C139" s="1544"/>
      <c r="D139" s="1577"/>
      <c r="E139" s="1574"/>
      <c r="F139" s="1575"/>
      <c r="G139" s="1575"/>
      <c r="H139" s="1575"/>
      <c r="I139" s="1575"/>
      <c r="J139" s="1576"/>
      <c r="K139" s="1740" t="s">
        <v>432</v>
      </c>
      <c r="L139" s="1741"/>
      <c r="M139" s="1741"/>
      <c r="N139" s="1741"/>
      <c r="O139" s="1742"/>
      <c r="P139" s="1115">
        <f>IF(O138="ERROR","ERROR",IF(AND(AA133&gt;0,AA133&lt;0.01),0.01,ROUND(AA133,2)))</f>
        <v>0</v>
      </c>
      <c r="R139" s="18"/>
      <c r="S139" s="18"/>
      <c r="T139" s="18"/>
      <c r="U139" s="18"/>
      <c r="V139" s="18"/>
      <c r="W139" s="18"/>
      <c r="X139" s="18"/>
      <c r="Y139" s="242">
        <f>IF(AND(Z133&lt;0.01,Z133&gt;0),0.01,ROUND(Z133,2))</f>
        <v>0</v>
      </c>
      <c r="Z139" s="1118">
        <f>LARGE($Y$137:$Y$139,3)</f>
        <v>0</v>
      </c>
      <c r="AA139" s="1111"/>
      <c r="AB139" s="1111"/>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4"/>
      <c r="BR139" s="14"/>
      <c r="BS139" s="14"/>
      <c r="BT139" s="14"/>
      <c r="BU139" s="14"/>
      <c r="BV139" s="14"/>
      <c r="BW139" s="14"/>
      <c r="BX139" s="14"/>
      <c r="BY139" s="14"/>
      <c r="BZ139" s="14"/>
      <c r="CA139" s="14"/>
      <c r="CB139" s="14"/>
      <c r="CC139" s="14"/>
      <c r="CD139" s="14"/>
      <c r="CE139" s="14"/>
      <c r="CF139" s="14"/>
      <c r="CG139" s="14"/>
      <c r="CH139" s="14"/>
      <c r="CI139" s="14"/>
      <c r="CJ139" s="14"/>
      <c r="CK139" s="14"/>
      <c r="CL139" s="14"/>
      <c r="CM139" s="14"/>
      <c r="CN139" s="14"/>
      <c r="CO139" s="14"/>
      <c r="CP139" s="14"/>
      <c r="CQ139" s="14"/>
      <c r="CR139" s="14"/>
      <c r="CS139" s="14"/>
      <c r="CT139" s="14"/>
      <c r="CU139" s="14"/>
      <c r="CV139" s="14"/>
      <c r="CW139" s="14"/>
      <c r="CX139" s="14"/>
      <c r="CY139" s="14"/>
      <c r="CZ139" s="14"/>
      <c r="DA139" s="14"/>
      <c r="DB139" s="14"/>
      <c r="DC139" s="14"/>
      <c r="DD139" s="14"/>
      <c r="DE139" s="14"/>
      <c r="DF139" s="14"/>
      <c r="DG139" s="14"/>
      <c r="DH139" s="14"/>
      <c r="DI139" s="14"/>
      <c r="DJ139" s="14"/>
      <c r="DK139" s="14"/>
      <c r="DL139" s="14"/>
      <c r="DM139" s="14"/>
      <c r="DN139" s="14"/>
      <c r="DO139" s="14"/>
      <c r="DP139" s="14"/>
      <c r="DQ139" s="14"/>
      <c r="DR139" s="14"/>
      <c r="DS139" s="14"/>
      <c r="DT139" s="14"/>
      <c r="DU139" s="14"/>
      <c r="DV139" s="14"/>
      <c r="DW139" s="14"/>
      <c r="DX139" s="14"/>
      <c r="DY139" s="14"/>
      <c r="DZ139" s="14"/>
      <c r="EA139" s="14"/>
      <c r="EB139" s="14"/>
      <c r="EC139" s="14"/>
      <c r="ED139" s="14"/>
      <c r="EE139" s="14"/>
      <c r="EF139" s="14"/>
      <c r="EG139" s="14"/>
      <c r="EH139" s="14"/>
      <c r="EI139" s="14"/>
      <c r="EJ139" s="14"/>
      <c r="EK139" s="14"/>
      <c r="EL139" s="14"/>
      <c r="EM139" s="14"/>
      <c r="EN139" s="14"/>
      <c r="EO139" s="14"/>
      <c r="EP139" s="14"/>
      <c r="EQ139" s="14"/>
      <c r="ER139" s="14"/>
      <c r="ES139" s="14"/>
      <c r="ET139" s="14"/>
      <c r="EU139" s="14"/>
      <c r="EV139" s="14"/>
      <c r="EW139" s="14"/>
      <c r="EX139" s="14"/>
      <c r="EY139" s="14"/>
      <c r="EZ139" s="14"/>
      <c r="FA139" s="14"/>
      <c r="FB139" s="14"/>
      <c r="FC139" s="14"/>
      <c r="FD139" s="14"/>
      <c r="FE139" s="14"/>
      <c r="FF139" s="14"/>
      <c r="FG139" s="14"/>
      <c r="FH139" s="14"/>
      <c r="FI139" s="14"/>
      <c r="FJ139" s="14"/>
      <c r="FK139" s="14"/>
      <c r="FL139" s="14"/>
      <c r="FM139" s="14"/>
      <c r="FN139" s="14"/>
      <c r="FO139" s="14"/>
      <c r="FP139" s="14"/>
      <c r="FQ139" s="14"/>
      <c r="FR139" s="14"/>
      <c r="FS139" s="14"/>
      <c r="FT139" s="14"/>
      <c r="FU139" s="14"/>
      <c r="FV139" s="14"/>
      <c r="FW139" s="14"/>
      <c r="FX139" s="14"/>
      <c r="FY139" s="14"/>
      <c r="FZ139" s="14"/>
      <c r="GA139" s="14"/>
      <c r="GB139" s="14"/>
      <c r="GC139" s="14"/>
      <c r="GD139" s="14"/>
      <c r="GE139" s="14"/>
      <c r="GF139" s="14"/>
      <c r="GG139" s="14"/>
      <c r="GH139" s="14"/>
      <c r="GI139" s="14"/>
      <c r="GJ139" s="14"/>
      <c r="GK139" s="14"/>
      <c r="GL139" s="14"/>
      <c r="GM139" s="14"/>
      <c r="GN139" s="14"/>
      <c r="GO139" s="14"/>
      <c r="GP139" s="14"/>
      <c r="GQ139" s="14"/>
      <c r="GR139" s="14"/>
      <c r="GS139" s="14"/>
      <c r="GT139" s="14"/>
      <c r="GU139" s="14"/>
      <c r="GV139" s="14"/>
      <c r="GW139" s="14"/>
      <c r="GX139" s="14"/>
      <c r="GY139" s="14"/>
      <c r="GZ139" s="14"/>
      <c r="HA139" s="14"/>
      <c r="HB139" s="14"/>
      <c r="HC139" s="14"/>
      <c r="HD139" s="14"/>
      <c r="HE139" s="14"/>
      <c r="HF139" s="14"/>
      <c r="HG139" s="14"/>
      <c r="HH139" s="14"/>
      <c r="HI139" s="14"/>
      <c r="HJ139" s="14"/>
      <c r="HK139" s="14"/>
      <c r="HL139" s="14"/>
      <c r="HM139" s="14"/>
      <c r="HN139" s="14"/>
      <c r="HO139" s="14"/>
      <c r="HP139" s="14"/>
      <c r="HQ139" s="14"/>
      <c r="HR139" s="14"/>
      <c r="HS139" s="14"/>
      <c r="HT139" s="14"/>
    </row>
    <row r="140" spans="2:228" ht="12" customHeight="1" x14ac:dyDescent="0.25">
      <c r="B140" s="1876"/>
      <c r="C140" s="1876"/>
      <c r="D140" s="1876"/>
      <c r="E140" s="1876"/>
      <c r="F140" s="1876"/>
      <c r="G140" s="1876"/>
      <c r="H140" s="1876"/>
      <c r="I140" s="1876"/>
      <c r="J140" s="1876"/>
      <c r="K140" s="1876"/>
      <c r="L140" s="1876"/>
      <c r="M140" s="1876"/>
      <c r="N140" s="1876"/>
      <c r="O140" s="1876"/>
      <c r="P140" s="469"/>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4"/>
      <c r="BR140" s="14"/>
      <c r="BS140" s="14"/>
      <c r="BT140" s="14"/>
      <c r="BU140" s="14"/>
      <c r="BV140" s="14"/>
      <c r="BW140" s="14"/>
      <c r="BX140" s="14"/>
      <c r="BY140" s="14"/>
      <c r="BZ140" s="14"/>
      <c r="CA140" s="14"/>
      <c r="CB140" s="14"/>
      <c r="CC140" s="14"/>
      <c r="CD140" s="14"/>
      <c r="CE140" s="14"/>
      <c r="CF140" s="14"/>
      <c r="CG140" s="14"/>
      <c r="CH140" s="14"/>
      <c r="CI140" s="14"/>
      <c r="CJ140" s="14"/>
      <c r="CK140" s="14"/>
      <c r="CL140" s="14"/>
      <c r="CM140" s="14"/>
      <c r="CN140" s="14"/>
      <c r="CO140" s="14"/>
      <c r="CP140" s="14"/>
      <c r="CQ140" s="14"/>
      <c r="CR140" s="14"/>
      <c r="CS140" s="14"/>
      <c r="CT140" s="14"/>
      <c r="CU140" s="14"/>
      <c r="CV140" s="14"/>
      <c r="CW140" s="14"/>
      <c r="CX140" s="14"/>
      <c r="CY140" s="14"/>
      <c r="CZ140" s="14"/>
      <c r="DA140" s="14"/>
      <c r="DB140" s="14"/>
      <c r="DC140" s="14"/>
      <c r="DD140" s="14"/>
      <c r="DE140" s="14"/>
      <c r="DF140" s="14"/>
      <c r="DG140" s="14"/>
      <c r="DH140" s="14"/>
      <c r="DI140" s="14"/>
      <c r="DJ140" s="14"/>
      <c r="DK140" s="14"/>
      <c r="DL140" s="14"/>
      <c r="DM140" s="14"/>
      <c r="DN140" s="14"/>
      <c r="DO140" s="14"/>
      <c r="DP140" s="14"/>
      <c r="DQ140" s="14"/>
      <c r="DR140" s="14"/>
      <c r="DS140" s="14"/>
      <c r="DT140" s="14"/>
      <c r="DU140" s="14"/>
      <c r="DV140" s="14"/>
      <c r="DW140" s="14"/>
      <c r="DX140" s="14"/>
      <c r="DY140" s="14"/>
      <c r="DZ140" s="14"/>
      <c r="EA140" s="14"/>
      <c r="EB140" s="14"/>
      <c r="EC140" s="14"/>
      <c r="ED140" s="14"/>
      <c r="EE140" s="14"/>
      <c r="EF140" s="14"/>
      <c r="EG140" s="14"/>
      <c r="EH140" s="14"/>
      <c r="EI140" s="14"/>
      <c r="EJ140" s="14"/>
      <c r="EK140" s="14"/>
      <c r="EL140" s="14"/>
      <c r="EM140" s="14"/>
      <c r="EN140" s="14"/>
      <c r="EO140" s="14"/>
      <c r="EP140" s="14"/>
      <c r="EQ140" s="14"/>
      <c r="ER140" s="14"/>
      <c r="ES140" s="14"/>
      <c r="ET140" s="14"/>
      <c r="EU140" s="14"/>
      <c r="EV140" s="14"/>
      <c r="EW140" s="14"/>
      <c r="EX140" s="14"/>
      <c r="EY140" s="14"/>
      <c r="EZ140" s="14"/>
      <c r="FA140" s="14"/>
      <c r="FB140" s="14"/>
      <c r="FC140" s="14"/>
      <c r="FD140" s="14"/>
      <c r="FE140" s="14"/>
      <c r="FF140" s="14"/>
      <c r="FG140" s="14"/>
      <c r="FH140" s="14"/>
      <c r="FI140" s="14"/>
      <c r="FJ140" s="14"/>
      <c r="FK140" s="14"/>
      <c r="FL140" s="14"/>
      <c r="FM140" s="14"/>
      <c r="FN140" s="14"/>
      <c r="FO140" s="14"/>
      <c r="FP140" s="14"/>
      <c r="FQ140" s="14"/>
      <c r="FR140" s="14"/>
      <c r="FS140" s="14"/>
      <c r="FT140" s="14"/>
      <c r="FU140" s="14"/>
      <c r="FV140" s="14"/>
      <c r="FW140" s="14"/>
      <c r="FX140" s="14"/>
      <c r="FY140" s="14"/>
      <c r="FZ140" s="14"/>
      <c r="GA140" s="14"/>
      <c r="GB140" s="14"/>
      <c r="GC140" s="14"/>
      <c r="GD140" s="14"/>
      <c r="GE140" s="14"/>
      <c r="GF140" s="14"/>
      <c r="GG140" s="14"/>
      <c r="GH140" s="14"/>
      <c r="GI140" s="14"/>
      <c r="GJ140" s="14"/>
      <c r="GK140" s="14"/>
      <c r="GL140" s="14"/>
      <c r="GM140" s="14"/>
      <c r="GN140" s="14"/>
      <c r="GO140" s="14"/>
      <c r="GP140" s="14"/>
      <c r="GQ140" s="14"/>
      <c r="GR140" s="14"/>
      <c r="GS140" s="14"/>
      <c r="GT140" s="14"/>
      <c r="GU140" s="14"/>
      <c r="GV140" s="14"/>
      <c r="GW140" s="14"/>
      <c r="GX140" s="14"/>
      <c r="GY140" s="14"/>
      <c r="GZ140" s="14"/>
      <c r="HA140" s="14"/>
      <c r="HB140" s="14"/>
      <c r="HC140" s="14"/>
      <c r="HD140" s="14"/>
      <c r="HE140" s="14"/>
      <c r="HF140" s="14"/>
      <c r="HG140" s="14"/>
      <c r="HH140" s="14"/>
      <c r="HI140" s="14"/>
      <c r="HJ140" s="14"/>
      <c r="HK140" s="14"/>
      <c r="HL140" s="14"/>
      <c r="HM140" s="14"/>
      <c r="HN140" s="14"/>
      <c r="HO140" s="14"/>
      <c r="HP140" s="14"/>
      <c r="HQ140" s="14"/>
      <c r="HR140" s="14"/>
      <c r="HS140" s="14"/>
      <c r="HT140" s="14"/>
    </row>
    <row r="141" spans="2:228" ht="15" customHeight="1" x14ac:dyDescent="0.25">
      <c r="B141" s="1549" t="s">
        <v>2008</v>
      </c>
      <c r="C141" s="1550"/>
      <c r="D141" s="1550"/>
      <c r="E141" s="1550"/>
      <c r="F141" s="1550"/>
      <c r="G141" s="1550"/>
      <c r="H141" s="1550"/>
      <c r="I141" s="1550"/>
      <c r="J141" s="1550"/>
      <c r="K141" s="1550"/>
      <c r="L141" s="1550"/>
      <c r="M141" s="1550"/>
      <c r="N141" s="1550"/>
      <c r="O141" s="1550"/>
      <c r="P141" s="470"/>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4"/>
      <c r="BR141" s="14"/>
      <c r="BS141" s="14"/>
      <c r="BT141" s="14"/>
      <c r="BU141" s="14"/>
      <c r="BV141" s="14"/>
      <c r="BW141" s="14"/>
      <c r="BX141" s="14"/>
      <c r="BY141" s="14"/>
      <c r="BZ141" s="14"/>
      <c r="CA141" s="14"/>
      <c r="CB141" s="14"/>
      <c r="CC141" s="14"/>
      <c r="CD141" s="14"/>
      <c r="CE141" s="14"/>
      <c r="CF141" s="14"/>
      <c r="CG141" s="14"/>
      <c r="CH141" s="14"/>
      <c r="CI141" s="14"/>
      <c r="CJ141" s="14"/>
      <c r="CK141" s="14"/>
      <c r="CL141" s="14"/>
      <c r="CM141" s="14"/>
      <c r="CN141" s="14"/>
      <c r="CO141" s="14"/>
      <c r="CP141" s="14"/>
      <c r="CQ141" s="14"/>
      <c r="CR141" s="14"/>
      <c r="CS141" s="14"/>
      <c r="CT141" s="14"/>
      <c r="CU141" s="14"/>
      <c r="CV141" s="14"/>
      <c r="CW141" s="14"/>
      <c r="CX141" s="14"/>
      <c r="CY141" s="14"/>
      <c r="CZ141" s="14"/>
      <c r="DA141" s="14"/>
      <c r="DB141" s="14"/>
      <c r="DC141" s="14"/>
      <c r="DD141" s="14"/>
      <c r="DE141" s="14"/>
      <c r="DF141" s="14"/>
      <c r="DG141" s="14"/>
      <c r="DH141" s="14"/>
      <c r="DI141" s="14"/>
      <c r="DJ141" s="14"/>
      <c r="DK141" s="14"/>
      <c r="DL141" s="14"/>
      <c r="DM141" s="14"/>
      <c r="DN141" s="14"/>
      <c r="DO141" s="14"/>
      <c r="DP141" s="14"/>
      <c r="DQ141" s="14"/>
      <c r="DR141" s="14"/>
      <c r="DS141" s="14"/>
      <c r="DT141" s="14"/>
      <c r="DU141" s="14"/>
      <c r="DV141" s="14"/>
      <c r="DW141" s="14"/>
      <c r="DX141" s="14"/>
      <c r="DY141" s="14"/>
      <c r="DZ141" s="14"/>
      <c r="EA141" s="14"/>
      <c r="EB141" s="14"/>
      <c r="EC141" s="14"/>
      <c r="ED141" s="14"/>
      <c r="EE141" s="14"/>
      <c r="EF141" s="14"/>
      <c r="EG141" s="14"/>
      <c r="EH141" s="14"/>
      <c r="EI141" s="14"/>
      <c r="EJ141" s="14"/>
      <c r="EK141" s="14"/>
      <c r="EL141" s="14"/>
      <c r="EM141" s="14"/>
      <c r="EN141" s="14"/>
      <c r="EO141" s="14"/>
      <c r="EP141" s="14"/>
      <c r="EQ141" s="14"/>
      <c r="ER141" s="14"/>
      <c r="ES141" s="14"/>
      <c r="ET141" s="14"/>
      <c r="EU141" s="14"/>
      <c r="EV141" s="14"/>
      <c r="EW141" s="14"/>
      <c r="EX141" s="14"/>
      <c r="EY141" s="14"/>
      <c r="EZ141" s="14"/>
      <c r="FA141" s="14"/>
      <c r="FB141" s="14"/>
      <c r="FC141" s="14"/>
      <c r="FD141" s="14"/>
      <c r="FE141" s="14"/>
      <c r="FF141" s="14"/>
      <c r="FG141" s="14"/>
      <c r="FH141" s="14"/>
      <c r="FI141" s="14"/>
      <c r="FJ141" s="14"/>
      <c r="FK141" s="14"/>
      <c r="FL141" s="14"/>
      <c r="FM141" s="14"/>
      <c r="FN141" s="14"/>
      <c r="FO141" s="14"/>
      <c r="FP141" s="14"/>
      <c r="FQ141" s="14"/>
      <c r="FR141" s="14"/>
      <c r="FS141" s="14"/>
      <c r="FT141" s="14"/>
      <c r="FU141" s="14"/>
      <c r="FV141" s="14"/>
      <c r="FW141" s="14"/>
      <c r="FX141" s="14"/>
      <c r="FY141" s="14"/>
      <c r="FZ141" s="14"/>
      <c r="GA141" s="14"/>
      <c r="GB141" s="14"/>
      <c r="GC141" s="14"/>
      <c r="GD141" s="14"/>
      <c r="GE141" s="14"/>
      <c r="GF141" s="14"/>
      <c r="GG141" s="14"/>
      <c r="GH141" s="14"/>
      <c r="GI141" s="14"/>
      <c r="GJ141" s="14"/>
      <c r="GK141" s="14"/>
      <c r="GL141" s="14"/>
      <c r="GM141" s="14"/>
      <c r="GN141" s="14"/>
      <c r="GO141" s="14"/>
      <c r="GP141" s="14"/>
      <c r="GQ141" s="14"/>
      <c r="GR141" s="14"/>
      <c r="GS141" s="14"/>
      <c r="GT141" s="14"/>
      <c r="GU141" s="14"/>
      <c r="GV141" s="14"/>
      <c r="GW141" s="14"/>
      <c r="GX141" s="14"/>
      <c r="GY141" s="14"/>
      <c r="GZ141" s="14"/>
      <c r="HA141" s="14"/>
      <c r="HB141" s="14"/>
      <c r="HC141" s="14"/>
      <c r="HD141" s="14"/>
      <c r="HE141" s="14"/>
      <c r="HF141" s="14"/>
      <c r="HG141" s="14"/>
      <c r="HH141" s="14"/>
      <c r="HI141" s="14"/>
      <c r="HJ141" s="14"/>
      <c r="HK141" s="14"/>
      <c r="HL141" s="14"/>
      <c r="HM141" s="14"/>
      <c r="HN141" s="14"/>
      <c r="HO141" s="14"/>
      <c r="HP141" s="14"/>
      <c r="HQ141" s="14"/>
      <c r="HR141" s="14"/>
      <c r="HS141" s="14"/>
      <c r="HT141" s="14"/>
    </row>
    <row r="142" spans="2:228" ht="15" customHeight="1" x14ac:dyDescent="0.2">
      <c r="B142" s="376" t="s">
        <v>2012</v>
      </c>
      <c r="C142" s="1966"/>
      <c r="D142" s="1967"/>
      <c r="E142" s="1967"/>
      <c r="F142" s="1967"/>
      <c r="G142" s="1967"/>
      <c r="H142" s="1967"/>
      <c r="I142" s="1967"/>
      <c r="J142" s="1967"/>
      <c r="K142" s="1967"/>
      <c r="L142" s="1967"/>
      <c r="M142" s="1967"/>
      <c r="N142" s="1968"/>
      <c r="O142" s="82"/>
      <c r="P142" s="658">
        <f>IF($W$239&gt;0,0,R142)</f>
        <v>0</v>
      </c>
      <c r="R142" s="932">
        <f>IF(C142=S142,0,IF(C142=T142,0.05,IF(C142=U142,0.1,0)))</f>
        <v>0</v>
      </c>
      <c r="S142" s="922" t="s">
        <v>1942</v>
      </c>
      <c r="T142" s="922" t="s">
        <v>1785</v>
      </c>
      <c r="U142" s="922" t="s">
        <v>1786</v>
      </c>
      <c r="V142" s="161"/>
      <c r="W142" s="114"/>
      <c r="X142" s="162"/>
      <c r="Y142" s="162"/>
      <c r="Z142" s="73"/>
      <c r="AA142" s="73"/>
      <c r="AB142" s="74"/>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4"/>
      <c r="BR142" s="14"/>
      <c r="BS142" s="14"/>
      <c r="BT142" s="14"/>
      <c r="BU142" s="14"/>
      <c r="BV142" s="14"/>
      <c r="BW142" s="14"/>
      <c r="BX142" s="14"/>
      <c r="BY142" s="14"/>
      <c r="BZ142" s="14"/>
      <c r="CA142" s="14"/>
      <c r="CB142" s="14"/>
      <c r="CC142" s="14"/>
      <c r="CD142" s="14"/>
      <c r="CE142" s="14"/>
      <c r="CF142" s="14"/>
      <c r="CG142" s="14"/>
      <c r="CH142" s="14"/>
      <c r="CI142" s="14"/>
      <c r="CJ142" s="14"/>
      <c r="CK142" s="14"/>
      <c r="CL142" s="14"/>
      <c r="CM142" s="14"/>
      <c r="CN142" s="14"/>
      <c r="CO142" s="14"/>
      <c r="CP142" s="14"/>
      <c r="CQ142" s="14"/>
      <c r="CR142" s="14"/>
      <c r="CS142" s="14"/>
      <c r="CT142" s="14"/>
      <c r="CU142" s="14"/>
      <c r="CV142" s="14"/>
      <c r="CW142" s="14"/>
      <c r="CX142" s="14"/>
      <c r="CY142" s="14"/>
      <c r="CZ142" s="14"/>
      <c r="DA142" s="14"/>
      <c r="DB142" s="14"/>
      <c r="DC142" s="14"/>
      <c r="DD142" s="14"/>
      <c r="DE142" s="14"/>
      <c r="DF142" s="14"/>
      <c r="DG142" s="14"/>
      <c r="DH142" s="14"/>
      <c r="DI142" s="14"/>
      <c r="DJ142" s="14"/>
      <c r="DK142" s="14"/>
      <c r="DL142" s="14"/>
      <c r="DM142" s="14"/>
      <c r="DN142" s="14"/>
      <c r="DO142" s="14"/>
      <c r="DP142" s="14"/>
      <c r="DQ142" s="14"/>
      <c r="DR142" s="14"/>
      <c r="DS142" s="14"/>
      <c r="DT142" s="14"/>
      <c r="DU142" s="14"/>
      <c r="DV142" s="14"/>
      <c r="DW142" s="14"/>
      <c r="DX142" s="14"/>
      <c r="DY142" s="14"/>
      <c r="DZ142" s="14"/>
      <c r="EA142" s="14"/>
      <c r="EB142" s="14"/>
      <c r="EC142" s="14"/>
      <c r="ED142" s="14"/>
      <c r="EE142" s="14"/>
      <c r="EF142" s="14"/>
      <c r="EG142" s="14"/>
      <c r="EH142" s="14"/>
      <c r="EI142" s="14"/>
      <c r="EJ142" s="14"/>
      <c r="EK142" s="14"/>
      <c r="EL142" s="14"/>
      <c r="EM142" s="14"/>
      <c r="EN142" s="14"/>
      <c r="EO142" s="14"/>
      <c r="EP142" s="14"/>
      <c r="EQ142" s="14"/>
      <c r="ER142" s="14"/>
      <c r="ES142" s="14"/>
      <c r="ET142" s="14"/>
      <c r="EU142" s="14"/>
      <c r="EV142" s="14"/>
      <c r="EW142" s="14"/>
      <c r="EX142" s="14"/>
      <c r="EY142" s="14"/>
      <c r="EZ142" s="14"/>
      <c r="FA142" s="14"/>
      <c r="FB142" s="14"/>
      <c r="FC142" s="14"/>
      <c r="FD142" s="14"/>
      <c r="FE142" s="14"/>
      <c r="FF142" s="14"/>
      <c r="FG142" s="14"/>
      <c r="FH142" s="14"/>
      <c r="FI142" s="14"/>
      <c r="FJ142" s="14"/>
      <c r="FK142" s="14"/>
      <c r="FL142" s="14"/>
      <c r="FM142" s="14"/>
      <c r="FN142" s="14"/>
      <c r="FO142" s="14"/>
      <c r="FP142" s="14"/>
      <c r="FQ142" s="14"/>
      <c r="FR142" s="14"/>
      <c r="FS142" s="14"/>
      <c r="FT142" s="14"/>
      <c r="FU142" s="14"/>
      <c r="FV142" s="14"/>
      <c r="FW142" s="14"/>
      <c r="FX142" s="14"/>
      <c r="FY142" s="14"/>
      <c r="FZ142" s="14"/>
      <c r="GA142" s="14"/>
      <c r="GB142" s="14"/>
      <c r="GC142" s="14"/>
      <c r="GD142" s="14"/>
      <c r="GE142" s="14"/>
      <c r="GF142" s="14"/>
      <c r="GG142" s="14"/>
      <c r="GH142" s="14"/>
      <c r="GI142" s="14"/>
      <c r="GJ142" s="14"/>
      <c r="GK142" s="14"/>
      <c r="GL142" s="14"/>
      <c r="GM142" s="14"/>
      <c r="GN142" s="14"/>
      <c r="GO142" s="14"/>
      <c r="GP142" s="14"/>
      <c r="GQ142" s="14"/>
      <c r="GR142" s="14"/>
      <c r="GS142" s="14"/>
      <c r="GT142" s="14"/>
      <c r="GU142" s="14"/>
      <c r="GV142" s="14"/>
      <c r="GW142" s="14"/>
      <c r="GX142" s="14"/>
      <c r="GY142" s="14"/>
      <c r="GZ142" s="14"/>
      <c r="HA142" s="14"/>
      <c r="HB142" s="14"/>
      <c r="HC142" s="14"/>
      <c r="HD142" s="14"/>
      <c r="HE142" s="14"/>
      <c r="HF142" s="14"/>
      <c r="HG142" s="14"/>
      <c r="HH142" s="14"/>
      <c r="HI142" s="14"/>
      <c r="HJ142" s="14"/>
      <c r="HK142" s="14"/>
      <c r="HL142" s="14"/>
      <c r="HM142" s="14"/>
      <c r="HN142" s="14"/>
      <c r="HO142" s="14"/>
      <c r="HP142" s="14"/>
      <c r="HQ142" s="14"/>
      <c r="HR142" s="14"/>
      <c r="HS142" s="14"/>
      <c r="HT142" s="14"/>
    </row>
    <row r="143" spans="2:228" ht="15" customHeight="1" x14ac:dyDescent="0.2">
      <c r="B143" s="376" t="s">
        <v>2013</v>
      </c>
      <c r="C143" s="1954"/>
      <c r="D143" s="1955"/>
      <c r="E143" s="1955"/>
      <c r="F143" s="1955"/>
      <c r="G143" s="1955"/>
      <c r="H143" s="1955"/>
      <c r="I143" s="1955"/>
      <c r="J143" s="1955"/>
      <c r="K143" s="1955"/>
      <c r="L143" s="1955"/>
      <c r="M143" s="1955"/>
      <c r="N143" s="1965"/>
      <c r="O143" s="83"/>
      <c r="P143" s="26">
        <f>IF($W$239&gt;0,0,R143)</f>
        <v>0</v>
      </c>
      <c r="R143" s="932">
        <f>IF(C143=S143,0,IF(C143=T143,0.05,IF(C143=U143,0.1,0)))</f>
        <v>0</v>
      </c>
      <c r="S143" s="922" t="s">
        <v>1942</v>
      </c>
      <c r="T143" s="922" t="s">
        <v>1997</v>
      </c>
      <c r="U143" s="922" t="s">
        <v>1998</v>
      </c>
      <c r="V143" s="161"/>
      <c r="W143" s="114"/>
      <c r="X143" s="162"/>
      <c r="Y143" s="162"/>
      <c r="Z143" s="73"/>
      <c r="AA143" s="73"/>
      <c r="AB143" s="74"/>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4"/>
      <c r="BR143" s="14"/>
      <c r="BS143" s="14"/>
      <c r="BT143" s="14"/>
      <c r="BU143" s="14"/>
      <c r="BV143" s="14"/>
      <c r="BW143" s="14"/>
      <c r="BX143" s="14"/>
      <c r="BY143" s="14"/>
      <c r="BZ143" s="14"/>
      <c r="CA143" s="14"/>
      <c r="CB143" s="14"/>
      <c r="CC143" s="14"/>
      <c r="CD143" s="14"/>
      <c r="CE143" s="14"/>
      <c r="CF143" s="14"/>
      <c r="CG143" s="14"/>
      <c r="CH143" s="14"/>
      <c r="CI143" s="14"/>
      <c r="CJ143" s="14"/>
      <c r="CK143" s="14"/>
      <c r="CL143" s="14"/>
      <c r="CM143" s="14"/>
      <c r="CN143" s="14"/>
      <c r="CO143" s="14"/>
      <c r="CP143" s="14"/>
      <c r="CQ143" s="14"/>
      <c r="CR143" s="14"/>
      <c r="CS143" s="14"/>
      <c r="CT143" s="14"/>
      <c r="CU143" s="14"/>
      <c r="CV143" s="14"/>
      <c r="CW143" s="14"/>
      <c r="CX143" s="14"/>
      <c r="CY143" s="14"/>
      <c r="CZ143" s="14"/>
      <c r="DA143" s="14"/>
      <c r="DB143" s="14"/>
      <c r="DC143" s="14"/>
      <c r="DD143" s="14"/>
      <c r="DE143" s="14"/>
      <c r="DF143" s="14"/>
      <c r="DG143" s="14"/>
      <c r="DH143" s="14"/>
      <c r="DI143" s="14"/>
      <c r="DJ143" s="14"/>
      <c r="DK143" s="14"/>
      <c r="DL143" s="14"/>
      <c r="DM143" s="14"/>
      <c r="DN143" s="14"/>
      <c r="DO143" s="14"/>
      <c r="DP143" s="14"/>
      <c r="DQ143" s="14"/>
      <c r="DR143" s="14"/>
      <c r="DS143" s="14"/>
      <c r="DT143" s="14"/>
      <c r="DU143" s="14"/>
      <c r="DV143" s="14"/>
      <c r="DW143" s="14"/>
      <c r="DX143" s="14"/>
      <c r="DY143" s="14"/>
      <c r="DZ143" s="14"/>
      <c r="EA143" s="14"/>
      <c r="EB143" s="14"/>
      <c r="EC143" s="14"/>
      <c r="ED143" s="14"/>
      <c r="EE143" s="14"/>
      <c r="EF143" s="14"/>
      <c r="EG143" s="14"/>
      <c r="EH143" s="14"/>
      <c r="EI143" s="14"/>
      <c r="EJ143" s="14"/>
      <c r="EK143" s="14"/>
      <c r="EL143" s="14"/>
      <c r="EM143" s="14"/>
      <c r="EN143" s="14"/>
      <c r="EO143" s="14"/>
      <c r="EP143" s="14"/>
      <c r="EQ143" s="14"/>
      <c r="ER143" s="14"/>
      <c r="ES143" s="14"/>
      <c r="ET143" s="14"/>
      <c r="EU143" s="14"/>
      <c r="EV143" s="14"/>
      <c r="EW143" s="14"/>
      <c r="EX143" s="14"/>
      <c r="EY143" s="14"/>
      <c r="EZ143" s="14"/>
      <c r="FA143" s="14"/>
      <c r="FB143" s="14"/>
      <c r="FC143" s="14"/>
      <c r="FD143" s="14"/>
      <c r="FE143" s="14"/>
      <c r="FF143" s="14"/>
      <c r="FG143" s="14"/>
      <c r="FH143" s="14"/>
      <c r="FI143" s="14"/>
      <c r="FJ143" s="14"/>
      <c r="FK143" s="14"/>
      <c r="FL143" s="14"/>
      <c r="FM143" s="14"/>
      <c r="FN143" s="14"/>
      <c r="FO143" s="14"/>
      <c r="FP143" s="14"/>
      <c r="FQ143" s="14"/>
      <c r="FR143" s="14"/>
      <c r="FS143" s="14"/>
      <c r="FT143" s="14"/>
      <c r="FU143" s="14"/>
      <c r="FV143" s="14"/>
      <c r="FW143" s="14"/>
      <c r="FX143" s="14"/>
      <c r="FY143" s="14"/>
      <c r="FZ143" s="14"/>
      <c r="GA143" s="14"/>
      <c r="GB143" s="14"/>
      <c r="GC143" s="14"/>
      <c r="GD143" s="14"/>
      <c r="GE143" s="14"/>
      <c r="GF143" s="14"/>
      <c r="GG143" s="14"/>
      <c r="GH143" s="14"/>
      <c r="GI143" s="14"/>
      <c r="GJ143" s="14"/>
      <c r="GK143" s="14"/>
      <c r="GL143" s="14"/>
      <c r="GM143" s="14"/>
      <c r="GN143" s="14"/>
      <c r="GO143" s="14"/>
      <c r="GP143" s="14"/>
      <c r="GQ143" s="14"/>
      <c r="GR143" s="14"/>
      <c r="GS143" s="14"/>
      <c r="GT143" s="14"/>
      <c r="GU143" s="14"/>
      <c r="GV143" s="14"/>
      <c r="GW143" s="14"/>
      <c r="GX143" s="14"/>
      <c r="GY143" s="14"/>
      <c r="GZ143" s="14"/>
      <c r="HA143" s="14"/>
      <c r="HB143" s="14"/>
      <c r="HC143" s="14"/>
      <c r="HD143" s="14"/>
      <c r="HE143" s="14"/>
      <c r="HF143" s="14"/>
      <c r="HG143" s="14"/>
      <c r="HH143" s="14"/>
      <c r="HI143" s="14"/>
      <c r="HJ143" s="14"/>
      <c r="HK143" s="14"/>
      <c r="HL143" s="14"/>
      <c r="HM143" s="14"/>
      <c r="HN143" s="14"/>
      <c r="HO143" s="14"/>
      <c r="HP143" s="14"/>
      <c r="HQ143" s="14"/>
      <c r="HR143" s="14"/>
      <c r="HS143" s="14"/>
      <c r="HT143" s="14"/>
    </row>
    <row r="144" spans="2:228" ht="27" customHeight="1" x14ac:dyDescent="0.2">
      <c r="B144" s="1883" t="str">
        <f>IF(AND(OR(R142&gt;0,R143&gt;0),$W$239&gt;0),"A value has been given for loss of sensation or hypersensitivity in the foot. No additional value is allowed for the toes.","")</f>
        <v/>
      </c>
      <c r="C144" s="1883"/>
      <c r="D144" s="1883"/>
      <c r="E144" s="1883"/>
      <c r="F144" s="1883"/>
      <c r="G144" s="1883"/>
      <c r="H144" s="1883"/>
      <c r="I144" s="1883"/>
      <c r="J144" s="1883"/>
      <c r="K144" s="1883"/>
      <c r="L144" s="1883"/>
      <c r="M144" s="1883"/>
      <c r="N144" s="1883"/>
      <c r="O144" s="1883"/>
      <c r="P144" s="659"/>
      <c r="R144" s="18"/>
      <c r="S144" s="19"/>
      <c r="T144" s="19"/>
      <c r="U144" s="19"/>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4"/>
      <c r="BR144" s="14"/>
      <c r="BS144" s="14"/>
      <c r="BT144" s="14"/>
      <c r="BU144" s="14"/>
      <c r="BV144" s="14"/>
      <c r="BW144" s="14"/>
      <c r="BX144" s="14"/>
      <c r="BY144" s="14"/>
      <c r="BZ144" s="14"/>
      <c r="CA144" s="14"/>
      <c r="CB144" s="14"/>
      <c r="CC144" s="14"/>
      <c r="CD144" s="14"/>
      <c r="CE144" s="14"/>
      <c r="CF144" s="14"/>
      <c r="CG144" s="14"/>
      <c r="CH144" s="14"/>
      <c r="CI144" s="14"/>
      <c r="CJ144" s="14"/>
      <c r="CK144" s="14"/>
      <c r="CL144" s="14"/>
      <c r="CM144" s="14"/>
      <c r="CN144" s="14"/>
      <c r="CO144" s="14"/>
      <c r="CP144" s="14"/>
      <c r="CQ144" s="14"/>
      <c r="CR144" s="14"/>
      <c r="CS144" s="14"/>
      <c r="CT144" s="14"/>
      <c r="CU144" s="14"/>
      <c r="CV144" s="14"/>
      <c r="CW144" s="14"/>
      <c r="CX144" s="14"/>
      <c r="CY144" s="14"/>
      <c r="CZ144" s="14"/>
      <c r="DA144" s="14"/>
      <c r="DB144" s="14"/>
      <c r="DC144" s="14"/>
      <c r="DD144" s="14"/>
      <c r="DE144" s="14"/>
      <c r="DF144" s="14"/>
      <c r="DG144" s="14"/>
      <c r="DH144" s="14"/>
      <c r="DI144" s="14"/>
      <c r="DJ144" s="14"/>
      <c r="DK144" s="14"/>
      <c r="DL144" s="14"/>
      <c r="DM144" s="14"/>
      <c r="DN144" s="14"/>
      <c r="DO144" s="14"/>
      <c r="DP144" s="14"/>
      <c r="DQ144" s="14"/>
      <c r="DR144" s="14"/>
      <c r="DS144" s="14"/>
      <c r="DT144" s="14"/>
      <c r="DU144" s="14"/>
      <c r="DV144" s="14"/>
      <c r="DW144" s="14"/>
      <c r="DX144" s="14"/>
      <c r="DY144" s="14"/>
      <c r="DZ144" s="14"/>
      <c r="EA144" s="14"/>
      <c r="EB144" s="14"/>
      <c r="EC144" s="14"/>
      <c r="ED144" s="14"/>
      <c r="EE144" s="14"/>
      <c r="EF144" s="14"/>
      <c r="EG144" s="14"/>
      <c r="EH144" s="14"/>
      <c r="EI144" s="14"/>
      <c r="EJ144" s="14"/>
      <c r="EK144" s="14"/>
      <c r="EL144" s="14"/>
      <c r="EM144" s="14"/>
      <c r="EN144" s="14"/>
      <c r="EO144" s="14"/>
      <c r="EP144" s="14"/>
      <c r="EQ144" s="14"/>
      <c r="ER144" s="14"/>
      <c r="ES144" s="14"/>
      <c r="ET144" s="14"/>
      <c r="EU144" s="14"/>
      <c r="EV144" s="14"/>
      <c r="EW144" s="14"/>
      <c r="EX144" s="14"/>
      <c r="EY144" s="14"/>
      <c r="EZ144" s="14"/>
      <c r="FA144" s="14"/>
      <c r="FB144" s="14"/>
      <c r="FC144" s="14"/>
      <c r="FD144" s="14"/>
      <c r="FE144" s="14"/>
      <c r="FF144" s="14"/>
      <c r="FG144" s="14"/>
      <c r="FH144" s="14"/>
      <c r="FI144" s="14"/>
      <c r="FJ144" s="14"/>
      <c r="FK144" s="14"/>
      <c r="FL144" s="14"/>
      <c r="FM144" s="14"/>
      <c r="FN144" s="14"/>
      <c r="FO144" s="14"/>
      <c r="FP144" s="14"/>
      <c r="FQ144" s="14"/>
      <c r="FR144" s="14"/>
      <c r="FS144" s="14"/>
      <c r="FT144" s="14"/>
      <c r="FU144" s="14"/>
      <c r="FV144" s="14"/>
      <c r="FW144" s="14"/>
      <c r="FX144" s="14"/>
      <c r="FY144" s="14"/>
      <c r="FZ144" s="14"/>
      <c r="GA144" s="14"/>
      <c r="GB144" s="14"/>
      <c r="GC144" s="14"/>
      <c r="GD144" s="14"/>
      <c r="GE144" s="14"/>
      <c r="GF144" s="14"/>
      <c r="GG144" s="14"/>
      <c r="GH144" s="14"/>
      <c r="GI144" s="14"/>
      <c r="GJ144" s="14"/>
      <c r="GK144" s="14"/>
      <c r="GL144" s="14"/>
      <c r="GM144" s="14"/>
      <c r="GN144" s="14"/>
      <c r="GO144" s="14"/>
      <c r="GP144" s="14"/>
      <c r="GQ144" s="14"/>
      <c r="GR144" s="14"/>
      <c r="GS144" s="14"/>
      <c r="GT144" s="14"/>
      <c r="GU144" s="14"/>
      <c r="GV144" s="14"/>
      <c r="GW144" s="14"/>
      <c r="GX144" s="14"/>
      <c r="GY144" s="14"/>
      <c r="GZ144" s="14"/>
      <c r="HA144" s="14"/>
      <c r="HB144" s="14"/>
      <c r="HC144" s="14"/>
      <c r="HD144" s="14"/>
      <c r="HE144" s="14"/>
      <c r="HF144" s="14"/>
      <c r="HG144" s="14"/>
      <c r="HH144" s="14"/>
      <c r="HI144" s="14"/>
      <c r="HJ144" s="14"/>
      <c r="HK144" s="14"/>
      <c r="HL144" s="14"/>
      <c r="HM144" s="14"/>
      <c r="HN144" s="14"/>
      <c r="HO144" s="14"/>
      <c r="HP144" s="14"/>
      <c r="HQ144" s="14"/>
      <c r="HR144" s="14"/>
      <c r="HS144" s="14"/>
      <c r="HT144" s="14"/>
    </row>
    <row r="145" spans="1:228" s="63" customFormat="1" ht="12" customHeight="1" x14ac:dyDescent="0.25">
      <c r="A145" s="35"/>
      <c r="B145" s="1602"/>
      <c r="C145" s="1395"/>
      <c r="D145" s="1395"/>
      <c r="E145" s="1395"/>
      <c r="F145" s="1395"/>
      <c r="G145" s="1395"/>
      <c r="H145" s="1395"/>
      <c r="I145" s="1395"/>
      <c r="J145" s="1395"/>
      <c r="K145" s="1395"/>
      <c r="L145" s="1395"/>
      <c r="M145" s="1395"/>
      <c r="N145" s="1395"/>
      <c r="O145" s="1395"/>
      <c r="P145" s="75"/>
      <c r="Q145" s="35"/>
      <c r="R145" s="18"/>
      <c r="S145" s="18"/>
      <c r="Y145" s="60"/>
      <c r="Z145" s="1569"/>
      <c r="AA145" s="1569"/>
      <c r="AB145" s="1569"/>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4"/>
      <c r="BB145" s="14"/>
      <c r="BC145" s="14"/>
      <c r="BD145" s="14"/>
      <c r="BE145" s="14"/>
      <c r="BF145" s="14"/>
      <c r="BG145" s="14"/>
      <c r="BH145" s="14"/>
      <c r="BI145" s="14"/>
      <c r="BJ145" s="14"/>
      <c r="BK145" s="14"/>
      <c r="BL145" s="14"/>
      <c r="BM145" s="14"/>
      <c r="BN145" s="14"/>
      <c r="BO145" s="14"/>
      <c r="BP145" s="14"/>
      <c r="BQ145" s="14"/>
      <c r="BR145" s="14"/>
      <c r="BS145" s="14"/>
      <c r="BT145" s="14"/>
      <c r="BU145" s="14"/>
      <c r="BV145" s="14"/>
      <c r="BW145" s="14"/>
      <c r="BX145" s="14"/>
      <c r="BY145" s="14"/>
      <c r="BZ145" s="14"/>
      <c r="CA145" s="14"/>
      <c r="CB145" s="14"/>
      <c r="CC145" s="14"/>
      <c r="CD145" s="14"/>
      <c r="CE145" s="14"/>
      <c r="CF145" s="14"/>
      <c r="CG145" s="14"/>
      <c r="CH145" s="14"/>
      <c r="CI145" s="14"/>
      <c r="CJ145" s="14"/>
      <c r="CK145" s="14"/>
      <c r="CL145" s="14"/>
      <c r="CM145" s="14"/>
      <c r="CN145" s="14"/>
      <c r="CO145" s="14"/>
      <c r="CP145" s="14"/>
      <c r="CQ145" s="14"/>
      <c r="CR145" s="14"/>
      <c r="CS145" s="14"/>
      <c r="CT145" s="14"/>
      <c r="CU145" s="14"/>
      <c r="CV145" s="14"/>
      <c r="CW145" s="14"/>
      <c r="CX145" s="14"/>
      <c r="CY145" s="14"/>
      <c r="CZ145" s="14"/>
      <c r="DA145" s="14"/>
      <c r="DB145" s="14"/>
      <c r="DC145" s="14"/>
      <c r="DD145" s="14"/>
      <c r="DE145" s="14"/>
      <c r="DF145" s="14"/>
      <c r="DG145" s="14"/>
      <c r="DH145" s="14"/>
      <c r="DI145" s="14"/>
      <c r="DJ145" s="14"/>
      <c r="DK145" s="14"/>
      <c r="DL145" s="14"/>
      <c r="DM145" s="14"/>
      <c r="DN145" s="14"/>
      <c r="DO145" s="14"/>
      <c r="DP145" s="14"/>
      <c r="DQ145" s="14"/>
      <c r="DR145" s="14"/>
      <c r="DS145" s="14"/>
      <c r="DT145" s="14"/>
      <c r="DU145" s="14"/>
      <c r="DV145" s="14"/>
      <c r="DW145" s="14"/>
      <c r="DX145" s="14"/>
      <c r="DY145" s="14"/>
      <c r="DZ145" s="14"/>
      <c r="EA145" s="14"/>
      <c r="EB145" s="14"/>
      <c r="EC145" s="14"/>
      <c r="ED145" s="14"/>
      <c r="EE145" s="14"/>
      <c r="EF145" s="14"/>
      <c r="EG145" s="14"/>
      <c r="EH145" s="14"/>
      <c r="EI145" s="14"/>
      <c r="EJ145" s="14"/>
      <c r="EK145" s="14"/>
      <c r="EL145" s="14"/>
    </row>
    <row r="146" spans="1:228" s="63" customFormat="1" ht="15" customHeight="1" x14ac:dyDescent="0.2">
      <c r="A146" s="8"/>
      <c r="B146" s="1379" t="s">
        <v>2016</v>
      </c>
      <c r="C146" s="1379"/>
      <c r="D146" s="1379"/>
      <c r="E146" s="1379"/>
      <c r="F146" s="1379"/>
      <c r="G146" s="1379"/>
      <c r="H146" s="1379"/>
      <c r="I146" s="1379"/>
      <c r="J146" s="1379"/>
      <c r="K146" s="1379"/>
      <c r="L146" s="1379"/>
      <c r="M146" s="1379"/>
      <c r="N146" s="1308"/>
      <c r="O146" s="1308"/>
      <c r="P146" s="931">
        <f>IF(N146=T146,0.03,IF(N146=U146,0.15,IF(N146=V146,0.38,IF(N146=W146,0.68,IF(N146=X146,0.9,0)))))</f>
        <v>0</v>
      </c>
      <c r="Q146" s="926"/>
      <c r="R146" s="1487" t="s">
        <v>2197</v>
      </c>
      <c r="S146" s="1487"/>
      <c r="T146" s="922" t="s">
        <v>1969</v>
      </c>
      <c r="U146" s="922" t="s">
        <v>1970</v>
      </c>
      <c r="V146" s="932" t="s">
        <v>1972</v>
      </c>
      <c r="W146" s="922" t="s">
        <v>945</v>
      </c>
      <c r="X146" s="932" t="s">
        <v>558</v>
      </c>
      <c r="Y146" s="60"/>
      <c r="Z146" s="1569"/>
      <c r="AA146" s="1569"/>
      <c r="AB146" s="1569"/>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4"/>
      <c r="BB146" s="14"/>
      <c r="BC146" s="14"/>
      <c r="BD146" s="14"/>
      <c r="BE146" s="14"/>
      <c r="BF146" s="14"/>
      <c r="BG146" s="14"/>
      <c r="BH146" s="14"/>
      <c r="BI146" s="14"/>
      <c r="BJ146" s="14"/>
      <c r="BK146" s="14"/>
      <c r="BL146" s="14"/>
      <c r="BM146" s="14"/>
      <c r="BN146" s="14"/>
      <c r="BO146" s="14"/>
      <c r="BP146" s="14"/>
      <c r="BQ146" s="14"/>
      <c r="BR146" s="14"/>
      <c r="BS146" s="14"/>
      <c r="BT146" s="14"/>
      <c r="BU146" s="14"/>
      <c r="BV146" s="14"/>
      <c r="BW146" s="14"/>
      <c r="BX146" s="14"/>
      <c r="BY146" s="14"/>
      <c r="BZ146" s="14"/>
      <c r="CA146" s="14"/>
      <c r="CB146" s="14"/>
      <c r="CC146" s="14"/>
      <c r="CD146" s="14"/>
      <c r="CE146" s="14"/>
      <c r="CF146" s="14"/>
      <c r="CG146" s="14"/>
      <c r="CH146" s="14"/>
      <c r="CI146" s="14"/>
      <c r="CJ146" s="14"/>
      <c r="CK146" s="14"/>
      <c r="CL146" s="14"/>
      <c r="CM146" s="14"/>
      <c r="CN146" s="14"/>
      <c r="CO146" s="14"/>
      <c r="CP146" s="14"/>
      <c r="CQ146" s="14"/>
      <c r="CR146" s="14"/>
      <c r="CS146" s="14"/>
      <c r="CT146" s="14"/>
      <c r="CU146" s="14"/>
      <c r="CV146" s="14"/>
      <c r="CW146" s="14"/>
      <c r="CX146" s="14"/>
      <c r="CY146" s="14"/>
      <c r="CZ146" s="14"/>
      <c r="DA146" s="14"/>
      <c r="DB146" s="14"/>
      <c r="DC146" s="14"/>
      <c r="DD146" s="14"/>
      <c r="DE146" s="14"/>
      <c r="DF146" s="14"/>
      <c r="DG146" s="14"/>
      <c r="DH146" s="14"/>
      <c r="DI146" s="14"/>
      <c r="DJ146" s="14"/>
      <c r="DK146" s="14"/>
      <c r="DL146" s="14"/>
      <c r="DM146" s="14"/>
      <c r="DN146" s="14"/>
      <c r="DO146" s="14"/>
      <c r="DP146" s="14"/>
      <c r="DQ146" s="14"/>
      <c r="DR146" s="14"/>
      <c r="DS146" s="14"/>
      <c r="DT146" s="14"/>
      <c r="DU146" s="14"/>
      <c r="DV146" s="14"/>
      <c r="DW146" s="14"/>
      <c r="DX146" s="14"/>
      <c r="DY146" s="14"/>
      <c r="DZ146" s="14"/>
      <c r="EA146" s="14"/>
      <c r="EB146" s="14"/>
      <c r="EC146" s="14"/>
      <c r="ED146" s="14"/>
      <c r="EE146" s="14"/>
      <c r="EF146" s="14"/>
      <c r="EG146" s="14"/>
      <c r="EH146" s="14"/>
      <c r="EI146" s="14"/>
      <c r="EJ146" s="14"/>
      <c r="EK146" s="14"/>
      <c r="EL146" s="14"/>
    </row>
    <row r="147" spans="1:228" ht="12" customHeight="1" x14ac:dyDescent="0.25">
      <c r="B147" s="657"/>
      <c r="C147" s="657"/>
      <c r="D147" s="657"/>
      <c r="E147" s="657"/>
      <c r="F147" s="657"/>
      <c r="G147" s="657"/>
      <c r="H147" s="657"/>
      <c r="I147" s="657"/>
      <c r="J147" s="657"/>
      <c r="K147" s="657"/>
      <c r="L147" s="657"/>
      <c r="M147" s="657"/>
      <c r="N147" s="657"/>
      <c r="O147" s="657"/>
      <c r="P147" s="75"/>
      <c r="R147" s="18"/>
      <c r="S147" s="19"/>
      <c r="T147" s="19"/>
      <c r="U147" s="19"/>
      <c r="V147" s="19"/>
      <c r="W147" s="19"/>
      <c r="X147" s="19"/>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4"/>
      <c r="BR147" s="14"/>
      <c r="BS147" s="14"/>
      <c r="BT147" s="14"/>
      <c r="BU147" s="14"/>
      <c r="BV147" s="14"/>
      <c r="BW147" s="14"/>
      <c r="BX147" s="14"/>
      <c r="BY147" s="14"/>
      <c r="BZ147" s="14"/>
      <c r="CA147" s="14"/>
      <c r="CB147" s="14"/>
      <c r="CC147" s="14"/>
      <c r="CD147" s="14"/>
      <c r="CE147" s="14"/>
      <c r="CF147" s="14"/>
      <c r="CG147" s="14"/>
      <c r="CH147" s="14"/>
      <c r="CI147" s="14"/>
      <c r="CJ147" s="14"/>
      <c r="CK147" s="14"/>
      <c r="CL147" s="14"/>
      <c r="CM147" s="14"/>
      <c r="CN147" s="14"/>
      <c r="CO147" s="14"/>
      <c r="CP147" s="14"/>
      <c r="CQ147" s="14"/>
      <c r="CR147" s="14"/>
      <c r="CS147" s="14"/>
      <c r="CT147" s="14"/>
      <c r="CU147" s="14"/>
      <c r="CV147" s="14"/>
      <c r="CW147" s="14"/>
      <c r="CX147" s="14"/>
      <c r="CY147" s="14"/>
      <c r="CZ147" s="14"/>
      <c r="DA147" s="14"/>
      <c r="DB147" s="14"/>
      <c r="DC147" s="14"/>
      <c r="DD147" s="14"/>
      <c r="DE147" s="14"/>
      <c r="DF147" s="14"/>
      <c r="DG147" s="14"/>
      <c r="DH147" s="14"/>
      <c r="DI147" s="14"/>
      <c r="DJ147" s="14"/>
      <c r="DK147" s="14"/>
      <c r="DL147" s="14"/>
      <c r="DM147" s="14"/>
      <c r="DN147" s="14"/>
      <c r="DO147" s="14"/>
      <c r="DP147" s="14"/>
      <c r="DQ147" s="14"/>
      <c r="DR147" s="14"/>
      <c r="DS147" s="14"/>
      <c r="DT147" s="14"/>
      <c r="DU147" s="14"/>
      <c r="DV147" s="14"/>
      <c r="DW147" s="14"/>
      <c r="DX147" s="14"/>
      <c r="DY147" s="14"/>
      <c r="DZ147" s="14"/>
      <c r="EA147" s="14"/>
      <c r="EB147" s="14"/>
      <c r="EC147" s="14"/>
      <c r="ED147" s="14"/>
      <c r="EE147" s="14"/>
      <c r="EF147" s="14"/>
      <c r="EG147" s="14"/>
      <c r="EH147" s="14"/>
      <c r="EI147" s="14"/>
      <c r="EJ147" s="14"/>
      <c r="EK147" s="14"/>
      <c r="EL147" s="14"/>
      <c r="EM147" s="14"/>
      <c r="EN147" s="14"/>
      <c r="EO147" s="14"/>
      <c r="EP147" s="14"/>
      <c r="EQ147" s="14"/>
      <c r="ER147" s="14"/>
      <c r="ES147" s="14"/>
      <c r="ET147" s="14"/>
      <c r="EU147" s="14"/>
      <c r="EV147" s="14"/>
      <c r="EW147" s="14"/>
      <c r="EX147" s="14"/>
      <c r="EY147" s="14"/>
      <c r="EZ147" s="14"/>
      <c r="FA147" s="14"/>
      <c r="FB147" s="14"/>
      <c r="FC147" s="14"/>
      <c r="FD147" s="14"/>
      <c r="FE147" s="14"/>
      <c r="FF147" s="14"/>
      <c r="FG147" s="14"/>
      <c r="FH147" s="14"/>
      <c r="FI147" s="14"/>
      <c r="FJ147" s="14"/>
      <c r="FK147" s="14"/>
      <c r="FL147" s="14"/>
      <c r="FM147" s="14"/>
      <c r="FN147" s="14"/>
      <c r="FO147" s="14"/>
      <c r="FP147" s="14"/>
      <c r="FQ147" s="14"/>
      <c r="FR147" s="14"/>
      <c r="FS147" s="14"/>
      <c r="FT147" s="14"/>
      <c r="FU147" s="14"/>
      <c r="FV147" s="14"/>
      <c r="FW147" s="14"/>
      <c r="FX147" s="14"/>
      <c r="FY147" s="14"/>
      <c r="FZ147" s="14"/>
      <c r="GA147" s="14"/>
      <c r="GB147" s="14"/>
      <c r="GC147" s="14"/>
      <c r="GD147" s="14"/>
      <c r="GE147" s="14"/>
      <c r="GF147" s="14"/>
      <c r="GG147" s="14"/>
      <c r="GH147" s="14"/>
      <c r="GI147" s="14"/>
      <c r="GJ147" s="14"/>
      <c r="GK147" s="14"/>
      <c r="GL147" s="14"/>
      <c r="GM147" s="14"/>
      <c r="GN147" s="14"/>
      <c r="GO147" s="14"/>
      <c r="GP147" s="14"/>
      <c r="GQ147" s="14"/>
      <c r="GR147" s="14"/>
      <c r="GS147" s="14"/>
      <c r="GT147" s="14"/>
      <c r="GU147" s="14"/>
      <c r="GV147" s="14"/>
      <c r="GW147" s="14"/>
      <c r="GX147" s="14"/>
      <c r="GY147" s="14"/>
      <c r="GZ147" s="14"/>
      <c r="HA147" s="14"/>
      <c r="HB147" s="14"/>
      <c r="HC147" s="14"/>
      <c r="HD147" s="14"/>
      <c r="HE147" s="14"/>
      <c r="HF147" s="14"/>
      <c r="HG147" s="14"/>
      <c r="HH147" s="14"/>
      <c r="HI147" s="14"/>
      <c r="HJ147" s="14"/>
      <c r="HK147" s="14"/>
      <c r="HL147" s="14"/>
      <c r="HM147" s="14"/>
      <c r="HN147" s="14"/>
      <c r="HO147" s="14"/>
      <c r="HP147" s="14"/>
      <c r="HQ147" s="14"/>
      <c r="HR147" s="14"/>
      <c r="HS147" s="14"/>
      <c r="HT147" s="14"/>
    </row>
    <row r="148" spans="1:228" ht="18" customHeight="1" x14ac:dyDescent="0.2">
      <c r="A148" s="189"/>
      <c r="B148" s="316" t="s">
        <v>1709</v>
      </c>
      <c r="C148" s="1870"/>
      <c r="D148" s="1871"/>
      <c r="E148" s="1362" t="s">
        <v>1710</v>
      </c>
      <c r="F148" s="1363"/>
      <c r="G148" s="1363"/>
      <c r="H148" s="1363"/>
      <c r="I148" s="1363"/>
      <c r="J148" s="1363"/>
      <c r="K148" s="1363"/>
      <c r="L148" s="1363"/>
      <c r="M148" s="1363"/>
      <c r="N148" s="1363"/>
      <c r="O148" s="1364"/>
      <c r="P148" s="303">
        <f>IF(T148=1,0.15,0)</f>
        <v>0</v>
      </c>
      <c r="R148" s="18"/>
      <c r="S148" s="706" t="b">
        <v>0</v>
      </c>
      <c r="T148" s="922">
        <f>IF(S148=TRUE,1,0)</f>
        <v>0</v>
      </c>
      <c r="U148" s="18"/>
      <c r="V148" s="18"/>
      <c r="W148" s="18">
        <v>1E-4</v>
      </c>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4"/>
      <c r="BR148" s="14"/>
      <c r="BS148" s="14"/>
      <c r="BT148" s="14"/>
      <c r="BU148" s="14"/>
      <c r="BV148" s="14"/>
      <c r="BW148" s="14"/>
      <c r="BX148" s="14"/>
      <c r="BY148" s="14"/>
      <c r="BZ148" s="14"/>
      <c r="CA148" s="14"/>
      <c r="CB148" s="14"/>
      <c r="CC148" s="14"/>
      <c r="CD148" s="14"/>
      <c r="CE148" s="14"/>
      <c r="CF148" s="14"/>
      <c r="CG148" s="14"/>
      <c r="CH148" s="14"/>
      <c r="CI148" s="14"/>
      <c r="CJ148" s="14"/>
      <c r="CK148" s="14"/>
      <c r="CL148" s="14"/>
      <c r="CM148" s="14"/>
      <c r="CN148" s="14"/>
      <c r="CO148" s="14"/>
      <c r="CP148" s="14"/>
      <c r="CQ148" s="14"/>
      <c r="CR148" s="14"/>
      <c r="CS148" s="14"/>
      <c r="CT148" s="14"/>
      <c r="CU148" s="14"/>
      <c r="CV148" s="14"/>
      <c r="CW148" s="14"/>
      <c r="CX148" s="14"/>
      <c r="CY148" s="14"/>
      <c r="CZ148" s="14"/>
      <c r="DA148" s="14"/>
      <c r="DB148" s="14"/>
      <c r="DC148" s="14"/>
      <c r="DD148" s="14"/>
      <c r="DE148" s="14"/>
      <c r="DF148" s="14"/>
      <c r="DG148" s="14"/>
      <c r="DH148" s="14"/>
      <c r="DI148" s="14"/>
      <c r="DJ148" s="14"/>
      <c r="DK148" s="14"/>
      <c r="DL148" s="14"/>
      <c r="DM148" s="14"/>
      <c r="DN148" s="14"/>
      <c r="DO148" s="14"/>
      <c r="DP148" s="14"/>
      <c r="DQ148" s="14"/>
      <c r="DR148" s="14"/>
      <c r="DS148" s="14"/>
      <c r="DT148" s="14"/>
      <c r="DU148" s="14"/>
      <c r="DV148" s="14"/>
      <c r="DW148" s="14"/>
      <c r="DX148" s="14"/>
      <c r="DY148" s="14"/>
      <c r="DZ148" s="14"/>
      <c r="EA148" s="14"/>
      <c r="EB148" s="14"/>
      <c r="EC148" s="14"/>
      <c r="ED148" s="14"/>
      <c r="EE148" s="14"/>
      <c r="EF148" s="14"/>
      <c r="EG148" s="14"/>
      <c r="EH148" s="14"/>
      <c r="EI148" s="14"/>
      <c r="EJ148" s="14"/>
      <c r="EK148" s="14"/>
      <c r="EL148" s="14"/>
      <c r="EM148" s="14"/>
      <c r="EN148" s="14"/>
      <c r="EO148" s="14"/>
      <c r="EP148" s="14"/>
      <c r="EQ148" s="14"/>
      <c r="ER148" s="14"/>
      <c r="ES148" s="14"/>
      <c r="ET148" s="14"/>
      <c r="EU148" s="14"/>
      <c r="EV148" s="14"/>
      <c r="EW148" s="14"/>
      <c r="EX148" s="14"/>
      <c r="EY148" s="14"/>
      <c r="EZ148" s="14"/>
      <c r="FA148" s="14"/>
      <c r="FB148" s="14"/>
      <c r="FC148" s="14"/>
      <c r="FD148" s="14"/>
      <c r="FE148" s="14"/>
      <c r="FF148" s="14"/>
      <c r="FG148" s="14"/>
      <c r="FH148" s="14"/>
      <c r="FI148" s="14"/>
      <c r="FJ148" s="14"/>
      <c r="FK148" s="14"/>
      <c r="FL148" s="14"/>
      <c r="FM148" s="14"/>
      <c r="FN148" s="14"/>
      <c r="FO148" s="14"/>
      <c r="FP148" s="14"/>
      <c r="FQ148" s="14"/>
      <c r="FR148" s="14"/>
      <c r="FS148" s="14"/>
      <c r="FT148" s="14"/>
      <c r="FU148" s="14"/>
      <c r="FV148" s="14"/>
      <c r="FW148" s="14"/>
      <c r="FX148" s="14"/>
      <c r="FY148" s="14"/>
      <c r="FZ148" s="14"/>
      <c r="GA148" s="14"/>
      <c r="GB148" s="14"/>
      <c r="GC148" s="14"/>
      <c r="GD148" s="14"/>
      <c r="GE148" s="14"/>
      <c r="GF148" s="14"/>
      <c r="GG148" s="14"/>
      <c r="GH148" s="14"/>
      <c r="GI148" s="14"/>
      <c r="GJ148" s="14"/>
      <c r="GK148" s="14"/>
      <c r="GL148" s="14"/>
      <c r="GM148" s="14"/>
      <c r="GN148" s="14"/>
      <c r="GO148" s="14"/>
      <c r="GP148" s="14"/>
      <c r="GQ148" s="14"/>
      <c r="GR148" s="14"/>
      <c r="GS148" s="14"/>
      <c r="GT148" s="14"/>
      <c r="GU148" s="14"/>
      <c r="GV148" s="14"/>
      <c r="GW148" s="14"/>
      <c r="GX148" s="14"/>
      <c r="GY148" s="14"/>
      <c r="GZ148" s="14"/>
      <c r="HA148" s="14"/>
      <c r="HB148" s="14"/>
      <c r="HC148" s="14"/>
      <c r="HD148" s="14"/>
      <c r="HE148" s="14"/>
      <c r="HF148" s="14"/>
      <c r="HG148" s="14"/>
      <c r="HH148" s="14"/>
      <c r="HI148" s="14"/>
      <c r="HJ148" s="14"/>
      <c r="HK148" s="14"/>
      <c r="HL148" s="14"/>
      <c r="HM148" s="14"/>
      <c r="HN148" s="14"/>
      <c r="HO148" s="14"/>
      <c r="HP148" s="14"/>
      <c r="HQ148" s="14"/>
      <c r="HR148" s="14"/>
      <c r="HS148" s="14"/>
      <c r="HT148" s="14"/>
    </row>
    <row r="149" spans="1:228" ht="18" customHeight="1" x14ac:dyDescent="0.2">
      <c r="B149" s="316" t="s">
        <v>1711</v>
      </c>
      <c r="C149" s="1870"/>
      <c r="D149" s="1871"/>
      <c r="E149" s="1362" t="s">
        <v>1712</v>
      </c>
      <c r="F149" s="1363"/>
      <c r="G149" s="1363"/>
      <c r="H149" s="1363"/>
      <c r="I149" s="1363"/>
      <c r="J149" s="1363"/>
      <c r="K149" s="1363"/>
      <c r="L149" s="1363"/>
      <c r="M149" s="1363"/>
      <c r="N149" s="1363"/>
      <c r="O149" s="1364"/>
      <c r="P149" s="303">
        <f>IF(T149=1,0.25,0)</f>
        <v>0</v>
      </c>
      <c r="R149" s="18"/>
      <c r="S149" s="706" t="b">
        <v>0</v>
      </c>
      <c r="T149" s="922">
        <f>IF(S149=TRUE,1,0)</f>
        <v>0</v>
      </c>
      <c r="U149" s="18"/>
      <c r="V149" s="18"/>
      <c r="W149" s="18"/>
      <c r="X149" s="1111"/>
      <c r="Y149" s="1111"/>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4"/>
      <c r="BR149" s="14"/>
      <c r="BS149" s="14"/>
      <c r="BT149" s="14"/>
      <c r="BU149" s="14"/>
      <c r="BV149" s="14"/>
      <c r="BW149" s="14"/>
      <c r="BX149" s="14"/>
      <c r="BY149" s="14"/>
      <c r="BZ149" s="14"/>
      <c r="CA149" s="14"/>
      <c r="CB149" s="14"/>
      <c r="CC149" s="14"/>
      <c r="CD149" s="14"/>
      <c r="CE149" s="14"/>
      <c r="CF149" s="14"/>
      <c r="CG149" s="14"/>
      <c r="CH149" s="14"/>
      <c r="CI149" s="14"/>
      <c r="CJ149" s="14"/>
      <c r="CK149" s="14"/>
      <c r="CL149" s="14"/>
      <c r="CM149" s="14"/>
      <c r="CN149" s="14"/>
      <c r="CO149" s="14"/>
      <c r="CP149" s="14"/>
      <c r="CQ149" s="14"/>
      <c r="CR149" s="14"/>
      <c r="CS149" s="14"/>
      <c r="CT149" s="14"/>
      <c r="CU149" s="14"/>
      <c r="CV149" s="14"/>
      <c r="CW149" s="14"/>
      <c r="CX149" s="14"/>
      <c r="CY149" s="14"/>
      <c r="CZ149" s="14"/>
      <c r="DA149" s="14"/>
      <c r="DB149" s="14"/>
      <c r="DC149" s="14"/>
      <c r="DD149" s="14"/>
      <c r="DE149" s="14"/>
      <c r="DF149" s="14"/>
      <c r="DG149" s="14"/>
      <c r="DH149" s="14"/>
      <c r="DI149" s="14"/>
      <c r="DJ149" s="14"/>
      <c r="DK149" s="14"/>
      <c r="DL149" s="14"/>
      <c r="DM149" s="14"/>
      <c r="DN149" s="14"/>
      <c r="DO149" s="14"/>
      <c r="DP149" s="14"/>
      <c r="DQ149" s="14"/>
      <c r="DR149" s="14"/>
      <c r="DS149" s="14"/>
      <c r="DT149" s="14"/>
      <c r="DU149" s="14"/>
      <c r="DV149" s="14"/>
      <c r="DW149" s="14"/>
      <c r="DX149" s="14"/>
      <c r="DY149" s="14"/>
      <c r="DZ149" s="14"/>
      <c r="EA149" s="14"/>
      <c r="EB149" s="14"/>
      <c r="EC149" s="14"/>
      <c r="ED149" s="14"/>
      <c r="EE149" s="14"/>
      <c r="EF149" s="14"/>
      <c r="EG149" s="14"/>
      <c r="EH149" s="14"/>
      <c r="EI149" s="14"/>
      <c r="EJ149" s="14"/>
      <c r="EK149" s="14"/>
      <c r="EL149" s="14"/>
      <c r="EM149" s="14"/>
      <c r="EN149" s="14"/>
      <c r="EO149" s="14"/>
      <c r="EP149" s="14"/>
      <c r="EQ149" s="14"/>
      <c r="ER149" s="14"/>
      <c r="ES149" s="14"/>
      <c r="ET149" s="14"/>
      <c r="EU149" s="14"/>
      <c r="EV149" s="14"/>
      <c r="EW149" s="14"/>
      <c r="EX149" s="14"/>
      <c r="EY149" s="14"/>
      <c r="EZ149" s="14"/>
      <c r="FA149" s="14"/>
      <c r="FB149" s="14"/>
      <c r="FC149" s="14"/>
      <c r="FD149" s="14"/>
      <c r="FE149" s="14"/>
      <c r="FF149" s="14"/>
      <c r="FG149" s="14"/>
      <c r="FH149" s="14"/>
      <c r="FI149" s="14"/>
      <c r="FJ149" s="14"/>
      <c r="FK149" s="14"/>
      <c r="FL149" s="14"/>
      <c r="FM149" s="14"/>
      <c r="FN149" s="14"/>
      <c r="FO149" s="14"/>
      <c r="FP149" s="14"/>
      <c r="FQ149" s="14"/>
      <c r="FR149" s="14"/>
      <c r="FS149" s="14"/>
      <c r="FT149" s="14"/>
      <c r="FU149" s="14"/>
      <c r="FV149" s="14"/>
      <c r="FW149" s="14"/>
      <c r="FX149" s="14"/>
      <c r="FY149" s="14"/>
      <c r="FZ149" s="14"/>
      <c r="GA149" s="14"/>
      <c r="GB149" s="14"/>
      <c r="GC149" s="14"/>
      <c r="GD149" s="14"/>
      <c r="GE149" s="14"/>
      <c r="GF149" s="14"/>
      <c r="GG149" s="14"/>
      <c r="GH149" s="14"/>
      <c r="GI149" s="14"/>
      <c r="GJ149" s="14"/>
      <c r="GK149" s="14"/>
      <c r="GL149" s="14"/>
      <c r="GM149" s="14"/>
      <c r="GN149" s="14"/>
      <c r="GO149" s="14"/>
      <c r="GP149" s="14"/>
      <c r="GQ149" s="14"/>
      <c r="GR149" s="14"/>
      <c r="GS149" s="14"/>
      <c r="GT149" s="14"/>
      <c r="GU149" s="14"/>
      <c r="GV149" s="14"/>
      <c r="GW149" s="14"/>
      <c r="GX149" s="14"/>
      <c r="GY149" s="14"/>
      <c r="GZ149" s="14"/>
      <c r="HA149" s="14"/>
      <c r="HB149" s="14"/>
      <c r="HC149" s="14"/>
      <c r="HD149" s="14"/>
      <c r="HE149" s="14"/>
      <c r="HF149" s="14"/>
      <c r="HG149" s="14"/>
      <c r="HH149" s="14"/>
      <c r="HI149" s="14"/>
      <c r="HJ149" s="14"/>
      <c r="HK149" s="14"/>
      <c r="HL149" s="14"/>
      <c r="HM149" s="14"/>
      <c r="HN149" s="14"/>
      <c r="HO149" s="14"/>
      <c r="HP149" s="14"/>
      <c r="HQ149" s="14"/>
      <c r="HR149" s="14"/>
      <c r="HS149" s="14"/>
      <c r="HT149" s="14"/>
    </row>
    <row r="150" spans="1:228" ht="18" customHeight="1" x14ac:dyDescent="0.2">
      <c r="B150" s="471" t="s">
        <v>626</v>
      </c>
      <c r="C150" s="1925"/>
      <c r="D150" s="1925"/>
      <c r="E150" s="1546" t="s">
        <v>627</v>
      </c>
      <c r="F150" s="1547"/>
      <c r="G150" s="1547"/>
      <c r="H150" s="1547"/>
      <c r="I150" s="1547"/>
      <c r="J150" s="1547"/>
      <c r="K150" s="1547"/>
      <c r="L150" s="1547"/>
      <c r="M150" s="1547"/>
      <c r="N150" s="1547"/>
      <c r="O150" s="1548"/>
      <c r="P150" s="360">
        <f>IF(T150=1,0.25,0)</f>
        <v>0</v>
      </c>
      <c r="R150" s="18"/>
      <c r="S150" s="706" t="b">
        <v>0</v>
      </c>
      <c r="T150" s="922">
        <f>IF(S150=TRUE,1,0)</f>
        <v>0</v>
      </c>
      <c r="U150" s="18"/>
      <c r="V150" s="18"/>
      <c r="W150" s="18"/>
      <c r="X150" s="1111"/>
      <c r="Y150" s="1111"/>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4"/>
      <c r="BR150" s="14"/>
      <c r="BS150" s="14"/>
      <c r="BT150" s="14"/>
      <c r="BU150" s="14"/>
      <c r="BV150" s="14"/>
      <c r="BW150" s="14"/>
      <c r="BX150" s="14"/>
      <c r="BY150" s="14"/>
      <c r="BZ150" s="14"/>
      <c r="CA150" s="14"/>
      <c r="CB150" s="14"/>
      <c r="CC150" s="14"/>
      <c r="CD150" s="14"/>
      <c r="CE150" s="14"/>
      <c r="CF150" s="14"/>
      <c r="CG150" s="14"/>
      <c r="CH150" s="14"/>
      <c r="CI150" s="14"/>
      <c r="CJ150" s="14"/>
      <c r="CK150" s="14"/>
      <c r="CL150" s="14"/>
      <c r="CM150" s="14"/>
      <c r="CN150" s="14"/>
      <c r="CO150" s="14"/>
      <c r="CP150" s="14"/>
      <c r="CQ150" s="14"/>
      <c r="CR150" s="14"/>
      <c r="CS150" s="14"/>
      <c r="CT150" s="14"/>
      <c r="CU150" s="14"/>
      <c r="CV150" s="14"/>
      <c r="CW150" s="14"/>
      <c r="CX150" s="14"/>
      <c r="CY150" s="14"/>
      <c r="CZ150" s="14"/>
      <c r="DA150" s="14"/>
      <c r="DB150" s="14"/>
      <c r="DC150" s="14"/>
      <c r="DD150" s="14"/>
      <c r="DE150" s="14"/>
      <c r="DF150" s="14"/>
      <c r="DG150" s="14"/>
      <c r="DH150" s="14"/>
      <c r="DI150" s="14"/>
      <c r="DJ150" s="14"/>
      <c r="DK150" s="14"/>
      <c r="DL150" s="14"/>
      <c r="DM150" s="14"/>
      <c r="DN150" s="14"/>
      <c r="DO150" s="14"/>
      <c r="DP150" s="14"/>
      <c r="DQ150" s="14"/>
      <c r="DR150" s="14"/>
      <c r="DS150" s="14"/>
      <c r="DT150" s="14"/>
      <c r="DU150" s="14"/>
      <c r="DV150" s="14"/>
      <c r="DW150" s="14"/>
      <c r="DX150" s="14"/>
      <c r="DY150" s="14"/>
      <c r="DZ150" s="14"/>
      <c r="EA150" s="14"/>
      <c r="EB150" s="14"/>
      <c r="EC150" s="14"/>
      <c r="ED150" s="14"/>
      <c r="EE150" s="14"/>
      <c r="EF150" s="14"/>
      <c r="EG150" s="14"/>
      <c r="EH150" s="14"/>
      <c r="EI150" s="14"/>
      <c r="EJ150" s="14"/>
      <c r="EK150" s="14"/>
      <c r="EL150" s="14"/>
      <c r="EM150" s="14"/>
      <c r="EN150" s="14"/>
      <c r="EO150" s="14"/>
      <c r="EP150" s="14"/>
      <c r="EQ150" s="14"/>
      <c r="ER150" s="14"/>
      <c r="ES150" s="14"/>
      <c r="ET150" s="14"/>
      <c r="EU150" s="14"/>
      <c r="EV150" s="14"/>
      <c r="EW150" s="14"/>
      <c r="EX150" s="14"/>
      <c r="EY150" s="14"/>
      <c r="EZ150" s="14"/>
      <c r="FA150" s="14"/>
      <c r="FB150" s="14"/>
      <c r="FC150" s="14"/>
      <c r="FD150" s="14"/>
      <c r="FE150" s="14"/>
      <c r="FF150" s="14"/>
      <c r="FG150" s="14"/>
      <c r="FH150" s="14"/>
      <c r="FI150" s="14"/>
      <c r="FJ150" s="14"/>
      <c r="FK150" s="14"/>
      <c r="FL150" s="14"/>
      <c r="FM150" s="14"/>
      <c r="FN150" s="14"/>
      <c r="FO150" s="14"/>
      <c r="FP150" s="14"/>
      <c r="FQ150" s="14"/>
      <c r="FR150" s="14"/>
      <c r="FS150" s="14"/>
      <c r="FT150" s="14"/>
      <c r="FU150" s="14"/>
      <c r="FV150" s="14"/>
      <c r="FW150" s="14"/>
      <c r="FX150" s="14"/>
      <c r="FY150" s="14"/>
      <c r="FZ150" s="14"/>
      <c r="GA150" s="14"/>
      <c r="GB150" s="14"/>
      <c r="GC150" s="14"/>
      <c r="GD150" s="14"/>
      <c r="GE150" s="14"/>
      <c r="GF150" s="14"/>
      <c r="GG150" s="14"/>
      <c r="GH150" s="14"/>
      <c r="GI150" s="14"/>
      <c r="GJ150" s="14"/>
      <c r="GK150" s="14"/>
      <c r="GL150" s="14"/>
      <c r="GM150" s="14"/>
      <c r="GN150" s="14"/>
      <c r="GO150" s="14"/>
      <c r="GP150" s="14"/>
      <c r="GQ150" s="14"/>
      <c r="GR150" s="14"/>
      <c r="GS150" s="14"/>
      <c r="GT150" s="14"/>
      <c r="GU150" s="14"/>
      <c r="GV150" s="14"/>
      <c r="GW150" s="14"/>
      <c r="GX150" s="14"/>
      <c r="GY150" s="14"/>
      <c r="GZ150" s="14"/>
      <c r="HA150" s="14"/>
      <c r="HB150" s="14"/>
      <c r="HC150" s="14"/>
      <c r="HD150" s="14"/>
      <c r="HE150" s="14"/>
      <c r="HF150" s="14"/>
      <c r="HG150" s="14"/>
      <c r="HH150" s="14"/>
      <c r="HI150" s="14"/>
      <c r="HJ150" s="14"/>
      <c r="HK150" s="14"/>
      <c r="HL150" s="14"/>
      <c r="HM150" s="14"/>
      <c r="HN150" s="14"/>
      <c r="HO150" s="14"/>
      <c r="HP150" s="14"/>
      <c r="HQ150" s="14"/>
      <c r="HR150" s="14"/>
      <c r="HS150" s="14"/>
      <c r="HT150" s="14"/>
    </row>
    <row r="151" spans="1:228" ht="12" customHeight="1" x14ac:dyDescent="0.2">
      <c r="B151" s="1877"/>
      <c r="C151" s="1877"/>
      <c r="D151" s="1877"/>
      <c r="E151" s="1877"/>
      <c r="F151" s="1877"/>
      <c r="G151" s="1877"/>
      <c r="H151" s="1877"/>
      <c r="I151" s="1877"/>
      <c r="J151" s="1877"/>
      <c r="K151" s="1877"/>
      <c r="L151" s="1877"/>
      <c r="M151" s="1877"/>
      <c r="N151" s="1877"/>
      <c r="O151" s="1877"/>
      <c r="R151" s="18"/>
      <c r="S151" s="18"/>
      <c r="T151" s="18"/>
      <c r="U151" s="18"/>
      <c r="V151" s="18"/>
      <c r="W151" s="63"/>
      <c r="X151" s="1111"/>
      <c r="Y151" s="1111"/>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4"/>
      <c r="BR151" s="14"/>
      <c r="BS151" s="14"/>
      <c r="BT151" s="14"/>
      <c r="BU151" s="14"/>
      <c r="BV151" s="14"/>
      <c r="BW151" s="14"/>
      <c r="BX151" s="14"/>
      <c r="BY151" s="14"/>
      <c r="BZ151" s="14"/>
      <c r="CA151" s="14"/>
      <c r="CB151" s="14"/>
      <c r="CC151" s="14"/>
      <c r="CD151" s="14"/>
      <c r="CE151" s="14"/>
      <c r="CF151" s="14"/>
      <c r="CG151" s="14"/>
      <c r="CH151" s="14"/>
      <c r="CI151" s="14"/>
      <c r="CJ151" s="14"/>
      <c r="CK151" s="14"/>
      <c r="CL151" s="14"/>
      <c r="CM151" s="14"/>
      <c r="CN151" s="14"/>
      <c r="CO151" s="14"/>
      <c r="CP151" s="14"/>
      <c r="CQ151" s="14"/>
      <c r="CR151" s="14"/>
      <c r="CS151" s="14"/>
      <c r="CT151" s="14"/>
      <c r="CU151" s="14"/>
      <c r="CV151" s="14"/>
      <c r="CW151" s="14"/>
      <c r="CX151" s="14"/>
      <c r="CY151" s="14"/>
      <c r="CZ151" s="14"/>
      <c r="DA151" s="14"/>
      <c r="DB151" s="14"/>
      <c r="DC151" s="14"/>
      <c r="DD151" s="14"/>
      <c r="DE151" s="14"/>
      <c r="DF151" s="14"/>
      <c r="DG151" s="14"/>
      <c r="DH151" s="14"/>
      <c r="DI151" s="14"/>
      <c r="DJ151" s="14"/>
      <c r="DK151" s="14"/>
      <c r="DL151" s="14"/>
      <c r="DM151" s="14"/>
      <c r="DN151" s="14"/>
      <c r="DO151" s="14"/>
      <c r="DP151" s="14"/>
      <c r="DQ151" s="14"/>
      <c r="DR151" s="14"/>
      <c r="DS151" s="14"/>
      <c r="DT151" s="14"/>
      <c r="DU151" s="14"/>
      <c r="DV151" s="14"/>
      <c r="DW151" s="14"/>
      <c r="DX151" s="14"/>
      <c r="DY151" s="14"/>
      <c r="DZ151" s="14"/>
      <c r="EA151" s="14"/>
      <c r="EB151" s="14"/>
      <c r="EC151" s="14"/>
      <c r="ED151" s="14"/>
      <c r="EE151" s="14"/>
      <c r="EF151" s="14"/>
      <c r="EG151" s="14"/>
      <c r="EH151" s="14"/>
      <c r="EI151" s="14"/>
      <c r="EJ151" s="14"/>
      <c r="EK151" s="14"/>
      <c r="EL151" s="14"/>
      <c r="EM151" s="14"/>
      <c r="EN151" s="14"/>
      <c r="EO151" s="14"/>
      <c r="EP151" s="14"/>
      <c r="EQ151" s="14"/>
      <c r="ER151" s="14"/>
      <c r="ES151" s="14"/>
      <c r="ET151" s="14"/>
      <c r="EU151" s="14"/>
      <c r="EV151" s="14"/>
      <c r="EW151" s="14"/>
      <c r="EX151" s="14"/>
      <c r="EY151" s="14"/>
      <c r="EZ151" s="14"/>
      <c r="FA151" s="14"/>
      <c r="FB151" s="14"/>
      <c r="FC151" s="14"/>
      <c r="FD151" s="14"/>
      <c r="FE151" s="14"/>
      <c r="FF151" s="14"/>
      <c r="FG151" s="14"/>
      <c r="FH151" s="14"/>
      <c r="FI151" s="14"/>
      <c r="FJ151" s="14"/>
      <c r="FK151" s="14"/>
      <c r="FL151" s="14"/>
      <c r="FM151" s="14"/>
      <c r="FN151" s="14"/>
      <c r="FO151" s="14"/>
      <c r="FP151" s="14"/>
      <c r="FQ151" s="14"/>
      <c r="FR151" s="14"/>
      <c r="FS151" s="14"/>
      <c r="FT151" s="14"/>
      <c r="FU151" s="14"/>
      <c r="FV151" s="14"/>
      <c r="FW151" s="14"/>
      <c r="FX151" s="14"/>
      <c r="FY151" s="14"/>
      <c r="FZ151" s="14"/>
      <c r="GA151" s="14"/>
      <c r="GB151" s="14"/>
      <c r="GC151" s="14"/>
      <c r="GD151" s="14"/>
      <c r="GE151" s="14"/>
      <c r="GF151" s="14"/>
      <c r="GG151" s="14"/>
      <c r="GH151" s="14"/>
      <c r="GI151" s="14"/>
      <c r="GJ151" s="14"/>
      <c r="GK151" s="14"/>
      <c r="GL151" s="14"/>
      <c r="GM151" s="14"/>
      <c r="GN151" s="14"/>
      <c r="GO151" s="14"/>
      <c r="GP151" s="14"/>
      <c r="GQ151" s="14"/>
      <c r="GR151" s="14"/>
      <c r="GS151" s="14"/>
      <c r="GT151" s="14"/>
      <c r="GU151" s="14"/>
      <c r="GV151" s="14"/>
      <c r="GW151" s="14"/>
      <c r="GX151" s="14"/>
      <c r="GY151" s="14"/>
      <c r="GZ151" s="14"/>
      <c r="HA151" s="14"/>
      <c r="HB151" s="14"/>
      <c r="HC151" s="14"/>
      <c r="HD151" s="14"/>
      <c r="HE151" s="14"/>
      <c r="HF151" s="14"/>
      <c r="HG151" s="14"/>
      <c r="HH151" s="14"/>
      <c r="HI151" s="14"/>
      <c r="HJ151" s="14"/>
      <c r="HK151" s="14"/>
      <c r="HL151" s="14"/>
      <c r="HM151" s="14"/>
      <c r="HN151" s="14"/>
      <c r="HO151" s="14"/>
      <c r="HP151" s="14"/>
      <c r="HQ151" s="14"/>
      <c r="HR151" s="14"/>
      <c r="HS151" s="14"/>
      <c r="HT151" s="14"/>
    </row>
    <row r="152" spans="1:228" ht="27" customHeight="1" x14ac:dyDescent="0.2">
      <c r="B152" s="1632" t="s">
        <v>818</v>
      </c>
      <c r="C152" s="1633"/>
      <c r="D152" s="1633"/>
      <c r="E152" s="1633"/>
      <c r="F152" s="1633"/>
      <c r="G152" s="1687" t="s">
        <v>1525</v>
      </c>
      <c r="H152" s="1534"/>
      <c r="I152" s="1534"/>
      <c r="J152" s="1534"/>
      <c r="K152" s="1534"/>
      <c r="L152" s="2068"/>
      <c r="M152" s="2069"/>
      <c r="N152" s="2069"/>
      <c r="O152" s="2070"/>
      <c r="P152" s="1481">
        <f>IF(J161&gt;0,J161,V159)</f>
        <v>0</v>
      </c>
      <c r="R152" s="18"/>
      <c r="S152" s="922" t="s">
        <v>1865</v>
      </c>
      <c r="T152" s="922" t="s">
        <v>1305</v>
      </c>
      <c r="U152" s="922" t="s">
        <v>1306</v>
      </c>
      <c r="V152" s="922" t="s">
        <v>1307</v>
      </c>
      <c r="W152" s="63"/>
      <c r="X152" s="1111"/>
      <c r="Y152" s="1111"/>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4"/>
      <c r="BR152" s="14"/>
      <c r="BS152" s="14"/>
      <c r="BT152" s="14"/>
      <c r="BU152" s="14"/>
      <c r="BV152" s="14"/>
      <c r="BW152" s="14"/>
      <c r="BX152" s="14"/>
      <c r="BY152" s="14"/>
      <c r="BZ152" s="14"/>
      <c r="CA152" s="14"/>
      <c r="CB152" s="14"/>
      <c r="CC152" s="14"/>
      <c r="CD152" s="14"/>
      <c r="CE152" s="14"/>
      <c r="CF152" s="14"/>
      <c r="CG152" s="14"/>
      <c r="CH152" s="14"/>
      <c r="CI152" s="14"/>
      <c r="CJ152" s="14"/>
      <c r="CK152" s="14"/>
      <c r="CL152" s="14"/>
      <c r="CM152" s="14"/>
      <c r="CN152" s="14"/>
      <c r="CO152" s="14"/>
      <c r="CP152" s="14"/>
      <c r="CQ152" s="14"/>
      <c r="CR152" s="14"/>
      <c r="CS152" s="14"/>
      <c r="CT152" s="14"/>
      <c r="CU152" s="14"/>
      <c r="CV152" s="14"/>
      <c r="CW152" s="14"/>
      <c r="CX152" s="14"/>
      <c r="CY152" s="14"/>
      <c r="CZ152" s="14"/>
      <c r="DA152" s="14"/>
      <c r="DB152" s="14"/>
      <c r="DC152" s="14"/>
      <c r="DD152" s="14"/>
      <c r="DE152" s="14"/>
      <c r="DF152" s="14"/>
      <c r="DG152" s="14"/>
      <c r="DH152" s="14"/>
      <c r="DI152" s="14"/>
      <c r="DJ152" s="14"/>
      <c r="DK152" s="14"/>
      <c r="DL152" s="14"/>
      <c r="DM152" s="14"/>
      <c r="DN152" s="14"/>
      <c r="DO152" s="14"/>
      <c r="DP152" s="14"/>
      <c r="DQ152" s="14"/>
      <c r="DR152" s="14"/>
      <c r="DS152" s="14"/>
      <c r="DT152" s="14"/>
      <c r="DU152" s="14"/>
      <c r="DV152" s="14"/>
      <c r="DW152" s="14"/>
      <c r="DX152" s="14"/>
      <c r="DY152" s="14"/>
      <c r="DZ152" s="14"/>
      <c r="EA152" s="14"/>
      <c r="EB152" s="14"/>
      <c r="EC152" s="14"/>
      <c r="ED152" s="14"/>
      <c r="EE152" s="14"/>
      <c r="EF152" s="14"/>
      <c r="EG152" s="14"/>
      <c r="EH152" s="14"/>
      <c r="EI152" s="14"/>
      <c r="EJ152" s="14"/>
      <c r="EK152" s="14"/>
      <c r="EL152" s="14"/>
      <c r="EM152" s="14"/>
      <c r="EN152" s="14"/>
      <c r="EO152" s="14"/>
      <c r="EP152" s="14"/>
      <c r="EQ152" s="14"/>
      <c r="ER152" s="14"/>
      <c r="ES152" s="14"/>
      <c r="ET152" s="14"/>
      <c r="EU152" s="14"/>
      <c r="EV152" s="14"/>
      <c r="EW152" s="14"/>
      <c r="EX152" s="14"/>
      <c r="EY152" s="14"/>
      <c r="EZ152" s="14"/>
      <c r="FA152" s="14"/>
      <c r="FB152" s="14"/>
      <c r="FC152" s="14"/>
      <c r="FD152" s="14"/>
      <c r="FE152" s="14"/>
      <c r="FF152" s="14"/>
      <c r="FG152" s="14"/>
      <c r="FH152" s="14"/>
      <c r="FI152" s="14"/>
      <c r="FJ152" s="14"/>
      <c r="FK152" s="14"/>
      <c r="FL152" s="14"/>
      <c r="FM152" s="14"/>
      <c r="FN152" s="14"/>
      <c r="FO152" s="14"/>
      <c r="FP152" s="14"/>
      <c r="FQ152" s="14"/>
      <c r="FR152" s="14"/>
      <c r="FS152" s="14"/>
      <c r="FT152" s="14"/>
      <c r="FU152" s="14"/>
      <c r="FV152" s="14"/>
      <c r="FW152" s="14"/>
      <c r="FX152" s="14"/>
      <c r="FY152" s="14"/>
      <c r="FZ152" s="14"/>
      <c r="GA152" s="14"/>
      <c r="GB152" s="14"/>
      <c r="GC152" s="14"/>
      <c r="GD152" s="14"/>
      <c r="GE152" s="14"/>
      <c r="GF152" s="14"/>
      <c r="GG152" s="14"/>
      <c r="GH152" s="14"/>
      <c r="GI152" s="14"/>
      <c r="GJ152" s="14"/>
      <c r="GK152" s="14"/>
      <c r="GL152" s="14"/>
      <c r="GM152" s="14"/>
      <c r="GN152" s="14"/>
      <c r="GO152" s="14"/>
      <c r="GP152" s="14"/>
      <c r="GQ152" s="14"/>
      <c r="GR152" s="14"/>
      <c r="GS152" s="14"/>
      <c r="GT152" s="14"/>
      <c r="GU152" s="14"/>
      <c r="GV152" s="14"/>
      <c r="GW152" s="14"/>
      <c r="GX152" s="14"/>
      <c r="GY152" s="14"/>
      <c r="GZ152" s="14"/>
      <c r="HA152" s="14"/>
      <c r="HB152" s="14"/>
      <c r="HC152" s="14"/>
      <c r="HD152" s="14"/>
      <c r="HE152" s="14"/>
      <c r="HF152" s="14"/>
      <c r="HG152" s="14"/>
      <c r="HH152" s="14"/>
      <c r="HI152" s="14"/>
      <c r="HJ152" s="14"/>
      <c r="HK152" s="14"/>
      <c r="HL152" s="14"/>
      <c r="HM152" s="14"/>
      <c r="HN152" s="14"/>
      <c r="HO152" s="14"/>
      <c r="HP152" s="14"/>
      <c r="HQ152" s="14"/>
      <c r="HR152" s="14"/>
      <c r="HS152" s="14"/>
      <c r="HT152" s="14"/>
    </row>
    <row r="153" spans="1:228" ht="18" customHeight="1" x14ac:dyDescent="0.2">
      <c r="B153" s="1394" t="s">
        <v>628</v>
      </c>
      <c r="C153" s="1394"/>
      <c r="D153" s="1394"/>
      <c r="E153" s="1623">
        <f>P126</f>
        <v>0</v>
      </c>
      <c r="F153" s="1624"/>
      <c r="G153" s="1702" t="s">
        <v>1942</v>
      </c>
      <c r="H153" s="1627"/>
      <c r="I153" s="1628"/>
      <c r="J153" s="1534"/>
      <c r="K153" s="1534"/>
      <c r="L153" s="1616"/>
      <c r="M153" s="1617"/>
      <c r="N153" s="1617"/>
      <c r="O153" s="1618"/>
      <c r="P153" s="1631"/>
      <c r="R153" s="18"/>
      <c r="S153" s="930">
        <f>E153</f>
        <v>0</v>
      </c>
      <c r="T153" s="932">
        <f>LARGE($S$153:$S$160,1)</f>
        <v>0</v>
      </c>
      <c r="U153" s="684">
        <f>T153+T154*(1-T153)</f>
        <v>0</v>
      </c>
      <c r="V153" s="930">
        <f t="shared" ref="V153:V159" si="8">ROUND(U153,2)</f>
        <v>0</v>
      </c>
      <c r="W153" s="63"/>
      <c r="X153" s="1111"/>
      <c r="Y153" s="1111"/>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4"/>
      <c r="BR153" s="14"/>
      <c r="BS153" s="14"/>
      <c r="BT153" s="14"/>
      <c r="BU153" s="14"/>
      <c r="BV153" s="14"/>
      <c r="BW153" s="14"/>
      <c r="BX153" s="14"/>
      <c r="BY153" s="14"/>
      <c r="BZ153" s="14"/>
      <c r="CA153" s="14"/>
      <c r="CB153" s="14"/>
      <c r="CC153" s="14"/>
      <c r="CD153" s="14"/>
      <c r="CE153" s="14"/>
      <c r="CF153" s="14"/>
      <c r="CG153" s="14"/>
      <c r="CH153" s="14"/>
      <c r="CI153" s="14"/>
      <c r="CJ153" s="14"/>
      <c r="CK153" s="14"/>
      <c r="CL153" s="14"/>
      <c r="CM153" s="14"/>
      <c r="CN153" s="14"/>
      <c r="CO153" s="14"/>
      <c r="CP153" s="14"/>
      <c r="CQ153" s="14"/>
      <c r="CR153" s="14"/>
      <c r="CS153" s="14"/>
      <c r="CT153" s="14"/>
      <c r="CU153" s="14"/>
      <c r="CV153" s="14"/>
      <c r="CW153" s="14"/>
      <c r="CX153" s="14"/>
      <c r="CY153" s="14"/>
      <c r="CZ153" s="14"/>
      <c r="DA153" s="14"/>
      <c r="DB153" s="14"/>
      <c r="DC153" s="14"/>
      <c r="DD153" s="14"/>
      <c r="DE153" s="14"/>
      <c r="DF153" s="14"/>
      <c r="DG153" s="14"/>
      <c r="DH153" s="14"/>
      <c r="DI153" s="14"/>
      <c r="DJ153" s="14"/>
      <c r="DK153" s="14"/>
      <c r="DL153" s="14"/>
      <c r="DM153" s="14"/>
      <c r="DN153" s="14"/>
      <c r="DO153" s="14"/>
      <c r="DP153" s="14"/>
      <c r="DQ153" s="14"/>
      <c r="DR153" s="14"/>
      <c r="DS153" s="14"/>
      <c r="DT153" s="14"/>
      <c r="DU153" s="14"/>
      <c r="DV153" s="14"/>
      <c r="DW153" s="14"/>
      <c r="DX153" s="14"/>
      <c r="DY153" s="14"/>
      <c r="DZ153" s="14"/>
      <c r="EA153" s="14"/>
      <c r="EB153" s="14"/>
      <c r="EC153" s="14"/>
      <c r="ED153" s="14"/>
      <c r="EE153" s="14"/>
      <c r="EF153" s="14"/>
      <c r="EG153" s="14"/>
      <c r="EH153" s="14"/>
      <c r="EI153" s="14"/>
      <c r="EJ153" s="14"/>
      <c r="EK153" s="14"/>
      <c r="EL153" s="14"/>
      <c r="EM153" s="14"/>
      <c r="EN153" s="14"/>
      <c r="EO153" s="14"/>
      <c r="EP153" s="14"/>
      <c r="EQ153" s="14"/>
      <c r="ER153" s="14"/>
      <c r="ES153" s="14"/>
      <c r="ET153" s="14"/>
      <c r="EU153" s="14"/>
      <c r="EV153" s="14"/>
      <c r="EW153" s="14"/>
      <c r="EX153" s="14"/>
      <c r="EY153" s="14"/>
      <c r="EZ153" s="14"/>
      <c r="FA153" s="14"/>
      <c r="FB153" s="14"/>
      <c r="FC153" s="14"/>
      <c r="FD153" s="14"/>
      <c r="FE153" s="14"/>
      <c r="FF153" s="14"/>
      <c r="FG153" s="14"/>
      <c r="FH153" s="14"/>
      <c r="FI153" s="14"/>
      <c r="FJ153" s="14"/>
      <c r="FK153" s="14"/>
      <c r="FL153" s="14"/>
      <c r="FM153" s="14"/>
      <c r="FN153" s="14"/>
      <c r="FO153" s="14"/>
      <c r="FP153" s="14"/>
      <c r="FQ153" s="14"/>
      <c r="FR153" s="14"/>
      <c r="FS153" s="14"/>
      <c r="FT153" s="14"/>
      <c r="FU153" s="14"/>
      <c r="FV153" s="14"/>
      <c r="FW153" s="14"/>
      <c r="FX153" s="14"/>
      <c r="FY153" s="14"/>
      <c r="FZ153" s="14"/>
      <c r="GA153" s="14"/>
      <c r="GB153" s="14"/>
      <c r="GC153" s="14"/>
      <c r="GD153" s="14"/>
      <c r="GE153" s="14"/>
      <c r="GF153" s="14"/>
      <c r="GG153" s="14"/>
      <c r="GH153" s="14"/>
      <c r="GI153" s="14"/>
      <c r="GJ153" s="14"/>
      <c r="GK153" s="14"/>
      <c r="GL153" s="14"/>
      <c r="GM153" s="14"/>
      <c r="GN153" s="14"/>
      <c r="GO153" s="14"/>
      <c r="GP153" s="14"/>
      <c r="GQ153" s="14"/>
      <c r="GR153" s="14"/>
      <c r="GS153" s="14"/>
      <c r="GT153" s="14"/>
      <c r="GU153" s="14"/>
      <c r="GV153" s="14"/>
      <c r="GW153" s="14"/>
      <c r="GX153" s="14"/>
      <c r="GY153" s="14"/>
      <c r="GZ153" s="14"/>
      <c r="HA153" s="14"/>
      <c r="HB153" s="14"/>
      <c r="HC153" s="14"/>
      <c r="HD153" s="14"/>
      <c r="HE153" s="14"/>
      <c r="HF153" s="14"/>
      <c r="HG153" s="14"/>
      <c r="HH153" s="14"/>
      <c r="HI153" s="14"/>
      <c r="HJ153" s="14"/>
      <c r="HK153" s="14"/>
      <c r="HL153" s="14"/>
      <c r="HM153" s="14"/>
      <c r="HN153" s="14"/>
      <c r="HO153" s="14"/>
      <c r="HP153" s="14"/>
      <c r="HQ153" s="14"/>
      <c r="HR153" s="14"/>
      <c r="HS153" s="14"/>
      <c r="HT153" s="14"/>
    </row>
    <row r="154" spans="1:228" ht="18" customHeight="1" x14ac:dyDescent="0.2">
      <c r="B154" s="1410" t="s">
        <v>1959</v>
      </c>
      <c r="C154" s="1410"/>
      <c r="D154" s="1410"/>
      <c r="E154" s="1373">
        <f>IF(P427&gt;0,0,P139)</f>
        <v>0</v>
      </c>
      <c r="F154" s="1346"/>
      <c r="G154" s="1833" t="s">
        <v>2260</v>
      </c>
      <c r="H154" s="1834"/>
      <c r="I154" s="1835"/>
      <c r="J154" s="1534"/>
      <c r="K154" s="1534"/>
      <c r="L154" s="1619"/>
      <c r="M154" s="1620"/>
      <c r="N154" s="1620"/>
      <c r="O154" s="1621"/>
      <c r="P154" s="1631"/>
      <c r="R154" s="18"/>
      <c r="S154" s="932">
        <f>IF(J154&gt;0,J154,E154)</f>
        <v>0</v>
      </c>
      <c r="T154" s="932">
        <f>LARGE($S$153:$S$160,2)</f>
        <v>0</v>
      </c>
      <c r="U154" s="684">
        <f t="shared" ref="U154:U159" si="9">V153+T155*(1-V153)</f>
        <v>0</v>
      </c>
      <c r="V154" s="930">
        <f t="shared" si="8"/>
        <v>0</v>
      </c>
      <c r="W154" s="63"/>
      <c r="X154" s="1111"/>
      <c r="Y154" s="1111"/>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4"/>
      <c r="BR154" s="14"/>
      <c r="BS154" s="14"/>
      <c r="BT154" s="14"/>
      <c r="BU154" s="14"/>
      <c r="BV154" s="14"/>
      <c r="BW154" s="14"/>
      <c r="BX154" s="14"/>
      <c r="BY154" s="14"/>
      <c r="BZ154" s="14"/>
      <c r="CA154" s="14"/>
      <c r="CB154" s="14"/>
      <c r="CC154" s="14"/>
      <c r="CD154" s="14"/>
      <c r="CE154" s="14"/>
      <c r="CF154" s="14"/>
      <c r="CG154" s="14"/>
      <c r="CH154" s="14"/>
      <c r="CI154" s="14"/>
      <c r="CJ154" s="14"/>
      <c r="CK154" s="14"/>
      <c r="CL154" s="14"/>
      <c r="CM154" s="14"/>
      <c r="CN154" s="14"/>
      <c r="CO154" s="14"/>
      <c r="CP154" s="14"/>
      <c r="CQ154" s="14"/>
      <c r="CR154" s="14"/>
      <c r="CS154" s="14"/>
      <c r="CT154" s="14"/>
      <c r="CU154" s="14"/>
      <c r="CV154" s="14"/>
      <c r="CW154" s="14"/>
      <c r="CX154" s="14"/>
      <c r="CY154" s="14"/>
      <c r="CZ154" s="14"/>
      <c r="DA154" s="14"/>
      <c r="DB154" s="14"/>
      <c r="DC154" s="14"/>
      <c r="DD154" s="14"/>
      <c r="DE154" s="14"/>
      <c r="DF154" s="14"/>
      <c r="DG154" s="14"/>
      <c r="DH154" s="14"/>
      <c r="DI154" s="14"/>
      <c r="DJ154" s="14"/>
      <c r="DK154" s="14"/>
      <c r="DL154" s="14"/>
      <c r="DM154" s="14"/>
      <c r="DN154" s="14"/>
      <c r="DO154" s="14"/>
      <c r="DP154" s="14"/>
      <c r="DQ154" s="14"/>
      <c r="DR154" s="14"/>
      <c r="DS154" s="14"/>
      <c r="DT154" s="14"/>
      <c r="DU154" s="14"/>
      <c r="DV154" s="14"/>
      <c r="DW154" s="14"/>
      <c r="DX154" s="14"/>
      <c r="DY154" s="14"/>
      <c r="DZ154" s="14"/>
      <c r="EA154" s="14"/>
      <c r="EB154" s="14"/>
      <c r="EC154" s="14"/>
      <c r="ED154" s="14"/>
      <c r="EE154" s="14"/>
      <c r="EF154" s="14"/>
      <c r="EG154" s="14"/>
      <c r="EH154" s="14"/>
      <c r="EI154" s="14"/>
      <c r="EJ154" s="14"/>
      <c r="EK154" s="14"/>
      <c r="EL154" s="14"/>
      <c r="EM154" s="14"/>
      <c r="EN154" s="14"/>
      <c r="EO154" s="14"/>
      <c r="EP154" s="14"/>
      <c r="EQ154" s="14"/>
      <c r="ER154" s="14"/>
      <c r="ES154" s="14"/>
      <c r="ET154" s="14"/>
      <c r="EU154" s="14"/>
      <c r="EV154" s="14"/>
      <c r="EW154" s="14"/>
      <c r="EX154" s="14"/>
      <c r="EY154" s="14"/>
      <c r="EZ154" s="14"/>
      <c r="FA154" s="14"/>
      <c r="FB154" s="14"/>
      <c r="FC154" s="14"/>
      <c r="FD154" s="14"/>
      <c r="FE154" s="14"/>
      <c r="FF154" s="14"/>
      <c r="FG154" s="14"/>
      <c r="FH154" s="14"/>
      <c r="FI154" s="14"/>
      <c r="FJ154" s="14"/>
      <c r="FK154" s="14"/>
      <c r="FL154" s="14"/>
      <c r="FM154" s="14"/>
      <c r="FN154" s="14"/>
      <c r="FO154" s="14"/>
      <c r="FP154" s="14"/>
      <c r="FQ154" s="14"/>
      <c r="FR154" s="14"/>
      <c r="FS154" s="14"/>
      <c r="FT154" s="14"/>
      <c r="FU154" s="14"/>
      <c r="FV154" s="14"/>
      <c r="FW154" s="14"/>
      <c r="FX154" s="14"/>
      <c r="FY154" s="14"/>
      <c r="FZ154" s="14"/>
      <c r="GA154" s="14"/>
      <c r="GB154" s="14"/>
      <c r="GC154" s="14"/>
      <c r="GD154" s="14"/>
      <c r="GE154" s="14"/>
      <c r="GF154" s="14"/>
      <c r="GG154" s="14"/>
      <c r="GH154" s="14"/>
      <c r="GI154" s="14"/>
      <c r="GJ154" s="14"/>
      <c r="GK154" s="14"/>
      <c r="GL154" s="14"/>
      <c r="GM154" s="14"/>
      <c r="GN154" s="14"/>
      <c r="GO154" s="14"/>
      <c r="GP154" s="14"/>
      <c r="GQ154" s="14"/>
      <c r="GR154" s="14"/>
      <c r="GS154" s="14"/>
      <c r="GT154" s="14"/>
      <c r="GU154" s="14"/>
      <c r="GV154" s="14"/>
      <c r="GW154" s="14"/>
      <c r="GX154" s="14"/>
      <c r="GY154" s="14"/>
      <c r="GZ154" s="14"/>
      <c r="HA154" s="14"/>
      <c r="HB154" s="14"/>
      <c r="HC154" s="14"/>
      <c r="HD154" s="14"/>
      <c r="HE154" s="14"/>
      <c r="HF154" s="14"/>
      <c r="HG154" s="14"/>
      <c r="HH154" s="14"/>
      <c r="HI154" s="14"/>
      <c r="HJ154" s="14"/>
      <c r="HK154" s="14"/>
      <c r="HL154" s="14"/>
      <c r="HM154" s="14"/>
      <c r="HN154" s="14"/>
      <c r="HO154" s="14"/>
      <c r="HP154" s="14"/>
      <c r="HQ154" s="14"/>
      <c r="HR154" s="14"/>
      <c r="HS154" s="14"/>
      <c r="HT154" s="14"/>
    </row>
    <row r="155" spans="1:228" ht="18" customHeight="1" x14ac:dyDescent="0.2">
      <c r="B155" s="1410" t="s">
        <v>2017</v>
      </c>
      <c r="C155" s="1410"/>
      <c r="D155" s="1410"/>
      <c r="E155" s="1373">
        <f>P142</f>
        <v>0</v>
      </c>
      <c r="F155" s="1346"/>
      <c r="G155" s="1658"/>
      <c r="H155" s="1658"/>
      <c r="I155" s="1658"/>
      <c r="J155" s="2060">
        <f>IF(AND(W155&lt;0.01,W155&gt;0),0.01,ROUND(W155,2))</f>
        <v>0</v>
      </c>
      <c r="K155" s="2060"/>
      <c r="L155" s="1030"/>
      <c r="M155" s="1031"/>
      <c r="N155" s="1031"/>
      <c r="O155" s="1032"/>
      <c r="P155" s="1631"/>
      <c r="R155" s="18"/>
      <c r="S155" s="932">
        <f>IF(J155&gt;0,J155,E155)</f>
        <v>0</v>
      </c>
      <c r="T155" s="932">
        <f>LARGE($S$153:$S$160,3)</f>
        <v>0</v>
      </c>
      <c r="U155" s="684">
        <f t="shared" si="9"/>
        <v>0</v>
      </c>
      <c r="V155" s="930">
        <f t="shared" si="8"/>
        <v>0</v>
      </c>
      <c r="W155" s="923">
        <f>G155*E155</f>
        <v>0</v>
      </c>
      <c r="X155" s="1111"/>
      <c r="Y155" s="1111"/>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4"/>
      <c r="BR155" s="14"/>
      <c r="BS155" s="14"/>
      <c r="BT155" s="14"/>
      <c r="BU155" s="14"/>
      <c r="BV155" s="14"/>
      <c r="BW155" s="14"/>
      <c r="BX155" s="14"/>
      <c r="BY155" s="14"/>
      <c r="BZ155" s="14"/>
      <c r="CA155" s="14"/>
      <c r="CB155" s="14"/>
      <c r="CC155" s="14"/>
      <c r="CD155" s="14"/>
      <c r="CE155" s="14"/>
      <c r="CF155" s="14"/>
      <c r="CG155" s="14"/>
      <c r="CH155" s="14"/>
      <c r="CI155" s="14"/>
      <c r="CJ155" s="14"/>
      <c r="CK155" s="14"/>
      <c r="CL155" s="14"/>
      <c r="CM155" s="14"/>
      <c r="CN155" s="14"/>
      <c r="CO155" s="14"/>
      <c r="CP155" s="14"/>
      <c r="CQ155" s="14"/>
      <c r="CR155" s="14"/>
      <c r="CS155" s="14"/>
      <c r="CT155" s="14"/>
      <c r="CU155" s="14"/>
      <c r="CV155" s="14"/>
      <c r="CW155" s="14"/>
      <c r="CX155" s="14"/>
      <c r="CY155" s="14"/>
      <c r="CZ155" s="14"/>
      <c r="DA155" s="14"/>
      <c r="DB155" s="14"/>
      <c r="DC155" s="14"/>
      <c r="DD155" s="14"/>
      <c r="DE155" s="14"/>
      <c r="DF155" s="14"/>
      <c r="DG155" s="14"/>
      <c r="DH155" s="14"/>
      <c r="DI155" s="14"/>
      <c r="DJ155" s="14"/>
      <c r="DK155" s="14"/>
      <c r="DL155" s="14"/>
      <c r="DM155" s="14"/>
      <c r="DN155" s="14"/>
      <c r="DO155" s="14"/>
      <c r="DP155" s="14"/>
      <c r="DQ155" s="14"/>
      <c r="DR155" s="14"/>
      <c r="DS155" s="14"/>
      <c r="DT155" s="14"/>
      <c r="DU155" s="14"/>
      <c r="DV155" s="14"/>
      <c r="DW155" s="14"/>
      <c r="DX155" s="14"/>
      <c r="DY155" s="14"/>
      <c r="DZ155" s="14"/>
      <c r="EA155" s="14"/>
      <c r="EB155" s="14"/>
      <c r="EC155" s="14"/>
      <c r="ED155" s="14"/>
      <c r="EE155" s="14"/>
      <c r="EF155" s="14"/>
      <c r="EG155" s="14"/>
      <c r="EH155" s="14"/>
      <c r="EI155" s="14"/>
      <c r="EJ155" s="14"/>
      <c r="EK155" s="14"/>
      <c r="EL155" s="14"/>
      <c r="EM155" s="14"/>
      <c r="EN155" s="14"/>
      <c r="EO155" s="14"/>
      <c r="EP155" s="14"/>
      <c r="EQ155" s="14"/>
      <c r="ER155" s="14"/>
      <c r="ES155" s="14"/>
      <c r="ET155" s="14"/>
      <c r="EU155" s="14"/>
      <c r="EV155" s="14"/>
      <c r="EW155" s="14"/>
      <c r="EX155" s="14"/>
      <c r="EY155" s="14"/>
      <c r="EZ155" s="14"/>
      <c r="FA155" s="14"/>
      <c r="FB155" s="14"/>
      <c r="FC155" s="14"/>
      <c r="FD155" s="14"/>
      <c r="FE155" s="14"/>
      <c r="FF155" s="14"/>
      <c r="FG155" s="14"/>
      <c r="FH155" s="14"/>
      <c r="FI155" s="14"/>
      <c r="FJ155" s="14"/>
      <c r="FK155" s="14"/>
      <c r="FL155" s="14"/>
      <c r="FM155" s="14"/>
      <c r="FN155" s="14"/>
      <c r="FO155" s="14"/>
      <c r="FP155" s="14"/>
      <c r="FQ155" s="14"/>
      <c r="FR155" s="14"/>
      <c r="FS155" s="14"/>
      <c r="FT155" s="14"/>
      <c r="FU155" s="14"/>
      <c r="FV155" s="14"/>
      <c r="FW155" s="14"/>
      <c r="FX155" s="14"/>
      <c r="FY155" s="14"/>
      <c r="FZ155" s="14"/>
      <c r="GA155" s="14"/>
      <c r="GB155" s="14"/>
      <c r="GC155" s="14"/>
      <c r="GD155" s="14"/>
      <c r="GE155" s="14"/>
      <c r="GF155" s="14"/>
      <c r="GG155" s="14"/>
      <c r="GH155" s="14"/>
      <c r="GI155" s="14"/>
      <c r="GJ155" s="14"/>
      <c r="GK155" s="14"/>
      <c r="GL155" s="14"/>
      <c r="GM155" s="14"/>
      <c r="GN155" s="14"/>
      <c r="GO155" s="14"/>
      <c r="GP155" s="14"/>
      <c r="GQ155" s="14"/>
      <c r="GR155" s="14"/>
      <c r="GS155" s="14"/>
      <c r="GT155" s="14"/>
      <c r="GU155" s="14"/>
      <c r="GV155" s="14"/>
      <c r="GW155" s="14"/>
      <c r="GX155" s="14"/>
      <c r="GY155" s="14"/>
      <c r="GZ155" s="14"/>
      <c r="HA155" s="14"/>
      <c r="HB155" s="14"/>
      <c r="HC155" s="14"/>
      <c r="HD155" s="14"/>
      <c r="HE155" s="14"/>
      <c r="HF155" s="14"/>
      <c r="HG155" s="14"/>
      <c r="HH155" s="14"/>
      <c r="HI155" s="14"/>
      <c r="HJ155" s="14"/>
      <c r="HK155" s="14"/>
      <c r="HL155" s="14"/>
      <c r="HM155" s="14"/>
      <c r="HN155" s="14"/>
      <c r="HO155" s="14"/>
      <c r="HP155" s="14"/>
      <c r="HQ155" s="14"/>
      <c r="HR155" s="14"/>
      <c r="HS155" s="14"/>
      <c r="HT155" s="14"/>
    </row>
    <row r="156" spans="1:228" ht="18" customHeight="1" x14ac:dyDescent="0.2">
      <c r="B156" s="1362" t="s">
        <v>1227</v>
      </c>
      <c r="C156" s="1363"/>
      <c r="D156" s="1364"/>
      <c r="E156" s="1373">
        <f>P143</f>
        <v>0</v>
      </c>
      <c r="F156" s="1346"/>
      <c r="G156" s="1658"/>
      <c r="H156" s="1658"/>
      <c r="I156" s="1658"/>
      <c r="J156" s="2060">
        <f>IF(AND(W156&lt;0.01,W156&gt;0),0.01,ROUND(W156,2))</f>
        <v>0</v>
      </c>
      <c r="K156" s="2060"/>
      <c r="L156" s="1030"/>
      <c r="M156" s="1031"/>
      <c r="N156" s="1031"/>
      <c r="O156" s="1032"/>
      <c r="P156" s="1631"/>
      <c r="R156" s="18"/>
      <c r="S156" s="932">
        <f>IF(J156&gt;0,J156,E156)</f>
        <v>0</v>
      </c>
      <c r="T156" s="932">
        <f>LARGE($S$153:$S$160,4)</f>
        <v>0</v>
      </c>
      <c r="U156" s="684">
        <f t="shared" si="9"/>
        <v>0</v>
      </c>
      <c r="V156" s="930">
        <f t="shared" si="8"/>
        <v>0</v>
      </c>
      <c r="W156" s="1105">
        <f t="shared" ref="W156:W157" si="10">G156*E156</f>
        <v>0</v>
      </c>
      <c r="X156" s="1111"/>
      <c r="Y156" s="1111"/>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4"/>
      <c r="BR156" s="14"/>
      <c r="BS156" s="14"/>
      <c r="BT156" s="14"/>
      <c r="BU156" s="14"/>
      <c r="BV156" s="14"/>
      <c r="BW156" s="14"/>
      <c r="BX156" s="14"/>
      <c r="BY156" s="14"/>
      <c r="BZ156" s="14"/>
      <c r="CA156" s="14"/>
      <c r="CB156" s="14"/>
      <c r="CC156" s="14"/>
      <c r="CD156" s="14"/>
      <c r="CE156" s="14"/>
      <c r="CF156" s="14"/>
      <c r="CG156" s="14"/>
      <c r="CH156" s="14"/>
      <c r="CI156" s="14"/>
      <c r="CJ156" s="14"/>
      <c r="CK156" s="14"/>
      <c r="CL156" s="14"/>
      <c r="CM156" s="14"/>
      <c r="CN156" s="14"/>
      <c r="CO156" s="14"/>
      <c r="CP156" s="14"/>
      <c r="CQ156" s="14"/>
      <c r="CR156" s="14"/>
      <c r="CS156" s="14"/>
      <c r="CT156" s="14"/>
      <c r="CU156" s="14"/>
      <c r="CV156" s="14"/>
      <c r="CW156" s="14"/>
      <c r="CX156" s="14"/>
      <c r="CY156" s="14"/>
      <c r="CZ156" s="14"/>
      <c r="DA156" s="14"/>
      <c r="DB156" s="14"/>
      <c r="DC156" s="14"/>
      <c r="DD156" s="14"/>
      <c r="DE156" s="14"/>
      <c r="DF156" s="14"/>
      <c r="DG156" s="14"/>
      <c r="DH156" s="14"/>
      <c r="DI156" s="14"/>
      <c r="DJ156" s="14"/>
      <c r="DK156" s="14"/>
      <c r="DL156" s="14"/>
      <c r="DM156" s="14"/>
      <c r="DN156" s="14"/>
      <c r="DO156" s="14"/>
      <c r="DP156" s="14"/>
      <c r="DQ156" s="14"/>
      <c r="DR156" s="14"/>
      <c r="DS156" s="14"/>
      <c r="DT156" s="14"/>
      <c r="DU156" s="14"/>
      <c r="DV156" s="14"/>
      <c r="DW156" s="14"/>
      <c r="DX156" s="14"/>
      <c r="DY156" s="14"/>
      <c r="DZ156" s="14"/>
      <c r="EA156" s="14"/>
      <c r="EB156" s="14"/>
      <c r="EC156" s="14"/>
      <c r="ED156" s="14"/>
      <c r="EE156" s="14"/>
      <c r="EF156" s="14"/>
      <c r="EG156" s="14"/>
      <c r="EH156" s="14"/>
      <c r="EI156" s="14"/>
      <c r="EJ156" s="14"/>
      <c r="EK156" s="14"/>
      <c r="EL156" s="14"/>
      <c r="EM156" s="14"/>
      <c r="EN156" s="14"/>
      <c r="EO156" s="14"/>
      <c r="EP156" s="14"/>
      <c r="EQ156" s="14"/>
      <c r="ER156" s="14"/>
      <c r="ES156" s="14"/>
      <c r="ET156" s="14"/>
      <c r="EU156" s="14"/>
      <c r="EV156" s="14"/>
      <c r="EW156" s="14"/>
      <c r="EX156" s="14"/>
      <c r="EY156" s="14"/>
      <c r="EZ156" s="14"/>
      <c r="FA156" s="14"/>
      <c r="FB156" s="14"/>
      <c r="FC156" s="14"/>
      <c r="FD156" s="14"/>
      <c r="FE156" s="14"/>
      <c r="FF156" s="14"/>
      <c r="FG156" s="14"/>
      <c r="FH156" s="14"/>
      <c r="FI156" s="14"/>
      <c r="FJ156" s="14"/>
      <c r="FK156" s="14"/>
      <c r="FL156" s="14"/>
      <c r="FM156" s="14"/>
      <c r="FN156" s="14"/>
      <c r="FO156" s="14"/>
      <c r="FP156" s="14"/>
      <c r="FQ156" s="14"/>
      <c r="FR156" s="14"/>
      <c r="FS156" s="14"/>
      <c r="FT156" s="14"/>
      <c r="FU156" s="14"/>
      <c r="FV156" s="14"/>
      <c r="FW156" s="14"/>
      <c r="FX156" s="14"/>
      <c r="FY156" s="14"/>
      <c r="FZ156" s="14"/>
      <c r="GA156" s="14"/>
      <c r="GB156" s="14"/>
      <c r="GC156" s="14"/>
      <c r="GD156" s="14"/>
      <c r="GE156" s="14"/>
      <c r="GF156" s="14"/>
      <c r="GG156" s="14"/>
      <c r="GH156" s="14"/>
      <c r="GI156" s="14"/>
      <c r="GJ156" s="14"/>
      <c r="GK156" s="14"/>
      <c r="GL156" s="14"/>
      <c r="GM156" s="14"/>
      <c r="GN156" s="14"/>
      <c r="GO156" s="14"/>
      <c r="GP156" s="14"/>
      <c r="GQ156" s="14"/>
      <c r="GR156" s="14"/>
      <c r="GS156" s="14"/>
      <c r="GT156" s="14"/>
      <c r="GU156" s="14"/>
      <c r="GV156" s="14"/>
      <c r="GW156" s="14"/>
      <c r="GX156" s="14"/>
      <c r="GY156" s="14"/>
      <c r="GZ156" s="14"/>
      <c r="HA156" s="14"/>
      <c r="HB156" s="14"/>
      <c r="HC156" s="14"/>
      <c r="HD156" s="14"/>
      <c r="HE156" s="14"/>
      <c r="HF156" s="14"/>
      <c r="HG156" s="14"/>
      <c r="HH156" s="14"/>
      <c r="HI156" s="14"/>
      <c r="HJ156" s="14"/>
      <c r="HK156" s="14"/>
      <c r="HL156" s="14"/>
      <c r="HM156" s="14"/>
      <c r="HN156" s="14"/>
      <c r="HO156" s="14"/>
      <c r="HP156" s="14"/>
      <c r="HQ156" s="14"/>
      <c r="HR156" s="14"/>
      <c r="HS156" s="14"/>
      <c r="HT156" s="14"/>
    </row>
    <row r="157" spans="1:228" ht="18" customHeight="1" x14ac:dyDescent="0.2">
      <c r="B157" s="1362" t="s">
        <v>1447</v>
      </c>
      <c r="C157" s="1363"/>
      <c r="D157" s="1364"/>
      <c r="E157" s="1342">
        <f>P146</f>
        <v>0</v>
      </c>
      <c r="F157" s="1344"/>
      <c r="G157" s="1658"/>
      <c r="H157" s="1658"/>
      <c r="I157" s="1658"/>
      <c r="J157" s="2060">
        <f>IF(AND(W157&lt;0.01,W157&gt;0),0.01,ROUND(W157,2))</f>
        <v>0</v>
      </c>
      <c r="K157" s="2060"/>
      <c r="L157" s="1588" t="str">
        <f>IF(AND(P139&gt;0,$P$427&gt;0),"The worker has motor loss impairment. No additional impairment value is allowed for reduced range of motion in the same extremity.","")</f>
        <v/>
      </c>
      <c r="M157" s="1589"/>
      <c r="N157" s="1589"/>
      <c r="O157" s="1590"/>
      <c r="P157" s="1631"/>
      <c r="R157" s="18"/>
      <c r="S157" s="932">
        <f>IF(J157&gt;0,J157,E157)</f>
        <v>0</v>
      </c>
      <c r="T157" s="932">
        <f>LARGE($S$153:$S$160,5)</f>
        <v>0</v>
      </c>
      <c r="U157" s="684">
        <f t="shared" si="9"/>
        <v>0</v>
      </c>
      <c r="V157" s="930">
        <f t="shared" si="8"/>
        <v>0</v>
      </c>
      <c r="W157" s="1105">
        <f t="shared" si="10"/>
        <v>0</v>
      </c>
      <c r="X157" s="1111"/>
      <c r="Y157" s="1111"/>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4"/>
      <c r="BR157" s="14"/>
      <c r="BS157" s="14"/>
      <c r="BT157" s="14"/>
      <c r="BU157" s="14"/>
      <c r="BV157" s="14"/>
      <c r="BW157" s="14"/>
      <c r="BX157" s="14"/>
      <c r="BY157" s="14"/>
      <c r="BZ157" s="14"/>
      <c r="CA157" s="14"/>
      <c r="CB157" s="14"/>
      <c r="CC157" s="14"/>
      <c r="CD157" s="14"/>
      <c r="CE157" s="14"/>
      <c r="CF157" s="14"/>
      <c r="CG157" s="14"/>
      <c r="CH157" s="14"/>
      <c r="CI157" s="14"/>
      <c r="CJ157" s="14"/>
      <c r="CK157" s="14"/>
      <c r="CL157" s="14"/>
      <c r="CM157" s="14"/>
      <c r="CN157" s="14"/>
      <c r="CO157" s="14"/>
      <c r="CP157" s="14"/>
      <c r="CQ157" s="14"/>
      <c r="CR157" s="14"/>
      <c r="CS157" s="14"/>
      <c r="CT157" s="14"/>
      <c r="CU157" s="14"/>
      <c r="CV157" s="14"/>
      <c r="CW157" s="14"/>
      <c r="CX157" s="14"/>
      <c r="CY157" s="14"/>
      <c r="CZ157" s="14"/>
      <c r="DA157" s="14"/>
      <c r="DB157" s="14"/>
      <c r="DC157" s="14"/>
      <c r="DD157" s="14"/>
      <c r="DE157" s="14"/>
      <c r="DF157" s="14"/>
      <c r="DG157" s="14"/>
      <c r="DH157" s="14"/>
      <c r="DI157" s="14"/>
      <c r="DJ157" s="14"/>
      <c r="DK157" s="14"/>
      <c r="DL157" s="14"/>
      <c r="DM157" s="14"/>
      <c r="DN157" s="14"/>
      <c r="DO157" s="14"/>
      <c r="DP157" s="14"/>
      <c r="DQ157" s="14"/>
      <c r="DR157" s="14"/>
      <c r="DS157" s="14"/>
      <c r="DT157" s="14"/>
      <c r="DU157" s="14"/>
      <c r="DV157" s="14"/>
      <c r="DW157" s="14"/>
      <c r="DX157" s="14"/>
      <c r="DY157" s="14"/>
      <c r="DZ157" s="14"/>
      <c r="EA157" s="14"/>
      <c r="EB157" s="14"/>
      <c r="EC157" s="14"/>
      <c r="ED157" s="14"/>
      <c r="EE157" s="14"/>
      <c r="EF157" s="14"/>
      <c r="EG157" s="14"/>
      <c r="EH157" s="14"/>
      <c r="EI157" s="14"/>
      <c r="EJ157" s="14"/>
      <c r="EK157" s="14"/>
      <c r="EL157" s="14"/>
      <c r="EM157" s="14"/>
      <c r="EN157" s="14"/>
      <c r="EO157" s="14"/>
      <c r="EP157" s="14"/>
      <c r="EQ157" s="14"/>
      <c r="ER157" s="14"/>
      <c r="ES157" s="14"/>
      <c r="ET157" s="14"/>
      <c r="EU157" s="14"/>
      <c r="EV157" s="14"/>
      <c r="EW157" s="14"/>
      <c r="EX157" s="14"/>
      <c r="EY157" s="14"/>
      <c r="EZ157" s="14"/>
      <c r="FA157" s="14"/>
      <c r="FB157" s="14"/>
      <c r="FC157" s="14"/>
      <c r="FD157" s="14"/>
      <c r="FE157" s="14"/>
      <c r="FF157" s="14"/>
      <c r="FG157" s="14"/>
      <c r="FH157" s="14"/>
      <c r="FI157" s="14"/>
      <c r="FJ157" s="14"/>
      <c r="FK157" s="14"/>
      <c r="FL157" s="14"/>
      <c r="FM157" s="14"/>
      <c r="FN157" s="14"/>
      <c r="FO157" s="14"/>
      <c r="FP157" s="14"/>
      <c r="FQ157" s="14"/>
      <c r="FR157" s="14"/>
      <c r="FS157" s="14"/>
      <c r="FT157" s="14"/>
      <c r="FU157" s="14"/>
      <c r="FV157" s="14"/>
      <c r="FW157" s="14"/>
      <c r="FX157" s="14"/>
      <c r="FY157" s="14"/>
      <c r="FZ157" s="14"/>
      <c r="GA157" s="14"/>
      <c r="GB157" s="14"/>
      <c r="GC157" s="14"/>
      <c r="GD157" s="14"/>
      <c r="GE157" s="14"/>
      <c r="GF157" s="14"/>
      <c r="GG157" s="14"/>
      <c r="GH157" s="14"/>
      <c r="GI157" s="14"/>
      <c r="GJ157" s="14"/>
      <c r="GK157" s="14"/>
      <c r="GL157" s="14"/>
      <c r="GM157" s="14"/>
      <c r="GN157" s="14"/>
      <c r="GO157" s="14"/>
      <c r="GP157" s="14"/>
      <c r="GQ157" s="14"/>
      <c r="GR157" s="14"/>
      <c r="GS157" s="14"/>
      <c r="GT157" s="14"/>
      <c r="GU157" s="14"/>
      <c r="GV157" s="14"/>
      <c r="GW157" s="14"/>
      <c r="GX157" s="14"/>
      <c r="GY157" s="14"/>
      <c r="GZ157" s="14"/>
      <c r="HA157" s="14"/>
      <c r="HB157" s="14"/>
      <c r="HC157" s="14"/>
      <c r="HD157" s="14"/>
      <c r="HE157" s="14"/>
      <c r="HF157" s="14"/>
      <c r="HG157" s="14"/>
      <c r="HH157" s="14"/>
      <c r="HI157" s="14"/>
      <c r="HJ157" s="14"/>
      <c r="HK157" s="14"/>
      <c r="HL157" s="14"/>
      <c r="HM157" s="14"/>
      <c r="HN157" s="14"/>
      <c r="HO157" s="14"/>
      <c r="HP157" s="14"/>
      <c r="HQ157" s="14"/>
      <c r="HR157" s="14"/>
      <c r="HS157" s="14"/>
      <c r="HT157" s="14"/>
    </row>
    <row r="158" spans="1:228" ht="18" customHeight="1" x14ac:dyDescent="0.2">
      <c r="B158" s="1410" t="s">
        <v>1713</v>
      </c>
      <c r="C158" s="1410"/>
      <c r="D158" s="1410"/>
      <c r="E158" s="1373">
        <f>P148</f>
        <v>0</v>
      </c>
      <c r="F158" s="1346"/>
      <c r="G158" s="1702" t="s">
        <v>1942</v>
      </c>
      <c r="H158" s="1627"/>
      <c r="I158" s="1628"/>
      <c r="J158" s="1534"/>
      <c r="K158" s="1534"/>
      <c r="L158" s="1588"/>
      <c r="M158" s="1589"/>
      <c r="N158" s="1589"/>
      <c r="O158" s="1590"/>
      <c r="P158" s="1631"/>
      <c r="R158" s="18"/>
      <c r="S158" s="930">
        <f>E158</f>
        <v>0</v>
      </c>
      <c r="T158" s="932">
        <f>LARGE($S$153:$S$160,6)</f>
        <v>0</v>
      </c>
      <c r="U158" s="684">
        <f t="shared" si="9"/>
        <v>0</v>
      </c>
      <c r="V158" s="930">
        <f t="shared" si="8"/>
        <v>0</v>
      </c>
      <c r="W158" s="18"/>
      <c r="X158" s="1111"/>
      <c r="Y158" s="1111"/>
      <c r="Z158" s="63"/>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4"/>
      <c r="BR158" s="14"/>
      <c r="BS158" s="14"/>
      <c r="BT158" s="14"/>
      <c r="BU158" s="14"/>
      <c r="BV158" s="14"/>
      <c r="BW158" s="14"/>
      <c r="BX158" s="14"/>
      <c r="BY158" s="14"/>
      <c r="BZ158" s="14"/>
      <c r="CA158" s="14"/>
      <c r="CB158" s="14"/>
      <c r="CC158" s="14"/>
      <c r="CD158" s="14"/>
      <c r="CE158" s="14"/>
      <c r="CF158" s="14"/>
      <c r="CG158" s="14"/>
      <c r="CH158" s="14"/>
      <c r="CI158" s="14"/>
      <c r="CJ158" s="14"/>
      <c r="CK158" s="14"/>
      <c r="CL158" s="14"/>
      <c r="CM158" s="14"/>
      <c r="CN158" s="14"/>
      <c r="CO158" s="14"/>
      <c r="CP158" s="14"/>
      <c r="CQ158" s="14"/>
      <c r="CR158" s="14"/>
      <c r="CS158" s="14"/>
      <c r="CT158" s="14"/>
      <c r="CU158" s="14"/>
      <c r="CV158" s="14"/>
      <c r="CW158" s="14"/>
      <c r="CX158" s="14"/>
      <c r="CY158" s="14"/>
      <c r="CZ158" s="14"/>
      <c r="DA158" s="14"/>
      <c r="DB158" s="14"/>
      <c r="DC158" s="14"/>
      <c r="DD158" s="14"/>
      <c r="DE158" s="14"/>
      <c r="DF158" s="14"/>
      <c r="DG158" s="14"/>
      <c r="DH158" s="14"/>
      <c r="DI158" s="14"/>
      <c r="DJ158" s="14"/>
      <c r="DK158" s="14"/>
      <c r="DL158" s="14"/>
      <c r="DM158" s="14"/>
      <c r="DN158" s="14"/>
      <c r="DO158" s="14"/>
      <c r="DP158" s="14"/>
      <c r="DQ158" s="14"/>
      <c r="DR158" s="14"/>
      <c r="DS158" s="14"/>
      <c r="DT158" s="14"/>
      <c r="DU158" s="14"/>
      <c r="DV158" s="14"/>
      <c r="DW158" s="14"/>
      <c r="DX158" s="14"/>
      <c r="DY158" s="14"/>
      <c r="DZ158" s="14"/>
      <c r="EA158" s="14"/>
      <c r="EB158" s="14"/>
      <c r="EC158" s="14"/>
      <c r="ED158" s="14"/>
      <c r="EE158" s="14"/>
      <c r="EF158" s="14"/>
      <c r="EG158" s="14"/>
      <c r="EH158" s="14"/>
      <c r="EI158" s="14"/>
      <c r="EJ158" s="14"/>
      <c r="EK158" s="14"/>
      <c r="EL158" s="14"/>
      <c r="EM158" s="14"/>
      <c r="EN158" s="14"/>
      <c r="EO158" s="14"/>
      <c r="EP158" s="14"/>
      <c r="EQ158" s="14"/>
      <c r="ER158" s="14"/>
      <c r="ES158" s="14"/>
      <c r="ET158" s="14"/>
      <c r="EU158" s="14"/>
      <c r="EV158" s="14"/>
      <c r="EW158" s="14"/>
      <c r="EX158" s="14"/>
      <c r="EY158" s="14"/>
      <c r="EZ158" s="14"/>
      <c r="FA158" s="14"/>
      <c r="FB158" s="14"/>
      <c r="FC158" s="14"/>
      <c r="FD158" s="14"/>
      <c r="FE158" s="14"/>
      <c r="FF158" s="14"/>
      <c r="FG158" s="14"/>
      <c r="FH158" s="14"/>
      <c r="FI158" s="14"/>
      <c r="FJ158" s="14"/>
      <c r="FK158" s="14"/>
      <c r="FL158" s="14"/>
      <c r="FM158" s="14"/>
      <c r="FN158" s="14"/>
      <c r="FO158" s="14"/>
      <c r="FP158" s="14"/>
      <c r="FQ158" s="14"/>
      <c r="FR158" s="14"/>
      <c r="FS158" s="14"/>
      <c r="FT158" s="14"/>
      <c r="FU158" s="14"/>
      <c r="FV158" s="14"/>
      <c r="FW158" s="14"/>
      <c r="FX158" s="14"/>
      <c r="FY158" s="14"/>
      <c r="FZ158" s="14"/>
      <c r="GA158" s="14"/>
      <c r="GB158" s="14"/>
      <c r="GC158" s="14"/>
      <c r="GD158" s="14"/>
      <c r="GE158" s="14"/>
      <c r="GF158" s="14"/>
      <c r="GG158" s="14"/>
      <c r="GH158" s="14"/>
      <c r="GI158" s="14"/>
      <c r="GJ158" s="14"/>
      <c r="GK158" s="14"/>
      <c r="GL158" s="14"/>
      <c r="GM158" s="14"/>
      <c r="GN158" s="14"/>
      <c r="GO158" s="14"/>
      <c r="GP158" s="14"/>
      <c r="GQ158" s="14"/>
      <c r="GR158" s="14"/>
      <c r="GS158" s="14"/>
      <c r="GT158" s="14"/>
      <c r="GU158" s="14"/>
      <c r="GV158" s="14"/>
      <c r="GW158" s="14"/>
      <c r="GX158" s="14"/>
      <c r="GY158" s="14"/>
      <c r="GZ158" s="14"/>
      <c r="HA158" s="14"/>
      <c r="HB158" s="14"/>
      <c r="HC158" s="14"/>
      <c r="HD158" s="14"/>
      <c r="HE158" s="14"/>
      <c r="HF158" s="14"/>
      <c r="HG158" s="14"/>
      <c r="HH158" s="14"/>
      <c r="HI158" s="14"/>
      <c r="HJ158" s="14"/>
      <c r="HK158" s="14"/>
      <c r="HL158" s="14"/>
      <c r="HM158" s="14"/>
      <c r="HN158" s="14"/>
      <c r="HO158" s="14"/>
      <c r="HP158" s="14"/>
      <c r="HQ158" s="14"/>
      <c r="HR158" s="14"/>
      <c r="HS158" s="14"/>
      <c r="HT158" s="14"/>
    </row>
    <row r="159" spans="1:228" ht="18" customHeight="1" x14ac:dyDescent="0.2">
      <c r="B159" s="1362" t="s">
        <v>1714</v>
      </c>
      <c r="C159" s="1363"/>
      <c r="D159" s="1364"/>
      <c r="E159" s="1342">
        <f>P149</f>
        <v>0</v>
      </c>
      <c r="F159" s="1344"/>
      <c r="G159" s="1702" t="s">
        <v>1942</v>
      </c>
      <c r="H159" s="1627"/>
      <c r="I159" s="1628"/>
      <c r="J159" s="1534"/>
      <c r="K159" s="1534"/>
      <c r="L159" s="1588"/>
      <c r="M159" s="1589"/>
      <c r="N159" s="1589"/>
      <c r="O159" s="1590"/>
      <c r="P159" s="1631"/>
      <c r="R159" s="18"/>
      <c r="S159" s="930">
        <f>E159</f>
        <v>0</v>
      </c>
      <c r="T159" s="932">
        <f>LARGE($S$153:$S$160,7)</f>
        <v>0</v>
      </c>
      <c r="U159" s="684">
        <f t="shared" si="9"/>
        <v>0</v>
      </c>
      <c r="V159" s="930">
        <f t="shared" si="8"/>
        <v>0</v>
      </c>
      <c r="W159" s="18"/>
      <c r="X159" s="1111"/>
      <c r="Y159" s="1111"/>
      <c r="Z159" s="925"/>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4"/>
      <c r="BR159" s="14"/>
      <c r="BS159" s="14"/>
      <c r="BT159" s="14"/>
      <c r="BU159" s="14"/>
      <c r="BV159" s="14"/>
      <c r="BW159" s="14"/>
      <c r="BX159" s="14"/>
      <c r="BY159" s="14"/>
      <c r="BZ159" s="14"/>
      <c r="CA159" s="14"/>
      <c r="CB159" s="14"/>
      <c r="CC159" s="14"/>
      <c r="CD159" s="14"/>
      <c r="CE159" s="14"/>
      <c r="CF159" s="14"/>
      <c r="CG159" s="14"/>
      <c r="CH159" s="14"/>
      <c r="CI159" s="14"/>
      <c r="CJ159" s="14"/>
      <c r="CK159" s="14"/>
      <c r="CL159" s="14"/>
      <c r="CM159" s="14"/>
      <c r="CN159" s="14"/>
      <c r="CO159" s="14"/>
      <c r="CP159" s="14"/>
      <c r="CQ159" s="14"/>
      <c r="CR159" s="14"/>
      <c r="CS159" s="14"/>
      <c r="CT159" s="14"/>
      <c r="CU159" s="14"/>
      <c r="CV159" s="14"/>
      <c r="CW159" s="14"/>
      <c r="CX159" s="14"/>
      <c r="CY159" s="14"/>
      <c r="CZ159" s="14"/>
      <c r="DA159" s="14"/>
      <c r="DB159" s="14"/>
      <c r="DC159" s="14"/>
      <c r="DD159" s="14"/>
      <c r="DE159" s="14"/>
      <c r="DF159" s="14"/>
      <c r="DG159" s="14"/>
      <c r="DH159" s="14"/>
      <c r="DI159" s="14"/>
      <c r="DJ159" s="14"/>
      <c r="DK159" s="14"/>
      <c r="DL159" s="14"/>
      <c r="DM159" s="14"/>
      <c r="DN159" s="14"/>
      <c r="DO159" s="14"/>
      <c r="DP159" s="14"/>
      <c r="DQ159" s="14"/>
      <c r="DR159" s="14"/>
      <c r="DS159" s="14"/>
      <c r="DT159" s="14"/>
      <c r="DU159" s="14"/>
      <c r="DV159" s="14"/>
      <c r="DW159" s="14"/>
      <c r="DX159" s="14"/>
      <c r="DY159" s="14"/>
      <c r="DZ159" s="14"/>
      <c r="EA159" s="14"/>
      <c r="EB159" s="14"/>
      <c r="EC159" s="14"/>
      <c r="ED159" s="14"/>
      <c r="EE159" s="14"/>
      <c r="EF159" s="14"/>
      <c r="EG159" s="14"/>
      <c r="EH159" s="14"/>
      <c r="EI159" s="14"/>
      <c r="EJ159" s="14"/>
      <c r="EK159" s="14"/>
      <c r="EL159" s="14"/>
      <c r="EM159" s="14"/>
      <c r="EN159" s="14"/>
      <c r="EO159" s="14"/>
      <c r="EP159" s="14"/>
      <c r="EQ159" s="14"/>
      <c r="ER159" s="14"/>
      <c r="ES159" s="14"/>
      <c r="ET159" s="14"/>
      <c r="EU159" s="14"/>
      <c r="EV159" s="14"/>
      <c r="EW159" s="14"/>
      <c r="EX159" s="14"/>
      <c r="EY159" s="14"/>
      <c r="EZ159" s="14"/>
      <c r="FA159" s="14"/>
      <c r="FB159" s="14"/>
      <c r="FC159" s="14"/>
      <c r="FD159" s="14"/>
      <c r="FE159" s="14"/>
      <c r="FF159" s="14"/>
      <c r="FG159" s="14"/>
      <c r="FH159" s="14"/>
      <c r="FI159" s="14"/>
      <c r="FJ159" s="14"/>
      <c r="FK159" s="14"/>
      <c r="FL159" s="14"/>
      <c r="FM159" s="14"/>
      <c r="FN159" s="14"/>
      <c r="FO159" s="14"/>
      <c r="FP159" s="14"/>
      <c r="FQ159" s="14"/>
      <c r="FR159" s="14"/>
      <c r="FS159" s="14"/>
      <c r="FT159" s="14"/>
      <c r="FU159" s="14"/>
      <c r="FV159" s="14"/>
      <c r="FW159" s="14"/>
      <c r="FX159" s="14"/>
      <c r="FY159" s="14"/>
      <c r="FZ159" s="14"/>
      <c r="GA159" s="14"/>
      <c r="GB159" s="14"/>
      <c r="GC159" s="14"/>
      <c r="GD159" s="14"/>
      <c r="GE159" s="14"/>
      <c r="GF159" s="14"/>
      <c r="GG159" s="14"/>
      <c r="GH159" s="14"/>
      <c r="GI159" s="14"/>
      <c r="GJ159" s="14"/>
      <c r="GK159" s="14"/>
      <c r="GL159" s="14"/>
      <c r="GM159" s="14"/>
      <c r="GN159" s="14"/>
      <c r="GO159" s="14"/>
      <c r="GP159" s="14"/>
      <c r="GQ159" s="14"/>
      <c r="GR159" s="14"/>
      <c r="GS159" s="14"/>
      <c r="GT159" s="14"/>
      <c r="GU159" s="14"/>
      <c r="GV159" s="14"/>
      <c r="GW159" s="14"/>
      <c r="GX159" s="14"/>
      <c r="GY159" s="14"/>
      <c r="GZ159" s="14"/>
      <c r="HA159" s="14"/>
      <c r="HB159" s="14"/>
      <c r="HC159" s="14"/>
      <c r="HD159" s="14"/>
      <c r="HE159" s="14"/>
      <c r="HF159" s="14"/>
      <c r="HG159" s="14"/>
      <c r="HH159" s="14"/>
      <c r="HI159" s="14"/>
      <c r="HJ159" s="14"/>
      <c r="HK159" s="14"/>
      <c r="HL159" s="14"/>
      <c r="HM159" s="14"/>
      <c r="HN159" s="14"/>
      <c r="HO159" s="14"/>
      <c r="HP159" s="14"/>
      <c r="HQ159" s="14"/>
      <c r="HR159" s="14"/>
      <c r="HS159" s="14"/>
      <c r="HT159" s="14"/>
    </row>
    <row r="160" spans="1:228" ht="18" customHeight="1" x14ac:dyDescent="0.2">
      <c r="B160" s="1408" t="s">
        <v>1128</v>
      </c>
      <c r="C160" s="1408"/>
      <c r="D160" s="1408"/>
      <c r="E160" s="1630">
        <f>P150</f>
        <v>0</v>
      </c>
      <c r="F160" s="1630"/>
      <c r="G160" s="1941" t="s">
        <v>1942</v>
      </c>
      <c r="H160" s="1902"/>
      <c r="I160" s="1942"/>
      <c r="J160" s="1645"/>
      <c r="K160" s="1645"/>
      <c r="L160" s="1588"/>
      <c r="M160" s="1589"/>
      <c r="N160" s="1589"/>
      <c r="O160" s="1590"/>
      <c r="P160" s="1631"/>
      <c r="R160" s="18"/>
      <c r="S160" s="930">
        <f>E160</f>
        <v>0</v>
      </c>
      <c r="T160" s="932">
        <f>LARGE($S$153:$S$160,8)</f>
        <v>0</v>
      </c>
      <c r="U160" s="114"/>
      <c r="V160" s="157"/>
      <c r="W160" s="63"/>
      <c r="X160" s="1111"/>
      <c r="Y160" s="1111"/>
      <c r="Z160" s="63"/>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4"/>
      <c r="BR160" s="14"/>
      <c r="BS160" s="14"/>
      <c r="BT160" s="14"/>
      <c r="BU160" s="14"/>
      <c r="BV160" s="14"/>
      <c r="BW160" s="14"/>
      <c r="BX160" s="14"/>
      <c r="BY160" s="14"/>
      <c r="BZ160" s="14"/>
      <c r="CA160" s="14"/>
      <c r="CB160" s="14"/>
      <c r="CC160" s="14"/>
      <c r="CD160" s="14"/>
      <c r="CE160" s="14"/>
      <c r="CF160" s="14"/>
      <c r="CG160" s="14"/>
      <c r="CH160" s="14"/>
      <c r="CI160" s="14"/>
      <c r="CJ160" s="14"/>
      <c r="CK160" s="14"/>
      <c r="CL160" s="14"/>
      <c r="CM160" s="14"/>
      <c r="CN160" s="14"/>
      <c r="CO160" s="14"/>
      <c r="CP160" s="14"/>
      <c r="CQ160" s="14"/>
      <c r="CR160" s="14"/>
      <c r="CS160" s="14"/>
      <c r="CT160" s="14"/>
      <c r="CU160" s="14"/>
      <c r="CV160" s="14"/>
      <c r="CW160" s="14"/>
      <c r="CX160" s="14"/>
      <c r="CY160" s="14"/>
      <c r="CZ160" s="14"/>
      <c r="DA160" s="14"/>
      <c r="DB160" s="14"/>
      <c r="DC160" s="14"/>
      <c r="DD160" s="14"/>
      <c r="DE160" s="14"/>
      <c r="DF160" s="14"/>
      <c r="DG160" s="14"/>
      <c r="DH160" s="14"/>
      <c r="DI160" s="14"/>
      <c r="DJ160" s="14"/>
      <c r="DK160" s="14"/>
      <c r="DL160" s="14"/>
      <c r="DM160" s="14"/>
      <c r="DN160" s="14"/>
      <c r="DO160" s="14"/>
      <c r="DP160" s="14"/>
      <c r="DQ160" s="14"/>
      <c r="DR160" s="14"/>
      <c r="DS160" s="14"/>
      <c r="DT160" s="14"/>
      <c r="DU160" s="14"/>
      <c r="DV160" s="14"/>
      <c r="DW160" s="14"/>
      <c r="DX160" s="14"/>
      <c r="DY160" s="14"/>
      <c r="DZ160" s="14"/>
      <c r="EA160" s="14"/>
      <c r="EB160" s="14"/>
      <c r="EC160" s="14"/>
      <c r="ED160" s="14"/>
      <c r="EE160" s="14"/>
      <c r="EF160" s="14"/>
      <c r="EG160" s="14"/>
      <c r="EH160" s="14"/>
      <c r="EI160" s="14"/>
      <c r="EJ160" s="14"/>
      <c r="EK160" s="14"/>
      <c r="EL160" s="14"/>
      <c r="EM160" s="14"/>
      <c r="EN160" s="14"/>
      <c r="EO160" s="14"/>
      <c r="EP160" s="14"/>
      <c r="EQ160" s="14"/>
      <c r="ER160" s="14"/>
      <c r="ES160" s="14"/>
      <c r="ET160" s="14"/>
      <c r="EU160" s="14"/>
      <c r="EV160" s="14"/>
      <c r="EW160" s="14"/>
      <c r="EX160" s="14"/>
      <c r="EY160" s="14"/>
      <c r="EZ160" s="14"/>
      <c r="FA160" s="14"/>
      <c r="FB160" s="14"/>
      <c r="FC160" s="14"/>
      <c r="FD160" s="14"/>
      <c r="FE160" s="14"/>
      <c r="FF160" s="14"/>
      <c r="FG160" s="14"/>
      <c r="FH160" s="14"/>
      <c r="FI160" s="14"/>
      <c r="FJ160" s="14"/>
      <c r="FK160" s="14"/>
      <c r="FL160" s="14"/>
      <c r="FM160" s="14"/>
      <c r="FN160" s="14"/>
      <c r="FO160" s="14"/>
      <c r="FP160" s="14"/>
      <c r="FQ160" s="14"/>
      <c r="FR160" s="14"/>
      <c r="FS160" s="14"/>
      <c r="FT160" s="14"/>
      <c r="FU160" s="14"/>
      <c r="FV160" s="14"/>
      <c r="FW160" s="14"/>
      <c r="FX160" s="14"/>
      <c r="FY160" s="14"/>
      <c r="FZ160" s="14"/>
      <c r="GA160" s="14"/>
      <c r="GB160" s="14"/>
      <c r="GC160" s="14"/>
      <c r="GD160" s="14"/>
      <c r="GE160" s="14"/>
      <c r="GF160" s="14"/>
      <c r="GG160" s="14"/>
      <c r="GH160" s="14"/>
      <c r="GI160" s="14"/>
      <c r="GJ160" s="14"/>
      <c r="GK160" s="14"/>
      <c r="GL160" s="14"/>
      <c r="GM160" s="14"/>
      <c r="GN160" s="14"/>
      <c r="GO160" s="14"/>
      <c r="GP160" s="14"/>
      <c r="GQ160" s="14"/>
      <c r="GR160" s="14"/>
      <c r="GS160" s="14"/>
      <c r="GT160" s="14"/>
      <c r="GU160" s="14"/>
      <c r="GV160" s="14"/>
      <c r="GW160" s="14"/>
      <c r="GX160" s="14"/>
      <c r="GY160" s="14"/>
      <c r="GZ160" s="14"/>
      <c r="HA160" s="14"/>
      <c r="HB160" s="14"/>
      <c r="HC160" s="14"/>
      <c r="HD160" s="14"/>
      <c r="HE160" s="14"/>
      <c r="HF160" s="14"/>
      <c r="HG160" s="14"/>
      <c r="HH160" s="14"/>
      <c r="HI160" s="14"/>
      <c r="HJ160" s="14"/>
      <c r="HK160" s="14"/>
      <c r="HL160" s="14"/>
      <c r="HM160" s="14"/>
      <c r="HN160" s="14"/>
      <c r="HO160" s="14"/>
      <c r="HP160" s="14"/>
      <c r="HQ160" s="14"/>
      <c r="HR160" s="14"/>
      <c r="HS160" s="14"/>
      <c r="HT160" s="14"/>
    </row>
    <row r="161" spans="2:228" ht="18" customHeight="1" x14ac:dyDescent="0.2">
      <c r="B161" s="2075" t="s">
        <v>446</v>
      </c>
      <c r="C161" s="2075"/>
      <c r="D161" s="2075"/>
      <c r="E161" s="2075"/>
      <c r="F161" s="2075"/>
      <c r="G161" s="2075"/>
      <c r="H161" s="2075"/>
      <c r="I161" s="2075"/>
      <c r="J161" s="2075"/>
      <c r="K161" s="2075"/>
      <c r="L161" s="2075"/>
      <c r="M161" s="2075"/>
      <c r="N161" s="2075"/>
      <c r="O161" s="2075"/>
      <c r="P161" s="1623"/>
      <c r="R161" s="18"/>
      <c r="S161" s="19"/>
      <c r="T161" s="114"/>
      <c r="U161" s="157"/>
      <c r="V161" s="18"/>
      <c r="W161" s="1111"/>
      <c r="X161" s="1111"/>
      <c r="Y161" s="1111"/>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4"/>
      <c r="BR161" s="14"/>
      <c r="BS161" s="14"/>
      <c r="BT161" s="14"/>
      <c r="BU161" s="14"/>
      <c r="BV161" s="14"/>
      <c r="BW161" s="14"/>
      <c r="BX161" s="14"/>
      <c r="BY161" s="14"/>
      <c r="BZ161" s="14"/>
      <c r="CA161" s="14"/>
      <c r="CB161" s="14"/>
      <c r="CC161" s="14"/>
      <c r="CD161" s="14"/>
      <c r="CE161" s="14"/>
      <c r="CF161" s="14"/>
      <c r="CG161" s="14"/>
      <c r="CH161" s="14"/>
      <c r="CI161" s="14"/>
      <c r="CJ161" s="14"/>
      <c r="CK161" s="14"/>
      <c r="CL161" s="14"/>
      <c r="CM161" s="14"/>
      <c r="CN161" s="14"/>
      <c r="CO161" s="14"/>
      <c r="CP161" s="14"/>
      <c r="CQ161" s="14"/>
      <c r="CR161" s="14"/>
      <c r="CS161" s="14"/>
      <c r="CT161" s="14"/>
      <c r="CU161" s="14"/>
      <c r="CV161" s="14"/>
      <c r="CW161" s="14"/>
      <c r="CX161" s="14"/>
      <c r="CY161" s="14"/>
      <c r="CZ161" s="14"/>
      <c r="DA161" s="14"/>
      <c r="DB161" s="14"/>
      <c r="DC161" s="14"/>
      <c r="DD161" s="14"/>
      <c r="DE161" s="14"/>
      <c r="DF161" s="14"/>
      <c r="DG161" s="14"/>
      <c r="DH161" s="14"/>
      <c r="DI161" s="14"/>
      <c r="DJ161" s="14"/>
      <c r="DK161" s="14"/>
      <c r="DL161" s="14"/>
      <c r="DM161" s="14"/>
      <c r="DN161" s="14"/>
      <c r="DO161" s="14"/>
      <c r="DP161" s="14"/>
      <c r="DQ161" s="14"/>
      <c r="DR161" s="14"/>
      <c r="DS161" s="14"/>
      <c r="DT161" s="14"/>
      <c r="DU161" s="14"/>
      <c r="DV161" s="14"/>
      <c r="DW161" s="14"/>
      <c r="DX161" s="14"/>
      <c r="DY161" s="14"/>
      <c r="DZ161" s="14"/>
      <c r="EA161" s="14"/>
      <c r="EB161" s="14"/>
      <c r="EC161" s="14"/>
      <c r="ED161" s="14"/>
      <c r="EE161" s="14"/>
      <c r="EF161" s="14"/>
      <c r="EG161" s="14"/>
      <c r="EH161" s="14"/>
      <c r="EI161" s="14"/>
      <c r="EJ161" s="14"/>
      <c r="EK161" s="14"/>
      <c r="EL161" s="14"/>
      <c r="EM161" s="14"/>
      <c r="EN161" s="14"/>
      <c r="EO161" s="14"/>
      <c r="EP161" s="14"/>
      <c r="EQ161" s="14"/>
      <c r="ER161" s="14"/>
      <c r="ES161" s="14"/>
      <c r="ET161" s="14"/>
      <c r="EU161" s="14"/>
      <c r="EV161" s="14"/>
      <c r="EW161" s="14"/>
      <c r="EX161" s="14"/>
      <c r="EY161" s="14"/>
      <c r="EZ161" s="14"/>
      <c r="FA161" s="14"/>
      <c r="FB161" s="14"/>
      <c r="FC161" s="14"/>
      <c r="FD161" s="14"/>
      <c r="FE161" s="14"/>
      <c r="FF161" s="14"/>
      <c r="FG161" s="14"/>
      <c r="FH161" s="14"/>
      <c r="FI161" s="14"/>
      <c r="FJ161" s="14"/>
      <c r="FK161" s="14"/>
      <c r="FL161" s="14"/>
      <c r="FM161" s="14"/>
      <c r="FN161" s="14"/>
      <c r="FO161" s="14"/>
      <c r="FP161" s="14"/>
      <c r="FQ161" s="14"/>
      <c r="FR161" s="14"/>
      <c r="FS161" s="14"/>
      <c r="FT161" s="14"/>
      <c r="FU161" s="14"/>
      <c r="FV161" s="14"/>
      <c r="FW161" s="14"/>
      <c r="FX161" s="14"/>
      <c r="FY161" s="14"/>
      <c r="FZ161" s="14"/>
      <c r="GA161" s="14"/>
      <c r="GB161" s="14"/>
      <c r="GC161" s="14"/>
      <c r="GD161" s="14"/>
      <c r="GE161" s="14"/>
      <c r="GF161" s="14"/>
      <c r="GG161" s="14"/>
      <c r="GH161" s="14"/>
      <c r="GI161" s="14"/>
      <c r="GJ161" s="14"/>
      <c r="GK161" s="14"/>
      <c r="GL161" s="14"/>
      <c r="GM161" s="14"/>
      <c r="GN161" s="14"/>
      <c r="GO161" s="14"/>
      <c r="GP161" s="14"/>
      <c r="GQ161" s="14"/>
      <c r="GR161" s="14"/>
      <c r="GS161" s="14"/>
      <c r="GT161" s="14"/>
      <c r="GU161" s="14"/>
      <c r="GV161" s="14"/>
      <c r="GW161" s="14"/>
      <c r="GX161" s="14"/>
      <c r="GY161" s="14"/>
      <c r="GZ161" s="14"/>
      <c r="HA161" s="14"/>
      <c r="HB161" s="14"/>
      <c r="HC161" s="14"/>
      <c r="HD161" s="14"/>
      <c r="HE161" s="14"/>
      <c r="HF161" s="14"/>
      <c r="HG161" s="14"/>
      <c r="HH161" s="14"/>
      <c r="HI161" s="14"/>
      <c r="HJ161" s="14"/>
      <c r="HK161" s="14"/>
      <c r="HL161" s="14"/>
      <c r="HM161" s="14"/>
      <c r="HN161" s="14"/>
      <c r="HO161" s="14"/>
      <c r="HP161" s="14"/>
      <c r="HQ161" s="14"/>
      <c r="HR161" s="14"/>
      <c r="HS161" s="14"/>
      <c r="HT161" s="14"/>
    </row>
    <row r="162" spans="2:228" ht="3" customHeight="1" x14ac:dyDescent="0.2">
      <c r="B162" s="1772"/>
      <c r="C162" s="1772"/>
      <c r="D162" s="1772"/>
      <c r="E162" s="1772"/>
      <c r="F162" s="1772"/>
      <c r="G162" s="1772"/>
      <c r="H162" s="1772"/>
      <c r="I162" s="1772"/>
      <c r="J162" s="1772"/>
      <c r="K162" s="1772"/>
      <c r="L162" s="1772"/>
      <c r="M162" s="1772"/>
      <c r="N162" s="1772"/>
      <c r="O162" s="1772"/>
      <c r="R162" s="18"/>
      <c r="S162" s="18"/>
      <c r="T162" s="18"/>
      <c r="U162" s="18"/>
      <c r="V162" s="1111"/>
      <c r="W162" s="1111"/>
      <c r="X162" s="63"/>
      <c r="Y162" s="63"/>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4"/>
      <c r="BR162" s="14"/>
      <c r="BS162" s="14"/>
      <c r="BT162" s="14"/>
      <c r="BU162" s="14"/>
      <c r="BV162" s="14"/>
      <c r="BW162" s="14"/>
      <c r="BX162" s="14"/>
      <c r="BY162" s="14"/>
      <c r="BZ162" s="14"/>
      <c r="CA162" s="14"/>
      <c r="CB162" s="14"/>
      <c r="CC162" s="14"/>
      <c r="CD162" s="14"/>
      <c r="CE162" s="14"/>
      <c r="CF162" s="14"/>
      <c r="CG162" s="14"/>
      <c r="CH162" s="14"/>
      <c r="CI162" s="14"/>
      <c r="CJ162" s="14"/>
      <c r="CK162" s="14"/>
      <c r="CL162" s="14"/>
      <c r="CM162" s="14"/>
      <c r="CN162" s="14"/>
      <c r="CO162" s="14"/>
      <c r="CP162" s="14"/>
      <c r="CQ162" s="14"/>
      <c r="CR162" s="14"/>
      <c r="CS162" s="14"/>
      <c r="CT162" s="14"/>
      <c r="CU162" s="14"/>
      <c r="CV162" s="14"/>
      <c r="CW162" s="14"/>
      <c r="CX162" s="14"/>
      <c r="CY162" s="14"/>
      <c r="CZ162" s="14"/>
      <c r="DA162" s="14"/>
      <c r="DB162" s="14"/>
      <c r="DC162" s="14"/>
      <c r="DD162" s="14"/>
      <c r="DE162" s="14"/>
      <c r="DF162" s="14"/>
      <c r="DG162" s="14"/>
      <c r="DH162" s="14"/>
      <c r="DI162" s="14"/>
      <c r="DJ162" s="14"/>
      <c r="DK162" s="14"/>
      <c r="DL162" s="14"/>
      <c r="DM162" s="14"/>
      <c r="DN162" s="14"/>
      <c r="DO162" s="14"/>
      <c r="DP162" s="14"/>
      <c r="DQ162" s="14"/>
      <c r="DR162" s="14"/>
      <c r="DS162" s="14"/>
      <c r="DT162" s="14"/>
      <c r="DU162" s="14"/>
      <c r="DV162" s="14"/>
      <c r="DW162" s="14"/>
      <c r="DX162" s="14"/>
      <c r="DY162" s="14"/>
      <c r="DZ162" s="14"/>
      <c r="EA162" s="14"/>
      <c r="EB162" s="14"/>
      <c r="EC162" s="14"/>
      <c r="ED162" s="14"/>
      <c r="EE162" s="14"/>
      <c r="EF162" s="14"/>
      <c r="EG162" s="14"/>
      <c r="EH162" s="14"/>
      <c r="EI162" s="14"/>
      <c r="EJ162" s="14"/>
      <c r="EK162" s="14"/>
      <c r="EL162" s="14"/>
      <c r="EM162" s="14"/>
      <c r="EN162" s="14"/>
      <c r="EO162" s="14"/>
      <c r="EP162" s="14"/>
      <c r="EQ162" s="14"/>
      <c r="ER162" s="14"/>
      <c r="ES162" s="14"/>
      <c r="ET162" s="14"/>
      <c r="EU162" s="14"/>
      <c r="EV162" s="14"/>
      <c r="EW162" s="14"/>
      <c r="EX162" s="14"/>
      <c r="EY162" s="14"/>
      <c r="EZ162" s="14"/>
      <c r="FA162" s="14"/>
      <c r="FB162" s="14"/>
      <c r="FC162" s="14"/>
      <c r="FD162" s="14"/>
      <c r="FE162" s="14"/>
      <c r="FF162" s="14"/>
      <c r="FG162" s="14"/>
      <c r="FH162" s="14"/>
      <c r="FI162" s="14"/>
      <c r="FJ162" s="14"/>
      <c r="FK162" s="14"/>
      <c r="FL162" s="14"/>
      <c r="FM162" s="14"/>
      <c r="FN162" s="14"/>
      <c r="FO162" s="14"/>
      <c r="FP162" s="14"/>
      <c r="FQ162" s="14"/>
      <c r="FR162" s="14"/>
      <c r="FS162" s="14"/>
      <c r="FT162" s="14"/>
      <c r="FU162" s="14"/>
      <c r="FV162" s="14"/>
      <c r="FW162" s="14"/>
      <c r="FX162" s="14"/>
      <c r="FY162" s="14"/>
      <c r="FZ162" s="14"/>
      <c r="GA162" s="14"/>
      <c r="GB162" s="14"/>
      <c r="GC162" s="14"/>
      <c r="GD162" s="14"/>
      <c r="GE162" s="14"/>
      <c r="GF162" s="14"/>
      <c r="GG162" s="14"/>
      <c r="GH162" s="14"/>
      <c r="GI162" s="14"/>
      <c r="GJ162" s="14"/>
      <c r="GK162" s="14"/>
      <c r="GL162" s="14"/>
      <c r="GM162" s="14"/>
      <c r="GN162" s="14"/>
      <c r="GO162" s="14"/>
      <c r="GP162" s="14"/>
      <c r="GQ162" s="14"/>
      <c r="GR162" s="14"/>
      <c r="GS162" s="14"/>
      <c r="GT162" s="14"/>
      <c r="GU162" s="14"/>
      <c r="GV162" s="14"/>
      <c r="GW162" s="14"/>
      <c r="GX162" s="14"/>
      <c r="GY162" s="14"/>
      <c r="GZ162" s="14"/>
      <c r="HA162" s="14"/>
      <c r="HB162" s="14"/>
      <c r="HC162" s="14"/>
      <c r="HD162" s="14"/>
      <c r="HE162" s="14"/>
      <c r="HF162" s="14"/>
      <c r="HG162" s="14"/>
      <c r="HH162" s="14"/>
      <c r="HI162" s="14"/>
      <c r="HJ162" s="14"/>
      <c r="HK162" s="14"/>
      <c r="HL162" s="14"/>
      <c r="HM162" s="14"/>
      <c r="HN162" s="14"/>
      <c r="HO162" s="14"/>
      <c r="HP162" s="14"/>
      <c r="HQ162" s="14"/>
      <c r="HR162" s="14"/>
      <c r="HS162" s="14"/>
      <c r="HT162" s="14"/>
    </row>
    <row r="163" spans="2:228" ht="3" customHeight="1" x14ac:dyDescent="0.2">
      <c r="B163" s="1772"/>
      <c r="C163" s="1772"/>
      <c r="D163" s="1772"/>
      <c r="E163" s="1772"/>
      <c r="F163" s="1772"/>
      <c r="G163" s="1772"/>
      <c r="H163" s="1772"/>
      <c r="I163" s="1772"/>
      <c r="J163" s="1772"/>
      <c r="K163" s="1772"/>
      <c r="L163" s="1772"/>
      <c r="M163" s="1772"/>
      <c r="N163" s="1772"/>
      <c r="O163" s="1772"/>
      <c r="P163" s="1772"/>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4"/>
      <c r="BR163" s="14"/>
      <c r="BS163" s="14"/>
      <c r="BT163" s="14"/>
      <c r="BU163" s="14"/>
      <c r="BV163" s="14"/>
      <c r="BW163" s="14"/>
      <c r="BX163" s="14"/>
      <c r="BY163" s="14"/>
      <c r="BZ163" s="14"/>
      <c r="CA163" s="14"/>
      <c r="CB163" s="14"/>
      <c r="CC163" s="14"/>
      <c r="CD163" s="14"/>
      <c r="CE163" s="14"/>
      <c r="CF163" s="14"/>
      <c r="CG163" s="14"/>
      <c r="CH163" s="14"/>
      <c r="CI163" s="14"/>
      <c r="CJ163" s="14"/>
      <c r="CK163" s="14"/>
      <c r="CL163" s="14"/>
      <c r="CM163" s="14"/>
      <c r="CN163" s="14"/>
      <c r="CO163" s="14"/>
      <c r="CP163" s="14"/>
      <c r="CQ163" s="14"/>
      <c r="CR163" s="14"/>
      <c r="CS163" s="14"/>
      <c r="CT163" s="14"/>
      <c r="CU163" s="14"/>
      <c r="CV163" s="14"/>
      <c r="CW163" s="14"/>
      <c r="CX163" s="14"/>
      <c r="CY163" s="14"/>
      <c r="CZ163" s="14"/>
      <c r="DA163" s="14"/>
      <c r="DB163" s="14"/>
      <c r="DC163" s="14"/>
      <c r="DD163" s="14"/>
      <c r="DE163" s="14"/>
      <c r="DF163" s="14"/>
      <c r="DG163" s="14"/>
      <c r="DH163" s="14"/>
      <c r="DI163" s="14"/>
      <c r="DJ163" s="14"/>
      <c r="DK163" s="14"/>
      <c r="DL163" s="14"/>
      <c r="DM163" s="14"/>
      <c r="DN163" s="14"/>
      <c r="DO163" s="14"/>
      <c r="DP163" s="14"/>
      <c r="DQ163" s="14"/>
      <c r="DR163" s="14"/>
      <c r="DS163" s="14"/>
      <c r="DT163" s="14"/>
      <c r="DU163" s="14"/>
      <c r="DV163" s="14"/>
      <c r="DW163" s="14"/>
      <c r="DX163" s="14"/>
      <c r="DY163" s="14"/>
      <c r="DZ163" s="14"/>
      <c r="EA163" s="14"/>
      <c r="EB163" s="14"/>
      <c r="EC163" s="14"/>
      <c r="ED163" s="14"/>
      <c r="EE163" s="14"/>
      <c r="EF163" s="14"/>
      <c r="EG163" s="14"/>
      <c r="EH163" s="14"/>
      <c r="EI163" s="14"/>
      <c r="EJ163" s="14"/>
      <c r="EK163" s="14"/>
      <c r="EL163" s="14"/>
      <c r="EM163" s="14"/>
      <c r="EN163" s="14"/>
      <c r="EO163" s="14"/>
      <c r="EP163" s="14"/>
      <c r="EQ163" s="14"/>
      <c r="ER163" s="14"/>
      <c r="ES163" s="14"/>
      <c r="ET163" s="14"/>
      <c r="EU163" s="14"/>
      <c r="EV163" s="14"/>
      <c r="EW163" s="14"/>
      <c r="EX163" s="14"/>
      <c r="EY163" s="14"/>
      <c r="EZ163" s="14"/>
      <c r="FA163" s="14"/>
      <c r="FB163" s="14"/>
      <c r="FC163" s="14"/>
      <c r="FD163" s="14"/>
      <c r="FE163" s="14"/>
      <c r="FF163" s="14"/>
      <c r="FG163" s="14"/>
      <c r="FH163" s="14"/>
      <c r="FI163" s="14"/>
      <c r="FJ163" s="14"/>
      <c r="FK163" s="14"/>
      <c r="FL163" s="14"/>
      <c r="FM163" s="14"/>
      <c r="FN163" s="14"/>
      <c r="FO163" s="14"/>
      <c r="FP163" s="14"/>
      <c r="FQ163" s="14"/>
      <c r="FR163" s="14"/>
      <c r="FS163" s="14"/>
      <c r="FT163" s="14"/>
      <c r="FU163" s="14"/>
      <c r="FV163" s="14"/>
      <c r="FW163" s="14"/>
      <c r="FX163" s="14"/>
      <c r="FY163" s="14"/>
      <c r="FZ163" s="14"/>
      <c r="GA163" s="14"/>
      <c r="GB163" s="14"/>
      <c r="GC163" s="14"/>
      <c r="GD163" s="14"/>
      <c r="GE163" s="14"/>
      <c r="GF163" s="14"/>
      <c r="GG163" s="14"/>
      <c r="GH163" s="14"/>
      <c r="GI163" s="14"/>
      <c r="GJ163" s="14"/>
      <c r="GK163" s="14"/>
      <c r="GL163" s="14"/>
      <c r="GM163" s="14"/>
      <c r="GN163" s="14"/>
      <c r="GO163" s="14"/>
      <c r="GP163" s="14"/>
      <c r="GQ163" s="14"/>
      <c r="GR163" s="14"/>
      <c r="GS163" s="14"/>
      <c r="GT163" s="14"/>
      <c r="GU163" s="14"/>
      <c r="GV163" s="14"/>
      <c r="GW163" s="14"/>
      <c r="GX163" s="14"/>
      <c r="GY163" s="14"/>
      <c r="GZ163" s="14"/>
      <c r="HA163" s="14"/>
      <c r="HB163" s="14"/>
      <c r="HC163" s="14"/>
      <c r="HD163" s="14"/>
      <c r="HE163" s="14"/>
      <c r="HF163" s="14"/>
      <c r="HG163" s="14"/>
      <c r="HH163" s="14"/>
      <c r="HI163" s="14"/>
      <c r="HJ163" s="14"/>
      <c r="HK163" s="14"/>
      <c r="HL163" s="14"/>
      <c r="HM163" s="14"/>
      <c r="HN163" s="14"/>
      <c r="HO163" s="14"/>
      <c r="HP163" s="14"/>
      <c r="HQ163" s="14"/>
      <c r="HR163" s="14"/>
      <c r="HS163" s="14"/>
      <c r="HT163" s="14"/>
    </row>
    <row r="164" spans="2:228" ht="18" customHeight="1" x14ac:dyDescent="0.2">
      <c r="B164" s="1860" t="s">
        <v>708</v>
      </c>
      <c r="C164" s="1959"/>
      <c r="D164" s="1959"/>
      <c r="E164" s="1959"/>
      <c r="F164" s="1959"/>
      <c r="G164" s="1959"/>
      <c r="H164" s="1959"/>
      <c r="I164" s="1959"/>
      <c r="J164" s="1959"/>
      <c r="K164" s="1959"/>
      <c r="L164" s="1959"/>
      <c r="M164" s="1959"/>
      <c r="N164" s="1959"/>
      <c r="O164" s="1959"/>
      <c r="P164" s="1959"/>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4"/>
      <c r="BR164" s="14"/>
      <c r="BS164" s="14"/>
      <c r="BT164" s="14"/>
      <c r="BU164" s="14"/>
      <c r="BV164" s="14"/>
      <c r="BW164" s="14"/>
      <c r="BX164" s="14"/>
      <c r="BY164" s="14"/>
      <c r="BZ164" s="14"/>
      <c r="CA164" s="14"/>
      <c r="CB164" s="14"/>
      <c r="CC164" s="14"/>
      <c r="CD164" s="14"/>
      <c r="CE164" s="14"/>
      <c r="CF164" s="14"/>
      <c r="CG164" s="14"/>
      <c r="CH164" s="14"/>
      <c r="CI164" s="14"/>
      <c r="CJ164" s="14"/>
      <c r="CK164" s="14"/>
      <c r="CL164" s="14"/>
      <c r="CM164" s="14"/>
      <c r="CN164" s="14"/>
      <c r="CO164" s="14"/>
      <c r="CP164" s="14"/>
      <c r="CQ164" s="14"/>
      <c r="CR164" s="14"/>
      <c r="CS164" s="14"/>
      <c r="CT164" s="14"/>
      <c r="CU164" s="14"/>
      <c r="CV164" s="14"/>
      <c r="CW164" s="14"/>
      <c r="CX164" s="14"/>
      <c r="CY164" s="14"/>
      <c r="CZ164" s="14"/>
      <c r="DA164" s="14"/>
      <c r="DB164" s="14"/>
      <c r="DC164" s="14"/>
      <c r="DD164" s="14"/>
      <c r="DE164" s="14"/>
      <c r="DF164" s="14"/>
      <c r="DG164" s="14"/>
      <c r="DH164" s="14"/>
      <c r="DI164" s="14"/>
      <c r="DJ164" s="14"/>
      <c r="DK164" s="14"/>
      <c r="DL164" s="14"/>
      <c r="DM164" s="14"/>
      <c r="DN164" s="14"/>
      <c r="DO164" s="14"/>
      <c r="DP164" s="14"/>
      <c r="DQ164" s="14"/>
      <c r="DR164" s="14"/>
      <c r="DS164" s="14"/>
      <c r="DT164" s="14"/>
      <c r="DU164" s="14"/>
      <c r="DV164" s="14"/>
      <c r="DW164" s="14"/>
      <c r="DX164" s="14"/>
      <c r="DY164" s="14"/>
      <c r="DZ164" s="14"/>
      <c r="EA164" s="14"/>
      <c r="EB164" s="14"/>
      <c r="EC164" s="14"/>
      <c r="ED164" s="14"/>
      <c r="EE164" s="14"/>
      <c r="EF164" s="14"/>
      <c r="EG164" s="14"/>
      <c r="EH164" s="14"/>
      <c r="EI164" s="14"/>
      <c r="EJ164" s="14"/>
      <c r="EK164" s="14"/>
      <c r="EL164" s="14"/>
      <c r="EM164" s="14"/>
      <c r="EN164" s="14"/>
      <c r="EO164" s="14"/>
      <c r="EP164" s="14"/>
      <c r="EQ164" s="14"/>
      <c r="ER164" s="14"/>
      <c r="ES164" s="14"/>
      <c r="ET164" s="14"/>
      <c r="EU164" s="14"/>
      <c r="EV164" s="14"/>
      <c r="EW164" s="14"/>
      <c r="EX164" s="14"/>
      <c r="EY164" s="14"/>
      <c r="EZ164" s="14"/>
      <c r="FA164" s="14"/>
      <c r="FB164" s="14"/>
      <c r="FC164" s="14"/>
      <c r="FD164" s="14"/>
      <c r="FE164" s="14"/>
      <c r="FF164" s="14"/>
      <c r="FG164" s="14"/>
      <c r="FH164" s="14"/>
      <c r="FI164" s="14"/>
      <c r="FJ164" s="14"/>
      <c r="FK164" s="14"/>
      <c r="FL164" s="14"/>
      <c r="FM164" s="14"/>
      <c r="FN164" s="14"/>
      <c r="FO164" s="14"/>
      <c r="FP164" s="14"/>
      <c r="FQ164" s="14"/>
      <c r="FR164" s="14"/>
      <c r="FS164" s="14"/>
      <c r="FT164" s="14"/>
      <c r="FU164" s="14"/>
      <c r="FV164" s="14"/>
      <c r="FW164" s="14"/>
      <c r="FX164" s="14"/>
      <c r="FY164" s="14"/>
      <c r="FZ164" s="14"/>
      <c r="GA164" s="14"/>
      <c r="GB164" s="14"/>
      <c r="GC164" s="14"/>
      <c r="GD164" s="14"/>
      <c r="GE164" s="14"/>
      <c r="GF164" s="14"/>
      <c r="GG164" s="14"/>
      <c r="GH164" s="14"/>
      <c r="GI164" s="14"/>
      <c r="GJ164" s="14"/>
      <c r="GK164" s="14"/>
      <c r="GL164" s="14"/>
      <c r="GM164" s="14"/>
      <c r="GN164" s="14"/>
      <c r="GO164" s="14"/>
      <c r="GP164" s="14"/>
      <c r="GQ164" s="14"/>
      <c r="GR164" s="14"/>
      <c r="GS164" s="14"/>
      <c r="GT164" s="14"/>
      <c r="GU164" s="14"/>
      <c r="GV164" s="14"/>
      <c r="GW164" s="14"/>
      <c r="GX164" s="14"/>
      <c r="GY164" s="14"/>
      <c r="GZ164" s="14"/>
      <c r="HA164" s="14"/>
      <c r="HB164" s="14"/>
      <c r="HC164" s="14"/>
      <c r="HD164" s="14"/>
      <c r="HE164" s="14"/>
      <c r="HF164" s="14"/>
      <c r="HG164" s="14"/>
      <c r="HH164" s="14"/>
      <c r="HI164" s="14"/>
      <c r="HJ164" s="14"/>
      <c r="HK164" s="14"/>
      <c r="HL164" s="14"/>
      <c r="HM164" s="14"/>
      <c r="HN164" s="14"/>
      <c r="HO164" s="14"/>
      <c r="HP164" s="14"/>
      <c r="HQ164" s="14"/>
      <c r="HR164" s="14"/>
      <c r="HS164" s="14"/>
      <c r="HT164" s="14"/>
    </row>
    <row r="165" spans="2:228" ht="15" customHeight="1" x14ac:dyDescent="0.2">
      <c r="B165" s="1555" t="s">
        <v>709</v>
      </c>
      <c r="C165" s="1555"/>
      <c r="D165" s="1555"/>
      <c r="E165" s="1555"/>
      <c r="F165" s="1555"/>
      <c r="G165" s="1555"/>
      <c r="H165" s="1555"/>
      <c r="I165" s="1555"/>
      <c r="J165" s="1555"/>
      <c r="K165" s="1555"/>
      <c r="L165" s="1555"/>
      <c r="M165" s="1555"/>
      <c r="N165" s="1555"/>
      <c r="O165" s="1555"/>
      <c r="P165" s="1555"/>
      <c r="R165" s="18"/>
      <c r="S165" s="18"/>
      <c r="T165" s="1379" t="s">
        <v>710</v>
      </c>
      <c r="U165" s="922" t="s">
        <v>1318</v>
      </c>
      <c r="V165" s="922" t="s">
        <v>1075</v>
      </c>
      <c r="W165" s="695" t="s">
        <v>1076</v>
      </c>
      <c r="X165" s="922" t="s">
        <v>1264</v>
      </c>
      <c r="Y165" s="922" t="s">
        <v>1265</v>
      </c>
      <c r="Z165" s="922" t="s">
        <v>1866</v>
      </c>
      <c r="AA165" s="932" t="s">
        <v>1704</v>
      </c>
      <c r="AB165" s="932" t="s">
        <v>99</v>
      </c>
      <c r="AC165" s="932" t="s">
        <v>100</v>
      </c>
      <c r="AD165" s="922" t="s">
        <v>1741</v>
      </c>
      <c r="AE165" s="922" t="s">
        <v>1742</v>
      </c>
      <c r="AF165" s="922" t="s">
        <v>1743</v>
      </c>
      <c r="AG165" s="922" t="s">
        <v>78</v>
      </c>
      <c r="AH165" s="922" t="s">
        <v>79</v>
      </c>
      <c r="AI165" s="922" t="s">
        <v>821</v>
      </c>
      <c r="AJ165" s="922" t="s">
        <v>822</v>
      </c>
      <c r="AK165" s="922" t="s">
        <v>823</v>
      </c>
      <c r="AL165" s="922" t="s">
        <v>824</v>
      </c>
      <c r="AM165" s="922" t="s">
        <v>1134</v>
      </c>
      <c r="AN165" s="922" t="s">
        <v>1544</v>
      </c>
      <c r="AO165" s="922" t="s">
        <v>203</v>
      </c>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4"/>
      <c r="BR165" s="14"/>
      <c r="BS165" s="14"/>
      <c r="BT165" s="14"/>
      <c r="BU165" s="14"/>
      <c r="BV165" s="14"/>
      <c r="BW165" s="14"/>
      <c r="BX165" s="14"/>
      <c r="BY165" s="14"/>
      <c r="BZ165" s="14"/>
      <c r="CA165" s="14"/>
      <c r="CB165" s="14"/>
      <c r="CC165" s="14"/>
      <c r="CD165" s="14"/>
      <c r="CE165" s="14"/>
      <c r="CF165" s="14"/>
      <c r="CG165" s="14"/>
      <c r="CH165" s="14"/>
      <c r="CI165" s="14"/>
      <c r="CJ165" s="14"/>
      <c r="CK165" s="14"/>
      <c r="CL165" s="14"/>
      <c r="CM165" s="14"/>
      <c r="CN165" s="14"/>
      <c r="CO165" s="14"/>
      <c r="CP165" s="14"/>
      <c r="CQ165" s="14"/>
      <c r="CR165" s="14"/>
      <c r="CS165" s="14"/>
      <c r="CT165" s="14"/>
      <c r="CU165" s="14"/>
      <c r="CV165" s="14"/>
      <c r="CW165" s="14"/>
      <c r="CX165" s="14"/>
      <c r="CY165" s="14"/>
      <c r="CZ165" s="14"/>
      <c r="DA165" s="14"/>
      <c r="DB165" s="14"/>
      <c r="DC165" s="14"/>
      <c r="DD165" s="14"/>
      <c r="DE165" s="14"/>
      <c r="DF165" s="14"/>
      <c r="DG165" s="14"/>
      <c r="DH165" s="14"/>
      <c r="DI165" s="14"/>
      <c r="DJ165" s="14"/>
      <c r="DK165" s="14"/>
      <c r="DL165" s="14"/>
      <c r="DM165" s="14"/>
      <c r="DN165" s="14"/>
      <c r="DO165" s="14"/>
      <c r="DP165" s="14"/>
      <c r="DQ165" s="14"/>
      <c r="DR165" s="14"/>
      <c r="DS165" s="14"/>
      <c r="DT165" s="14"/>
      <c r="DU165" s="14"/>
      <c r="DV165" s="14"/>
      <c r="DW165" s="14"/>
      <c r="DX165" s="14"/>
      <c r="DY165" s="14"/>
      <c r="DZ165" s="14"/>
      <c r="EA165" s="14"/>
      <c r="EB165" s="14"/>
      <c r="EC165" s="14"/>
      <c r="ED165" s="14"/>
      <c r="EE165" s="14"/>
      <c r="EF165" s="14"/>
      <c r="EG165" s="14"/>
      <c r="EH165" s="14"/>
      <c r="EI165" s="14"/>
      <c r="EJ165" s="14"/>
      <c r="EK165" s="14"/>
      <c r="EL165" s="14"/>
      <c r="EM165" s="14"/>
      <c r="EN165" s="14"/>
      <c r="EO165" s="14"/>
      <c r="EP165" s="14"/>
      <c r="EQ165" s="14"/>
      <c r="ER165" s="14"/>
      <c r="ES165" s="14"/>
      <c r="ET165" s="14"/>
      <c r="EU165" s="14"/>
      <c r="EV165" s="14"/>
      <c r="EW165" s="14"/>
      <c r="EX165" s="14"/>
      <c r="EY165" s="14"/>
      <c r="EZ165" s="14"/>
      <c r="FA165" s="14"/>
      <c r="FB165" s="14"/>
      <c r="FC165" s="14"/>
      <c r="FD165" s="14"/>
      <c r="FE165" s="14"/>
      <c r="FF165" s="14"/>
      <c r="FG165" s="14"/>
      <c r="FH165" s="14"/>
      <c r="FI165" s="14"/>
      <c r="FJ165" s="14"/>
      <c r="FK165" s="14"/>
      <c r="FL165" s="14"/>
      <c r="FM165" s="14"/>
      <c r="FN165" s="14"/>
      <c r="FO165" s="14"/>
      <c r="FP165" s="14"/>
      <c r="FQ165" s="14"/>
      <c r="FR165" s="14"/>
      <c r="FS165" s="14"/>
      <c r="FT165" s="14"/>
      <c r="FU165" s="14"/>
      <c r="FV165" s="14"/>
      <c r="FW165" s="14"/>
      <c r="FX165" s="14"/>
      <c r="FY165" s="14"/>
      <c r="FZ165" s="14"/>
      <c r="GA165" s="14"/>
      <c r="GB165" s="14"/>
      <c r="GC165" s="14"/>
      <c r="GD165" s="14"/>
      <c r="GE165" s="14"/>
      <c r="GF165" s="14"/>
      <c r="GG165" s="14"/>
      <c r="GH165" s="14"/>
      <c r="GI165" s="14"/>
      <c r="GJ165" s="14"/>
      <c r="GK165" s="14"/>
      <c r="GL165" s="14"/>
      <c r="GM165" s="14"/>
      <c r="GN165" s="14"/>
      <c r="GO165" s="14"/>
      <c r="GP165" s="14"/>
      <c r="GQ165" s="14"/>
      <c r="GR165" s="14"/>
      <c r="GS165" s="14"/>
      <c r="GT165" s="14"/>
      <c r="GU165" s="14"/>
      <c r="GV165" s="14"/>
      <c r="GW165" s="14"/>
      <c r="GX165" s="14"/>
      <c r="GY165" s="14"/>
      <c r="GZ165" s="14"/>
      <c r="HA165" s="14"/>
      <c r="HB165" s="14"/>
      <c r="HC165" s="14"/>
      <c r="HD165" s="14"/>
      <c r="HE165" s="14"/>
      <c r="HF165" s="14"/>
      <c r="HG165" s="14"/>
      <c r="HH165" s="14"/>
      <c r="HI165" s="14"/>
      <c r="HJ165" s="14"/>
      <c r="HK165" s="14"/>
      <c r="HL165" s="14"/>
      <c r="HM165" s="14"/>
      <c r="HN165" s="14"/>
      <c r="HO165" s="14"/>
      <c r="HP165" s="14"/>
      <c r="HQ165" s="14"/>
      <c r="HR165" s="14"/>
      <c r="HS165" s="14"/>
      <c r="HT165" s="14"/>
    </row>
    <row r="166" spans="2:228" ht="27" customHeight="1" x14ac:dyDescent="0.2">
      <c r="B166" s="1629"/>
      <c r="C166" s="1629"/>
      <c r="D166" s="1629"/>
      <c r="E166" s="1629"/>
      <c r="F166" s="1629"/>
      <c r="G166" s="1629"/>
      <c r="H166" s="1629"/>
      <c r="I166" s="1629"/>
      <c r="J166" s="1629"/>
      <c r="K166" s="1629"/>
      <c r="L166" s="1629"/>
      <c r="M166" s="1629"/>
      <c r="N166" s="1629"/>
      <c r="O166" s="1629"/>
      <c r="P166" s="26">
        <f>SUMIF(U165:AO165,B166,U166:AO166)</f>
        <v>0</v>
      </c>
      <c r="R166" s="18"/>
      <c r="S166" s="18"/>
      <c r="T166" s="1379"/>
      <c r="U166" s="930">
        <v>0</v>
      </c>
      <c r="V166" s="932">
        <v>0.05</v>
      </c>
      <c r="W166" s="932">
        <v>0.1</v>
      </c>
      <c r="X166" s="932">
        <v>0.15</v>
      </c>
      <c r="Y166" s="932">
        <v>0.2</v>
      </c>
      <c r="Z166" s="932">
        <v>0.25</v>
      </c>
      <c r="AA166" s="932">
        <v>0.3</v>
      </c>
      <c r="AB166" s="932">
        <v>0.35</v>
      </c>
      <c r="AC166" s="932">
        <v>0.4</v>
      </c>
      <c r="AD166" s="932">
        <v>0.45</v>
      </c>
      <c r="AE166" s="932">
        <v>0.5</v>
      </c>
      <c r="AF166" s="932">
        <v>0.55000000000000004</v>
      </c>
      <c r="AG166" s="932">
        <v>0.6</v>
      </c>
      <c r="AH166" s="932">
        <v>0.65</v>
      </c>
      <c r="AI166" s="932">
        <v>0.7</v>
      </c>
      <c r="AJ166" s="932">
        <v>0.75</v>
      </c>
      <c r="AK166" s="932">
        <v>0.8</v>
      </c>
      <c r="AL166" s="932">
        <v>0.85</v>
      </c>
      <c r="AM166" s="932">
        <v>0.9</v>
      </c>
      <c r="AN166" s="932">
        <v>0.95</v>
      </c>
      <c r="AO166" s="932">
        <v>1</v>
      </c>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4"/>
      <c r="BR166" s="14"/>
      <c r="BS166" s="14"/>
      <c r="BT166" s="14"/>
      <c r="BU166" s="14"/>
      <c r="BV166" s="14"/>
      <c r="BW166" s="14"/>
      <c r="BX166" s="14"/>
      <c r="BY166" s="14"/>
      <c r="BZ166" s="14"/>
      <c r="CA166" s="14"/>
      <c r="CB166" s="14"/>
      <c r="CC166" s="14"/>
      <c r="CD166" s="14"/>
      <c r="CE166" s="14"/>
      <c r="CF166" s="14"/>
      <c r="CG166" s="14"/>
      <c r="CH166" s="14"/>
      <c r="CI166" s="14"/>
      <c r="CJ166" s="14"/>
      <c r="CK166" s="14"/>
      <c r="CL166" s="14"/>
      <c r="CM166" s="14"/>
      <c r="CN166" s="14"/>
      <c r="CO166" s="14"/>
      <c r="CP166" s="14"/>
      <c r="CQ166" s="14"/>
      <c r="CR166" s="14"/>
      <c r="CS166" s="14"/>
      <c r="CT166" s="14"/>
      <c r="CU166" s="14"/>
      <c r="CV166" s="14"/>
      <c r="CW166" s="14"/>
      <c r="CX166" s="14"/>
      <c r="CY166" s="14"/>
      <c r="CZ166" s="14"/>
      <c r="DA166" s="14"/>
      <c r="DB166" s="14"/>
      <c r="DC166" s="14"/>
      <c r="DD166" s="14"/>
      <c r="DE166" s="14"/>
      <c r="DF166" s="14"/>
      <c r="DG166" s="14"/>
      <c r="DH166" s="14"/>
      <c r="DI166" s="14"/>
      <c r="DJ166" s="14"/>
      <c r="DK166" s="14"/>
      <c r="DL166" s="14"/>
      <c r="DM166" s="14"/>
      <c r="DN166" s="14"/>
      <c r="DO166" s="14"/>
      <c r="DP166" s="14"/>
      <c r="DQ166" s="14"/>
      <c r="DR166" s="14"/>
      <c r="DS166" s="14"/>
      <c r="DT166" s="14"/>
      <c r="DU166" s="14"/>
      <c r="DV166" s="14"/>
      <c r="DW166" s="14"/>
      <c r="DX166" s="14"/>
      <c r="DY166" s="14"/>
      <c r="DZ166" s="14"/>
      <c r="EA166" s="14"/>
      <c r="EB166" s="14"/>
      <c r="EC166" s="14"/>
      <c r="ED166" s="14"/>
      <c r="EE166" s="14"/>
      <c r="EF166" s="14"/>
      <c r="EG166" s="14"/>
      <c r="EH166" s="14"/>
      <c r="EI166" s="14"/>
      <c r="EJ166" s="14"/>
      <c r="EK166" s="14"/>
      <c r="EL166" s="14"/>
      <c r="EM166" s="14"/>
      <c r="EN166" s="14"/>
      <c r="EO166" s="14"/>
      <c r="EP166" s="14"/>
      <c r="EQ166" s="14"/>
      <c r="ER166" s="14"/>
      <c r="ES166" s="14"/>
      <c r="ET166" s="14"/>
      <c r="EU166" s="14"/>
      <c r="EV166" s="14"/>
      <c r="EW166" s="14"/>
      <c r="EX166" s="14"/>
      <c r="EY166" s="14"/>
      <c r="EZ166" s="14"/>
      <c r="FA166" s="14"/>
      <c r="FB166" s="14"/>
      <c r="FC166" s="14"/>
      <c r="FD166" s="14"/>
      <c r="FE166" s="14"/>
      <c r="FF166" s="14"/>
      <c r="FG166" s="14"/>
      <c r="FH166" s="14"/>
      <c r="FI166" s="14"/>
      <c r="FJ166" s="14"/>
      <c r="FK166" s="14"/>
      <c r="FL166" s="14"/>
      <c r="FM166" s="14"/>
      <c r="FN166" s="14"/>
      <c r="FO166" s="14"/>
      <c r="FP166" s="14"/>
      <c r="FQ166" s="14"/>
      <c r="FR166" s="14"/>
      <c r="FS166" s="14"/>
      <c r="FT166" s="14"/>
      <c r="FU166" s="14"/>
      <c r="FV166" s="14"/>
      <c r="FW166" s="14"/>
      <c r="FX166" s="14"/>
      <c r="FY166" s="14"/>
      <c r="FZ166" s="14"/>
      <c r="GA166" s="14"/>
      <c r="GB166" s="14"/>
      <c r="GC166" s="14"/>
      <c r="GD166" s="14"/>
      <c r="GE166" s="14"/>
      <c r="GF166" s="14"/>
      <c r="GG166" s="14"/>
      <c r="GH166" s="14"/>
      <c r="GI166" s="14"/>
      <c r="GJ166" s="14"/>
      <c r="GK166" s="14"/>
      <c r="GL166" s="14"/>
      <c r="GM166" s="14"/>
      <c r="GN166" s="14"/>
      <c r="GO166" s="14"/>
      <c r="GP166" s="14"/>
      <c r="GQ166" s="14"/>
      <c r="GR166" s="14"/>
      <c r="GS166" s="14"/>
      <c r="GT166" s="14"/>
      <c r="GU166" s="14"/>
      <c r="GV166" s="14"/>
      <c r="GW166" s="14"/>
      <c r="GX166" s="14"/>
      <c r="GY166" s="14"/>
      <c r="GZ166" s="14"/>
      <c r="HA166" s="14"/>
      <c r="HB166" s="14"/>
      <c r="HC166" s="14"/>
      <c r="HD166" s="14"/>
      <c r="HE166" s="14"/>
      <c r="HF166" s="14"/>
      <c r="HG166" s="14"/>
      <c r="HH166" s="14"/>
      <c r="HI166" s="14"/>
      <c r="HJ166" s="14"/>
      <c r="HK166" s="14"/>
      <c r="HL166" s="14"/>
      <c r="HM166" s="14"/>
      <c r="HN166" s="14"/>
      <c r="HO166" s="14"/>
      <c r="HP166" s="14"/>
      <c r="HQ166" s="14"/>
      <c r="HR166" s="14"/>
      <c r="HS166" s="14"/>
      <c r="HT166" s="14"/>
    </row>
    <row r="167" spans="2:228" ht="12" customHeight="1" x14ac:dyDescent="0.25">
      <c r="B167" s="1924"/>
      <c r="C167" s="1924"/>
      <c r="D167" s="1924"/>
      <c r="E167" s="1924"/>
      <c r="F167" s="1924"/>
      <c r="G167" s="1924"/>
      <c r="H167" s="1924"/>
      <c r="I167" s="1924"/>
      <c r="J167" s="1924"/>
      <c r="K167" s="1924"/>
      <c r="L167" s="1924"/>
      <c r="M167" s="1924"/>
      <c r="N167" s="1924"/>
      <c r="O167" s="1924"/>
      <c r="P167" s="1924"/>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4"/>
      <c r="BR167" s="14"/>
      <c r="BS167" s="14"/>
      <c r="BT167" s="14"/>
      <c r="BU167" s="14"/>
      <c r="BV167" s="14"/>
      <c r="BW167" s="14"/>
      <c r="BX167" s="14"/>
      <c r="BY167" s="14"/>
      <c r="BZ167" s="14"/>
      <c r="CA167" s="14"/>
      <c r="CB167" s="14"/>
      <c r="CC167" s="14"/>
      <c r="CD167" s="14"/>
      <c r="CE167" s="14"/>
      <c r="CF167" s="14"/>
      <c r="CG167" s="14"/>
      <c r="CH167" s="14"/>
      <c r="CI167" s="14"/>
      <c r="CJ167" s="14"/>
      <c r="CK167" s="14"/>
      <c r="CL167" s="14"/>
      <c r="CM167" s="14"/>
      <c r="CN167" s="14"/>
      <c r="CO167" s="14"/>
      <c r="CP167" s="14"/>
      <c r="CQ167" s="14"/>
      <c r="CR167" s="14"/>
      <c r="CS167" s="14"/>
      <c r="CT167" s="14"/>
      <c r="CU167" s="14"/>
      <c r="CV167" s="14"/>
      <c r="CW167" s="14"/>
      <c r="CX167" s="14"/>
      <c r="CY167" s="14"/>
      <c r="CZ167" s="14"/>
      <c r="DA167" s="14"/>
      <c r="DB167" s="14"/>
      <c r="DC167" s="14"/>
      <c r="DD167" s="14"/>
      <c r="DE167" s="14"/>
      <c r="DF167" s="14"/>
      <c r="DG167" s="14"/>
      <c r="DH167" s="14"/>
      <c r="DI167" s="14"/>
      <c r="DJ167" s="14"/>
      <c r="DK167" s="14"/>
      <c r="DL167" s="14"/>
      <c r="DM167" s="14"/>
      <c r="DN167" s="14"/>
      <c r="DO167" s="14"/>
      <c r="DP167" s="14"/>
      <c r="DQ167" s="14"/>
      <c r="DR167" s="14"/>
      <c r="DS167" s="14"/>
      <c r="DT167" s="14"/>
      <c r="DU167" s="14"/>
      <c r="DV167" s="14"/>
      <c r="DW167" s="14"/>
      <c r="DX167" s="14"/>
      <c r="DY167" s="14"/>
      <c r="DZ167" s="14"/>
      <c r="EA167" s="14"/>
      <c r="EB167" s="14"/>
      <c r="EC167" s="14"/>
      <c r="ED167" s="14"/>
      <c r="EE167" s="14"/>
      <c r="EF167" s="14"/>
      <c r="EG167" s="14"/>
      <c r="EH167" s="14"/>
      <c r="EI167" s="14"/>
      <c r="EJ167" s="14"/>
      <c r="EK167" s="14"/>
      <c r="EL167" s="14"/>
      <c r="EM167" s="14"/>
      <c r="EN167" s="14"/>
      <c r="EO167" s="14"/>
      <c r="EP167" s="14"/>
      <c r="EQ167" s="14"/>
      <c r="ER167" s="14"/>
      <c r="ES167" s="14"/>
      <c r="ET167" s="14"/>
      <c r="EU167" s="14"/>
      <c r="EV167" s="14"/>
      <c r="EW167" s="14"/>
      <c r="EX167" s="14"/>
      <c r="EY167" s="14"/>
      <c r="EZ167" s="14"/>
      <c r="FA167" s="14"/>
      <c r="FB167" s="14"/>
      <c r="FC167" s="14"/>
      <c r="FD167" s="14"/>
      <c r="FE167" s="14"/>
      <c r="FF167" s="14"/>
      <c r="FG167" s="14"/>
      <c r="FH167" s="14"/>
      <c r="FI167" s="14"/>
      <c r="FJ167" s="14"/>
      <c r="FK167" s="14"/>
      <c r="FL167" s="14"/>
      <c r="FM167" s="14"/>
      <c r="FN167" s="14"/>
      <c r="FO167" s="14"/>
      <c r="FP167" s="14"/>
      <c r="FQ167" s="14"/>
      <c r="FR167" s="14"/>
      <c r="FS167" s="14"/>
      <c r="FT167" s="14"/>
      <c r="FU167" s="14"/>
      <c r="FV167" s="14"/>
      <c r="FW167" s="14"/>
      <c r="FX167" s="14"/>
      <c r="FY167" s="14"/>
      <c r="FZ167" s="14"/>
      <c r="GA167" s="14"/>
      <c r="GB167" s="14"/>
      <c r="GC167" s="14"/>
      <c r="GD167" s="14"/>
      <c r="GE167" s="14"/>
      <c r="GF167" s="14"/>
      <c r="GG167" s="14"/>
      <c r="GH167" s="14"/>
      <c r="GI167" s="14"/>
      <c r="GJ167" s="14"/>
      <c r="GK167" s="14"/>
      <c r="GL167" s="14"/>
      <c r="GM167" s="14"/>
      <c r="GN167" s="14"/>
      <c r="GO167" s="14"/>
      <c r="GP167" s="14"/>
      <c r="GQ167" s="14"/>
      <c r="GR167" s="14"/>
      <c r="GS167" s="14"/>
      <c r="GT167" s="14"/>
      <c r="GU167" s="14"/>
      <c r="GV167" s="14"/>
      <c r="GW167" s="14"/>
      <c r="GX167" s="14"/>
      <c r="GY167" s="14"/>
      <c r="GZ167" s="14"/>
      <c r="HA167" s="14"/>
      <c r="HB167" s="14"/>
      <c r="HC167" s="14"/>
      <c r="HD167" s="14"/>
      <c r="HE167" s="14"/>
      <c r="HF167" s="14"/>
      <c r="HG167" s="14"/>
      <c r="HH167" s="14"/>
      <c r="HI167" s="14"/>
      <c r="HJ167" s="14"/>
      <c r="HK167" s="14"/>
      <c r="HL167" s="14"/>
      <c r="HM167" s="14"/>
      <c r="HN167" s="14"/>
      <c r="HO167" s="14"/>
      <c r="HP167" s="14"/>
      <c r="HQ167" s="14"/>
      <c r="HR167" s="14"/>
      <c r="HS167" s="14"/>
      <c r="HT167" s="14"/>
    </row>
    <row r="168" spans="2:228" ht="18" customHeight="1" x14ac:dyDescent="0.2">
      <c r="B168" s="1549" t="s">
        <v>809</v>
      </c>
      <c r="C168" s="1550"/>
      <c r="D168" s="1550"/>
      <c r="E168" s="1550"/>
      <c r="F168" s="1550"/>
      <c r="G168" s="1550"/>
      <c r="H168" s="1550"/>
      <c r="I168" s="1550"/>
      <c r="J168" s="1550"/>
      <c r="K168" s="1550"/>
      <c r="L168" s="1550"/>
      <c r="M168" s="1550"/>
      <c r="N168" s="1550"/>
      <c r="O168" s="1550"/>
      <c r="P168" s="1645"/>
      <c r="R168" s="18"/>
      <c r="S168" s="18"/>
      <c r="T168" s="18"/>
      <c r="U168" s="18"/>
      <c r="V168" s="18"/>
      <c r="W168" s="18"/>
      <c r="X168" s="18"/>
      <c r="Y168" s="18"/>
      <c r="Z168" s="18"/>
      <c r="AA168" s="933"/>
      <c r="AB168" s="933"/>
      <c r="AC168" s="933"/>
      <c r="AD168" s="933"/>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4"/>
      <c r="BR168" s="14"/>
      <c r="BS168" s="14"/>
      <c r="BT168" s="14"/>
      <c r="BU168" s="14"/>
      <c r="BV168" s="14"/>
      <c r="BW168" s="14"/>
      <c r="BX168" s="14"/>
      <c r="BY168" s="14"/>
      <c r="BZ168" s="14"/>
      <c r="CA168" s="14"/>
      <c r="CB168" s="14"/>
      <c r="CC168" s="14"/>
      <c r="CD168" s="14"/>
      <c r="CE168" s="14"/>
      <c r="CF168" s="14"/>
      <c r="CG168" s="14"/>
      <c r="CH168" s="14"/>
      <c r="CI168" s="14"/>
      <c r="CJ168" s="14"/>
      <c r="CK168" s="14"/>
      <c r="CL168" s="14"/>
      <c r="CM168" s="14"/>
      <c r="CN168" s="14"/>
      <c r="CO168" s="14"/>
      <c r="CP168" s="14"/>
      <c r="CQ168" s="14"/>
      <c r="CR168" s="14"/>
      <c r="CS168" s="14"/>
      <c r="CT168" s="14"/>
      <c r="CU168" s="14"/>
      <c r="CV168" s="14"/>
      <c r="CW168" s="14"/>
      <c r="CX168" s="14"/>
      <c r="CY168" s="14"/>
      <c r="CZ168" s="14"/>
      <c r="DA168" s="14"/>
      <c r="DB168" s="14"/>
      <c r="DC168" s="14"/>
      <c r="DD168" s="14"/>
      <c r="DE168" s="14"/>
      <c r="DF168" s="14"/>
      <c r="DG168" s="14"/>
      <c r="DH168" s="14"/>
      <c r="DI168" s="14"/>
      <c r="DJ168" s="14"/>
      <c r="DK168" s="14"/>
      <c r="DL168" s="14"/>
      <c r="DM168" s="14"/>
      <c r="DN168" s="14"/>
      <c r="DO168" s="14"/>
      <c r="DP168" s="14"/>
      <c r="DQ168" s="14"/>
      <c r="DR168" s="14"/>
      <c r="DS168" s="14"/>
      <c r="DT168" s="14"/>
      <c r="DU168" s="14"/>
      <c r="DV168" s="14"/>
      <c r="DW168" s="14"/>
      <c r="DX168" s="14"/>
      <c r="DY168" s="14"/>
      <c r="DZ168" s="14"/>
      <c r="EA168" s="14"/>
      <c r="EB168" s="14"/>
      <c r="EC168" s="14"/>
      <c r="ED168" s="14"/>
      <c r="EE168" s="14"/>
      <c r="EF168" s="14"/>
      <c r="EG168" s="14"/>
      <c r="EH168" s="14"/>
      <c r="EI168" s="14"/>
      <c r="EJ168" s="14"/>
      <c r="EK168" s="14"/>
      <c r="EL168" s="14"/>
      <c r="EM168" s="14"/>
      <c r="EN168" s="14"/>
      <c r="EO168" s="14"/>
      <c r="EP168" s="14"/>
      <c r="EQ168" s="14"/>
      <c r="ER168" s="14"/>
      <c r="ES168" s="14"/>
      <c r="ET168" s="14"/>
      <c r="EU168" s="14"/>
      <c r="EV168" s="14"/>
      <c r="EW168" s="14"/>
      <c r="EX168" s="14"/>
      <c r="EY168" s="14"/>
      <c r="EZ168" s="14"/>
      <c r="FA168" s="14"/>
      <c r="FB168" s="14"/>
      <c r="FC168" s="14"/>
      <c r="FD168" s="14"/>
      <c r="FE168" s="14"/>
      <c r="FF168" s="14"/>
      <c r="FG168" s="14"/>
      <c r="FH168" s="14"/>
      <c r="FI168" s="14"/>
      <c r="FJ168" s="14"/>
      <c r="FK168" s="14"/>
      <c r="FL168" s="14"/>
      <c r="FM168" s="14"/>
      <c r="FN168" s="14"/>
      <c r="FO168" s="14"/>
      <c r="FP168" s="14"/>
      <c r="FQ168" s="14"/>
      <c r="FR168" s="14"/>
      <c r="FS168" s="14"/>
      <c r="FT168" s="14"/>
      <c r="FU168" s="14"/>
      <c r="FV168" s="14"/>
      <c r="FW168" s="14"/>
      <c r="FX168" s="14"/>
      <c r="FY168" s="14"/>
      <c r="FZ168" s="14"/>
      <c r="GA168" s="14"/>
      <c r="GB168" s="14"/>
      <c r="GC168" s="14"/>
      <c r="GD168" s="14"/>
      <c r="GE168" s="14"/>
      <c r="GF168" s="14"/>
      <c r="GG168" s="14"/>
      <c r="GH168" s="14"/>
      <c r="GI168" s="14"/>
      <c r="GJ168" s="14"/>
      <c r="GK168" s="14"/>
      <c r="GL168" s="14"/>
      <c r="GM168" s="14"/>
      <c r="GN168" s="14"/>
      <c r="GO168" s="14"/>
      <c r="GP168" s="14"/>
      <c r="GQ168" s="14"/>
      <c r="GR168" s="14"/>
      <c r="GS168" s="14"/>
      <c r="GT168" s="14"/>
      <c r="GU168" s="14"/>
      <c r="GV168" s="14"/>
      <c r="GW168" s="14"/>
      <c r="GX168" s="14"/>
      <c r="GY168" s="14"/>
      <c r="GZ168" s="14"/>
      <c r="HA168" s="14"/>
      <c r="HB168" s="14"/>
      <c r="HC168" s="14"/>
      <c r="HD168" s="14"/>
      <c r="HE168" s="14"/>
      <c r="HF168" s="14"/>
      <c r="HG168" s="14"/>
      <c r="HH168" s="14"/>
      <c r="HI168" s="14"/>
      <c r="HJ168" s="14"/>
      <c r="HK168" s="14"/>
      <c r="HL168" s="14"/>
      <c r="HM168" s="14"/>
      <c r="HN168" s="14"/>
      <c r="HO168" s="14"/>
      <c r="HP168" s="14"/>
      <c r="HQ168" s="14"/>
      <c r="HR168" s="14"/>
      <c r="HS168" s="14"/>
      <c r="HT168" s="14"/>
    </row>
    <row r="169" spans="2:228" ht="15" customHeight="1" x14ac:dyDescent="0.2">
      <c r="B169" s="345" t="s">
        <v>1546</v>
      </c>
      <c r="C169" s="1962"/>
      <c r="D169" s="1963"/>
      <c r="E169" s="1963"/>
      <c r="F169" s="1963"/>
      <c r="G169" s="1963"/>
      <c r="H169" s="1963"/>
      <c r="I169" s="1963"/>
      <c r="J169" s="1963"/>
      <c r="K169" s="1963"/>
      <c r="L169" s="1956"/>
      <c r="M169" s="1957"/>
      <c r="N169" s="1958"/>
      <c r="O169" s="79">
        <f>IF(C169=T169,0.45,IF(C169=U169,0.3,IF(C169=V169,0.45,0)))</f>
        <v>0</v>
      </c>
      <c r="P169" s="1745"/>
      <c r="R169" s="1557" t="s">
        <v>2197</v>
      </c>
      <c r="S169" s="922" t="s">
        <v>1942</v>
      </c>
      <c r="T169" s="922" t="s">
        <v>1547</v>
      </c>
      <c r="U169" s="928" t="s">
        <v>1548</v>
      </c>
      <c r="V169" s="922" t="s">
        <v>1549</v>
      </c>
      <c r="W169" s="18"/>
      <c r="X169" s="18"/>
      <c r="Y169" s="18"/>
      <c r="Z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4"/>
      <c r="BR169" s="14"/>
      <c r="BS169" s="14"/>
      <c r="BT169" s="14"/>
      <c r="BU169" s="14"/>
      <c r="BV169" s="14"/>
      <c r="BW169" s="14"/>
      <c r="BX169" s="14"/>
      <c r="BY169" s="14"/>
      <c r="BZ169" s="14"/>
      <c r="CA169" s="14"/>
      <c r="CB169" s="14"/>
      <c r="CC169" s="14"/>
      <c r="CD169" s="14"/>
      <c r="CE169" s="14"/>
      <c r="CF169" s="14"/>
      <c r="CG169" s="14"/>
      <c r="CH169" s="14"/>
      <c r="CI169" s="14"/>
      <c r="CJ169" s="14"/>
      <c r="CK169" s="14"/>
      <c r="CL169" s="14"/>
      <c r="CM169" s="14"/>
      <c r="CN169" s="14"/>
      <c r="CO169" s="14"/>
      <c r="CP169" s="14"/>
      <c r="CQ169" s="14"/>
      <c r="CR169" s="14"/>
      <c r="CS169" s="14"/>
      <c r="CT169" s="14"/>
      <c r="CU169" s="14"/>
      <c r="CV169" s="14"/>
      <c r="CW169" s="14"/>
      <c r="CX169" s="14"/>
      <c r="CY169" s="14"/>
      <c r="CZ169" s="14"/>
      <c r="DA169" s="14"/>
      <c r="DB169" s="14"/>
      <c r="DC169" s="14"/>
      <c r="DD169" s="14"/>
      <c r="DE169" s="14"/>
      <c r="DF169" s="14"/>
      <c r="DG169" s="14"/>
      <c r="DH169" s="14"/>
      <c r="DI169" s="14"/>
      <c r="DJ169" s="14"/>
      <c r="DK169" s="14"/>
      <c r="DL169" s="14"/>
      <c r="DM169" s="14"/>
      <c r="DN169" s="14"/>
      <c r="DO169" s="14"/>
      <c r="DP169" s="14"/>
      <c r="DQ169" s="14"/>
      <c r="DR169" s="14"/>
      <c r="DS169" s="14"/>
      <c r="DT169" s="14"/>
      <c r="DU169" s="14"/>
      <c r="DV169" s="14"/>
      <c r="DW169" s="14"/>
      <c r="DX169" s="14"/>
      <c r="DY169" s="14"/>
      <c r="DZ169" s="14"/>
      <c r="EA169" s="14"/>
      <c r="EB169" s="14"/>
      <c r="EC169" s="14"/>
      <c r="ED169" s="14"/>
      <c r="EE169" s="14"/>
      <c r="EF169" s="14"/>
      <c r="EG169" s="14"/>
      <c r="EH169" s="14"/>
      <c r="EI169" s="14"/>
      <c r="EJ169" s="14"/>
      <c r="EK169" s="14"/>
      <c r="EL169" s="14"/>
      <c r="EM169" s="14"/>
      <c r="EN169" s="14"/>
      <c r="EO169" s="14"/>
      <c r="EP169" s="14"/>
      <c r="EQ169" s="14"/>
      <c r="ER169" s="14"/>
      <c r="ES169" s="14"/>
      <c r="ET169" s="14"/>
      <c r="EU169" s="14"/>
      <c r="EV169" s="14"/>
      <c r="EW169" s="14"/>
      <c r="EX169" s="14"/>
      <c r="EY169" s="14"/>
      <c r="EZ169" s="14"/>
      <c r="FA169" s="14"/>
      <c r="FB169" s="14"/>
      <c r="FC169" s="14"/>
      <c r="FD169" s="14"/>
      <c r="FE169" s="14"/>
      <c r="FF169" s="14"/>
      <c r="FG169" s="14"/>
      <c r="FH169" s="14"/>
      <c r="FI169" s="14"/>
      <c r="FJ169" s="14"/>
      <c r="FK169" s="14"/>
      <c r="FL169" s="14"/>
      <c r="FM169" s="14"/>
      <c r="FN169" s="14"/>
      <c r="FO169" s="14"/>
      <c r="FP169" s="14"/>
      <c r="FQ169" s="14"/>
      <c r="FR169" s="14"/>
      <c r="FS169" s="14"/>
      <c r="FT169" s="14"/>
      <c r="FU169" s="14"/>
      <c r="FV169" s="14"/>
      <c r="FW169" s="14"/>
      <c r="FX169" s="14"/>
      <c r="FY169" s="14"/>
      <c r="FZ169" s="14"/>
      <c r="GA169" s="14"/>
      <c r="GB169" s="14"/>
      <c r="GC169" s="14"/>
      <c r="GD169" s="14"/>
      <c r="GE169" s="14"/>
      <c r="GF169" s="14"/>
      <c r="GG169" s="14"/>
      <c r="GH169" s="14"/>
      <c r="GI169" s="14"/>
      <c r="GJ169" s="14"/>
      <c r="GK169" s="14"/>
      <c r="GL169" s="14"/>
      <c r="GM169" s="14"/>
      <c r="GN169" s="14"/>
      <c r="GO169" s="14"/>
      <c r="GP169" s="14"/>
      <c r="GQ169" s="14"/>
      <c r="GR169" s="14"/>
      <c r="GS169" s="14"/>
      <c r="GT169" s="14"/>
      <c r="GU169" s="14"/>
      <c r="GV169" s="14"/>
      <c r="GW169" s="14"/>
      <c r="GX169" s="14"/>
      <c r="GY169" s="14"/>
      <c r="GZ169" s="14"/>
      <c r="HA169" s="14"/>
      <c r="HB169" s="14"/>
      <c r="HC169" s="14"/>
      <c r="HD169" s="14"/>
      <c r="HE169" s="14"/>
      <c r="HF169" s="14"/>
      <c r="HG169" s="14"/>
      <c r="HH169" s="14"/>
      <c r="HI169" s="14"/>
      <c r="HJ169" s="14"/>
      <c r="HK169" s="14"/>
      <c r="HL169" s="14"/>
      <c r="HM169" s="14"/>
      <c r="HN169" s="14"/>
      <c r="HO169" s="14"/>
      <c r="HP169" s="14"/>
      <c r="HQ169" s="14"/>
      <c r="HR169" s="14"/>
      <c r="HS169" s="14"/>
      <c r="HT169" s="14"/>
    </row>
    <row r="170" spans="2:228" ht="15" customHeight="1" x14ac:dyDescent="0.2">
      <c r="B170" s="337" t="s">
        <v>1706</v>
      </c>
      <c r="C170" s="1944"/>
      <c r="D170" s="1953"/>
      <c r="E170" s="1953"/>
      <c r="F170" s="1953"/>
      <c r="G170" s="1953"/>
      <c r="H170" s="1953"/>
      <c r="I170" s="1953"/>
      <c r="J170" s="1953"/>
      <c r="K170" s="1953"/>
      <c r="L170" s="1646"/>
      <c r="M170" s="1647"/>
      <c r="N170" s="1648"/>
      <c r="O170" s="76">
        <f>IF(C170=T170,0.8,IF(C170=U170,0.45,IF(C170=V170,0.8,0)))</f>
        <v>0</v>
      </c>
      <c r="P170" s="1745"/>
      <c r="R170" s="1557"/>
      <c r="S170" s="922" t="s">
        <v>1942</v>
      </c>
      <c r="T170" s="922" t="s">
        <v>1547</v>
      </c>
      <c r="U170" s="928" t="s">
        <v>1548</v>
      </c>
      <c r="V170" s="922" t="s">
        <v>1549</v>
      </c>
      <c r="W170" s="18"/>
      <c r="X170" s="18"/>
      <c r="Y170" s="18"/>
      <c r="Z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4"/>
      <c r="BR170" s="14"/>
      <c r="BS170" s="14"/>
      <c r="BT170" s="14"/>
      <c r="BU170" s="14"/>
      <c r="BV170" s="14"/>
      <c r="BW170" s="14"/>
      <c r="BX170" s="14"/>
      <c r="BY170" s="14"/>
      <c r="BZ170" s="14"/>
      <c r="CA170" s="14"/>
      <c r="CB170" s="14"/>
      <c r="CC170" s="14"/>
      <c r="CD170" s="14"/>
      <c r="CE170" s="14"/>
      <c r="CF170" s="14"/>
      <c r="CG170" s="14"/>
      <c r="CH170" s="14"/>
      <c r="CI170" s="14"/>
      <c r="CJ170" s="14"/>
      <c r="CK170" s="14"/>
      <c r="CL170" s="14"/>
      <c r="CM170" s="14"/>
      <c r="CN170" s="14"/>
      <c r="CO170" s="14"/>
      <c r="CP170" s="14"/>
      <c r="CQ170" s="14"/>
      <c r="CR170" s="14"/>
      <c r="CS170" s="14"/>
      <c r="CT170" s="14"/>
      <c r="CU170" s="14"/>
      <c r="CV170" s="14"/>
      <c r="CW170" s="14"/>
      <c r="CX170" s="14"/>
      <c r="CY170" s="14"/>
      <c r="CZ170" s="14"/>
      <c r="DA170" s="14"/>
      <c r="DB170" s="14"/>
      <c r="DC170" s="14"/>
      <c r="DD170" s="14"/>
      <c r="DE170" s="14"/>
      <c r="DF170" s="14"/>
      <c r="DG170" s="14"/>
      <c r="DH170" s="14"/>
      <c r="DI170" s="14"/>
      <c r="DJ170" s="14"/>
      <c r="DK170" s="14"/>
      <c r="DL170" s="14"/>
      <c r="DM170" s="14"/>
      <c r="DN170" s="14"/>
      <c r="DO170" s="14"/>
      <c r="DP170" s="14"/>
      <c r="DQ170" s="14"/>
      <c r="DR170" s="14"/>
      <c r="DS170" s="14"/>
      <c r="DT170" s="14"/>
      <c r="DU170" s="14"/>
      <c r="DV170" s="14"/>
      <c r="DW170" s="14"/>
      <c r="DX170" s="14"/>
      <c r="DY170" s="14"/>
      <c r="DZ170" s="14"/>
      <c r="EA170" s="14"/>
      <c r="EB170" s="14"/>
      <c r="EC170" s="14"/>
      <c r="ED170" s="14"/>
      <c r="EE170" s="14"/>
      <c r="EF170" s="14"/>
      <c r="EG170" s="14"/>
      <c r="EH170" s="14"/>
      <c r="EI170" s="14"/>
      <c r="EJ170" s="14"/>
      <c r="EK170" s="14"/>
      <c r="EL170" s="14"/>
      <c r="EM170" s="14"/>
      <c r="EN170" s="14"/>
      <c r="EO170" s="14"/>
      <c r="EP170" s="14"/>
      <c r="EQ170" s="14"/>
      <c r="ER170" s="14"/>
      <c r="ES170" s="14"/>
      <c r="ET170" s="14"/>
      <c r="EU170" s="14"/>
      <c r="EV170" s="14"/>
      <c r="EW170" s="14"/>
      <c r="EX170" s="14"/>
      <c r="EY170" s="14"/>
      <c r="EZ170" s="14"/>
      <c r="FA170" s="14"/>
      <c r="FB170" s="14"/>
      <c r="FC170" s="14"/>
      <c r="FD170" s="14"/>
      <c r="FE170" s="14"/>
      <c r="FF170" s="14"/>
      <c r="FG170" s="14"/>
      <c r="FH170" s="14"/>
      <c r="FI170" s="14"/>
      <c r="FJ170" s="14"/>
      <c r="FK170" s="14"/>
      <c r="FL170" s="14"/>
      <c r="FM170" s="14"/>
      <c r="FN170" s="14"/>
      <c r="FO170" s="14"/>
      <c r="FP170" s="14"/>
      <c r="FQ170" s="14"/>
      <c r="FR170" s="14"/>
      <c r="FS170" s="14"/>
      <c r="FT170" s="14"/>
      <c r="FU170" s="14"/>
      <c r="FV170" s="14"/>
      <c r="FW170" s="14"/>
      <c r="FX170" s="14"/>
      <c r="FY170" s="14"/>
      <c r="FZ170" s="14"/>
      <c r="GA170" s="14"/>
      <c r="GB170" s="14"/>
      <c r="GC170" s="14"/>
      <c r="GD170" s="14"/>
      <c r="GE170" s="14"/>
      <c r="GF170" s="14"/>
      <c r="GG170" s="14"/>
      <c r="GH170" s="14"/>
      <c r="GI170" s="14"/>
      <c r="GJ170" s="14"/>
      <c r="GK170" s="14"/>
      <c r="GL170" s="14"/>
      <c r="GM170" s="14"/>
      <c r="GN170" s="14"/>
      <c r="GO170" s="14"/>
      <c r="GP170" s="14"/>
      <c r="GQ170" s="14"/>
      <c r="GR170" s="14"/>
      <c r="GS170" s="14"/>
      <c r="GT170" s="14"/>
      <c r="GU170" s="14"/>
      <c r="GV170" s="14"/>
      <c r="GW170" s="14"/>
      <c r="GX170" s="14"/>
      <c r="GY170" s="14"/>
      <c r="GZ170" s="14"/>
      <c r="HA170" s="14"/>
      <c r="HB170" s="14"/>
      <c r="HC170" s="14"/>
      <c r="HD170" s="14"/>
      <c r="HE170" s="14"/>
      <c r="HF170" s="14"/>
      <c r="HG170" s="14"/>
      <c r="HH170" s="14"/>
      <c r="HI170" s="14"/>
      <c r="HJ170" s="14"/>
      <c r="HK170" s="14"/>
      <c r="HL170" s="14"/>
      <c r="HM170" s="14"/>
      <c r="HN170" s="14"/>
      <c r="HO170" s="14"/>
      <c r="HP170" s="14"/>
      <c r="HQ170" s="14"/>
      <c r="HR170" s="14"/>
      <c r="HS170" s="14"/>
      <c r="HT170" s="14"/>
    </row>
    <row r="171" spans="2:228" ht="12" customHeight="1" x14ac:dyDescent="0.25">
      <c r="B171" s="1961"/>
      <c r="C171" s="1876"/>
      <c r="D171" s="1876"/>
      <c r="E171" s="1876"/>
      <c r="F171" s="1876"/>
      <c r="G171" s="1876"/>
      <c r="H171" s="1876"/>
      <c r="I171" s="1876"/>
      <c r="J171" s="1876"/>
      <c r="K171" s="1876"/>
      <c r="L171" s="1876"/>
      <c r="M171" s="1876"/>
      <c r="N171" s="1876"/>
      <c r="O171" s="1876"/>
      <c r="P171" s="1745"/>
      <c r="R171" s="18"/>
      <c r="S171" s="698"/>
      <c r="T171" s="698"/>
      <c r="U171" s="698"/>
      <c r="V171" s="18"/>
      <c r="W171" s="18"/>
      <c r="X171" s="18"/>
      <c r="Y171" s="18"/>
      <c r="Z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4"/>
      <c r="BR171" s="14"/>
      <c r="BS171" s="14"/>
      <c r="BT171" s="14"/>
      <c r="BU171" s="14"/>
      <c r="BV171" s="14"/>
      <c r="BW171" s="14"/>
      <c r="BX171" s="14"/>
      <c r="BY171" s="14"/>
      <c r="BZ171" s="14"/>
      <c r="CA171" s="14"/>
      <c r="CB171" s="14"/>
      <c r="CC171" s="14"/>
      <c r="CD171" s="14"/>
      <c r="CE171" s="14"/>
      <c r="CF171" s="14"/>
      <c r="CG171" s="14"/>
      <c r="CH171" s="14"/>
      <c r="CI171" s="14"/>
      <c r="CJ171" s="14"/>
      <c r="CK171" s="14"/>
      <c r="CL171" s="14"/>
      <c r="CM171" s="14"/>
      <c r="CN171" s="14"/>
      <c r="CO171" s="14"/>
      <c r="CP171" s="14"/>
      <c r="CQ171" s="14"/>
      <c r="CR171" s="14"/>
      <c r="CS171" s="14"/>
      <c r="CT171" s="14"/>
      <c r="CU171" s="14"/>
      <c r="CV171" s="14"/>
      <c r="CW171" s="14"/>
      <c r="CX171" s="14"/>
      <c r="CY171" s="14"/>
      <c r="CZ171" s="14"/>
      <c r="DA171" s="14"/>
      <c r="DB171" s="14"/>
      <c r="DC171" s="14"/>
      <c r="DD171" s="14"/>
      <c r="DE171" s="14"/>
      <c r="DF171" s="14"/>
      <c r="DG171" s="14"/>
      <c r="DH171" s="14"/>
      <c r="DI171" s="14"/>
      <c r="DJ171" s="14"/>
      <c r="DK171" s="14"/>
      <c r="DL171" s="14"/>
      <c r="DM171" s="14"/>
      <c r="DN171" s="14"/>
      <c r="DO171" s="14"/>
      <c r="DP171" s="14"/>
      <c r="DQ171" s="14"/>
      <c r="DR171" s="14"/>
      <c r="DS171" s="14"/>
      <c r="DT171" s="14"/>
      <c r="DU171" s="14"/>
      <c r="DV171" s="14"/>
      <c r="DW171" s="14"/>
      <c r="DX171" s="14"/>
      <c r="DY171" s="14"/>
      <c r="DZ171" s="14"/>
      <c r="EA171" s="14"/>
      <c r="EB171" s="14"/>
      <c r="EC171" s="14"/>
      <c r="ED171" s="14"/>
      <c r="EE171" s="14"/>
      <c r="EF171" s="14"/>
      <c r="EG171" s="14"/>
      <c r="EH171" s="14"/>
      <c r="EI171" s="14"/>
      <c r="EJ171" s="14"/>
      <c r="EK171" s="14"/>
      <c r="EL171" s="14"/>
      <c r="EM171" s="14"/>
      <c r="EN171" s="14"/>
      <c r="EO171" s="14"/>
      <c r="EP171" s="14"/>
      <c r="EQ171" s="14"/>
      <c r="ER171" s="14"/>
      <c r="ES171" s="14"/>
      <c r="ET171" s="14"/>
      <c r="EU171" s="14"/>
      <c r="EV171" s="14"/>
      <c r="EW171" s="14"/>
      <c r="EX171" s="14"/>
      <c r="EY171" s="14"/>
      <c r="EZ171" s="14"/>
      <c r="FA171" s="14"/>
      <c r="FB171" s="14"/>
      <c r="FC171" s="14"/>
      <c r="FD171" s="14"/>
      <c r="FE171" s="14"/>
      <c r="FF171" s="14"/>
      <c r="FG171" s="14"/>
      <c r="FH171" s="14"/>
      <c r="FI171" s="14"/>
      <c r="FJ171" s="14"/>
      <c r="FK171" s="14"/>
      <c r="FL171" s="14"/>
      <c r="FM171" s="14"/>
      <c r="FN171" s="14"/>
      <c r="FO171" s="14"/>
      <c r="FP171" s="14"/>
      <c r="FQ171" s="14"/>
      <c r="FR171" s="14"/>
      <c r="FS171" s="14"/>
      <c r="FT171" s="14"/>
      <c r="FU171" s="14"/>
      <c r="FV171" s="14"/>
      <c r="FW171" s="14"/>
      <c r="FX171" s="14"/>
      <c r="FY171" s="14"/>
      <c r="FZ171" s="14"/>
      <c r="GA171" s="14"/>
      <c r="GB171" s="14"/>
      <c r="GC171" s="14"/>
      <c r="GD171" s="14"/>
      <c r="GE171" s="14"/>
      <c r="GF171" s="14"/>
      <c r="GG171" s="14"/>
      <c r="GH171" s="14"/>
      <c r="GI171" s="14"/>
      <c r="GJ171" s="14"/>
      <c r="GK171" s="14"/>
      <c r="GL171" s="14"/>
      <c r="GM171" s="14"/>
      <c r="GN171" s="14"/>
      <c r="GO171" s="14"/>
      <c r="GP171" s="14"/>
      <c r="GQ171" s="14"/>
      <c r="GR171" s="14"/>
      <c r="GS171" s="14"/>
      <c r="GT171" s="14"/>
      <c r="GU171" s="14"/>
      <c r="GV171" s="14"/>
      <c r="GW171" s="14"/>
      <c r="GX171" s="14"/>
      <c r="GY171" s="14"/>
      <c r="GZ171" s="14"/>
      <c r="HA171" s="14"/>
      <c r="HB171" s="14"/>
      <c r="HC171" s="14"/>
      <c r="HD171" s="14"/>
      <c r="HE171" s="14"/>
      <c r="HF171" s="14"/>
      <c r="HG171" s="14"/>
      <c r="HH171" s="14"/>
      <c r="HI171" s="14"/>
      <c r="HJ171" s="14"/>
      <c r="HK171" s="14"/>
      <c r="HL171" s="14"/>
      <c r="HM171" s="14"/>
      <c r="HN171" s="14"/>
      <c r="HO171" s="14"/>
      <c r="HP171" s="14"/>
      <c r="HQ171" s="14"/>
      <c r="HR171" s="14"/>
      <c r="HS171" s="14"/>
      <c r="HT171" s="14"/>
    </row>
    <row r="172" spans="2:228" ht="28.5" customHeight="1" x14ac:dyDescent="0.2">
      <c r="B172" s="250"/>
      <c r="C172" s="1549" t="s">
        <v>1596</v>
      </c>
      <c r="D172" s="1550"/>
      <c r="E172" s="1550"/>
      <c r="F172" s="1550"/>
      <c r="G172" s="1536" t="s">
        <v>1081</v>
      </c>
      <c r="H172" s="1536"/>
      <c r="I172" s="1536"/>
      <c r="J172" s="1536"/>
      <c r="K172" s="1536"/>
      <c r="L172" s="1739"/>
      <c r="M172" s="1812"/>
      <c r="N172" s="1812"/>
      <c r="O172" s="1812"/>
      <c r="P172" s="1745"/>
      <c r="R172" s="1111"/>
      <c r="S172" s="933"/>
      <c r="T172" s="698"/>
      <c r="U172" s="698"/>
      <c r="V172" s="18"/>
      <c r="W172" s="18"/>
      <c r="X172" s="18"/>
      <c r="Y172" s="1531" t="s">
        <v>2263</v>
      </c>
      <c r="Z172" s="1535"/>
      <c r="AA172" s="1532"/>
      <c r="AB172" s="1111"/>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4"/>
      <c r="BR172" s="14"/>
      <c r="BS172" s="14"/>
      <c r="BT172" s="14"/>
      <c r="BU172" s="14"/>
      <c r="BV172" s="14"/>
      <c r="BW172" s="14"/>
      <c r="BX172" s="14"/>
      <c r="BY172" s="14"/>
      <c r="BZ172" s="14"/>
      <c r="CA172" s="14"/>
      <c r="CB172" s="14"/>
      <c r="CC172" s="14"/>
      <c r="CD172" s="14"/>
      <c r="CE172" s="14"/>
      <c r="CF172" s="14"/>
      <c r="CG172" s="14"/>
      <c r="CH172" s="14"/>
      <c r="CI172" s="14"/>
      <c r="CJ172" s="14"/>
      <c r="CK172" s="14"/>
      <c r="CL172" s="14"/>
      <c r="CM172" s="14"/>
      <c r="CN172" s="14"/>
      <c r="CO172" s="14"/>
      <c r="CP172" s="14"/>
      <c r="CQ172" s="14"/>
      <c r="CR172" s="14"/>
      <c r="CS172" s="14"/>
      <c r="CT172" s="14"/>
      <c r="CU172" s="14"/>
      <c r="CV172" s="14"/>
      <c r="CW172" s="14"/>
      <c r="CX172" s="14"/>
      <c r="CY172" s="14"/>
      <c r="CZ172" s="14"/>
      <c r="DA172" s="14"/>
      <c r="DB172" s="14"/>
      <c r="DC172" s="14"/>
      <c r="DD172" s="14"/>
      <c r="DE172" s="14"/>
      <c r="DF172" s="14"/>
      <c r="DG172" s="14"/>
      <c r="DH172" s="14"/>
      <c r="DI172" s="14"/>
      <c r="DJ172" s="14"/>
      <c r="DK172" s="14"/>
      <c r="DL172" s="14"/>
      <c r="DM172" s="14"/>
      <c r="DN172" s="14"/>
      <c r="DO172" s="14"/>
      <c r="DP172" s="14"/>
      <c r="DQ172" s="14"/>
      <c r="DR172" s="14"/>
      <c r="DS172" s="14"/>
      <c r="DT172" s="14"/>
      <c r="DU172" s="14"/>
      <c r="DV172" s="14"/>
      <c r="DW172" s="14"/>
      <c r="DX172" s="14"/>
      <c r="DY172" s="14"/>
      <c r="DZ172" s="14"/>
      <c r="EA172" s="14"/>
      <c r="EB172" s="14"/>
      <c r="EC172" s="14"/>
      <c r="ED172" s="14"/>
      <c r="EE172" s="14"/>
      <c r="EF172" s="14"/>
      <c r="EG172" s="14"/>
      <c r="EH172" s="14"/>
      <c r="EI172" s="14"/>
      <c r="EJ172" s="14"/>
      <c r="EK172" s="14"/>
      <c r="EL172" s="14"/>
      <c r="EM172" s="14"/>
      <c r="EN172" s="14"/>
      <c r="EO172" s="14"/>
      <c r="EP172" s="14"/>
      <c r="EQ172" s="14"/>
      <c r="ER172" s="14"/>
      <c r="ES172" s="14"/>
      <c r="ET172" s="14"/>
      <c r="EU172" s="14"/>
      <c r="EV172" s="14"/>
      <c r="EW172" s="14"/>
      <c r="EX172" s="14"/>
      <c r="EY172" s="14"/>
      <c r="EZ172" s="14"/>
      <c r="FA172" s="14"/>
      <c r="FB172" s="14"/>
      <c r="FC172" s="14"/>
      <c r="FD172" s="14"/>
      <c r="FE172" s="14"/>
      <c r="FF172" s="14"/>
      <c r="FG172" s="14"/>
      <c r="FH172" s="14"/>
      <c r="FI172" s="14"/>
      <c r="FJ172" s="14"/>
      <c r="FK172" s="14"/>
      <c r="FL172" s="14"/>
      <c r="FM172" s="14"/>
      <c r="FN172" s="14"/>
      <c r="FO172" s="14"/>
      <c r="FP172" s="14"/>
      <c r="FQ172" s="14"/>
      <c r="FR172" s="14"/>
      <c r="FS172" s="14"/>
      <c r="FT172" s="14"/>
      <c r="FU172" s="14"/>
      <c r="FV172" s="14"/>
      <c r="FW172" s="14"/>
      <c r="FX172" s="14"/>
      <c r="FY172" s="14"/>
      <c r="FZ172" s="14"/>
      <c r="GA172" s="14"/>
      <c r="GB172" s="14"/>
      <c r="GC172" s="14"/>
      <c r="GD172" s="14"/>
      <c r="GE172" s="14"/>
      <c r="GF172" s="14"/>
      <c r="GG172" s="14"/>
      <c r="GH172" s="14"/>
      <c r="GI172" s="14"/>
      <c r="GJ172" s="14"/>
      <c r="GK172" s="14"/>
      <c r="GL172" s="14"/>
      <c r="GM172" s="14"/>
      <c r="GN172" s="14"/>
      <c r="GO172" s="14"/>
      <c r="GP172" s="14"/>
      <c r="GQ172" s="14"/>
      <c r="GR172" s="14"/>
      <c r="GS172" s="14"/>
      <c r="GT172" s="14"/>
      <c r="GU172" s="14"/>
      <c r="GV172" s="14"/>
      <c r="GW172" s="14"/>
      <c r="GX172" s="14"/>
      <c r="GY172" s="14"/>
      <c r="GZ172" s="14"/>
      <c r="HA172" s="14"/>
      <c r="HB172" s="14"/>
      <c r="HC172" s="14"/>
      <c r="HD172" s="14"/>
      <c r="HE172" s="14"/>
      <c r="HF172" s="14"/>
      <c r="HG172" s="14"/>
      <c r="HH172" s="14"/>
      <c r="HI172" s="14"/>
      <c r="HJ172" s="14"/>
      <c r="HK172" s="14"/>
      <c r="HL172" s="14"/>
      <c r="HM172" s="14"/>
      <c r="HN172" s="14"/>
      <c r="HO172" s="14"/>
      <c r="HP172" s="14"/>
      <c r="HQ172" s="14"/>
      <c r="HR172" s="14"/>
      <c r="HS172" s="14"/>
      <c r="HT172" s="14"/>
    </row>
    <row r="173" spans="2:228" ht="15" customHeight="1" x14ac:dyDescent="0.2">
      <c r="B173" s="156" t="s">
        <v>1841</v>
      </c>
      <c r="C173" s="1555" t="s">
        <v>365</v>
      </c>
      <c r="D173" s="1555"/>
      <c r="E173" s="1555" t="s">
        <v>1796</v>
      </c>
      <c r="F173" s="1555"/>
      <c r="G173" s="1450" t="s">
        <v>365</v>
      </c>
      <c r="H173" s="1450"/>
      <c r="I173" s="1450"/>
      <c r="J173" s="1450" t="s">
        <v>1796</v>
      </c>
      <c r="K173" s="1450"/>
      <c r="L173" s="1578"/>
      <c r="M173" s="1578"/>
      <c r="N173" s="1578"/>
      <c r="O173" s="1578"/>
      <c r="P173" s="1745"/>
      <c r="R173" s="1111"/>
      <c r="S173" s="922" t="s">
        <v>1573</v>
      </c>
      <c r="T173" s="928" t="s">
        <v>1596</v>
      </c>
      <c r="U173" s="928" t="s">
        <v>1597</v>
      </c>
      <c r="V173" s="1555" t="s">
        <v>1083</v>
      </c>
      <c r="W173" s="1555"/>
      <c r="X173" s="933"/>
      <c r="Y173" s="1113">
        <f>IF(OR(O169&gt;0,O170&gt;0,E175&gt;0,E177&gt;0),1,0)</f>
        <v>0</v>
      </c>
      <c r="Z173" s="1080">
        <f>IF(AND(OR(O169&gt;0,O170&gt;0),OR(E174&gt;0,E176&gt;0),C179&gt;0),C179*O178,O178)</f>
        <v>0</v>
      </c>
      <c r="AA173" s="1056">
        <f>IF(AND(Y173=0,C179&gt;0),C179*AB178,AB178)</f>
        <v>0</v>
      </c>
      <c r="AB173" s="63"/>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4"/>
      <c r="BR173" s="14"/>
      <c r="BS173" s="14"/>
      <c r="BT173" s="14"/>
      <c r="BU173" s="14"/>
      <c r="BV173" s="14"/>
      <c r="BW173" s="14"/>
      <c r="BX173" s="14"/>
      <c r="BY173" s="14"/>
      <c r="BZ173" s="14"/>
      <c r="CA173" s="14"/>
      <c r="CB173" s="14"/>
      <c r="CC173" s="14"/>
      <c r="CD173" s="14"/>
      <c r="CE173" s="14"/>
      <c r="CF173" s="14"/>
      <c r="CG173" s="14"/>
      <c r="CH173" s="14"/>
      <c r="CI173" s="14"/>
      <c r="CJ173" s="14"/>
      <c r="CK173" s="14"/>
      <c r="CL173" s="14"/>
      <c r="CM173" s="14"/>
      <c r="CN173" s="14"/>
      <c r="CO173" s="14"/>
      <c r="CP173" s="14"/>
      <c r="CQ173" s="14"/>
      <c r="CR173" s="14"/>
      <c r="CS173" s="14"/>
      <c r="CT173" s="14"/>
      <c r="CU173" s="14"/>
      <c r="CV173" s="14"/>
      <c r="CW173" s="14"/>
      <c r="CX173" s="14"/>
      <c r="CY173" s="14"/>
      <c r="CZ173" s="14"/>
      <c r="DA173" s="14"/>
      <c r="DB173" s="14"/>
      <c r="DC173" s="14"/>
      <c r="DD173" s="14"/>
      <c r="DE173" s="14"/>
      <c r="DF173" s="14"/>
      <c r="DG173" s="14"/>
      <c r="DH173" s="14"/>
      <c r="DI173" s="14"/>
      <c r="DJ173" s="14"/>
      <c r="DK173" s="14"/>
      <c r="DL173" s="14"/>
      <c r="DM173" s="14"/>
      <c r="DN173" s="14"/>
      <c r="DO173" s="14"/>
      <c r="DP173" s="14"/>
      <c r="DQ173" s="14"/>
      <c r="DR173" s="14"/>
      <c r="DS173" s="14"/>
      <c r="DT173" s="14"/>
      <c r="DU173" s="14"/>
      <c r="DV173" s="14"/>
      <c r="DW173" s="14"/>
      <c r="DX173" s="14"/>
      <c r="DY173" s="14"/>
      <c r="DZ173" s="14"/>
      <c r="EA173" s="14"/>
      <c r="EB173" s="14"/>
      <c r="EC173" s="14"/>
      <c r="ED173" s="14"/>
      <c r="EE173" s="14"/>
      <c r="EF173" s="14"/>
      <c r="EG173" s="14"/>
      <c r="EH173" s="14"/>
      <c r="EI173" s="14"/>
      <c r="EJ173" s="14"/>
      <c r="EK173" s="14"/>
      <c r="EL173" s="14"/>
      <c r="EM173" s="14"/>
      <c r="EN173" s="14"/>
      <c r="EO173" s="14"/>
      <c r="EP173" s="14"/>
      <c r="EQ173" s="14"/>
      <c r="ER173" s="14"/>
      <c r="ES173" s="14"/>
      <c r="ET173" s="14"/>
      <c r="EU173" s="14"/>
      <c r="EV173" s="14"/>
      <c r="EW173" s="14"/>
      <c r="EX173" s="14"/>
      <c r="EY173" s="14"/>
      <c r="EZ173" s="14"/>
      <c r="FA173" s="14"/>
      <c r="FB173" s="14"/>
      <c r="FC173" s="14"/>
      <c r="FD173" s="14"/>
      <c r="FE173" s="14"/>
      <c r="FF173" s="14"/>
      <c r="FG173" s="14"/>
      <c r="FH173" s="14"/>
      <c r="FI173" s="14"/>
      <c r="FJ173" s="14"/>
      <c r="FK173" s="14"/>
      <c r="FL173" s="14"/>
      <c r="FM173" s="14"/>
      <c r="FN173" s="14"/>
      <c r="FO173" s="14"/>
      <c r="FP173" s="14"/>
      <c r="FQ173" s="14"/>
      <c r="FR173" s="14"/>
      <c r="FS173" s="14"/>
      <c r="FT173" s="14"/>
      <c r="FU173" s="14"/>
      <c r="FV173" s="14"/>
      <c r="FW173" s="14"/>
      <c r="FX173" s="14"/>
      <c r="FY173" s="14"/>
      <c r="FZ173" s="14"/>
      <c r="GA173" s="14"/>
      <c r="GB173" s="14"/>
      <c r="GC173" s="14"/>
      <c r="GD173" s="14"/>
      <c r="GE173" s="14"/>
      <c r="GF173" s="14"/>
      <c r="GG173" s="14"/>
      <c r="GH173" s="14"/>
      <c r="GI173" s="14"/>
      <c r="GJ173" s="14"/>
      <c r="GK173" s="14"/>
      <c r="GL173" s="14"/>
      <c r="GM173" s="14"/>
      <c r="GN173" s="14"/>
      <c r="GO173" s="14"/>
      <c r="GP173" s="14"/>
      <c r="GQ173" s="14"/>
      <c r="GR173" s="14"/>
      <c r="GS173" s="14"/>
      <c r="GT173" s="14"/>
      <c r="GU173" s="14"/>
      <c r="GV173" s="14"/>
      <c r="GW173" s="14"/>
      <c r="GX173" s="14"/>
      <c r="GY173" s="14"/>
      <c r="GZ173" s="14"/>
      <c r="HA173" s="14"/>
      <c r="HB173" s="14"/>
      <c r="HC173" s="14"/>
      <c r="HD173" s="14"/>
      <c r="HE173" s="14"/>
      <c r="HF173" s="14"/>
      <c r="HG173" s="14"/>
      <c r="HH173" s="14"/>
      <c r="HI173" s="14"/>
      <c r="HJ173" s="14"/>
      <c r="HK173" s="14"/>
      <c r="HL173" s="14"/>
      <c r="HM173" s="14"/>
      <c r="HN173" s="14"/>
      <c r="HO173" s="14"/>
      <c r="HP173" s="14"/>
      <c r="HQ173" s="14"/>
      <c r="HR173" s="14"/>
      <c r="HS173" s="14"/>
      <c r="HT173" s="14"/>
    </row>
    <row r="174" spans="2:228" ht="15" customHeight="1" x14ac:dyDescent="0.2">
      <c r="B174" s="358" t="s">
        <v>1335</v>
      </c>
      <c r="C174" s="1637"/>
      <c r="D174" s="1637"/>
      <c r="E174" s="1865">
        <f>LETable!AT30</f>
        <v>0</v>
      </c>
      <c r="F174" s="1865"/>
      <c r="G174" s="1308"/>
      <c r="H174" s="1308"/>
      <c r="I174" s="1308"/>
      <c r="J174" s="1869">
        <f>IF(C174="",0,IF(OR(C174&lt;=0,G174&lt;=0),E174,IF(G174&lt;C174,0,LETable!AY30)))</f>
        <v>0</v>
      </c>
      <c r="K174" s="1869"/>
      <c r="L174" s="1938" t="str">
        <f>IF(OR(C174="NA",G174="NA"),"",IF(AND(C174&lt;&gt;"",G174=""),"Enter contralateral or NA.",IF(AND(C174="",G174&lt;&gt;""),"Need data","")))</f>
        <v/>
      </c>
      <c r="M174" s="1938"/>
      <c r="N174" s="1938"/>
      <c r="O174" s="1939"/>
      <c r="P174" s="1745"/>
      <c r="S174" s="922">
        <v>40</v>
      </c>
      <c r="T174" s="922" t="str">
        <f>IF(OR(C174="",C174="NA"),"",IF(C174&gt;S174,S174,IF(C174&lt;0,0,C174)))</f>
        <v/>
      </c>
      <c r="U174" s="922" t="str">
        <f>IF(OR(G174="",G174="NA"),"",IF(G174&gt;S174,S174,IF(G174&lt;0,0,G174)))</f>
        <v/>
      </c>
      <c r="V174" s="696" t="str">
        <f>IF(W174="","",ROUND(W174,0))</f>
        <v/>
      </c>
      <c r="W174" s="697" t="str">
        <f>IF(T174="","",IF(OR(U174="",U174=0,U174&lt;T174),T174,(T174*S174)/U174))</f>
        <v/>
      </c>
      <c r="X174" s="18"/>
      <c r="Y174" s="63"/>
      <c r="Z174" s="63"/>
      <c r="AA174" s="63"/>
      <c r="AB174" s="63"/>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4"/>
      <c r="BR174" s="14"/>
      <c r="BS174" s="14"/>
      <c r="BT174" s="14"/>
      <c r="BU174" s="14"/>
      <c r="BV174" s="14"/>
      <c r="BW174" s="14"/>
      <c r="BX174" s="14"/>
      <c r="BY174" s="14"/>
      <c r="BZ174" s="14"/>
      <c r="CA174" s="14"/>
      <c r="CB174" s="14"/>
      <c r="CC174" s="14"/>
      <c r="CD174" s="14"/>
      <c r="CE174" s="14"/>
      <c r="CF174" s="14"/>
      <c r="CG174" s="14"/>
      <c r="CH174" s="14"/>
      <c r="CI174" s="14"/>
      <c r="CJ174" s="14"/>
      <c r="CK174" s="14"/>
      <c r="CL174" s="14"/>
      <c r="CM174" s="14"/>
      <c r="CN174" s="14"/>
      <c r="CO174" s="14"/>
      <c r="CP174" s="14"/>
      <c r="CQ174" s="14"/>
      <c r="CR174" s="14"/>
      <c r="CS174" s="14"/>
      <c r="CT174" s="14"/>
      <c r="CU174" s="14"/>
      <c r="CV174" s="14"/>
      <c r="CW174" s="14"/>
      <c r="CX174" s="14"/>
      <c r="CY174" s="14"/>
      <c r="CZ174" s="14"/>
      <c r="DA174" s="14"/>
      <c r="DB174" s="14"/>
      <c r="DC174" s="14"/>
      <c r="DD174" s="14"/>
      <c r="DE174" s="14"/>
      <c r="DF174" s="14"/>
      <c r="DG174" s="14"/>
      <c r="DH174" s="14"/>
      <c r="DI174" s="14"/>
      <c r="DJ174" s="14"/>
      <c r="DK174" s="14"/>
      <c r="DL174" s="14"/>
      <c r="DM174" s="14"/>
      <c r="DN174" s="14"/>
      <c r="DO174" s="14"/>
      <c r="DP174" s="14"/>
      <c r="DQ174" s="14"/>
      <c r="DR174" s="14"/>
      <c r="DS174" s="14"/>
      <c r="DT174" s="14"/>
      <c r="DU174" s="14"/>
      <c r="DV174" s="14"/>
      <c r="DW174" s="14"/>
      <c r="DX174" s="14"/>
      <c r="DY174" s="14"/>
      <c r="DZ174" s="14"/>
      <c r="EA174" s="14"/>
      <c r="EB174" s="14"/>
      <c r="EC174" s="14"/>
      <c r="ED174" s="14"/>
      <c r="EE174" s="14"/>
      <c r="EF174" s="14"/>
      <c r="EG174" s="14"/>
      <c r="EH174" s="14"/>
      <c r="EI174" s="14"/>
      <c r="EJ174" s="14"/>
      <c r="EK174" s="14"/>
      <c r="EL174" s="14"/>
      <c r="EM174" s="14"/>
      <c r="EN174" s="14"/>
      <c r="EO174" s="14"/>
      <c r="EP174" s="14"/>
      <c r="EQ174" s="14"/>
      <c r="ER174" s="14"/>
      <c r="ES174" s="14"/>
      <c r="ET174" s="14"/>
      <c r="EU174" s="14"/>
      <c r="EV174" s="14"/>
      <c r="EW174" s="14"/>
      <c r="EX174" s="14"/>
      <c r="EY174" s="14"/>
      <c r="EZ174" s="14"/>
      <c r="FA174" s="14"/>
      <c r="FB174" s="14"/>
      <c r="FC174" s="14"/>
      <c r="FD174" s="14"/>
      <c r="FE174" s="14"/>
      <c r="FF174" s="14"/>
      <c r="FG174" s="14"/>
      <c r="FH174" s="14"/>
      <c r="FI174" s="14"/>
      <c r="FJ174" s="14"/>
      <c r="FK174" s="14"/>
      <c r="FL174" s="14"/>
      <c r="FM174" s="14"/>
      <c r="FN174" s="14"/>
      <c r="FO174" s="14"/>
      <c r="FP174" s="14"/>
      <c r="FQ174" s="14"/>
      <c r="FR174" s="14"/>
      <c r="FS174" s="14"/>
      <c r="FT174" s="14"/>
      <c r="FU174" s="14"/>
      <c r="FV174" s="14"/>
      <c r="FW174" s="14"/>
      <c r="FX174" s="14"/>
      <c r="FY174" s="14"/>
      <c r="FZ174" s="14"/>
      <c r="GA174" s="14"/>
      <c r="GB174" s="14"/>
      <c r="GC174" s="14"/>
      <c r="GD174" s="14"/>
      <c r="GE174" s="14"/>
      <c r="GF174" s="14"/>
      <c r="GG174" s="14"/>
      <c r="GH174" s="14"/>
      <c r="GI174" s="14"/>
      <c r="GJ174" s="14"/>
      <c r="GK174" s="14"/>
      <c r="GL174" s="14"/>
      <c r="GM174" s="14"/>
      <c r="GN174" s="14"/>
      <c r="GO174" s="14"/>
      <c r="GP174" s="14"/>
      <c r="GQ174" s="14"/>
      <c r="GR174" s="14"/>
      <c r="GS174" s="14"/>
      <c r="GT174" s="14"/>
      <c r="GU174" s="14"/>
      <c r="GV174" s="14"/>
      <c r="GW174" s="14"/>
      <c r="GX174" s="14"/>
      <c r="GY174" s="14"/>
      <c r="GZ174" s="14"/>
      <c r="HA174" s="14"/>
      <c r="HB174" s="14"/>
      <c r="HC174" s="14"/>
      <c r="HD174" s="14"/>
      <c r="HE174" s="14"/>
      <c r="HF174" s="14"/>
      <c r="HG174" s="14"/>
      <c r="HH174" s="14"/>
      <c r="HI174" s="14"/>
      <c r="HJ174" s="14"/>
      <c r="HK174" s="14"/>
      <c r="HL174" s="14"/>
      <c r="HM174" s="14"/>
      <c r="HN174" s="14"/>
      <c r="HO174" s="14"/>
      <c r="HP174" s="14"/>
      <c r="HQ174" s="14"/>
      <c r="HR174" s="14"/>
      <c r="HS174" s="14"/>
      <c r="HT174" s="14"/>
    </row>
    <row r="175" spans="2:228" ht="15" customHeight="1" x14ac:dyDescent="0.2">
      <c r="B175" s="358" t="s">
        <v>1336</v>
      </c>
      <c r="C175" s="1952"/>
      <c r="D175" s="1952"/>
      <c r="E175" s="1865">
        <f>IF(AND(C175&lt;&gt;"",C175&lt;&gt;"NA",C174&lt;&gt;"NA",C174&lt;&gt;""),"ERROR",IF(AND(C175&lt;&gt;"",C175&lt;&gt;"NA",C176&lt;&gt;"",C176&lt;&gt;"NA"),"ERROR",LETable!AT31))</f>
        <v>0</v>
      </c>
      <c r="F175" s="1865"/>
      <c r="G175" s="1556" t="str">
        <f>IF(E175="ERROR","Error: Cannot rate ROM and ankylosis.","")</f>
        <v/>
      </c>
      <c r="H175" s="1556"/>
      <c r="I175" s="1556"/>
      <c r="J175" s="1556"/>
      <c r="K175" s="1556"/>
      <c r="L175" s="1556"/>
      <c r="M175" s="1556"/>
      <c r="N175" s="1556"/>
      <c r="O175" s="1704"/>
      <c r="P175" s="1745"/>
      <c r="R175" s="18"/>
      <c r="S175" s="922">
        <v>40</v>
      </c>
      <c r="T175" s="922" t="str">
        <f>IF(OR(C175="",C175="NA"),"",IF(C175&gt;S175,S175,IF(C175&lt;0,0,C175)))</f>
        <v/>
      </c>
      <c r="U175" s="18"/>
      <c r="V175" s="18"/>
      <c r="W175" s="18"/>
      <c r="X175" s="18"/>
      <c r="Y175" s="63"/>
      <c r="Z175" s="63"/>
      <c r="AA175" s="63"/>
      <c r="AB175" s="63"/>
      <c r="AC175" s="18"/>
      <c r="AD175" s="18"/>
      <c r="AE175" s="18"/>
      <c r="AF175" s="18"/>
      <c r="AG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4"/>
      <c r="BR175" s="14"/>
      <c r="BS175" s="14"/>
      <c r="BT175" s="14"/>
      <c r="BU175" s="14"/>
      <c r="BV175" s="14"/>
      <c r="BW175" s="14"/>
      <c r="BX175" s="14"/>
      <c r="BY175" s="14"/>
      <c r="BZ175" s="14"/>
      <c r="CA175" s="14"/>
      <c r="CB175" s="14"/>
      <c r="CC175" s="14"/>
      <c r="CD175" s="14"/>
      <c r="CE175" s="14"/>
      <c r="CF175" s="14"/>
      <c r="CG175" s="14"/>
      <c r="CH175" s="14"/>
      <c r="CI175" s="14"/>
      <c r="CJ175" s="14"/>
      <c r="CK175" s="14"/>
      <c r="CL175" s="14"/>
      <c r="CM175" s="14"/>
      <c r="CN175" s="14"/>
      <c r="CO175" s="14"/>
      <c r="CP175" s="14"/>
      <c r="CQ175" s="14"/>
      <c r="CR175" s="14"/>
      <c r="CS175" s="14"/>
      <c r="CT175" s="14"/>
      <c r="CU175" s="14"/>
      <c r="CV175" s="14"/>
      <c r="CW175" s="14"/>
      <c r="CX175" s="14"/>
      <c r="CY175" s="14"/>
      <c r="CZ175" s="14"/>
      <c r="DA175" s="14"/>
      <c r="DB175" s="14"/>
      <c r="DC175" s="14"/>
      <c r="DD175" s="14"/>
      <c r="DE175" s="14"/>
      <c r="DF175" s="14"/>
      <c r="DG175" s="14"/>
      <c r="DH175" s="14"/>
      <c r="DI175" s="14"/>
      <c r="DJ175" s="14"/>
      <c r="DK175" s="14"/>
      <c r="DL175" s="14"/>
      <c r="DM175" s="14"/>
      <c r="DN175" s="14"/>
      <c r="DO175" s="14"/>
      <c r="DP175" s="14"/>
      <c r="DQ175" s="14"/>
      <c r="DR175" s="14"/>
      <c r="DS175" s="14"/>
      <c r="DT175" s="14"/>
      <c r="DU175" s="14"/>
      <c r="DV175" s="14"/>
      <c r="DW175" s="14"/>
      <c r="DX175" s="14"/>
      <c r="DY175" s="14"/>
      <c r="DZ175" s="14"/>
      <c r="EA175" s="14"/>
      <c r="EB175" s="14"/>
      <c r="EC175" s="14"/>
      <c r="ED175" s="14"/>
      <c r="EE175" s="14"/>
      <c r="EF175" s="14"/>
      <c r="EG175" s="14"/>
      <c r="EH175" s="14"/>
      <c r="EI175" s="14"/>
      <c r="EJ175" s="14"/>
      <c r="EK175" s="14"/>
      <c r="EL175" s="14"/>
      <c r="EM175" s="14"/>
      <c r="EN175" s="14"/>
      <c r="EO175" s="14"/>
      <c r="EP175" s="14"/>
      <c r="EQ175" s="14"/>
      <c r="ER175" s="14"/>
      <c r="ES175" s="14"/>
      <c r="ET175" s="14"/>
      <c r="EU175" s="14"/>
      <c r="EV175" s="14"/>
      <c r="EW175" s="14"/>
      <c r="EX175" s="14"/>
      <c r="EY175" s="14"/>
      <c r="EZ175" s="14"/>
      <c r="FA175" s="14"/>
      <c r="FB175" s="14"/>
      <c r="FC175" s="14"/>
      <c r="FD175" s="14"/>
      <c r="FE175" s="14"/>
      <c r="FF175" s="14"/>
      <c r="FG175" s="14"/>
      <c r="FH175" s="14"/>
      <c r="FI175" s="14"/>
      <c r="FJ175" s="14"/>
      <c r="FK175" s="14"/>
      <c r="FL175" s="14"/>
      <c r="FM175" s="14"/>
      <c r="FN175" s="14"/>
      <c r="FO175" s="14"/>
      <c r="FP175" s="14"/>
      <c r="FQ175" s="14"/>
      <c r="FR175" s="14"/>
      <c r="FS175" s="14"/>
      <c r="FT175" s="14"/>
      <c r="FU175" s="14"/>
      <c r="FV175" s="14"/>
      <c r="FW175" s="14"/>
      <c r="FX175" s="14"/>
      <c r="FY175" s="14"/>
      <c r="FZ175" s="14"/>
      <c r="GA175" s="14"/>
      <c r="GB175" s="14"/>
      <c r="GC175" s="14"/>
      <c r="GD175" s="14"/>
      <c r="GE175" s="14"/>
      <c r="GF175" s="14"/>
      <c r="GG175" s="14"/>
      <c r="GH175" s="14"/>
      <c r="GI175" s="14"/>
      <c r="GJ175" s="14"/>
      <c r="GK175" s="14"/>
      <c r="GL175" s="14"/>
      <c r="GM175" s="14"/>
      <c r="GN175" s="14"/>
      <c r="GO175" s="14"/>
      <c r="GP175" s="14"/>
      <c r="GQ175" s="14"/>
      <c r="GR175" s="14"/>
      <c r="GS175" s="14"/>
      <c r="GT175" s="14"/>
      <c r="GU175" s="14"/>
      <c r="GV175" s="14"/>
      <c r="GW175" s="14"/>
      <c r="GX175" s="14"/>
      <c r="GY175" s="14"/>
      <c r="GZ175" s="14"/>
      <c r="HA175" s="14"/>
      <c r="HB175" s="14"/>
      <c r="HC175" s="14"/>
      <c r="HD175" s="14"/>
      <c r="HE175" s="14"/>
      <c r="HF175" s="14"/>
      <c r="HG175" s="14"/>
      <c r="HH175" s="14"/>
      <c r="HI175" s="14"/>
      <c r="HJ175" s="14"/>
      <c r="HK175" s="14"/>
      <c r="HL175" s="14"/>
      <c r="HM175" s="14"/>
      <c r="HN175" s="14"/>
      <c r="HO175" s="14"/>
      <c r="HP175" s="14"/>
      <c r="HQ175" s="14"/>
      <c r="HR175" s="14"/>
      <c r="HS175" s="14"/>
      <c r="HT175" s="14"/>
    </row>
    <row r="176" spans="2:228" ht="15" customHeight="1" x14ac:dyDescent="0.2">
      <c r="B176" s="156" t="s">
        <v>1256</v>
      </c>
      <c r="C176" s="1952"/>
      <c r="D176" s="1952"/>
      <c r="E176" s="1865">
        <f>LETable!AT32</f>
        <v>0</v>
      </c>
      <c r="F176" s="1865"/>
      <c r="G176" s="1308"/>
      <c r="H176" s="1308"/>
      <c r="I176" s="1308"/>
      <c r="J176" s="1869">
        <f>IF(C176="",0,IF(OR(C176&lt;=0,G176&lt;=0),E176,IF(G176&lt;C176,0,LETable!AY32)))</f>
        <v>0</v>
      </c>
      <c r="K176" s="1869"/>
      <c r="L176" s="1938" t="str">
        <f>IF(OR(C176="NA",G176="NA"),"",IF(AND(C176&lt;&gt;"",G176=""),"Enter contralateral or NA.",IF(AND(C176="",G176&lt;&gt;""),"Need data","")))</f>
        <v/>
      </c>
      <c r="M176" s="1938"/>
      <c r="N176" s="1938"/>
      <c r="O176" s="1939"/>
      <c r="P176" s="1745"/>
      <c r="R176" s="18"/>
      <c r="S176" s="922">
        <v>30</v>
      </c>
      <c r="T176" s="922" t="str">
        <f>IF(OR(C176="",C176="NA"),"",IF(C176&gt;S176,S176,IF(C176&lt;0,0,C176)))</f>
        <v/>
      </c>
      <c r="U176" s="922" t="str">
        <f>IF(OR(G176="",G176="NA"),"",IF(G176&gt;S176,S176,IF(G176&lt;0,0,G176)))</f>
        <v/>
      </c>
      <c r="V176" s="696" t="str">
        <f>IF(W176="","",ROUND(W176,0))</f>
        <v/>
      </c>
      <c r="W176" s="697" t="str">
        <f>IF(T176="","",IF(OR(U176="",U176=0,U176&lt;T176),T176,(T176*S176)/U176))</f>
        <v/>
      </c>
      <c r="X176" s="18"/>
      <c r="Y176" s="1103" t="s">
        <v>2225</v>
      </c>
      <c r="Z176" s="1103" t="s">
        <v>1305</v>
      </c>
      <c r="AA176" s="1103" t="s">
        <v>1306</v>
      </c>
      <c r="AB176" s="1103" t="s">
        <v>1307</v>
      </c>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4"/>
      <c r="BR176" s="14"/>
      <c r="BS176" s="14"/>
      <c r="BT176" s="14"/>
      <c r="BU176" s="14"/>
      <c r="BV176" s="14"/>
      <c r="BW176" s="14"/>
      <c r="BX176" s="14"/>
      <c r="BY176" s="14"/>
      <c r="BZ176" s="14"/>
      <c r="CA176" s="14"/>
      <c r="CB176" s="14"/>
      <c r="CC176" s="14"/>
      <c r="CD176" s="14"/>
      <c r="CE176" s="14"/>
      <c r="CF176" s="14"/>
      <c r="CG176" s="14"/>
      <c r="CH176" s="14"/>
      <c r="CI176" s="14"/>
      <c r="CJ176" s="14"/>
      <c r="CK176" s="14"/>
      <c r="CL176" s="14"/>
      <c r="CM176" s="14"/>
      <c r="CN176" s="14"/>
      <c r="CO176" s="14"/>
      <c r="CP176" s="14"/>
      <c r="CQ176" s="14"/>
      <c r="CR176" s="14"/>
      <c r="CS176" s="14"/>
      <c r="CT176" s="14"/>
      <c r="CU176" s="14"/>
      <c r="CV176" s="14"/>
      <c r="CW176" s="14"/>
      <c r="CX176" s="14"/>
      <c r="CY176" s="14"/>
      <c r="CZ176" s="14"/>
      <c r="DA176" s="14"/>
      <c r="DB176" s="14"/>
      <c r="DC176" s="14"/>
      <c r="DD176" s="14"/>
      <c r="DE176" s="14"/>
      <c r="DF176" s="14"/>
      <c r="DG176" s="14"/>
      <c r="DH176" s="14"/>
      <c r="DI176" s="14"/>
      <c r="DJ176" s="14"/>
      <c r="DK176" s="14"/>
      <c r="DL176" s="14"/>
      <c r="DM176" s="14"/>
      <c r="DN176" s="14"/>
      <c r="DO176" s="14"/>
      <c r="DP176" s="14"/>
      <c r="DQ176" s="14"/>
      <c r="DR176" s="14"/>
      <c r="DS176" s="14"/>
      <c r="DT176" s="14"/>
      <c r="DU176" s="14"/>
      <c r="DV176" s="14"/>
      <c r="DW176" s="14"/>
      <c r="DX176" s="14"/>
      <c r="DY176" s="14"/>
      <c r="DZ176" s="14"/>
      <c r="EA176" s="14"/>
      <c r="EB176" s="14"/>
      <c r="EC176" s="14"/>
      <c r="ED176" s="14"/>
      <c r="EE176" s="14"/>
      <c r="EF176" s="14"/>
      <c r="EG176" s="14"/>
      <c r="EH176" s="14"/>
      <c r="EI176" s="14"/>
      <c r="EJ176" s="14"/>
      <c r="EK176" s="14"/>
      <c r="EL176" s="14"/>
      <c r="EM176" s="14"/>
      <c r="EN176" s="14"/>
      <c r="EO176" s="14"/>
      <c r="EP176" s="14"/>
      <c r="EQ176" s="14"/>
      <c r="ER176" s="14"/>
      <c r="ES176" s="14"/>
      <c r="ET176" s="14"/>
      <c r="EU176" s="14"/>
      <c r="EV176" s="14"/>
      <c r="EW176" s="14"/>
      <c r="EX176" s="14"/>
      <c r="EY176" s="14"/>
      <c r="EZ176" s="14"/>
      <c r="FA176" s="14"/>
      <c r="FB176" s="14"/>
      <c r="FC176" s="14"/>
      <c r="FD176" s="14"/>
      <c r="FE176" s="14"/>
      <c r="FF176" s="14"/>
      <c r="FG176" s="14"/>
      <c r="FH176" s="14"/>
      <c r="FI176" s="14"/>
      <c r="FJ176" s="14"/>
      <c r="FK176" s="14"/>
      <c r="FL176" s="14"/>
      <c r="FM176" s="14"/>
      <c r="FN176" s="14"/>
      <c r="FO176" s="14"/>
      <c r="FP176" s="14"/>
      <c r="FQ176" s="14"/>
      <c r="FR176" s="14"/>
      <c r="FS176" s="14"/>
      <c r="FT176" s="14"/>
      <c r="FU176" s="14"/>
      <c r="FV176" s="14"/>
      <c r="FW176" s="14"/>
      <c r="FX176" s="14"/>
      <c r="FY176" s="14"/>
      <c r="FZ176" s="14"/>
      <c r="GA176" s="14"/>
      <c r="GB176" s="14"/>
      <c r="GC176" s="14"/>
      <c r="GD176" s="14"/>
      <c r="GE176" s="14"/>
      <c r="GF176" s="14"/>
      <c r="GG176" s="14"/>
      <c r="GH176" s="14"/>
      <c r="GI176" s="14"/>
      <c r="GJ176" s="14"/>
      <c r="GK176" s="14"/>
      <c r="GL176" s="14"/>
      <c r="GM176" s="14"/>
      <c r="GN176" s="14"/>
      <c r="GO176" s="14"/>
      <c r="GP176" s="14"/>
      <c r="GQ176" s="14"/>
      <c r="GR176" s="14"/>
      <c r="GS176" s="14"/>
      <c r="GT176" s="14"/>
      <c r="GU176" s="14"/>
      <c r="GV176" s="14"/>
      <c r="GW176" s="14"/>
      <c r="GX176" s="14"/>
      <c r="GY176" s="14"/>
      <c r="GZ176" s="14"/>
      <c r="HA176" s="14"/>
      <c r="HB176" s="14"/>
      <c r="HC176" s="14"/>
      <c r="HD176" s="14"/>
      <c r="HE176" s="14"/>
      <c r="HF176" s="14"/>
      <c r="HG176" s="14"/>
      <c r="HH176" s="14"/>
      <c r="HI176" s="14"/>
      <c r="HJ176" s="14"/>
      <c r="HK176" s="14"/>
      <c r="HL176" s="14"/>
      <c r="HM176" s="14"/>
      <c r="HN176" s="14"/>
      <c r="HO176" s="14"/>
      <c r="HP176" s="14"/>
      <c r="HQ176" s="14"/>
      <c r="HR176" s="14"/>
      <c r="HS176" s="14"/>
      <c r="HT176" s="14"/>
    </row>
    <row r="177" spans="1:228" ht="15" customHeight="1" x14ac:dyDescent="0.2">
      <c r="B177" s="357" t="s">
        <v>1840</v>
      </c>
      <c r="C177" s="1944"/>
      <c r="D177" s="1945"/>
      <c r="E177" s="1865">
        <f>IF(AND(C177&lt;&gt;"",C177&lt;&gt;"NA",C176&lt;&gt;"NA",C176&lt;&gt;""),"ERROR",IF(AND(C177&lt;&gt;"",C177&lt;&gt;"NA",C174&lt;&gt;"",C174&lt;&gt;"NA"),"ERROR",LETable!AT33))</f>
        <v>0</v>
      </c>
      <c r="F177" s="1865"/>
      <c r="G177" s="1866" t="str">
        <f>IF(E177="ERROR","Error: Cannot rate ROM and ankylosis.",IF(AND(C175&lt;&gt;"",C175&lt;&gt;"NA",C177&lt;&gt;"",C177&lt;&gt;"NA"),"Multiple ankylosis values; use higher value only.",""))</f>
        <v/>
      </c>
      <c r="H177" s="1867"/>
      <c r="I177" s="1867"/>
      <c r="J177" s="1867"/>
      <c r="K177" s="1867"/>
      <c r="L177" s="1867"/>
      <c r="M177" s="1867"/>
      <c r="N177" s="1867"/>
      <c r="O177" s="1868"/>
      <c r="P177" s="1745"/>
      <c r="R177" s="18"/>
      <c r="S177" s="922">
        <v>30</v>
      </c>
      <c r="T177" s="922" t="str">
        <f>IF(OR(C177="",C177="NA"),"",IF(C177&gt;S177,S177,IF(C177&lt;0,0,C177)))</f>
        <v/>
      </c>
      <c r="U177" s="18"/>
      <c r="V177" s="18"/>
      <c r="W177" s="18"/>
      <c r="X177" s="18"/>
      <c r="Y177" s="242">
        <f>O169</f>
        <v>0</v>
      </c>
      <c r="Z177" s="1118">
        <f>LARGE($Y$177:$Y$179,1)</f>
        <v>0</v>
      </c>
      <c r="AA177" s="684">
        <f>Z177+Z178*(1-Z177)</f>
        <v>0</v>
      </c>
      <c r="AB177" s="1112">
        <f>ROUND(AA177,2)</f>
        <v>0</v>
      </c>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4"/>
      <c r="BR177" s="14"/>
      <c r="BS177" s="14"/>
      <c r="BT177" s="14"/>
      <c r="BU177" s="14"/>
      <c r="BV177" s="14"/>
      <c r="BW177" s="14"/>
      <c r="BX177" s="14"/>
      <c r="BY177" s="14"/>
      <c r="BZ177" s="14"/>
      <c r="CA177" s="14"/>
      <c r="CB177" s="14"/>
      <c r="CC177" s="14"/>
      <c r="CD177" s="14"/>
      <c r="CE177" s="14"/>
      <c r="CF177" s="14"/>
      <c r="CG177" s="14"/>
      <c r="CH177" s="14"/>
      <c r="CI177" s="14"/>
      <c r="CJ177" s="14"/>
      <c r="CK177" s="14"/>
      <c r="CL177" s="14"/>
      <c r="CM177" s="14"/>
      <c r="CN177" s="14"/>
      <c r="CO177" s="14"/>
      <c r="CP177" s="14"/>
      <c r="CQ177" s="14"/>
      <c r="CR177" s="14"/>
      <c r="CS177" s="14"/>
      <c r="CT177" s="14"/>
      <c r="CU177" s="14"/>
      <c r="CV177" s="14"/>
      <c r="CW177" s="14"/>
      <c r="CX177" s="14"/>
      <c r="CY177" s="14"/>
      <c r="CZ177" s="14"/>
      <c r="DA177" s="14"/>
      <c r="DB177" s="14"/>
      <c r="DC177" s="14"/>
      <c r="DD177" s="14"/>
      <c r="DE177" s="14"/>
      <c r="DF177" s="14"/>
      <c r="DG177" s="14"/>
      <c r="DH177" s="14"/>
      <c r="DI177" s="14"/>
      <c r="DJ177" s="14"/>
      <c r="DK177" s="14"/>
      <c r="DL177" s="14"/>
      <c r="DM177" s="14"/>
      <c r="DN177" s="14"/>
      <c r="DO177" s="14"/>
      <c r="DP177" s="14"/>
      <c r="DQ177" s="14"/>
      <c r="DR177" s="14"/>
      <c r="DS177" s="14"/>
      <c r="DT177" s="14"/>
      <c r="DU177" s="14"/>
      <c r="DV177" s="14"/>
      <c r="DW177" s="14"/>
      <c r="DX177" s="14"/>
      <c r="DY177" s="14"/>
      <c r="DZ177" s="14"/>
      <c r="EA177" s="14"/>
      <c r="EB177" s="14"/>
      <c r="EC177" s="14"/>
      <c r="ED177" s="14"/>
      <c r="EE177" s="14"/>
      <c r="EF177" s="14"/>
      <c r="EG177" s="14"/>
      <c r="EH177" s="14"/>
      <c r="EI177" s="14"/>
      <c r="EJ177" s="14"/>
      <c r="EK177" s="14"/>
      <c r="EL177" s="14"/>
      <c r="EM177" s="14"/>
      <c r="EN177" s="14"/>
      <c r="EO177" s="14"/>
      <c r="EP177" s="14"/>
      <c r="EQ177" s="14"/>
      <c r="ER177" s="14"/>
      <c r="ES177" s="14"/>
      <c r="ET177" s="14"/>
      <c r="EU177" s="14"/>
      <c r="EV177" s="14"/>
      <c r="EW177" s="14"/>
      <c r="EX177" s="14"/>
      <c r="EY177" s="14"/>
      <c r="EZ177" s="14"/>
      <c r="FA177" s="14"/>
      <c r="FB177" s="14"/>
      <c r="FC177" s="14"/>
      <c r="FD177" s="14"/>
      <c r="FE177" s="14"/>
      <c r="FF177" s="14"/>
      <c r="FG177" s="14"/>
      <c r="FH177" s="14"/>
      <c r="FI177" s="14"/>
      <c r="FJ177" s="14"/>
      <c r="FK177" s="14"/>
      <c r="FL177" s="14"/>
      <c r="FM177" s="14"/>
      <c r="FN177" s="14"/>
      <c r="FO177" s="14"/>
      <c r="FP177" s="14"/>
      <c r="FQ177" s="14"/>
      <c r="FR177" s="14"/>
      <c r="FS177" s="14"/>
      <c r="FT177" s="14"/>
      <c r="FU177" s="14"/>
      <c r="FV177" s="14"/>
      <c r="FW177" s="14"/>
      <c r="FX177" s="14"/>
      <c r="FY177" s="14"/>
      <c r="FZ177" s="14"/>
      <c r="GA177" s="14"/>
      <c r="GB177" s="14"/>
      <c r="GC177" s="14"/>
      <c r="GD177" s="14"/>
      <c r="GE177" s="14"/>
      <c r="GF177" s="14"/>
      <c r="GG177" s="14"/>
      <c r="GH177" s="14"/>
      <c r="GI177" s="14"/>
      <c r="GJ177" s="14"/>
      <c r="GK177" s="14"/>
      <c r="GL177" s="14"/>
      <c r="GM177" s="14"/>
      <c r="GN177" s="14"/>
      <c r="GO177" s="14"/>
      <c r="GP177" s="14"/>
      <c r="GQ177" s="14"/>
      <c r="GR177" s="14"/>
      <c r="GS177" s="14"/>
      <c r="GT177" s="14"/>
      <c r="GU177" s="14"/>
      <c r="GV177" s="14"/>
      <c r="GW177" s="14"/>
      <c r="GX177" s="14"/>
      <c r="GY177" s="14"/>
      <c r="GZ177" s="14"/>
      <c r="HA177" s="14"/>
      <c r="HB177" s="14"/>
      <c r="HC177" s="14"/>
      <c r="HD177" s="14"/>
      <c r="HE177" s="14"/>
      <c r="HF177" s="14"/>
      <c r="HG177" s="14"/>
      <c r="HH177" s="14"/>
      <c r="HI177" s="14"/>
      <c r="HJ177" s="14"/>
      <c r="HK177" s="14"/>
      <c r="HL177" s="14"/>
      <c r="HM177" s="14"/>
      <c r="HN177" s="14"/>
      <c r="HO177" s="14"/>
      <c r="HP177" s="14"/>
      <c r="HQ177" s="14"/>
      <c r="HR177" s="14"/>
      <c r="HS177" s="14"/>
      <c r="HT177" s="14"/>
    </row>
    <row r="178" spans="1:228" ht="21" customHeight="1" x14ac:dyDescent="0.2">
      <c r="B178" s="1045"/>
      <c r="C178" s="1046"/>
      <c r="D178" s="1046"/>
      <c r="E178" s="1571" t="str">
        <f>IF(AND(OR(O169&gt;0,O170&gt;0,E175&gt;0,E177&gt;0),C179&gt;0),"Note: Ankylosis impairment is not apportioned.","")</f>
        <v/>
      </c>
      <c r="F178" s="1572"/>
      <c r="G178" s="1572"/>
      <c r="H178" s="1572"/>
      <c r="I178" s="1572"/>
      <c r="J178" s="1573"/>
      <c r="K178" s="1740" t="s">
        <v>1842</v>
      </c>
      <c r="L178" s="1741"/>
      <c r="M178" s="1741"/>
      <c r="N178" s="1742"/>
      <c r="O178" s="71">
        <f>IF(OR(E175="ERROR",E177="ERROR"),"ERROR",IF(R178&gt;1,1,R178))</f>
        <v>0</v>
      </c>
      <c r="P178" s="1746"/>
      <c r="R178" s="243">
        <f>SUM(J174,J176,W178)</f>
        <v>0</v>
      </c>
      <c r="S178" s="18"/>
      <c r="T178" s="18"/>
      <c r="U178" s="18"/>
      <c r="V178" s="18"/>
      <c r="W178" s="747">
        <f>IF(AND(E175&lt;&gt;"ERROR",E177&lt;&gt;"ERROR",C177&lt;&gt;"",E177&lt;&gt;""),MAX(E175,E177),E175+E177)</f>
        <v>0</v>
      </c>
      <c r="X178" s="18"/>
      <c r="Y178" s="242">
        <f>O170</f>
        <v>0</v>
      </c>
      <c r="Z178" s="1118">
        <f>LARGE($Y$177:$Y$179,2)</f>
        <v>0</v>
      </c>
      <c r="AA178" s="684">
        <f>AB177+Z179*(1-AB177)</f>
        <v>0</v>
      </c>
      <c r="AB178" s="1112">
        <f>ROUND(AA178,2)</f>
        <v>0</v>
      </c>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4"/>
      <c r="BR178" s="14"/>
      <c r="BS178" s="14"/>
      <c r="BT178" s="14"/>
      <c r="BU178" s="14"/>
      <c r="BV178" s="14"/>
      <c r="BW178" s="14"/>
      <c r="BX178" s="14"/>
      <c r="BY178" s="14"/>
      <c r="BZ178" s="14"/>
      <c r="CA178" s="14"/>
      <c r="CB178" s="14"/>
      <c r="CC178" s="14"/>
      <c r="CD178" s="14"/>
      <c r="CE178" s="14"/>
      <c r="CF178" s="14"/>
      <c r="CG178" s="14"/>
      <c r="CH178" s="14"/>
      <c r="CI178" s="14"/>
      <c r="CJ178" s="14"/>
      <c r="CK178" s="14"/>
      <c r="CL178" s="14"/>
      <c r="CM178" s="14"/>
      <c r="CN178" s="14"/>
      <c r="CO178" s="14"/>
      <c r="CP178" s="14"/>
      <c r="CQ178" s="14"/>
      <c r="CR178" s="14"/>
      <c r="CS178" s="14"/>
      <c r="CT178" s="14"/>
      <c r="CU178" s="14"/>
      <c r="CV178" s="14"/>
      <c r="CW178" s="14"/>
      <c r="CX178" s="14"/>
      <c r="CY178" s="14"/>
      <c r="CZ178" s="14"/>
      <c r="DA178" s="14"/>
      <c r="DB178" s="14"/>
      <c r="DC178" s="14"/>
      <c r="DD178" s="14"/>
      <c r="DE178" s="14"/>
      <c r="DF178" s="14"/>
      <c r="DG178" s="14"/>
      <c r="DH178" s="14"/>
      <c r="DI178" s="14"/>
      <c r="DJ178" s="14"/>
      <c r="DK178" s="14"/>
      <c r="DL178" s="14"/>
      <c r="DM178" s="14"/>
      <c r="DN178" s="14"/>
      <c r="DO178" s="14"/>
      <c r="DP178" s="14"/>
      <c r="DQ178" s="14"/>
      <c r="DR178" s="14"/>
      <c r="DS178" s="14"/>
      <c r="DT178" s="14"/>
      <c r="DU178" s="14"/>
      <c r="DV178" s="14"/>
      <c r="DW178" s="14"/>
      <c r="DX178" s="14"/>
      <c r="DY178" s="14"/>
      <c r="DZ178" s="14"/>
      <c r="EA178" s="14"/>
      <c r="EB178" s="14"/>
      <c r="EC178" s="14"/>
      <c r="ED178" s="14"/>
      <c r="EE178" s="14"/>
      <c r="EF178" s="14"/>
      <c r="EG178" s="14"/>
      <c r="EH178" s="14"/>
      <c r="EI178" s="14"/>
      <c r="EJ178" s="14"/>
      <c r="EK178" s="14"/>
      <c r="EL178" s="14"/>
      <c r="EM178" s="14"/>
      <c r="EN178" s="14"/>
      <c r="EO178" s="14"/>
      <c r="EP178" s="14"/>
      <c r="EQ178" s="14"/>
      <c r="ER178" s="14"/>
      <c r="ES178" s="14"/>
      <c r="ET178" s="14"/>
      <c r="EU178" s="14"/>
      <c r="EV178" s="14"/>
      <c r="EW178" s="14"/>
      <c r="EX178" s="14"/>
      <c r="EY178" s="14"/>
      <c r="EZ178" s="14"/>
      <c r="FA178" s="14"/>
      <c r="FB178" s="14"/>
      <c r="FC178" s="14"/>
      <c r="FD178" s="14"/>
      <c r="FE178" s="14"/>
      <c r="FF178" s="14"/>
      <c r="FG178" s="14"/>
      <c r="FH178" s="14"/>
      <c r="FI178" s="14"/>
      <c r="FJ178" s="14"/>
      <c r="FK178" s="14"/>
      <c r="FL178" s="14"/>
      <c r="FM178" s="14"/>
      <c r="FN178" s="14"/>
      <c r="FO178" s="14"/>
      <c r="FP178" s="14"/>
      <c r="FQ178" s="14"/>
      <c r="FR178" s="14"/>
      <c r="FS178" s="14"/>
      <c r="FT178" s="14"/>
      <c r="FU178" s="14"/>
      <c r="FV178" s="14"/>
      <c r="FW178" s="14"/>
      <c r="FX178" s="14"/>
      <c r="FY178" s="14"/>
      <c r="FZ178" s="14"/>
      <c r="GA178" s="14"/>
      <c r="GB178" s="14"/>
      <c r="GC178" s="14"/>
      <c r="GD178" s="14"/>
      <c r="GE178" s="14"/>
      <c r="GF178" s="14"/>
      <c r="GG178" s="14"/>
      <c r="GH178" s="14"/>
      <c r="GI178" s="14"/>
      <c r="GJ178" s="14"/>
      <c r="GK178" s="14"/>
      <c r="GL178" s="14"/>
      <c r="GM178" s="14"/>
      <c r="GN178" s="14"/>
      <c r="GO178" s="14"/>
      <c r="GP178" s="14"/>
      <c r="GQ178" s="14"/>
      <c r="GR178" s="14"/>
      <c r="GS178" s="14"/>
      <c r="GT178" s="14"/>
      <c r="GU178" s="14"/>
      <c r="GV178" s="14"/>
      <c r="GW178" s="14"/>
      <c r="GX178" s="14"/>
      <c r="GY178" s="14"/>
      <c r="GZ178" s="14"/>
      <c r="HA178" s="14"/>
      <c r="HB178" s="14"/>
      <c r="HC178" s="14"/>
      <c r="HD178" s="14"/>
      <c r="HE178" s="14"/>
      <c r="HF178" s="14"/>
      <c r="HG178" s="14"/>
      <c r="HH178" s="14"/>
      <c r="HI178" s="14"/>
      <c r="HJ178" s="14"/>
      <c r="HK178" s="14"/>
      <c r="HL178" s="14"/>
      <c r="HM178" s="14"/>
      <c r="HN178" s="14"/>
      <c r="HO178" s="14"/>
      <c r="HP178" s="14"/>
      <c r="HQ178" s="14"/>
      <c r="HR178" s="14"/>
      <c r="HS178" s="14"/>
      <c r="HT178" s="14"/>
    </row>
    <row r="179" spans="1:228" ht="21" customHeight="1" x14ac:dyDescent="0.2">
      <c r="B179" s="1114" t="s">
        <v>2259</v>
      </c>
      <c r="C179" s="1544"/>
      <c r="D179" s="1577"/>
      <c r="E179" s="1574"/>
      <c r="F179" s="1575"/>
      <c r="G179" s="1575"/>
      <c r="H179" s="1575"/>
      <c r="I179" s="1575"/>
      <c r="J179" s="1576"/>
      <c r="K179" s="1740" t="s">
        <v>1867</v>
      </c>
      <c r="L179" s="1741"/>
      <c r="M179" s="1741"/>
      <c r="N179" s="1741"/>
      <c r="O179" s="1742"/>
      <c r="P179" s="1115">
        <f>IF(O178="ERROR","ERROR",IF(AND(AA173&gt;0,AA173&lt;0.01),0.01,ROUND(AA173,2)))</f>
        <v>0</v>
      </c>
      <c r="R179" s="18"/>
      <c r="S179" s="18"/>
      <c r="T179" s="18"/>
      <c r="U179" s="18"/>
      <c r="V179" s="18"/>
      <c r="W179" s="18"/>
      <c r="X179" s="18"/>
      <c r="Y179" s="242">
        <f>IF(AND(Z173&lt;0.01,Z173&gt;0),0.01,ROUND(Z173,2))</f>
        <v>0</v>
      </c>
      <c r="Z179" s="1118">
        <f>LARGE($Y$177:$Y$179,3)</f>
        <v>0</v>
      </c>
      <c r="AA179" s="1111"/>
      <c r="AB179" s="1111"/>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4"/>
      <c r="BR179" s="14"/>
      <c r="BS179" s="14"/>
      <c r="BT179" s="14"/>
      <c r="BU179" s="14"/>
      <c r="BV179" s="14"/>
      <c r="BW179" s="14"/>
      <c r="BX179" s="14"/>
      <c r="BY179" s="14"/>
      <c r="BZ179" s="14"/>
      <c r="CA179" s="14"/>
      <c r="CB179" s="14"/>
      <c r="CC179" s="14"/>
      <c r="CD179" s="14"/>
      <c r="CE179" s="14"/>
      <c r="CF179" s="14"/>
      <c r="CG179" s="14"/>
      <c r="CH179" s="14"/>
      <c r="CI179" s="14"/>
      <c r="CJ179" s="14"/>
      <c r="CK179" s="14"/>
      <c r="CL179" s="14"/>
      <c r="CM179" s="14"/>
      <c r="CN179" s="14"/>
      <c r="CO179" s="14"/>
      <c r="CP179" s="14"/>
      <c r="CQ179" s="14"/>
      <c r="CR179" s="14"/>
      <c r="CS179" s="14"/>
      <c r="CT179" s="14"/>
      <c r="CU179" s="14"/>
      <c r="CV179" s="14"/>
      <c r="CW179" s="14"/>
      <c r="CX179" s="14"/>
      <c r="CY179" s="14"/>
      <c r="CZ179" s="14"/>
      <c r="DA179" s="14"/>
      <c r="DB179" s="14"/>
      <c r="DC179" s="14"/>
      <c r="DD179" s="14"/>
      <c r="DE179" s="14"/>
      <c r="DF179" s="14"/>
      <c r="DG179" s="14"/>
      <c r="DH179" s="14"/>
      <c r="DI179" s="14"/>
      <c r="DJ179" s="14"/>
      <c r="DK179" s="14"/>
      <c r="DL179" s="14"/>
      <c r="DM179" s="14"/>
      <c r="DN179" s="14"/>
      <c r="DO179" s="14"/>
      <c r="DP179" s="14"/>
      <c r="DQ179" s="14"/>
      <c r="DR179" s="14"/>
      <c r="DS179" s="14"/>
      <c r="DT179" s="14"/>
      <c r="DU179" s="14"/>
      <c r="DV179" s="14"/>
      <c r="DW179" s="14"/>
      <c r="DX179" s="14"/>
      <c r="DY179" s="14"/>
      <c r="DZ179" s="14"/>
      <c r="EA179" s="14"/>
      <c r="EB179" s="14"/>
      <c r="EC179" s="14"/>
      <c r="ED179" s="14"/>
      <c r="EE179" s="14"/>
      <c r="EF179" s="14"/>
      <c r="EG179" s="14"/>
      <c r="EH179" s="14"/>
      <c r="EI179" s="14"/>
      <c r="EJ179" s="14"/>
      <c r="EK179" s="14"/>
      <c r="EL179" s="14"/>
      <c r="EM179" s="14"/>
      <c r="EN179" s="14"/>
      <c r="EO179" s="14"/>
      <c r="EP179" s="14"/>
      <c r="EQ179" s="14"/>
      <c r="ER179" s="14"/>
      <c r="ES179" s="14"/>
      <c r="ET179" s="14"/>
      <c r="EU179" s="14"/>
      <c r="EV179" s="14"/>
      <c r="EW179" s="14"/>
      <c r="EX179" s="14"/>
      <c r="EY179" s="14"/>
      <c r="EZ179" s="14"/>
      <c r="FA179" s="14"/>
      <c r="FB179" s="14"/>
      <c r="FC179" s="14"/>
      <c r="FD179" s="14"/>
      <c r="FE179" s="14"/>
      <c r="FF179" s="14"/>
      <c r="FG179" s="14"/>
      <c r="FH179" s="14"/>
      <c r="FI179" s="14"/>
      <c r="FJ179" s="14"/>
      <c r="FK179" s="14"/>
      <c r="FL179" s="14"/>
      <c r="FM179" s="14"/>
      <c r="FN179" s="14"/>
      <c r="FO179" s="14"/>
      <c r="FP179" s="14"/>
      <c r="FQ179" s="14"/>
      <c r="FR179" s="14"/>
      <c r="FS179" s="14"/>
      <c r="FT179" s="14"/>
      <c r="FU179" s="14"/>
      <c r="FV179" s="14"/>
      <c r="FW179" s="14"/>
      <c r="FX179" s="14"/>
      <c r="FY179" s="14"/>
      <c r="FZ179" s="14"/>
      <c r="GA179" s="14"/>
      <c r="GB179" s="14"/>
      <c r="GC179" s="14"/>
      <c r="GD179" s="14"/>
      <c r="GE179" s="14"/>
      <c r="GF179" s="14"/>
      <c r="GG179" s="14"/>
      <c r="GH179" s="14"/>
      <c r="GI179" s="14"/>
      <c r="GJ179" s="14"/>
      <c r="GK179" s="14"/>
      <c r="GL179" s="14"/>
      <c r="GM179" s="14"/>
      <c r="GN179" s="14"/>
      <c r="GO179" s="14"/>
      <c r="GP179" s="14"/>
      <c r="GQ179" s="14"/>
      <c r="GR179" s="14"/>
      <c r="GS179" s="14"/>
      <c r="GT179" s="14"/>
      <c r="GU179" s="14"/>
      <c r="GV179" s="14"/>
      <c r="GW179" s="14"/>
      <c r="GX179" s="14"/>
      <c r="GY179" s="14"/>
      <c r="GZ179" s="14"/>
      <c r="HA179" s="14"/>
      <c r="HB179" s="14"/>
      <c r="HC179" s="14"/>
      <c r="HD179" s="14"/>
      <c r="HE179" s="14"/>
      <c r="HF179" s="14"/>
      <c r="HG179" s="14"/>
      <c r="HH179" s="14"/>
      <c r="HI179" s="14"/>
      <c r="HJ179" s="14"/>
      <c r="HK179" s="14"/>
      <c r="HL179" s="14"/>
      <c r="HM179" s="14"/>
      <c r="HN179" s="14"/>
      <c r="HO179" s="14"/>
      <c r="HP179" s="14"/>
      <c r="HQ179" s="14"/>
      <c r="HR179" s="14"/>
      <c r="HS179" s="14"/>
      <c r="HT179" s="14"/>
    </row>
    <row r="180" spans="1:228" ht="12" customHeight="1" x14ac:dyDescent="0.25">
      <c r="B180" s="1876"/>
      <c r="C180" s="1876"/>
      <c r="D180" s="1876"/>
      <c r="E180" s="1876"/>
      <c r="F180" s="1876"/>
      <c r="G180" s="1876"/>
      <c r="H180" s="1876"/>
      <c r="I180" s="1876"/>
      <c r="J180" s="1876"/>
      <c r="K180" s="1876"/>
      <c r="L180" s="1876"/>
      <c r="M180" s="1876"/>
      <c r="N180" s="1876"/>
      <c r="O180" s="1876"/>
      <c r="P180" s="469"/>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4"/>
      <c r="BR180" s="14"/>
      <c r="BS180" s="14"/>
      <c r="BT180" s="14"/>
      <c r="BU180" s="14"/>
      <c r="BV180" s="14"/>
      <c r="BW180" s="14"/>
      <c r="BX180" s="14"/>
      <c r="BY180" s="14"/>
      <c r="BZ180" s="14"/>
      <c r="CA180" s="14"/>
      <c r="CB180" s="14"/>
      <c r="CC180" s="14"/>
      <c r="CD180" s="14"/>
      <c r="CE180" s="14"/>
      <c r="CF180" s="14"/>
      <c r="CG180" s="14"/>
      <c r="CH180" s="14"/>
      <c r="CI180" s="14"/>
      <c r="CJ180" s="14"/>
      <c r="CK180" s="14"/>
      <c r="CL180" s="14"/>
      <c r="CM180" s="14"/>
      <c r="CN180" s="14"/>
      <c r="CO180" s="14"/>
      <c r="CP180" s="14"/>
      <c r="CQ180" s="14"/>
      <c r="CR180" s="14"/>
      <c r="CS180" s="14"/>
      <c r="CT180" s="14"/>
      <c r="CU180" s="14"/>
      <c r="CV180" s="14"/>
      <c r="CW180" s="14"/>
      <c r="CX180" s="14"/>
      <c r="CY180" s="14"/>
      <c r="CZ180" s="14"/>
      <c r="DA180" s="14"/>
      <c r="DB180" s="14"/>
      <c r="DC180" s="14"/>
      <c r="DD180" s="14"/>
      <c r="DE180" s="14"/>
      <c r="DF180" s="14"/>
      <c r="DG180" s="14"/>
      <c r="DH180" s="14"/>
      <c r="DI180" s="14"/>
      <c r="DJ180" s="14"/>
      <c r="DK180" s="14"/>
      <c r="DL180" s="14"/>
      <c r="DM180" s="14"/>
      <c r="DN180" s="14"/>
      <c r="DO180" s="14"/>
      <c r="DP180" s="14"/>
      <c r="DQ180" s="14"/>
      <c r="DR180" s="14"/>
      <c r="DS180" s="14"/>
      <c r="DT180" s="14"/>
      <c r="DU180" s="14"/>
      <c r="DV180" s="14"/>
      <c r="DW180" s="14"/>
      <c r="DX180" s="14"/>
      <c r="DY180" s="14"/>
      <c r="DZ180" s="14"/>
      <c r="EA180" s="14"/>
      <c r="EB180" s="14"/>
      <c r="EC180" s="14"/>
      <c r="ED180" s="14"/>
      <c r="EE180" s="14"/>
      <c r="EF180" s="14"/>
      <c r="EG180" s="14"/>
      <c r="EH180" s="14"/>
      <c r="EI180" s="14"/>
      <c r="EJ180" s="14"/>
      <c r="EK180" s="14"/>
      <c r="EL180" s="14"/>
      <c r="EM180" s="14"/>
      <c r="EN180" s="14"/>
      <c r="EO180" s="14"/>
      <c r="EP180" s="14"/>
      <c r="EQ180" s="14"/>
      <c r="ER180" s="14"/>
      <c r="ES180" s="14"/>
      <c r="ET180" s="14"/>
      <c r="EU180" s="14"/>
      <c r="EV180" s="14"/>
      <c r="EW180" s="14"/>
      <c r="EX180" s="14"/>
      <c r="EY180" s="14"/>
      <c r="EZ180" s="14"/>
      <c r="FA180" s="14"/>
      <c r="FB180" s="14"/>
      <c r="FC180" s="14"/>
      <c r="FD180" s="14"/>
      <c r="FE180" s="14"/>
      <c r="FF180" s="14"/>
      <c r="FG180" s="14"/>
      <c r="FH180" s="14"/>
      <c r="FI180" s="14"/>
      <c r="FJ180" s="14"/>
      <c r="FK180" s="14"/>
      <c r="FL180" s="14"/>
      <c r="FM180" s="14"/>
      <c r="FN180" s="14"/>
      <c r="FO180" s="14"/>
      <c r="FP180" s="14"/>
      <c r="FQ180" s="14"/>
      <c r="FR180" s="14"/>
      <c r="FS180" s="14"/>
      <c r="FT180" s="14"/>
      <c r="FU180" s="14"/>
      <c r="FV180" s="14"/>
      <c r="FW180" s="14"/>
      <c r="FX180" s="14"/>
      <c r="FY180" s="14"/>
      <c r="FZ180" s="14"/>
      <c r="GA180" s="14"/>
      <c r="GB180" s="14"/>
      <c r="GC180" s="14"/>
      <c r="GD180" s="14"/>
      <c r="GE180" s="14"/>
      <c r="GF180" s="14"/>
      <c r="GG180" s="14"/>
      <c r="GH180" s="14"/>
      <c r="GI180" s="14"/>
      <c r="GJ180" s="14"/>
      <c r="GK180" s="14"/>
      <c r="GL180" s="14"/>
      <c r="GM180" s="14"/>
      <c r="GN180" s="14"/>
      <c r="GO180" s="14"/>
      <c r="GP180" s="14"/>
      <c r="GQ180" s="14"/>
      <c r="GR180" s="14"/>
      <c r="GS180" s="14"/>
      <c r="GT180" s="14"/>
      <c r="GU180" s="14"/>
      <c r="GV180" s="14"/>
      <c r="GW180" s="14"/>
      <c r="GX180" s="14"/>
      <c r="GY180" s="14"/>
      <c r="GZ180" s="14"/>
      <c r="HA180" s="14"/>
      <c r="HB180" s="14"/>
      <c r="HC180" s="14"/>
      <c r="HD180" s="14"/>
      <c r="HE180" s="14"/>
      <c r="HF180" s="14"/>
      <c r="HG180" s="14"/>
      <c r="HH180" s="14"/>
      <c r="HI180" s="14"/>
      <c r="HJ180" s="14"/>
      <c r="HK180" s="14"/>
      <c r="HL180" s="14"/>
      <c r="HM180" s="14"/>
      <c r="HN180" s="14"/>
      <c r="HO180" s="14"/>
      <c r="HP180" s="14"/>
      <c r="HQ180" s="14"/>
      <c r="HR180" s="14"/>
      <c r="HS180" s="14"/>
      <c r="HT180" s="14"/>
    </row>
    <row r="181" spans="1:228" ht="15" customHeight="1" x14ac:dyDescent="0.25">
      <c r="B181" s="1549" t="s">
        <v>2009</v>
      </c>
      <c r="C181" s="1550"/>
      <c r="D181" s="1550"/>
      <c r="E181" s="1550"/>
      <c r="F181" s="1550"/>
      <c r="G181" s="1550"/>
      <c r="H181" s="1550"/>
      <c r="I181" s="1550"/>
      <c r="J181" s="1550"/>
      <c r="K181" s="1550"/>
      <c r="L181" s="1550"/>
      <c r="M181" s="1550"/>
      <c r="N181" s="1550"/>
      <c r="O181" s="1550"/>
      <c r="P181" s="470"/>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4"/>
      <c r="BR181" s="14"/>
      <c r="BS181" s="14"/>
      <c r="BT181" s="14"/>
      <c r="BU181" s="14"/>
      <c r="BV181" s="14"/>
      <c r="BW181" s="14"/>
      <c r="BX181" s="14"/>
      <c r="BY181" s="14"/>
      <c r="BZ181" s="14"/>
      <c r="CA181" s="14"/>
      <c r="CB181" s="14"/>
      <c r="CC181" s="14"/>
      <c r="CD181" s="14"/>
      <c r="CE181" s="14"/>
      <c r="CF181" s="14"/>
      <c r="CG181" s="14"/>
      <c r="CH181" s="14"/>
      <c r="CI181" s="14"/>
      <c r="CJ181" s="14"/>
      <c r="CK181" s="14"/>
      <c r="CL181" s="14"/>
      <c r="CM181" s="14"/>
      <c r="CN181" s="14"/>
      <c r="CO181" s="14"/>
      <c r="CP181" s="14"/>
      <c r="CQ181" s="14"/>
      <c r="CR181" s="14"/>
      <c r="CS181" s="14"/>
      <c r="CT181" s="14"/>
      <c r="CU181" s="14"/>
      <c r="CV181" s="14"/>
      <c r="CW181" s="14"/>
      <c r="CX181" s="14"/>
      <c r="CY181" s="14"/>
      <c r="CZ181" s="14"/>
      <c r="DA181" s="14"/>
      <c r="DB181" s="14"/>
      <c r="DC181" s="14"/>
      <c r="DD181" s="14"/>
      <c r="DE181" s="14"/>
      <c r="DF181" s="14"/>
      <c r="DG181" s="14"/>
      <c r="DH181" s="14"/>
      <c r="DI181" s="14"/>
      <c r="DJ181" s="14"/>
      <c r="DK181" s="14"/>
      <c r="DL181" s="14"/>
      <c r="DM181" s="14"/>
      <c r="DN181" s="14"/>
      <c r="DO181" s="14"/>
      <c r="DP181" s="14"/>
      <c r="DQ181" s="14"/>
      <c r="DR181" s="14"/>
      <c r="DS181" s="14"/>
      <c r="DT181" s="14"/>
      <c r="DU181" s="14"/>
      <c r="DV181" s="14"/>
      <c r="DW181" s="14"/>
      <c r="DX181" s="14"/>
      <c r="DY181" s="14"/>
      <c r="DZ181" s="14"/>
      <c r="EA181" s="14"/>
      <c r="EB181" s="14"/>
      <c r="EC181" s="14"/>
      <c r="ED181" s="14"/>
      <c r="EE181" s="14"/>
      <c r="EF181" s="14"/>
      <c r="EG181" s="14"/>
      <c r="EH181" s="14"/>
      <c r="EI181" s="14"/>
      <c r="EJ181" s="14"/>
      <c r="EK181" s="14"/>
      <c r="EL181" s="14"/>
      <c r="EM181" s="14"/>
      <c r="EN181" s="14"/>
      <c r="EO181" s="14"/>
      <c r="EP181" s="14"/>
      <c r="EQ181" s="14"/>
      <c r="ER181" s="14"/>
      <c r="ES181" s="14"/>
      <c r="ET181" s="14"/>
      <c r="EU181" s="14"/>
      <c r="EV181" s="14"/>
      <c r="EW181" s="14"/>
      <c r="EX181" s="14"/>
      <c r="EY181" s="14"/>
      <c r="EZ181" s="14"/>
      <c r="FA181" s="14"/>
      <c r="FB181" s="14"/>
      <c r="FC181" s="14"/>
      <c r="FD181" s="14"/>
      <c r="FE181" s="14"/>
      <c r="FF181" s="14"/>
      <c r="FG181" s="14"/>
      <c r="FH181" s="14"/>
      <c r="FI181" s="14"/>
      <c r="FJ181" s="14"/>
      <c r="FK181" s="14"/>
      <c r="FL181" s="14"/>
      <c r="FM181" s="14"/>
      <c r="FN181" s="14"/>
      <c r="FO181" s="14"/>
      <c r="FP181" s="14"/>
      <c r="FQ181" s="14"/>
      <c r="FR181" s="14"/>
      <c r="FS181" s="14"/>
      <c r="FT181" s="14"/>
      <c r="FU181" s="14"/>
      <c r="FV181" s="14"/>
      <c r="FW181" s="14"/>
      <c r="FX181" s="14"/>
      <c r="FY181" s="14"/>
      <c r="FZ181" s="14"/>
      <c r="GA181" s="14"/>
      <c r="GB181" s="14"/>
      <c r="GC181" s="14"/>
      <c r="GD181" s="14"/>
      <c r="GE181" s="14"/>
      <c r="GF181" s="14"/>
      <c r="GG181" s="14"/>
      <c r="GH181" s="14"/>
      <c r="GI181" s="14"/>
      <c r="GJ181" s="14"/>
      <c r="GK181" s="14"/>
      <c r="GL181" s="14"/>
      <c r="GM181" s="14"/>
      <c r="GN181" s="14"/>
      <c r="GO181" s="14"/>
      <c r="GP181" s="14"/>
      <c r="GQ181" s="14"/>
      <c r="GR181" s="14"/>
      <c r="GS181" s="14"/>
      <c r="GT181" s="14"/>
      <c r="GU181" s="14"/>
      <c r="GV181" s="14"/>
      <c r="GW181" s="14"/>
      <c r="GX181" s="14"/>
      <c r="GY181" s="14"/>
      <c r="GZ181" s="14"/>
      <c r="HA181" s="14"/>
      <c r="HB181" s="14"/>
      <c r="HC181" s="14"/>
      <c r="HD181" s="14"/>
      <c r="HE181" s="14"/>
      <c r="HF181" s="14"/>
      <c r="HG181" s="14"/>
      <c r="HH181" s="14"/>
      <c r="HI181" s="14"/>
      <c r="HJ181" s="14"/>
      <c r="HK181" s="14"/>
      <c r="HL181" s="14"/>
      <c r="HM181" s="14"/>
      <c r="HN181" s="14"/>
      <c r="HO181" s="14"/>
      <c r="HP181" s="14"/>
      <c r="HQ181" s="14"/>
      <c r="HR181" s="14"/>
      <c r="HS181" s="14"/>
      <c r="HT181" s="14"/>
    </row>
    <row r="182" spans="1:228" ht="15" customHeight="1" x14ac:dyDescent="0.2">
      <c r="B182" s="376" t="s">
        <v>2012</v>
      </c>
      <c r="C182" s="1542"/>
      <c r="D182" s="1542"/>
      <c r="E182" s="1542"/>
      <c r="F182" s="1542"/>
      <c r="G182" s="1542"/>
      <c r="H182" s="1542"/>
      <c r="I182" s="1542"/>
      <c r="J182" s="1542"/>
      <c r="K182" s="1542"/>
      <c r="L182" s="1542"/>
      <c r="M182" s="1542"/>
      <c r="N182" s="1542"/>
      <c r="O182" s="83"/>
      <c r="P182" s="931">
        <f>IF($W$240&gt;0,0,R182)</f>
        <v>0</v>
      </c>
      <c r="Q182" s="926"/>
      <c r="R182" s="932">
        <f>IF(C182=S182,0,IF(C182=T182,0.05,IF(C182=U182,0.1,0)))</f>
        <v>0</v>
      </c>
      <c r="S182" s="922" t="s">
        <v>1942</v>
      </c>
      <c r="T182" s="922" t="s">
        <v>1785</v>
      </c>
      <c r="U182" s="922" t="s">
        <v>1786</v>
      </c>
      <c r="V182" s="161"/>
      <c r="W182" s="114"/>
      <c r="X182" s="162"/>
      <c r="Y182" s="1946"/>
      <c r="Z182" s="73"/>
      <c r="AA182" s="73"/>
      <c r="AB182" s="74"/>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4"/>
      <c r="BR182" s="14"/>
      <c r="BS182" s="14"/>
      <c r="BT182" s="14"/>
      <c r="BU182" s="14"/>
      <c r="BV182" s="14"/>
      <c r="BW182" s="14"/>
      <c r="BX182" s="14"/>
      <c r="BY182" s="14"/>
      <c r="BZ182" s="14"/>
      <c r="CA182" s="14"/>
      <c r="CB182" s="14"/>
      <c r="CC182" s="14"/>
      <c r="CD182" s="14"/>
      <c r="CE182" s="14"/>
      <c r="CF182" s="14"/>
      <c r="CG182" s="14"/>
      <c r="CH182" s="14"/>
      <c r="CI182" s="14"/>
      <c r="CJ182" s="14"/>
      <c r="CK182" s="14"/>
      <c r="CL182" s="14"/>
      <c r="CM182" s="14"/>
      <c r="CN182" s="14"/>
      <c r="CO182" s="14"/>
      <c r="CP182" s="14"/>
      <c r="CQ182" s="14"/>
      <c r="CR182" s="14"/>
      <c r="CS182" s="14"/>
      <c r="CT182" s="14"/>
      <c r="CU182" s="14"/>
      <c r="CV182" s="14"/>
      <c r="CW182" s="14"/>
      <c r="CX182" s="14"/>
      <c r="CY182" s="14"/>
      <c r="CZ182" s="14"/>
      <c r="DA182" s="14"/>
      <c r="DB182" s="14"/>
      <c r="DC182" s="14"/>
      <c r="DD182" s="14"/>
      <c r="DE182" s="14"/>
      <c r="DF182" s="14"/>
      <c r="DG182" s="14"/>
      <c r="DH182" s="14"/>
      <c r="DI182" s="14"/>
      <c r="DJ182" s="14"/>
      <c r="DK182" s="14"/>
      <c r="DL182" s="14"/>
      <c r="DM182" s="14"/>
      <c r="DN182" s="14"/>
      <c r="DO182" s="14"/>
      <c r="DP182" s="14"/>
      <c r="DQ182" s="14"/>
      <c r="DR182" s="14"/>
      <c r="DS182" s="14"/>
      <c r="DT182" s="14"/>
      <c r="DU182" s="14"/>
      <c r="DV182" s="14"/>
      <c r="DW182" s="14"/>
      <c r="DX182" s="14"/>
      <c r="DY182" s="14"/>
      <c r="DZ182" s="14"/>
      <c r="EA182" s="14"/>
      <c r="EB182" s="14"/>
      <c r="EC182" s="14"/>
      <c r="ED182" s="14"/>
      <c r="EE182" s="14"/>
      <c r="EF182" s="14"/>
      <c r="EG182" s="14"/>
      <c r="EH182" s="14"/>
      <c r="EI182" s="14"/>
      <c r="EJ182" s="14"/>
      <c r="EK182" s="14"/>
      <c r="EL182" s="14"/>
      <c r="EM182" s="14"/>
      <c r="EN182" s="14"/>
      <c r="EO182" s="14"/>
      <c r="EP182" s="14"/>
      <c r="EQ182" s="14"/>
      <c r="ER182" s="14"/>
      <c r="ES182" s="14"/>
      <c r="ET182" s="14"/>
      <c r="EU182" s="14"/>
      <c r="EV182" s="14"/>
      <c r="EW182" s="14"/>
      <c r="EX182" s="14"/>
      <c r="EY182" s="14"/>
      <c r="EZ182" s="14"/>
      <c r="FA182" s="14"/>
      <c r="FB182" s="14"/>
      <c r="FC182" s="14"/>
      <c r="FD182" s="14"/>
      <c r="FE182" s="14"/>
      <c r="FF182" s="14"/>
      <c r="FG182" s="14"/>
      <c r="FH182" s="14"/>
      <c r="FI182" s="14"/>
      <c r="FJ182" s="14"/>
      <c r="FK182" s="14"/>
      <c r="FL182" s="14"/>
      <c r="FM182" s="14"/>
      <c r="FN182" s="14"/>
      <c r="FO182" s="14"/>
      <c r="FP182" s="14"/>
      <c r="FQ182" s="14"/>
      <c r="FR182" s="14"/>
      <c r="FS182" s="14"/>
      <c r="FT182" s="14"/>
      <c r="FU182" s="14"/>
      <c r="FV182" s="14"/>
      <c r="FW182" s="14"/>
      <c r="FX182" s="14"/>
      <c r="FY182" s="14"/>
      <c r="FZ182" s="14"/>
      <c r="GA182" s="14"/>
      <c r="GB182" s="14"/>
      <c r="GC182" s="14"/>
      <c r="GD182" s="14"/>
      <c r="GE182" s="14"/>
      <c r="GF182" s="14"/>
      <c r="GG182" s="14"/>
      <c r="GH182" s="14"/>
      <c r="GI182" s="14"/>
      <c r="GJ182" s="14"/>
      <c r="GK182" s="14"/>
      <c r="GL182" s="14"/>
      <c r="GM182" s="14"/>
      <c r="GN182" s="14"/>
      <c r="GO182" s="14"/>
      <c r="GP182" s="14"/>
      <c r="GQ182" s="14"/>
      <c r="GR182" s="14"/>
      <c r="GS182" s="14"/>
      <c r="GT182" s="14"/>
      <c r="GU182" s="14"/>
      <c r="GV182" s="14"/>
      <c r="GW182" s="14"/>
      <c r="GX182" s="14"/>
      <c r="GY182" s="14"/>
      <c r="GZ182" s="14"/>
      <c r="HA182" s="14"/>
      <c r="HB182" s="14"/>
      <c r="HC182" s="14"/>
      <c r="HD182" s="14"/>
      <c r="HE182" s="14"/>
      <c r="HF182" s="14"/>
      <c r="HG182" s="14"/>
      <c r="HH182" s="14"/>
      <c r="HI182" s="14"/>
      <c r="HJ182" s="14"/>
      <c r="HK182" s="14"/>
      <c r="HL182" s="14"/>
      <c r="HM182" s="14"/>
      <c r="HN182" s="14"/>
      <c r="HO182" s="14"/>
      <c r="HP182" s="14"/>
      <c r="HQ182" s="14"/>
      <c r="HR182" s="14"/>
      <c r="HS182" s="14"/>
      <c r="HT182" s="14"/>
    </row>
    <row r="183" spans="1:228" ht="15" customHeight="1" x14ac:dyDescent="0.2">
      <c r="B183" s="376" t="s">
        <v>2013</v>
      </c>
      <c r="C183" s="1542"/>
      <c r="D183" s="1542"/>
      <c r="E183" s="1542"/>
      <c r="F183" s="1542"/>
      <c r="G183" s="1542"/>
      <c r="H183" s="1542"/>
      <c r="I183" s="1542"/>
      <c r="J183" s="1542"/>
      <c r="K183" s="1542"/>
      <c r="L183" s="1542"/>
      <c r="M183" s="1542"/>
      <c r="N183" s="1542"/>
      <c r="O183" s="83"/>
      <c r="P183" s="931">
        <f>IF($W$240&gt;0,0,R183)</f>
        <v>0</v>
      </c>
      <c r="Q183" s="926"/>
      <c r="R183" s="932">
        <f>IF(C183=S183,0,IF(C183=T183,0.05,IF(C183=U183,0.1,0)))</f>
        <v>0</v>
      </c>
      <c r="S183" s="922" t="s">
        <v>1942</v>
      </c>
      <c r="T183" s="922" t="s">
        <v>1997</v>
      </c>
      <c r="U183" s="922" t="s">
        <v>1998</v>
      </c>
      <c r="V183" s="161"/>
      <c r="W183" s="114"/>
      <c r="X183" s="162"/>
      <c r="Y183" s="1946"/>
      <c r="Z183" s="73"/>
      <c r="AA183" s="73"/>
      <c r="AB183" s="74"/>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4"/>
      <c r="BR183" s="14"/>
      <c r="BS183" s="14"/>
      <c r="BT183" s="14"/>
      <c r="BU183" s="14"/>
      <c r="BV183" s="14"/>
      <c r="BW183" s="14"/>
      <c r="BX183" s="14"/>
      <c r="BY183" s="14"/>
      <c r="BZ183" s="14"/>
      <c r="CA183" s="14"/>
      <c r="CB183" s="14"/>
      <c r="CC183" s="14"/>
      <c r="CD183" s="14"/>
      <c r="CE183" s="14"/>
      <c r="CF183" s="14"/>
      <c r="CG183" s="14"/>
      <c r="CH183" s="14"/>
      <c r="CI183" s="14"/>
      <c r="CJ183" s="14"/>
      <c r="CK183" s="14"/>
      <c r="CL183" s="14"/>
      <c r="CM183" s="14"/>
      <c r="CN183" s="14"/>
      <c r="CO183" s="14"/>
      <c r="CP183" s="14"/>
      <c r="CQ183" s="14"/>
      <c r="CR183" s="14"/>
      <c r="CS183" s="14"/>
      <c r="CT183" s="14"/>
      <c r="CU183" s="14"/>
      <c r="CV183" s="14"/>
      <c r="CW183" s="14"/>
      <c r="CX183" s="14"/>
      <c r="CY183" s="14"/>
      <c r="CZ183" s="14"/>
      <c r="DA183" s="14"/>
      <c r="DB183" s="14"/>
      <c r="DC183" s="14"/>
      <c r="DD183" s="14"/>
      <c r="DE183" s="14"/>
      <c r="DF183" s="14"/>
      <c r="DG183" s="14"/>
      <c r="DH183" s="14"/>
      <c r="DI183" s="14"/>
      <c r="DJ183" s="14"/>
      <c r="DK183" s="14"/>
      <c r="DL183" s="14"/>
      <c r="DM183" s="14"/>
      <c r="DN183" s="14"/>
      <c r="DO183" s="14"/>
      <c r="DP183" s="14"/>
      <c r="DQ183" s="14"/>
      <c r="DR183" s="14"/>
      <c r="DS183" s="14"/>
      <c r="DT183" s="14"/>
      <c r="DU183" s="14"/>
      <c r="DV183" s="14"/>
      <c r="DW183" s="14"/>
      <c r="DX183" s="14"/>
      <c r="DY183" s="14"/>
      <c r="DZ183" s="14"/>
      <c r="EA183" s="14"/>
      <c r="EB183" s="14"/>
      <c r="EC183" s="14"/>
      <c r="ED183" s="14"/>
      <c r="EE183" s="14"/>
      <c r="EF183" s="14"/>
      <c r="EG183" s="14"/>
      <c r="EH183" s="14"/>
      <c r="EI183" s="14"/>
      <c r="EJ183" s="14"/>
      <c r="EK183" s="14"/>
      <c r="EL183" s="14"/>
      <c r="EM183" s="14"/>
      <c r="EN183" s="14"/>
      <c r="EO183" s="14"/>
      <c r="EP183" s="14"/>
      <c r="EQ183" s="14"/>
      <c r="ER183" s="14"/>
      <c r="ES183" s="14"/>
      <c r="ET183" s="14"/>
      <c r="EU183" s="14"/>
      <c r="EV183" s="14"/>
      <c r="EW183" s="14"/>
      <c r="EX183" s="14"/>
      <c r="EY183" s="14"/>
      <c r="EZ183" s="14"/>
      <c r="FA183" s="14"/>
      <c r="FB183" s="14"/>
      <c r="FC183" s="14"/>
      <c r="FD183" s="14"/>
      <c r="FE183" s="14"/>
      <c r="FF183" s="14"/>
      <c r="FG183" s="14"/>
      <c r="FH183" s="14"/>
      <c r="FI183" s="14"/>
      <c r="FJ183" s="14"/>
      <c r="FK183" s="14"/>
      <c r="FL183" s="14"/>
      <c r="FM183" s="14"/>
      <c r="FN183" s="14"/>
      <c r="FO183" s="14"/>
      <c r="FP183" s="14"/>
      <c r="FQ183" s="14"/>
      <c r="FR183" s="14"/>
      <c r="FS183" s="14"/>
      <c r="FT183" s="14"/>
      <c r="FU183" s="14"/>
      <c r="FV183" s="14"/>
      <c r="FW183" s="14"/>
      <c r="FX183" s="14"/>
      <c r="FY183" s="14"/>
      <c r="FZ183" s="14"/>
      <c r="GA183" s="14"/>
      <c r="GB183" s="14"/>
      <c r="GC183" s="14"/>
      <c r="GD183" s="14"/>
      <c r="GE183" s="14"/>
      <c r="GF183" s="14"/>
      <c r="GG183" s="14"/>
      <c r="GH183" s="14"/>
      <c r="GI183" s="14"/>
      <c r="GJ183" s="14"/>
      <c r="GK183" s="14"/>
      <c r="GL183" s="14"/>
      <c r="GM183" s="14"/>
      <c r="GN183" s="14"/>
      <c r="GO183" s="14"/>
      <c r="GP183" s="14"/>
      <c r="GQ183" s="14"/>
      <c r="GR183" s="14"/>
      <c r="GS183" s="14"/>
      <c r="GT183" s="14"/>
      <c r="GU183" s="14"/>
      <c r="GV183" s="14"/>
      <c r="GW183" s="14"/>
      <c r="GX183" s="14"/>
      <c r="GY183" s="14"/>
      <c r="GZ183" s="14"/>
      <c r="HA183" s="14"/>
      <c r="HB183" s="14"/>
      <c r="HC183" s="14"/>
      <c r="HD183" s="14"/>
      <c r="HE183" s="14"/>
      <c r="HF183" s="14"/>
      <c r="HG183" s="14"/>
      <c r="HH183" s="14"/>
      <c r="HI183" s="14"/>
      <c r="HJ183" s="14"/>
      <c r="HK183" s="14"/>
      <c r="HL183" s="14"/>
      <c r="HM183" s="14"/>
      <c r="HN183" s="14"/>
      <c r="HO183" s="14"/>
      <c r="HP183" s="14"/>
      <c r="HQ183" s="14"/>
      <c r="HR183" s="14"/>
      <c r="HS183" s="14"/>
      <c r="HT183" s="14"/>
    </row>
    <row r="184" spans="1:228" ht="26.25" customHeight="1" x14ac:dyDescent="0.2">
      <c r="B184" s="1883" t="str">
        <f>IF(AND(OR(R182&gt;0,R183&gt;0),$W$239&gt;0),"A value has been given for loss of sensation or hypersensitivity in the foot. No additional value is allowed for the toes.","")</f>
        <v/>
      </c>
      <c r="C184" s="1883"/>
      <c r="D184" s="1883"/>
      <c r="E184" s="1883"/>
      <c r="F184" s="1883"/>
      <c r="G184" s="1883"/>
      <c r="H184" s="1883"/>
      <c r="I184" s="1883"/>
      <c r="J184" s="1883"/>
      <c r="K184" s="1883"/>
      <c r="L184" s="1883"/>
      <c r="M184" s="1883"/>
      <c r="N184" s="1883"/>
      <c r="O184" s="1883"/>
      <c r="P184" s="659"/>
      <c r="R184" s="18"/>
      <c r="S184" s="19"/>
      <c r="T184" s="19"/>
      <c r="U184" s="19"/>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4"/>
      <c r="BR184" s="14"/>
      <c r="BS184" s="14"/>
      <c r="BT184" s="14"/>
      <c r="BU184" s="14"/>
      <c r="BV184" s="14"/>
      <c r="BW184" s="14"/>
      <c r="BX184" s="14"/>
      <c r="BY184" s="14"/>
      <c r="BZ184" s="14"/>
      <c r="CA184" s="14"/>
      <c r="CB184" s="14"/>
      <c r="CC184" s="14"/>
      <c r="CD184" s="14"/>
      <c r="CE184" s="14"/>
      <c r="CF184" s="14"/>
      <c r="CG184" s="14"/>
      <c r="CH184" s="14"/>
      <c r="CI184" s="14"/>
      <c r="CJ184" s="14"/>
      <c r="CK184" s="14"/>
      <c r="CL184" s="14"/>
      <c r="CM184" s="14"/>
      <c r="CN184" s="14"/>
      <c r="CO184" s="14"/>
      <c r="CP184" s="14"/>
      <c r="CQ184" s="14"/>
      <c r="CR184" s="14"/>
      <c r="CS184" s="14"/>
      <c r="CT184" s="14"/>
      <c r="CU184" s="14"/>
      <c r="CV184" s="14"/>
      <c r="CW184" s="14"/>
      <c r="CX184" s="14"/>
      <c r="CY184" s="14"/>
      <c r="CZ184" s="14"/>
      <c r="DA184" s="14"/>
      <c r="DB184" s="14"/>
      <c r="DC184" s="14"/>
      <c r="DD184" s="14"/>
      <c r="DE184" s="14"/>
      <c r="DF184" s="14"/>
      <c r="DG184" s="14"/>
      <c r="DH184" s="14"/>
      <c r="DI184" s="14"/>
      <c r="DJ184" s="14"/>
      <c r="DK184" s="14"/>
      <c r="DL184" s="14"/>
      <c r="DM184" s="14"/>
      <c r="DN184" s="14"/>
      <c r="DO184" s="14"/>
      <c r="DP184" s="14"/>
      <c r="DQ184" s="14"/>
      <c r="DR184" s="14"/>
      <c r="DS184" s="14"/>
      <c r="DT184" s="14"/>
      <c r="DU184" s="14"/>
      <c r="DV184" s="14"/>
      <c r="DW184" s="14"/>
      <c r="DX184" s="14"/>
      <c r="DY184" s="14"/>
      <c r="DZ184" s="14"/>
      <c r="EA184" s="14"/>
      <c r="EB184" s="14"/>
      <c r="EC184" s="14"/>
      <c r="ED184" s="14"/>
      <c r="EE184" s="14"/>
      <c r="EF184" s="14"/>
      <c r="EG184" s="14"/>
      <c r="EH184" s="14"/>
      <c r="EI184" s="14"/>
      <c r="EJ184" s="14"/>
      <c r="EK184" s="14"/>
      <c r="EL184" s="14"/>
      <c r="EM184" s="14"/>
      <c r="EN184" s="14"/>
      <c r="EO184" s="14"/>
      <c r="EP184" s="14"/>
      <c r="EQ184" s="14"/>
      <c r="ER184" s="14"/>
      <c r="ES184" s="14"/>
      <c r="ET184" s="14"/>
      <c r="EU184" s="14"/>
      <c r="EV184" s="14"/>
      <c r="EW184" s="14"/>
      <c r="EX184" s="14"/>
      <c r="EY184" s="14"/>
      <c r="EZ184" s="14"/>
      <c r="FA184" s="14"/>
      <c r="FB184" s="14"/>
      <c r="FC184" s="14"/>
      <c r="FD184" s="14"/>
      <c r="FE184" s="14"/>
      <c r="FF184" s="14"/>
      <c r="FG184" s="14"/>
      <c r="FH184" s="14"/>
      <c r="FI184" s="14"/>
      <c r="FJ184" s="14"/>
      <c r="FK184" s="14"/>
      <c r="FL184" s="14"/>
      <c r="FM184" s="14"/>
      <c r="FN184" s="14"/>
      <c r="FO184" s="14"/>
      <c r="FP184" s="14"/>
      <c r="FQ184" s="14"/>
      <c r="FR184" s="14"/>
      <c r="FS184" s="14"/>
      <c r="FT184" s="14"/>
      <c r="FU184" s="14"/>
      <c r="FV184" s="14"/>
      <c r="FW184" s="14"/>
      <c r="FX184" s="14"/>
      <c r="FY184" s="14"/>
      <c r="FZ184" s="14"/>
      <c r="GA184" s="14"/>
      <c r="GB184" s="14"/>
      <c r="GC184" s="14"/>
      <c r="GD184" s="14"/>
      <c r="GE184" s="14"/>
      <c r="GF184" s="14"/>
      <c r="GG184" s="14"/>
      <c r="GH184" s="14"/>
      <c r="GI184" s="14"/>
      <c r="GJ184" s="14"/>
      <c r="GK184" s="14"/>
      <c r="GL184" s="14"/>
      <c r="GM184" s="14"/>
      <c r="GN184" s="14"/>
      <c r="GO184" s="14"/>
      <c r="GP184" s="14"/>
      <c r="GQ184" s="14"/>
      <c r="GR184" s="14"/>
      <c r="GS184" s="14"/>
      <c r="GT184" s="14"/>
      <c r="GU184" s="14"/>
      <c r="GV184" s="14"/>
      <c r="GW184" s="14"/>
      <c r="GX184" s="14"/>
      <c r="GY184" s="14"/>
      <c r="GZ184" s="14"/>
      <c r="HA184" s="14"/>
      <c r="HB184" s="14"/>
      <c r="HC184" s="14"/>
      <c r="HD184" s="14"/>
      <c r="HE184" s="14"/>
      <c r="HF184" s="14"/>
      <c r="HG184" s="14"/>
      <c r="HH184" s="14"/>
      <c r="HI184" s="14"/>
      <c r="HJ184" s="14"/>
      <c r="HK184" s="14"/>
      <c r="HL184" s="14"/>
      <c r="HM184" s="14"/>
      <c r="HN184" s="14"/>
      <c r="HO184" s="14"/>
      <c r="HP184" s="14"/>
      <c r="HQ184" s="14"/>
      <c r="HR184" s="14"/>
      <c r="HS184" s="14"/>
      <c r="HT184" s="14"/>
    </row>
    <row r="185" spans="1:228" s="63" customFormat="1" ht="12" customHeight="1" x14ac:dyDescent="0.25">
      <c r="A185" s="35"/>
      <c r="B185" s="1602"/>
      <c r="C185" s="1395"/>
      <c r="D185" s="1395"/>
      <c r="E185" s="1395"/>
      <c r="F185" s="1395"/>
      <c r="G185" s="1395"/>
      <c r="H185" s="1395"/>
      <c r="I185" s="1395"/>
      <c r="J185" s="1395"/>
      <c r="K185" s="1395"/>
      <c r="L185" s="1395"/>
      <c r="M185" s="1395"/>
      <c r="N185" s="1395"/>
      <c r="O185" s="1395"/>
      <c r="P185" s="75"/>
      <c r="Q185" s="35"/>
      <c r="R185" s="18"/>
      <c r="S185" s="18"/>
      <c r="Y185" s="60"/>
      <c r="Z185" s="1569"/>
      <c r="AA185" s="1569"/>
      <c r="AB185" s="1569"/>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4"/>
      <c r="BB185" s="14"/>
      <c r="BC185" s="14"/>
      <c r="BD185" s="14"/>
      <c r="BE185" s="14"/>
      <c r="BF185" s="14"/>
      <c r="BG185" s="14"/>
      <c r="BH185" s="14"/>
      <c r="BI185" s="14"/>
      <c r="BJ185" s="14"/>
      <c r="BK185" s="14"/>
      <c r="BL185" s="14"/>
      <c r="BM185" s="14"/>
      <c r="BN185" s="14"/>
      <c r="BO185" s="14"/>
      <c r="BP185" s="14"/>
      <c r="BQ185" s="14"/>
      <c r="BR185" s="14"/>
      <c r="BS185" s="14"/>
      <c r="BT185" s="14"/>
      <c r="BU185" s="14"/>
      <c r="BV185" s="14"/>
      <c r="BW185" s="14"/>
      <c r="BX185" s="14"/>
      <c r="BY185" s="14"/>
      <c r="BZ185" s="14"/>
      <c r="CA185" s="14"/>
      <c r="CB185" s="14"/>
      <c r="CC185" s="14"/>
      <c r="CD185" s="14"/>
      <c r="CE185" s="14"/>
      <c r="CF185" s="14"/>
      <c r="CG185" s="14"/>
      <c r="CH185" s="14"/>
      <c r="CI185" s="14"/>
      <c r="CJ185" s="14"/>
      <c r="CK185" s="14"/>
      <c r="CL185" s="14"/>
      <c r="CM185" s="14"/>
      <c r="CN185" s="14"/>
      <c r="CO185" s="14"/>
      <c r="CP185" s="14"/>
      <c r="CQ185" s="14"/>
      <c r="CR185" s="14"/>
      <c r="CS185" s="14"/>
      <c r="CT185" s="14"/>
      <c r="CU185" s="14"/>
      <c r="CV185" s="14"/>
      <c r="CW185" s="14"/>
      <c r="CX185" s="14"/>
      <c r="CY185" s="14"/>
      <c r="CZ185" s="14"/>
      <c r="DA185" s="14"/>
      <c r="DB185" s="14"/>
      <c r="DC185" s="14"/>
      <c r="DD185" s="14"/>
      <c r="DE185" s="14"/>
      <c r="DF185" s="14"/>
      <c r="DG185" s="14"/>
      <c r="DH185" s="14"/>
      <c r="DI185" s="14"/>
      <c r="DJ185" s="14"/>
      <c r="DK185" s="14"/>
      <c r="DL185" s="14"/>
      <c r="DM185" s="14"/>
      <c r="DN185" s="14"/>
      <c r="DO185" s="14"/>
      <c r="DP185" s="14"/>
      <c r="DQ185" s="14"/>
      <c r="DR185" s="14"/>
      <c r="DS185" s="14"/>
      <c r="DT185" s="14"/>
      <c r="DU185" s="14"/>
      <c r="DV185" s="14"/>
      <c r="DW185" s="14"/>
      <c r="DX185" s="14"/>
      <c r="DY185" s="14"/>
      <c r="DZ185" s="14"/>
      <c r="EA185" s="14"/>
      <c r="EB185" s="14"/>
      <c r="EC185" s="14"/>
      <c r="ED185" s="14"/>
      <c r="EE185" s="14"/>
      <c r="EF185" s="14"/>
      <c r="EG185" s="14"/>
      <c r="EH185" s="14"/>
      <c r="EI185" s="14"/>
      <c r="EJ185" s="14"/>
      <c r="EK185" s="14"/>
      <c r="EL185" s="14"/>
    </row>
    <row r="186" spans="1:228" s="63" customFormat="1" ht="15" customHeight="1" x14ac:dyDescent="0.2">
      <c r="A186" s="8"/>
      <c r="B186" s="1379" t="s">
        <v>2016</v>
      </c>
      <c r="C186" s="1379"/>
      <c r="D186" s="1379"/>
      <c r="E186" s="1379"/>
      <c r="F186" s="1379"/>
      <c r="G186" s="1379"/>
      <c r="H186" s="1379"/>
      <c r="I186" s="1379"/>
      <c r="J186" s="1379"/>
      <c r="K186" s="1379"/>
      <c r="L186" s="1379"/>
      <c r="M186" s="1379"/>
      <c r="N186" s="1308"/>
      <c r="O186" s="1308"/>
      <c r="P186" s="931">
        <f>IF(N186=T186,0.03,IF(N186=U186,0.15,IF(N186=V186,0.38,IF(N186=W186,0.68,IF(N186=X186,0.9,0)))))</f>
        <v>0</v>
      </c>
      <c r="Q186" s="926"/>
      <c r="R186" s="1487" t="s">
        <v>2197</v>
      </c>
      <c r="S186" s="1487"/>
      <c r="T186" s="922" t="s">
        <v>1969</v>
      </c>
      <c r="U186" s="922" t="s">
        <v>1970</v>
      </c>
      <c r="V186" s="932" t="s">
        <v>1972</v>
      </c>
      <c r="W186" s="922" t="s">
        <v>945</v>
      </c>
      <c r="X186" s="932" t="s">
        <v>558</v>
      </c>
      <c r="Y186" s="60"/>
      <c r="Z186" s="1569"/>
      <c r="AA186" s="1569"/>
      <c r="AB186" s="1569"/>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4"/>
      <c r="BB186" s="14"/>
      <c r="BC186" s="14"/>
      <c r="BD186" s="14"/>
      <c r="BE186" s="14"/>
      <c r="BF186" s="14"/>
      <c r="BG186" s="14"/>
      <c r="BH186" s="14"/>
      <c r="BI186" s="14"/>
      <c r="BJ186" s="14"/>
      <c r="BK186" s="14"/>
      <c r="BL186" s="14"/>
      <c r="BM186" s="14"/>
      <c r="BN186" s="14"/>
      <c r="BO186" s="14"/>
      <c r="BP186" s="14"/>
      <c r="BQ186" s="14"/>
      <c r="BR186" s="14"/>
      <c r="BS186" s="14"/>
      <c r="BT186" s="14"/>
      <c r="BU186" s="14"/>
      <c r="BV186" s="14"/>
      <c r="BW186" s="14"/>
      <c r="BX186" s="14"/>
      <c r="BY186" s="14"/>
      <c r="BZ186" s="14"/>
      <c r="CA186" s="14"/>
      <c r="CB186" s="14"/>
      <c r="CC186" s="14"/>
      <c r="CD186" s="14"/>
      <c r="CE186" s="14"/>
      <c r="CF186" s="14"/>
      <c r="CG186" s="14"/>
      <c r="CH186" s="14"/>
      <c r="CI186" s="14"/>
      <c r="CJ186" s="14"/>
      <c r="CK186" s="14"/>
      <c r="CL186" s="14"/>
      <c r="CM186" s="14"/>
      <c r="CN186" s="14"/>
      <c r="CO186" s="14"/>
      <c r="CP186" s="14"/>
      <c r="CQ186" s="14"/>
      <c r="CR186" s="14"/>
      <c r="CS186" s="14"/>
      <c r="CT186" s="14"/>
      <c r="CU186" s="14"/>
      <c r="CV186" s="14"/>
      <c r="CW186" s="14"/>
      <c r="CX186" s="14"/>
      <c r="CY186" s="14"/>
      <c r="CZ186" s="14"/>
      <c r="DA186" s="14"/>
      <c r="DB186" s="14"/>
      <c r="DC186" s="14"/>
      <c r="DD186" s="14"/>
      <c r="DE186" s="14"/>
      <c r="DF186" s="14"/>
      <c r="DG186" s="14"/>
      <c r="DH186" s="14"/>
      <c r="DI186" s="14"/>
      <c r="DJ186" s="14"/>
      <c r="DK186" s="14"/>
      <c r="DL186" s="14"/>
      <c r="DM186" s="14"/>
      <c r="DN186" s="14"/>
      <c r="DO186" s="14"/>
      <c r="DP186" s="14"/>
      <c r="DQ186" s="14"/>
      <c r="DR186" s="14"/>
      <c r="DS186" s="14"/>
      <c r="DT186" s="14"/>
      <c r="DU186" s="14"/>
      <c r="DV186" s="14"/>
      <c r="DW186" s="14"/>
      <c r="DX186" s="14"/>
      <c r="DY186" s="14"/>
      <c r="DZ186" s="14"/>
      <c r="EA186" s="14"/>
      <c r="EB186" s="14"/>
      <c r="EC186" s="14"/>
      <c r="ED186" s="14"/>
      <c r="EE186" s="14"/>
      <c r="EF186" s="14"/>
      <c r="EG186" s="14"/>
      <c r="EH186" s="14"/>
      <c r="EI186" s="14"/>
      <c r="EJ186" s="14"/>
      <c r="EK186" s="14"/>
      <c r="EL186" s="14"/>
    </row>
    <row r="187" spans="1:228" ht="12" customHeight="1" x14ac:dyDescent="0.25">
      <c r="B187" s="657"/>
      <c r="C187" s="657"/>
      <c r="D187" s="657"/>
      <c r="E187" s="657"/>
      <c r="F187" s="657"/>
      <c r="G187" s="657"/>
      <c r="H187" s="657"/>
      <c r="I187" s="657"/>
      <c r="J187" s="657"/>
      <c r="K187" s="657"/>
      <c r="L187" s="657"/>
      <c r="M187" s="657"/>
      <c r="N187" s="657"/>
      <c r="O187" s="657"/>
      <c r="P187" s="75"/>
      <c r="R187" s="18"/>
      <c r="S187" s="19"/>
      <c r="T187" s="19"/>
      <c r="U187" s="19"/>
      <c r="V187" s="19"/>
      <c r="W187" s="19"/>
      <c r="X187" s="19"/>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4"/>
      <c r="BR187" s="14"/>
      <c r="BS187" s="14"/>
      <c r="BT187" s="14"/>
      <c r="BU187" s="14"/>
      <c r="BV187" s="14"/>
      <c r="BW187" s="14"/>
      <c r="BX187" s="14"/>
      <c r="BY187" s="14"/>
      <c r="BZ187" s="14"/>
      <c r="CA187" s="14"/>
      <c r="CB187" s="14"/>
      <c r="CC187" s="14"/>
      <c r="CD187" s="14"/>
      <c r="CE187" s="14"/>
      <c r="CF187" s="14"/>
      <c r="CG187" s="14"/>
      <c r="CH187" s="14"/>
      <c r="CI187" s="14"/>
      <c r="CJ187" s="14"/>
      <c r="CK187" s="14"/>
      <c r="CL187" s="14"/>
      <c r="CM187" s="14"/>
      <c r="CN187" s="14"/>
      <c r="CO187" s="14"/>
      <c r="CP187" s="14"/>
      <c r="CQ187" s="14"/>
      <c r="CR187" s="14"/>
      <c r="CS187" s="14"/>
      <c r="CT187" s="14"/>
      <c r="CU187" s="14"/>
      <c r="CV187" s="14"/>
      <c r="CW187" s="14"/>
      <c r="CX187" s="14"/>
      <c r="CY187" s="14"/>
      <c r="CZ187" s="14"/>
      <c r="DA187" s="14"/>
      <c r="DB187" s="14"/>
      <c r="DC187" s="14"/>
      <c r="DD187" s="14"/>
      <c r="DE187" s="14"/>
      <c r="DF187" s="14"/>
      <c r="DG187" s="14"/>
      <c r="DH187" s="14"/>
      <c r="DI187" s="14"/>
      <c r="DJ187" s="14"/>
      <c r="DK187" s="14"/>
      <c r="DL187" s="14"/>
      <c r="DM187" s="14"/>
      <c r="DN187" s="14"/>
      <c r="DO187" s="14"/>
      <c r="DP187" s="14"/>
      <c r="DQ187" s="14"/>
      <c r="DR187" s="14"/>
      <c r="DS187" s="14"/>
      <c r="DT187" s="14"/>
      <c r="DU187" s="14"/>
      <c r="DV187" s="14"/>
      <c r="DW187" s="14"/>
      <c r="DX187" s="14"/>
      <c r="DY187" s="14"/>
      <c r="DZ187" s="14"/>
      <c r="EA187" s="14"/>
      <c r="EB187" s="14"/>
      <c r="EC187" s="14"/>
      <c r="ED187" s="14"/>
      <c r="EE187" s="14"/>
      <c r="EF187" s="14"/>
      <c r="EG187" s="14"/>
      <c r="EH187" s="14"/>
      <c r="EI187" s="14"/>
      <c r="EJ187" s="14"/>
      <c r="EK187" s="14"/>
      <c r="EL187" s="14"/>
      <c r="EM187" s="14"/>
      <c r="EN187" s="14"/>
      <c r="EO187" s="14"/>
      <c r="EP187" s="14"/>
      <c r="EQ187" s="14"/>
      <c r="ER187" s="14"/>
      <c r="ES187" s="14"/>
      <c r="ET187" s="14"/>
      <c r="EU187" s="14"/>
      <c r="EV187" s="14"/>
      <c r="EW187" s="14"/>
      <c r="EX187" s="14"/>
      <c r="EY187" s="14"/>
      <c r="EZ187" s="14"/>
      <c r="FA187" s="14"/>
      <c r="FB187" s="14"/>
      <c r="FC187" s="14"/>
      <c r="FD187" s="14"/>
      <c r="FE187" s="14"/>
      <c r="FF187" s="14"/>
      <c r="FG187" s="14"/>
      <c r="FH187" s="14"/>
      <c r="FI187" s="14"/>
      <c r="FJ187" s="14"/>
      <c r="FK187" s="14"/>
      <c r="FL187" s="14"/>
      <c r="FM187" s="14"/>
      <c r="FN187" s="14"/>
      <c r="FO187" s="14"/>
      <c r="FP187" s="14"/>
      <c r="FQ187" s="14"/>
      <c r="FR187" s="14"/>
      <c r="FS187" s="14"/>
      <c r="FT187" s="14"/>
      <c r="FU187" s="14"/>
      <c r="FV187" s="14"/>
      <c r="FW187" s="14"/>
      <c r="FX187" s="14"/>
      <c r="FY187" s="14"/>
      <c r="FZ187" s="14"/>
      <c r="GA187" s="14"/>
      <c r="GB187" s="14"/>
      <c r="GC187" s="14"/>
      <c r="GD187" s="14"/>
      <c r="GE187" s="14"/>
      <c r="GF187" s="14"/>
      <c r="GG187" s="14"/>
      <c r="GH187" s="14"/>
      <c r="GI187" s="14"/>
      <c r="GJ187" s="14"/>
      <c r="GK187" s="14"/>
      <c r="GL187" s="14"/>
      <c r="GM187" s="14"/>
      <c r="GN187" s="14"/>
      <c r="GO187" s="14"/>
      <c r="GP187" s="14"/>
      <c r="GQ187" s="14"/>
      <c r="GR187" s="14"/>
      <c r="GS187" s="14"/>
      <c r="GT187" s="14"/>
      <c r="GU187" s="14"/>
      <c r="GV187" s="14"/>
      <c r="GW187" s="14"/>
      <c r="GX187" s="14"/>
      <c r="GY187" s="14"/>
      <c r="GZ187" s="14"/>
      <c r="HA187" s="14"/>
      <c r="HB187" s="14"/>
      <c r="HC187" s="14"/>
      <c r="HD187" s="14"/>
      <c r="HE187" s="14"/>
      <c r="HF187" s="14"/>
      <c r="HG187" s="14"/>
      <c r="HH187" s="14"/>
      <c r="HI187" s="14"/>
      <c r="HJ187" s="14"/>
      <c r="HK187" s="14"/>
      <c r="HL187" s="14"/>
      <c r="HM187" s="14"/>
      <c r="HN187" s="14"/>
      <c r="HO187" s="14"/>
      <c r="HP187" s="14"/>
      <c r="HQ187" s="14"/>
      <c r="HR187" s="14"/>
      <c r="HS187" s="14"/>
      <c r="HT187" s="14"/>
    </row>
    <row r="188" spans="1:228" ht="18" customHeight="1" x14ac:dyDescent="0.2">
      <c r="A188" s="189"/>
      <c r="B188" s="316" t="s">
        <v>1709</v>
      </c>
      <c r="C188" s="1870"/>
      <c r="D188" s="1871"/>
      <c r="E188" s="1362" t="s">
        <v>1710</v>
      </c>
      <c r="F188" s="1363"/>
      <c r="G188" s="1363"/>
      <c r="H188" s="1363"/>
      <c r="I188" s="1363"/>
      <c r="J188" s="1363"/>
      <c r="K188" s="1363"/>
      <c r="L188" s="1363"/>
      <c r="M188" s="1363"/>
      <c r="N188" s="1363"/>
      <c r="O188" s="1364"/>
      <c r="P188" s="303">
        <f>IF(T188=1,0.15,0)</f>
        <v>0</v>
      </c>
      <c r="R188" s="18"/>
      <c r="S188" s="706" t="b">
        <v>0</v>
      </c>
      <c r="T188" s="922">
        <f>IF(S188=TRUE,1,0)</f>
        <v>0</v>
      </c>
      <c r="U188" s="18"/>
      <c r="V188" s="18"/>
      <c r="W188" s="18">
        <v>1E-4</v>
      </c>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4"/>
      <c r="BR188" s="14"/>
      <c r="BS188" s="14"/>
      <c r="BT188" s="14"/>
      <c r="BU188" s="14"/>
      <c r="BV188" s="14"/>
      <c r="BW188" s="14"/>
      <c r="BX188" s="14"/>
      <c r="BY188" s="14"/>
      <c r="BZ188" s="14"/>
      <c r="CA188" s="14"/>
      <c r="CB188" s="14"/>
      <c r="CC188" s="14"/>
      <c r="CD188" s="14"/>
      <c r="CE188" s="14"/>
      <c r="CF188" s="14"/>
      <c r="CG188" s="14"/>
      <c r="CH188" s="14"/>
      <c r="CI188" s="14"/>
      <c r="CJ188" s="14"/>
      <c r="CK188" s="14"/>
      <c r="CL188" s="14"/>
      <c r="CM188" s="14"/>
      <c r="CN188" s="14"/>
      <c r="CO188" s="14"/>
      <c r="CP188" s="14"/>
      <c r="CQ188" s="14"/>
      <c r="CR188" s="14"/>
      <c r="CS188" s="14"/>
      <c r="CT188" s="14"/>
      <c r="CU188" s="14"/>
      <c r="CV188" s="14"/>
      <c r="CW188" s="14"/>
      <c r="CX188" s="14"/>
      <c r="CY188" s="14"/>
      <c r="CZ188" s="14"/>
      <c r="DA188" s="14"/>
      <c r="DB188" s="14"/>
      <c r="DC188" s="14"/>
      <c r="DD188" s="14"/>
      <c r="DE188" s="14"/>
      <c r="DF188" s="14"/>
      <c r="DG188" s="14"/>
      <c r="DH188" s="14"/>
      <c r="DI188" s="14"/>
      <c r="DJ188" s="14"/>
      <c r="DK188" s="14"/>
      <c r="DL188" s="14"/>
      <c r="DM188" s="14"/>
      <c r="DN188" s="14"/>
      <c r="DO188" s="14"/>
      <c r="DP188" s="14"/>
      <c r="DQ188" s="14"/>
      <c r="DR188" s="14"/>
      <c r="DS188" s="14"/>
      <c r="DT188" s="14"/>
      <c r="DU188" s="14"/>
      <c r="DV188" s="14"/>
      <c r="DW188" s="14"/>
      <c r="DX188" s="14"/>
      <c r="DY188" s="14"/>
      <c r="DZ188" s="14"/>
      <c r="EA188" s="14"/>
      <c r="EB188" s="14"/>
      <c r="EC188" s="14"/>
      <c r="ED188" s="14"/>
      <c r="EE188" s="14"/>
      <c r="EF188" s="14"/>
      <c r="EG188" s="14"/>
      <c r="EH188" s="14"/>
      <c r="EI188" s="14"/>
      <c r="EJ188" s="14"/>
      <c r="EK188" s="14"/>
      <c r="EL188" s="14"/>
      <c r="EM188" s="14"/>
      <c r="EN188" s="14"/>
      <c r="EO188" s="14"/>
      <c r="EP188" s="14"/>
      <c r="EQ188" s="14"/>
      <c r="ER188" s="14"/>
      <c r="ES188" s="14"/>
      <c r="ET188" s="14"/>
      <c r="EU188" s="14"/>
      <c r="EV188" s="14"/>
      <c r="EW188" s="14"/>
      <c r="EX188" s="14"/>
      <c r="EY188" s="14"/>
      <c r="EZ188" s="14"/>
      <c r="FA188" s="14"/>
      <c r="FB188" s="14"/>
      <c r="FC188" s="14"/>
      <c r="FD188" s="14"/>
      <c r="FE188" s="14"/>
      <c r="FF188" s="14"/>
      <c r="FG188" s="14"/>
      <c r="FH188" s="14"/>
      <c r="FI188" s="14"/>
      <c r="FJ188" s="14"/>
      <c r="FK188" s="14"/>
      <c r="FL188" s="14"/>
      <c r="FM188" s="14"/>
      <c r="FN188" s="14"/>
      <c r="FO188" s="14"/>
      <c r="FP188" s="14"/>
      <c r="FQ188" s="14"/>
      <c r="FR188" s="14"/>
      <c r="FS188" s="14"/>
      <c r="FT188" s="14"/>
      <c r="FU188" s="14"/>
      <c r="FV188" s="14"/>
      <c r="FW188" s="14"/>
      <c r="FX188" s="14"/>
      <c r="FY188" s="14"/>
      <c r="FZ188" s="14"/>
      <c r="GA188" s="14"/>
      <c r="GB188" s="14"/>
      <c r="GC188" s="14"/>
      <c r="GD188" s="14"/>
      <c r="GE188" s="14"/>
      <c r="GF188" s="14"/>
      <c r="GG188" s="14"/>
      <c r="GH188" s="14"/>
      <c r="GI188" s="14"/>
      <c r="GJ188" s="14"/>
      <c r="GK188" s="14"/>
      <c r="GL188" s="14"/>
      <c r="GM188" s="14"/>
      <c r="GN188" s="14"/>
      <c r="GO188" s="14"/>
      <c r="GP188" s="14"/>
      <c r="GQ188" s="14"/>
      <c r="GR188" s="14"/>
      <c r="GS188" s="14"/>
      <c r="GT188" s="14"/>
      <c r="GU188" s="14"/>
      <c r="GV188" s="14"/>
      <c r="GW188" s="14"/>
      <c r="GX188" s="14"/>
      <c r="GY188" s="14"/>
      <c r="GZ188" s="14"/>
      <c r="HA188" s="14"/>
      <c r="HB188" s="14"/>
      <c r="HC188" s="14"/>
      <c r="HD188" s="14"/>
      <c r="HE188" s="14"/>
      <c r="HF188" s="14"/>
      <c r="HG188" s="14"/>
      <c r="HH188" s="14"/>
      <c r="HI188" s="14"/>
      <c r="HJ188" s="14"/>
      <c r="HK188" s="14"/>
      <c r="HL188" s="14"/>
      <c r="HM188" s="14"/>
      <c r="HN188" s="14"/>
      <c r="HO188" s="14"/>
      <c r="HP188" s="14"/>
      <c r="HQ188" s="14"/>
      <c r="HR188" s="14"/>
      <c r="HS188" s="14"/>
      <c r="HT188" s="14"/>
    </row>
    <row r="189" spans="1:228" ht="18" customHeight="1" x14ac:dyDescent="0.2">
      <c r="B189" s="316" t="s">
        <v>1711</v>
      </c>
      <c r="C189" s="1870"/>
      <c r="D189" s="1871"/>
      <c r="E189" s="1362" t="s">
        <v>1712</v>
      </c>
      <c r="F189" s="1363"/>
      <c r="G189" s="1363"/>
      <c r="H189" s="1363"/>
      <c r="I189" s="1363"/>
      <c r="J189" s="1363"/>
      <c r="K189" s="1363"/>
      <c r="L189" s="1363"/>
      <c r="M189" s="1363"/>
      <c r="N189" s="1363"/>
      <c r="O189" s="1364"/>
      <c r="P189" s="303">
        <f>IF(T189=1,0.25,0)</f>
        <v>0</v>
      </c>
      <c r="R189" s="18"/>
      <c r="S189" s="706" t="b">
        <v>0</v>
      </c>
      <c r="T189" s="922">
        <f>IF(S189=TRUE,1,0)</f>
        <v>0</v>
      </c>
      <c r="U189" s="18"/>
      <c r="V189" s="18"/>
      <c r="W189" s="18"/>
      <c r="X189" s="1111"/>
      <c r="Y189" s="1111"/>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4"/>
      <c r="BR189" s="14"/>
      <c r="BS189" s="14"/>
      <c r="BT189" s="14"/>
      <c r="BU189" s="14"/>
      <c r="BV189" s="14"/>
      <c r="BW189" s="14"/>
      <c r="BX189" s="14"/>
      <c r="BY189" s="14"/>
      <c r="BZ189" s="14"/>
      <c r="CA189" s="14"/>
      <c r="CB189" s="14"/>
      <c r="CC189" s="14"/>
      <c r="CD189" s="14"/>
      <c r="CE189" s="14"/>
      <c r="CF189" s="14"/>
      <c r="CG189" s="14"/>
      <c r="CH189" s="14"/>
      <c r="CI189" s="14"/>
      <c r="CJ189" s="14"/>
      <c r="CK189" s="14"/>
      <c r="CL189" s="14"/>
      <c r="CM189" s="14"/>
      <c r="CN189" s="14"/>
      <c r="CO189" s="14"/>
      <c r="CP189" s="14"/>
      <c r="CQ189" s="14"/>
      <c r="CR189" s="14"/>
      <c r="CS189" s="14"/>
      <c r="CT189" s="14"/>
      <c r="CU189" s="14"/>
      <c r="CV189" s="14"/>
      <c r="CW189" s="14"/>
      <c r="CX189" s="14"/>
      <c r="CY189" s="14"/>
      <c r="CZ189" s="14"/>
      <c r="DA189" s="14"/>
      <c r="DB189" s="14"/>
      <c r="DC189" s="14"/>
      <c r="DD189" s="14"/>
      <c r="DE189" s="14"/>
      <c r="DF189" s="14"/>
      <c r="DG189" s="14"/>
      <c r="DH189" s="14"/>
      <c r="DI189" s="14"/>
      <c r="DJ189" s="14"/>
      <c r="DK189" s="14"/>
      <c r="DL189" s="14"/>
      <c r="DM189" s="14"/>
      <c r="DN189" s="14"/>
      <c r="DO189" s="14"/>
      <c r="DP189" s="14"/>
      <c r="DQ189" s="14"/>
      <c r="DR189" s="14"/>
      <c r="DS189" s="14"/>
      <c r="DT189" s="14"/>
      <c r="DU189" s="14"/>
      <c r="DV189" s="14"/>
      <c r="DW189" s="14"/>
      <c r="DX189" s="14"/>
      <c r="DY189" s="14"/>
      <c r="DZ189" s="14"/>
      <c r="EA189" s="14"/>
      <c r="EB189" s="14"/>
      <c r="EC189" s="14"/>
      <c r="ED189" s="14"/>
      <c r="EE189" s="14"/>
      <c r="EF189" s="14"/>
      <c r="EG189" s="14"/>
      <c r="EH189" s="14"/>
      <c r="EI189" s="14"/>
      <c r="EJ189" s="14"/>
      <c r="EK189" s="14"/>
      <c r="EL189" s="14"/>
      <c r="EM189" s="14"/>
      <c r="EN189" s="14"/>
      <c r="EO189" s="14"/>
      <c r="EP189" s="14"/>
      <c r="EQ189" s="14"/>
      <c r="ER189" s="14"/>
      <c r="ES189" s="14"/>
      <c r="ET189" s="14"/>
      <c r="EU189" s="14"/>
      <c r="EV189" s="14"/>
      <c r="EW189" s="14"/>
      <c r="EX189" s="14"/>
      <c r="EY189" s="14"/>
      <c r="EZ189" s="14"/>
      <c r="FA189" s="14"/>
      <c r="FB189" s="14"/>
      <c r="FC189" s="14"/>
      <c r="FD189" s="14"/>
      <c r="FE189" s="14"/>
      <c r="FF189" s="14"/>
      <c r="FG189" s="14"/>
      <c r="FH189" s="14"/>
      <c r="FI189" s="14"/>
      <c r="FJ189" s="14"/>
      <c r="FK189" s="14"/>
      <c r="FL189" s="14"/>
      <c r="FM189" s="14"/>
      <c r="FN189" s="14"/>
      <c r="FO189" s="14"/>
      <c r="FP189" s="14"/>
      <c r="FQ189" s="14"/>
      <c r="FR189" s="14"/>
      <c r="FS189" s="14"/>
      <c r="FT189" s="14"/>
      <c r="FU189" s="14"/>
      <c r="FV189" s="14"/>
      <c r="FW189" s="14"/>
      <c r="FX189" s="14"/>
      <c r="FY189" s="14"/>
      <c r="FZ189" s="14"/>
      <c r="GA189" s="14"/>
      <c r="GB189" s="14"/>
      <c r="GC189" s="14"/>
      <c r="GD189" s="14"/>
      <c r="GE189" s="14"/>
      <c r="GF189" s="14"/>
      <c r="GG189" s="14"/>
      <c r="GH189" s="14"/>
      <c r="GI189" s="14"/>
      <c r="GJ189" s="14"/>
      <c r="GK189" s="14"/>
      <c r="GL189" s="14"/>
      <c r="GM189" s="14"/>
      <c r="GN189" s="14"/>
      <c r="GO189" s="14"/>
      <c r="GP189" s="14"/>
      <c r="GQ189" s="14"/>
      <c r="GR189" s="14"/>
      <c r="GS189" s="14"/>
      <c r="GT189" s="14"/>
      <c r="GU189" s="14"/>
      <c r="GV189" s="14"/>
      <c r="GW189" s="14"/>
      <c r="GX189" s="14"/>
      <c r="GY189" s="14"/>
      <c r="GZ189" s="14"/>
      <c r="HA189" s="14"/>
      <c r="HB189" s="14"/>
      <c r="HC189" s="14"/>
      <c r="HD189" s="14"/>
      <c r="HE189" s="14"/>
      <c r="HF189" s="14"/>
      <c r="HG189" s="14"/>
      <c r="HH189" s="14"/>
      <c r="HI189" s="14"/>
      <c r="HJ189" s="14"/>
      <c r="HK189" s="14"/>
      <c r="HL189" s="14"/>
      <c r="HM189" s="14"/>
      <c r="HN189" s="14"/>
      <c r="HO189" s="14"/>
      <c r="HP189" s="14"/>
      <c r="HQ189" s="14"/>
      <c r="HR189" s="14"/>
      <c r="HS189" s="14"/>
      <c r="HT189" s="14"/>
    </row>
    <row r="190" spans="1:228" ht="18" customHeight="1" x14ac:dyDescent="0.2">
      <c r="B190" s="471" t="s">
        <v>626</v>
      </c>
      <c r="C190" s="1925"/>
      <c r="D190" s="1925"/>
      <c r="E190" s="1546" t="s">
        <v>627</v>
      </c>
      <c r="F190" s="1547"/>
      <c r="G190" s="1547"/>
      <c r="H190" s="1547"/>
      <c r="I190" s="1547"/>
      <c r="J190" s="1547"/>
      <c r="K190" s="1547"/>
      <c r="L190" s="1547"/>
      <c r="M190" s="1547"/>
      <c r="N190" s="1547"/>
      <c r="O190" s="1548"/>
      <c r="P190" s="338">
        <f>IF(T190=1,0.25,0)</f>
        <v>0</v>
      </c>
      <c r="R190" s="18"/>
      <c r="S190" s="706" t="b">
        <v>0</v>
      </c>
      <c r="T190" s="922">
        <f>IF(S190=TRUE,1,0)</f>
        <v>0</v>
      </c>
      <c r="U190" s="18"/>
      <c r="V190" s="18"/>
      <c r="W190" s="18"/>
      <c r="X190" s="1111"/>
      <c r="Y190" s="1111"/>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4"/>
      <c r="BR190" s="14"/>
      <c r="BS190" s="14"/>
      <c r="BT190" s="14"/>
      <c r="BU190" s="14"/>
      <c r="BV190" s="14"/>
      <c r="BW190" s="14"/>
      <c r="BX190" s="14"/>
      <c r="BY190" s="14"/>
      <c r="BZ190" s="14"/>
      <c r="CA190" s="14"/>
      <c r="CB190" s="14"/>
      <c r="CC190" s="14"/>
      <c r="CD190" s="14"/>
      <c r="CE190" s="14"/>
      <c r="CF190" s="14"/>
      <c r="CG190" s="14"/>
      <c r="CH190" s="14"/>
      <c r="CI190" s="14"/>
      <c r="CJ190" s="14"/>
      <c r="CK190" s="14"/>
      <c r="CL190" s="14"/>
      <c r="CM190" s="14"/>
      <c r="CN190" s="14"/>
      <c r="CO190" s="14"/>
      <c r="CP190" s="14"/>
      <c r="CQ190" s="14"/>
      <c r="CR190" s="14"/>
      <c r="CS190" s="14"/>
      <c r="CT190" s="14"/>
      <c r="CU190" s="14"/>
      <c r="CV190" s="14"/>
      <c r="CW190" s="14"/>
      <c r="CX190" s="14"/>
      <c r="CY190" s="14"/>
      <c r="CZ190" s="14"/>
      <c r="DA190" s="14"/>
      <c r="DB190" s="14"/>
      <c r="DC190" s="14"/>
      <c r="DD190" s="14"/>
      <c r="DE190" s="14"/>
      <c r="DF190" s="14"/>
      <c r="DG190" s="14"/>
      <c r="DH190" s="14"/>
      <c r="DI190" s="14"/>
      <c r="DJ190" s="14"/>
      <c r="DK190" s="14"/>
      <c r="DL190" s="14"/>
      <c r="DM190" s="14"/>
      <c r="DN190" s="14"/>
      <c r="DO190" s="14"/>
      <c r="DP190" s="14"/>
      <c r="DQ190" s="14"/>
      <c r="DR190" s="14"/>
      <c r="DS190" s="14"/>
      <c r="DT190" s="14"/>
      <c r="DU190" s="14"/>
      <c r="DV190" s="14"/>
      <c r="DW190" s="14"/>
      <c r="DX190" s="14"/>
      <c r="DY190" s="14"/>
      <c r="DZ190" s="14"/>
      <c r="EA190" s="14"/>
      <c r="EB190" s="14"/>
      <c r="EC190" s="14"/>
      <c r="ED190" s="14"/>
      <c r="EE190" s="14"/>
      <c r="EF190" s="14"/>
      <c r="EG190" s="14"/>
      <c r="EH190" s="14"/>
      <c r="EI190" s="14"/>
      <c r="EJ190" s="14"/>
      <c r="EK190" s="14"/>
      <c r="EL190" s="14"/>
      <c r="EM190" s="14"/>
      <c r="EN190" s="14"/>
      <c r="EO190" s="14"/>
      <c r="EP190" s="14"/>
      <c r="EQ190" s="14"/>
      <c r="ER190" s="14"/>
      <c r="ES190" s="14"/>
      <c r="ET190" s="14"/>
      <c r="EU190" s="14"/>
      <c r="EV190" s="14"/>
      <c r="EW190" s="14"/>
      <c r="EX190" s="14"/>
      <c r="EY190" s="14"/>
      <c r="EZ190" s="14"/>
      <c r="FA190" s="14"/>
      <c r="FB190" s="14"/>
      <c r="FC190" s="14"/>
      <c r="FD190" s="14"/>
      <c r="FE190" s="14"/>
      <c r="FF190" s="14"/>
      <c r="FG190" s="14"/>
      <c r="FH190" s="14"/>
      <c r="FI190" s="14"/>
      <c r="FJ190" s="14"/>
      <c r="FK190" s="14"/>
      <c r="FL190" s="14"/>
      <c r="FM190" s="14"/>
      <c r="FN190" s="14"/>
      <c r="FO190" s="14"/>
      <c r="FP190" s="14"/>
      <c r="FQ190" s="14"/>
      <c r="FR190" s="14"/>
      <c r="FS190" s="14"/>
      <c r="FT190" s="14"/>
      <c r="FU190" s="14"/>
      <c r="FV190" s="14"/>
      <c r="FW190" s="14"/>
      <c r="FX190" s="14"/>
      <c r="FY190" s="14"/>
      <c r="FZ190" s="14"/>
      <c r="GA190" s="14"/>
      <c r="GB190" s="14"/>
      <c r="GC190" s="14"/>
      <c r="GD190" s="14"/>
      <c r="GE190" s="14"/>
      <c r="GF190" s="14"/>
      <c r="GG190" s="14"/>
      <c r="GH190" s="14"/>
      <c r="GI190" s="14"/>
      <c r="GJ190" s="14"/>
      <c r="GK190" s="14"/>
      <c r="GL190" s="14"/>
      <c r="GM190" s="14"/>
      <c r="GN190" s="14"/>
      <c r="GO190" s="14"/>
      <c r="GP190" s="14"/>
      <c r="GQ190" s="14"/>
      <c r="GR190" s="14"/>
      <c r="GS190" s="14"/>
      <c r="GT190" s="14"/>
      <c r="GU190" s="14"/>
      <c r="GV190" s="14"/>
      <c r="GW190" s="14"/>
      <c r="GX190" s="14"/>
      <c r="GY190" s="14"/>
      <c r="GZ190" s="14"/>
      <c r="HA190" s="14"/>
      <c r="HB190" s="14"/>
      <c r="HC190" s="14"/>
      <c r="HD190" s="14"/>
      <c r="HE190" s="14"/>
      <c r="HF190" s="14"/>
      <c r="HG190" s="14"/>
      <c r="HH190" s="14"/>
      <c r="HI190" s="14"/>
      <c r="HJ190" s="14"/>
      <c r="HK190" s="14"/>
      <c r="HL190" s="14"/>
      <c r="HM190" s="14"/>
      <c r="HN190" s="14"/>
      <c r="HO190" s="14"/>
      <c r="HP190" s="14"/>
      <c r="HQ190" s="14"/>
      <c r="HR190" s="14"/>
      <c r="HS190" s="14"/>
      <c r="HT190" s="14"/>
    </row>
    <row r="191" spans="1:228" ht="12" customHeight="1" x14ac:dyDescent="0.2">
      <c r="B191" s="1877"/>
      <c r="C191" s="1877"/>
      <c r="D191" s="1877"/>
      <c r="E191" s="1877"/>
      <c r="F191" s="1877"/>
      <c r="G191" s="1877"/>
      <c r="H191" s="1877"/>
      <c r="I191" s="1877"/>
      <c r="J191" s="1877"/>
      <c r="K191" s="1877"/>
      <c r="L191" s="1877"/>
      <c r="M191" s="1877"/>
      <c r="N191" s="1877"/>
      <c r="O191" s="1877"/>
      <c r="R191" s="18"/>
      <c r="S191" s="18"/>
      <c r="T191" s="18"/>
      <c r="U191" s="18"/>
      <c r="V191" s="18"/>
      <c r="W191" s="63"/>
      <c r="X191" s="1111"/>
      <c r="Y191" s="1111"/>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4"/>
      <c r="BR191" s="14"/>
      <c r="BS191" s="14"/>
      <c r="BT191" s="14"/>
      <c r="BU191" s="14"/>
      <c r="BV191" s="14"/>
      <c r="BW191" s="14"/>
      <c r="BX191" s="14"/>
      <c r="BY191" s="14"/>
      <c r="BZ191" s="14"/>
      <c r="CA191" s="14"/>
      <c r="CB191" s="14"/>
      <c r="CC191" s="14"/>
      <c r="CD191" s="14"/>
      <c r="CE191" s="14"/>
      <c r="CF191" s="14"/>
      <c r="CG191" s="14"/>
      <c r="CH191" s="14"/>
      <c r="CI191" s="14"/>
      <c r="CJ191" s="14"/>
      <c r="CK191" s="14"/>
      <c r="CL191" s="14"/>
      <c r="CM191" s="14"/>
      <c r="CN191" s="14"/>
      <c r="CO191" s="14"/>
      <c r="CP191" s="14"/>
      <c r="CQ191" s="14"/>
      <c r="CR191" s="14"/>
      <c r="CS191" s="14"/>
      <c r="CT191" s="14"/>
      <c r="CU191" s="14"/>
      <c r="CV191" s="14"/>
      <c r="CW191" s="14"/>
      <c r="CX191" s="14"/>
      <c r="CY191" s="14"/>
      <c r="CZ191" s="14"/>
      <c r="DA191" s="14"/>
      <c r="DB191" s="14"/>
      <c r="DC191" s="14"/>
      <c r="DD191" s="14"/>
      <c r="DE191" s="14"/>
      <c r="DF191" s="14"/>
      <c r="DG191" s="14"/>
      <c r="DH191" s="14"/>
      <c r="DI191" s="14"/>
      <c r="DJ191" s="14"/>
      <c r="DK191" s="14"/>
      <c r="DL191" s="14"/>
      <c r="DM191" s="14"/>
      <c r="DN191" s="14"/>
      <c r="DO191" s="14"/>
      <c r="DP191" s="14"/>
      <c r="DQ191" s="14"/>
      <c r="DR191" s="14"/>
      <c r="DS191" s="14"/>
      <c r="DT191" s="14"/>
      <c r="DU191" s="14"/>
      <c r="DV191" s="14"/>
      <c r="DW191" s="14"/>
      <c r="DX191" s="14"/>
      <c r="DY191" s="14"/>
      <c r="DZ191" s="14"/>
      <c r="EA191" s="14"/>
      <c r="EB191" s="14"/>
      <c r="EC191" s="14"/>
      <c r="ED191" s="14"/>
      <c r="EE191" s="14"/>
      <c r="EF191" s="14"/>
      <c r="EG191" s="14"/>
      <c r="EH191" s="14"/>
      <c r="EI191" s="14"/>
      <c r="EJ191" s="14"/>
      <c r="EK191" s="14"/>
      <c r="EL191" s="14"/>
      <c r="EM191" s="14"/>
      <c r="EN191" s="14"/>
      <c r="EO191" s="14"/>
      <c r="EP191" s="14"/>
      <c r="EQ191" s="14"/>
      <c r="ER191" s="14"/>
      <c r="ES191" s="14"/>
      <c r="ET191" s="14"/>
      <c r="EU191" s="14"/>
      <c r="EV191" s="14"/>
      <c r="EW191" s="14"/>
      <c r="EX191" s="14"/>
      <c r="EY191" s="14"/>
      <c r="EZ191" s="14"/>
      <c r="FA191" s="14"/>
      <c r="FB191" s="14"/>
      <c r="FC191" s="14"/>
      <c r="FD191" s="14"/>
      <c r="FE191" s="14"/>
      <c r="FF191" s="14"/>
      <c r="FG191" s="14"/>
      <c r="FH191" s="14"/>
      <c r="FI191" s="14"/>
      <c r="FJ191" s="14"/>
      <c r="FK191" s="14"/>
      <c r="FL191" s="14"/>
      <c r="FM191" s="14"/>
      <c r="FN191" s="14"/>
      <c r="FO191" s="14"/>
      <c r="FP191" s="14"/>
      <c r="FQ191" s="14"/>
      <c r="FR191" s="14"/>
      <c r="FS191" s="14"/>
      <c r="FT191" s="14"/>
      <c r="FU191" s="14"/>
      <c r="FV191" s="14"/>
      <c r="FW191" s="14"/>
      <c r="FX191" s="14"/>
      <c r="FY191" s="14"/>
      <c r="FZ191" s="14"/>
      <c r="GA191" s="14"/>
      <c r="GB191" s="14"/>
      <c r="GC191" s="14"/>
      <c r="GD191" s="14"/>
      <c r="GE191" s="14"/>
      <c r="GF191" s="14"/>
      <c r="GG191" s="14"/>
      <c r="GH191" s="14"/>
      <c r="GI191" s="14"/>
      <c r="GJ191" s="14"/>
      <c r="GK191" s="14"/>
      <c r="GL191" s="14"/>
      <c r="GM191" s="14"/>
      <c r="GN191" s="14"/>
      <c r="GO191" s="14"/>
      <c r="GP191" s="14"/>
      <c r="GQ191" s="14"/>
      <c r="GR191" s="14"/>
      <c r="GS191" s="14"/>
      <c r="GT191" s="14"/>
      <c r="GU191" s="14"/>
      <c r="GV191" s="14"/>
      <c r="GW191" s="14"/>
      <c r="GX191" s="14"/>
      <c r="GY191" s="14"/>
      <c r="GZ191" s="14"/>
      <c r="HA191" s="14"/>
      <c r="HB191" s="14"/>
      <c r="HC191" s="14"/>
      <c r="HD191" s="14"/>
      <c r="HE191" s="14"/>
      <c r="HF191" s="14"/>
      <c r="HG191" s="14"/>
      <c r="HH191" s="14"/>
      <c r="HI191" s="14"/>
      <c r="HJ191" s="14"/>
      <c r="HK191" s="14"/>
      <c r="HL191" s="14"/>
      <c r="HM191" s="14"/>
      <c r="HN191" s="14"/>
      <c r="HO191" s="14"/>
      <c r="HP191" s="14"/>
      <c r="HQ191" s="14"/>
      <c r="HR191" s="14"/>
      <c r="HS191" s="14"/>
      <c r="HT191" s="14"/>
    </row>
    <row r="192" spans="1:228" ht="27" customHeight="1" x14ac:dyDescent="0.2">
      <c r="B192" s="1632" t="s">
        <v>919</v>
      </c>
      <c r="C192" s="1633"/>
      <c r="D192" s="1633"/>
      <c r="E192" s="1633"/>
      <c r="F192" s="1633"/>
      <c r="G192" s="1687" t="s">
        <v>1525</v>
      </c>
      <c r="H192" s="1534"/>
      <c r="I192" s="1534"/>
      <c r="J192" s="1534"/>
      <c r="K192" s="1534"/>
      <c r="L192" s="2068"/>
      <c r="M192" s="2069"/>
      <c r="N192" s="2069"/>
      <c r="O192" s="2070"/>
      <c r="P192" s="1481">
        <f>V199</f>
        <v>0</v>
      </c>
      <c r="R192" s="18"/>
      <c r="S192" s="922" t="s">
        <v>1865</v>
      </c>
      <c r="T192" s="922" t="s">
        <v>1305</v>
      </c>
      <c r="U192" s="922" t="s">
        <v>1306</v>
      </c>
      <c r="V192" s="922" t="s">
        <v>1307</v>
      </c>
      <c r="W192" s="63"/>
      <c r="X192" s="1111"/>
      <c r="Y192" s="1111"/>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4"/>
      <c r="BR192" s="14"/>
      <c r="BS192" s="14"/>
      <c r="BT192" s="14"/>
      <c r="BU192" s="14"/>
      <c r="BV192" s="14"/>
      <c r="BW192" s="14"/>
      <c r="BX192" s="14"/>
      <c r="BY192" s="14"/>
      <c r="BZ192" s="14"/>
      <c r="CA192" s="14"/>
      <c r="CB192" s="14"/>
      <c r="CC192" s="14"/>
      <c r="CD192" s="14"/>
      <c r="CE192" s="14"/>
      <c r="CF192" s="14"/>
      <c r="CG192" s="14"/>
      <c r="CH192" s="14"/>
      <c r="CI192" s="14"/>
      <c r="CJ192" s="14"/>
      <c r="CK192" s="14"/>
      <c r="CL192" s="14"/>
      <c r="CM192" s="14"/>
      <c r="CN192" s="14"/>
      <c r="CO192" s="14"/>
      <c r="CP192" s="14"/>
      <c r="CQ192" s="14"/>
      <c r="CR192" s="14"/>
      <c r="CS192" s="14"/>
      <c r="CT192" s="14"/>
      <c r="CU192" s="14"/>
      <c r="CV192" s="14"/>
      <c r="CW192" s="14"/>
      <c r="CX192" s="14"/>
      <c r="CY192" s="14"/>
      <c r="CZ192" s="14"/>
      <c r="DA192" s="14"/>
      <c r="DB192" s="14"/>
      <c r="DC192" s="14"/>
      <c r="DD192" s="14"/>
      <c r="DE192" s="14"/>
      <c r="DF192" s="14"/>
      <c r="DG192" s="14"/>
      <c r="DH192" s="14"/>
      <c r="DI192" s="14"/>
      <c r="DJ192" s="14"/>
      <c r="DK192" s="14"/>
      <c r="DL192" s="14"/>
      <c r="DM192" s="14"/>
      <c r="DN192" s="14"/>
      <c r="DO192" s="14"/>
      <c r="DP192" s="14"/>
      <c r="DQ192" s="14"/>
      <c r="DR192" s="14"/>
      <c r="DS192" s="14"/>
      <c r="DT192" s="14"/>
      <c r="DU192" s="14"/>
      <c r="DV192" s="14"/>
      <c r="DW192" s="14"/>
      <c r="DX192" s="14"/>
      <c r="DY192" s="14"/>
      <c r="DZ192" s="14"/>
      <c r="EA192" s="14"/>
      <c r="EB192" s="14"/>
      <c r="EC192" s="14"/>
      <c r="ED192" s="14"/>
      <c r="EE192" s="14"/>
      <c r="EF192" s="14"/>
      <c r="EG192" s="14"/>
      <c r="EH192" s="14"/>
      <c r="EI192" s="14"/>
      <c r="EJ192" s="14"/>
      <c r="EK192" s="14"/>
      <c r="EL192" s="14"/>
      <c r="EM192" s="14"/>
      <c r="EN192" s="14"/>
      <c r="EO192" s="14"/>
      <c r="EP192" s="14"/>
      <c r="EQ192" s="14"/>
      <c r="ER192" s="14"/>
      <c r="ES192" s="14"/>
      <c r="ET192" s="14"/>
      <c r="EU192" s="14"/>
      <c r="EV192" s="14"/>
      <c r="EW192" s="14"/>
      <c r="EX192" s="14"/>
      <c r="EY192" s="14"/>
      <c r="EZ192" s="14"/>
      <c r="FA192" s="14"/>
      <c r="FB192" s="14"/>
      <c r="FC192" s="14"/>
      <c r="FD192" s="14"/>
      <c r="FE192" s="14"/>
      <c r="FF192" s="14"/>
      <c r="FG192" s="14"/>
      <c r="FH192" s="14"/>
      <c r="FI192" s="14"/>
      <c r="FJ192" s="14"/>
      <c r="FK192" s="14"/>
      <c r="FL192" s="14"/>
      <c r="FM192" s="14"/>
      <c r="FN192" s="14"/>
      <c r="FO192" s="14"/>
      <c r="FP192" s="14"/>
      <c r="FQ192" s="14"/>
      <c r="FR192" s="14"/>
      <c r="FS192" s="14"/>
      <c r="FT192" s="14"/>
      <c r="FU192" s="14"/>
      <c r="FV192" s="14"/>
      <c r="FW192" s="14"/>
      <c r="FX192" s="14"/>
      <c r="FY192" s="14"/>
      <c r="FZ192" s="14"/>
      <c r="GA192" s="14"/>
      <c r="GB192" s="14"/>
      <c r="GC192" s="14"/>
      <c r="GD192" s="14"/>
      <c r="GE192" s="14"/>
      <c r="GF192" s="14"/>
      <c r="GG192" s="14"/>
      <c r="GH192" s="14"/>
      <c r="GI192" s="14"/>
      <c r="GJ192" s="14"/>
      <c r="GK192" s="14"/>
      <c r="GL192" s="14"/>
      <c r="GM192" s="14"/>
      <c r="GN192" s="14"/>
      <c r="GO192" s="14"/>
      <c r="GP192" s="14"/>
      <c r="GQ192" s="14"/>
      <c r="GR192" s="14"/>
      <c r="GS192" s="14"/>
      <c r="GT192" s="14"/>
      <c r="GU192" s="14"/>
      <c r="GV192" s="14"/>
      <c r="GW192" s="14"/>
      <c r="GX192" s="14"/>
      <c r="GY192" s="14"/>
      <c r="GZ192" s="14"/>
      <c r="HA192" s="14"/>
      <c r="HB192" s="14"/>
      <c r="HC192" s="14"/>
      <c r="HD192" s="14"/>
      <c r="HE192" s="14"/>
      <c r="HF192" s="14"/>
      <c r="HG192" s="14"/>
      <c r="HH192" s="14"/>
      <c r="HI192" s="14"/>
      <c r="HJ192" s="14"/>
      <c r="HK192" s="14"/>
      <c r="HL192" s="14"/>
      <c r="HM192" s="14"/>
      <c r="HN192" s="14"/>
      <c r="HO192" s="14"/>
      <c r="HP192" s="14"/>
      <c r="HQ192" s="14"/>
      <c r="HR192" s="14"/>
      <c r="HS192" s="14"/>
      <c r="HT192" s="14"/>
    </row>
    <row r="193" spans="1:228" ht="18" customHeight="1" x14ac:dyDescent="0.2">
      <c r="B193" s="1394" t="s">
        <v>628</v>
      </c>
      <c r="C193" s="1394"/>
      <c r="D193" s="1394"/>
      <c r="E193" s="1623">
        <f>P166</f>
        <v>0</v>
      </c>
      <c r="F193" s="1624"/>
      <c r="G193" s="1534" t="s">
        <v>1942</v>
      </c>
      <c r="H193" s="1534"/>
      <c r="I193" s="1534"/>
      <c r="J193" s="1879"/>
      <c r="K193" s="1879"/>
      <c r="L193" s="1616"/>
      <c r="M193" s="1617"/>
      <c r="N193" s="1617"/>
      <c r="O193" s="1618"/>
      <c r="P193" s="1631"/>
      <c r="R193" s="18"/>
      <c r="S193" s="930">
        <f>E193</f>
        <v>0</v>
      </c>
      <c r="T193" s="932">
        <f>LARGE($S$193:$S$200,1)</f>
        <v>0</v>
      </c>
      <c r="U193" s="684">
        <f>T193+T194*(1-T193)</f>
        <v>0</v>
      </c>
      <c r="V193" s="930">
        <f t="shared" ref="V193:V199" si="11">ROUND(U193,2)</f>
        <v>0</v>
      </c>
      <c r="W193" s="63"/>
      <c r="X193" s="1111"/>
      <c r="Y193" s="1111"/>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4"/>
      <c r="BR193" s="14"/>
      <c r="BS193" s="14"/>
      <c r="BT193" s="14"/>
      <c r="BU193" s="14"/>
      <c r="BV193" s="14"/>
      <c r="BW193" s="14"/>
      <c r="BX193" s="14"/>
      <c r="BY193" s="14"/>
      <c r="BZ193" s="14"/>
      <c r="CA193" s="14"/>
      <c r="CB193" s="14"/>
      <c r="CC193" s="14"/>
      <c r="CD193" s="14"/>
      <c r="CE193" s="14"/>
      <c r="CF193" s="14"/>
      <c r="CG193" s="14"/>
      <c r="CH193" s="14"/>
      <c r="CI193" s="14"/>
      <c r="CJ193" s="14"/>
      <c r="CK193" s="14"/>
      <c r="CL193" s="14"/>
      <c r="CM193" s="14"/>
      <c r="CN193" s="14"/>
      <c r="CO193" s="14"/>
      <c r="CP193" s="14"/>
      <c r="CQ193" s="14"/>
      <c r="CR193" s="14"/>
      <c r="CS193" s="14"/>
      <c r="CT193" s="14"/>
      <c r="CU193" s="14"/>
      <c r="CV193" s="14"/>
      <c r="CW193" s="14"/>
      <c r="CX193" s="14"/>
      <c r="CY193" s="14"/>
      <c r="CZ193" s="14"/>
      <c r="DA193" s="14"/>
      <c r="DB193" s="14"/>
      <c r="DC193" s="14"/>
      <c r="DD193" s="14"/>
      <c r="DE193" s="14"/>
      <c r="DF193" s="14"/>
      <c r="DG193" s="14"/>
      <c r="DH193" s="14"/>
      <c r="DI193" s="14"/>
      <c r="DJ193" s="14"/>
      <c r="DK193" s="14"/>
      <c r="DL193" s="14"/>
      <c r="DM193" s="14"/>
      <c r="DN193" s="14"/>
      <c r="DO193" s="14"/>
      <c r="DP193" s="14"/>
      <c r="DQ193" s="14"/>
      <c r="DR193" s="14"/>
      <c r="DS193" s="14"/>
      <c r="DT193" s="14"/>
      <c r="DU193" s="14"/>
      <c r="DV193" s="14"/>
      <c r="DW193" s="14"/>
      <c r="DX193" s="14"/>
      <c r="DY193" s="14"/>
      <c r="DZ193" s="14"/>
      <c r="EA193" s="14"/>
      <c r="EB193" s="14"/>
      <c r="EC193" s="14"/>
      <c r="ED193" s="14"/>
      <c r="EE193" s="14"/>
      <c r="EF193" s="14"/>
      <c r="EG193" s="14"/>
      <c r="EH193" s="14"/>
      <c r="EI193" s="14"/>
      <c r="EJ193" s="14"/>
      <c r="EK193" s="14"/>
      <c r="EL193" s="14"/>
      <c r="EM193" s="14"/>
      <c r="EN193" s="14"/>
      <c r="EO193" s="14"/>
      <c r="EP193" s="14"/>
      <c r="EQ193" s="14"/>
      <c r="ER193" s="14"/>
      <c r="ES193" s="14"/>
      <c r="ET193" s="14"/>
      <c r="EU193" s="14"/>
      <c r="EV193" s="14"/>
      <c r="EW193" s="14"/>
      <c r="EX193" s="14"/>
      <c r="EY193" s="14"/>
      <c r="EZ193" s="14"/>
      <c r="FA193" s="14"/>
      <c r="FB193" s="14"/>
      <c r="FC193" s="14"/>
      <c r="FD193" s="14"/>
      <c r="FE193" s="14"/>
      <c r="FF193" s="14"/>
      <c r="FG193" s="14"/>
      <c r="FH193" s="14"/>
      <c r="FI193" s="14"/>
      <c r="FJ193" s="14"/>
      <c r="FK193" s="14"/>
      <c r="FL193" s="14"/>
      <c r="FM193" s="14"/>
      <c r="FN193" s="14"/>
      <c r="FO193" s="14"/>
      <c r="FP193" s="14"/>
      <c r="FQ193" s="14"/>
      <c r="FR193" s="14"/>
      <c r="FS193" s="14"/>
      <c r="FT193" s="14"/>
      <c r="FU193" s="14"/>
      <c r="FV193" s="14"/>
      <c r="FW193" s="14"/>
      <c r="FX193" s="14"/>
      <c r="FY193" s="14"/>
      <c r="FZ193" s="14"/>
      <c r="GA193" s="14"/>
      <c r="GB193" s="14"/>
      <c r="GC193" s="14"/>
      <c r="GD193" s="14"/>
      <c r="GE193" s="14"/>
      <c r="GF193" s="14"/>
      <c r="GG193" s="14"/>
      <c r="GH193" s="14"/>
      <c r="GI193" s="14"/>
      <c r="GJ193" s="14"/>
      <c r="GK193" s="14"/>
      <c r="GL193" s="14"/>
      <c r="GM193" s="14"/>
      <c r="GN193" s="14"/>
      <c r="GO193" s="14"/>
      <c r="GP193" s="14"/>
      <c r="GQ193" s="14"/>
      <c r="GR193" s="14"/>
      <c r="GS193" s="14"/>
      <c r="GT193" s="14"/>
      <c r="GU193" s="14"/>
      <c r="GV193" s="14"/>
      <c r="GW193" s="14"/>
      <c r="GX193" s="14"/>
      <c r="GY193" s="14"/>
      <c r="GZ193" s="14"/>
      <c r="HA193" s="14"/>
      <c r="HB193" s="14"/>
      <c r="HC193" s="14"/>
      <c r="HD193" s="14"/>
      <c r="HE193" s="14"/>
      <c r="HF193" s="14"/>
      <c r="HG193" s="14"/>
      <c r="HH193" s="14"/>
      <c r="HI193" s="14"/>
      <c r="HJ193" s="14"/>
      <c r="HK193" s="14"/>
      <c r="HL193" s="14"/>
      <c r="HM193" s="14"/>
      <c r="HN193" s="14"/>
      <c r="HO193" s="14"/>
      <c r="HP193" s="14"/>
      <c r="HQ193" s="14"/>
      <c r="HR193" s="14"/>
      <c r="HS193" s="14"/>
      <c r="HT193" s="14"/>
    </row>
    <row r="194" spans="1:228" ht="18" customHeight="1" x14ac:dyDescent="0.2">
      <c r="B194" s="1410" t="s">
        <v>1959</v>
      </c>
      <c r="C194" s="1410"/>
      <c r="D194" s="1410"/>
      <c r="E194" s="1373">
        <f>IF(P427&gt;0,0,P179)</f>
        <v>0</v>
      </c>
      <c r="F194" s="1346"/>
      <c r="G194" s="1833" t="s">
        <v>2260</v>
      </c>
      <c r="H194" s="1834"/>
      <c r="I194" s="1835"/>
      <c r="J194" s="1534"/>
      <c r="K194" s="1534"/>
      <c r="L194" s="1619"/>
      <c r="M194" s="1620"/>
      <c r="N194" s="1620"/>
      <c r="O194" s="1621"/>
      <c r="P194" s="1631"/>
      <c r="R194" s="18"/>
      <c r="S194" s="932">
        <f>IF(J194&gt;0,J194,E194)</f>
        <v>0</v>
      </c>
      <c r="T194" s="932">
        <f>LARGE($S$193:$S$200,2)</f>
        <v>0</v>
      </c>
      <c r="U194" s="684">
        <f t="shared" ref="U194:U199" si="12">V193+T195*(1-V193)</f>
        <v>0</v>
      </c>
      <c r="V194" s="930">
        <f t="shared" si="11"/>
        <v>0</v>
      </c>
      <c r="W194" s="63"/>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4"/>
      <c r="BR194" s="14"/>
      <c r="BS194" s="14"/>
      <c r="BT194" s="14"/>
      <c r="BU194" s="14"/>
      <c r="BV194" s="14"/>
      <c r="BW194" s="14"/>
      <c r="BX194" s="14"/>
      <c r="BY194" s="14"/>
      <c r="BZ194" s="14"/>
      <c r="CA194" s="14"/>
      <c r="CB194" s="14"/>
      <c r="CC194" s="14"/>
      <c r="CD194" s="14"/>
      <c r="CE194" s="14"/>
      <c r="CF194" s="14"/>
      <c r="CG194" s="14"/>
      <c r="CH194" s="14"/>
      <c r="CI194" s="14"/>
      <c r="CJ194" s="14"/>
      <c r="CK194" s="14"/>
      <c r="CL194" s="14"/>
      <c r="CM194" s="14"/>
      <c r="CN194" s="14"/>
      <c r="CO194" s="14"/>
      <c r="CP194" s="14"/>
      <c r="CQ194" s="14"/>
      <c r="CR194" s="14"/>
      <c r="CS194" s="14"/>
      <c r="CT194" s="14"/>
      <c r="CU194" s="14"/>
      <c r="CV194" s="14"/>
      <c r="CW194" s="14"/>
      <c r="CX194" s="14"/>
      <c r="CY194" s="14"/>
      <c r="CZ194" s="14"/>
      <c r="DA194" s="14"/>
      <c r="DB194" s="14"/>
      <c r="DC194" s="14"/>
      <c r="DD194" s="14"/>
      <c r="DE194" s="14"/>
      <c r="DF194" s="14"/>
      <c r="DG194" s="14"/>
      <c r="DH194" s="14"/>
      <c r="DI194" s="14"/>
      <c r="DJ194" s="14"/>
      <c r="DK194" s="14"/>
      <c r="DL194" s="14"/>
      <c r="DM194" s="14"/>
      <c r="DN194" s="14"/>
      <c r="DO194" s="14"/>
      <c r="DP194" s="14"/>
      <c r="DQ194" s="14"/>
      <c r="DR194" s="14"/>
      <c r="DS194" s="14"/>
      <c r="DT194" s="14"/>
      <c r="DU194" s="14"/>
      <c r="DV194" s="14"/>
      <c r="DW194" s="14"/>
      <c r="DX194" s="14"/>
      <c r="DY194" s="14"/>
      <c r="DZ194" s="14"/>
      <c r="EA194" s="14"/>
      <c r="EB194" s="14"/>
      <c r="EC194" s="14"/>
      <c r="ED194" s="14"/>
      <c r="EE194" s="14"/>
      <c r="EF194" s="14"/>
      <c r="EG194" s="14"/>
      <c r="EH194" s="14"/>
      <c r="EI194" s="14"/>
      <c r="EJ194" s="14"/>
      <c r="EK194" s="14"/>
      <c r="EL194" s="14"/>
      <c r="EM194" s="14"/>
      <c r="EN194" s="14"/>
      <c r="EO194" s="14"/>
      <c r="EP194" s="14"/>
      <c r="EQ194" s="14"/>
      <c r="ER194" s="14"/>
      <c r="ES194" s="14"/>
      <c r="ET194" s="14"/>
      <c r="EU194" s="14"/>
      <c r="EV194" s="14"/>
      <c r="EW194" s="14"/>
      <c r="EX194" s="14"/>
      <c r="EY194" s="14"/>
      <c r="EZ194" s="14"/>
      <c r="FA194" s="14"/>
      <c r="FB194" s="14"/>
      <c r="FC194" s="14"/>
      <c r="FD194" s="14"/>
      <c r="FE194" s="14"/>
      <c r="FF194" s="14"/>
      <c r="FG194" s="14"/>
      <c r="FH194" s="14"/>
      <c r="FI194" s="14"/>
      <c r="FJ194" s="14"/>
      <c r="FK194" s="14"/>
      <c r="FL194" s="14"/>
      <c r="FM194" s="14"/>
      <c r="FN194" s="14"/>
      <c r="FO194" s="14"/>
      <c r="FP194" s="14"/>
      <c r="FQ194" s="14"/>
      <c r="FR194" s="14"/>
      <c r="FS194" s="14"/>
      <c r="FT194" s="14"/>
      <c r="FU194" s="14"/>
      <c r="FV194" s="14"/>
      <c r="FW194" s="14"/>
      <c r="FX194" s="14"/>
      <c r="FY194" s="14"/>
      <c r="FZ194" s="14"/>
      <c r="GA194" s="14"/>
      <c r="GB194" s="14"/>
      <c r="GC194" s="14"/>
      <c r="GD194" s="14"/>
      <c r="GE194" s="14"/>
      <c r="GF194" s="14"/>
      <c r="GG194" s="14"/>
      <c r="GH194" s="14"/>
      <c r="GI194" s="14"/>
      <c r="GJ194" s="14"/>
      <c r="GK194" s="14"/>
      <c r="GL194" s="14"/>
      <c r="GM194" s="14"/>
      <c r="GN194" s="14"/>
      <c r="GO194" s="14"/>
      <c r="GP194" s="14"/>
      <c r="GQ194" s="14"/>
      <c r="GR194" s="14"/>
      <c r="GS194" s="14"/>
      <c r="GT194" s="14"/>
      <c r="GU194" s="14"/>
      <c r="GV194" s="14"/>
      <c r="GW194" s="14"/>
      <c r="GX194" s="14"/>
      <c r="GY194" s="14"/>
      <c r="GZ194" s="14"/>
      <c r="HA194" s="14"/>
      <c r="HB194" s="14"/>
      <c r="HC194" s="14"/>
      <c r="HD194" s="14"/>
      <c r="HE194" s="14"/>
      <c r="HF194" s="14"/>
      <c r="HG194" s="14"/>
      <c r="HH194" s="14"/>
      <c r="HI194" s="14"/>
      <c r="HJ194" s="14"/>
      <c r="HK194" s="14"/>
      <c r="HL194" s="14"/>
      <c r="HM194" s="14"/>
      <c r="HN194" s="14"/>
      <c r="HO194" s="14"/>
      <c r="HP194" s="14"/>
      <c r="HQ194" s="14"/>
      <c r="HR194" s="14"/>
      <c r="HS194" s="14"/>
      <c r="HT194" s="14"/>
    </row>
    <row r="195" spans="1:228" ht="18" customHeight="1" x14ac:dyDescent="0.2">
      <c r="B195" s="1410" t="s">
        <v>2017</v>
      </c>
      <c r="C195" s="1410"/>
      <c r="D195" s="1410"/>
      <c r="E195" s="1373">
        <f>P182</f>
        <v>0</v>
      </c>
      <c r="F195" s="1346"/>
      <c r="G195" s="1544"/>
      <c r="H195" s="1544"/>
      <c r="I195" s="1544"/>
      <c r="J195" s="1847">
        <f>IF(AND(W195&lt;0.01,W195&gt;0),0.01,ROUND(W195,2))</f>
        <v>0</v>
      </c>
      <c r="K195" s="1847"/>
      <c r="L195" s="1030"/>
      <c r="M195" s="1031"/>
      <c r="N195" s="1031"/>
      <c r="O195" s="1032"/>
      <c r="P195" s="1631"/>
      <c r="R195" s="18"/>
      <c r="S195" s="932">
        <f>IF(J195&gt;0,J195,E195)</f>
        <v>0</v>
      </c>
      <c r="T195" s="932">
        <f>LARGE($S$193:$S$200,3)</f>
        <v>0</v>
      </c>
      <c r="U195" s="684">
        <f t="shared" si="12"/>
        <v>0</v>
      </c>
      <c r="V195" s="930">
        <f t="shared" si="11"/>
        <v>0</v>
      </c>
      <c r="W195" s="923">
        <f>G195*E195</f>
        <v>0</v>
      </c>
      <c r="X195" s="1111"/>
      <c r="Y195" s="1111"/>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4"/>
      <c r="BR195" s="14"/>
      <c r="BS195" s="14"/>
      <c r="BT195" s="14"/>
      <c r="BU195" s="14"/>
      <c r="BV195" s="14"/>
      <c r="BW195" s="14"/>
      <c r="BX195" s="14"/>
      <c r="BY195" s="14"/>
      <c r="BZ195" s="14"/>
      <c r="CA195" s="14"/>
      <c r="CB195" s="14"/>
      <c r="CC195" s="14"/>
      <c r="CD195" s="14"/>
      <c r="CE195" s="14"/>
      <c r="CF195" s="14"/>
      <c r="CG195" s="14"/>
      <c r="CH195" s="14"/>
      <c r="CI195" s="14"/>
      <c r="CJ195" s="14"/>
      <c r="CK195" s="14"/>
      <c r="CL195" s="14"/>
      <c r="CM195" s="14"/>
      <c r="CN195" s="14"/>
      <c r="CO195" s="14"/>
      <c r="CP195" s="14"/>
      <c r="CQ195" s="14"/>
      <c r="CR195" s="14"/>
      <c r="CS195" s="14"/>
      <c r="CT195" s="14"/>
      <c r="CU195" s="14"/>
      <c r="CV195" s="14"/>
      <c r="CW195" s="14"/>
      <c r="CX195" s="14"/>
      <c r="CY195" s="14"/>
      <c r="CZ195" s="14"/>
      <c r="DA195" s="14"/>
      <c r="DB195" s="14"/>
      <c r="DC195" s="14"/>
      <c r="DD195" s="14"/>
      <c r="DE195" s="14"/>
      <c r="DF195" s="14"/>
      <c r="DG195" s="14"/>
      <c r="DH195" s="14"/>
      <c r="DI195" s="14"/>
      <c r="DJ195" s="14"/>
      <c r="DK195" s="14"/>
      <c r="DL195" s="14"/>
      <c r="DM195" s="14"/>
      <c r="DN195" s="14"/>
      <c r="DO195" s="14"/>
      <c r="DP195" s="14"/>
      <c r="DQ195" s="14"/>
      <c r="DR195" s="14"/>
      <c r="DS195" s="14"/>
      <c r="DT195" s="14"/>
      <c r="DU195" s="14"/>
      <c r="DV195" s="14"/>
      <c r="DW195" s="14"/>
      <c r="DX195" s="14"/>
      <c r="DY195" s="14"/>
      <c r="DZ195" s="14"/>
      <c r="EA195" s="14"/>
      <c r="EB195" s="14"/>
      <c r="EC195" s="14"/>
      <c r="ED195" s="14"/>
      <c r="EE195" s="14"/>
      <c r="EF195" s="14"/>
      <c r="EG195" s="14"/>
      <c r="EH195" s="14"/>
      <c r="EI195" s="14"/>
      <c r="EJ195" s="14"/>
      <c r="EK195" s="14"/>
      <c r="EL195" s="14"/>
      <c r="EM195" s="14"/>
      <c r="EN195" s="14"/>
      <c r="EO195" s="14"/>
      <c r="EP195" s="14"/>
      <c r="EQ195" s="14"/>
      <c r="ER195" s="14"/>
      <c r="ES195" s="14"/>
      <c r="ET195" s="14"/>
      <c r="EU195" s="14"/>
      <c r="EV195" s="14"/>
      <c r="EW195" s="14"/>
      <c r="EX195" s="14"/>
      <c r="EY195" s="14"/>
      <c r="EZ195" s="14"/>
      <c r="FA195" s="14"/>
      <c r="FB195" s="14"/>
      <c r="FC195" s="14"/>
      <c r="FD195" s="14"/>
      <c r="FE195" s="14"/>
      <c r="FF195" s="14"/>
      <c r="FG195" s="14"/>
      <c r="FH195" s="14"/>
      <c r="FI195" s="14"/>
      <c r="FJ195" s="14"/>
      <c r="FK195" s="14"/>
      <c r="FL195" s="14"/>
      <c r="FM195" s="14"/>
      <c r="FN195" s="14"/>
      <c r="FO195" s="14"/>
      <c r="FP195" s="14"/>
      <c r="FQ195" s="14"/>
      <c r="FR195" s="14"/>
      <c r="FS195" s="14"/>
      <c r="FT195" s="14"/>
      <c r="FU195" s="14"/>
      <c r="FV195" s="14"/>
      <c r="FW195" s="14"/>
      <c r="FX195" s="14"/>
      <c r="FY195" s="14"/>
      <c r="FZ195" s="14"/>
      <c r="GA195" s="14"/>
      <c r="GB195" s="14"/>
      <c r="GC195" s="14"/>
      <c r="GD195" s="14"/>
      <c r="GE195" s="14"/>
      <c r="GF195" s="14"/>
      <c r="GG195" s="14"/>
      <c r="GH195" s="14"/>
      <c r="GI195" s="14"/>
      <c r="GJ195" s="14"/>
      <c r="GK195" s="14"/>
      <c r="GL195" s="14"/>
      <c r="GM195" s="14"/>
      <c r="GN195" s="14"/>
      <c r="GO195" s="14"/>
      <c r="GP195" s="14"/>
      <c r="GQ195" s="14"/>
      <c r="GR195" s="14"/>
      <c r="GS195" s="14"/>
      <c r="GT195" s="14"/>
      <c r="GU195" s="14"/>
      <c r="GV195" s="14"/>
      <c r="GW195" s="14"/>
      <c r="GX195" s="14"/>
      <c r="GY195" s="14"/>
      <c r="GZ195" s="14"/>
      <c r="HA195" s="14"/>
      <c r="HB195" s="14"/>
      <c r="HC195" s="14"/>
      <c r="HD195" s="14"/>
      <c r="HE195" s="14"/>
      <c r="HF195" s="14"/>
      <c r="HG195" s="14"/>
      <c r="HH195" s="14"/>
      <c r="HI195" s="14"/>
      <c r="HJ195" s="14"/>
      <c r="HK195" s="14"/>
      <c r="HL195" s="14"/>
      <c r="HM195" s="14"/>
      <c r="HN195" s="14"/>
      <c r="HO195" s="14"/>
      <c r="HP195" s="14"/>
      <c r="HQ195" s="14"/>
      <c r="HR195" s="14"/>
      <c r="HS195" s="14"/>
      <c r="HT195" s="14"/>
    </row>
    <row r="196" spans="1:228" ht="18" customHeight="1" x14ac:dyDescent="0.2">
      <c r="B196" s="1362" t="s">
        <v>1227</v>
      </c>
      <c r="C196" s="1363"/>
      <c r="D196" s="1364"/>
      <c r="E196" s="1373">
        <f>P183</f>
        <v>0</v>
      </c>
      <c r="F196" s="1346"/>
      <c r="G196" s="1544"/>
      <c r="H196" s="1544"/>
      <c r="I196" s="1544"/>
      <c r="J196" s="1847">
        <f>IF(AND(W196&lt;0.01,W196&gt;0),0.01,ROUND(W196,2))</f>
        <v>0</v>
      </c>
      <c r="K196" s="1847"/>
      <c r="L196" s="1030"/>
      <c r="M196" s="1031"/>
      <c r="N196" s="1031"/>
      <c r="O196" s="1032"/>
      <c r="P196" s="1631"/>
      <c r="R196" s="18"/>
      <c r="S196" s="932">
        <f>IF(J196&gt;0,J196,E196)</f>
        <v>0</v>
      </c>
      <c r="T196" s="932">
        <f>LARGE($S$193:$S$200,4)</f>
        <v>0</v>
      </c>
      <c r="U196" s="684">
        <f t="shared" si="12"/>
        <v>0</v>
      </c>
      <c r="V196" s="930">
        <f t="shared" si="11"/>
        <v>0</v>
      </c>
      <c r="W196" s="1105">
        <f t="shared" ref="W196:W197" si="13">G196*E196</f>
        <v>0</v>
      </c>
      <c r="X196" s="1111"/>
      <c r="Y196" s="1111"/>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4"/>
      <c r="BR196" s="14"/>
      <c r="BS196" s="14"/>
      <c r="BT196" s="14"/>
      <c r="BU196" s="14"/>
      <c r="BV196" s="14"/>
      <c r="BW196" s="14"/>
      <c r="BX196" s="14"/>
      <c r="BY196" s="14"/>
      <c r="BZ196" s="14"/>
      <c r="CA196" s="14"/>
      <c r="CB196" s="14"/>
      <c r="CC196" s="14"/>
      <c r="CD196" s="14"/>
      <c r="CE196" s="14"/>
      <c r="CF196" s="14"/>
      <c r="CG196" s="14"/>
      <c r="CH196" s="14"/>
      <c r="CI196" s="14"/>
      <c r="CJ196" s="14"/>
      <c r="CK196" s="14"/>
      <c r="CL196" s="14"/>
      <c r="CM196" s="14"/>
      <c r="CN196" s="14"/>
      <c r="CO196" s="14"/>
      <c r="CP196" s="14"/>
      <c r="CQ196" s="14"/>
      <c r="CR196" s="14"/>
      <c r="CS196" s="14"/>
      <c r="CT196" s="14"/>
      <c r="CU196" s="14"/>
      <c r="CV196" s="14"/>
      <c r="CW196" s="14"/>
      <c r="CX196" s="14"/>
      <c r="CY196" s="14"/>
      <c r="CZ196" s="14"/>
      <c r="DA196" s="14"/>
      <c r="DB196" s="14"/>
      <c r="DC196" s="14"/>
      <c r="DD196" s="14"/>
      <c r="DE196" s="14"/>
      <c r="DF196" s="14"/>
      <c r="DG196" s="14"/>
      <c r="DH196" s="14"/>
      <c r="DI196" s="14"/>
      <c r="DJ196" s="14"/>
      <c r="DK196" s="14"/>
      <c r="DL196" s="14"/>
      <c r="DM196" s="14"/>
      <c r="DN196" s="14"/>
      <c r="DO196" s="14"/>
      <c r="DP196" s="14"/>
      <c r="DQ196" s="14"/>
      <c r="DR196" s="14"/>
      <c r="DS196" s="14"/>
      <c r="DT196" s="14"/>
      <c r="DU196" s="14"/>
      <c r="DV196" s="14"/>
      <c r="DW196" s="14"/>
      <c r="DX196" s="14"/>
      <c r="DY196" s="14"/>
      <c r="DZ196" s="14"/>
      <c r="EA196" s="14"/>
      <c r="EB196" s="14"/>
      <c r="EC196" s="14"/>
      <c r="ED196" s="14"/>
      <c r="EE196" s="14"/>
      <c r="EF196" s="14"/>
      <c r="EG196" s="14"/>
      <c r="EH196" s="14"/>
      <c r="EI196" s="14"/>
      <c r="EJ196" s="14"/>
      <c r="EK196" s="14"/>
      <c r="EL196" s="14"/>
      <c r="EM196" s="14"/>
      <c r="EN196" s="14"/>
      <c r="EO196" s="14"/>
      <c r="EP196" s="14"/>
      <c r="EQ196" s="14"/>
      <c r="ER196" s="14"/>
      <c r="ES196" s="14"/>
      <c r="ET196" s="14"/>
      <c r="EU196" s="14"/>
      <c r="EV196" s="14"/>
      <c r="EW196" s="14"/>
      <c r="EX196" s="14"/>
      <c r="EY196" s="14"/>
      <c r="EZ196" s="14"/>
      <c r="FA196" s="14"/>
      <c r="FB196" s="14"/>
      <c r="FC196" s="14"/>
      <c r="FD196" s="14"/>
      <c r="FE196" s="14"/>
      <c r="FF196" s="14"/>
      <c r="FG196" s="14"/>
      <c r="FH196" s="14"/>
      <c r="FI196" s="14"/>
      <c r="FJ196" s="14"/>
      <c r="FK196" s="14"/>
      <c r="FL196" s="14"/>
      <c r="FM196" s="14"/>
      <c r="FN196" s="14"/>
      <c r="FO196" s="14"/>
      <c r="FP196" s="14"/>
      <c r="FQ196" s="14"/>
      <c r="FR196" s="14"/>
      <c r="FS196" s="14"/>
      <c r="FT196" s="14"/>
      <c r="FU196" s="14"/>
      <c r="FV196" s="14"/>
      <c r="FW196" s="14"/>
      <c r="FX196" s="14"/>
      <c r="FY196" s="14"/>
      <c r="FZ196" s="14"/>
      <c r="GA196" s="14"/>
      <c r="GB196" s="14"/>
      <c r="GC196" s="14"/>
      <c r="GD196" s="14"/>
      <c r="GE196" s="14"/>
      <c r="GF196" s="14"/>
      <c r="GG196" s="14"/>
      <c r="GH196" s="14"/>
      <c r="GI196" s="14"/>
      <c r="GJ196" s="14"/>
      <c r="GK196" s="14"/>
      <c r="GL196" s="14"/>
      <c r="GM196" s="14"/>
      <c r="GN196" s="14"/>
      <c r="GO196" s="14"/>
      <c r="GP196" s="14"/>
      <c r="GQ196" s="14"/>
      <c r="GR196" s="14"/>
      <c r="GS196" s="14"/>
      <c r="GT196" s="14"/>
      <c r="GU196" s="14"/>
      <c r="GV196" s="14"/>
      <c r="GW196" s="14"/>
      <c r="GX196" s="14"/>
      <c r="GY196" s="14"/>
      <c r="GZ196" s="14"/>
      <c r="HA196" s="14"/>
      <c r="HB196" s="14"/>
      <c r="HC196" s="14"/>
      <c r="HD196" s="14"/>
      <c r="HE196" s="14"/>
      <c r="HF196" s="14"/>
      <c r="HG196" s="14"/>
      <c r="HH196" s="14"/>
      <c r="HI196" s="14"/>
      <c r="HJ196" s="14"/>
      <c r="HK196" s="14"/>
      <c r="HL196" s="14"/>
      <c r="HM196" s="14"/>
      <c r="HN196" s="14"/>
      <c r="HO196" s="14"/>
      <c r="HP196" s="14"/>
      <c r="HQ196" s="14"/>
      <c r="HR196" s="14"/>
      <c r="HS196" s="14"/>
      <c r="HT196" s="14"/>
    </row>
    <row r="197" spans="1:228" ht="18" customHeight="1" x14ac:dyDescent="0.2">
      <c r="B197" s="1362" t="s">
        <v>1447</v>
      </c>
      <c r="C197" s="1363"/>
      <c r="D197" s="1364"/>
      <c r="E197" s="1342">
        <f>P186</f>
        <v>0</v>
      </c>
      <c r="F197" s="1344"/>
      <c r="G197" s="1544"/>
      <c r="H197" s="1544"/>
      <c r="I197" s="1544"/>
      <c r="J197" s="1847">
        <f>IF(AND(W197&lt;0.01,W197&gt;0),0.01,ROUND(W197,2))</f>
        <v>0</v>
      </c>
      <c r="K197" s="1847"/>
      <c r="L197" s="1588" t="str">
        <f>IF(AND(P179&gt;0,$P$427&gt;0),"The worker has motor loss impairment. No additional impairment value is allowed for reduced range of motion in the same extremity.","")</f>
        <v/>
      </c>
      <c r="M197" s="1589"/>
      <c r="N197" s="1589"/>
      <c r="O197" s="1590"/>
      <c r="P197" s="1631"/>
      <c r="R197" s="18"/>
      <c r="S197" s="932">
        <f>IF(J197&gt;0,J197,E197)</f>
        <v>0</v>
      </c>
      <c r="T197" s="932">
        <f>LARGE($S$193:$S$200,5)</f>
        <v>0</v>
      </c>
      <c r="U197" s="684">
        <f t="shared" si="12"/>
        <v>0</v>
      </c>
      <c r="V197" s="930">
        <f t="shared" si="11"/>
        <v>0</v>
      </c>
      <c r="W197" s="1105">
        <f t="shared" si="13"/>
        <v>0</v>
      </c>
      <c r="X197" s="1111"/>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4"/>
      <c r="BR197" s="14"/>
      <c r="BS197" s="14"/>
      <c r="BT197" s="14"/>
      <c r="BU197" s="14"/>
      <c r="BV197" s="14"/>
      <c r="BW197" s="14"/>
      <c r="BX197" s="14"/>
      <c r="BY197" s="14"/>
      <c r="BZ197" s="14"/>
      <c r="CA197" s="14"/>
      <c r="CB197" s="14"/>
      <c r="CC197" s="14"/>
      <c r="CD197" s="14"/>
      <c r="CE197" s="14"/>
      <c r="CF197" s="14"/>
      <c r="CG197" s="14"/>
      <c r="CH197" s="14"/>
      <c r="CI197" s="14"/>
      <c r="CJ197" s="14"/>
      <c r="CK197" s="14"/>
      <c r="CL197" s="14"/>
      <c r="CM197" s="14"/>
      <c r="CN197" s="14"/>
      <c r="CO197" s="14"/>
      <c r="CP197" s="14"/>
      <c r="CQ197" s="14"/>
      <c r="CR197" s="14"/>
      <c r="CS197" s="14"/>
      <c r="CT197" s="14"/>
      <c r="CU197" s="14"/>
      <c r="CV197" s="14"/>
      <c r="CW197" s="14"/>
      <c r="CX197" s="14"/>
      <c r="CY197" s="14"/>
      <c r="CZ197" s="14"/>
      <c r="DA197" s="14"/>
      <c r="DB197" s="14"/>
      <c r="DC197" s="14"/>
      <c r="DD197" s="14"/>
      <c r="DE197" s="14"/>
      <c r="DF197" s="14"/>
      <c r="DG197" s="14"/>
      <c r="DH197" s="14"/>
      <c r="DI197" s="14"/>
      <c r="DJ197" s="14"/>
      <c r="DK197" s="14"/>
      <c r="DL197" s="14"/>
      <c r="DM197" s="14"/>
      <c r="DN197" s="14"/>
      <c r="DO197" s="14"/>
      <c r="DP197" s="14"/>
      <c r="DQ197" s="14"/>
      <c r="DR197" s="14"/>
      <c r="DS197" s="14"/>
      <c r="DT197" s="14"/>
      <c r="DU197" s="14"/>
      <c r="DV197" s="14"/>
      <c r="DW197" s="14"/>
      <c r="DX197" s="14"/>
      <c r="DY197" s="14"/>
      <c r="DZ197" s="14"/>
      <c r="EA197" s="14"/>
      <c r="EB197" s="14"/>
      <c r="EC197" s="14"/>
      <c r="ED197" s="14"/>
      <c r="EE197" s="14"/>
      <c r="EF197" s="14"/>
      <c r="EG197" s="14"/>
      <c r="EH197" s="14"/>
      <c r="EI197" s="14"/>
      <c r="EJ197" s="14"/>
      <c r="EK197" s="14"/>
      <c r="EL197" s="14"/>
      <c r="EM197" s="14"/>
      <c r="EN197" s="14"/>
      <c r="EO197" s="14"/>
      <c r="EP197" s="14"/>
      <c r="EQ197" s="14"/>
      <c r="ER197" s="14"/>
      <c r="ES197" s="14"/>
      <c r="ET197" s="14"/>
      <c r="EU197" s="14"/>
      <c r="EV197" s="14"/>
      <c r="EW197" s="14"/>
      <c r="EX197" s="14"/>
      <c r="EY197" s="14"/>
      <c r="EZ197" s="14"/>
      <c r="FA197" s="14"/>
      <c r="FB197" s="14"/>
      <c r="FC197" s="14"/>
      <c r="FD197" s="14"/>
      <c r="FE197" s="14"/>
      <c r="FF197" s="14"/>
      <c r="FG197" s="14"/>
      <c r="FH197" s="14"/>
      <c r="FI197" s="14"/>
      <c r="FJ197" s="14"/>
      <c r="FK197" s="14"/>
      <c r="FL197" s="14"/>
      <c r="FM197" s="14"/>
      <c r="FN197" s="14"/>
      <c r="FO197" s="14"/>
      <c r="FP197" s="14"/>
      <c r="FQ197" s="14"/>
      <c r="FR197" s="14"/>
      <c r="FS197" s="14"/>
      <c r="FT197" s="14"/>
      <c r="FU197" s="14"/>
      <c r="FV197" s="14"/>
      <c r="FW197" s="14"/>
      <c r="FX197" s="14"/>
      <c r="FY197" s="14"/>
      <c r="FZ197" s="14"/>
      <c r="GA197" s="14"/>
      <c r="GB197" s="14"/>
      <c r="GC197" s="14"/>
      <c r="GD197" s="14"/>
      <c r="GE197" s="14"/>
      <c r="GF197" s="14"/>
      <c r="GG197" s="14"/>
      <c r="GH197" s="14"/>
      <c r="GI197" s="14"/>
      <c r="GJ197" s="14"/>
      <c r="GK197" s="14"/>
      <c r="GL197" s="14"/>
      <c r="GM197" s="14"/>
      <c r="GN197" s="14"/>
      <c r="GO197" s="14"/>
      <c r="GP197" s="14"/>
      <c r="GQ197" s="14"/>
      <c r="GR197" s="14"/>
      <c r="GS197" s="14"/>
      <c r="GT197" s="14"/>
      <c r="GU197" s="14"/>
      <c r="GV197" s="14"/>
      <c r="GW197" s="14"/>
      <c r="GX197" s="14"/>
      <c r="GY197" s="14"/>
      <c r="GZ197" s="14"/>
      <c r="HA197" s="14"/>
      <c r="HB197" s="14"/>
      <c r="HC197" s="14"/>
      <c r="HD197" s="14"/>
      <c r="HE197" s="14"/>
      <c r="HF197" s="14"/>
      <c r="HG197" s="14"/>
      <c r="HH197" s="14"/>
      <c r="HI197" s="14"/>
      <c r="HJ197" s="14"/>
      <c r="HK197" s="14"/>
      <c r="HL197" s="14"/>
      <c r="HM197" s="14"/>
      <c r="HN197" s="14"/>
      <c r="HO197" s="14"/>
      <c r="HP197" s="14"/>
      <c r="HQ197" s="14"/>
      <c r="HR197" s="14"/>
      <c r="HS197" s="14"/>
      <c r="HT197" s="14"/>
    </row>
    <row r="198" spans="1:228" ht="18" customHeight="1" x14ac:dyDescent="0.2">
      <c r="B198" s="1410" t="s">
        <v>1713</v>
      </c>
      <c r="C198" s="1410"/>
      <c r="D198" s="1410"/>
      <c r="E198" s="1373">
        <f>P188</f>
        <v>0</v>
      </c>
      <c r="F198" s="1346"/>
      <c r="G198" s="1534" t="s">
        <v>1942</v>
      </c>
      <c r="H198" s="1534"/>
      <c r="I198" s="1534"/>
      <c r="J198" s="1534"/>
      <c r="K198" s="1534"/>
      <c r="L198" s="1588"/>
      <c r="M198" s="1589"/>
      <c r="N198" s="1589"/>
      <c r="O198" s="1590"/>
      <c r="P198" s="1631"/>
      <c r="R198" s="18"/>
      <c r="S198" s="930">
        <f>E198</f>
        <v>0</v>
      </c>
      <c r="T198" s="932">
        <f>LARGE($S$193:$S$200,6)</f>
        <v>0</v>
      </c>
      <c r="U198" s="684">
        <f t="shared" si="12"/>
        <v>0</v>
      </c>
      <c r="V198" s="930">
        <f t="shared" si="11"/>
        <v>0</v>
      </c>
      <c r="W198" s="18"/>
      <c r="X198" s="1111"/>
      <c r="Y198" s="1111"/>
      <c r="Z198" s="63"/>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4"/>
      <c r="BR198" s="14"/>
      <c r="BS198" s="14"/>
      <c r="BT198" s="14"/>
      <c r="BU198" s="14"/>
      <c r="BV198" s="14"/>
      <c r="BW198" s="14"/>
      <c r="BX198" s="14"/>
      <c r="BY198" s="14"/>
      <c r="BZ198" s="14"/>
      <c r="CA198" s="14"/>
      <c r="CB198" s="14"/>
      <c r="CC198" s="14"/>
      <c r="CD198" s="14"/>
      <c r="CE198" s="14"/>
      <c r="CF198" s="14"/>
      <c r="CG198" s="14"/>
      <c r="CH198" s="14"/>
      <c r="CI198" s="14"/>
      <c r="CJ198" s="14"/>
      <c r="CK198" s="14"/>
      <c r="CL198" s="14"/>
      <c r="CM198" s="14"/>
      <c r="CN198" s="14"/>
      <c r="CO198" s="14"/>
      <c r="CP198" s="14"/>
      <c r="CQ198" s="14"/>
      <c r="CR198" s="14"/>
      <c r="CS198" s="14"/>
      <c r="CT198" s="14"/>
      <c r="CU198" s="14"/>
      <c r="CV198" s="14"/>
      <c r="CW198" s="14"/>
      <c r="CX198" s="14"/>
      <c r="CY198" s="14"/>
      <c r="CZ198" s="14"/>
      <c r="DA198" s="14"/>
      <c r="DB198" s="14"/>
      <c r="DC198" s="14"/>
      <c r="DD198" s="14"/>
      <c r="DE198" s="14"/>
      <c r="DF198" s="14"/>
      <c r="DG198" s="14"/>
      <c r="DH198" s="14"/>
      <c r="DI198" s="14"/>
      <c r="DJ198" s="14"/>
      <c r="DK198" s="14"/>
      <c r="DL198" s="14"/>
      <c r="DM198" s="14"/>
      <c r="DN198" s="14"/>
      <c r="DO198" s="14"/>
      <c r="DP198" s="14"/>
      <c r="DQ198" s="14"/>
      <c r="DR198" s="14"/>
      <c r="DS198" s="14"/>
      <c r="DT198" s="14"/>
      <c r="DU198" s="14"/>
      <c r="DV198" s="14"/>
      <c r="DW198" s="14"/>
      <c r="DX198" s="14"/>
      <c r="DY198" s="14"/>
      <c r="DZ198" s="14"/>
      <c r="EA198" s="14"/>
      <c r="EB198" s="14"/>
      <c r="EC198" s="14"/>
      <c r="ED198" s="14"/>
      <c r="EE198" s="14"/>
      <c r="EF198" s="14"/>
      <c r="EG198" s="14"/>
      <c r="EH198" s="14"/>
      <c r="EI198" s="14"/>
      <c r="EJ198" s="14"/>
      <c r="EK198" s="14"/>
      <c r="EL198" s="14"/>
      <c r="EM198" s="14"/>
      <c r="EN198" s="14"/>
      <c r="EO198" s="14"/>
      <c r="EP198" s="14"/>
      <c r="EQ198" s="14"/>
      <c r="ER198" s="14"/>
      <c r="ES198" s="14"/>
      <c r="ET198" s="14"/>
      <c r="EU198" s="14"/>
      <c r="EV198" s="14"/>
      <c r="EW198" s="14"/>
      <c r="EX198" s="14"/>
      <c r="EY198" s="14"/>
      <c r="EZ198" s="14"/>
      <c r="FA198" s="14"/>
      <c r="FB198" s="14"/>
      <c r="FC198" s="14"/>
      <c r="FD198" s="14"/>
      <c r="FE198" s="14"/>
      <c r="FF198" s="14"/>
      <c r="FG198" s="14"/>
      <c r="FH198" s="14"/>
      <c r="FI198" s="14"/>
      <c r="FJ198" s="14"/>
      <c r="FK198" s="14"/>
      <c r="FL198" s="14"/>
      <c r="FM198" s="14"/>
      <c r="FN198" s="14"/>
      <c r="FO198" s="14"/>
      <c r="FP198" s="14"/>
      <c r="FQ198" s="14"/>
      <c r="FR198" s="14"/>
      <c r="FS198" s="14"/>
      <c r="FT198" s="14"/>
      <c r="FU198" s="14"/>
      <c r="FV198" s="14"/>
      <c r="FW198" s="14"/>
      <c r="FX198" s="14"/>
      <c r="FY198" s="14"/>
      <c r="FZ198" s="14"/>
      <c r="GA198" s="14"/>
      <c r="GB198" s="14"/>
      <c r="GC198" s="14"/>
      <c r="GD198" s="14"/>
      <c r="GE198" s="14"/>
      <c r="GF198" s="14"/>
      <c r="GG198" s="14"/>
      <c r="GH198" s="14"/>
      <c r="GI198" s="14"/>
      <c r="GJ198" s="14"/>
      <c r="GK198" s="14"/>
      <c r="GL198" s="14"/>
      <c r="GM198" s="14"/>
      <c r="GN198" s="14"/>
      <c r="GO198" s="14"/>
      <c r="GP198" s="14"/>
      <c r="GQ198" s="14"/>
      <c r="GR198" s="14"/>
      <c r="GS198" s="14"/>
      <c r="GT198" s="14"/>
      <c r="GU198" s="14"/>
      <c r="GV198" s="14"/>
      <c r="GW198" s="14"/>
      <c r="GX198" s="14"/>
      <c r="GY198" s="14"/>
      <c r="GZ198" s="14"/>
      <c r="HA198" s="14"/>
      <c r="HB198" s="14"/>
      <c r="HC198" s="14"/>
      <c r="HD198" s="14"/>
      <c r="HE198" s="14"/>
      <c r="HF198" s="14"/>
      <c r="HG198" s="14"/>
      <c r="HH198" s="14"/>
      <c r="HI198" s="14"/>
      <c r="HJ198" s="14"/>
      <c r="HK198" s="14"/>
      <c r="HL198" s="14"/>
      <c r="HM198" s="14"/>
      <c r="HN198" s="14"/>
      <c r="HO198" s="14"/>
      <c r="HP198" s="14"/>
      <c r="HQ198" s="14"/>
      <c r="HR198" s="14"/>
      <c r="HS198" s="14"/>
      <c r="HT198" s="14"/>
    </row>
    <row r="199" spans="1:228" ht="18" customHeight="1" x14ac:dyDescent="0.2">
      <c r="B199" s="1362" t="s">
        <v>1714</v>
      </c>
      <c r="C199" s="1363"/>
      <c r="D199" s="1364"/>
      <c r="E199" s="1342">
        <f>P189</f>
        <v>0</v>
      </c>
      <c r="F199" s="1344"/>
      <c r="G199" s="1534" t="s">
        <v>1942</v>
      </c>
      <c r="H199" s="1534"/>
      <c r="I199" s="1534"/>
      <c r="J199" s="1534"/>
      <c r="K199" s="1534"/>
      <c r="L199" s="1588"/>
      <c r="M199" s="1589"/>
      <c r="N199" s="1589"/>
      <c r="O199" s="1590"/>
      <c r="P199" s="1631"/>
      <c r="R199" s="18"/>
      <c r="S199" s="930">
        <f>E199</f>
        <v>0</v>
      </c>
      <c r="T199" s="932">
        <f>LARGE($S$193:$S$200,7)</f>
        <v>0</v>
      </c>
      <c r="U199" s="684">
        <f t="shared" si="12"/>
        <v>0</v>
      </c>
      <c r="V199" s="930">
        <f t="shared" si="11"/>
        <v>0</v>
      </c>
      <c r="W199" s="18"/>
      <c r="X199" s="1111"/>
      <c r="Y199" s="1111"/>
      <c r="Z199" s="1"/>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4"/>
      <c r="BR199" s="14"/>
      <c r="BS199" s="14"/>
      <c r="BT199" s="14"/>
      <c r="BU199" s="14"/>
      <c r="BV199" s="14"/>
      <c r="BW199" s="14"/>
      <c r="BX199" s="14"/>
      <c r="BY199" s="14"/>
      <c r="BZ199" s="14"/>
      <c r="CA199" s="14"/>
      <c r="CB199" s="14"/>
      <c r="CC199" s="14"/>
      <c r="CD199" s="14"/>
      <c r="CE199" s="14"/>
      <c r="CF199" s="14"/>
      <c r="CG199" s="14"/>
      <c r="CH199" s="14"/>
      <c r="CI199" s="14"/>
      <c r="CJ199" s="14"/>
      <c r="CK199" s="14"/>
      <c r="CL199" s="14"/>
      <c r="CM199" s="14"/>
      <c r="CN199" s="14"/>
      <c r="CO199" s="14"/>
      <c r="CP199" s="14"/>
      <c r="CQ199" s="14"/>
      <c r="CR199" s="14"/>
      <c r="CS199" s="14"/>
      <c r="CT199" s="14"/>
      <c r="CU199" s="14"/>
      <c r="CV199" s="14"/>
      <c r="CW199" s="14"/>
      <c r="CX199" s="14"/>
      <c r="CY199" s="14"/>
      <c r="CZ199" s="14"/>
      <c r="DA199" s="14"/>
      <c r="DB199" s="14"/>
      <c r="DC199" s="14"/>
      <c r="DD199" s="14"/>
      <c r="DE199" s="14"/>
      <c r="DF199" s="14"/>
      <c r="DG199" s="14"/>
      <c r="DH199" s="14"/>
      <c r="DI199" s="14"/>
      <c r="DJ199" s="14"/>
      <c r="DK199" s="14"/>
      <c r="DL199" s="14"/>
      <c r="DM199" s="14"/>
      <c r="DN199" s="14"/>
      <c r="DO199" s="14"/>
      <c r="DP199" s="14"/>
      <c r="DQ199" s="14"/>
      <c r="DR199" s="14"/>
      <c r="DS199" s="14"/>
      <c r="DT199" s="14"/>
      <c r="DU199" s="14"/>
      <c r="DV199" s="14"/>
      <c r="DW199" s="14"/>
      <c r="DX199" s="14"/>
      <c r="DY199" s="14"/>
      <c r="DZ199" s="14"/>
      <c r="EA199" s="14"/>
      <c r="EB199" s="14"/>
      <c r="EC199" s="14"/>
      <c r="ED199" s="14"/>
      <c r="EE199" s="14"/>
      <c r="EF199" s="14"/>
      <c r="EG199" s="14"/>
      <c r="EH199" s="14"/>
      <c r="EI199" s="14"/>
      <c r="EJ199" s="14"/>
      <c r="EK199" s="14"/>
      <c r="EL199" s="14"/>
      <c r="EM199" s="14"/>
      <c r="EN199" s="14"/>
      <c r="EO199" s="14"/>
      <c r="EP199" s="14"/>
      <c r="EQ199" s="14"/>
      <c r="ER199" s="14"/>
      <c r="ES199" s="14"/>
      <c r="ET199" s="14"/>
      <c r="EU199" s="14"/>
      <c r="EV199" s="14"/>
      <c r="EW199" s="14"/>
      <c r="EX199" s="14"/>
      <c r="EY199" s="14"/>
      <c r="EZ199" s="14"/>
      <c r="FA199" s="14"/>
      <c r="FB199" s="14"/>
      <c r="FC199" s="14"/>
      <c r="FD199" s="14"/>
      <c r="FE199" s="14"/>
      <c r="FF199" s="14"/>
      <c r="FG199" s="14"/>
      <c r="FH199" s="14"/>
      <c r="FI199" s="14"/>
      <c r="FJ199" s="14"/>
      <c r="FK199" s="14"/>
      <c r="FL199" s="14"/>
      <c r="FM199" s="14"/>
      <c r="FN199" s="14"/>
      <c r="FO199" s="14"/>
      <c r="FP199" s="14"/>
      <c r="FQ199" s="14"/>
      <c r="FR199" s="14"/>
      <c r="FS199" s="14"/>
      <c r="FT199" s="14"/>
      <c r="FU199" s="14"/>
      <c r="FV199" s="14"/>
      <c r="FW199" s="14"/>
      <c r="FX199" s="14"/>
      <c r="FY199" s="14"/>
      <c r="FZ199" s="14"/>
      <c r="GA199" s="14"/>
      <c r="GB199" s="14"/>
      <c r="GC199" s="14"/>
      <c r="GD199" s="14"/>
      <c r="GE199" s="14"/>
      <c r="GF199" s="14"/>
      <c r="GG199" s="14"/>
      <c r="GH199" s="14"/>
      <c r="GI199" s="14"/>
      <c r="GJ199" s="14"/>
      <c r="GK199" s="14"/>
      <c r="GL199" s="14"/>
      <c r="GM199" s="14"/>
      <c r="GN199" s="14"/>
      <c r="GO199" s="14"/>
      <c r="GP199" s="14"/>
      <c r="GQ199" s="14"/>
      <c r="GR199" s="14"/>
      <c r="GS199" s="14"/>
      <c r="GT199" s="14"/>
      <c r="GU199" s="14"/>
      <c r="GV199" s="14"/>
      <c r="GW199" s="14"/>
      <c r="GX199" s="14"/>
      <c r="GY199" s="14"/>
      <c r="GZ199" s="14"/>
      <c r="HA199" s="14"/>
      <c r="HB199" s="14"/>
      <c r="HC199" s="14"/>
      <c r="HD199" s="14"/>
      <c r="HE199" s="14"/>
      <c r="HF199" s="14"/>
      <c r="HG199" s="14"/>
      <c r="HH199" s="14"/>
      <c r="HI199" s="14"/>
      <c r="HJ199" s="14"/>
      <c r="HK199" s="14"/>
      <c r="HL199" s="14"/>
      <c r="HM199" s="14"/>
      <c r="HN199" s="14"/>
      <c r="HO199" s="14"/>
      <c r="HP199" s="14"/>
      <c r="HQ199" s="14"/>
      <c r="HR199" s="14"/>
      <c r="HS199" s="14"/>
      <c r="HT199" s="14"/>
    </row>
    <row r="200" spans="1:228" ht="18" customHeight="1" x14ac:dyDescent="0.2">
      <c r="B200" s="1408" t="s">
        <v>1128</v>
      </c>
      <c r="C200" s="1408"/>
      <c r="D200" s="1408"/>
      <c r="E200" s="1630">
        <f>P190</f>
        <v>0</v>
      </c>
      <c r="F200" s="1630"/>
      <c r="G200" s="1645" t="s">
        <v>1942</v>
      </c>
      <c r="H200" s="1645"/>
      <c r="I200" s="1645"/>
      <c r="J200" s="1645"/>
      <c r="K200" s="1645"/>
      <c r="L200" s="1588"/>
      <c r="M200" s="1589"/>
      <c r="N200" s="1589"/>
      <c r="O200" s="1590"/>
      <c r="P200" s="1631"/>
      <c r="R200" s="18"/>
      <c r="S200" s="930">
        <f>E200</f>
        <v>0</v>
      </c>
      <c r="T200" s="932">
        <f>LARGE($S$193:$S$200,8)</f>
        <v>0</v>
      </c>
      <c r="U200" s="114"/>
      <c r="V200" s="157"/>
      <c r="W200" s="63"/>
      <c r="X200" s="1111"/>
      <c r="Y200" s="1111"/>
      <c r="Z200" s="63"/>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4"/>
      <c r="BR200" s="14"/>
      <c r="BS200" s="14"/>
      <c r="BT200" s="14"/>
      <c r="BU200" s="14"/>
      <c r="BV200" s="14"/>
      <c r="BW200" s="14"/>
      <c r="BX200" s="14"/>
      <c r="BY200" s="14"/>
      <c r="BZ200" s="14"/>
      <c r="CA200" s="14"/>
      <c r="CB200" s="14"/>
      <c r="CC200" s="14"/>
      <c r="CD200" s="14"/>
      <c r="CE200" s="14"/>
      <c r="CF200" s="14"/>
      <c r="CG200" s="14"/>
      <c r="CH200" s="14"/>
      <c r="CI200" s="14"/>
      <c r="CJ200" s="14"/>
      <c r="CK200" s="14"/>
      <c r="CL200" s="14"/>
      <c r="CM200" s="14"/>
      <c r="CN200" s="14"/>
      <c r="CO200" s="14"/>
      <c r="CP200" s="14"/>
      <c r="CQ200" s="14"/>
      <c r="CR200" s="14"/>
      <c r="CS200" s="14"/>
      <c r="CT200" s="14"/>
      <c r="CU200" s="14"/>
      <c r="CV200" s="14"/>
      <c r="CW200" s="14"/>
      <c r="CX200" s="14"/>
      <c r="CY200" s="14"/>
      <c r="CZ200" s="14"/>
      <c r="DA200" s="14"/>
      <c r="DB200" s="14"/>
      <c r="DC200" s="14"/>
      <c r="DD200" s="14"/>
      <c r="DE200" s="14"/>
      <c r="DF200" s="14"/>
      <c r="DG200" s="14"/>
      <c r="DH200" s="14"/>
      <c r="DI200" s="14"/>
      <c r="DJ200" s="14"/>
      <c r="DK200" s="14"/>
      <c r="DL200" s="14"/>
      <c r="DM200" s="14"/>
      <c r="DN200" s="14"/>
      <c r="DO200" s="14"/>
      <c r="DP200" s="14"/>
      <c r="DQ200" s="14"/>
      <c r="DR200" s="14"/>
      <c r="DS200" s="14"/>
      <c r="DT200" s="14"/>
      <c r="DU200" s="14"/>
      <c r="DV200" s="14"/>
      <c r="DW200" s="14"/>
      <c r="DX200" s="14"/>
      <c r="DY200" s="14"/>
      <c r="DZ200" s="14"/>
      <c r="EA200" s="14"/>
      <c r="EB200" s="14"/>
      <c r="EC200" s="14"/>
      <c r="ED200" s="14"/>
      <c r="EE200" s="14"/>
      <c r="EF200" s="14"/>
      <c r="EG200" s="14"/>
      <c r="EH200" s="14"/>
      <c r="EI200" s="14"/>
      <c r="EJ200" s="14"/>
      <c r="EK200" s="14"/>
      <c r="EL200" s="14"/>
      <c r="EM200" s="14"/>
      <c r="EN200" s="14"/>
      <c r="EO200" s="14"/>
      <c r="EP200" s="14"/>
      <c r="EQ200" s="14"/>
      <c r="ER200" s="14"/>
      <c r="ES200" s="14"/>
      <c r="ET200" s="14"/>
      <c r="EU200" s="14"/>
      <c r="EV200" s="14"/>
      <c r="EW200" s="14"/>
      <c r="EX200" s="14"/>
      <c r="EY200" s="14"/>
      <c r="EZ200" s="14"/>
      <c r="FA200" s="14"/>
      <c r="FB200" s="14"/>
      <c r="FC200" s="14"/>
      <c r="FD200" s="14"/>
      <c r="FE200" s="14"/>
      <c r="FF200" s="14"/>
      <c r="FG200" s="14"/>
      <c r="FH200" s="14"/>
      <c r="FI200" s="14"/>
      <c r="FJ200" s="14"/>
      <c r="FK200" s="14"/>
      <c r="FL200" s="14"/>
      <c r="FM200" s="14"/>
      <c r="FN200" s="14"/>
      <c r="FO200" s="14"/>
      <c r="FP200" s="14"/>
      <c r="FQ200" s="14"/>
      <c r="FR200" s="14"/>
      <c r="FS200" s="14"/>
      <c r="FT200" s="14"/>
      <c r="FU200" s="14"/>
      <c r="FV200" s="14"/>
      <c r="FW200" s="14"/>
      <c r="FX200" s="14"/>
      <c r="FY200" s="14"/>
      <c r="FZ200" s="14"/>
      <c r="GA200" s="14"/>
      <c r="GB200" s="14"/>
      <c r="GC200" s="14"/>
      <c r="GD200" s="14"/>
      <c r="GE200" s="14"/>
      <c r="GF200" s="14"/>
      <c r="GG200" s="14"/>
      <c r="GH200" s="14"/>
      <c r="GI200" s="14"/>
      <c r="GJ200" s="14"/>
      <c r="GK200" s="14"/>
      <c r="GL200" s="14"/>
      <c r="GM200" s="14"/>
      <c r="GN200" s="14"/>
      <c r="GO200" s="14"/>
      <c r="GP200" s="14"/>
      <c r="GQ200" s="14"/>
      <c r="GR200" s="14"/>
      <c r="GS200" s="14"/>
      <c r="GT200" s="14"/>
      <c r="GU200" s="14"/>
      <c r="GV200" s="14"/>
      <c r="GW200" s="14"/>
      <c r="GX200" s="14"/>
      <c r="GY200" s="14"/>
      <c r="GZ200" s="14"/>
      <c r="HA200" s="14"/>
      <c r="HB200" s="14"/>
      <c r="HC200" s="14"/>
      <c r="HD200" s="14"/>
      <c r="HE200" s="14"/>
      <c r="HF200" s="14"/>
      <c r="HG200" s="14"/>
      <c r="HH200" s="14"/>
      <c r="HI200" s="14"/>
      <c r="HJ200" s="14"/>
      <c r="HK200" s="14"/>
      <c r="HL200" s="14"/>
      <c r="HM200" s="14"/>
      <c r="HN200" s="14"/>
      <c r="HO200" s="14"/>
      <c r="HP200" s="14"/>
      <c r="HQ200" s="14"/>
      <c r="HR200" s="14"/>
      <c r="HS200" s="14"/>
      <c r="HT200" s="14"/>
    </row>
    <row r="201" spans="1:228" ht="18" customHeight="1" x14ac:dyDescent="0.2">
      <c r="B201" s="1570" t="s">
        <v>920</v>
      </c>
      <c r="C201" s="1570"/>
      <c r="D201" s="1570"/>
      <c r="E201" s="1570"/>
      <c r="F201" s="1570"/>
      <c r="G201" s="1570"/>
      <c r="H201" s="1570"/>
      <c r="I201" s="1570"/>
      <c r="J201" s="1570"/>
      <c r="K201" s="1570"/>
      <c r="L201" s="1570"/>
      <c r="M201" s="1570"/>
      <c r="N201" s="1570"/>
      <c r="O201" s="1570"/>
      <c r="P201" s="1623"/>
      <c r="R201" s="18"/>
      <c r="S201" s="19"/>
      <c r="T201" s="114"/>
      <c r="U201" s="157"/>
      <c r="V201" s="18"/>
      <c r="W201" s="1111"/>
      <c r="X201" s="1111"/>
      <c r="Y201" s="1111"/>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4"/>
      <c r="BR201" s="14"/>
      <c r="BS201" s="14"/>
      <c r="BT201" s="14"/>
      <c r="BU201" s="14"/>
      <c r="BV201" s="14"/>
      <c r="BW201" s="14"/>
      <c r="BX201" s="14"/>
      <c r="BY201" s="14"/>
      <c r="BZ201" s="14"/>
      <c r="CA201" s="14"/>
      <c r="CB201" s="14"/>
      <c r="CC201" s="14"/>
      <c r="CD201" s="14"/>
      <c r="CE201" s="14"/>
      <c r="CF201" s="14"/>
      <c r="CG201" s="14"/>
      <c r="CH201" s="14"/>
      <c r="CI201" s="14"/>
      <c r="CJ201" s="14"/>
      <c r="CK201" s="14"/>
      <c r="CL201" s="14"/>
      <c r="CM201" s="14"/>
      <c r="CN201" s="14"/>
      <c r="CO201" s="14"/>
      <c r="CP201" s="14"/>
      <c r="CQ201" s="14"/>
      <c r="CR201" s="14"/>
      <c r="CS201" s="14"/>
      <c r="CT201" s="14"/>
      <c r="CU201" s="14"/>
      <c r="CV201" s="14"/>
      <c r="CW201" s="14"/>
      <c r="CX201" s="14"/>
      <c r="CY201" s="14"/>
      <c r="CZ201" s="14"/>
      <c r="DA201" s="14"/>
      <c r="DB201" s="14"/>
      <c r="DC201" s="14"/>
      <c r="DD201" s="14"/>
      <c r="DE201" s="14"/>
      <c r="DF201" s="14"/>
      <c r="DG201" s="14"/>
      <c r="DH201" s="14"/>
      <c r="DI201" s="14"/>
      <c r="DJ201" s="14"/>
      <c r="DK201" s="14"/>
      <c r="DL201" s="14"/>
      <c r="DM201" s="14"/>
      <c r="DN201" s="14"/>
      <c r="DO201" s="14"/>
      <c r="DP201" s="14"/>
      <c r="DQ201" s="14"/>
      <c r="DR201" s="14"/>
      <c r="DS201" s="14"/>
      <c r="DT201" s="14"/>
      <c r="DU201" s="14"/>
      <c r="DV201" s="14"/>
      <c r="DW201" s="14"/>
      <c r="DX201" s="14"/>
      <c r="DY201" s="14"/>
      <c r="DZ201" s="14"/>
      <c r="EA201" s="14"/>
      <c r="EB201" s="14"/>
      <c r="EC201" s="14"/>
      <c r="ED201" s="14"/>
      <c r="EE201" s="14"/>
      <c r="EF201" s="14"/>
      <c r="EG201" s="14"/>
      <c r="EH201" s="14"/>
      <c r="EI201" s="14"/>
      <c r="EJ201" s="14"/>
      <c r="EK201" s="14"/>
      <c r="EL201" s="14"/>
      <c r="EM201" s="14"/>
      <c r="EN201" s="14"/>
      <c r="EO201" s="14"/>
      <c r="EP201" s="14"/>
      <c r="EQ201" s="14"/>
      <c r="ER201" s="14"/>
      <c r="ES201" s="14"/>
      <c r="ET201" s="14"/>
      <c r="EU201" s="14"/>
      <c r="EV201" s="14"/>
      <c r="EW201" s="14"/>
      <c r="EX201" s="14"/>
      <c r="EY201" s="14"/>
      <c r="EZ201" s="14"/>
      <c r="FA201" s="14"/>
      <c r="FB201" s="14"/>
      <c r="FC201" s="14"/>
      <c r="FD201" s="14"/>
      <c r="FE201" s="14"/>
      <c r="FF201" s="14"/>
      <c r="FG201" s="14"/>
      <c r="FH201" s="14"/>
      <c r="FI201" s="14"/>
      <c r="FJ201" s="14"/>
      <c r="FK201" s="14"/>
      <c r="FL201" s="14"/>
      <c r="FM201" s="14"/>
      <c r="FN201" s="14"/>
      <c r="FO201" s="14"/>
      <c r="FP201" s="14"/>
      <c r="FQ201" s="14"/>
      <c r="FR201" s="14"/>
      <c r="FS201" s="14"/>
      <c r="FT201" s="14"/>
      <c r="FU201" s="14"/>
      <c r="FV201" s="14"/>
      <c r="FW201" s="14"/>
      <c r="FX201" s="14"/>
      <c r="FY201" s="14"/>
      <c r="FZ201" s="14"/>
      <c r="GA201" s="14"/>
      <c r="GB201" s="14"/>
      <c r="GC201" s="14"/>
      <c r="GD201" s="14"/>
      <c r="GE201" s="14"/>
      <c r="GF201" s="14"/>
      <c r="GG201" s="14"/>
      <c r="GH201" s="14"/>
      <c r="GI201" s="14"/>
      <c r="GJ201" s="14"/>
      <c r="GK201" s="14"/>
      <c r="GL201" s="14"/>
      <c r="GM201" s="14"/>
      <c r="GN201" s="14"/>
      <c r="GO201" s="14"/>
      <c r="GP201" s="14"/>
      <c r="GQ201" s="14"/>
      <c r="GR201" s="14"/>
      <c r="GS201" s="14"/>
      <c r="GT201" s="14"/>
      <c r="GU201" s="14"/>
      <c r="GV201" s="14"/>
      <c r="GW201" s="14"/>
      <c r="GX201" s="14"/>
      <c r="GY201" s="14"/>
      <c r="GZ201" s="14"/>
      <c r="HA201" s="14"/>
      <c r="HB201" s="14"/>
      <c r="HC201" s="14"/>
      <c r="HD201" s="14"/>
      <c r="HE201" s="14"/>
      <c r="HF201" s="14"/>
      <c r="HG201" s="14"/>
      <c r="HH201" s="14"/>
      <c r="HI201" s="14"/>
      <c r="HJ201" s="14"/>
      <c r="HK201" s="14"/>
      <c r="HL201" s="14"/>
      <c r="HM201" s="14"/>
      <c r="HN201" s="14"/>
      <c r="HO201" s="14"/>
      <c r="HP201" s="14"/>
      <c r="HQ201" s="14"/>
      <c r="HR201" s="14"/>
      <c r="HS201" s="14"/>
      <c r="HT201" s="14"/>
    </row>
    <row r="202" spans="1:228" ht="15.75" x14ac:dyDescent="0.25">
      <c r="A202" s="8"/>
      <c r="B202" s="1903"/>
      <c r="C202" s="1903"/>
      <c r="D202" s="1903"/>
      <c r="E202" s="1903"/>
      <c r="F202" s="1903"/>
      <c r="G202" s="1903"/>
      <c r="H202" s="1903"/>
      <c r="I202" s="1903"/>
      <c r="J202" s="1903"/>
      <c r="K202" s="1903"/>
      <c r="L202" s="1903"/>
      <c r="M202" s="1903"/>
      <c r="N202" s="1903"/>
      <c r="O202" s="1903"/>
      <c r="P202" s="36"/>
      <c r="Q202" s="8"/>
      <c r="R202" s="60"/>
      <c r="S202" s="60"/>
      <c r="T202" s="60"/>
      <c r="U202" s="60"/>
      <c r="V202" s="1111"/>
      <c r="W202" s="1111"/>
      <c r="X202" s="63"/>
      <c r="Y202" s="63"/>
      <c r="Z202" s="18"/>
      <c r="AA202" s="60"/>
      <c r="AB202" s="60"/>
      <c r="AC202" s="60"/>
      <c r="AD202" s="60"/>
      <c r="AE202" s="60"/>
      <c r="AF202" s="60"/>
      <c r="AG202" s="60"/>
      <c r="AH202" s="60"/>
      <c r="AI202" s="60"/>
      <c r="AJ202" s="60"/>
      <c r="AK202" s="60"/>
      <c r="AL202" s="60"/>
      <c r="AM202" s="60"/>
      <c r="AN202" s="60"/>
      <c r="AO202" s="60"/>
      <c r="AP202" s="60"/>
      <c r="AQ202" s="60"/>
      <c r="AR202" s="60"/>
      <c r="AS202" s="60"/>
      <c r="AT202" s="60"/>
      <c r="AU202" s="60"/>
      <c r="AV202" s="60"/>
      <c r="AW202" s="60"/>
      <c r="AX202" s="60"/>
      <c r="AY202" s="60"/>
      <c r="AZ202" s="60"/>
      <c r="BA202" s="60"/>
      <c r="BB202" s="60"/>
      <c r="BC202" s="60"/>
      <c r="BD202" s="60"/>
      <c r="BE202" s="60"/>
      <c r="BF202" s="18"/>
      <c r="BG202" s="18"/>
      <c r="BH202" s="18"/>
      <c r="BI202" s="18"/>
      <c r="BJ202" s="18"/>
      <c r="BK202" s="18"/>
      <c r="BL202" s="18"/>
      <c r="BM202" s="18"/>
      <c r="BN202" s="18"/>
      <c r="BO202" s="18"/>
      <c r="BP202" s="18"/>
      <c r="BQ202" s="14"/>
      <c r="BR202" s="14"/>
      <c r="BS202" s="14"/>
      <c r="BT202" s="14"/>
      <c r="BU202" s="14"/>
      <c r="BV202" s="14"/>
      <c r="BW202" s="14"/>
      <c r="BX202" s="14"/>
      <c r="BY202" s="14"/>
      <c r="BZ202" s="14"/>
      <c r="CA202" s="14"/>
      <c r="CB202" s="14"/>
      <c r="CC202" s="14"/>
      <c r="CD202" s="14"/>
      <c r="CE202" s="14"/>
      <c r="CF202" s="14"/>
      <c r="CG202" s="14"/>
      <c r="CH202" s="14"/>
      <c r="CI202" s="14"/>
      <c r="CJ202" s="14"/>
      <c r="CK202" s="14"/>
      <c r="CL202" s="14"/>
      <c r="CM202" s="14"/>
      <c r="CN202" s="14"/>
      <c r="CO202" s="14"/>
      <c r="CP202" s="14"/>
      <c r="CQ202" s="14"/>
      <c r="CR202" s="14"/>
      <c r="CS202" s="14"/>
      <c r="CT202" s="14"/>
      <c r="CU202" s="14"/>
      <c r="CV202" s="14"/>
      <c r="CW202" s="14"/>
      <c r="CX202" s="14"/>
      <c r="CY202" s="14"/>
      <c r="CZ202" s="14"/>
      <c r="DA202" s="14"/>
      <c r="DB202" s="14"/>
      <c r="DC202" s="14"/>
      <c r="DD202" s="14"/>
      <c r="DE202" s="14"/>
      <c r="DF202" s="14"/>
      <c r="DG202" s="14"/>
      <c r="DH202" s="14"/>
      <c r="DI202" s="14"/>
      <c r="DJ202" s="14"/>
      <c r="DK202" s="14"/>
      <c r="DL202" s="14"/>
      <c r="DM202" s="14"/>
      <c r="DN202" s="14"/>
      <c r="DO202" s="14"/>
      <c r="DP202" s="14"/>
      <c r="DQ202" s="14"/>
      <c r="DR202" s="14"/>
      <c r="DS202" s="14"/>
      <c r="DT202" s="14"/>
      <c r="DU202" s="14"/>
      <c r="DV202" s="14"/>
      <c r="DW202" s="14"/>
      <c r="DX202" s="14"/>
      <c r="DY202" s="14"/>
      <c r="DZ202" s="14"/>
      <c r="EA202" s="14"/>
      <c r="EB202" s="14"/>
      <c r="EC202" s="14"/>
      <c r="ED202" s="14"/>
      <c r="EE202" s="14"/>
      <c r="EF202" s="14"/>
      <c r="EG202" s="14"/>
      <c r="EH202" s="14"/>
      <c r="EI202" s="14"/>
      <c r="EJ202" s="14"/>
      <c r="EK202" s="14"/>
      <c r="EL202" s="14"/>
      <c r="EM202" s="14"/>
      <c r="EN202" s="14"/>
      <c r="EO202" s="14"/>
      <c r="EP202" s="14"/>
      <c r="EQ202" s="14"/>
      <c r="ER202" s="14"/>
      <c r="ES202" s="14"/>
      <c r="ET202" s="14"/>
      <c r="EU202" s="14"/>
      <c r="EV202" s="14"/>
      <c r="EW202" s="14"/>
      <c r="EX202" s="14"/>
      <c r="EY202" s="14"/>
      <c r="EZ202" s="14"/>
      <c r="FA202" s="14"/>
      <c r="FB202" s="14"/>
      <c r="FC202" s="14"/>
      <c r="FD202" s="14"/>
      <c r="FE202" s="14"/>
      <c r="FF202" s="14"/>
      <c r="FG202" s="14"/>
      <c r="FH202" s="14"/>
      <c r="FI202" s="14"/>
      <c r="FJ202" s="14"/>
      <c r="FK202" s="14"/>
      <c r="FL202" s="14"/>
      <c r="FM202" s="14"/>
      <c r="FN202" s="14"/>
      <c r="FO202" s="14"/>
      <c r="FP202" s="14"/>
      <c r="FQ202" s="14"/>
      <c r="FR202" s="14"/>
      <c r="FS202" s="14"/>
      <c r="FT202" s="14"/>
      <c r="FU202" s="14"/>
      <c r="FV202" s="14"/>
      <c r="FW202" s="14"/>
      <c r="FX202" s="14"/>
      <c r="FY202" s="14"/>
      <c r="FZ202" s="14"/>
      <c r="GA202" s="14"/>
      <c r="GB202" s="14"/>
      <c r="GC202" s="14"/>
      <c r="GD202" s="14"/>
      <c r="GE202" s="14"/>
      <c r="GF202" s="14"/>
      <c r="GG202" s="14"/>
      <c r="GH202" s="14"/>
      <c r="GI202" s="14"/>
      <c r="GJ202" s="14"/>
      <c r="GK202" s="14"/>
      <c r="GL202" s="14"/>
      <c r="GM202" s="14"/>
      <c r="GN202" s="14"/>
      <c r="GO202" s="14"/>
      <c r="GP202" s="14"/>
      <c r="GQ202" s="14"/>
      <c r="GR202" s="14"/>
      <c r="GS202" s="14"/>
      <c r="GT202" s="14"/>
      <c r="GU202" s="14"/>
      <c r="GV202" s="14"/>
      <c r="GW202" s="14"/>
      <c r="GX202" s="14"/>
      <c r="GY202" s="14"/>
      <c r="GZ202" s="14"/>
      <c r="HA202" s="14"/>
      <c r="HB202" s="14"/>
      <c r="HC202" s="14"/>
      <c r="HD202" s="14"/>
      <c r="HE202" s="14"/>
      <c r="HF202" s="14"/>
      <c r="HG202" s="14"/>
      <c r="HH202" s="14"/>
      <c r="HI202" s="14"/>
      <c r="HJ202" s="14"/>
      <c r="HK202" s="14"/>
      <c r="HL202" s="14"/>
      <c r="HM202" s="14"/>
      <c r="HN202" s="14"/>
      <c r="HO202" s="14"/>
      <c r="HP202" s="14"/>
      <c r="HQ202" s="14"/>
      <c r="HR202" s="14"/>
      <c r="HS202" s="14"/>
      <c r="HT202" s="14"/>
    </row>
    <row r="203" spans="1:228" ht="12" customHeight="1" thickBot="1" x14ac:dyDescent="0.3">
      <c r="A203" s="8"/>
      <c r="B203" s="2064"/>
      <c r="C203" s="2064"/>
      <c r="D203" s="2064"/>
      <c r="E203" s="2064"/>
      <c r="F203" s="2064"/>
      <c r="G203" s="2064"/>
      <c r="H203" s="2064"/>
      <c r="I203" s="2064"/>
      <c r="J203" s="2064"/>
      <c r="K203" s="2064"/>
      <c r="L203" s="2064"/>
      <c r="M203" s="2064"/>
      <c r="N203" s="2064"/>
      <c r="O203" s="2064"/>
      <c r="P203" s="36"/>
      <c r="Q203" s="8"/>
      <c r="R203" s="60"/>
      <c r="S203" s="60"/>
      <c r="T203" s="60"/>
      <c r="U203" s="60"/>
      <c r="V203" s="60"/>
      <c r="W203" s="60"/>
      <c r="X203" s="60"/>
      <c r="Y203" s="60"/>
      <c r="Z203" s="60"/>
      <c r="AA203" s="60"/>
      <c r="AB203" s="60"/>
      <c r="AC203" s="60"/>
      <c r="AD203" s="60"/>
      <c r="AE203" s="60"/>
      <c r="AF203" s="60"/>
      <c r="AG203" s="60"/>
      <c r="AH203" s="60"/>
      <c r="AI203" s="60"/>
      <c r="AJ203" s="60"/>
      <c r="AK203" s="60"/>
      <c r="AL203" s="60"/>
      <c r="AM203" s="60"/>
      <c r="AN203" s="60"/>
      <c r="AO203" s="60"/>
      <c r="AP203" s="60"/>
      <c r="AQ203" s="60"/>
      <c r="AR203" s="60"/>
      <c r="AS203" s="60"/>
      <c r="AT203" s="60"/>
      <c r="AU203" s="60"/>
      <c r="AV203" s="60"/>
      <c r="AW203" s="60"/>
      <c r="AX203" s="60"/>
      <c r="AY203" s="60"/>
      <c r="AZ203" s="60"/>
      <c r="BA203" s="60"/>
      <c r="BB203" s="60"/>
      <c r="BC203" s="60"/>
      <c r="BD203" s="60"/>
      <c r="BE203" s="60"/>
      <c r="BF203" s="18"/>
      <c r="BG203" s="18"/>
      <c r="BH203" s="18"/>
      <c r="BI203" s="18"/>
      <c r="BJ203" s="18"/>
      <c r="BK203" s="18"/>
      <c r="BL203" s="18"/>
      <c r="BM203" s="18"/>
      <c r="BN203" s="18"/>
      <c r="BO203" s="18"/>
      <c r="BP203" s="18"/>
      <c r="BQ203" s="14"/>
      <c r="BR203" s="14"/>
      <c r="BS203" s="14"/>
      <c r="BT203" s="14"/>
      <c r="BU203" s="14"/>
      <c r="BV203" s="14"/>
      <c r="BW203" s="14"/>
      <c r="BX203" s="14"/>
      <c r="BY203" s="14"/>
      <c r="BZ203" s="14"/>
      <c r="CA203" s="14"/>
      <c r="CB203" s="14"/>
      <c r="CC203" s="14"/>
      <c r="CD203" s="14"/>
      <c r="CE203" s="14"/>
      <c r="CF203" s="14"/>
      <c r="CG203" s="14"/>
      <c r="CH203" s="14"/>
      <c r="CI203" s="14"/>
      <c r="CJ203" s="14"/>
      <c r="CK203" s="14"/>
      <c r="CL203" s="14"/>
      <c r="CM203" s="14"/>
      <c r="CN203" s="14"/>
      <c r="CO203" s="14"/>
      <c r="CP203" s="14"/>
      <c r="CQ203" s="14"/>
      <c r="CR203" s="14"/>
      <c r="CS203" s="14"/>
      <c r="CT203" s="14"/>
      <c r="CU203" s="14"/>
      <c r="CV203" s="14"/>
      <c r="CW203" s="14"/>
      <c r="CX203" s="14"/>
      <c r="CY203" s="14"/>
      <c r="CZ203" s="14"/>
      <c r="DA203" s="14"/>
      <c r="DB203" s="14"/>
      <c r="DC203" s="14"/>
      <c r="DD203" s="14"/>
      <c r="DE203" s="14"/>
      <c r="DF203" s="14"/>
      <c r="DG203" s="14"/>
      <c r="DH203" s="14"/>
      <c r="DI203" s="14"/>
      <c r="DJ203" s="14"/>
      <c r="DK203" s="14"/>
      <c r="DL203" s="14"/>
      <c r="DM203" s="14"/>
      <c r="DN203" s="14"/>
      <c r="DO203" s="14"/>
      <c r="DP203" s="14"/>
      <c r="DQ203" s="14"/>
      <c r="DR203" s="14"/>
      <c r="DS203" s="14"/>
      <c r="DT203" s="14"/>
      <c r="DU203" s="14"/>
      <c r="DV203" s="14"/>
      <c r="DW203" s="14"/>
      <c r="DX203" s="14"/>
      <c r="DY203" s="14"/>
      <c r="DZ203" s="14"/>
      <c r="EA203" s="14"/>
      <c r="EB203" s="14"/>
      <c r="EC203" s="14"/>
      <c r="ED203" s="14"/>
      <c r="EE203" s="14"/>
      <c r="EF203" s="14"/>
      <c r="EG203" s="14"/>
      <c r="EH203" s="14"/>
      <c r="EI203" s="14"/>
      <c r="EJ203" s="14"/>
      <c r="EK203" s="14"/>
      <c r="EL203" s="14"/>
      <c r="EM203" s="14"/>
      <c r="EN203" s="14"/>
      <c r="EO203" s="14"/>
      <c r="EP203" s="14"/>
      <c r="EQ203" s="14"/>
      <c r="ER203" s="14"/>
      <c r="ES203" s="14"/>
      <c r="ET203" s="14"/>
      <c r="EU203" s="14"/>
      <c r="EV203" s="14"/>
      <c r="EW203" s="14"/>
      <c r="EX203" s="14"/>
      <c r="EY203" s="14"/>
      <c r="EZ203" s="14"/>
      <c r="FA203" s="14"/>
      <c r="FB203" s="14"/>
      <c r="FC203" s="14"/>
      <c r="FD203" s="14"/>
      <c r="FE203" s="14"/>
      <c r="FF203" s="14"/>
      <c r="FG203" s="14"/>
      <c r="FH203" s="14"/>
      <c r="FI203" s="14"/>
      <c r="FJ203" s="14"/>
      <c r="FK203" s="14"/>
      <c r="FL203" s="14"/>
      <c r="FM203" s="14"/>
      <c r="FN203" s="14"/>
      <c r="FO203" s="14"/>
      <c r="FP203" s="14"/>
      <c r="FQ203" s="14"/>
      <c r="FR203" s="14"/>
      <c r="FS203" s="14"/>
      <c r="FT203" s="14"/>
      <c r="FU203" s="14"/>
      <c r="FV203" s="14"/>
      <c r="FW203" s="14"/>
      <c r="FX203" s="14"/>
      <c r="FY203" s="14"/>
      <c r="FZ203" s="14"/>
      <c r="GA203" s="14"/>
      <c r="GB203" s="14"/>
      <c r="GC203" s="14"/>
      <c r="GD203" s="14"/>
      <c r="GE203" s="14"/>
      <c r="GF203" s="14"/>
      <c r="GG203" s="14"/>
      <c r="GH203" s="14"/>
      <c r="GI203" s="14"/>
      <c r="GJ203" s="14"/>
      <c r="GK203" s="14"/>
      <c r="GL203" s="14"/>
      <c r="GM203" s="14"/>
      <c r="GN203" s="14"/>
      <c r="GO203" s="14"/>
      <c r="GP203" s="14"/>
      <c r="GQ203" s="14"/>
      <c r="GR203" s="14"/>
      <c r="GS203" s="14"/>
      <c r="GT203" s="14"/>
      <c r="GU203" s="14"/>
      <c r="GV203" s="14"/>
      <c r="GW203" s="14"/>
      <c r="GX203" s="14"/>
      <c r="GY203" s="14"/>
      <c r="GZ203" s="14"/>
      <c r="HA203" s="14"/>
      <c r="HB203" s="14"/>
      <c r="HC203" s="14"/>
      <c r="HD203" s="14"/>
      <c r="HE203" s="14"/>
      <c r="HF203" s="14"/>
      <c r="HG203" s="14"/>
      <c r="HH203" s="14"/>
      <c r="HI203" s="14"/>
      <c r="HJ203" s="14"/>
      <c r="HK203" s="14"/>
      <c r="HL203" s="14"/>
      <c r="HM203" s="14"/>
      <c r="HN203" s="14"/>
      <c r="HO203" s="14"/>
      <c r="HP203" s="14"/>
      <c r="HQ203" s="14"/>
      <c r="HR203" s="14"/>
      <c r="HS203" s="14"/>
      <c r="HT203" s="14"/>
    </row>
    <row r="204" spans="1:228" ht="18" customHeight="1" thickBot="1" x14ac:dyDescent="0.25">
      <c r="A204" s="8"/>
      <c r="B204" s="2061" t="s">
        <v>921</v>
      </c>
      <c r="C204" s="2062"/>
      <c r="D204" s="2062"/>
      <c r="E204" s="2062"/>
      <c r="F204" s="2062"/>
      <c r="G204" s="2062"/>
      <c r="H204" s="2062"/>
      <c r="I204" s="2062"/>
      <c r="J204" s="2062"/>
      <c r="K204" s="2062"/>
      <c r="L204" s="2062"/>
      <c r="M204" s="2062"/>
      <c r="N204" s="2062"/>
      <c r="O204" s="2062"/>
      <c r="P204" s="2063"/>
      <c r="Q204" s="8"/>
      <c r="R204" s="60"/>
      <c r="S204" s="60"/>
      <c r="T204" s="60"/>
      <c r="U204" s="60"/>
      <c r="V204" s="60"/>
      <c r="W204" s="60"/>
      <c r="X204" s="60"/>
      <c r="Y204" s="60"/>
      <c r="Z204" s="60"/>
      <c r="AA204" s="60"/>
      <c r="AB204" s="60"/>
      <c r="AC204" s="60"/>
      <c r="AD204" s="60"/>
      <c r="AE204" s="60"/>
      <c r="AF204" s="60"/>
      <c r="AG204" s="60"/>
      <c r="AH204" s="60"/>
      <c r="AI204" s="60"/>
      <c r="AJ204" s="60"/>
      <c r="AK204" s="60"/>
      <c r="AL204" s="60"/>
      <c r="AM204" s="60"/>
      <c r="AN204" s="60"/>
      <c r="AO204" s="60"/>
      <c r="AP204" s="60"/>
      <c r="AQ204" s="60"/>
      <c r="AR204" s="60"/>
      <c r="AS204" s="60"/>
      <c r="AT204" s="60"/>
      <c r="AU204" s="60"/>
      <c r="AV204" s="60"/>
      <c r="AW204" s="60"/>
      <c r="AX204" s="60"/>
      <c r="AY204" s="60"/>
      <c r="AZ204" s="60"/>
      <c r="BA204" s="60"/>
      <c r="BB204" s="60"/>
      <c r="BC204" s="60"/>
      <c r="BD204" s="60"/>
      <c r="BE204" s="60"/>
      <c r="BF204" s="18"/>
      <c r="BG204" s="18"/>
      <c r="BH204" s="18"/>
      <c r="BI204" s="18"/>
      <c r="BJ204" s="18"/>
      <c r="BK204" s="18"/>
      <c r="BL204" s="18"/>
      <c r="BM204" s="18"/>
      <c r="BN204" s="18"/>
      <c r="BO204" s="18"/>
      <c r="BP204" s="18"/>
      <c r="BQ204" s="14"/>
      <c r="BR204" s="14"/>
      <c r="BS204" s="14"/>
      <c r="BT204" s="14"/>
      <c r="BU204" s="14"/>
      <c r="BV204" s="14"/>
      <c r="BW204" s="14"/>
      <c r="BX204" s="14"/>
      <c r="BY204" s="14"/>
      <c r="BZ204" s="14"/>
      <c r="CA204" s="14"/>
      <c r="CB204" s="14"/>
      <c r="CC204" s="14"/>
      <c r="CD204" s="14"/>
      <c r="CE204" s="14"/>
      <c r="CF204" s="14"/>
      <c r="CG204" s="14"/>
      <c r="CH204" s="14"/>
      <c r="CI204" s="14"/>
      <c r="CJ204" s="14"/>
      <c r="CK204" s="14"/>
      <c r="CL204" s="14"/>
      <c r="CM204" s="14"/>
      <c r="CN204" s="14"/>
      <c r="CO204" s="14"/>
      <c r="CP204" s="14"/>
      <c r="CQ204" s="14"/>
      <c r="CR204" s="14"/>
      <c r="CS204" s="14"/>
      <c r="CT204" s="14"/>
      <c r="CU204" s="14"/>
      <c r="CV204" s="14"/>
      <c r="CW204" s="14"/>
      <c r="CX204" s="14"/>
      <c r="CY204" s="14"/>
      <c r="CZ204" s="14"/>
      <c r="DA204" s="14"/>
      <c r="DB204" s="14"/>
      <c r="DC204" s="14"/>
      <c r="DD204" s="14"/>
      <c r="DE204" s="14"/>
      <c r="DF204" s="14"/>
      <c r="DG204" s="14"/>
      <c r="DH204" s="14"/>
      <c r="DI204" s="14"/>
      <c r="DJ204" s="14"/>
      <c r="DK204" s="14"/>
      <c r="DL204" s="14"/>
      <c r="DM204" s="14"/>
      <c r="DN204" s="14"/>
      <c r="DO204" s="14"/>
      <c r="DP204" s="14"/>
      <c r="DQ204" s="14"/>
      <c r="DR204" s="14"/>
      <c r="DS204" s="14"/>
      <c r="DT204" s="14"/>
      <c r="DU204" s="14"/>
      <c r="DV204" s="14"/>
      <c r="DW204" s="14"/>
      <c r="DX204" s="14"/>
      <c r="DY204" s="14"/>
      <c r="DZ204" s="14"/>
      <c r="EA204" s="14"/>
      <c r="EB204" s="14"/>
      <c r="EC204" s="14"/>
      <c r="ED204" s="14"/>
      <c r="EE204" s="14"/>
      <c r="EF204" s="14"/>
      <c r="EG204" s="14"/>
      <c r="EH204" s="14"/>
      <c r="EI204" s="14"/>
      <c r="EJ204" s="14"/>
      <c r="EK204" s="14"/>
      <c r="EL204" s="14"/>
      <c r="EM204" s="14"/>
      <c r="EN204" s="14"/>
      <c r="EO204" s="14"/>
      <c r="EP204" s="14"/>
      <c r="EQ204" s="14"/>
      <c r="ER204" s="14"/>
      <c r="ES204" s="14"/>
      <c r="ET204" s="14"/>
      <c r="EU204" s="14"/>
      <c r="EV204" s="14"/>
      <c r="EW204" s="14"/>
      <c r="EX204" s="14"/>
      <c r="EY204" s="14"/>
      <c r="EZ204" s="14"/>
      <c r="FA204" s="14"/>
      <c r="FB204" s="14"/>
      <c r="FC204" s="14"/>
      <c r="FD204" s="14"/>
      <c r="FE204" s="14"/>
      <c r="FF204" s="14"/>
      <c r="FG204" s="14"/>
      <c r="FH204" s="14"/>
      <c r="FI204" s="14"/>
      <c r="FJ204" s="14"/>
      <c r="FK204" s="14"/>
      <c r="FL204" s="14"/>
      <c r="FM204" s="14"/>
      <c r="FN204" s="14"/>
      <c r="FO204" s="14"/>
      <c r="FP204" s="14"/>
      <c r="FQ204" s="14"/>
      <c r="FR204" s="14"/>
      <c r="FS204" s="14"/>
      <c r="FT204" s="14"/>
      <c r="FU204" s="14"/>
      <c r="FV204" s="14"/>
      <c r="FW204" s="14"/>
      <c r="FX204" s="14"/>
      <c r="FY204" s="14"/>
      <c r="FZ204" s="14"/>
      <c r="GA204" s="14"/>
      <c r="GB204" s="14"/>
      <c r="GC204" s="14"/>
      <c r="GD204" s="14"/>
      <c r="GE204" s="14"/>
      <c r="GF204" s="14"/>
      <c r="GG204" s="14"/>
      <c r="GH204" s="14"/>
      <c r="GI204" s="14"/>
      <c r="GJ204" s="14"/>
      <c r="GK204" s="14"/>
      <c r="GL204" s="14"/>
      <c r="GM204" s="14"/>
      <c r="GN204" s="14"/>
      <c r="GO204" s="14"/>
      <c r="GP204" s="14"/>
      <c r="GQ204" s="14"/>
      <c r="GR204" s="14"/>
      <c r="GS204" s="14"/>
      <c r="GT204" s="14"/>
      <c r="GU204" s="14"/>
      <c r="GV204" s="14"/>
      <c r="GW204" s="14"/>
      <c r="GX204" s="14"/>
      <c r="GY204" s="14"/>
      <c r="GZ204" s="14"/>
      <c r="HA204" s="14"/>
      <c r="HB204" s="14"/>
      <c r="HC204" s="14"/>
      <c r="HD204" s="14"/>
      <c r="HE204" s="14"/>
      <c r="HF204" s="14"/>
      <c r="HG204" s="14"/>
      <c r="HH204" s="14"/>
      <c r="HI204" s="14"/>
      <c r="HJ204" s="14"/>
      <c r="HK204" s="14"/>
      <c r="HL204" s="14"/>
      <c r="HM204" s="14"/>
      <c r="HN204" s="14"/>
      <c r="HO204" s="14"/>
      <c r="HP204" s="14"/>
      <c r="HQ204" s="14"/>
      <c r="HR204" s="14"/>
      <c r="HS204" s="14"/>
      <c r="HT204" s="14"/>
    </row>
    <row r="205" spans="1:228" ht="12" customHeight="1" x14ac:dyDescent="0.3">
      <c r="A205" s="8"/>
      <c r="B205" s="2072"/>
      <c r="C205" s="2072"/>
      <c r="D205" s="2072"/>
      <c r="E205" s="2072"/>
      <c r="F205" s="2072"/>
      <c r="G205" s="2072"/>
      <c r="H205" s="2072"/>
      <c r="I205" s="2072"/>
      <c r="J205" s="2072"/>
      <c r="K205" s="2072"/>
      <c r="L205" s="2072"/>
      <c r="M205" s="2072"/>
      <c r="N205" s="2072"/>
      <c r="O205" s="2072"/>
      <c r="P205" s="484"/>
      <c r="Q205" s="8"/>
      <c r="R205" s="60"/>
      <c r="S205" s="60"/>
      <c r="T205" s="60"/>
      <c r="U205" s="60"/>
      <c r="V205" s="60"/>
      <c r="W205" s="60"/>
      <c r="X205" s="60"/>
      <c r="Y205" s="60"/>
      <c r="Z205" s="60"/>
      <c r="AA205" s="60"/>
      <c r="AB205" s="60"/>
      <c r="AC205" s="60"/>
      <c r="AD205" s="60"/>
      <c r="AE205" s="60"/>
      <c r="AF205" s="60"/>
      <c r="AG205" s="60"/>
      <c r="AH205" s="60"/>
      <c r="AI205" s="60"/>
      <c r="AJ205" s="60"/>
      <c r="AK205" s="60"/>
      <c r="AL205" s="60"/>
      <c r="AM205" s="60"/>
      <c r="AN205" s="60"/>
      <c r="AO205" s="60"/>
      <c r="AP205" s="60"/>
      <c r="AQ205" s="60"/>
      <c r="AR205" s="60"/>
      <c r="AS205" s="60"/>
      <c r="AT205" s="60"/>
      <c r="AU205" s="60"/>
      <c r="AV205" s="60"/>
      <c r="AW205" s="60"/>
      <c r="AX205" s="60"/>
      <c r="AY205" s="60"/>
      <c r="AZ205" s="60"/>
      <c r="BA205" s="60"/>
      <c r="BB205" s="60"/>
      <c r="BC205" s="60"/>
      <c r="BD205" s="60"/>
      <c r="BE205" s="60"/>
      <c r="BF205" s="18"/>
      <c r="BG205" s="18"/>
      <c r="BH205" s="18"/>
      <c r="BI205" s="18"/>
      <c r="BJ205" s="18"/>
      <c r="BK205" s="18"/>
      <c r="BL205" s="18"/>
      <c r="BM205" s="18"/>
      <c r="BN205" s="18"/>
      <c r="BO205" s="18"/>
      <c r="BP205" s="18"/>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c r="DB205" s="14"/>
      <c r="DC205" s="14"/>
      <c r="DD205" s="14"/>
      <c r="DE205" s="14"/>
      <c r="DF205" s="14"/>
      <c r="DG205" s="14"/>
      <c r="DH205" s="14"/>
      <c r="DI205" s="14"/>
      <c r="DJ205" s="14"/>
      <c r="DK205" s="14"/>
      <c r="DL205" s="14"/>
      <c r="DM205" s="14"/>
      <c r="DN205" s="14"/>
      <c r="DO205" s="14"/>
      <c r="DP205" s="14"/>
      <c r="DQ205" s="14"/>
      <c r="DR205" s="14"/>
      <c r="DS205" s="14"/>
      <c r="DT205" s="14"/>
      <c r="DU205" s="14"/>
      <c r="DV205" s="14"/>
      <c r="DW205" s="14"/>
      <c r="DX205" s="14"/>
      <c r="DY205" s="14"/>
      <c r="DZ205" s="14"/>
      <c r="EA205" s="14"/>
      <c r="EB205" s="14"/>
      <c r="EC205" s="14"/>
      <c r="ED205" s="14"/>
      <c r="EE205" s="14"/>
      <c r="EF205" s="14"/>
      <c r="EG205" s="14"/>
      <c r="EH205" s="14"/>
      <c r="EI205" s="14"/>
      <c r="EJ205" s="14"/>
      <c r="EK205" s="14"/>
      <c r="EL205" s="14"/>
      <c r="EM205" s="14"/>
      <c r="EN205" s="14"/>
      <c r="EO205" s="14"/>
      <c r="EP205" s="14"/>
      <c r="EQ205" s="14"/>
      <c r="ER205" s="14"/>
      <c r="ES205" s="14"/>
      <c r="ET205" s="14"/>
      <c r="EU205" s="14"/>
      <c r="EV205" s="14"/>
      <c r="EW205" s="14"/>
      <c r="EX205" s="14"/>
      <c r="EY205" s="14"/>
      <c r="EZ205" s="14"/>
      <c r="FA205" s="14"/>
      <c r="FB205" s="14"/>
      <c r="FC205" s="14"/>
      <c r="FD205" s="14"/>
      <c r="FE205" s="14"/>
      <c r="FF205" s="14"/>
      <c r="FG205" s="14"/>
      <c r="FH205" s="14"/>
      <c r="FI205" s="14"/>
      <c r="FJ205" s="14"/>
      <c r="FK205" s="14"/>
      <c r="FL205" s="14"/>
      <c r="FM205" s="14"/>
      <c r="FN205" s="14"/>
      <c r="FO205" s="14"/>
      <c r="FP205" s="14"/>
      <c r="FQ205" s="14"/>
      <c r="FR205" s="14"/>
      <c r="FS205" s="14"/>
      <c r="FT205" s="14"/>
      <c r="FU205" s="14"/>
      <c r="FV205" s="14"/>
      <c r="FW205" s="14"/>
      <c r="FX205" s="14"/>
      <c r="FY205" s="14"/>
      <c r="FZ205" s="14"/>
      <c r="GA205" s="14"/>
      <c r="GB205" s="14"/>
      <c r="GC205" s="14"/>
      <c r="GD205" s="14"/>
      <c r="GE205" s="14"/>
      <c r="GF205" s="14"/>
      <c r="GG205" s="14"/>
      <c r="GH205" s="14"/>
      <c r="GI205" s="14"/>
      <c r="GJ205" s="14"/>
      <c r="GK205" s="14"/>
      <c r="GL205" s="14"/>
      <c r="GM205" s="14"/>
      <c r="GN205" s="14"/>
      <c r="GO205" s="14"/>
      <c r="GP205" s="14"/>
      <c r="GQ205" s="14"/>
      <c r="GR205" s="14"/>
      <c r="GS205" s="14"/>
      <c r="GT205" s="14"/>
      <c r="GU205" s="14"/>
      <c r="GV205" s="14"/>
      <c r="GW205" s="14"/>
      <c r="GX205" s="14"/>
      <c r="GY205" s="14"/>
      <c r="GZ205" s="14"/>
      <c r="HA205" s="14"/>
      <c r="HB205" s="14"/>
      <c r="HC205" s="14"/>
      <c r="HD205" s="14"/>
      <c r="HE205" s="14"/>
      <c r="HF205" s="14"/>
      <c r="HG205" s="14"/>
      <c r="HH205" s="14"/>
      <c r="HI205" s="14"/>
      <c r="HJ205" s="14"/>
      <c r="HK205" s="14"/>
      <c r="HL205" s="14"/>
      <c r="HM205" s="14"/>
      <c r="HN205" s="14"/>
      <c r="HO205" s="14"/>
      <c r="HP205" s="14"/>
      <c r="HQ205" s="14"/>
      <c r="HR205" s="14"/>
      <c r="HS205" s="14"/>
      <c r="HT205" s="14"/>
    </row>
    <row r="206" spans="1:228" ht="18" customHeight="1" x14ac:dyDescent="0.25">
      <c r="B206" s="1549" t="s">
        <v>922</v>
      </c>
      <c r="C206" s="1550"/>
      <c r="D206" s="1550"/>
      <c r="E206" s="1550"/>
      <c r="F206" s="1550"/>
      <c r="G206" s="1550"/>
      <c r="H206" s="1550"/>
      <c r="I206" s="1550"/>
      <c r="J206" s="1550"/>
      <c r="K206" s="1550"/>
      <c r="L206" s="1550"/>
      <c r="M206" s="1550"/>
      <c r="N206" s="1550"/>
      <c r="O206" s="1551"/>
      <c r="P206" s="473"/>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row>
    <row r="207" spans="1:228" ht="18" customHeight="1" x14ac:dyDescent="0.2">
      <c r="A207" s="189"/>
      <c r="B207" s="1978"/>
      <c r="C207" s="1978"/>
      <c r="D207" s="1978"/>
      <c r="E207" s="1978"/>
      <c r="F207" s="1978"/>
      <c r="G207" s="1978"/>
      <c r="H207" s="1978"/>
      <c r="I207" s="1978"/>
      <c r="J207" s="1978"/>
      <c r="K207" s="1978"/>
      <c r="L207" s="1978"/>
      <c r="M207" s="1978"/>
      <c r="N207" s="1978"/>
      <c r="O207" s="1966"/>
      <c r="P207" s="939">
        <f>IF(B207=S207,1,IF(B207=T207,0.75,IF(B207=U207,0.5,0)))</f>
        <v>0</v>
      </c>
      <c r="Q207" s="936"/>
      <c r="R207" s="894" t="s">
        <v>2197</v>
      </c>
      <c r="S207" s="937" t="s">
        <v>923</v>
      </c>
      <c r="T207" s="937" t="s">
        <v>924</v>
      </c>
      <c r="U207" s="937" t="s">
        <v>1622</v>
      </c>
      <c r="V207" s="19"/>
      <c r="W207" s="116">
        <v>1E-4</v>
      </c>
      <c r="X207" s="19"/>
      <c r="Y207" s="19"/>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4"/>
      <c r="BR207" s="14"/>
      <c r="BS207" s="14"/>
      <c r="BT207" s="14"/>
      <c r="BU207" s="14"/>
      <c r="BV207" s="14"/>
      <c r="BW207" s="14"/>
      <c r="BX207" s="14"/>
      <c r="BY207" s="14"/>
      <c r="BZ207" s="14"/>
      <c r="CA207" s="14"/>
      <c r="CB207" s="14"/>
      <c r="CC207" s="14"/>
      <c r="CD207" s="14"/>
      <c r="CE207" s="14"/>
      <c r="CF207" s="14"/>
      <c r="CG207" s="14"/>
      <c r="CH207" s="14"/>
      <c r="CI207" s="14"/>
      <c r="CJ207" s="14"/>
      <c r="CK207" s="14"/>
      <c r="CL207" s="14"/>
      <c r="CM207" s="14"/>
      <c r="CN207" s="14"/>
      <c r="CO207" s="14"/>
      <c r="CP207" s="14"/>
      <c r="CQ207" s="14"/>
      <c r="CR207" s="14"/>
      <c r="CS207" s="14"/>
      <c r="CT207" s="14"/>
      <c r="CU207" s="14"/>
      <c r="CV207" s="14"/>
      <c r="CW207" s="14"/>
      <c r="CX207" s="14"/>
      <c r="CY207" s="14"/>
      <c r="CZ207" s="14"/>
      <c r="DA207" s="14"/>
      <c r="DB207" s="14"/>
      <c r="DC207" s="14"/>
      <c r="DD207" s="14"/>
      <c r="DE207" s="14"/>
      <c r="DF207" s="14"/>
      <c r="DG207" s="14"/>
      <c r="DH207" s="14"/>
      <c r="DI207" s="14"/>
      <c r="DJ207" s="14"/>
      <c r="DK207" s="14"/>
      <c r="DL207" s="14"/>
      <c r="DM207" s="14"/>
      <c r="DN207" s="14"/>
      <c r="DO207" s="14"/>
      <c r="DP207" s="14"/>
      <c r="DQ207" s="14"/>
      <c r="DR207" s="14"/>
      <c r="DS207" s="14"/>
      <c r="DT207" s="14"/>
      <c r="DU207" s="14"/>
      <c r="DV207" s="14"/>
      <c r="DW207" s="14"/>
      <c r="DX207" s="14"/>
      <c r="DY207" s="14"/>
      <c r="DZ207" s="14"/>
      <c r="EA207" s="14"/>
      <c r="EB207" s="14"/>
      <c r="EC207" s="14"/>
      <c r="ED207" s="14"/>
      <c r="EE207" s="14"/>
      <c r="EF207" s="14"/>
      <c r="EG207" s="14"/>
      <c r="EH207" s="14"/>
      <c r="EI207" s="14"/>
      <c r="EJ207" s="14"/>
      <c r="EK207" s="14"/>
      <c r="EL207" s="14"/>
      <c r="EM207" s="14"/>
      <c r="EN207" s="14"/>
      <c r="EO207" s="14"/>
      <c r="EP207" s="14"/>
      <c r="EQ207" s="14"/>
      <c r="ER207" s="14"/>
      <c r="ES207" s="14"/>
      <c r="ET207" s="14"/>
      <c r="EU207" s="14"/>
      <c r="EV207" s="14"/>
      <c r="EW207" s="14"/>
      <c r="EX207" s="14"/>
      <c r="EY207" s="14"/>
      <c r="EZ207" s="14"/>
      <c r="FA207" s="14"/>
      <c r="FB207" s="14"/>
      <c r="FC207" s="14"/>
      <c r="FD207" s="14"/>
      <c r="FE207" s="14"/>
      <c r="FF207" s="14"/>
      <c r="FG207" s="14"/>
      <c r="FH207" s="14"/>
      <c r="FI207" s="14"/>
      <c r="FJ207" s="14"/>
      <c r="FK207" s="14"/>
      <c r="FL207" s="14"/>
      <c r="FM207" s="14"/>
      <c r="FN207" s="14"/>
      <c r="FO207" s="14"/>
      <c r="FP207" s="14"/>
      <c r="FQ207" s="14"/>
      <c r="FR207" s="14"/>
      <c r="FS207" s="14"/>
      <c r="FT207" s="14"/>
      <c r="FU207" s="14"/>
      <c r="FV207" s="14"/>
      <c r="FW207" s="14"/>
      <c r="FX207" s="14"/>
      <c r="FY207" s="14"/>
      <c r="FZ207" s="14"/>
      <c r="GA207" s="14"/>
      <c r="GB207" s="14"/>
      <c r="GC207" s="14"/>
      <c r="GD207" s="14"/>
      <c r="GE207" s="14"/>
      <c r="GF207" s="14"/>
      <c r="GG207" s="14"/>
      <c r="GH207" s="14"/>
      <c r="GI207" s="14"/>
      <c r="GJ207" s="14"/>
      <c r="GK207" s="14"/>
      <c r="GL207" s="14"/>
      <c r="GM207" s="14"/>
      <c r="GN207" s="14"/>
      <c r="GO207" s="14"/>
      <c r="GP207" s="14"/>
      <c r="GQ207" s="14"/>
      <c r="GR207" s="14"/>
      <c r="GS207" s="14"/>
      <c r="GT207" s="14"/>
      <c r="GU207" s="14"/>
      <c r="GV207" s="14"/>
      <c r="GW207" s="14"/>
      <c r="GX207" s="14"/>
      <c r="GY207" s="14"/>
      <c r="GZ207" s="14"/>
      <c r="HA207" s="14"/>
      <c r="HB207" s="14"/>
      <c r="HC207" s="14"/>
      <c r="HD207" s="14"/>
      <c r="HE207" s="14"/>
      <c r="HF207" s="14"/>
      <c r="HG207" s="14"/>
      <c r="HH207" s="14"/>
      <c r="HI207" s="14"/>
      <c r="HJ207" s="14"/>
      <c r="HK207" s="14"/>
      <c r="HL207" s="14"/>
      <c r="HM207" s="14"/>
      <c r="HN207" s="14"/>
      <c r="HO207" s="14"/>
      <c r="HP207" s="14"/>
      <c r="HQ207" s="14"/>
      <c r="HR207" s="14"/>
      <c r="HS207" s="14"/>
      <c r="HT207" s="14"/>
    </row>
    <row r="208" spans="1:228" ht="18" customHeight="1" x14ac:dyDescent="0.2">
      <c r="A208" s="189"/>
      <c r="B208" s="1362" t="s">
        <v>1623</v>
      </c>
      <c r="C208" s="1363"/>
      <c r="D208" s="1363"/>
      <c r="E208" s="1364"/>
      <c r="F208" s="1714"/>
      <c r="G208" s="1649"/>
      <c r="H208" s="1410" t="s">
        <v>1624</v>
      </c>
      <c r="I208" s="1410"/>
      <c r="J208" s="1410"/>
      <c r="K208" s="1410"/>
      <c r="L208" s="1410"/>
      <c r="M208" s="1410"/>
      <c r="N208" s="1410"/>
      <c r="O208" s="1410"/>
      <c r="P208" s="26">
        <f>IF($P$207&gt;0,0,IF(S208=1,0.1,0))</f>
        <v>0</v>
      </c>
      <c r="R208" s="686" t="b">
        <v>0</v>
      </c>
      <c r="S208" s="736">
        <f>IF(R208=TRUE,1,0)</f>
        <v>0</v>
      </c>
      <c r="T208" s="18"/>
      <c r="U208" s="18"/>
      <c r="V208" s="18"/>
      <c r="W208" s="18">
        <v>1E-4</v>
      </c>
      <c r="X208" s="18"/>
      <c r="Y208" s="165"/>
      <c r="Z208" s="1569"/>
      <c r="AA208" s="1569"/>
      <c r="AB208" s="1569"/>
      <c r="AC208" s="18"/>
      <c r="AD208" s="18"/>
      <c r="AE208" s="18"/>
      <c r="AF208" s="18"/>
      <c r="AG208" s="18"/>
      <c r="AH208" s="18"/>
      <c r="AI208" s="111"/>
      <c r="AJ208" s="1569"/>
      <c r="AK208" s="1569"/>
      <c r="AL208" s="1569"/>
      <c r="AM208" s="1569"/>
      <c r="AN208" s="1569"/>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4"/>
      <c r="BR208" s="14"/>
      <c r="BS208" s="14"/>
      <c r="BT208" s="14"/>
      <c r="BU208" s="14"/>
      <c r="BV208" s="14"/>
      <c r="BW208" s="14"/>
      <c r="BX208" s="14"/>
      <c r="BY208" s="14"/>
      <c r="BZ208" s="14"/>
      <c r="CA208" s="14"/>
      <c r="CB208" s="14"/>
      <c r="CC208" s="14"/>
      <c r="CD208" s="14"/>
      <c r="CE208" s="14"/>
      <c r="CF208" s="14"/>
      <c r="CG208" s="14"/>
      <c r="CH208" s="14"/>
      <c r="CI208" s="14"/>
      <c r="CJ208" s="14"/>
      <c r="CK208" s="14"/>
      <c r="CL208" s="14"/>
      <c r="CM208" s="14"/>
      <c r="CN208" s="14"/>
      <c r="CO208" s="14"/>
      <c r="CP208" s="14"/>
      <c r="CQ208" s="14"/>
      <c r="CR208" s="14"/>
      <c r="CS208" s="14"/>
      <c r="CT208" s="14"/>
      <c r="CU208" s="14"/>
      <c r="CV208" s="14"/>
      <c r="CW208" s="14"/>
      <c r="CX208" s="14"/>
      <c r="CY208" s="14"/>
      <c r="CZ208" s="14"/>
      <c r="DA208" s="14"/>
      <c r="DB208" s="14"/>
      <c r="DC208" s="14"/>
      <c r="DD208" s="14"/>
      <c r="DE208" s="14"/>
      <c r="DF208" s="14"/>
      <c r="DG208" s="14"/>
      <c r="DH208" s="14"/>
      <c r="DI208" s="14"/>
      <c r="DJ208" s="14"/>
      <c r="DK208" s="14"/>
      <c r="DL208" s="14"/>
      <c r="DM208" s="14"/>
      <c r="DN208" s="14"/>
      <c r="DO208" s="14"/>
      <c r="DP208" s="14"/>
      <c r="DQ208" s="14"/>
      <c r="DR208" s="14"/>
      <c r="DS208" s="14"/>
      <c r="DT208" s="14"/>
      <c r="DU208" s="14"/>
      <c r="DV208" s="14"/>
      <c r="DW208" s="14"/>
      <c r="DX208" s="14"/>
      <c r="DY208" s="14"/>
      <c r="DZ208" s="14"/>
      <c r="EA208" s="14"/>
      <c r="EB208" s="14"/>
      <c r="EC208" s="14"/>
      <c r="ED208" s="14"/>
      <c r="EE208" s="14"/>
      <c r="EF208" s="14"/>
      <c r="EG208" s="14"/>
      <c r="EH208" s="14"/>
      <c r="EI208" s="14"/>
      <c r="EJ208" s="14"/>
      <c r="EK208" s="14"/>
      <c r="EL208" s="14"/>
      <c r="EM208" s="14"/>
      <c r="EN208" s="14"/>
      <c r="EO208" s="14"/>
      <c r="EP208" s="14"/>
      <c r="EQ208" s="14"/>
      <c r="ER208" s="14"/>
      <c r="ES208" s="14"/>
      <c r="ET208" s="14"/>
      <c r="EU208" s="14"/>
      <c r="EV208" s="14"/>
      <c r="EW208" s="14"/>
      <c r="EX208" s="14"/>
      <c r="EY208" s="14"/>
      <c r="EZ208" s="14"/>
      <c r="FA208" s="14"/>
      <c r="FB208" s="14"/>
      <c r="FC208" s="14"/>
      <c r="FD208" s="14"/>
      <c r="FE208" s="14"/>
      <c r="FF208" s="14"/>
      <c r="FG208" s="14"/>
      <c r="FH208" s="14"/>
      <c r="FI208" s="14"/>
      <c r="FJ208" s="14"/>
      <c r="FK208" s="14"/>
      <c r="FL208" s="14"/>
      <c r="FM208" s="14"/>
      <c r="FN208" s="14"/>
      <c r="FO208" s="14"/>
      <c r="FP208" s="14"/>
      <c r="FQ208" s="14"/>
      <c r="FR208" s="14"/>
      <c r="FS208" s="14"/>
      <c r="FT208" s="14"/>
      <c r="FU208" s="14"/>
      <c r="FV208" s="14"/>
      <c r="FW208" s="14"/>
      <c r="FX208" s="14"/>
      <c r="FY208" s="14"/>
      <c r="FZ208" s="14"/>
      <c r="GA208" s="14"/>
      <c r="GB208" s="14"/>
      <c r="GC208" s="14"/>
      <c r="GD208" s="14"/>
      <c r="GE208" s="14"/>
      <c r="GF208" s="14"/>
      <c r="GG208" s="14"/>
      <c r="GH208" s="14"/>
      <c r="GI208" s="14"/>
      <c r="GJ208" s="14"/>
      <c r="GK208" s="14"/>
      <c r="GL208" s="14"/>
      <c r="GM208" s="14"/>
      <c r="GN208" s="14"/>
      <c r="GO208" s="14"/>
      <c r="GP208" s="14"/>
      <c r="GQ208" s="14"/>
      <c r="GR208" s="14"/>
      <c r="GS208" s="14"/>
      <c r="GT208" s="14"/>
      <c r="GU208" s="14"/>
      <c r="GV208" s="14"/>
      <c r="GW208" s="14"/>
      <c r="GX208" s="14"/>
      <c r="GY208" s="14"/>
      <c r="GZ208" s="14"/>
      <c r="HA208" s="14"/>
      <c r="HB208" s="14"/>
      <c r="HC208" s="14"/>
      <c r="HD208" s="14"/>
      <c r="HE208" s="14"/>
      <c r="HF208" s="14"/>
      <c r="HG208" s="14"/>
      <c r="HH208" s="14"/>
      <c r="HI208" s="14"/>
      <c r="HJ208" s="14"/>
      <c r="HK208" s="14"/>
      <c r="HL208" s="14"/>
      <c r="HM208" s="14"/>
      <c r="HN208" s="14"/>
      <c r="HO208" s="14"/>
      <c r="HP208" s="14"/>
      <c r="HQ208" s="14"/>
      <c r="HR208" s="14"/>
      <c r="HS208" s="14"/>
      <c r="HT208" s="14"/>
    </row>
    <row r="209" spans="1:228" ht="18" customHeight="1" x14ac:dyDescent="0.2">
      <c r="B209" s="1929" t="str">
        <f>IF(AND(P207=0.5,T211=1),"ERROR: Foot loss has occurred at the mid-metatarsal area and awarded a value of 50%; no additional value can be awarded for the metatarsals; uncheck boxes at right.",IF(AND(P207&gt;0,T211=1),"ERROR: Foot/lower leg loss is proximal to the metatarsals; uncheck boxes at right.",""))</f>
        <v/>
      </c>
      <c r="C209" s="1930"/>
      <c r="D209" s="1930"/>
      <c r="E209" s="1931"/>
      <c r="F209" s="1714"/>
      <c r="G209" s="1649"/>
      <c r="H209" s="1410" t="s">
        <v>351</v>
      </c>
      <c r="I209" s="1410"/>
      <c r="J209" s="1410"/>
      <c r="K209" s="1410"/>
      <c r="L209" s="1410"/>
      <c r="M209" s="1410"/>
      <c r="N209" s="1410"/>
      <c r="O209" s="1410"/>
      <c r="P209" s="26">
        <f>IF($P$207&gt;0,0,IF(S209=1,0.1,0))</f>
        <v>0</v>
      </c>
      <c r="R209" s="686" t="b">
        <v>0</v>
      </c>
      <c r="S209" s="736">
        <f>IF(R209=TRUE,1,0)</f>
        <v>0</v>
      </c>
      <c r="T209" s="937" t="s">
        <v>352</v>
      </c>
      <c r="U209" s="18"/>
      <c r="V209" s="18"/>
      <c r="W209" s="18"/>
      <c r="X209" s="18"/>
      <c r="Y209" s="165"/>
      <c r="Z209" s="18"/>
      <c r="AA209" s="18"/>
      <c r="AB209" s="18"/>
      <c r="AC209" s="18"/>
      <c r="AD209" s="18"/>
      <c r="AE209" s="18"/>
      <c r="AF209" s="18"/>
      <c r="AG209" s="18"/>
      <c r="AH209" s="18"/>
      <c r="AI209" s="111"/>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4"/>
      <c r="BR209" s="14"/>
      <c r="BS209" s="14"/>
      <c r="BT209" s="14"/>
      <c r="BU209" s="14"/>
      <c r="BV209" s="14"/>
      <c r="BW209" s="14"/>
      <c r="BX209" s="14"/>
      <c r="BY209" s="14"/>
      <c r="BZ209" s="14"/>
      <c r="CA209" s="14"/>
      <c r="CB209" s="14"/>
      <c r="CC209" s="14"/>
      <c r="CD209" s="14"/>
      <c r="CE209" s="14"/>
      <c r="CF209" s="14"/>
      <c r="CG209" s="14"/>
      <c r="CH209" s="14"/>
      <c r="CI209" s="14"/>
      <c r="CJ209" s="14"/>
      <c r="CK209" s="14"/>
      <c r="CL209" s="14"/>
      <c r="CM209" s="14"/>
      <c r="CN209" s="14"/>
      <c r="CO209" s="14"/>
      <c r="CP209" s="14"/>
      <c r="CQ209" s="14"/>
      <c r="CR209" s="14"/>
      <c r="CS209" s="14"/>
      <c r="CT209" s="14"/>
      <c r="CU209" s="14"/>
      <c r="CV209" s="14"/>
      <c r="CW209" s="14"/>
      <c r="CX209" s="14"/>
      <c r="CY209" s="14"/>
      <c r="CZ209" s="14"/>
      <c r="DA209" s="14"/>
      <c r="DB209" s="14"/>
      <c r="DC209" s="14"/>
      <c r="DD209" s="14"/>
      <c r="DE209" s="14"/>
      <c r="DF209" s="14"/>
      <c r="DG209" s="14"/>
      <c r="DH209" s="14"/>
      <c r="DI209" s="14"/>
      <c r="DJ209" s="14"/>
      <c r="DK209" s="14"/>
      <c r="DL209" s="14"/>
      <c r="DM209" s="14"/>
      <c r="DN209" s="14"/>
      <c r="DO209" s="14"/>
      <c r="DP209" s="14"/>
      <c r="DQ209" s="14"/>
      <c r="DR209" s="14"/>
      <c r="DS209" s="14"/>
      <c r="DT209" s="14"/>
      <c r="DU209" s="14"/>
      <c r="DV209" s="14"/>
      <c r="DW209" s="14"/>
      <c r="DX209" s="14"/>
      <c r="DY209" s="14"/>
      <c r="DZ209" s="14"/>
      <c r="EA209" s="14"/>
      <c r="EB209" s="14"/>
      <c r="EC209" s="14"/>
      <c r="ED209" s="14"/>
      <c r="EE209" s="14"/>
      <c r="EF209" s="14"/>
      <c r="EG209" s="14"/>
      <c r="EH209" s="14"/>
      <c r="EI209" s="14"/>
      <c r="EJ209" s="14"/>
      <c r="EK209" s="14"/>
      <c r="EL209" s="14"/>
      <c r="EM209" s="14"/>
      <c r="EN209" s="14"/>
      <c r="EO209" s="14"/>
      <c r="EP209" s="14"/>
      <c r="EQ209" s="14"/>
      <c r="ER209" s="14"/>
      <c r="ES209" s="14"/>
      <c r="ET209" s="14"/>
      <c r="EU209" s="14"/>
      <c r="EV209" s="14"/>
      <c r="EW209" s="14"/>
      <c r="EX209" s="14"/>
      <c r="EY209" s="14"/>
      <c r="EZ209" s="14"/>
      <c r="FA209" s="14"/>
      <c r="FB209" s="14"/>
      <c r="FC209" s="14"/>
      <c r="FD209" s="14"/>
      <c r="FE209" s="14"/>
      <c r="FF209" s="14"/>
      <c r="FG209" s="14"/>
      <c r="FH209" s="14"/>
      <c r="FI209" s="14"/>
      <c r="FJ209" s="14"/>
      <c r="FK209" s="14"/>
      <c r="FL209" s="14"/>
      <c r="FM209" s="14"/>
      <c r="FN209" s="14"/>
      <c r="FO209" s="14"/>
      <c r="FP209" s="14"/>
      <c r="FQ209" s="14"/>
      <c r="FR209" s="14"/>
      <c r="FS209" s="14"/>
      <c r="FT209" s="14"/>
      <c r="FU209" s="14"/>
      <c r="FV209" s="14"/>
      <c r="FW209" s="14"/>
      <c r="FX209" s="14"/>
      <c r="FY209" s="14"/>
      <c r="FZ209" s="14"/>
      <c r="GA209" s="14"/>
      <c r="GB209" s="14"/>
      <c r="GC209" s="14"/>
      <c r="GD209" s="14"/>
      <c r="GE209" s="14"/>
      <c r="GF209" s="14"/>
      <c r="GG209" s="14"/>
      <c r="GH209" s="14"/>
      <c r="GI209" s="14"/>
      <c r="GJ209" s="14"/>
      <c r="GK209" s="14"/>
      <c r="GL209" s="14"/>
      <c r="GM209" s="14"/>
      <c r="GN209" s="14"/>
      <c r="GO209" s="14"/>
      <c r="GP209" s="14"/>
      <c r="GQ209" s="14"/>
      <c r="GR209" s="14"/>
      <c r="GS209" s="14"/>
      <c r="GT209" s="14"/>
      <c r="GU209" s="14"/>
      <c r="GV209" s="14"/>
      <c r="GW209" s="14"/>
      <c r="GX209" s="14"/>
      <c r="GY209" s="14"/>
      <c r="GZ209" s="14"/>
      <c r="HA209" s="14"/>
      <c r="HB209" s="14"/>
      <c r="HC209" s="14"/>
      <c r="HD209" s="14"/>
      <c r="HE209" s="14"/>
      <c r="HF209" s="14"/>
      <c r="HG209" s="14"/>
      <c r="HH209" s="14"/>
      <c r="HI209" s="14"/>
      <c r="HJ209" s="14"/>
      <c r="HK209" s="14"/>
      <c r="HL209" s="14"/>
      <c r="HM209" s="14"/>
      <c r="HN209" s="14"/>
      <c r="HO209" s="14"/>
      <c r="HP209" s="14"/>
      <c r="HQ209" s="14"/>
      <c r="HR209" s="14"/>
      <c r="HS209" s="14"/>
      <c r="HT209" s="14"/>
    </row>
    <row r="210" spans="1:228" ht="18" customHeight="1" x14ac:dyDescent="0.2">
      <c r="B210" s="1929"/>
      <c r="C210" s="1930"/>
      <c r="D210" s="1930"/>
      <c r="E210" s="1931"/>
      <c r="F210" s="1714"/>
      <c r="G210" s="1649"/>
      <c r="H210" s="1410" t="s">
        <v>105</v>
      </c>
      <c r="I210" s="1410"/>
      <c r="J210" s="1410"/>
      <c r="K210" s="1410"/>
      <c r="L210" s="1410"/>
      <c r="M210" s="1410"/>
      <c r="N210" s="1410"/>
      <c r="O210" s="1410"/>
      <c r="P210" s="26">
        <f>IF($P$207&gt;0,0,IF(S210=1,0.1,0))</f>
        <v>0</v>
      </c>
      <c r="R210" s="686" t="b">
        <v>0</v>
      </c>
      <c r="S210" s="736">
        <f>IF(R210=TRUE,1,0)</f>
        <v>0</v>
      </c>
      <c r="T210" s="937" t="s">
        <v>1069</v>
      </c>
      <c r="U210" s="18"/>
      <c r="V210" s="18"/>
      <c r="W210" s="18"/>
      <c r="X210" s="18"/>
      <c r="Y210" s="165"/>
      <c r="Z210" s="18"/>
      <c r="AA210" s="18"/>
      <c r="AB210" s="18"/>
      <c r="AC210" s="18"/>
      <c r="AD210" s="18"/>
      <c r="AE210" s="18"/>
      <c r="AF210" s="18"/>
      <c r="AG210" s="18"/>
      <c r="AH210" s="18"/>
      <c r="AI210" s="111"/>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4"/>
      <c r="BR210" s="14"/>
      <c r="BS210" s="14"/>
      <c r="BT210" s="14"/>
      <c r="BU210" s="14"/>
      <c r="BV210" s="14"/>
      <c r="BW210" s="14"/>
      <c r="BX210" s="14"/>
      <c r="BY210" s="14"/>
      <c r="BZ210" s="14"/>
      <c r="CA210" s="14"/>
      <c r="CB210" s="14"/>
      <c r="CC210" s="14"/>
      <c r="CD210" s="14"/>
      <c r="CE210" s="14"/>
      <c r="CF210" s="14"/>
      <c r="CG210" s="14"/>
      <c r="CH210" s="14"/>
      <c r="CI210" s="14"/>
      <c r="CJ210" s="14"/>
      <c r="CK210" s="14"/>
      <c r="CL210" s="14"/>
      <c r="CM210" s="14"/>
      <c r="CN210" s="14"/>
      <c r="CO210" s="14"/>
      <c r="CP210" s="14"/>
      <c r="CQ210" s="14"/>
      <c r="CR210" s="14"/>
      <c r="CS210" s="14"/>
      <c r="CT210" s="14"/>
      <c r="CU210" s="14"/>
      <c r="CV210" s="14"/>
      <c r="CW210" s="14"/>
      <c r="CX210" s="14"/>
      <c r="CY210" s="14"/>
      <c r="CZ210" s="14"/>
      <c r="DA210" s="14"/>
      <c r="DB210" s="14"/>
      <c r="DC210" s="14"/>
      <c r="DD210" s="14"/>
      <c r="DE210" s="14"/>
      <c r="DF210" s="14"/>
      <c r="DG210" s="14"/>
      <c r="DH210" s="14"/>
      <c r="DI210" s="14"/>
      <c r="DJ210" s="14"/>
      <c r="DK210" s="14"/>
      <c r="DL210" s="14"/>
      <c r="DM210" s="14"/>
      <c r="DN210" s="14"/>
      <c r="DO210" s="14"/>
      <c r="DP210" s="14"/>
      <c r="DQ210" s="14"/>
      <c r="DR210" s="14"/>
      <c r="DS210" s="14"/>
      <c r="DT210" s="14"/>
      <c r="DU210" s="14"/>
      <c r="DV210" s="14"/>
      <c r="DW210" s="14"/>
      <c r="DX210" s="14"/>
      <c r="DY210" s="14"/>
      <c r="DZ210" s="14"/>
      <c r="EA210" s="14"/>
      <c r="EB210" s="14"/>
      <c r="EC210" s="14"/>
      <c r="ED210" s="14"/>
      <c r="EE210" s="14"/>
      <c r="EF210" s="14"/>
      <c r="EG210" s="14"/>
      <c r="EH210" s="14"/>
      <c r="EI210" s="14"/>
      <c r="EJ210" s="14"/>
      <c r="EK210" s="14"/>
      <c r="EL210" s="14"/>
      <c r="EM210" s="14"/>
      <c r="EN210" s="14"/>
      <c r="EO210" s="14"/>
      <c r="EP210" s="14"/>
      <c r="EQ210" s="14"/>
      <c r="ER210" s="14"/>
      <c r="ES210" s="14"/>
      <c r="ET210" s="14"/>
      <c r="EU210" s="14"/>
      <c r="EV210" s="14"/>
      <c r="EW210" s="14"/>
      <c r="EX210" s="14"/>
      <c r="EY210" s="14"/>
      <c r="EZ210" s="14"/>
      <c r="FA210" s="14"/>
      <c r="FB210" s="14"/>
      <c r="FC210" s="14"/>
      <c r="FD210" s="14"/>
      <c r="FE210" s="14"/>
      <c r="FF210" s="14"/>
      <c r="FG210" s="14"/>
      <c r="FH210" s="14"/>
      <c r="FI210" s="14"/>
      <c r="FJ210" s="14"/>
      <c r="FK210" s="14"/>
      <c r="FL210" s="14"/>
      <c r="FM210" s="14"/>
      <c r="FN210" s="14"/>
      <c r="FO210" s="14"/>
      <c r="FP210" s="14"/>
      <c r="FQ210" s="14"/>
      <c r="FR210" s="14"/>
      <c r="FS210" s="14"/>
      <c r="FT210" s="14"/>
      <c r="FU210" s="14"/>
      <c r="FV210" s="14"/>
      <c r="FW210" s="14"/>
      <c r="FX210" s="14"/>
      <c r="FY210" s="14"/>
      <c r="FZ210" s="14"/>
      <c r="GA210" s="14"/>
      <c r="GB210" s="14"/>
      <c r="GC210" s="14"/>
      <c r="GD210" s="14"/>
      <c r="GE210" s="14"/>
      <c r="GF210" s="14"/>
      <c r="GG210" s="14"/>
      <c r="GH210" s="14"/>
      <c r="GI210" s="14"/>
      <c r="GJ210" s="14"/>
      <c r="GK210" s="14"/>
      <c r="GL210" s="14"/>
      <c r="GM210" s="14"/>
      <c r="GN210" s="14"/>
      <c r="GO210" s="14"/>
      <c r="GP210" s="14"/>
      <c r="GQ210" s="14"/>
      <c r="GR210" s="14"/>
      <c r="GS210" s="14"/>
      <c r="GT210" s="14"/>
      <c r="GU210" s="14"/>
      <c r="GV210" s="14"/>
      <c r="GW210" s="14"/>
      <c r="GX210" s="14"/>
      <c r="GY210" s="14"/>
      <c r="GZ210" s="14"/>
      <c r="HA210" s="14"/>
      <c r="HB210" s="14"/>
      <c r="HC210" s="14"/>
      <c r="HD210" s="14"/>
      <c r="HE210" s="14"/>
      <c r="HF210" s="14"/>
      <c r="HG210" s="14"/>
      <c r="HH210" s="14"/>
      <c r="HI210" s="14"/>
      <c r="HJ210" s="14"/>
      <c r="HK210" s="14"/>
      <c r="HL210" s="14"/>
      <c r="HM210" s="14"/>
      <c r="HN210" s="14"/>
      <c r="HO210" s="14"/>
      <c r="HP210" s="14"/>
      <c r="HQ210" s="14"/>
      <c r="HR210" s="14"/>
      <c r="HS210" s="14"/>
      <c r="HT210" s="14"/>
    </row>
    <row r="211" spans="1:228" ht="18" customHeight="1" x14ac:dyDescent="0.2">
      <c r="B211" s="1929"/>
      <c r="C211" s="1930"/>
      <c r="D211" s="1930"/>
      <c r="E211" s="1931"/>
      <c r="F211" s="1714"/>
      <c r="G211" s="1649"/>
      <c r="H211" s="1410" t="s">
        <v>1266</v>
      </c>
      <c r="I211" s="1410"/>
      <c r="J211" s="1410"/>
      <c r="K211" s="1410"/>
      <c r="L211" s="1410"/>
      <c r="M211" s="1410"/>
      <c r="N211" s="1410"/>
      <c r="O211" s="1410"/>
      <c r="P211" s="26">
        <f>IF($P$207&gt;0,0,IF(S211=1,0.1,0))</f>
        <v>0</v>
      </c>
      <c r="R211" s="686" t="b">
        <v>0</v>
      </c>
      <c r="S211" s="736">
        <f>IF(R211=TRUE,1,0)</f>
        <v>0</v>
      </c>
      <c r="T211" s="937">
        <f>IF(OR(S208=1,S209=1,S210=1,S211=1,S212=1),1,0)</f>
        <v>0</v>
      </c>
      <c r="U211" s="18"/>
      <c r="V211" s="18"/>
      <c r="W211" s="18"/>
      <c r="X211" s="18"/>
      <c r="Y211" s="165"/>
      <c r="Z211" s="18"/>
      <c r="AA211" s="18"/>
      <c r="AB211" s="18"/>
      <c r="AC211" s="18"/>
      <c r="AD211" s="18"/>
      <c r="AE211" s="18"/>
      <c r="AF211" s="18"/>
      <c r="AG211" s="18"/>
      <c r="AH211" s="18"/>
      <c r="AI211" s="111"/>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4"/>
      <c r="BR211" s="14"/>
      <c r="BS211" s="14"/>
      <c r="BT211" s="14"/>
      <c r="BU211" s="14"/>
      <c r="BV211" s="14"/>
      <c r="BW211" s="14"/>
      <c r="BX211" s="14"/>
      <c r="BY211" s="14"/>
      <c r="BZ211" s="14"/>
      <c r="CA211" s="14"/>
      <c r="CB211" s="14"/>
      <c r="CC211" s="14"/>
      <c r="CD211" s="14"/>
      <c r="CE211" s="14"/>
      <c r="CF211" s="14"/>
      <c r="CG211" s="14"/>
      <c r="CH211" s="14"/>
      <c r="CI211" s="14"/>
      <c r="CJ211" s="14"/>
      <c r="CK211" s="14"/>
      <c r="CL211" s="14"/>
      <c r="CM211" s="14"/>
      <c r="CN211" s="14"/>
      <c r="CO211" s="14"/>
      <c r="CP211" s="14"/>
      <c r="CQ211" s="14"/>
      <c r="CR211" s="14"/>
      <c r="CS211" s="14"/>
      <c r="CT211" s="14"/>
      <c r="CU211" s="14"/>
      <c r="CV211" s="14"/>
      <c r="CW211" s="14"/>
      <c r="CX211" s="14"/>
      <c r="CY211" s="14"/>
      <c r="CZ211" s="14"/>
      <c r="DA211" s="14"/>
      <c r="DB211" s="14"/>
      <c r="DC211" s="14"/>
      <c r="DD211" s="14"/>
      <c r="DE211" s="14"/>
      <c r="DF211" s="14"/>
      <c r="DG211" s="14"/>
      <c r="DH211" s="14"/>
      <c r="DI211" s="14"/>
      <c r="DJ211" s="14"/>
      <c r="DK211" s="14"/>
      <c r="DL211" s="14"/>
      <c r="DM211" s="14"/>
      <c r="DN211" s="14"/>
      <c r="DO211" s="14"/>
      <c r="DP211" s="14"/>
      <c r="DQ211" s="14"/>
      <c r="DR211" s="14"/>
      <c r="DS211" s="14"/>
      <c r="DT211" s="14"/>
      <c r="DU211" s="14"/>
      <c r="DV211" s="14"/>
      <c r="DW211" s="14"/>
      <c r="DX211" s="14"/>
      <c r="DY211" s="14"/>
      <c r="DZ211" s="14"/>
      <c r="EA211" s="14"/>
      <c r="EB211" s="14"/>
      <c r="EC211" s="14"/>
      <c r="ED211" s="14"/>
      <c r="EE211" s="14"/>
      <c r="EF211" s="14"/>
      <c r="EG211" s="14"/>
      <c r="EH211" s="14"/>
      <c r="EI211" s="14"/>
      <c r="EJ211" s="14"/>
      <c r="EK211" s="14"/>
      <c r="EL211" s="14"/>
      <c r="EM211" s="14"/>
      <c r="EN211" s="14"/>
      <c r="EO211" s="14"/>
      <c r="EP211" s="14"/>
      <c r="EQ211" s="14"/>
      <c r="ER211" s="14"/>
      <c r="ES211" s="14"/>
      <c r="ET211" s="14"/>
      <c r="EU211" s="14"/>
      <c r="EV211" s="14"/>
      <c r="EW211" s="14"/>
      <c r="EX211" s="14"/>
      <c r="EY211" s="14"/>
      <c r="EZ211" s="14"/>
      <c r="FA211" s="14"/>
      <c r="FB211" s="14"/>
      <c r="FC211" s="14"/>
      <c r="FD211" s="14"/>
      <c r="FE211" s="14"/>
      <c r="FF211" s="14"/>
      <c r="FG211" s="14"/>
      <c r="FH211" s="14"/>
      <c r="FI211" s="14"/>
      <c r="FJ211" s="14"/>
      <c r="FK211" s="14"/>
      <c r="FL211" s="14"/>
      <c r="FM211" s="14"/>
      <c r="FN211" s="14"/>
      <c r="FO211" s="14"/>
      <c r="FP211" s="14"/>
      <c r="FQ211" s="14"/>
      <c r="FR211" s="14"/>
      <c r="FS211" s="14"/>
      <c r="FT211" s="14"/>
      <c r="FU211" s="14"/>
      <c r="FV211" s="14"/>
      <c r="FW211" s="14"/>
      <c r="FX211" s="14"/>
      <c r="FY211" s="14"/>
      <c r="FZ211" s="14"/>
      <c r="GA211" s="14"/>
      <c r="GB211" s="14"/>
      <c r="GC211" s="14"/>
      <c r="GD211" s="14"/>
      <c r="GE211" s="14"/>
      <c r="GF211" s="14"/>
      <c r="GG211" s="14"/>
      <c r="GH211" s="14"/>
      <c r="GI211" s="14"/>
      <c r="GJ211" s="14"/>
      <c r="GK211" s="14"/>
      <c r="GL211" s="14"/>
      <c r="GM211" s="14"/>
      <c r="GN211" s="14"/>
      <c r="GO211" s="14"/>
      <c r="GP211" s="14"/>
      <c r="GQ211" s="14"/>
      <c r="GR211" s="14"/>
      <c r="GS211" s="14"/>
      <c r="GT211" s="14"/>
      <c r="GU211" s="14"/>
      <c r="GV211" s="14"/>
      <c r="GW211" s="14"/>
      <c r="GX211" s="14"/>
      <c r="GY211" s="14"/>
      <c r="GZ211" s="14"/>
      <c r="HA211" s="14"/>
      <c r="HB211" s="14"/>
      <c r="HC211" s="14"/>
      <c r="HD211" s="14"/>
      <c r="HE211" s="14"/>
      <c r="HF211" s="14"/>
      <c r="HG211" s="14"/>
      <c r="HH211" s="14"/>
      <c r="HI211" s="14"/>
      <c r="HJ211" s="14"/>
      <c r="HK211" s="14"/>
      <c r="HL211" s="14"/>
      <c r="HM211" s="14"/>
      <c r="HN211" s="14"/>
      <c r="HO211" s="14"/>
      <c r="HP211" s="14"/>
      <c r="HQ211" s="14"/>
      <c r="HR211" s="14"/>
      <c r="HS211" s="14"/>
      <c r="HT211" s="14"/>
    </row>
    <row r="212" spans="1:228" ht="18" customHeight="1" x14ac:dyDescent="0.2">
      <c r="B212" s="1932"/>
      <c r="C212" s="1933"/>
      <c r="D212" s="1933"/>
      <c r="E212" s="1934"/>
      <c r="F212" s="1650"/>
      <c r="G212" s="1651"/>
      <c r="H212" s="1410" t="s">
        <v>665</v>
      </c>
      <c r="I212" s="1410"/>
      <c r="J212" s="1410"/>
      <c r="K212" s="1410"/>
      <c r="L212" s="1410"/>
      <c r="M212" s="1410"/>
      <c r="N212" s="1410"/>
      <c r="O212" s="1410"/>
      <c r="P212" s="356">
        <f>IF($P$207&gt;0,0,IF(S212=1,0.1,0))</f>
        <v>0</v>
      </c>
      <c r="R212" s="686" t="b">
        <v>0</v>
      </c>
      <c r="S212" s="736">
        <f>IF(R212=TRUE,1,0)</f>
        <v>0</v>
      </c>
      <c r="T212" s="18"/>
      <c r="U212" s="18"/>
      <c r="V212" s="18"/>
      <c r="W212" s="18"/>
      <c r="X212" s="18"/>
      <c r="Y212" s="165"/>
      <c r="Z212" s="18"/>
      <c r="AA212" s="18"/>
      <c r="AB212" s="18"/>
      <c r="AC212" s="18"/>
      <c r="AD212" s="18"/>
      <c r="AE212" s="18"/>
      <c r="AF212" s="18"/>
      <c r="AG212" s="18"/>
      <c r="AH212" s="18"/>
      <c r="AI212" s="111"/>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4"/>
      <c r="BR212" s="14"/>
      <c r="BS212" s="14"/>
      <c r="BT212" s="14"/>
      <c r="BU212" s="14"/>
      <c r="BV212" s="14"/>
      <c r="BW212" s="14"/>
      <c r="BX212" s="14"/>
      <c r="BY212" s="14"/>
      <c r="BZ212" s="14"/>
      <c r="CA212" s="14"/>
      <c r="CB212" s="14"/>
      <c r="CC212" s="14"/>
      <c r="CD212" s="14"/>
      <c r="CE212" s="14"/>
      <c r="CF212" s="14"/>
      <c r="CG212" s="14"/>
      <c r="CH212" s="14"/>
      <c r="CI212" s="14"/>
      <c r="CJ212" s="14"/>
      <c r="CK212" s="14"/>
      <c r="CL212" s="14"/>
      <c r="CM212" s="14"/>
      <c r="CN212" s="14"/>
      <c r="CO212" s="14"/>
      <c r="CP212" s="14"/>
      <c r="CQ212" s="14"/>
      <c r="CR212" s="14"/>
      <c r="CS212" s="14"/>
      <c r="CT212" s="14"/>
      <c r="CU212" s="14"/>
      <c r="CV212" s="14"/>
      <c r="CW212" s="14"/>
      <c r="CX212" s="14"/>
      <c r="CY212" s="14"/>
      <c r="CZ212" s="14"/>
      <c r="DA212" s="14"/>
      <c r="DB212" s="14"/>
      <c r="DC212" s="14"/>
      <c r="DD212" s="14"/>
      <c r="DE212" s="14"/>
      <c r="DF212" s="14"/>
      <c r="DG212" s="14"/>
      <c r="DH212" s="14"/>
      <c r="DI212" s="14"/>
      <c r="DJ212" s="14"/>
      <c r="DK212" s="14"/>
      <c r="DL212" s="14"/>
      <c r="DM212" s="14"/>
      <c r="DN212" s="14"/>
      <c r="DO212" s="14"/>
      <c r="DP212" s="14"/>
      <c r="DQ212" s="14"/>
      <c r="DR212" s="14"/>
      <c r="DS212" s="14"/>
      <c r="DT212" s="14"/>
      <c r="DU212" s="14"/>
      <c r="DV212" s="14"/>
      <c r="DW212" s="14"/>
      <c r="DX212" s="14"/>
      <c r="DY212" s="14"/>
      <c r="DZ212" s="14"/>
      <c r="EA212" s="14"/>
      <c r="EB212" s="14"/>
      <c r="EC212" s="14"/>
      <c r="ED212" s="14"/>
      <c r="EE212" s="14"/>
      <c r="EF212" s="14"/>
      <c r="EG212" s="14"/>
      <c r="EH212" s="14"/>
      <c r="EI212" s="14"/>
      <c r="EJ212" s="14"/>
      <c r="EK212" s="14"/>
      <c r="EL212" s="14"/>
      <c r="EM212" s="14"/>
      <c r="EN212" s="14"/>
      <c r="EO212" s="14"/>
      <c r="EP212" s="14"/>
      <c r="EQ212" s="14"/>
      <c r="ER212" s="14"/>
      <c r="ES212" s="14"/>
      <c r="ET212" s="14"/>
      <c r="EU212" s="14"/>
      <c r="EV212" s="14"/>
      <c r="EW212" s="14"/>
      <c r="EX212" s="14"/>
      <c r="EY212" s="14"/>
      <c r="EZ212" s="14"/>
      <c r="FA212" s="14"/>
      <c r="FB212" s="14"/>
      <c r="FC212" s="14"/>
      <c r="FD212" s="14"/>
      <c r="FE212" s="14"/>
      <c r="FF212" s="14"/>
      <c r="FG212" s="14"/>
      <c r="FH212" s="14"/>
      <c r="FI212" s="14"/>
      <c r="FJ212" s="14"/>
      <c r="FK212" s="14"/>
      <c r="FL212" s="14"/>
      <c r="FM212" s="14"/>
      <c r="FN212" s="14"/>
      <c r="FO212" s="14"/>
      <c r="FP212" s="14"/>
      <c r="FQ212" s="14"/>
      <c r="FR212" s="14"/>
      <c r="FS212" s="14"/>
      <c r="FT212" s="14"/>
      <c r="FU212" s="14"/>
      <c r="FV212" s="14"/>
      <c r="FW212" s="14"/>
      <c r="FX212" s="14"/>
      <c r="FY212" s="14"/>
      <c r="FZ212" s="14"/>
      <c r="GA212" s="14"/>
      <c r="GB212" s="14"/>
      <c r="GC212" s="14"/>
      <c r="GD212" s="14"/>
      <c r="GE212" s="14"/>
      <c r="GF212" s="14"/>
      <c r="GG212" s="14"/>
      <c r="GH212" s="14"/>
      <c r="GI212" s="14"/>
      <c r="GJ212" s="14"/>
      <c r="GK212" s="14"/>
      <c r="GL212" s="14"/>
      <c r="GM212" s="14"/>
      <c r="GN212" s="14"/>
      <c r="GO212" s="14"/>
      <c r="GP212" s="14"/>
      <c r="GQ212" s="14"/>
      <c r="GR212" s="14"/>
      <c r="GS212" s="14"/>
      <c r="GT212" s="14"/>
      <c r="GU212" s="14"/>
      <c r="GV212" s="14"/>
      <c r="GW212" s="14"/>
      <c r="GX212" s="14"/>
      <c r="GY212" s="14"/>
      <c r="GZ212" s="14"/>
      <c r="HA212" s="14"/>
      <c r="HB212" s="14"/>
      <c r="HC212" s="14"/>
      <c r="HD212" s="14"/>
      <c r="HE212" s="14"/>
      <c r="HF212" s="14"/>
      <c r="HG212" s="14"/>
      <c r="HH212" s="14"/>
      <c r="HI212" s="14"/>
      <c r="HJ212" s="14"/>
      <c r="HK212" s="14"/>
      <c r="HL212" s="14"/>
      <c r="HM212" s="14"/>
      <c r="HN212" s="14"/>
      <c r="HO212" s="14"/>
      <c r="HP212" s="14"/>
      <c r="HQ212" s="14"/>
      <c r="HR212" s="14"/>
      <c r="HS212" s="14"/>
      <c r="HT212" s="14"/>
    </row>
    <row r="213" spans="1:228" ht="15" customHeight="1" x14ac:dyDescent="0.25">
      <c r="B213" s="1825"/>
      <c r="C213" s="1825"/>
      <c r="D213" s="1825"/>
      <c r="E213" s="1825"/>
      <c r="F213" s="1825"/>
      <c r="G213" s="1825"/>
      <c r="H213" s="1825"/>
      <c r="I213" s="1825"/>
      <c r="J213" s="1825"/>
      <c r="K213" s="1825"/>
      <c r="L213" s="1825"/>
      <c r="M213" s="1825"/>
      <c r="N213" s="1825"/>
      <c r="O213" s="1825"/>
      <c r="R213" s="18"/>
      <c r="S213" s="19"/>
      <c r="T213" s="18"/>
      <c r="U213" s="18"/>
      <c r="V213" s="18"/>
      <c r="W213" s="18"/>
      <c r="X213" s="18"/>
      <c r="Y213" s="165"/>
      <c r="Z213" s="18"/>
      <c r="AA213" s="18"/>
      <c r="AB213" s="18"/>
      <c r="AC213" s="18"/>
      <c r="AD213" s="18"/>
      <c r="AE213" s="18"/>
      <c r="AF213" s="18"/>
      <c r="AG213" s="18"/>
      <c r="AH213" s="18"/>
      <c r="AI213" s="111"/>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4"/>
      <c r="BR213" s="14"/>
      <c r="BS213" s="14"/>
      <c r="BT213" s="14"/>
      <c r="BU213" s="14"/>
      <c r="BV213" s="14"/>
      <c r="BW213" s="14"/>
      <c r="BX213" s="14"/>
      <c r="BY213" s="14"/>
      <c r="BZ213" s="14"/>
      <c r="CA213" s="14"/>
      <c r="CB213" s="14"/>
      <c r="CC213" s="14"/>
      <c r="CD213" s="14"/>
      <c r="CE213" s="14"/>
      <c r="CF213" s="14"/>
      <c r="CG213" s="14"/>
      <c r="CH213" s="14"/>
      <c r="CI213" s="14"/>
      <c r="CJ213" s="14"/>
      <c r="CK213" s="14"/>
      <c r="CL213" s="14"/>
      <c r="CM213" s="14"/>
      <c r="CN213" s="14"/>
      <c r="CO213" s="14"/>
      <c r="CP213" s="14"/>
      <c r="CQ213" s="14"/>
      <c r="CR213" s="14"/>
      <c r="CS213" s="14"/>
      <c r="CT213" s="14"/>
      <c r="CU213" s="14"/>
      <c r="CV213" s="14"/>
      <c r="CW213" s="14"/>
      <c r="CX213" s="14"/>
      <c r="CY213" s="14"/>
      <c r="CZ213" s="14"/>
      <c r="DA213" s="14"/>
      <c r="DB213" s="14"/>
      <c r="DC213" s="14"/>
      <c r="DD213" s="14"/>
      <c r="DE213" s="14"/>
      <c r="DF213" s="14"/>
      <c r="DG213" s="14"/>
      <c r="DH213" s="14"/>
      <c r="DI213" s="14"/>
      <c r="DJ213" s="14"/>
      <c r="DK213" s="14"/>
      <c r="DL213" s="14"/>
      <c r="DM213" s="14"/>
      <c r="DN213" s="14"/>
      <c r="DO213" s="14"/>
      <c r="DP213" s="14"/>
      <c r="DQ213" s="14"/>
      <c r="DR213" s="14"/>
      <c r="DS213" s="14"/>
      <c r="DT213" s="14"/>
      <c r="DU213" s="14"/>
      <c r="DV213" s="14"/>
      <c r="DW213" s="14"/>
      <c r="DX213" s="14"/>
      <c r="DY213" s="14"/>
      <c r="DZ213" s="14"/>
      <c r="EA213" s="14"/>
      <c r="EB213" s="14"/>
      <c r="EC213" s="14"/>
      <c r="ED213" s="14"/>
      <c r="EE213" s="14"/>
      <c r="EF213" s="14"/>
      <c r="EG213" s="14"/>
      <c r="EH213" s="14"/>
      <c r="EI213" s="14"/>
      <c r="EJ213" s="14"/>
      <c r="EK213" s="14"/>
      <c r="EL213" s="14"/>
      <c r="EM213" s="14"/>
      <c r="EN213" s="14"/>
      <c r="EO213" s="14"/>
      <c r="EP213" s="14"/>
      <c r="EQ213" s="14"/>
      <c r="ER213" s="14"/>
      <c r="ES213" s="14"/>
      <c r="ET213" s="14"/>
      <c r="EU213" s="14"/>
      <c r="EV213" s="14"/>
      <c r="EW213" s="14"/>
      <c r="EX213" s="14"/>
      <c r="EY213" s="14"/>
      <c r="EZ213" s="14"/>
      <c r="FA213" s="14"/>
      <c r="FB213" s="14"/>
      <c r="FC213" s="14"/>
      <c r="FD213" s="14"/>
      <c r="FE213" s="14"/>
      <c r="FF213" s="14"/>
      <c r="FG213" s="14"/>
      <c r="FH213" s="14"/>
      <c r="FI213" s="14"/>
      <c r="FJ213" s="14"/>
      <c r="FK213" s="14"/>
      <c r="FL213" s="14"/>
      <c r="FM213" s="14"/>
      <c r="FN213" s="14"/>
      <c r="FO213" s="14"/>
      <c r="FP213" s="14"/>
      <c r="FQ213" s="14"/>
      <c r="FR213" s="14"/>
      <c r="FS213" s="14"/>
      <c r="FT213" s="14"/>
      <c r="FU213" s="14"/>
      <c r="FV213" s="14"/>
      <c r="FW213" s="14"/>
      <c r="FX213" s="14"/>
      <c r="FY213" s="14"/>
      <c r="FZ213" s="14"/>
      <c r="GA213" s="14"/>
      <c r="GB213" s="14"/>
      <c r="GC213" s="14"/>
      <c r="GD213" s="14"/>
      <c r="GE213" s="14"/>
      <c r="GF213" s="14"/>
      <c r="GG213" s="14"/>
      <c r="GH213" s="14"/>
      <c r="GI213" s="14"/>
      <c r="GJ213" s="14"/>
      <c r="GK213" s="14"/>
      <c r="GL213" s="14"/>
      <c r="GM213" s="14"/>
      <c r="GN213" s="14"/>
      <c r="GO213" s="14"/>
      <c r="GP213" s="14"/>
      <c r="GQ213" s="14"/>
      <c r="GR213" s="14"/>
      <c r="GS213" s="14"/>
      <c r="GT213" s="14"/>
      <c r="GU213" s="14"/>
      <c r="GV213" s="14"/>
      <c r="GW213" s="14"/>
      <c r="GX213" s="14"/>
      <c r="GY213" s="14"/>
      <c r="GZ213" s="14"/>
      <c r="HA213" s="14"/>
      <c r="HB213" s="14"/>
      <c r="HC213" s="14"/>
      <c r="HD213" s="14"/>
      <c r="HE213" s="14"/>
      <c r="HF213" s="14"/>
      <c r="HG213" s="14"/>
      <c r="HH213" s="14"/>
      <c r="HI213" s="14"/>
      <c r="HJ213" s="14"/>
      <c r="HK213" s="14"/>
      <c r="HL213" s="14"/>
      <c r="HM213" s="14"/>
      <c r="HN213" s="14"/>
      <c r="HO213" s="14"/>
      <c r="HP213" s="14"/>
      <c r="HQ213" s="14"/>
      <c r="HR213" s="14"/>
      <c r="HS213" s="14"/>
      <c r="HT213" s="14"/>
    </row>
    <row r="214" spans="1:228" ht="18" customHeight="1" x14ac:dyDescent="0.25">
      <c r="A214" s="8"/>
      <c r="B214" s="1549" t="s">
        <v>666</v>
      </c>
      <c r="C214" s="1550"/>
      <c r="D214" s="1550"/>
      <c r="E214" s="1550"/>
      <c r="F214" s="1550"/>
      <c r="G214" s="1550"/>
      <c r="H214" s="1550"/>
      <c r="I214" s="1550"/>
      <c r="J214" s="1550"/>
      <c r="K214" s="1550"/>
      <c r="L214" s="1550"/>
      <c r="M214" s="1550"/>
      <c r="N214" s="1550"/>
      <c r="O214" s="1550"/>
      <c r="P214" s="361"/>
      <c r="Q214" s="8"/>
      <c r="R214" s="60"/>
      <c r="S214" s="60"/>
      <c r="T214" s="60"/>
      <c r="U214" s="60"/>
      <c r="V214" s="60"/>
      <c r="W214" s="60"/>
      <c r="X214" s="60"/>
      <c r="Y214" s="60"/>
      <c r="Z214" s="60"/>
      <c r="AA214" s="60"/>
      <c r="AB214" s="60"/>
      <c r="AC214" s="60"/>
      <c r="AD214" s="60"/>
      <c r="AE214" s="60"/>
      <c r="AF214" s="60"/>
      <c r="AG214" s="60"/>
      <c r="AH214" s="60"/>
      <c r="AI214" s="60"/>
      <c r="AJ214" s="60"/>
      <c r="AK214" s="60"/>
      <c r="AL214" s="60"/>
      <c r="AM214" s="60"/>
      <c r="AN214" s="60"/>
      <c r="AO214" s="60"/>
      <c r="AP214" s="60"/>
      <c r="AQ214" s="60"/>
      <c r="AR214" s="60"/>
      <c r="AS214" s="60"/>
      <c r="AT214" s="60"/>
      <c r="AU214" s="60"/>
      <c r="AV214" s="60"/>
      <c r="AW214" s="60"/>
      <c r="AX214" s="60"/>
      <c r="AY214" s="60"/>
      <c r="AZ214" s="60"/>
      <c r="BA214" s="60"/>
      <c r="BB214" s="60"/>
      <c r="BC214" s="60"/>
      <c r="BD214" s="60"/>
      <c r="BE214" s="60"/>
      <c r="BF214" s="18"/>
      <c r="BG214" s="18"/>
      <c r="BH214" s="18"/>
      <c r="BI214" s="18"/>
      <c r="BJ214" s="18"/>
      <c r="BK214" s="18"/>
      <c r="BL214" s="18"/>
      <c r="BM214" s="18"/>
      <c r="BN214" s="18"/>
      <c r="BO214" s="18"/>
      <c r="BP214" s="18"/>
      <c r="BQ214" s="14"/>
      <c r="BR214" s="14"/>
      <c r="BS214" s="14"/>
      <c r="BT214" s="14"/>
      <c r="BU214" s="14"/>
      <c r="BV214" s="14"/>
      <c r="BW214" s="14"/>
      <c r="BX214" s="14"/>
      <c r="BY214" s="14"/>
      <c r="BZ214" s="14"/>
      <c r="CA214" s="14"/>
      <c r="CB214" s="14"/>
      <c r="CC214" s="14"/>
      <c r="CD214" s="14"/>
      <c r="CE214" s="14"/>
      <c r="CF214" s="14"/>
      <c r="CG214" s="14"/>
      <c r="CH214" s="14"/>
      <c r="CI214" s="14"/>
      <c r="CJ214" s="14"/>
      <c r="CK214" s="14"/>
      <c r="CL214" s="14"/>
      <c r="CM214" s="14"/>
      <c r="CN214" s="14"/>
      <c r="CO214" s="14"/>
      <c r="CP214" s="14"/>
      <c r="CQ214" s="14"/>
      <c r="CR214" s="14"/>
      <c r="CS214" s="14"/>
      <c r="CT214" s="14"/>
      <c r="CU214" s="14"/>
      <c r="CV214" s="14"/>
      <c r="CW214" s="14"/>
      <c r="CX214" s="14"/>
      <c r="CY214" s="14"/>
      <c r="CZ214" s="14"/>
      <c r="DA214" s="14"/>
      <c r="DB214" s="14"/>
      <c r="DC214" s="14"/>
      <c r="DD214" s="14"/>
      <c r="DE214" s="14"/>
      <c r="DF214" s="14"/>
      <c r="DG214" s="14"/>
      <c r="DH214" s="14"/>
      <c r="DI214" s="14"/>
      <c r="DJ214" s="14"/>
      <c r="DK214" s="14"/>
      <c r="DL214" s="14"/>
      <c r="DM214" s="14"/>
      <c r="DN214" s="14"/>
      <c r="DO214" s="14"/>
      <c r="DP214" s="14"/>
      <c r="DQ214" s="14"/>
      <c r="DR214" s="14"/>
      <c r="DS214" s="14"/>
      <c r="DT214" s="14"/>
      <c r="DU214" s="14"/>
      <c r="DV214" s="14"/>
      <c r="DW214" s="14"/>
      <c r="DX214" s="14"/>
      <c r="DY214" s="14"/>
      <c r="DZ214" s="14"/>
      <c r="EA214" s="14"/>
      <c r="EB214" s="14"/>
      <c r="EC214" s="14"/>
      <c r="ED214" s="14"/>
      <c r="EE214" s="14"/>
      <c r="EF214" s="14"/>
      <c r="EG214" s="14"/>
      <c r="EH214" s="14"/>
      <c r="EI214" s="14"/>
      <c r="EJ214" s="14"/>
      <c r="EK214" s="14"/>
      <c r="EL214" s="14"/>
      <c r="EM214" s="14"/>
      <c r="EN214" s="14"/>
      <c r="EO214" s="14"/>
      <c r="EP214" s="14"/>
      <c r="EQ214" s="14"/>
      <c r="ER214" s="14"/>
      <c r="ES214" s="14"/>
      <c r="ET214" s="14"/>
      <c r="EU214" s="14"/>
      <c r="EV214" s="14"/>
      <c r="EW214" s="14"/>
      <c r="EX214" s="14"/>
      <c r="EY214" s="14"/>
      <c r="EZ214" s="14"/>
      <c r="FA214" s="14"/>
      <c r="FB214" s="14"/>
      <c r="FC214" s="14"/>
      <c r="FD214" s="14"/>
      <c r="FE214" s="14"/>
      <c r="FF214" s="14"/>
      <c r="FG214" s="14"/>
      <c r="FH214" s="14"/>
      <c r="FI214" s="14"/>
      <c r="FJ214" s="14"/>
      <c r="FK214" s="14"/>
      <c r="FL214" s="14"/>
      <c r="FM214" s="14"/>
      <c r="FN214" s="14"/>
      <c r="FO214" s="14"/>
      <c r="FP214" s="14"/>
      <c r="FQ214" s="14"/>
      <c r="FR214" s="14"/>
      <c r="FS214" s="14"/>
      <c r="FT214" s="14"/>
      <c r="FU214" s="14"/>
      <c r="FV214" s="14"/>
      <c r="FW214" s="14"/>
      <c r="FX214" s="14"/>
      <c r="FY214" s="14"/>
      <c r="FZ214" s="14"/>
      <c r="GA214" s="14"/>
      <c r="GB214" s="14"/>
      <c r="GC214" s="14"/>
      <c r="GD214" s="14"/>
      <c r="GE214" s="14"/>
      <c r="GF214" s="14"/>
      <c r="GG214" s="14"/>
      <c r="GH214" s="14"/>
      <c r="GI214" s="14"/>
      <c r="GJ214" s="14"/>
      <c r="GK214" s="14"/>
      <c r="GL214" s="14"/>
      <c r="GM214" s="14"/>
      <c r="GN214" s="14"/>
      <c r="GO214" s="14"/>
      <c r="GP214" s="14"/>
      <c r="GQ214" s="14"/>
      <c r="GR214" s="14"/>
      <c r="GS214" s="14"/>
      <c r="GT214" s="14"/>
      <c r="GU214" s="14"/>
      <c r="GV214" s="14"/>
      <c r="GW214" s="14"/>
      <c r="GX214" s="14"/>
      <c r="GY214" s="14"/>
      <c r="GZ214" s="14"/>
      <c r="HA214" s="14"/>
      <c r="HB214" s="14"/>
      <c r="HC214" s="14"/>
      <c r="HD214" s="14"/>
      <c r="HE214" s="14"/>
      <c r="HF214" s="14"/>
      <c r="HG214" s="14"/>
      <c r="HH214" s="14"/>
      <c r="HI214" s="14"/>
      <c r="HJ214" s="14"/>
      <c r="HK214" s="14"/>
      <c r="HL214" s="14"/>
      <c r="HM214" s="14"/>
      <c r="HN214" s="14"/>
      <c r="HO214" s="14"/>
      <c r="HP214" s="14"/>
      <c r="HQ214" s="14"/>
      <c r="HR214" s="14"/>
      <c r="HS214" s="14"/>
      <c r="HT214" s="14"/>
    </row>
    <row r="215" spans="1:228" ht="18" customHeight="1" x14ac:dyDescent="0.2">
      <c r="A215" s="189"/>
      <c r="B215" s="1926" t="str">
        <f>IF(AND(P207&gt;0.5,T218=1),"ERROR: Foot/lower leg loss has occurred at or proximal to the tarsometatarsal joints; uncheck boxes at right.","")</f>
        <v/>
      </c>
      <c r="C215" s="1927"/>
      <c r="D215" s="1927"/>
      <c r="E215" s="1928"/>
      <c r="F215" s="1714"/>
      <c r="G215" s="1935"/>
      <c r="H215" s="1410" t="s">
        <v>667</v>
      </c>
      <c r="I215" s="1410"/>
      <c r="J215" s="1410"/>
      <c r="K215" s="1410"/>
      <c r="L215" s="1410"/>
      <c r="M215" s="1410"/>
      <c r="N215" s="1410"/>
      <c r="O215" s="1410"/>
      <c r="P215" s="26">
        <f>IF($P$207&gt;0.5,0,IF(S215=1,0.1,0))</f>
        <v>0</v>
      </c>
      <c r="R215" s="686" t="b">
        <v>0</v>
      </c>
      <c r="S215" s="736">
        <f>IF(R215=TRUE,1,0)</f>
        <v>0</v>
      </c>
      <c r="T215" s="18"/>
      <c r="U215" s="18"/>
      <c r="V215" s="18"/>
      <c r="W215" s="18">
        <v>1E-4</v>
      </c>
      <c r="X215" s="18"/>
      <c r="Y215" s="165"/>
      <c r="Z215" s="1569"/>
      <c r="AA215" s="1569"/>
      <c r="AB215" s="1569"/>
      <c r="AC215" s="18"/>
      <c r="AD215" s="18"/>
      <c r="AE215" s="18"/>
      <c r="AF215" s="18"/>
      <c r="AG215" s="18"/>
      <c r="AH215" s="18"/>
      <c r="AI215" s="111"/>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4"/>
      <c r="BR215" s="14"/>
      <c r="BS215" s="14"/>
      <c r="BT215" s="14"/>
      <c r="BU215" s="14"/>
      <c r="BV215" s="14"/>
      <c r="BW215" s="14"/>
      <c r="BX215" s="14"/>
      <c r="BY215" s="14"/>
      <c r="BZ215" s="14"/>
      <c r="CA215" s="14"/>
      <c r="CB215" s="14"/>
      <c r="CC215" s="14"/>
      <c r="CD215" s="14"/>
      <c r="CE215" s="14"/>
      <c r="CF215" s="14"/>
      <c r="CG215" s="14"/>
      <c r="CH215" s="14"/>
      <c r="CI215" s="14"/>
      <c r="CJ215" s="14"/>
      <c r="CK215" s="14"/>
      <c r="CL215" s="14"/>
      <c r="CM215" s="14"/>
      <c r="CN215" s="14"/>
      <c r="CO215" s="14"/>
      <c r="CP215" s="14"/>
      <c r="CQ215" s="14"/>
      <c r="CR215" s="14"/>
      <c r="CS215" s="14"/>
      <c r="CT215" s="14"/>
      <c r="CU215" s="14"/>
      <c r="CV215" s="14"/>
      <c r="CW215" s="14"/>
      <c r="CX215" s="14"/>
      <c r="CY215" s="14"/>
      <c r="CZ215" s="14"/>
      <c r="DA215" s="14"/>
      <c r="DB215" s="14"/>
      <c r="DC215" s="14"/>
      <c r="DD215" s="14"/>
      <c r="DE215" s="14"/>
      <c r="DF215" s="14"/>
      <c r="DG215" s="14"/>
      <c r="DH215" s="14"/>
      <c r="DI215" s="14"/>
      <c r="DJ215" s="14"/>
      <c r="DK215" s="14"/>
      <c r="DL215" s="14"/>
      <c r="DM215" s="14"/>
      <c r="DN215" s="14"/>
      <c r="DO215" s="14"/>
      <c r="DP215" s="14"/>
      <c r="DQ215" s="14"/>
      <c r="DR215" s="14"/>
      <c r="DS215" s="14"/>
      <c r="DT215" s="14"/>
      <c r="DU215" s="14"/>
      <c r="DV215" s="14"/>
      <c r="DW215" s="14"/>
      <c r="DX215" s="14"/>
      <c r="DY215" s="14"/>
      <c r="DZ215" s="14"/>
      <c r="EA215" s="14"/>
      <c r="EB215" s="14"/>
      <c r="EC215" s="14"/>
      <c r="ED215" s="14"/>
      <c r="EE215" s="14"/>
      <c r="EF215" s="14"/>
      <c r="EG215" s="14"/>
      <c r="EH215" s="14"/>
      <c r="EI215" s="14"/>
      <c r="EJ215" s="14"/>
      <c r="EK215" s="14"/>
      <c r="EL215" s="14"/>
      <c r="EM215" s="14"/>
      <c r="EN215" s="14"/>
      <c r="EO215" s="14"/>
      <c r="EP215" s="14"/>
      <c r="EQ215" s="14"/>
      <c r="ER215" s="14"/>
      <c r="ES215" s="14"/>
      <c r="ET215" s="14"/>
      <c r="EU215" s="14"/>
      <c r="EV215" s="14"/>
      <c r="EW215" s="14"/>
      <c r="EX215" s="14"/>
      <c r="EY215" s="14"/>
      <c r="EZ215" s="14"/>
      <c r="FA215" s="14"/>
      <c r="FB215" s="14"/>
      <c r="FC215" s="14"/>
      <c r="FD215" s="14"/>
      <c r="FE215" s="14"/>
      <c r="FF215" s="14"/>
      <c r="FG215" s="14"/>
      <c r="FH215" s="14"/>
      <c r="FI215" s="14"/>
      <c r="FJ215" s="14"/>
      <c r="FK215" s="14"/>
      <c r="FL215" s="14"/>
      <c r="FM215" s="14"/>
      <c r="FN215" s="14"/>
      <c r="FO215" s="14"/>
      <c r="FP215" s="14"/>
      <c r="FQ215" s="14"/>
      <c r="FR215" s="14"/>
      <c r="FS215" s="14"/>
      <c r="FT215" s="14"/>
      <c r="FU215" s="14"/>
      <c r="FV215" s="14"/>
      <c r="FW215" s="14"/>
      <c r="FX215" s="14"/>
      <c r="FY215" s="14"/>
      <c r="FZ215" s="14"/>
      <c r="GA215" s="14"/>
      <c r="GB215" s="14"/>
      <c r="GC215" s="14"/>
      <c r="GD215" s="14"/>
      <c r="GE215" s="14"/>
      <c r="GF215" s="14"/>
      <c r="GG215" s="14"/>
      <c r="GH215" s="14"/>
      <c r="GI215" s="14"/>
      <c r="GJ215" s="14"/>
      <c r="GK215" s="14"/>
      <c r="GL215" s="14"/>
      <c r="GM215" s="14"/>
      <c r="GN215" s="14"/>
      <c r="GO215" s="14"/>
      <c r="GP215" s="14"/>
      <c r="GQ215" s="14"/>
      <c r="GR215" s="14"/>
      <c r="GS215" s="14"/>
      <c r="GT215" s="14"/>
      <c r="GU215" s="14"/>
      <c r="GV215" s="14"/>
      <c r="GW215" s="14"/>
      <c r="GX215" s="14"/>
      <c r="GY215" s="14"/>
      <c r="GZ215" s="14"/>
      <c r="HA215" s="14"/>
      <c r="HB215" s="14"/>
      <c r="HC215" s="14"/>
      <c r="HD215" s="14"/>
      <c r="HE215" s="14"/>
      <c r="HF215" s="14"/>
      <c r="HG215" s="14"/>
      <c r="HH215" s="14"/>
      <c r="HI215" s="14"/>
      <c r="HJ215" s="14"/>
      <c r="HK215" s="14"/>
      <c r="HL215" s="14"/>
      <c r="HM215" s="14"/>
      <c r="HN215" s="14"/>
      <c r="HO215" s="14"/>
      <c r="HP215" s="14"/>
      <c r="HQ215" s="14"/>
      <c r="HR215" s="14"/>
      <c r="HS215" s="14"/>
      <c r="HT215" s="14"/>
    </row>
    <row r="216" spans="1:228" ht="18" customHeight="1" x14ac:dyDescent="0.2">
      <c r="B216" s="1929"/>
      <c r="C216" s="1930"/>
      <c r="D216" s="1930"/>
      <c r="E216" s="1931"/>
      <c r="F216" s="1714"/>
      <c r="G216" s="1935"/>
      <c r="H216" s="1410" t="s">
        <v>668</v>
      </c>
      <c r="I216" s="1410"/>
      <c r="J216" s="1410"/>
      <c r="K216" s="1410"/>
      <c r="L216" s="1410"/>
      <c r="M216" s="1410"/>
      <c r="N216" s="1410"/>
      <c r="O216" s="1410"/>
      <c r="P216" s="26">
        <f>IF($P$207&gt;0.5,0,IF(S216=1,0.1,0))</f>
        <v>0</v>
      </c>
      <c r="R216" s="686" t="b">
        <v>0</v>
      </c>
      <c r="S216" s="736">
        <f>IF(R216=TRUE,1,0)</f>
        <v>0</v>
      </c>
      <c r="T216" s="937" t="s">
        <v>669</v>
      </c>
      <c r="U216" s="18"/>
      <c r="V216" s="18"/>
      <c r="W216" s="18"/>
      <c r="X216" s="18"/>
      <c r="Y216" s="18"/>
      <c r="Z216" s="18"/>
      <c r="AA216" s="18"/>
      <c r="AB216" s="18"/>
      <c r="AC216" s="18"/>
      <c r="AD216" s="18"/>
      <c r="AE216" s="18"/>
      <c r="AF216" s="18"/>
      <c r="AG216" s="18"/>
      <c r="AH216" s="18"/>
      <c r="AI216" s="111"/>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4"/>
      <c r="BR216" s="14"/>
      <c r="BS216" s="14"/>
      <c r="BT216" s="14"/>
      <c r="BU216" s="14"/>
      <c r="BV216" s="14"/>
      <c r="BW216" s="14"/>
      <c r="BX216" s="14"/>
      <c r="BY216" s="14"/>
      <c r="BZ216" s="14"/>
      <c r="CA216" s="14"/>
      <c r="CB216" s="14"/>
      <c r="CC216" s="14"/>
      <c r="CD216" s="14"/>
      <c r="CE216" s="14"/>
      <c r="CF216" s="14"/>
      <c r="CG216" s="14"/>
      <c r="CH216" s="14"/>
      <c r="CI216" s="14"/>
      <c r="CJ216" s="14"/>
      <c r="CK216" s="14"/>
      <c r="CL216" s="14"/>
      <c r="CM216" s="14"/>
      <c r="CN216" s="14"/>
      <c r="CO216" s="14"/>
      <c r="CP216" s="14"/>
      <c r="CQ216" s="14"/>
      <c r="CR216" s="14"/>
      <c r="CS216" s="14"/>
      <c r="CT216" s="14"/>
      <c r="CU216" s="14"/>
      <c r="CV216" s="14"/>
      <c r="CW216" s="14"/>
      <c r="CX216" s="14"/>
      <c r="CY216" s="14"/>
      <c r="CZ216" s="14"/>
      <c r="DA216" s="14"/>
      <c r="DB216" s="14"/>
      <c r="DC216" s="14"/>
      <c r="DD216" s="14"/>
      <c r="DE216" s="14"/>
      <c r="DF216" s="14"/>
      <c r="DG216" s="14"/>
      <c r="DH216" s="14"/>
      <c r="DI216" s="14"/>
      <c r="DJ216" s="14"/>
      <c r="DK216" s="14"/>
      <c r="DL216" s="14"/>
      <c r="DM216" s="14"/>
      <c r="DN216" s="14"/>
      <c r="DO216" s="14"/>
      <c r="DP216" s="14"/>
      <c r="DQ216" s="14"/>
      <c r="DR216" s="14"/>
      <c r="DS216" s="14"/>
      <c r="DT216" s="14"/>
      <c r="DU216" s="14"/>
      <c r="DV216" s="14"/>
      <c r="DW216" s="14"/>
      <c r="DX216" s="14"/>
      <c r="DY216" s="14"/>
      <c r="DZ216" s="14"/>
      <c r="EA216" s="14"/>
      <c r="EB216" s="14"/>
      <c r="EC216" s="14"/>
      <c r="ED216" s="14"/>
      <c r="EE216" s="14"/>
      <c r="EF216" s="14"/>
      <c r="EG216" s="14"/>
      <c r="EH216" s="14"/>
      <c r="EI216" s="14"/>
      <c r="EJ216" s="14"/>
      <c r="EK216" s="14"/>
      <c r="EL216" s="14"/>
      <c r="EM216" s="14"/>
      <c r="EN216" s="14"/>
      <c r="EO216" s="14"/>
      <c r="EP216" s="14"/>
      <c r="EQ216" s="14"/>
      <c r="ER216" s="14"/>
      <c r="ES216" s="14"/>
      <c r="ET216" s="14"/>
      <c r="EU216" s="14"/>
      <c r="EV216" s="14"/>
      <c r="EW216" s="14"/>
      <c r="EX216" s="14"/>
      <c r="EY216" s="14"/>
      <c r="EZ216" s="14"/>
      <c r="FA216" s="14"/>
      <c r="FB216" s="14"/>
      <c r="FC216" s="14"/>
      <c r="FD216" s="14"/>
      <c r="FE216" s="14"/>
      <c r="FF216" s="14"/>
      <c r="FG216" s="14"/>
      <c r="FH216" s="14"/>
      <c r="FI216" s="14"/>
      <c r="FJ216" s="14"/>
      <c r="FK216" s="14"/>
      <c r="FL216" s="14"/>
      <c r="FM216" s="14"/>
      <c r="FN216" s="14"/>
      <c r="FO216" s="14"/>
      <c r="FP216" s="14"/>
      <c r="FQ216" s="14"/>
      <c r="FR216" s="14"/>
      <c r="FS216" s="14"/>
      <c r="FT216" s="14"/>
      <c r="FU216" s="14"/>
      <c r="FV216" s="14"/>
      <c r="FW216" s="14"/>
      <c r="FX216" s="14"/>
      <c r="FY216" s="14"/>
      <c r="FZ216" s="14"/>
      <c r="GA216" s="14"/>
      <c r="GB216" s="14"/>
      <c r="GC216" s="14"/>
      <c r="GD216" s="14"/>
      <c r="GE216" s="14"/>
      <c r="GF216" s="14"/>
      <c r="GG216" s="14"/>
      <c r="GH216" s="14"/>
      <c r="GI216" s="14"/>
      <c r="GJ216" s="14"/>
      <c r="GK216" s="14"/>
      <c r="GL216" s="14"/>
      <c r="GM216" s="14"/>
      <c r="GN216" s="14"/>
      <c r="GO216" s="14"/>
      <c r="GP216" s="14"/>
      <c r="GQ216" s="14"/>
      <c r="GR216" s="14"/>
      <c r="GS216" s="14"/>
      <c r="GT216" s="14"/>
      <c r="GU216" s="14"/>
      <c r="GV216" s="14"/>
      <c r="GW216" s="14"/>
      <c r="GX216" s="14"/>
      <c r="GY216" s="14"/>
      <c r="GZ216" s="14"/>
      <c r="HA216" s="14"/>
      <c r="HB216" s="14"/>
      <c r="HC216" s="14"/>
      <c r="HD216" s="14"/>
      <c r="HE216" s="14"/>
      <c r="HF216" s="14"/>
      <c r="HG216" s="14"/>
      <c r="HH216" s="14"/>
      <c r="HI216" s="14"/>
      <c r="HJ216" s="14"/>
      <c r="HK216" s="14"/>
      <c r="HL216" s="14"/>
      <c r="HM216" s="14"/>
      <c r="HN216" s="14"/>
      <c r="HO216" s="14"/>
      <c r="HP216" s="14"/>
      <c r="HQ216" s="14"/>
      <c r="HR216" s="14"/>
      <c r="HS216" s="14"/>
      <c r="HT216" s="14"/>
    </row>
    <row r="217" spans="1:228" ht="18" customHeight="1" x14ac:dyDescent="0.2">
      <c r="B217" s="1929"/>
      <c r="C217" s="1930"/>
      <c r="D217" s="1930"/>
      <c r="E217" s="1931"/>
      <c r="F217" s="1714"/>
      <c r="G217" s="1935"/>
      <c r="H217" s="1410" t="s">
        <v>61</v>
      </c>
      <c r="I217" s="1410"/>
      <c r="J217" s="1410"/>
      <c r="K217" s="1410"/>
      <c r="L217" s="1410"/>
      <c r="M217" s="1410"/>
      <c r="N217" s="1410"/>
      <c r="O217" s="1410"/>
      <c r="P217" s="26">
        <f>IF($P$207&gt;0.5,0,IF(S217=1,0.1,0))</f>
        <v>0</v>
      </c>
      <c r="R217" s="686" t="b">
        <v>0</v>
      </c>
      <c r="S217" s="736">
        <f>IF(R217=TRUE,1,0)</f>
        <v>0</v>
      </c>
      <c r="T217" s="937" t="s">
        <v>1069</v>
      </c>
      <c r="U217" s="18"/>
      <c r="V217" s="18"/>
      <c r="W217" s="18"/>
      <c r="X217" s="18"/>
      <c r="Y217" s="18"/>
      <c r="Z217" s="18"/>
      <c r="AA217" s="18"/>
      <c r="AB217" s="18"/>
      <c r="AC217" s="18"/>
      <c r="AD217" s="18"/>
      <c r="AE217" s="18"/>
      <c r="AF217" s="18"/>
      <c r="AG217" s="18"/>
      <c r="AH217" s="18"/>
      <c r="AI217" s="111"/>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4"/>
      <c r="BR217" s="14"/>
      <c r="BS217" s="14"/>
      <c r="BT217" s="14"/>
      <c r="BU217" s="14"/>
      <c r="BV217" s="14"/>
      <c r="BW217" s="14"/>
      <c r="BX217" s="14"/>
      <c r="BY217" s="14"/>
      <c r="BZ217" s="14"/>
      <c r="CA217" s="14"/>
      <c r="CB217" s="14"/>
      <c r="CC217" s="14"/>
      <c r="CD217" s="14"/>
      <c r="CE217" s="14"/>
      <c r="CF217" s="14"/>
      <c r="CG217" s="14"/>
      <c r="CH217" s="14"/>
      <c r="CI217" s="14"/>
      <c r="CJ217" s="14"/>
      <c r="CK217" s="14"/>
      <c r="CL217" s="14"/>
      <c r="CM217" s="14"/>
      <c r="CN217" s="14"/>
      <c r="CO217" s="14"/>
      <c r="CP217" s="14"/>
      <c r="CQ217" s="14"/>
      <c r="CR217" s="14"/>
      <c r="CS217" s="14"/>
      <c r="CT217" s="14"/>
      <c r="CU217" s="14"/>
      <c r="CV217" s="14"/>
      <c r="CW217" s="14"/>
      <c r="CX217" s="14"/>
      <c r="CY217" s="14"/>
      <c r="CZ217" s="14"/>
      <c r="DA217" s="14"/>
      <c r="DB217" s="14"/>
      <c r="DC217" s="14"/>
      <c r="DD217" s="14"/>
      <c r="DE217" s="14"/>
      <c r="DF217" s="14"/>
      <c r="DG217" s="14"/>
      <c r="DH217" s="14"/>
      <c r="DI217" s="14"/>
      <c r="DJ217" s="14"/>
      <c r="DK217" s="14"/>
      <c r="DL217" s="14"/>
      <c r="DM217" s="14"/>
      <c r="DN217" s="14"/>
      <c r="DO217" s="14"/>
      <c r="DP217" s="14"/>
      <c r="DQ217" s="14"/>
      <c r="DR217" s="14"/>
      <c r="DS217" s="14"/>
      <c r="DT217" s="14"/>
      <c r="DU217" s="14"/>
      <c r="DV217" s="14"/>
      <c r="DW217" s="14"/>
      <c r="DX217" s="14"/>
      <c r="DY217" s="14"/>
      <c r="DZ217" s="14"/>
      <c r="EA217" s="14"/>
      <c r="EB217" s="14"/>
      <c r="EC217" s="14"/>
      <c r="ED217" s="14"/>
      <c r="EE217" s="14"/>
      <c r="EF217" s="14"/>
      <c r="EG217" s="14"/>
      <c r="EH217" s="14"/>
      <c r="EI217" s="14"/>
      <c r="EJ217" s="14"/>
      <c r="EK217" s="14"/>
      <c r="EL217" s="14"/>
      <c r="EM217" s="14"/>
      <c r="EN217" s="14"/>
      <c r="EO217" s="14"/>
      <c r="EP217" s="14"/>
      <c r="EQ217" s="14"/>
      <c r="ER217" s="14"/>
      <c r="ES217" s="14"/>
      <c r="ET217" s="14"/>
      <c r="EU217" s="14"/>
      <c r="EV217" s="14"/>
      <c r="EW217" s="14"/>
      <c r="EX217" s="14"/>
      <c r="EY217" s="14"/>
      <c r="EZ217" s="14"/>
      <c r="FA217" s="14"/>
      <c r="FB217" s="14"/>
      <c r="FC217" s="14"/>
      <c r="FD217" s="14"/>
      <c r="FE217" s="14"/>
      <c r="FF217" s="14"/>
      <c r="FG217" s="14"/>
      <c r="FH217" s="14"/>
      <c r="FI217" s="14"/>
      <c r="FJ217" s="14"/>
      <c r="FK217" s="14"/>
      <c r="FL217" s="14"/>
      <c r="FM217" s="14"/>
      <c r="FN217" s="14"/>
      <c r="FO217" s="14"/>
      <c r="FP217" s="14"/>
      <c r="FQ217" s="14"/>
      <c r="FR217" s="14"/>
      <c r="FS217" s="14"/>
      <c r="FT217" s="14"/>
      <c r="FU217" s="14"/>
      <c r="FV217" s="14"/>
      <c r="FW217" s="14"/>
      <c r="FX217" s="14"/>
      <c r="FY217" s="14"/>
      <c r="FZ217" s="14"/>
      <c r="GA217" s="14"/>
      <c r="GB217" s="14"/>
      <c r="GC217" s="14"/>
      <c r="GD217" s="14"/>
      <c r="GE217" s="14"/>
      <c r="GF217" s="14"/>
      <c r="GG217" s="14"/>
      <c r="GH217" s="14"/>
      <c r="GI217" s="14"/>
      <c r="GJ217" s="14"/>
      <c r="GK217" s="14"/>
      <c r="GL217" s="14"/>
      <c r="GM217" s="14"/>
      <c r="GN217" s="14"/>
      <c r="GO217" s="14"/>
      <c r="GP217" s="14"/>
      <c r="GQ217" s="14"/>
      <c r="GR217" s="14"/>
      <c r="GS217" s="14"/>
      <c r="GT217" s="14"/>
      <c r="GU217" s="14"/>
      <c r="GV217" s="14"/>
      <c r="GW217" s="14"/>
      <c r="GX217" s="14"/>
      <c r="GY217" s="14"/>
      <c r="GZ217" s="14"/>
      <c r="HA217" s="14"/>
      <c r="HB217" s="14"/>
      <c r="HC217" s="14"/>
      <c r="HD217" s="14"/>
      <c r="HE217" s="14"/>
      <c r="HF217" s="14"/>
      <c r="HG217" s="14"/>
      <c r="HH217" s="14"/>
      <c r="HI217" s="14"/>
      <c r="HJ217" s="14"/>
      <c r="HK217" s="14"/>
      <c r="HL217" s="14"/>
      <c r="HM217" s="14"/>
      <c r="HN217" s="14"/>
      <c r="HO217" s="14"/>
      <c r="HP217" s="14"/>
      <c r="HQ217" s="14"/>
      <c r="HR217" s="14"/>
      <c r="HS217" s="14"/>
      <c r="HT217" s="14"/>
    </row>
    <row r="218" spans="1:228" ht="18" customHeight="1" x14ac:dyDescent="0.2">
      <c r="B218" s="1929"/>
      <c r="C218" s="1930"/>
      <c r="D218" s="1930"/>
      <c r="E218" s="1931"/>
      <c r="F218" s="1714"/>
      <c r="G218" s="1935"/>
      <c r="H218" s="1410" t="s">
        <v>428</v>
      </c>
      <c r="I218" s="1410"/>
      <c r="J218" s="1410"/>
      <c r="K218" s="1410"/>
      <c r="L218" s="1410"/>
      <c r="M218" s="1410"/>
      <c r="N218" s="1410"/>
      <c r="O218" s="1410"/>
      <c r="P218" s="26">
        <f>IF($P$207&gt;0.5,0,IF(S218=1,0.1,0))</f>
        <v>0</v>
      </c>
      <c r="R218" s="686" t="b">
        <v>0</v>
      </c>
      <c r="S218" s="736">
        <f>IF(R218=TRUE,1,0)</f>
        <v>0</v>
      </c>
      <c r="T218" s="937">
        <f>IF(OR(S215=1,S216=1,S217=1,S218=1,S219=1),1,0)</f>
        <v>0</v>
      </c>
      <c r="U218" s="18"/>
      <c r="V218" s="18"/>
      <c r="W218" s="18"/>
      <c r="X218" s="18"/>
      <c r="Y218" s="18"/>
      <c r="Z218" s="18"/>
      <c r="AA218" s="18"/>
      <c r="AB218" s="18"/>
      <c r="AC218" s="18"/>
      <c r="AD218" s="18"/>
      <c r="AE218" s="18"/>
      <c r="AF218" s="18"/>
      <c r="AG218" s="18"/>
      <c r="AH218" s="18"/>
      <c r="AI218" s="111"/>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4"/>
      <c r="BR218" s="14"/>
      <c r="BS218" s="14"/>
      <c r="BT218" s="14"/>
      <c r="BU218" s="14"/>
      <c r="BV218" s="14"/>
      <c r="BW218" s="14"/>
      <c r="BX218" s="14"/>
      <c r="BY218" s="14"/>
      <c r="BZ218" s="14"/>
      <c r="CA218" s="14"/>
      <c r="CB218" s="14"/>
      <c r="CC218" s="14"/>
      <c r="CD218" s="14"/>
      <c r="CE218" s="14"/>
      <c r="CF218" s="14"/>
      <c r="CG218" s="14"/>
      <c r="CH218" s="14"/>
      <c r="CI218" s="14"/>
      <c r="CJ218" s="14"/>
      <c r="CK218" s="14"/>
      <c r="CL218" s="14"/>
      <c r="CM218" s="14"/>
      <c r="CN218" s="14"/>
      <c r="CO218" s="14"/>
      <c r="CP218" s="14"/>
      <c r="CQ218" s="14"/>
      <c r="CR218" s="14"/>
      <c r="CS218" s="14"/>
      <c r="CT218" s="14"/>
      <c r="CU218" s="14"/>
      <c r="CV218" s="14"/>
      <c r="CW218" s="14"/>
      <c r="CX218" s="14"/>
      <c r="CY218" s="14"/>
      <c r="CZ218" s="14"/>
      <c r="DA218" s="14"/>
      <c r="DB218" s="14"/>
      <c r="DC218" s="14"/>
      <c r="DD218" s="14"/>
      <c r="DE218" s="14"/>
      <c r="DF218" s="14"/>
      <c r="DG218" s="14"/>
      <c r="DH218" s="14"/>
      <c r="DI218" s="14"/>
      <c r="DJ218" s="14"/>
      <c r="DK218" s="14"/>
      <c r="DL218" s="14"/>
      <c r="DM218" s="14"/>
      <c r="DN218" s="14"/>
      <c r="DO218" s="14"/>
      <c r="DP218" s="14"/>
      <c r="DQ218" s="14"/>
      <c r="DR218" s="14"/>
      <c r="DS218" s="14"/>
      <c r="DT218" s="14"/>
      <c r="DU218" s="14"/>
      <c r="DV218" s="14"/>
      <c r="DW218" s="14"/>
      <c r="DX218" s="14"/>
      <c r="DY218" s="14"/>
      <c r="DZ218" s="14"/>
      <c r="EA218" s="14"/>
      <c r="EB218" s="14"/>
      <c r="EC218" s="14"/>
      <c r="ED218" s="14"/>
      <c r="EE218" s="14"/>
      <c r="EF218" s="14"/>
      <c r="EG218" s="14"/>
      <c r="EH218" s="14"/>
      <c r="EI218" s="14"/>
      <c r="EJ218" s="14"/>
      <c r="EK218" s="14"/>
      <c r="EL218" s="14"/>
      <c r="EM218" s="14"/>
      <c r="EN218" s="14"/>
      <c r="EO218" s="14"/>
      <c r="EP218" s="14"/>
      <c r="EQ218" s="14"/>
      <c r="ER218" s="14"/>
      <c r="ES218" s="14"/>
      <c r="ET218" s="14"/>
      <c r="EU218" s="14"/>
      <c r="EV218" s="14"/>
      <c r="EW218" s="14"/>
      <c r="EX218" s="14"/>
      <c r="EY218" s="14"/>
      <c r="EZ218" s="14"/>
      <c r="FA218" s="14"/>
      <c r="FB218" s="14"/>
      <c r="FC218" s="14"/>
      <c r="FD218" s="14"/>
      <c r="FE218" s="14"/>
      <c r="FF218" s="14"/>
      <c r="FG218" s="14"/>
      <c r="FH218" s="14"/>
      <c r="FI218" s="14"/>
      <c r="FJ218" s="14"/>
      <c r="FK218" s="14"/>
      <c r="FL218" s="14"/>
      <c r="FM218" s="14"/>
      <c r="FN218" s="14"/>
      <c r="FO218" s="14"/>
      <c r="FP218" s="14"/>
      <c r="FQ218" s="14"/>
      <c r="FR218" s="14"/>
      <c r="FS218" s="14"/>
      <c r="FT218" s="14"/>
      <c r="FU218" s="14"/>
      <c r="FV218" s="14"/>
      <c r="FW218" s="14"/>
      <c r="FX218" s="14"/>
      <c r="FY218" s="14"/>
      <c r="FZ218" s="14"/>
      <c r="GA218" s="14"/>
      <c r="GB218" s="14"/>
      <c r="GC218" s="14"/>
      <c r="GD218" s="14"/>
      <c r="GE218" s="14"/>
      <c r="GF218" s="14"/>
      <c r="GG218" s="14"/>
      <c r="GH218" s="14"/>
      <c r="GI218" s="14"/>
      <c r="GJ218" s="14"/>
      <c r="GK218" s="14"/>
      <c r="GL218" s="14"/>
      <c r="GM218" s="14"/>
      <c r="GN218" s="14"/>
      <c r="GO218" s="14"/>
      <c r="GP218" s="14"/>
      <c r="GQ218" s="14"/>
      <c r="GR218" s="14"/>
      <c r="GS218" s="14"/>
      <c r="GT218" s="14"/>
      <c r="GU218" s="14"/>
      <c r="GV218" s="14"/>
      <c r="GW218" s="14"/>
      <c r="GX218" s="14"/>
      <c r="GY218" s="14"/>
      <c r="GZ218" s="14"/>
      <c r="HA218" s="14"/>
      <c r="HB218" s="14"/>
      <c r="HC218" s="14"/>
      <c r="HD218" s="14"/>
      <c r="HE218" s="14"/>
      <c r="HF218" s="14"/>
      <c r="HG218" s="14"/>
      <c r="HH218" s="14"/>
      <c r="HI218" s="14"/>
      <c r="HJ218" s="14"/>
      <c r="HK218" s="14"/>
      <c r="HL218" s="14"/>
      <c r="HM218" s="14"/>
      <c r="HN218" s="14"/>
      <c r="HO218" s="14"/>
      <c r="HP218" s="14"/>
      <c r="HQ218" s="14"/>
      <c r="HR218" s="14"/>
      <c r="HS218" s="14"/>
      <c r="HT218" s="14"/>
    </row>
    <row r="219" spans="1:228" ht="18" customHeight="1" x14ac:dyDescent="0.2">
      <c r="B219" s="1932"/>
      <c r="C219" s="1933"/>
      <c r="D219" s="1933"/>
      <c r="E219" s="1934"/>
      <c r="F219" s="1714"/>
      <c r="G219" s="1935"/>
      <c r="H219" s="1410" t="s">
        <v>475</v>
      </c>
      <c r="I219" s="1410"/>
      <c r="J219" s="1410"/>
      <c r="K219" s="1410"/>
      <c r="L219" s="1410"/>
      <c r="M219" s="1410"/>
      <c r="N219" s="1410"/>
      <c r="O219" s="1410"/>
      <c r="P219" s="26">
        <f>IF($P$207&gt;0.5,0,IF(S219=1,0.1,0))</f>
        <v>0</v>
      </c>
      <c r="R219" s="686" t="b">
        <v>0</v>
      </c>
      <c r="S219" s="736">
        <f>IF(R219=TRUE,1,0)</f>
        <v>0</v>
      </c>
      <c r="T219" s="18"/>
      <c r="U219" s="18"/>
      <c r="V219" s="18"/>
      <c r="W219" s="18"/>
      <c r="X219" s="18"/>
      <c r="Y219" s="165"/>
      <c r="Z219" s="18"/>
      <c r="AA219" s="18"/>
      <c r="AB219" s="18"/>
      <c r="AC219" s="18"/>
      <c r="AD219" s="18"/>
      <c r="AE219" s="18"/>
      <c r="AF219" s="18"/>
      <c r="AG219" s="18"/>
      <c r="AH219" s="18"/>
      <c r="AI219" s="111"/>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4"/>
      <c r="BR219" s="14"/>
      <c r="BS219" s="14"/>
      <c r="BT219" s="14"/>
      <c r="BU219" s="14"/>
      <c r="BV219" s="14"/>
      <c r="BW219" s="14"/>
      <c r="BX219" s="14"/>
      <c r="BY219" s="14"/>
      <c r="BZ219" s="14"/>
      <c r="CA219" s="14"/>
      <c r="CB219" s="14"/>
      <c r="CC219" s="14"/>
      <c r="CD219" s="14"/>
      <c r="CE219" s="14"/>
      <c r="CF219" s="14"/>
      <c r="CG219" s="14"/>
      <c r="CH219" s="14"/>
      <c r="CI219" s="14"/>
      <c r="CJ219" s="14"/>
      <c r="CK219" s="14"/>
      <c r="CL219" s="14"/>
      <c r="CM219" s="14"/>
      <c r="CN219" s="14"/>
      <c r="CO219" s="14"/>
      <c r="CP219" s="14"/>
      <c r="CQ219" s="14"/>
      <c r="CR219" s="14"/>
      <c r="CS219" s="14"/>
      <c r="CT219" s="14"/>
      <c r="CU219" s="14"/>
      <c r="CV219" s="14"/>
      <c r="CW219" s="14"/>
      <c r="CX219" s="14"/>
      <c r="CY219" s="14"/>
      <c r="CZ219" s="14"/>
      <c r="DA219" s="14"/>
      <c r="DB219" s="14"/>
      <c r="DC219" s="14"/>
      <c r="DD219" s="14"/>
      <c r="DE219" s="14"/>
      <c r="DF219" s="14"/>
      <c r="DG219" s="14"/>
      <c r="DH219" s="14"/>
      <c r="DI219" s="14"/>
      <c r="DJ219" s="14"/>
      <c r="DK219" s="14"/>
      <c r="DL219" s="14"/>
      <c r="DM219" s="14"/>
      <c r="DN219" s="14"/>
      <c r="DO219" s="14"/>
      <c r="DP219" s="14"/>
      <c r="DQ219" s="14"/>
      <c r="DR219" s="14"/>
      <c r="DS219" s="14"/>
      <c r="DT219" s="14"/>
      <c r="DU219" s="14"/>
      <c r="DV219" s="14"/>
      <c r="DW219" s="14"/>
      <c r="DX219" s="14"/>
      <c r="DY219" s="14"/>
      <c r="DZ219" s="14"/>
      <c r="EA219" s="14"/>
      <c r="EB219" s="14"/>
      <c r="EC219" s="14"/>
      <c r="ED219" s="14"/>
      <c r="EE219" s="14"/>
      <c r="EF219" s="14"/>
      <c r="EG219" s="14"/>
      <c r="EH219" s="14"/>
      <c r="EI219" s="14"/>
      <c r="EJ219" s="14"/>
      <c r="EK219" s="14"/>
      <c r="EL219" s="14"/>
      <c r="EM219" s="14"/>
      <c r="EN219" s="14"/>
      <c r="EO219" s="14"/>
      <c r="EP219" s="14"/>
      <c r="EQ219" s="14"/>
      <c r="ER219" s="14"/>
      <c r="ES219" s="14"/>
      <c r="ET219" s="14"/>
      <c r="EU219" s="14"/>
      <c r="EV219" s="14"/>
      <c r="EW219" s="14"/>
      <c r="EX219" s="14"/>
      <c r="EY219" s="14"/>
      <c r="EZ219" s="14"/>
      <c r="FA219" s="14"/>
      <c r="FB219" s="14"/>
      <c r="FC219" s="14"/>
      <c r="FD219" s="14"/>
      <c r="FE219" s="14"/>
      <c r="FF219" s="14"/>
      <c r="FG219" s="14"/>
      <c r="FH219" s="14"/>
      <c r="FI219" s="14"/>
      <c r="FJ219" s="14"/>
      <c r="FK219" s="14"/>
      <c r="FL219" s="14"/>
      <c r="FM219" s="14"/>
      <c r="FN219" s="14"/>
      <c r="FO219" s="14"/>
      <c r="FP219" s="14"/>
      <c r="FQ219" s="14"/>
      <c r="FR219" s="14"/>
      <c r="FS219" s="14"/>
      <c r="FT219" s="14"/>
      <c r="FU219" s="14"/>
      <c r="FV219" s="14"/>
      <c r="FW219" s="14"/>
      <c r="FX219" s="14"/>
      <c r="FY219" s="14"/>
      <c r="FZ219" s="14"/>
      <c r="GA219" s="14"/>
      <c r="GB219" s="14"/>
      <c r="GC219" s="14"/>
      <c r="GD219" s="14"/>
      <c r="GE219" s="14"/>
      <c r="GF219" s="14"/>
      <c r="GG219" s="14"/>
      <c r="GH219" s="14"/>
      <c r="GI219" s="14"/>
      <c r="GJ219" s="14"/>
      <c r="GK219" s="14"/>
      <c r="GL219" s="14"/>
      <c r="GM219" s="14"/>
      <c r="GN219" s="14"/>
      <c r="GO219" s="14"/>
      <c r="GP219" s="14"/>
      <c r="GQ219" s="14"/>
      <c r="GR219" s="14"/>
      <c r="GS219" s="14"/>
      <c r="GT219" s="14"/>
      <c r="GU219" s="14"/>
      <c r="GV219" s="14"/>
      <c r="GW219" s="14"/>
      <c r="GX219" s="14"/>
      <c r="GY219" s="14"/>
      <c r="GZ219" s="14"/>
      <c r="HA219" s="14"/>
      <c r="HB219" s="14"/>
      <c r="HC219" s="14"/>
      <c r="HD219" s="14"/>
      <c r="HE219" s="14"/>
      <c r="HF219" s="14"/>
      <c r="HG219" s="14"/>
      <c r="HH219" s="14"/>
      <c r="HI219" s="14"/>
      <c r="HJ219" s="14"/>
      <c r="HK219" s="14"/>
      <c r="HL219" s="14"/>
      <c r="HM219" s="14"/>
      <c r="HN219" s="14"/>
      <c r="HO219" s="14"/>
      <c r="HP219" s="14"/>
      <c r="HQ219" s="14"/>
      <c r="HR219" s="14"/>
      <c r="HS219" s="14"/>
      <c r="HT219" s="14"/>
    </row>
    <row r="220" spans="1:228" ht="27" customHeight="1" x14ac:dyDescent="0.25">
      <c r="B220" s="1555" t="s">
        <v>1595</v>
      </c>
      <c r="C220" s="1555"/>
      <c r="D220" s="1555"/>
      <c r="E220" s="1555"/>
      <c r="F220" s="1555"/>
      <c r="G220" s="1555"/>
      <c r="H220" s="1555"/>
      <c r="I220" s="1555"/>
      <c r="J220" s="1555"/>
      <c r="K220" s="1555"/>
      <c r="L220" s="1555"/>
      <c r="M220" s="1555"/>
      <c r="N220" s="1555"/>
      <c r="O220" s="1555"/>
      <c r="P220" s="1126"/>
      <c r="S220" s="18"/>
      <c r="T220" s="1536" t="s">
        <v>1258</v>
      </c>
      <c r="U220" s="1536"/>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4"/>
      <c r="BR220" s="14"/>
      <c r="BS220" s="14"/>
      <c r="BT220" s="14"/>
      <c r="BU220" s="14"/>
      <c r="BV220" s="14"/>
      <c r="BW220" s="14"/>
      <c r="BX220" s="14"/>
      <c r="BY220" s="14"/>
      <c r="BZ220" s="14"/>
      <c r="CA220" s="14"/>
      <c r="CB220" s="14"/>
      <c r="CC220" s="14"/>
      <c r="CD220" s="14"/>
      <c r="CE220" s="14"/>
      <c r="CF220" s="14"/>
      <c r="CG220" s="14"/>
      <c r="CH220" s="14"/>
      <c r="CI220" s="14"/>
      <c r="CJ220" s="14"/>
      <c r="CK220" s="14"/>
      <c r="CL220" s="14"/>
      <c r="CM220" s="14"/>
      <c r="CN220" s="14"/>
      <c r="CO220" s="14"/>
      <c r="CP220" s="14"/>
      <c r="CQ220" s="14"/>
      <c r="CR220" s="14"/>
      <c r="CS220" s="14"/>
      <c r="CT220" s="14"/>
      <c r="CU220" s="14"/>
      <c r="CV220" s="14"/>
      <c r="CW220" s="14"/>
      <c r="CX220" s="14"/>
      <c r="CY220" s="14"/>
      <c r="CZ220" s="14"/>
      <c r="DA220" s="14"/>
      <c r="DB220" s="14"/>
      <c r="DC220" s="14"/>
      <c r="DD220" s="14"/>
      <c r="DE220" s="14"/>
      <c r="DF220" s="14"/>
      <c r="DG220" s="14"/>
      <c r="DH220" s="14"/>
      <c r="DI220" s="14"/>
      <c r="DJ220" s="14"/>
      <c r="DK220" s="14"/>
      <c r="DL220" s="14"/>
      <c r="DM220" s="14"/>
      <c r="DN220" s="14"/>
      <c r="DO220" s="14"/>
      <c r="DP220" s="14"/>
      <c r="DQ220" s="14"/>
      <c r="DR220" s="14"/>
      <c r="DS220" s="14"/>
      <c r="DT220" s="14"/>
      <c r="DU220" s="14"/>
      <c r="DV220" s="14"/>
      <c r="DW220" s="14"/>
      <c r="DX220" s="14"/>
      <c r="DY220" s="14"/>
      <c r="DZ220" s="14"/>
      <c r="EA220" s="14"/>
      <c r="EB220" s="14"/>
      <c r="EC220" s="14"/>
      <c r="ED220" s="14"/>
      <c r="EE220" s="14"/>
      <c r="EF220" s="14"/>
      <c r="EG220" s="14"/>
      <c r="EH220" s="14"/>
      <c r="EI220" s="14"/>
      <c r="EJ220" s="14"/>
      <c r="EK220" s="14"/>
      <c r="EL220" s="14"/>
      <c r="EM220" s="14"/>
      <c r="EN220" s="14"/>
      <c r="EO220" s="14"/>
      <c r="EP220" s="14"/>
      <c r="EQ220" s="14"/>
      <c r="ER220" s="14"/>
      <c r="ES220" s="14"/>
      <c r="ET220" s="14"/>
      <c r="EU220" s="14"/>
      <c r="EV220" s="14"/>
      <c r="EW220" s="14"/>
      <c r="EX220" s="14"/>
      <c r="EY220" s="14"/>
      <c r="EZ220" s="14"/>
      <c r="FA220" s="14"/>
      <c r="FB220" s="14"/>
      <c r="FC220" s="14"/>
      <c r="FD220" s="14"/>
      <c r="FE220" s="14"/>
      <c r="FF220" s="14"/>
      <c r="FG220" s="14"/>
      <c r="FH220" s="14"/>
      <c r="FI220" s="14"/>
      <c r="FJ220" s="14"/>
      <c r="FK220" s="14"/>
      <c r="FL220" s="14"/>
      <c r="FM220" s="14"/>
      <c r="FN220" s="14"/>
      <c r="FO220" s="14"/>
      <c r="FP220" s="14"/>
      <c r="FQ220" s="14"/>
      <c r="FR220" s="14"/>
      <c r="FS220" s="14"/>
      <c r="FT220" s="14"/>
      <c r="FU220" s="14"/>
      <c r="FV220" s="14"/>
      <c r="FW220" s="14"/>
      <c r="FX220" s="14"/>
      <c r="FY220" s="14"/>
      <c r="FZ220" s="14"/>
      <c r="GA220" s="14"/>
      <c r="GB220" s="14"/>
      <c r="GC220" s="14"/>
      <c r="GD220" s="14"/>
      <c r="GE220" s="14"/>
      <c r="GF220" s="14"/>
      <c r="GG220" s="14"/>
      <c r="GH220" s="14"/>
      <c r="GI220" s="14"/>
      <c r="GJ220" s="14"/>
      <c r="GK220" s="14"/>
      <c r="GL220" s="14"/>
      <c r="GM220" s="14"/>
      <c r="GN220" s="14"/>
      <c r="GO220" s="14"/>
      <c r="GP220" s="14"/>
      <c r="GQ220" s="14"/>
      <c r="GR220" s="14"/>
      <c r="GS220" s="14"/>
      <c r="GT220" s="14"/>
      <c r="GU220" s="14"/>
      <c r="GV220" s="14"/>
      <c r="GW220" s="14"/>
      <c r="GX220" s="14"/>
      <c r="GY220" s="14"/>
      <c r="GZ220" s="14"/>
      <c r="HA220" s="14"/>
      <c r="HB220" s="14"/>
      <c r="HC220" s="14"/>
      <c r="HD220" s="14"/>
      <c r="HE220" s="14"/>
      <c r="HF220" s="14"/>
      <c r="HG220" s="14"/>
      <c r="HH220" s="14"/>
      <c r="HI220" s="14"/>
      <c r="HJ220" s="14"/>
      <c r="HK220" s="14"/>
      <c r="HL220" s="14"/>
      <c r="HM220" s="14"/>
      <c r="HN220" s="14"/>
      <c r="HO220" s="14"/>
      <c r="HP220" s="14"/>
      <c r="HQ220" s="14"/>
      <c r="HR220" s="14"/>
      <c r="HS220" s="14"/>
      <c r="HT220" s="14"/>
    </row>
    <row r="221" spans="1:228" s="936" customFormat="1" ht="27" customHeight="1" x14ac:dyDescent="0.2">
      <c r="B221" s="23" t="s">
        <v>476</v>
      </c>
      <c r="C221" s="1822" t="s">
        <v>1596</v>
      </c>
      <c r="D221" s="1817"/>
      <c r="E221" s="1817"/>
      <c r="F221" s="1817"/>
      <c r="G221" s="1531" t="s">
        <v>1081</v>
      </c>
      <c r="H221" s="1550"/>
      <c r="I221" s="1550"/>
      <c r="J221" s="1550"/>
      <c r="K221" s="1551"/>
      <c r="L221" s="1974"/>
      <c r="M221" s="1975"/>
      <c r="N221" s="1975"/>
      <c r="O221" s="1975"/>
      <c r="P221" s="1905"/>
      <c r="R221" s="1158" t="s">
        <v>2264</v>
      </c>
      <c r="S221" s="937" t="s">
        <v>1573</v>
      </c>
      <c r="T221" s="935" t="s">
        <v>1596</v>
      </c>
      <c r="U221" s="935" t="s">
        <v>1597</v>
      </c>
      <c r="V221" s="1555" t="s">
        <v>1083</v>
      </c>
      <c r="W221" s="1555"/>
      <c r="X221" s="938"/>
      <c r="Y221" s="945" t="s">
        <v>2236</v>
      </c>
      <c r="Z221" s="944" t="s">
        <v>2237</v>
      </c>
      <c r="AA221" s="938"/>
      <c r="AB221" s="938"/>
      <c r="AC221" s="938"/>
      <c r="AD221" s="938"/>
      <c r="AE221" s="938"/>
      <c r="AF221" s="938"/>
      <c r="AG221" s="938"/>
      <c r="AH221" s="938"/>
      <c r="AI221" s="938"/>
      <c r="AJ221" s="938"/>
      <c r="AK221" s="938"/>
      <c r="AL221" s="938"/>
      <c r="AM221" s="938"/>
      <c r="AN221" s="938"/>
      <c r="AO221" s="938"/>
      <c r="AP221" s="938"/>
      <c r="AQ221" s="938"/>
      <c r="AR221" s="938"/>
      <c r="AS221" s="938"/>
      <c r="AT221" s="938"/>
      <c r="AU221" s="938"/>
      <c r="AV221" s="938"/>
      <c r="AW221" s="938"/>
      <c r="AX221" s="938"/>
      <c r="AY221" s="938"/>
      <c r="AZ221" s="938"/>
      <c r="BA221" s="938"/>
      <c r="BB221" s="938"/>
      <c r="BC221" s="938"/>
      <c r="BD221" s="938"/>
      <c r="BE221" s="938"/>
      <c r="BF221" s="938"/>
      <c r="BG221" s="938"/>
      <c r="BH221" s="938"/>
      <c r="BI221" s="938"/>
      <c r="BJ221" s="938"/>
      <c r="BK221" s="938"/>
      <c r="BL221" s="938"/>
      <c r="BM221" s="938"/>
      <c r="BN221" s="938"/>
      <c r="BO221" s="938"/>
      <c r="BP221" s="938"/>
      <c r="BQ221" s="934"/>
      <c r="BR221" s="934"/>
      <c r="BS221" s="934"/>
      <c r="BT221" s="934"/>
      <c r="BU221" s="934"/>
      <c r="BV221" s="934"/>
      <c r="BW221" s="934"/>
      <c r="BX221" s="934"/>
      <c r="BY221" s="934"/>
      <c r="BZ221" s="934"/>
      <c r="CA221" s="934"/>
      <c r="CB221" s="934"/>
      <c r="CC221" s="934"/>
      <c r="CD221" s="934"/>
      <c r="CE221" s="934"/>
      <c r="CF221" s="934"/>
      <c r="CG221" s="934"/>
      <c r="CH221" s="934"/>
      <c r="CI221" s="934"/>
      <c r="CJ221" s="934"/>
      <c r="CK221" s="934"/>
      <c r="CL221" s="934"/>
      <c r="CM221" s="934"/>
      <c r="CN221" s="934"/>
      <c r="CO221" s="934"/>
      <c r="CP221" s="934"/>
      <c r="CQ221" s="934"/>
      <c r="CR221" s="934"/>
      <c r="CS221" s="934"/>
      <c r="CT221" s="934"/>
      <c r="CU221" s="934"/>
      <c r="CV221" s="934"/>
      <c r="CW221" s="934"/>
      <c r="CX221" s="934"/>
      <c r="CY221" s="934"/>
      <c r="CZ221" s="934"/>
      <c r="DA221" s="934"/>
      <c r="DB221" s="934"/>
      <c r="DC221" s="934"/>
      <c r="DD221" s="934"/>
      <c r="DE221" s="934"/>
      <c r="DF221" s="934"/>
      <c r="DG221" s="934"/>
      <c r="DH221" s="934"/>
      <c r="DI221" s="934"/>
      <c r="DJ221" s="934"/>
      <c r="DK221" s="934"/>
      <c r="DL221" s="934"/>
      <c r="DM221" s="934"/>
      <c r="DN221" s="934"/>
      <c r="DO221" s="934"/>
      <c r="DP221" s="934"/>
      <c r="DQ221" s="934"/>
      <c r="DR221" s="934"/>
      <c r="DS221" s="934"/>
      <c r="DT221" s="934"/>
      <c r="DU221" s="934"/>
      <c r="DV221" s="934"/>
      <c r="DW221" s="934"/>
      <c r="DX221" s="934"/>
      <c r="DY221" s="934"/>
      <c r="DZ221" s="934"/>
      <c r="EA221" s="934"/>
      <c r="EB221" s="934"/>
      <c r="EC221" s="934"/>
      <c r="ED221" s="934"/>
      <c r="EE221" s="934"/>
      <c r="EF221" s="934"/>
      <c r="EG221" s="934"/>
      <c r="EH221" s="934"/>
      <c r="EI221" s="934"/>
      <c r="EJ221" s="934"/>
      <c r="EK221" s="934"/>
      <c r="EL221" s="934"/>
      <c r="EM221" s="934"/>
      <c r="EN221" s="934"/>
      <c r="EO221" s="934"/>
      <c r="EP221" s="934"/>
      <c r="EQ221" s="934"/>
      <c r="ER221" s="934"/>
      <c r="ES221" s="934"/>
      <c r="ET221" s="934"/>
      <c r="EU221" s="934"/>
      <c r="EV221" s="934"/>
      <c r="EW221" s="934"/>
      <c r="EX221" s="934"/>
      <c r="EY221" s="934"/>
      <c r="EZ221" s="934"/>
      <c r="FA221" s="934"/>
      <c r="FB221" s="934"/>
      <c r="FC221" s="934"/>
      <c r="FD221" s="934"/>
      <c r="FE221" s="934"/>
      <c r="FF221" s="934"/>
      <c r="FG221" s="934"/>
      <c r="FH221" s="934"/>
      <c r="FI221" s="934"/>
      <c r="FJ221" s="934"/>
      <c r="FK221" s="934"/>
      <c r="FL221" s="934"/>
      <c r="FM221" s="934"/>
      <c r="FN221" s="934"/>
      <c r="FO221" s="934"/>
      <c r="FP221" s="934"/>
      <c r="FQ221" s="934"/>
      <c r="FR221" s="934"/>
      <c r="FS221" s="934"/>
      <c r="FT221" s="934"/>
      <c r="FU221" s="934"/>
      <c r="FV221" s="934"/>
      <c r="FW221" s="934"/>
      <c r="FX221" s="934"/>
      <c r="FY221" s="934"/>
      <c r="FZ221" s="934"/>
      <c r="GA221" s="934"/>
      <c r="GB221" s="934"/>
      <c r="GC221" s="934"/>
      <c r="GD221" s="934"/>
      <c r="GE221" s="934"/>
      <c r="GF221" s="934"/>
      <c r="GG221" s="934"/>
      <c r="GH221" s="934"/>
      <c r="GI221" s="934"/>
      <c r="GJ221" s="934"/>
      <c r="GK221" s="934"/>
      <c r="GL221" s="934"/>
      <c r="GM221" s="934"/>
      <c r="GN221" s="934"/>
      <c r="GO221" s="934"/>
      <c r="GP221" s="934"/>
      <c r="GQ221" s="934"/>
      <c r="GR221" s="934"/>
      <c r="GS221" s="934"/>
      <c r="GT221" s="934"/>
      <c r="GU221" s="934"/>
      <c r="GV221" s="934"/>
      <c r="GW221" s="934"/>
      <c r="GX221" s="934"/>
      <c r="GY221" s="934"/>
      <c r="GZ221" s="934"/>
      <c r="HA221" s="934"/>
      <c r="HB221" s="934"/>
      <c r="HC221" s="934"/>
      <c r="HD221" s="934"/>
      <c r="HE221" s="934"/>
      <c r="HF221" s="934"/>
      <c r="HG221" s="934"/>
      <c r="HH221" s="934"/>
      <c r="HI221" s="934"/>
      <c r="HJ221" s="934"/>
      <c r="HK221" s="934"/>
      <c r="HL221" s="934"/>
      <c r="HM221" s="934"/>
      <c r="HN221" s="934"/>
      <c r="HO221" s="934"/>
      <c r="HP221" s="934"/>
      <c r="HQ221" s="934"/>
      <c r="HR221" s="934"/>
      <c r="HS221" s="934"/>
      <c r="HT221" s="934"/>
    </row>
    <row r="222" spans="1:228" ht="15" customHeight="1" x14ac:dyDescent="0.2">
      <c r="B222" s="354" t="s">
        <v>598</v>
      </c>
      <c r="C222" s="1308"/>
      <c r="D222" s="1308"/>
      <c r="E222" s="1558">
        <f>LETable!AT36</f>
        <v>0</v>
      </c>
      <c r="F222" s="1558"/>
      <c r="G222" s="1637"/>
      <c r="H222" s="1637"/>
      <c r="I222" s="1637"/>
      <c r="J222" s="1869">
        <f>IF(C222="",0,IF(OR(C222&lt;=0,G222&lt;=0),E222,IF(G222&lt;C222,0,LETable!AY36)))</f>
        <v>0</v>
      </c>
      <c r="K222" s="1869"/>
      <c r="L222" s="1938" t="str">
        <f>IF(OR(C222="NA",G222="NA"),"",IF(AND(C222&lt;&gt;"",G222=""),"Enter contralateral or NA.",IF(AND(C222="",G222&lt;&gt;""),"Need data","")))</f>
        <v/>
      </c>
      <c r="M222" s="1938"/>
      <c r="N222" s="1938"/>
      <c r="O222" s="1939"/>
      <c r="P222" s="1905"/>
      <c r="R222" s="242">
        <f>J222+J224+AC223</f>
        <v>0</v>
      </c>
      <c r="S222" s="937">
        <v>30</v>
      </c>
      <c r="T222" s="937" t="str">
        <f>IF(OR(C222="",C222="NA"),"",IF(C222&gt;S222,S222,IF(C222&lt;0,0,C222)))</f>
        <v/>
      </c>
      <c r="U222" s="937" t="str">
        <f>IF(OR(G222="",G222="NA"),"",IF(G222&gt;S222,S222,IF(G222&lt;0,0,G222)))</f>
        <v/>
      </c>
      <c r="V222" s="696" t="str">
        <f>IF(W222="","",ROUND(W222,0))</f>
        <v/>
      </c>
      <c r="W222" s="697" t="str">
        <f>IF(T222="","",IF(OR(U222="",U222=0,U222&lt;T222),T222,(T222*S222)/U222))</f>
        <v/>
      </c>
      <c r="X222" s="946"/>
      <c r="Y222" s="940">
        <f>COUNTIF(Y223:Y224,1)</f>
        <v>0</v>
      </c>
      <c r="Z222" s="940">
        <f>COUNTIF(Z223:Z224,2)</f>
        <v>0</v>
      </c>
      <c r="AB222" s="18"/>
      <c r="AC222" s="18"/>
      <c r="AD222" s="18"/>
      <c r="AE222" s="18"/>
      <c r="AF222" s="18"/>
      <c r="AG222" s="18"/>
      <c r="AH222" s="18"/>
      <c r="AI222" s="111"/>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4"/>
      <c r="BR222" s="14"/>
      <c r="BS222" s="14"/>
      <c r="BT222" s="14"/>
      <c r="BU222" s="14"/>
      <c r="BV222" s="14"/>
      <c r="BW222" s="14"/>
      <c r="BX222" s="14"/>
      <c r="BY222" s="14"/>
      <c r="BZ222" s="14"/>
      <c r="CA222" s="14"/>
      <c r="CB222" s="14"/>
      <c r="CC222" s="14"/>
      <c r="CD222" s="14"/>
      <c r="CE222" s="14"/>
      <c r="CF222" s="14"/>
      <c r="CG222" s="14"/>
      <c r="CH222" s="14"/>
      <c r="CI222" s="14"/>
      <c r="CJ222" s="14"/>
      <c r="CK222" s="14"/>
      <c r="CL222" s="14"/>
      <c r="CM222" s="14"/>
      <c r="CN222" s="14"/>
      <c r="CO222" s="14"/>
      <c r="CP222" s="14"/>
      <c r="CQ222" s="14"/>
      <c r="CR222" s="14"/>
      <c r="CS222" s="14"/>
      <c r="CT222" s="14"/>
      <c r="CU222" s="14"/>
      <c r="CV222" s="14"/>
      <c r="CW222" s="14"/>
      <c r="CX222" s="14"/>
      <c r="CY222" s="14"/>
      <c r="CZ222" s="14"/>
      <c r="DA222" s="14"/>
      <c r="DB222" s="14"/>
      <c r="DC222" s="14"/>
      <c r="DD222" s="14"/>
      <c r="DE222" s="14"/>
      <c r="DF222" s="14"/>
      <c r="DG222" s="14"/>
      <c r="DH222" s="14"/>
      <c r="DI222" s="14"/>
      <c r="DJ222" s="14"/>
      <c r="DK222" s="14"/>
      <c r="DL222" s="14"/>
      <c r="DM222" s="14"/>
      <c r="DN222" s="14"/>
      <c r="DO222" s="14"/>
      <c r="DP222" s="14"/>
      <c r="DQ222" s="14"/>
      <c r="DR222" s="14"/>
      <c r="DS222" s="14"/>
      <c r="DT222" s="14"/>
      <c r="DU222" s="14"/>
      <c r="DV222" s="14"/>
      <c r="DW222" s="14"/>
      <c r="DX222" s="14"/>
      <c r="DY222" s="14"/>
      <c r="DZ222" s="14"/>
      <c r="EA222" s="14"/>
      <c r="EB222" s="14"/>
      <c r="EC222" s="14"/>
      <c r="ED222" s="14"/>
      <c r="EE222" s="14"/>
      <c r="EF222" s="14"/>
      <c r="EG222" s="14"/>
      <c r="EH222" s="14"/>
      <c r="EI222" s="14"/>
      <c r="EJ222" s="14"/>
      <c r="EK222" s="14"/>
      <c r="EL222" s="14"/>
      <c r="EM222" s="14"/>
      <c r="EN222" s="14"/>
      <c r="EO222" s="14"/>
      <c r="EP222" s="14"/>
      <c r="EQ222" s="14"/>
      <c r="ER222" s="14"/>
      <c r="ES222" s="14"/>
      <c r="ET222" s="14"/>
      <c r="EU222" s="14"/>
      <c r="EV222" s="14"/>
      <c r="EW222" s="14"/>
      <c r="EX222" s="14"/>
      <c r="EY222" s="14"/>
      <c r="EZ222" s="14"/>
      <c r="FA222" s="14"/>
      <c r="FB222" s="14"/>
      <c r="FC222" s="14"/>
      <c r="FD222" s="14"/>
      <c r="FE222" s="14"/>
      <c r="FF222" s="14"/>
      <c r="FG222" s="14"/>
      <c r="FH222" s="14"/>
      <c r="FI222" s="14"/>
      <c r="FJ222" s="14"/>
      <c r="FK222" s="14"/>
      <c r="FL222" s="14"/>
      <c r="FM222" s="14"/>
      <c r="FN222" s="14"/>
      <c r="FO222" s="14"/>
      <c r="FP222" s="14"/>
      <c r="FQ222" s="14"/>
      <c r="FR222" s="14"/>
      <c r="FS222" s="14"/>
      <c r="FT222" s="14"/>
      <c r="FU222" s="14"/>
      <c r="FV222" s="14"/>
      <c r="FW222" s="14"/>
      <c r="FX222" s="14"/>
      <c r="FY222" s="14"/>
      <c r="FZ222" s="14"/>
      <c r="GA222" s="14"/>
      <c r="GB222" s="14"/>
      <c r="GC222" s="14"/>
      <c r="GD222" s="14"/>
      <c r="GE222" s="14"/>
      <c r="GF222" s="14"/>
      <c r="GG222" s="14"/>
      <c r="GH222" s="14"/>
      <c r="GI222" s="14"/>
      <c r="GJ222" s="14"/>
      <c r="GK222" s="14"/>
      <c r="GL222" s="14"/>
      <c r="GM222" s="14"/>
      <c r="GN222" s="14"/>
      <c r="GO222" s="14"/>
      <c r="GP222" s="14"/>
      <c r="GQ222" s="14"/>
      <c r="GR222" s="14"/>
      <c r="GS222" s="14"/>
      <c r="GT222" s="14"/>
      <c r="GU222" s="14"/>
      <c r="GV222" s="14"/>
      <c r="GW222" s="14"/>
      <c r="GX222" s="14"/>
      <c r="GY222" s="14"/>
      <c r="GZ222" s="14"/>
      <c r="HA222" s="14"/>
      <c r="HB222" s="14"/>
      <c r="HC222" s="14"/>
      <c r="HD222" s="14"/>
      <c r="HE222" s="14"/>
      <c r="HF222" s="14"/>
      <c r="HG222" s="14"/>
      <c r="HH222" s="14"/>
      <c r="HI222" s="14"/>
      <c r="HJ222" s="14"/>
      <c r="HK222" s="14"/>
      <c r="HL222" s="14"/>
      <c r="HM222" s="14"/>
      <c r="HN222" s="14"/>
      <c r="HO222" s="14"/>
      <c r="HP222" s="14"/>
      <c r="HQ222" s="14"/>
      <c r="HR222" s="14"/>
      <c r="HS222" s="14"/>
      <c r="HT222" s="14"/>
    </row>
    <row r="223" spans="1:228" ht="15" customHeight="1" x14ac:dyDescent="0.2">
      <c r="B223" s="335" t="s">
        <v>485</v>
      </c>
      <c r="C223" s="1308"/>
      <c r="D223" s="1308"/>
      <c r="E223" s="1558">
        <f>IF(AND($Y$222&gt;0,$Z$222&gt;0),"ERROR",LETable!AT37)</f>
        <v>0</v>
      </c>
      <c r="F223" s="1558"/>
      <c r="G223" s="1938" t="str">
        <f>IF(AND($Y$222&gt;0,$Z$222&gt;0),"Cannot rate ROM and ankylosis in the foot.","")</f>
        <v/>
      </c>
      <c r="H223" s="1938"/>
      <c r="I223" s="1938"/>
      <c r="J223" s="1938"/>
      <c r="K223" s="1938"/>
      <c r="L223" s="1938"/>
      <c r="M223" s="1938"/>
      <c r="N223" s="1938"/>
      <c r="O223" s="1939"/>
      <c r="P223" s="1905"/>
      <c r="R223" s="747">
        <f>IF(AC223&gt;0,R222,IF(AND(AC229&gt;0,C233&gt;0),C233*R222,R222))</f>
        <v>0</v>
      </c>
      <c r="S223" s="937">
        <v>30</v>
      </c>
      <c r="T223" s="937" t="str">
        <f>IF(OR(C223="",C223="NA"),"",IF(C223&gt;S223,S223,IF(C223&lt;0,0,C223)))</f>
        <v/>
      </c>
      <c r="U223" s="18"/>
      <c r="Y223" s="940">
        <f>IF(AND(C222&lt;&gt;"",C222&lt;&gt;"NA"),1,0)</f>
        <v>0</v>
      </c>
      <c r="Z223" s="940">
        <f>IF(AND(C223&lt;&gt;"",C223&lt;&gt;"NA"),2,0)</f>
        <v>0</v>
      </c>
      <c r="AB223" s="73"/>
      <c r="AC223" s="242">
        <f>MAX(E223,E225)</f>
        <v>0</v>
      </c>
      <c r="AD223" s="1410" t="s">
        <v>1943</v>
      </c>
      <c r="AE223" s="1410"/>
      <c r="AF223" s="1410"/>
      <c r="AG223" s="1410"/>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4"/>
      <c r="BR223" s="14"/>
      <c r="BS223" s="14"/>
      <c r="BT223" s="14"/>
      <c r="BU223" s="14"/>
      <c r="BV223" s="14"/>
      <c r="BW223" s="14"/>
      <c r="BX223" s="14"/>
      <c r="BY223" s="14"/>
      <c r="BZ223" s="14"/>
      <c r="CA223" s="14"/>
      <c r="CB223" s="14"/>
      <c r="CC223" s="14"/>
      <c r="CD223" s="14"/>
      <c r="CE223" s="14"/>
      <c r="CF223" s="14"/>
      <c r="CG223" s="14"/>
      <c r="CH223" s="14"/>
      <c r="CI223" s="14"/>
      <c r="CJ223" s="14"/>
      <c r="CK223" s="14"/>
      <c r="CL223" s="14"/>
      <c r="CM223" s="14"/>
      <c r="CN223" s="14"/>
      <c r="CO223" s="14"/>
      <c r="CP223" s="14"/>
      <c r="CQ223" s="14"/>
      <c r="CR223" s="14"/>
      <c r="CS223" s="14"/>
      <c r="CT223" s="14"/>
      <c r="CU223" s="14"/>
      <c r="CV223" s="14"/>
      <c r="CW223" s="14"/>
      <c r="CX223" s="14"/>
      <c r="CY223" s="14"/>
      <c r="CZ223" s="14"/>
      <c r="DA223" s="14"/>
      <c r="DB223" s="14"/>
      <c r="DC223" s="14"/>
      <c r="DD223" s="14"/>
      <c r="DE223" s="14"/>
      <c r="DF223" s="14"/>
      <c r="DG223" s="14"/>
      <c r="DH223" s="14"/>
      <c r="DI223" s="14"/>
      <c r="DJ223" s="14"/>
      <c r="DK223" s="14"/>
      <c r="DL223" s="14"/>
      <c r="DM223" s="14"/>
      <c r="DN223" s="14"/>
      <c r="DO223" s="14"/>
      <c r="DP223" s="14"/>
      <c r="DQ223" s="14"/>
      <c r="DR223" s="14"/>
      <c r="DS223" s="14"/>
      <c r="DT223" s="14"/>
      <c r="DU223" s="14"/>
      <c r="DV223" s="14"/>
      <c r="DW223" s="14"/>
      <c r="DX223" s="14"/>
      <c r="DY223" s="14"/>
      <c r="DZ223" s="14"/>
      <c r="EA223" s="14"/>
      <c r="EB223" s="14"/>
      <c r="EC223" s="14"/>
      <c r="ED223" s="14"/>
      <c r="EE223" s="14"/>
      <c r="EF223" s="14"/>
      <c r="EG223" s="14"/>
      <c r="EH223" s="14"/>
      <c r="EI223" s="14"/>
      <c r="EJ223" s="14"/>
      <c r="EK223" s="14"/>
      <c r="EL223" s="14"/>
      <c r="EM223" s="14"/>
      <c r="EN223" s="14"/>
      <c r="EO223" s="14"/>
      <c r="EP223" s="14"/>
      <c r="EQ223" s="14"/>
      <c r="ER223" s="14"/>
      <c r="ES223" s="14"/>
      <c r="ET223" s="14"/>
      <c r="EU223" s="14"/>
      <c r="EV223" s="14"/>
      <c r="EW223" s="14"/>
      <c r="EX223" s="14"/>
      <c r="EY223" s="14"/>
      <c r="EZ223" s="14"/>
      <c r="FA223" s="14"/>
      <c r="FB223" s="14"/>
      <c r="FC223" s="14"/>
      <c r="FD223" s="14"/>
      <c r="FE223" s="14"/>
      <c r="FF223" s="14"/>
      <c r="FG223" s="14"/>
      <c r="FH223" s="14"/>
      <c r="FI223" s="14"/>
      <c r="FJ223" s="14"/>
      <c r="FK223" s="14"/>
      <c r="FL223" s="14"/>
      <c r="FM223" s="14"/>
      <c r="FN223" s="14"/>
      <c r="FO223" s="14"/>
      <c r="FP223" s="14"/>
      <c r="FQ223" s="14"/>
      <c r="FR223" s="14"/>
      <c r="FS223" s="14"/>
      <c r="FT223" s="14"/>
      <c r="FU223" s="14"/>
      <c r="FV223" s="14"/>
      <c r="FW223" s="14"/>
      <c r="FX223" s="14"/>
      <c r="FY223" s="14"/>
      <c r="FZ223" s="14"/>
      <c r="GA223" s="14"/>
      <c r="GB223" s="14"/>
      <c r="GC223" s="14"/>
      <c r="GD223" s="14"/>
      <c r="GE223" s="14"/>
      <c r="GF223" s="14"/>
      <c r="GG223" s="14"/>
      <c r="GH223" s="14"/>
      <c r="GI223" s="14"/>
      <c r="GJ223" s="14"/>
      <c r="GK223" s="14"/>
      <c r="GL223" s="14"/>
      <c r="GM223" s="14"/>
      <c r="GN223" s="14"/>
      <c r="GO223" s="14"/>
      <c r="GP223" s="14"/>
      <c r="GQ223" s="14"/>
      <c r="GR223" s="14"/>
      <c r="GS223" s="14"/>
      <c r="GT223" s="14"/>
      <c r="GU223" s="14"/>
      <c r="GV223" s="14"/>
      <c r="GW223" s="14"/>
      <c r="GX223" s="14"/>
      <c r="GY223" s="14"/>
      <c r="GZ223" s="14"/>
      <c r="HA223" s="14"/>
      <c r="HB223" s="14"/>
      <c r="HC223" s="14"/>
      <c r="HD223" s="14"/>
      <c r="HE223" s="14"/>
      <c r="HF223" s="14"/>
      <c r="HG223" s="14"/>
      <c r="HH223" s="14"/>
      <c r="HI223" s="14"/>
      <c r="HJ223" s="14"/>
      <c r="HK223" s="14"/>
      <c r="HL223" s="14"/>
      <c r="HM223" s="14"/>
      <c r="HN223" s="14"/>
      <c r="HO223" s="14"/>
      <c r="HP223" s="14"/>
      <c r="HQ223" s="14"/>
      <c r="HR223" s="14"/>
      <c r="HS223" s="14"/>
      <c r="HT223" s="14"/>
    </row>
    <row r="224" spans="1:228" ht="15" customHeight="1" x14ac:dyDescent="0.2">
      <c r="B224" s="335" t="s">
        <v>486</v>
      </c>
      <c r="C224" s="1308"/>
      <c r="D224" s="1308"/>
      <c r="E224" s="1558">
        <f>LETable!AT38</f>
        <v>0</v>
      </c>
      <c r="F224" s="1558"/>
      <c r="G224" s="1637"/>
      <c r="H224" s="1637"/>
      <c r="I224" s="1637"/>
      <c r="J224" s="1869">
        <f>IF(C224="",0,IF(OR(C224&lt;=0,G224&lt;=0),E224,IF(G224&lt;C224,0,LETable!AY38)))</f>
        <v>0</v>
      </c>
      <c r="K224" s="1869"/>
      <c r="L224" s="1938" t="str">
        <f>IF(OR(C224="NA",G224="NA"),"",IF(AND(C224&lt;&gt;"",G224=""),"Enter contralateral or NA.",IF(AND(C224="",G224&lt;&gt;""),"Need data","")))</f>
        <v/>
      </c>
      <c r="M224" s="1938"/>
      <c r="N224" s="1938"/>
      <c r="O224" s="1939"/>
      <c r="P224" s="1905"/>
      <c r="R224" s="1161"/>
      <c r="S224" s="937">
        <v>20</v>
      </c>
      <c r="T224" s="937" t="str">
        <f>IF(OR(C224="",C224="NA"),"",IF(C224&gt;S224,S224,IF(C224&lt;0,0,C224)))</f>
        <v/>
      </c>
      <c r="U224" s="937" t="str">
        <f>IF(OR(G224="",G224="NA"),"",IF(G224&gt;S224,S224,IF(G224&lt;0,0,G224)))</f>
        <v/>
      </c>
      <c r="V224" s="696" t="str">
        <f>IF(W224="","",ROUND(W224,0))</f>
        <v/>
      </c>
      <c r="W224" s="697" t="str">
        <f>IF(T224="","",IF(OR(U224="",U224=0,U224&lt;T224),T224,(T224*S224)/U224))</f>
        <v/>
      </c>
      <c r="X224" s="18"/>
      <c r="Y224" s="940">
        <f>IF(AND(C224&lt;&gt;"",C224&lt;&gt;"NA"),1,0)</f>
        <v>0</v>
      </c>
      <c r="Z224" s="940">
        <f>IF(AND(C225&lt;&gt;"",C225&lt;&gt;"NA"),2,0)</f>
        <v>0</v>
      </c>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4"/>
      <c r="BR224" s="14"/>
      <c r="BS224" s="14"/>
      <c r="BT224" s="14"/>
      <c r="BU224" s="14"/>
      <c r="BV224" s="14"/>
      <c r="BW224" s="14"/>
      <c r="BX224" s="14"/>
      <c r="BY224" s="14"/>
      <c r="BZ224" s="14"/>
      <c r="CA224" s="14"/>
      <c r="CB224" s="14"/>
      <c r="CC224" s="14"/>
      <c r="CD224" s="14"/>
      <c r="CE224" s="14"/>
      <c r="CF224" s="14"/>
      <c r="CG224" s="14"/>
      <c r="CH224" s="14"/>
      <c r="CI224" s="14"/>
      <c r="CJ224" s="14"/>
      <c r="CK224" s="14"/>
      <c r="CL224" s="14"/>
      <c r="CM224" s="14"/>
      <c r="CN224" s="14"/>
      <c r="CO224" s="14"/>
      <c r="CP224" s="14"/>
      <c r="CQ224" s="14"/>
      <c r="CR224" s="14"/>
      <c r="CS224" s="14"/>
      <c r="CT224" s="14"/>
      <c r="CU224" s="14"/>
      <c r="CV224" s="14"/>
      <c r="CW224" s="14"/>
      <c r="CX224" s="14"/>
      <c r="CY224" s="14"/>
      <c r="CZ224" s="14"/>
      <c r="DA224" s="14"/>
      <c r="DB224" s="14"/>
      <c r="DC224" s="14"/>
      <c r="DD224" s="14"/>
      <c r="DE224" s="14"/>
      <c r="DF224" s="14"/>
      <c r="DG224" s="14"/>
      <c r="DH224" s="14"/>
      <c r="DI224" s="14"/>
      <c r="DJ224" s="14"/>
      <c r="DK224" s="14"/>
      <c r="DL224" s="14"/>
      <c r="DM224" s="14"/>
      <c r="DN224" s="14"/>
      <c r="DO224" s="14"/>
      <c r="DP224" s="14"/>
      <c r="DQ224" s="14"/>
      <c r="DR224" s="14"/>
      <c r="DS224" s="14"/>
      <c r="DT224" s="14"/>
      <c r="DU224" s="14"/>
      <c r="DV224" s="14"/>
      <c r="DW224" s="14"/>
      <c r="DX224" s="14"/>
      <c r="DY224" s="14"/>
      <c r="DZ224" s="14"/>
      <c r="EA224" s="14"/>
      <c r="EB224" s="14"/>
      <c r="EC224" s="14"/>
      <c r="ED224" s="14"/>
      <c r="EE224" s="14"/>
      <c r="EF224" s="14"/>
      <c r="EG224" s="14"/>
      <c r="EH224" s="14"/>
      <c r="EI224" s="14"/>
      <c r="EJ224" s="14"/>
      <c r="EK224" s="14"/>
      <c r="EL224" s="14"/>
      <c r="EM224" s="14"/>
      <c r="EN224" s="14"/>
      <c r="EO224" s="14"/>
      <c r="EP224" s="14"/>
      <c r="EQ224" s="14"/>
      <c r="ER224" s="14"/>
      <c r="ES224" s="14"/>
      <c r="ET224" s="14"/>
      <c r="EU224" s="14"/>
      <c r="EV224" s="14"/>
      <c r="EW224" s="14"/>
      <c r="EX224" s="14"/>
      <c r="EY224" s="14"/>
      <c r="EZ224" s="14"/>
      <c r="FA224" s="14"/>
      <c r="FB224" s="14"/>
      <c r="FC224" s="14"/>
      <c r="FD224" s="14"/>
      <c r="FE224" s="14"/>
      <c r="FF224" s="14"/>
      <c r="FG224" s="14"/>
      <c r="FH224" s="14"/>
      <c r="FI224" s="14"/>
      <c r="FJ224" s="14"/>
      <c r="FK224" s="14"/>
      <c r="FL224" s="14"/>
      <c r="FM224" s="14"/>
      <c r="FN224" s="14"/>
      <c r="FO224" s="14"/>
      <c r="FP224" s="14"/>
      <c r="FQ224" s="14"/>
      <c r="FR224" s="14"/>
      <c r="FS224" s="14"/>
      <c r="FT224" s="14"/>
      <c r="FU224" s="14"/>
      <c r="FV224" s="14"/>
      <c r="FW224" s="14"/>
      <c r="FX224" s="14"/>
      <c r="FY224" s="14"/>
      <c r="FZ224" s="14"/>
      <c r="GA224" s="14"/>
      <c r="GB224" s="14"/>
      <c r="GC224" s="14"/>
      <c r="GD224" s="14"/>
      <c r="GE224" s="14"/>
      <c r="GF224" s="14"/>
      <c r="GG224" s="14"/>
      <c r="GH224" s="14"/>
      <c r="GI224" s="14"/>
      <c r="GJ224" s="14"/>
      <c r="GK224" s="14"/>
      <c r="GL224" s="14"/>
      <c r="GM224" s="14"/>
      <c r="GN224" s="14"/>
      <c r="GO224" s="14"/>
      <c r="GP224" s="14"/>
      <c r="GQ224" s="14"/>
      <c r="GR224" s="14"/>
      <c r="GS224" s="14"/>
      <c r="GT224" s="14"/>
      <c r="GU224" s="14"/>
      <c r="GV224" s="14"/>
      <c r="GW224" s="14"/>
      <c r="GX224" s="14"/>
      <c r="GY224" s="14"/>
      <c r="GZ224" s="14"/>
      <c r="HA224" s="14"/>
      <c r="HB224" s="14"/>
      <c r="HC224" s="14"/>
      <c r="HD224" s="14"/>
      <c r="HE224" s="14"/>
      <c r="HF224" s="14"/>
      <c r="HG224" s="14"/>
      <c r="HH224" s="14"/>
      <c r="HI224" s="14"/>
      <c r="HJ224" s="14"/>
      <c r="HK224" s="14"/>
      <c r="HL224" s="14"/>
      <c r="HM224" s="14"/>
      <c r="HN224" s="14"/>
      <c r="HO224" s="14"/>
      <c r="HP224" s="14"/>
      <c r="HQ224" s="14"/>
      <c r="HR224" s="14"/>
      <c r="HS224" s="14"/>
      <c r="HT224" s="14"/>
    </row>
    <row r="225" spans="1:228" ht="15" customHeight="1" x14ac:dyDescent="0.2">
      <c r="B225" s="335" t="s">
        <v>487</v>
      </c>
      <c r="C225" s="1308"/>
      <c r="D225" s="1308"/>
      <c r="E225" s="1558">
        <f>IF(AND($Y$222&gt;0,$Z$222&gt;0),"ERROR",LETable!AT39)</f>
        <v>0</v>
      </c>
      <c r="F225" s="1558"/>
      <c r="G225" s="1866" t="str">
        <f>IF(AND($Y$222&gt;0,$Z$222&gt;0),"Cannot rate ROM and ankylosis in the foot.",IF(AND(C223&lt;&gt;"",C223&lt;&gt;"NA",C225&lt;&gt;"",C225&lt;&gt;"NA"),"Multiple ankylosis values; use higher value only.",""))</f>
        <v/>
      </c>
      <c r="H225" s="1867"/>
      <c r="I225" s="1867"/>
      <c r="J225" s="1867"/>
      <c r="K225" s="1867"/>
      <c r="L225" s="1867"/>
      <c r="M225" s="1867"/>
      <c r="N225" s="1867"/>
      <c r="O225" s="1868"/>
      <c r="P225" s="1905"/>
      <c r="R225" s="1161"/>
      <c r="S225" s="1127">
        <v>20</v>
      </c>
      <c r="T225" s="937" t="str">
        <f>IF(OR(C225="",C225="NA"),"",IF(C225&gt;S225,S225,IF(C225&lt;0,0,C225)))</f>
        <v/>
      </c>
      <c r="U225" s="18"/>
      <c r="V225" s="18"/>
      <c r="W225" s="18"/>
      <c r="X225" s="18"/>
      <c r="Y225" s="18"/>
      <c r="Z225" s="18"/>
      <c r="AA225" s="18"/>
      <c r="AB225" s="18"/>
      <c r="AC225" s="18"/>
      <c r="AD225" s="18"/>
      <c r="AE225" s="18"/>
      <c r="AF225" s="18"/>
      <c r="AG225" s="18"/>
      <c r="AH225" s="18"/>
      <c r="AI225" s="18"/>
      <c r="AJ225" s="47"/>
      <c r="AK225" s="47"/>
      <c r="AL225" s="47"/>
      <c r="AM225" s="47"/>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4"/>
      <c r="BR225" s="14"/>
      <c r="BS225" s="14"/>
      <c r="BT225" s="14"/>
      <c r="BU225" s="14"/>
      <c r="BV225" s="14"/>
      <c r="BW225" s="14"/>
      <c r="BX225" s="14"/>
      <c r="BY225" s="14"/>
      <c r="BZ225" s="14"/>
      <c r="CA225" s="14"/>
      <c r="CB225" s="14"/>
      <c r="CC225" s="14"/>
      <c r="CD225" s="14"/>
      <c r="CE225" s="14"/>
      <c r="CF225" s="14"/>
      <c r="CG225" s="14"/>
      <c r="CH225" s="14"/>
      <c r="CI225" s="14"/>
      <c r="CJ225" s="14"/>
      <c r="CK225" s="14"/>
      <c r="CL225" s="14"/>
      <c r="CM225" s="14"/>
      <c r="CN225" s="14"/>
      <c r="CO225" s="14"/>
      <c r="CP225" s="14"/>
      <c r="CQ225" s="14"/>
      <c r="CR225" s="14"/>
      <c r="CS225" s="14"/>
      <c r="CT225" s="14"/>
      <c r="CU225" s="14"/>
      <c r="CV225" s="14"/>
      <c r="CW225" s="14"/>
      <c r="CX225" s="14"/>
      <c r="CY225" s="14"/>
      <c r="CZ225" s="14"/>
      <c r="DA225" s="14"/>
      <c r="DB225" s="14"/>
      <c r="DC225" s="14"/>
      <c r="DD225" s="14"/>
      <c r="DE225" s="14"/>
      <c r="DF225" s="14"/>
      <c r="DG225" s="14"/>
      <c r="DH225" s="14"/>
      <c r="DI225" s="14"/>
      <c r="DJ225" s="14"/>
      <c r="DK225" s="14"/>
      <c r="DL225" s="14"/>
      <c r="DM225" s="14"/>
      <c r="DN225" s="14"/>
      <c r="DO225" s="14"/>
      <c r="DP225" s="14"/>
      <c r="DQ225" s="14"/>
      <c r="DR225" s="14"/>
      <c r="DS225" s="14"/>
      <c r="DT225" s="14"/>
      <c r="DU225" s="14"/>
      <c r="DV225" s="14"/>
      <c r="DW225" s="14"/>
      <c r="DX225" s="14"/>
      <c r="DY225" s="14"/>
      <c r="DZ225" s="14"/>
      <c r="EA225" s="14"/>
      <c r="EB225" s="14"/>
      <c r="EC225" s="14"/>
      <c r="ED225" s="14"/>
      <c r="EE225" s="14"/>
      <c r="EF225" s="14"/>
      <c r="EG225" s="14"/>
      <c r="EH225" s="14"/>
      <c r="EI225" s="14"/>
      <c r="EJ225" s="14"/>
      <c r="EK225" s="14"/>
      <c r="EL225" s="14"/>
      <c r="EM225" s="14"/>
      <c r="EN225" s="14"/>
      <c r="EO225" s="14"/>
      <c r="EP225" s="14"/>
      <c r="EQ225" s="14"/>
      <c r="ER225" s="14"/>
      <c r="ES225" s="14"/>
      <c r="ET225" s="14"/>
      <c r="EU225" s="14"/>
      <c r="EV225" s="14"/>
      <c r="EW225" s="14"/>
      <c r="EX225" s="14"/>
      <c r="EY225" s="14"/>
      <c r="EZ225" s="14"/>
      <c r="FA225" s="14"/>
      <c r="FB225" s="14"/>
      <c r="FC225" s="14"/>
      <c r="FD225" s="14"/>
      <c r="FE225" s="14"/>
      <c r="FF225" s="14"/>
      <c r="FG225" s="14"/>
      <c r="FH225" s="14"/>
      <c r="FI225" s="14"/>
      <c r="FJ225" s="14"/>
      <c r="FK225" s="14"/>
      <c r="FL225" s="14"/>
      <c r="FM225" s="14"/>
      <c r="FN225" s="14"/>
      <c r="FO225" s="14"/>
      <c r="FP225" s="14"/>
      <c r="FQ225" s="14"/>
      <c r="FR225" s="14"/>
      <c r="FS225" s="14"/>
      <c r="FT225" s="14"/>
      <c r="FU225" s="14"/>
      <c r="FV225" s="14"/>
      <c r="FW225" s="14"/>
      <c r="FX225" s="14"/>
      <c r="FY225" s="14"/>
      <c r="FZ225" s="14"/>
      <c r="GA225" s="14"/>
      <c r="GB225" s="14"/>
      <c r="GC225" s="14"/>
      <c r="GD225" s="14"/>
      <c r="GE225" s="14"/>
      <c r="GF225" s="14"/>
      <c r="GG225" s="14"/>
      <c r="GH225" s="14"/>
      <c r="GI225" s="14"/>
      <c r="GJ225" s="14"/>
      <c r="GK225" s="14"/>
      <c r="GL225" s="14"/>
      <c r="GM225" s="14"/>
      <c r="GN225" s="14"/>
      <c r="GO225" s="14"/>
      <c r="GP225" s="14"/>
      <c r="GQ225" s="14"/>
      <c r="GR225" s="14"/>
      <c r="GS225" s="14"/>
      <c r="GT225" s="14"/>
      <c r="GU225" s="14"/>
      <c r="GV225" s="14"/>
      <c r="GW225" s="14"/>
      <c r="GX225" s="14"/>
      <c r="GY225" s="14"/>
      <c r="GZ225" s="14"/>
      <c r="HA225" s="14"/>
      <c r="HB225" s="14"/>
      <c r="HC225" s="14"/>
      <c r="HD225" s="14"/>
      <c r="HE225" s="14"/>
      <c r="HF225" s="14"/>
      <c r="HG225" s="14"/>
      <c r="HH225" s="14"/>
      <c r="HI225" s="14"/>
      <c r="HJ225" s="14"/>
      <c r="HK225" s="14"/>
      <c r="HL225" s="14"/>
      <c r="HM225" s="14"/>
      <c r="HN225" s="14"/>
      <c r="HO225" s="14"/>
      <c r="HP225" s="14"/>
      <c r="HQ225" s="14"/>
      <c r="HR225" s="14"/>
      <c r="HS225" s="14"/>
      <c r="HT225" s="14"/>
    </row>
    <row r="226" spans="1:228" ht="18" customHeight="1" x14ac:dyDescent="0.2">
      <c r="B226" s="1970" t="s">
        <v>2266</v>
      </c>
      <c r="C226" s="1971"/>
      <c r="D226" s="1971"/>
      <c r="E226" s="1971"/>
      <c r="F226" s="1971"/>
      <c r="G226" s="1971"/>
      <c r="H226" s="1971"/>
      <c r="I226" s="1971"/>
      <c r="J226" s="1971"/>
      <c r="K226" s="1971"/>
      <c r="L226" s="1971"/>
      <c r="M226" s="1971"/>
      <c r="N226" s="1972"/>
      <c r="O226" s="1109">
        <f>R223</f>
        <v>0</v>
      </c>
      <c r="P226" s="1905"/>
      <c r="R226" s="1160"/>
      <c r="S226" s="18"/>
      <c r="T226" s="18"/>
      <c r="U226" s="18"/>
      <c r="V226" s="18"/>
      <c r="W226" s="18"/>
      <c r="X226" s="18"/>
      <c r="Y226" s="945" t="s">
        <v>2236</v>
      </c>
      <c r="Z226" s="944" t="s">
        <v>2237</v>
      </c>
      <c r="AA226" s="18"/>
      <c r="AB226" s="18"/>
      <c r="AC226" s="18"/>
      <c r="AD226" s="18"/>
      <c r="AE226" s="18"/>
      <c r="AF226" s="18"/>
      <c r="AG226" s="18"/>
      <c r="AH226" s="18"/>
      <c r="AI226" s="18"/>
      <c r="AJ226" s="47"/>
      <c r="AK226" s="47"/>
      <c r="AL226" s="47"/>
      <c r="AM226" s="47"/>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4"/>
      <c r="BR226" s="14"/>
      <c r="BS226" s="14"/>
      <c r="BT226" s="14"/>
      <c r="BU226" s="14"/>
      <c r="BV226" s="14"/>
      <c r="BW226" s="14"/>
      <c r="BX226" s="14"/>
      <c r="BY226" s="14"/>
      <c r="BZ226" s="14"/>
      <c r="CA226" s="14"/>
      <c r="CB226" s="14"/>
      <c r="CC226" s="14"/>
      <c r="CD226" s="14"/>
      <c r="CE226" s="14"/>
      <c r="CF226" s="14"/>
      <c r="CG226" s="14"/>
      <c r="CH226" s="14"/>
      <c r="CI226" s="14"/>
      <c r="CJ226" s="14"/>
      <c r="CK226" s="14"/>
      <c r="CL226" s="14"/>
      <c r="CM226" s="14"/>
      <c r="CN226" s="14"/>
      <c r="CO226" s="14"/>
      <c r="CP226" s="14"/>
      <c r="CQ226" s="14"/>
      <c r="CR226" s="14"/>
      <c r="CS226" s="14"/>
      <c r="CT226" s="14"/>
      <c r="CU226" s="14"/>
      <c r="CV226" s="14"/>
      <c r="CW226" s="14"/>
      <c r="CX226" s="14"/>
      <c r="CY226" s="14"/>
      <c r="CZ226" s="14"/>
      <c r="DA226" s="14"/>
      <c r="DB226" s="14"/>
      <c r="DC226" s="14"/>
      <c r="DD226" s="14"/>
      <c r="DE226" s="14"/>
      <c r="DF226" s="14"/>
      <c r="DG226" s="14"/>
      <c r="DH226" s="14"/>
      <c r="DI226" s="14"/>
      <c r="DJ226" s="14"/>
      <c r="DK226" s="14"/>
      <c r="DL226" s="14"/>
      <c r="DM226" s="14"/>
      <c r="DN226" s="14"/>
      <c r="DO226" s="14"/>
      <c r="DP226" s="14"/>
      <c r="DQ226" s="14"/>
      <c r="DR226" s="14"/>
      <c r="DS226" s="14"/>
      <c r="DT226" s="14"/>
      <c r="DU226" s="14"/>
      <c r="DV226" s="14"/>
      <c r="DW226" s="14"/>
      <c r="DX226" s="14"/>
      <c r="DY226" s="14"/>
      <c r="DZ226" s="14"/>
      <c r="EA226" s="14"/>
      <c r="EB226" s="14"/>
      <c r="EC226" s="14"/>
      <c r="ED226" s="14"/>
      <c r="EE226" s="14"/>
      <c r="EF226" s="14"/>
      <c r="EG226" s="14"/>
      <c r="EH226" s="14"/>
      <c r="EI226" s="14"/>
      <c r="EJ226" s="14"/>
      <c r="EK226" s="14"/>
      <c r="EL226" s="14"/>
      <c r="EM226" s="14"/>
      <c r="EN226" s="14"/>
      <c r="EO226" s="14"/>
      <c r="EP226" s="14"/>
      <c r="EQ226" s="14"/>
      <c r="ER226" s="14"/>
      <c r="ES226" s="14"/>
      <c r="ET226" s="14"/>
      <c r="EU226" s="14"/>
      <c r="EV226" s="14"/>
      <c r="EW226" s="14"/>
      <c r="EX226" s="14"/>
      <c r="EY226" s="14"/>
      <c r="EZ226" s="14"/>
      <c r="FA226" s="14"/>
      <c r="FB226" s="14"/>
      <c r="FC226" s="14"/>
      <c r="FD226" s="14"/>
      <c r="FE226" s="14"/>
      <c r="FF226" s="14"/>
      <c r="FG226" s="14"/>
      <c r="FH226" s="14"/>
      <c r="FI226" s="14"/>
      <c r="FJ226" s="14"/>
      <c r="FK226" s="14"/>
      <c r="FL226" s="14"/>
      <c r="FM226" s="14"/>
      <c r="FN226" s="14"/>
      <c r="FO226" s="14"/>
      <c r="FP226" s="14"/>
      <c r="FQ226" s="14"/>
      <c r="FR226" s="14"/>
      <c r="FS226" s="14"/>
      <c r="FT226" s="14"/>
      <c r="FU226" s="14"/>
      <c r="FV226" s="14"/>
      <c r="FW226" s="14"/>
      <c r="FX226" s="14"/>
      <c r="FY226" s="14"/>
      <c r="FZ226" s="14"/>
      <c r="GA226" s="14"/>
      <c r="GB226" s="14"/>
      <c r="GC226" s="14"/>
      <c r="GD226" s="14"/>
      <c r="GE226" s="14"/>
      <c r="GF226" s="14"/>
      <c r="GG226" s="14"/>
      <c r="GH226" s="14"/>
      <c r="GI226" s="14"/>
      <c r="GJ226" s="14"/>
      <c r="GK226" s="14"/>
      <c r="GL226" s="14"/>
      <c r="GM226" s="14"/>
      <c r="GN226" s="14"/>
      <c r="GO226" s="14"/>
      <c r="GP226" s="14"/>
      <c r="GQ226" s="14"/>
      <c r="GR226" s="14"/>
      <c r="GS226" s="14"/>
      <c r="GT226" s="14"/>
      <c r="GU226" s="14"/>
      <c r="GV226" s="14"/>
      <c r="GW226" s="14"/>
      <c r="GX226" s="14"/>
      <c r="GY226" s="14"/>
      <c r="GZ226" s="14"/>
      <c r="HA226" s="14"/>
      <c r="HB226" s="14"/>
      <c r="HC226" s="14"/>
      <c r="HD226" s="14"/>
      <c r="HE226" s="14"/>
      <c r="HF226" s="14"/>
      <c r="HG226" s="14"/>
      <c r="HH226" s="14"/>
      <c r="HI226" s="14"/>
      <c r="HJ226" s="14"/>
      <c r="HK226" s="14"/>
      <c r="HL226" s="14"/>
      <c r="HM226" s="14"/>
      <c r="HN226" s="14"/>
      <c r="HO226" s="14"/>
      <c r="HP226" s="14"/>
      <c r="HQ226" s="14"/>
      <c r="HR226" s="14"/>
      <c r="HS226" s="14"/>
      <c r="HT226" s="14"/>
    </row>
    <row r="227" spans="1:228" s="1108" customFormat="1" ht="26.25" customHeight="1" x14ac:dyDescent="0.2">
      <c r="B227" s="474" t="s">
        <v>488</v>
      </c>
      <c r="C227" s="1822" t="s">
        <v>1596</v>
      </c>
      <c r="D227" s="1817"/>
      <c r="E227" s="1817"/>
      <c r="F227" s="1817"/>
      <c r="G227" s="1531" t="s">
        <v>1081</v>
      </c>
      <c r="H227" s="1550"/>
      <c r="I227" s="1550"/>
      <c r="J227" s="1550"/>
      <c r="K227" s="1551"/>
      <c r="L227" s="1549"/>
      <c r="M227" s="1550"/>
      <c r="N227" s="1550"/>
      <c r="O227" s="1551"/>
      <c r="P227" s="1905"/>
      <c r="R227" s="242">
        <f>J228+J230+AC229</f>
        <v>0</v>
      </c>
      <c r="S227" s="1111"/>
      <c r="T227" s="1111"/>
      <c r="U227" s="1111"/>
      <c r="V227" s="1111"/>
      <c r="W227" s="1111"/>
      <c r="X227" s="1111"/>
      <c r="Y227" s="1119"/>
      <c r="Z227" s="1117"/>
      <c r="AA227" s="1111"/>
      <c r="AB227" s="1111"/>
      <c r="AC227" s="1111"/>
      <c r="AD227" s="1111"/>
      <c r="AE227" s="1111"/>
      <c r="AF227" s="1111"/>
      <c r="AG227" s="1111"/>
      <c r="AH227" s="1111"/>
      <c r="AI227" s="1111"/>
      <c r="AJ227" s="1106"/>
      <c r="AK227" s="1106"/>
      <c r="AL227" s="1106"/>
      <c r="AM227" s="1106"/>
      <c r="AN227" s="1111"/>
      <c r="AO227" s="1111"/>
      <c r="AP227" s="1111"/>
      <c r="AQ227" s="1111"/>
      <c r="AR227" s="1111"/>
      <c r="AS227" s="1111"/>
      <c r="AT227" s="1111"/>
      <c r="AU227" s="1111"/>
      <c r="AV227" s="1111"/>
      <c r="AW227" s="1111"/>
      <c r="AX227" s="1111"/>
      <c r="AY227" s="1111"/>
      <c r="AZ227" s="1111"/>
      <c r="BA227" s="1111"/>
      <c r="BB227" s="1111"/>
      <c r="BC227" s="1111"/>
      <c r="BD227" s="1111"/>
      <c r="BE227" s="1111"/>
      <c r="BF227" s="1111"/>
      <c r="BG227" s="1111"/>
      <c r="BH227" s="1111"/>
      <c r="BI227" s="1111"/>
      <c r="BJ227" s="1111"/>
      <c r="BK227" s="1111"/>
      <c r="BL227" s="1111"/>
      <c r="BM227" s="1111"/>
      <c r="BN227" s="1111"/>
      <c r="BO227" s="1111"/>
      <c r="BP227" s="1111"/>
      <c r="BQ227" s="1107"/>
      <c r="BR227" s="1107"/>
      <c r="BS227" s="1107"/>
      <c r="BT227" s="1107"/>
      <c r="BU227" s="1107"/>
      <c r="BV227" s="1107"/>
      <c r="BW227" s="1107"/>
      <c r="BX227" s="1107"/>
      <c r="BY227" s="1107"/>
      <c r="BZ227" s="1107"/>
      <c r="CA227" s="1107"/>
      <c r="CB227" s="1107"/>
      <c r="CC227" s="1107"/>
      <c r="CD227" s="1107"/>
      <c r="CE227" s="1107"/>
      <c r="CF227" s="1107"/>
      <c r="CG227" s="1107"/>
      <c r="CH227" s="1107"/>
      <c r="CI227" s="1107"/>
      <c r="CJ227" s="1107"/>
      <c r="CK227" s="1107"/>
      <c r="CL227" s="1107"/>
      <c r="CM227" s="1107"/>
      <c r="CN227" s="1107"/>
      <c r="CO227" s="1107"/>
      <c r="CP227" s="1107"/>
      <c r="CQ227" s="1107"/>
      <c r="CR227" s="1107"/>
      <c r="CS227" s="1107"/>
      <c r="CT227" s="1107"/>
      <c r="CU227" s="1107"/>
      <c r="CV227" s="1107"/>
      <c r="CW227" s="1107"/>
      <c r="CX227" s="1107"/>
      <c r="CY227" s="1107"/>
      <c r="CZ227" s="1107"/>
      <c r="DA227" s="1107"/>
      <c r="DB227" s="1107"/>
      <c r="DC227" s="1107"/>
      <c r="DD227" s="1107"/>
      <c r="DE227" s="1107"/>
      <c r="DF227" s="1107"/>
      <c r="DG227" s="1107"/>
      <c r="DH227" s="1107"/>
      <c r="DI227" s="1107"/>
      <c r="DJ227" s="1107"/>
      <c r="DK227" s="1107"/>
      <c r="DL227" s="1107"/>
      <c r="DM227" s="1107"/>
      <c r="DN227" s="1107"/>
      <c r="DO227" s="1107"/>
      <c r="DP227" s="1107"/>
      <c r="DQ227" s="1107"/>
      <c r="DR227" s="1107"/>
      <c r="DS227" s="1107"/>
      <c r="DT227" s="1107"/>
      <c r="DU227" s="1107"/>
      <c r="DV227" s="1107"/>
      <c r="DW227" s="1107"/>
      <c r="DX227" s="1107"/>
      <c r="DY227" s="1107"/>
      <c r="DZ227" s="1107"/>
      <c r="EA227" s="1107"/>
      <c r="EB227" s="1107"/>
      <c r="EC227" s="1107"/>
      <c r="ED227" s="1107"/>
      <c r="EE227" s="1107"/>
      <c r="EF227" s="1107"/>
      <c r="EG227" s="1107"/>
      <c r="EH227" s="1107"/>
      <c r="EI227" s="1107"/>
      <c r="EJ227" s="1107"/>
      <c r="EK227" s="1107"/>
      <c r="EL227" s="1107"/>
      <c r="EM227" s="1107"/>
      <c r="EN227" s="1107"/>
      <c r="EO227" s="1107"/>
      <c r="EP227" s="1107"/>
      <c r="EQ227" s="1107"/>
      <c r="ER227" s="1107"/>
      <c r="ES227" s="1107"/>
      <c r="ET227" s="1107"/>
      <c r="EU227" s="1107"/>
      <c r="EV227" s="1107"/>
      <c r="EW227" s="1107"/>
      <c r="EX227" s="1107"/>
      <c r="EY227" s="1107"/>
      <c r="EZ227" s="1107"/>
      <c r="FA227" s="1107"/>
      <c r="FB227" s="1107"/>
      <c r="FC227" s="1107"/>
      <c r="FD227" s="1107"/>
      <c r="FE227" s="1107"/>
      <c r="FF227" s="1107"/>
      <c r="FG227" s="1107"/>
      <c r="FH227" s="1107"/>
      <c r="FI227" s="1107"/>
      <c r="FJ227" s="1107"/>
      <c r="FK227" s="1107"/>
      <c r="FL227" s="1107"/>
      <c r="FM227" s="1107"/>
      <c r="FN227" s="1107"/>
      <c r="FO227" s="1107"/>
      <c r="FP227" s="1107"/>
      <c r="FQ227" s="1107"/>
      <c r="FR227" s="1107"/>
      <c r="FS227" s="1107"/>
      <c r="FT227" s="1107"/>
      <c r="FU227" s="1107"/>
      <c r="FV227" s="1107"/>
      <c r="FW227" s="1107"/>
      <c r="FX227" s="1107"/>
      <c r="FY227" s="1107"/>
      <c r="FZ227" s="1107"/>
      <c r="GA227" s="1107"/>
      <c r="GB227" s="1107"/>
      <c r="GC227" s="1107"/>
      <c r="GD227" s="1107"/>
      <c r="GE227" s="1107"/>
      <c r="GF227" s="1107"/>
      <c r="GG227" s="1107"/>
      <c r="GH227" s="1107"/>
      <c r="GI227" s="1107"/>
      <c r="GJ227" s="1107"/>
      <c r="GK227" s="1107"/>
      <c r="GL227" s="1107"/>
      <c r="GM227" s="1107"/>
      <c r="GN227" s="1107"/>
      <c r="GO227" s="1107"/>
      <c r="GP227" s="1107"/>
      <c r="GQ227" s="1107"/>
      <c r="GR227" s="1107"/>
      <c r="GS227" s="1107"/>
      <c r="GT227" s="1107"/>
      <c r="GU227" s="1107"/>
      <c r="GV227" s="1107"/>
      <c r="GW227" s="1107"/>
      <c r="GX227" s="1107"/>
      <c r="GY227" s="1107"/>
      <c r="GZ227" s="1107"/>
      <c r="HA227" s="1107"/>
      <c r="HB227" s="1107"/>
      <c r="HC227" s="1107"/>
      <c r="HD227" s="1107"/>
      <c r="HE227" s="1107"/>
      <c r="HF227" s="1107"/>
      <c r="HG227" s="1107"/>
      <c r="HH227" s="1107"/>
      <c r="HI227" s="1107"/>
      <c r="HJ227" s="1107"/>
      <c r="HK227" s="1107"/>
      <c r="HL227" s="1107"/>
      <c r="HM227" s="1107"/>
      <c r="HN227" s="1107"/>
      <c r="HO227" s="1107"/>
      <c r="HP227" s="1107"/>
      <c r="HQ227" s="1107"/>
      <c r="HR227" s="1107"/>
      <c r="HS227" s="1107"/>
      <c r="HT227" s="1107"/>
    </row>
    <row r="228" spans="1:228" ht="15" customHeight="1" x14ac:dyDescent="0.2">
      <c r="B228" s="156" t="s">
        <v>1335</v>
      </c>
      <c r="C228" s="1308"/>
      <c r="D228" s="1308"/>
      <c r="E228" s="1558">
        <f>LETable!AT42</f>
        <v>0</v>
      </c>
      <c r="F228" s="1558"/>
      <c r="G228" s="1637"/>
      <c r="H228" s="1637"/>
      <c r="I228" s="1637"/>
      <c r="J228" s="1869">
        <f>IF(C228="",0,IF(OR(C228&lt;=0,G228&lt;=0),E228,IF(G228&lt;C228,0,LETable!AY42)))</f>
        <v>0</v>
      </c>
      <c r="K228" s="1869"/>
      <c r="L228" s="1938" t="str">
        <f>IF(OR(C228="NA",G228="NA"),"",IF(AND(C228&lt;&gt;"",G228=""),"Enter contralateral or NA.",IF(AND(C228="",G228&lt;&gt;""),"Need data","")))</f>
        <v/>
      </c>
      <c r="M228" s="1938"/>
      <c r="N228" s="1938"/>
      <c r="O228" s="1939"/>
      <c r="P228" s="1905"/>
      <c r="R228" s="243">
        <f>IF(AC229&gt;0,R227,IF(AND(AC223&gt;0,C233&gt;0),C233*R227,R227))</f>
        <v>0</v>
      </c>
      <c r="S228" s="937">
        <v>20</v>
      </c>
      <c r="T228" s="937" t="str">
        <f>IF(OR(C228="",C228="NA"),"",IF(C228&gt;S228,S228,IF(C228&lt;0,0,C228)))</f>
        <v/>
      </c>
      <c r="U228" s="937" t="str">
        <f>IF(OR(G228="",G228="NA"),"",IF(G228&gt;S228,S228,IF(G228&lt;0,0,G228)))</f>
        <v/>
      </c>
      <c r="V228" s="696" t="str">
        <f>IF(W228="","",ROUND(W228,0))</f>
        <v/>
      </c>
      <c r="W228" s="697" t="str">
        <f>IF(T228="","",IF(OR(U228="",U228=0,U228&lt;T228),T228,(T228*S228)/U228))</f>
        <v/>
      </c>
      <c r="X228" s="18"/>
      <c r="Y228" s="940">
        <f>COUNTIF(Y229:Y230,1)</f>
        <v>0</v>
      </c>
      <c r="Z228" s="940">
        <f>COUNTIF(Z229:Z230,2)</f>
        <v>0</v>
      </c>
      <c r="AA228" s="18"/>
      <c r="AB228" s="18"/>
      <c r="AC228" s="18"/>
      <c r="AD228" s="18"/>
      <c r="AE228" s="18"/>
      <c r="AF228" s="18"/>
      <c r="AG228" s="18"/>
      <c r="AH228" s="47"/>
      <c r="AI228" s="18"/>
      <c r="AJ228" s="47"/>
      <c r="AK228" s="47"/>
      <c r="AL228" s="47"/>
      <c r="AM228" s="47"/>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4"/>
      <c r="BR228" s="14"/>
      <c r="BS228" s="14"/>
      <c r="BT228" s="14"/>
      <c r="BU228" s="14"/>
      <c r="BV228" s="14"/>
      <c r="BW228" s="14"/>
      <c r="BX228" s="14"/>
      <c r="BY228" s="14"/>
      <c r="BZ228" s="14"/>
      <c r="CA228" s="14"/>
      <c r="CB228" s="14"/>
      <c r="CC228" s="14"/>
      <c r="CD228" s="14"/>
      <c r="CE228" s="14"/>
      <c r="CF228" s="14"/>
      <c r="CG228" s="14"/>
      <c r="CH228" s="14"/>
      <c r="CI228" s="14"/>
      <c r="CJ228" s="14"/>
      <c r="CK228" s="14"/>
      <c r="CL228" s="14"/>
      <c r="CM228" s="14"/>
      <c r="CN228" s="14"/>
      <c r="CO228" s="14"/>
      <c r="CP228" s="14"/>
      <c r="CQ228" s="14"/>
      <c r="CR228" s="14"/>
      <c r="CS228" s="14"/>
      <c r="CT228" s="14"/>
      <c r="CU228" s="14"/>
      <c r="CV228" s="14"/>
      <c r="CW228" s="14"/>
      <c r="CX228" s="14"/>
      <c r="CY228" s="14"/>
      <c r="CZ228" s="14"/>
      <c r="DA228" s="14"/>
      <c r="DB228" s="14"/>
      <c r="DC228" s="14"/>
      <c r="DD228" s="14"/>
      <c r="DE228" s="14"/>
      <c r="DF228" s="14"/>
      <c r="DG228" s="14"/>
      <c r="DH228" s="14"/>
      <c r="DI228" s="14"/>
      <c r="DJ228" s="14"/>
      <c r="DK228" s="14"/>
      <c r="DL228" s="14"/>
      <c r="DM228" s="14"/>
      <c r="DN228" s="14"/>
      <c r="DO228" s="14"/>
      <c r="DP228" s="14"/>
      <c r="DQ228" s="14"/>
      <c r="DR228" s="14"/>
      <c r="DS228" s="14"/>
      <c r="DT228" s="14"/>
      <c r="DU228" s="14"/>
      <c r="DV228" s="14"/>
      <c r="DW228" s="14"/>
      <c r="DX228" s="14"/>
      <c r="DY228" s="14"/>
      <c r="DZ228" s="14"/>
      <c r="EA228" s="14"/>
      <c r="EB228" s="14"/>
      <c r="EC228" s="14"/>
      <c r="ED228" s="14"/>
      <c r="EE228" s="14"/>
      <c r="EF228" s="14"/>
      <c r="EG228" s="14"/>
      <c r="EH228" s="14"/>
      <c r="EI228" s="14"/>
      <c r="EJ228" s="14"/>
      <c r="EK228" s="14"/>
      <c r="EL228" s="14"/>
      <c r="EM228" s="14"/>
      <c r="EN228" s="14"/>
      <c r="EO228" s="14"/>
      <c r="EP228" s="14"/>
      <c r="EQ228" s="14"/>
      <c r="ER228" s="14"/>
      <c r="ES228" s="14"/>
      <c r="ET228" s="14"/>
      <c r="EU228" s="14"/>
      <c r="EV228" s="14"/>
      <c r="EW228" s="14"/>
      <c r="EX228" s="14"/>
      <c r="EY228" s="14"/>
      <c r="EZ228" s="14"/>
      <c r="FA228" s="14"/>
      <c r="FB228" s="14"/>
      <c r="FC228" s="14"/>
      <c r="FD228" s="14"/>
      <c r="FE228" s="14"/>
      <c r="FF228" s="14"/>
      <c r="FG228" s="14"/>
      <c r="FH228" s="14"/>
      <c r="FI228" s="14"/>
      <c r="FJ228" s="14"/>
      <c r="FK228" s="14"/>
      <c r="FL228" s="14"/>
      <c r="FM228" s="14"/>
      <c r="FN228" s="14"/>
      <c r="FO228" s="14"/>
      <c r="FP228" s="14"/>
      <c r="FQ228" s="14"/>
      <c r="FR228" s="14"/>
      <c r="FS228" s="14"/>
      <c r="FT228" s="14"/>
      <c r="FU228" s="14"/>
      <c r="FV228" s="14"/>
      <c r="FW228" s="14"/>
      <c r="FX228" s="14"/>
      <c r="FY228" s="14"/>
      <c r="FZ228" s="14"/>
      <c r="GA228" s="14"/>
      <c r="GB228" s="14"/>
      <c r="GC228" s="14"/>
      <c r="GD228" s="14"/>
      <c r="GE228" s="14"/>
      <c r="GF228" s="14"/>
      <c r="GG228" s="14"/>
      <c r="GH228" s="14"/>
      <c r="GI228" s="14"/>
      <c r="GJ228" s="14"/>
      <c r="GK228" s="14"/>
      <c r="GL228" s="14"/>
      <c r="GM228" s="14"/>
      <c r="GN228" s="14"/>
      <c r="GO228" s="14"/>
      <c r="GP228" s="14"/>
      <c r="GQ228" s="14"/>
      <c r="GR228" s="14"/>
      <c r="GS228" s="14"/>
      <c r="GT228" s="14"/>
      <c r="GU228" s="14"/>
      <c r="GV228" s="14"/>
      <c r="GW228" s="14"/>
      <c r="GX228" s="14"/>
      <c r="GY228" s="14"/>
      <c r="GZ228" s="14"/>
      <c r="HA228" s="14"/>
      <c r="HB228" s="14"/>
      <c r="HC228" s="14"/>
      <c r="HD228" s="14"/>
      <c r="HE228" s="14"/>
      <c r="HF228" s="14"/>
      <c r="HG228" s="14"/>
      <c r="HH228" s="14"/>
      <c r="HI228" s="14"/>
      <c r="HJ228" s="14"/>
      <c r="HK228" s="14"/>
      <c r="HL228" s="14"/>
      <c r="HM228" s="14"/>
      <c r="HN228" s="14"/>
      <c r="HO228" s="14"/>
      <c r="HP228" s="14"/>
      <c r="HQ228" s="14"/>
      <c r="HR228" s="14"/>
      <c r="HS228" s="14"/>
      <c r="HT228" s="14"/>
    </row>
    <row r="229" spans="1:228" ht="15" customHeight="1" x14ac:dyDescent="0.2">
      <c r="B229" s="156" t="s">
        <v>1336</v>
      </c>
      <c r="C229" s="1308"/>
      <c r="D229" s="1308"/>
      <c r="E229" s="1558">
        <f>IF(AND($Y$228&gt;0,$Z$228&gt;0),"ERROR",LETable!AT43)</f>
        <v>0</v>
      </c>
      <c r="F229" s="1558"/>
      <c r="G229" s="1938" t="str">
        <f>IF(AND($Y$228&gt;0,$Z$228&gt;0),"Cannot rate ROM and ankylosis in the ankle.","")</f>
        <v/>
      </c>
      <c r="H229" s="1938"/>
      <c r="I229" s="1938"/>
      <c r="J229" s="1938"/>
      <c r="K229" s="1938"/>
      <c r="L229" s="1938"/>
      <c r="M229" s="1938"/>
      <c r="N229" s="1938"/>
      <c r="O229" s="1939"/>
      <c r="P229" s="1905"/>
      <c r="R229" s="242">
        <f>IF(OR(AC223&gt;0,AC229&gt;0),R223+R228,IF(C233&gt;0,C233*(R223+R228),R223+R228))</f>
        <v>0</v>
      </c>
      <c r="S229" s="937">
        <v>20</v>
      </c>
      <c r="T229" s="937" t="str">
        <f>IF(OR(C229="",C229="NA"),"",IF(C229&gt;S229,S229,IF(C229&lt;0,0,C229)))</f>
        <v/>
      </c>
      <c r="U229" s="18"/>
      <c r="Y229" s="940">
        <f>IF(AND(C228&lt;&gt;"",C228&lt;&gt;"NA"),1,0)</f>
        <v>0</v>
      </c>
      <c r="Z229" s="940">
        <f>IF(AND(C229&lt;&gt;"",C229&lt;&gt;"NA"),2,0)</f>
        <v>0</v>
      </c>
      <c r="AB229" s="18"/>
      <c r="AC229" s="242">
        <f>MAX(E229,E231)</f>
        <v>0</v>
      </c>
      <c r="AD229" s="1410" t="s">
        <v>1943</v>
      </c>
      <c r="AE229" s="1410"/>
      <c r="AF229" s="1410"/>
      <c r="AG229" s="1410"/>
      <c r="AH229" s="47"/>
      <c r="AI229" s="18"/>
      <c r="AJ229" s="47"/>
      <c r="AK229" s="47"/>
      <c r="AL229" s="47"/>
      <c r="AM229" s="47"/>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4"/>
      <c r="BR229" s="14"/>
      <c r="BS229" s="14"/>
      <c r="BT229" s="14"/>
      <c r="BU229" s="14"/>
      <c r="BV229" s="14"/>
      <c r="BW229" s="14"/>
      <c r="BX229" s="14"/>
      <c r="BY229" s="14"/>
      <c r="BZ229" s="14"/>
      <c r="CA229" s="14"/>
      <c r="CB229" s="14"/>
      <c r="CC229" s="14"/>
      <c r="CD229" s="14"/>
      <c r="CE229" s="14"/>
      <c r="CF229" s="14"/>
      <c r="CG229" s="14"/>
      <c r="CH229" s="14"/>
      <c r="CI229" s="14"/>
      <c r="CJ229" s="14"/>
      <c r="CK229" s="14"/>
      <c r="CL229" s="14"/>
      <c r="CM229" s="14"/>
      <c r="CN229" s="14"/>
      <c r="CO229" s="14"/>
      <c r="CP229" s="14"/>
      <c r="CQ229" s="14"/>
      <c r="CR229" s="14"/>
      <c r="CS229" s="14"/>
      <c r="CT229" s="14"/>
      <c r="CU229" s="14"/>
      <c r="CV229" s="14"/>
      <c r="CW229" s="14"/>
      <c r="CX229" s="14"/>
      <c r="CY229" s="14"/>
      <c r="CZ229" s="14"/>
      <c r="DA229" s="14"/>
      <c r="DB229" s="14"/>
      <c r="DC229" s="14"/>
      <c r="DD229" s="14"/>
      <c r="DE229" s="14"/>
      <c r="DF229" s="14"/>
      <c r="DG229" s="14"/>
      <c r="DH229" s="14"/>
      <c r="DI229" s="14"/>
      <c r="DJ229" s="14"/>
      <c r="DK229" s="14"/>
      <c r="DL229" s="14"/>
      <c r="DM229" s="14"/>
      <c r="DN229" s="14"/>
      <c r="DO229" s="14"/>
      <c r="DP229" s="14"/>
      <c r="DQ229" s="14"/>
      <c r="DR229" s="14"/>
      <c r="DS229" s="14"/>
      <c r="DT229" s="14"/>
      <c r="DU229" s="14"/>
      <c r="DV229" s="14"/>
      <c r="DW229" s="14"/>
      <c r="DX229" s="14"/>
      <c r="DY229" s="14"/>
      <c r="DZ229" s="14"/>
      <c r="EA229" s="14"/>
      <c r="EB229" s="14"/>
      <c r="EC229" s="14"/>
      <c r="ED229" s="14"/>
      <c r="EE229" s="14"/>
      <c r="EF229" s="14"/>
      <c r="EG229" s="14"/>
      <c r="EH229" s="14"/>
      <c r="EI229" s="14"/>
      <c r="EJ229" s="14"/>
      <c r="EK229" s="14"/>
      <c r="EL229" s="14"/>
      <c r="EM229" s="14"/>
      <c r="EN229" s="14"/>
      <c r="EO229" s="14"/>
      <c r="EP229" s="14"/>
      <c r="EQ229" s="14"/>
      <c r="ER229" s="14"/>
      <c r="ES229" s="14"/>
      <c r="ET229" s="14"/>
      <c r="EU229" s="14"/>
      <c r="EV229" s="14"/>
      <c r="EW229" s="14"/>
      <c r="EX229" s="14"/>
      <c r="EY229" s="14"/>
      <c r="EZ229" s="14"/>
      <c r="FA229" s="14"/>
      <c r="FB229" s="14"/>
      <c r="FC229" s="14"/>
      <c r="FD229" s="14"/>
      <c r="FE229" s="14"/>
      <c r="FF229" s="14"/>
      <c r="FG229" s="14"/>
      <c r="FH229" s="14"/>
      <c r="FI229" s="14"/>
      <c r="FJ229" s="14"/>
      <c r="FK229" s="14"/>
      <c r="FL229" s="14"/>
      <c r="FM229" s="14"/>
      <c r="FN229" s="14"/>
      <c r="FO229" s="14"/>
      <c r="FP229" s="14"/>
      <c r="FQ229" s="14"/>
      <c r="FR229" s="14"/>
      <c r="FS229" s="14"/>
      <c r="FT229" s="14"/>
      <c r="FU229" s="14"/>
      <c r="FV229" s="14"/>
      <c r="FW229" s="14"/>
      <c r="FX229" s="14"/>
      <c r="FY229" s="14"/>
      <c r="FZ229" s="14"/>
      <c r="GA229" s="14"/>
      <c r="GB229" s="14"/>
      <c r="GC229" s="14"/>
      <c r="GD229" s="14"/>
      <c r="GE229" s="14"/>
      <c r="GF229" s="14"/>
      <c r="GG229" s="14"/>
      <c r="GH229" s="14"/>
      <c r="GI229" s="14"/>
      <c r="GJ229" s="14"/>
      <c r="GK229" s="14"/>
      <c r="GL229" s="14"/>
      <c r="GM229" s="14"/>
      <c r="GN229" s="14"/>
      <c r="GO229" s="14"/>
      <c r="GP229" s="14"/>
      <c r="GQ229" s="14"/>
      <c r="GR229" s="14"/>
      <c r="GS229" s="14"/>
      <c r="GT229" s="14"/>
      <c r="GU229" s="14"/>
      <c r="GV229" s="14"/>
      <c r="GW229" s="14"/>
      <c r="GX229" s="14"/>
      <c r="GY229" s="14"/>
      <c r="GZ229" s="14"/>
      <c r="HA229" s="14"/>
      <c r="HB229" s="14"/>
      <c r="HC229" s="14"/>
      <c r="HD229" s="14"/>
      <c r="HE229" s="14"/>
      <c r="HF229" s="14"/>
      <c r="HG229" s="14"/>
      <c r="HH229" s="14"/>
      <c r="HI229" s="14"/>
      <c r="HJ229" s="14"/>
      <c r="HK229" s="14"/>
      <c r="HL229" s="14"/>
      <c r="HM229" s="14"/>
      <c r="HN229" s="14"/>
      <c r="HO229" s="14"/>
      <c r="HP229" s="14"/>
      <c r="HQ229" s="14"/>
      <c r="HR229" s="14"/>
      <c r="HS229" s="14"/>
      <c r="HT229" s="14"/>
    </row>
    <row r="230" spans="1:228" ht="15" customHeight="1" x14ac:dyDescent="0.2">
      <c r="B230" s="357" t="s">
        <v>1256</v>
      </c>
      <c r="C230" s="1308"/>
      <c r="D230" s="1308"/>
      <c r="E230" s="1558">
        <f>LETable!AT44</f>
        <v>0</v>
      </c>
      <c r="F230" s="1558"/>
      <c r="G230" s="1944"/>
      <c r="H230" s="1953"/>
      <c r="I230" s="1945"/>
      <c r="J230" s="1869">
        <f>IF(C230="",0,IF(OR(C230&lt;=0,G230&lt;=0),E230,IF(G230&lt;C230,0,LETable!AY44)))</f>
        <v>0</v>
      </c>
      <c r="K230" s="1869"/>
      <c r="L230" s="1938" t="str">
        <f>IF(OR(C230="NA",G230="NA"),"",IF(AND(C230&lt;&gt;"",G230=""),"Enter contralateral or NA.",IF(AND(C230="",G230&lt;&gt;""),"Need data","")))</f>
        <v/>
      </c>
      <c r="M230" s="1938"/>
      <c r="N230" s="1938"/>
      <c r="O230" s="1939"/>
      <c r="P230" s="1905"/>
      <c r="R230" s="1159" t="s">
        <v>696</v>
      </c>
      <c r="S230" s="937">
        <v>40</v>
      </c>
      <c r="T230" s="937" t="str">
        <f>IF(OR(C230="",C230="NA"),"",IF(C230&gt;S230,S230,IF(C230&lt;0,0,C230)))</f>
        <v/>
      </c>
      <c r="U230" s="937" t="str">
        <f>IF(OR(G230="",G230="NA"),"",IF(G230&gt;S230,S230,IF(G230&lt;0,0,G230)))</f>
        <v/>
      </c>
      <c r="V230" s="696" t="str">
        <f>IF(W230="","",ROUND(W230,0))</f>
        <v/>
      </c>
      <c r="W230" s="697" t="str">
        <f>IF(T230="","",IF(OR(U230="",U230=0,U230&lt;T230),T230,(T230*S230)/U230))</f>
        <v/>
      </c>
      <c r="X230" s="18"/>
      <c r="Y230" s="940">
        <f>IF(AND(C230&lt;&gt;"",C230&lt;&gt;"NA"),1,0)</f>
        <v>0</v>
      </c>
      <c r="Z230" s="940">
        <f>IF(AND(C231&lt;&gt;"",C231&lt;&gt;"NA"),2,0)</f>
        <v>0</v>
      </c>
      <c r="AA230" s="18"/>
      <c r="AB230" s="18"/>
      <c r="AC230" s="18"/>
      <c r="AD230" s="18"/>
      <c r="AE230" s="18"/>
      <c r="AF230" s="18"/>
      <c r="AG230" s="18"/>
      <c r="AH230" s="47"/>
      <c r="AI230" s="18"/>
      <c r="AJ230" s="47"/>
      <c r="AK230" s="47"/>
      <c r="AL230" s="47"/>
      <c r="AM230" s="47"/>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4"/>
      <c r="BR230" s="14"/>
      <c r="BS230" s="14"/>
      <c r="BT230" s="14"/>
      <c r="BU230" s="14"/>
      <c r="BV230" s="14"/>
      <c r="BW230" s="14"/>
      <c r="BX230" s="14"/>
      <c r="BY230" s="14"/>
      <c r="BZ230" s="14"/>
      <c r="CA230" s="14"/>
      <c r="CB230" s="14"/>
      <c r="CC230" s="14"/>
      <c r="CD230" s="14"/>
      <c r="CE230" s="14"/>
      <c r="CF230" s="14"/>
      <c r="CG230" s="14"/>
      <c r="CH230" s="14"/>
      <c r="CI230" s="14"/>
      <c r="CJ230" s="14"/>
      <c r="CK230" s="14"/>
      <c r="CL230" s="14"/>
      <c r="CM230" s="14"/>
      <c r="CN230" s="14"/>
      <c r="CO230" s="14"/>
      <c r="CP230" s="14"/>
      <c r="CQ230" s="14"/>
      <c r="CR230" s="14"/>
      <c r="CS230" s="14"/>
      <c r="CT230" s="14"/>
      <c r="CU230" s="14"/>
      <c r="CV230" s="14"/>
      <c r="CW230" s="14"/>
      <c r="CX230" s="14"/>
      <c r="CY230" s="14"/>
      <c r="CZ230" s="14"/>
      <c r="DA230" s="14"/>
      <c r="DB230" s="14"/>
      <c r="DC230" s="14"/>
      <c r="DD230" s="14"/>
      <c r="DE230" s="14"/>
      <c r="DF230" s="14"/>
      <c r="DG230" s="14"/>
      <c r="DH230" s="14"/>
      <c r="DI230" s="14"/>
      <c r="DJ230" s="14"/>
      <c r="DK230" s="14"/>
      <c r="DL230" s="14"/>
      <c r="DM230" s="14"/>
      <c r="DN230" s="14"/>
      <c r="DO230" s="14"/>
      <c r="DP230" s="14"/>
      <c r="DQ230" s="14"/>
      <c r="DR230" s="14"/>
      <c r="DS230" s="14"/>
      <c r="DT230" s="14"/>
      <c r="DU230" s="14"/>
      <c r="DV230" s="14"/>
      <c r="DW230" s="14"/>
      <c r="DX230" s="14"/>
      <c r="DY230" s="14"/>
      <c r="DZ230" s="14"/>
      <c r="EA230" s="14"/>
      <c r="EB230" s="14"/>
      <c r="EC230" s="14"/>
      <c r="ED230" s="14"/>
      <c r="EE230" s="14"/>
      <c r="EF230" s="14"/>
      <c r="EG230" s="14"/>
      <c r="EH230" s="14"/>
      <c r="EI230" s="14"/>
      <c r="EJ230" s="14"/>
      <c r="EK230" s="14"/>
      <c r="EL230" s="14"/>
      <c r="EM230" s="14"/>
      <c r="EN230" s="14"/>
      <c r="EO230" s="14"/>
      <c r="EP230" s="14"/>
      <c r="EQ230" s="14"/>
      <c r="ER230" s="14"/>
      <c r="ES230" s="14"/>
      <c r="ET230" s="14"/>
      <c r="EU230" s="14"/>
      <c r="EV230" s="14"/>
      <c r="EW230" s="14"/>
      <c r="EX230" s="14"/>
      <c r="EY230" s="14"/>
      <c r="EZ230" s="14"/>
      <c r="FA230" s="14"/>
      <c r="FB230" s="14"/>
      <c r="FC230" s="14"/>
      <c r="FD230" s="14"/>
      <c r="FE230" s="14"/>
      <c r="FF230" s="14"/>
      <c r="FG230" s="14"/>
      <c r="FH230" s="14"/>
      <c r="FI230" s="14"/>
      <c r="FJ230" s="14"/>
      <c r="FK230" s="14"/>
      <c r="FL230" s="14"/>
      <c r="FM230" s="14"/>
      <c r="FN230" s="14"/>
      <c r="FO230" s="14"/>
      <c r="FP230" s="14"/>
      <c r="FQ230" s="14"/>
      <c r="FR230" s="14"/>
      <c r="FS230" s="14"/>
      <c r="FT230" s="14"/>
      <c r="FU230" s="14"/>
      <c r="FV230" s="14"/>
      <c r="FW230" s="14"/>
      <c r="FX230" s="14"/>
      <c r="FY230" s="14"/>
      <c r="FZ230" s="14"/>
      <c r="GA230" s="14"/>
      <c r="GB230" s="14"/>
      <c r="GC230" s="14"/>
      <c r="GD230" s="14"/>
      <c r="GE230" s="14"/>
      <c r="GF230" s="14"/>
      <c r="GG230" s="14"/>
      <c r="GH230" s="14"/>
      <c r="GI230" s="14"/>
      <c r="GJ230" s="14"/>
      <c r="GK230" s="14"/>
      <c r="GL230" s="14"/>
      <c r="GM230" s="14"/>
      <c r="GN230" s="14"/>
      <c r="GO230" s="14"/>
      <c r="GP230" s="14"/>
      <c r="GQ230" s="14"/>
      <c r="GR230" s="14"/>
      <c r="GS230" s="14"/>
      <c r="GT230" s="14"/>
      <c r="GU230" s="14"/>
      <c r="GV230" s="14"/>
      <c r="GW230" s="14"/>
      <c r="GX230" s="14"/>
      <c r="GY230" s="14"/>
      <c r="GZ230" s="14"/>
      <c r="HA230" s="14"/>
      <c r="HB230" s="14"/>
      <c r="HC230" s="14"/>
      <c r="HD230" s="14"/>
      <c r="HE230" s="14"/>
      <c r="HF230" s="14"/>
      <c r="HG230" s="14"/>
      <c r="HH230" s="14"/>
      <c r="HI230" s="14"/>
      <c r="HJ230" s="14"/>
      <c r="HK230" s="14"/>
      <c r="HL230" s="14"/>
      <c r="HM230" s="14"/>
      <c r="HN230" s="14"/>
      <c r="HO230" s="14"/>
      <c r="HP230" s="14"/>
      <c r="HQ230" s="14"/>
      <c r="HR230" s="14"/>
      <c r="HS230" s="14"/>
      <c r="HT230" s="14"/>
    </row>
    <row r="231" spans="1:228" ht="15" customHeight="1" x14ac:dyDescent="0.2">
      <c r="B231" s="156" t="s">
        <v>1840</v>
      </c>
      <c r="C231" s="1308"/>
      <c r="D231" s="1308"/>
      <c r="E231" s="1558">
        <f>IF(AND($Y$228&gt;0,$Z$228&gt;0),"ERROR",LETable!AT45)</f>
        <v>0</v>
      </c>
      <c r="F231" s="1558"/>
      <c r="G231" s="1866" t="str">
        <f>IF(AND($Y$228&gt;0,$Z$228&gt;0),"Cannot rate ROM and ankylosis in the ankle.",IF(AND(C229&lt;&gt;"",C229&lt;&gt;"NA",C231&lt;&gt;"",C231&lt;&gt;"NA"),"Multiple ankylosis values; use higher value only.",""))</f>
        <v/>
      </c>
      <c r="H231" s="1867"/>
      <c r="I231" s="1867"/>
      <c r="J231" s="1867"/>
      <c r="K231" s="1867"/>
      <c r="L231" s="1867"/>
      <c r="M231" s="1867"/>
      <c r="N231" s="1867"/>
      <c r="O231" s="1868"/>
      <c r="P231" s="1905"/>
      <c r="R231" s="1159" t="s">
        <v>698</v>
      </c>
      <c r="S231" s="937">
        <v>40</v>
      </c>
      <c r="T231" s="937" t="str">
        <f>IF(OR(C231="",C231="NA"),"",IF(C231&gt;S231,S231,IF(C231&lt;0,0,C231)))</f>
        <v/>
      </c>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4"/>
      <c r="BR231" s="14"/>
      <c r="BS231" s="14"/>
      <c r="BT231" s="14"/>
      <c r="BU231" s="14"/>
      <c r="BV231" s="14"/>
      <c r="BW231" s="14"/>
      <c r="BX231" s="14"/>
      <c r="BY231" s="14"/>
      <c r="BZ231" s="14"/>
      <c r="CA231" s="14"/>
      <c r="CB231" s="14"/>
      <c r="CC231" s="14"/>
      <c r="CD231" s="14"/>
      <c r="CE231" s="14"/>
      <c r="CF231" s="14"/>
      <c r="CG231" s="14"/>
      <c r="CH231" s="14"/>
      <c r="CI231" s="14"/>
      <c r="CJ231" s="14"/>
      <c r="CK231" s="14"/>
      <c r="CL231" s="14"/>
      <c r="CM231" s="14"/>
      <c r="CN231" s="14"/>
      <c r="CO231" s="14"/>
      <c r="CP231" s="14"/>
      <c r="CQ231" s="14"/>
      <c r="CR231" s="14"/>
      <c r="CS231" s="14"/>
      <c r="CT231" s="14"/>
      <c r="CU231" s="14"/>
      <c r="CV231" s="14"/>
      <c r="CW231" s="14"/>
      <c r="CX231" s="14"/>
      <c r="CY231" s="14"/>
      <c r="CZ231" s="14"/>
      <c r="DA231" s="14"/>
      <c r="DB231" s="14"/>
      <c r="DC231" s="14"/>
      <c r="DD231" s="14"/>
      <c r="DE231" s="14"/>
      <c r="DF231" s="14"/>
      <c r="DG231" s="14"/>
      <c r="DH231" s="14"/>
      <c r="DI231" s="14"/>
      <c r="DJ231" s="14"/>
      <c r="DK231" s="14"/>
      <c r="DL231" s="14"/>
      <c r="DM231" s="14"/>
      <c r="DN231" s="14"/>
      <c r="DO231" s="14"/>
      <c r="DP231" s="14"/>
      <c r="DQ231" s="14"/>
      <c r="DR231" s="14"/>
      <c r="DS231" s="14"/>
      <c r="DT231" s="14"/>
      <c r="DU231" s="14"/>
      <c r="DV231" s="14"/>
      <c r="DW231" s="14"/>
      <c r="DX231" s="14"/>
      <c r="DY231" s="14"/>
      <c r="DZ231" s="14"/>
      <c r="EA231" s="14"/>
      <c r="EB231" s="14"/>
      <c r="EC231" s="14"/>
      <c r="ED231" s="14"/>
      <c r="EE231" s="14"/>
      <c r="EF231" s="14"/>
      <c r="EG231" s="14"/>
      <c r="EH231" s="14"/>
      <c r="EI231" s="14"/>
      <c r="EJ231" s="14"/>
      <c r="EK231" s="14"/>
      <c r="EL231" s="14"/>
      <c r="EM231" s="14"/>
      <c r="EN231" s="14"/>
      <c r="EO231" s="14"/>
      <c r="EP231" s="14"/>
      <c r="EQ231" s="14"/>
      <c r="ER231" s="14"/>
      <c r="ES231" s="14"/>
      <c r="ET231" s="14"/>
      <c r="EU231" s="14"/>
      <c r="EV231" s="14"/>
      <c r="EW231" s="14"/>
      <c r="EX231" s="14"/>
      <c r="EY231" s="14"/>
      <c r="EZ231" s="14"/>
      <c r="FA231" s="14"/>
      <c r="FB231" s="14"/>
      <c r="FC231" s="14"/>
      <c r="FD231" s="14"/>
      <c r="FE231" s="14"/>
      <c r="FF231" s="14"/>
      <c r="FG231" s="14"/>
      <c r="FH231" s="14"/>
      <c r="FI231" s="14"/>
      <c r="FJ231" s="14"/>
      <c r="FK231" s="14"/>
      <c r="FL231" s="14"/>
      <c r="FM231" s="14"/>
      <c r="FN231" s="14"/>
      <c r="FO231" s="14"/>
      <c r="FP231" s="14"/>
      <c r="FQ231" s="14"/>
      <c r="FR231" s="14"/>
      <c r="FS231" s="14"/>
      <c r="FT231" s="14"/>
      <c r="FU231" s="14"/>
      <c r="FV231" s="14"/>
      <c r="FW231" s="14"/>
      <c r="FX231" s="14"/>
      <c r="FY231" s="14"/>
      <c r="FZ231" s="14"/>
      <c r="GA231" s="14"/>
      <c r="GB231" s="14"/>
      <c r="GC231" s="14"/>
      <c r="GD231" s="14"/>
      <c r="GE231" s="14"/>
      <c r="GF231" s="14"/>
      <c r="GG231" s="14"/>
      <c r="GH231" s="14"/>
      <c r="GI231" s="14"/>
      <c r="GJ231" s="14"/>
      <c r="GK231" s="14"/>
      <c r="GL231" s="14"/>
      <c r="GM231" s="14"/>
      <c r="GN231" s="14"/>
      <c r="GO231" s="14"/>
      <c r="GP231" s="14"/>
      <c r="GQ231" s="14"/>
      <c r="GR231" s="14"/>
      <c r="GS231" s="14"/>
      <c r="GT231" s="14"/>
      <c r="GU231" s="14"/>
      <c r="GV231" s="14"/>
      <c r="GW231" s="14"/>
      <c r="GX231" s="14"/>
      <c r="GY231" s="14"/>
      <c r="GZ231" s="14"/>
      <c r="HA231" s="14"/>
      <c r="HB231" s="14"/>
      <c r="HC231" s="14"/>
      <c r="HD231" s="14"/>
      <c r="HE231" s="14"/>
      <c r="HF231" s="14"/>
      <c r="HG231" s="14"/>
      <c r="HH231" s="14"/>
      <c r="HI231" s="14"/>
      <c r="HJ231" s="14"/>
      <c r="HK231" s="14"/>
      <c r="HL231" s="14"/>
      <c r="HM231" s="14"/>
      <c r="HN231" s="14"/>
      <c r="HO231" s="14"/>
      <c r="HP231" s="14"/>
      <c r="HQ231" s="14"/>
      <c r="HR231" s="14"/>
      <c r="HS231" s="14"/>
      <c r="HT231" s="14"/>
    </row>
    <row r="232" spans="1:228" s="1129" customFormat="1" ht="18" customHeight="1" x14ac:dyDescent="0.2">
      <c r="B232" s="2036" t="s">
        <v>2259</v>
      </c>
      <c r="C232" s="1135"/>
      <c r="D232" s="1135"/>
      <c r="E232" s="1796" t="str">
        <f>IF(AND(OR(E223&gt;0,E225&gt;0,E229&gt;0,E231&gt;0),C233&gt;0),"Ankylosis cannot be apportioned.","")</f>
        <v/>
      </c>
      <c r="F232" s="1796"/>
      <c r="G232" s="1796"/>
      <c r="H232" s="1796"/>
      <c r="I232" s="1796"/>
      <c r="J232" s="1796"/>
      <c r="K232" s="1796"/>
      <c r="L232" s="1135"/>
      <c r="M232" s="1135"/>
      <c r="N232" s="1135"/>
      <c r="O232" s="1136"/>
      <c r="P232" s="1905"/>
      <c r="R232" s="1159">
        <f>IF(OR(E223="ERROR",E225="ERROR",E229="ERROR",E231="ERROR"),1,0)</f>
        <v>0</v>
      </c>
      <c r="S232" s="1132"/>
      <c r="T232" s="1132"/>
      <c r="U232" s="1132"/>
      <c r="V232" s="1132"/>
      <c r="W232" s="1132"/>
      <c r="X232" s="1132"/>
      <c r="Y232" s="1132"/>
      <c r="Z232" s="1132"/>
      <c r="AA232" s="1132"/>
      <c r="AB232" s="1132"/>
      <c r="AC232" s="1132"/>
      <c r="AD232" s="1132"/>
      <c r="AE232" s="1132"/>
      <c r="AF232" s="1132"/>
      <c r="AG232" s="1132"/>
      <c r="AH232" s="1132"/>
      <c r="AI232" s="1132"/>
      <c r="AJ232" s="1132"/>
      <c r="AK232" s="1132"/>
      <c r="AL232" s="1132"/>
      <c r="AM232" s="1132"/>
      <c r="AN232" s="1132"/>
      <c r="AO232" s="1132"/>
      <c r="AP232" s="1132"/>
      <c r="AQ232" s="1132"/>
      <c r="AR232" s="1132"/>
      <c r="AS232" s="1132"/>
      <c r="AT232" s="1132"/>
      <c r="AU232" s="1132"/>
      <c r="AV232" s="1132"/>
      <c r="AW232" s="1132"/>
      <c r="AX232" s="1132"/>
      <c r="AY232" s="1132"/>
      <c r="AZ232" s="1132"/>
      <c r="BA232" s="1132"/>
      <c r="BB232" s="1132"/>
      <c r="BC232" s="1132"/>
      <c r="BD232" s="1132"/>
      <c r="BE232" s="1132"/>
      <c r="BF232" s="1132"/>
      <c r="BG232" s="1132"/>
      <c r="BH232" s="1132"/>
      <c r="BI232" s="1132"/>
      <c r="BJ232" s="1132"/>
      <c r="BK232" s="1132"/>
      <c r="BL232" s="1132"/>
      <c r="BM232" s="1132"/>
      <c r="BN232" s="1132"/>
      <c r="BO232" s="1132"/>
      <c r="BP232" s="1132"/>
      <c r="BQ232" s="1128"/>
      <c r="BR232" s="1128"/>
      <c r="BS232" s="1128"/>
      <c r="BT232" s="1128"/>
      <c r="BU232" s="1128"/>
      <c r="BV232" s="1128"/>
      <c r="BW232" s="1128"/>
      <c r="BX232" s="1128"/>
      <c r="BY232" s="1128"/>
      <c r="BZ232" s="1128"/>
      <c r="CA232" s="1128"/>
      <c r="CB232" s="1128"/>
      <c r="CC232" s="1128"/>
      <c r="CD232" s="1128"/>
      <c r="CE232" s="1128"/>
      <c r="CF232" s="1128"/>
      <c r="CG232" s="1128"/>
      <c r="CH232" s="1128"/>
      <c r="CI232" s="1128"/>
      <c r="CJ232" s="1128"/>
      <c r="CK232" s="1128"/>
      <c r="CL232" s="1128"/>
      <c r="CM232" s="1128"/>
      <c r="CN232" s="1128"/>
      <c r="CO232" s="1128"/>
      <c r="CP232" s="1128"/>
      <c r="CQ232" s="1128"/>
      <c r="CR232" s="1128"/>
      <c r="CS232" s="1128"/>
      <c r="CT232" s="1128"/>
      <c r="CU232" s="1128"/>
      <c r="CV232" s="1128"/>
      <c r="CW232" s="1128"/>
      <c r="CX232" s="1128"/>
      <c r="CY232" s="1128"/>
      <c r="CZ232" s="1128"/>
      <c r="DA232" s="1128"/>
      <c r="DB232" s="1128"/>
      <c r="DC232" s="1128"/>
      <c r="DD232" s="1128"/>
      <c r="DE232" s="1128"/>
      <c r="DF232" s="1128"/>
      <c r="DG232" s="1128"/>
      <c r="DH232" s="1128"/>
      <c r="DI232" s="1128"/>
      <c r="DJ232" s="1128"/>
      <c r="DK232" s="1128"/>
      <c r="DL232" s="1128"/>
      <c r="DM232" s="1128"/>
      <c r="DN232" s="1128"/>
      <c r="DO232" s="1128"/>
      <c r="DP232" s="1128"/>
      <c r="DQ232" s="1128"/>
      <c r="DR232" s="1128"/>
      <c r="DS232" s="1128"/>
      <c r="DT232" s="1128"/>
      <c r="DU232" s="1128"/>
      <c r="DV232" s="1128"/>
      <c r="DW232" s="1128"/>
      <c r="DX232" s="1128"/>
      <c r="DY232" s="1128"/>
      <c r="DZ232" s="1128"/>
      <c r="EA232" s="1128"/>
      <c r="EB232" s="1128"/>
      <c r="EC232" s="1128"/>
      <c r="ED232" s="1128"/>
      <c r="EE232" s="1128"/>
      <c r="EF232" s="1128"/>
      <c r="EG232" s="1128"/>
      <c r="EH232" s="1128"/>
      <c r="EI232" s="1128"/>
      <c r="EJ232" s="1128"/>
      <c r="EK232" s="1128"/>
      <c r="EL232" s="1128"/>
      <c r="EM232" s="1128"/>
      <c r="EN232" s="1128"/>
      <c r="EO232" s="1128"/>
      <c r="EP232" s="1128"/>
      <c r="EQ232" s="1128"/>
      <c r="ER232" s="1128"/>
      <c r="ES232" s="1128"/>
      <c r="ET232" s="1128"/>
      <c r="EU232" s="1128"/>
      <c r="EV232" s="1128"/>
      <c r="EW232" s="1128"/>
      <c r="EX232" s="1128"/>
      <c r="EY232" s="1128"/>
      <c r="EZ232" s="1128"/>
      <c r="FA232" s="1128"/>
      <c r="FB232" s="1128"/>
      <c r="FC232" s="1128"/>
      <c r="FD232" s="1128"/>
      <c r="FE232" s="1128"/>
      <c r="FF232" s="1128"/>
      <c r="FG232" s="1128"/>
      <c r="FH232" s="1128"/>
      <c r="FI232" s="1128"/>
      <c r="FJ232" s="1128"/>
      <c r="FK232" s="1128"/>
      <c r="FL232" s="1128"/>
      <c r="FM232" s="1128"/>
      <c r="FN232" s="1128"/>
      <c r="FO232" s="1128"/>
      <c r="FP232" s="1128"/>
      <c r="FQ232" s="1128"/>
      <c r="FR232" s="1128"/>
      <c r="FS232" s="1128"/>
      <c r="FT232" s="1128"/>
      <c r="FU232" s="1128"/>
      <c r="FV232" s="1128"/>
      <c r="FW232" s="1128"/>
      <c r="FX232" s="1128"/>
      <c r="FY232" s="1128"/>
      <c r="FZ232" s="1128"/>
      <c r="GA232" s="1128"/>
      <c r="GB232" s="1128"/>
      <c r="GC232" s="1128"/>
      <c r="GD232" s="1128"/>
      <c r="GE232" s="1128"/>
      <c r="GF232" s="1128"/>
      <c r="GG232" s="1128"/>
      <c r="GH232" s="1128"/>
      <c r="GI232" s="1128"/>
      <c r="GJ232" s="1128"/>
      <c r="GK232" s="1128"/>
      <c r="GL232" s="1128"/>
      <c r="GM232" s="1128"/>
      <c r="GN232" s="1128"/>
      <c r="GO232" s="1128"/>
      <c r="GP232" s="1128"/>
      <c r="GQ232" s="1128"/>
      <c r="GR232" s="1128"/>
      <c r="GS232" s="1128"/>
      <c r="GT232" s="1128"/>
      <c r="GU232" s="1128"/>
      <c r="GV232" s="1128"/>
      <c r="GW232" s="1128"/>
      <c r="GX232" s="1128"/>
      <c r="GY232" s="1128"/>
      <c r="GZ232" s="1128"/>
      <c r="HA232" s="1128"/>
      <c r="HB232" s="1128"/>
      <c r="HC232" s="1128"/>
      <c r="HD232" s="1128"/>
      <c r="HE232" s="1128"/>
      <c r="HF232" s="1128"/>
      <c r="HG232" s="1128"/>
      <c r="HH232" s="1128"/>
      <c r="HI232" s="1128"/>
      <c r="HJ232" s="1128"/>
      <c r="HK232" s="1128"/>
      <c r="HL232" s="1128"/>
      <c r="HM232" s="1128"/>
      <c r="HN232" s="1128"/>
      <c r="HO232" s="1128"/>
      <c r="HP232" s="1128"/>
      <c r="HQ232" s="1128"/>
      <c r="HR232" s="1128"/>
      <c r="HS232" s="1128"/>
      <c r="HT232" s="1128"/>
    </row>
    <row r="233" spans="1:228" ht="18" customHeight="1" x14ac:dyDescent="0.2">
      <c r="B233" s="2037"/>
      <c r="C233" s="1544"/>
      <c r="D233" s="1544"/>
      <c r="E233" s="1796"/>
      <c r="F233" s="1796"/>
      <c r="G233" s="1796"/>
      <c r="H233" s="1796"/>
      <c r="I233" s="1796"/>
      <c r="J233" s="1796"/>
      <c r="K233" s="1796"/>
      <c r="L233" s="1971" t="s">
        <v>2266</v>
      </c>
      <c r="M233" s="1971"/>
      <c r="N233" s="1972"/>
      <c r="O233" s="1109">
        <f>R228</f>
        <v>0</v>
      </c>
      <c r="P233" s="1905"/>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4"/>
      <c r="BR233" s="14"/>
      <c r="BS233" s="14"/>
      <c r="BT233" s="14"/>
      <c r="BU233" s="14"/>
      <c r="BV233" s="14"/>
      <c r="BW233" s="14"/>
      <c r="BX233" s="14"/>
      <c r="BY233" s="14"/>
      <c r="BZ233" s="14"/>
      <c r="CA233" s="14"/>
      <c r="CB233" s="14"/>
      <c r="CC233" s="14"/>
      <c r="CD233" s="14"/>
      <c r="CE233" s="14"/>
      <c r="CF233" s="14"/>
      <c r="CG233" s="14"/>
      <c r="CH233" s="14"/>
      <c r="CI233" s="14"/>
      <c r="CJ233" s="14"/>
      <c r="CK233" s="14"/>
      <c r="CL233" s="14"/>
      <c r="CM233" s="14"/>
      <c r="CN233" s="14"/>
      <c r="CO233" s="14"/>
      <c r="CP233" s="14"/>
      <c r="CQ233" s="14"/>
      <c r="CR233" s="14"/>
      <c r="CS233" s="14"/>
      <c r="CT233" s="14"/>
      <c r="CU233" s="14"/>
      <c r="CV233" s="14"/>
      <c r="CW233" s="14"/>
      <c r="CX233" s="14"/>
      <c r="CY233" s="14"/>
      <c r="CZ233" s="14"/>
      <c r="DA233" s="14"/>
      <c r="DB233" s="14"/>
      <c r="DC233" s="14"/>
      <c r="DD233" s="14"/>
      <c r="DE233" s="14"/>
      <c r="DF233" s="14"/>
      <c r="DG233" s="14"/>
      <c r="DH233" s="14"/>
      <c r="DI233" s="14"/>
      <c r="DJ233" s="14"/>
      <c r="DK233" s="14"/>
      <c r="DL233" s="14"/>
      <c r="DM233" s="14"/>
      <c r="DN233" s="14"/>
      <c r="DO233" s="14"/>
      <c r="DP233" s="14"/>
      <c r="DQ233" s="14"/>
      <c r="DR233" s="14"/>
      <c r="DS233" s="14"/>
      <c r="DT233" s="14"/>
      <c r="DU233" s="14"/>
      <c r="DV233" s="14"/>
      <c r="DW233" s="14"/>
      <c r="DX233" s="14"/>
      <c r="DY233" s="14"/>
      <c r="DZ233" s="14"/>
      <c r="EA233" s="14"/>
      <c r="EB233" s="14"/>
      <c r="EC233" s="14"/>
      <c r="ED233" s="14"/>
      <c r="EE233" s="14"/>
      <c r="EF233" s="14"/>
      <c r="EG233" s="14"/>
      <c r="EH233" s="14"/>
      <c r="EI233" s="14"/>
      <c r="EJ233" s="14"/>
      <c r="EK233" s="14"/>
      <c r="EL233" s="14"/>
      <c r="EM233" s="14"/>
      <c r="EN233" s="14"/>
      <c r="EO233" s="14"/>
      <c r="EP233" s="14"/>
      <c r="EQ233" s="14"/>
      <c r="ER233" s="14"/>
      <c r="ES233" s="14"/>
      <c r="ET233" s="14"/>
      <c r="EU233" s="14"/>
      <c r="EV233" s="14"/>
      <c r="EW233" s="14"/>
      <c r="EX233" s="14"/>
      <c r="EY233" s="14"/>
      <c r="EZ233" s="14"/>
      <c r="FA233" s="14"/>
      <c r="FB233" s="14"/>
      <c r="FC233" s="14"/>
      <c r="FD233" s="14"/>
      <c r="FE233" s="14"/>
      <c r="FF233" s="14"/>
      <c r="FG233" s="14"/>
      <c r="FH233" s="14"/>
      <c r="FI233" s="14"/>
      <c r="FJ233" s="14"/>
      <c r="FK233" s="14"/>
      <c r="FL233" s="14"/>
      <c r="FM233" s="14"/>
      <c r="FN233" s="14"/>
      <c r="FO233" s="14"/>
      <c r="FP233" s="14"/>
      <c r="FQ233" s="14"/>
      <c r="FR233" s="14"/>
      <c r="FS233" s="14"/>
      <c r="FT233" s="14"/>
      <c r="FU233" s="14"/>
      <c r="FV233" s="14"/>
      <c r="FW233" s="14"/>
      <c r="FX233" s="14"/>
      <c r="FY233" s="14"/>
      <c r="FZ233" s="14"/>
      <c r="GA233" s="14"/>
      <c r="GB233" s="14"/>
      <c r="GC233" s="14"/>
      <c r="GD233" s="14"/>
      <c r="GE233" s="14"/>
      <c r="GF233" s="14"/>
      <c r="GG233" s="14"/>
      <c r="GH233" s="14"/>
      <c r="GI233" s="14"/>
      <c r="GJ233" s="14"/>
      <c r="GK233" s="14"/>
      <c r="GL233" s="14"/>
      <c r="GM233" s="14"/>
      <c r="GN233" s="14"/>
      <c r="GO233" s="14"/>
      <c r="GP233" s="14"/>
      <c r="GQ233" s="14"/>
      <c r="GR233" s="14"/>
      <c r="GS233" s="14"/>
      <c r="GT233" s="14"/>
      <c r="GU233" s="14"/>
      <c r="GV233" s="14"/>
      <c r="GW233" s="14"/>
      <c r="GX233" s="14"/>
      <c r="GY233" s="14"/>
      <c r="GZ233" s="14"/>
      <c r="HA233" s="14"/>
      <c r="HB233" s="14"/>
      <c r="HC233" s="14"/>
      <c r="HD233" s="14"/>
      <c r="HE233" s="14"/>
      <c r="HF233" s="14"/>
      <c r="HG233" s="14"/>
      <c r="HH233" s="14"/>
      <c r="HI233" s="14"/>
      <c r="HJ233" s="14"/>
      <c r="HK233" s="14"/>
      <c r="HL233" s="14"/>
      <c r="HM233" s="14"/>
      <c r="HN233" s="14"/>
      <c r="HO233" s="14"/>
      <c r="HP233" s="14"/>
      <c r="HQ233" s="14"/>
      <c r="HR233" s="14"/>
      <c r="HS233" s="14"/>
      <c r="HT233" s="14"/>
    </row>
    <row r="234" spans="1:228" s="1108" customFormat="1" ht="21.75" customHeight="1" x14ac:dyDescent="0.2">
      <c r="B234" s="1536"/>
      <c r="C234" s="1536"/>
      <c r="D234" s="1536"/>
      <c r="E234" s="1536"/>
      <c r="F234" s="1536"/>
      <c r="G234" s="1536"/>
      <c r="H234" s="1536"/>
      <c r="I234" s="1536"/>
      <c r="J234" s="1536"/>
      <c r="K234" s="1536"/>
      <c r="L234" s="1741" t="s">
        <v>1028</v>
      </c>
      <c r="M234" s="1741"/>
      <c r="N234" s="1741"/>
      <c r="O234" s="1742"/>
      <c r="P234" s="1115">
        <f>IF(R232=1,"ERROR",IF(AND(R229&gt;0,R229&lt;0.01),0.01,IF(R229&gt;1,1,ROUND(R229,2))))</f>
        <v>0</v>
      </c>
      <c r="R234" s="1111"/>
      <c r="U234" s="1111"/>
      <c r="V234" s="1111"/>
      <c r="W234" s="1111"/>
      <c r="X234" s="1111"/>
      <c r="Y234" s="1111"/>
      <c r="Z234" s="1111"/>
      <c r="AA234" s="1111"/>
      <c r="AB234" s="1111"/>
      <c r="AC234" s="1111"/>
      <c r="AD234" s="1111"/>
      <c r="AE234" s="1111"/>
      <c r="AF234" s="1111"/>
      <c r="AG234" s="1111"/>
      <c r="AH234" s="1111"/>
      <c r="AI234" s="1111"/>
      <c r="AJ234" s="1111"/>
      <c r="AK234" s="1111"/>
      <c r="AL234" s="1111"/>
      <c r="AM234" s="1111"/>
      <c r="AN234" s="1111"/>
      <c r="AO234" s="1111"/>
      <c r="AP234" s="1111"/>
      <c r="AQ234" s="1111"/>
      <c r="AR234" s="1111"/>
      <c r="AS234" s="1111"/>
      <c r="AT234" s="1111"/>
      <c r="AU234" s="1111"/>
      <c r="AV234" s="1111"/>
      <c r="AW234" s="1111"/>
      <c r="AX234" s="1111"/>
      <c r="AY234" s="1111"/>
      <c r="AZ234" s="1111"/>
      <c r="BA234" s="1111"/>
      <c r="BB234" s="1111"/>
      <c r="BC234" s="1111"/>
      <c r="BD234" s="1111"/>
      <c r="BE234" s="1111"/>
      <c r="BF234" s="1111"/>
      <c r="BG234" s="1111"/>
      <c r="BH234" s="1111"/>
      <c r="BI234" s="1111"/>
      <c r="BJ234" s="1111"/>
      <c r="BK234" s="1111"/>
      <c r="BL234" s="1111"/>
      <c r="BM234" s="1111"/>
      <c r="BN234" s="1111"/>
      <c r="BO234" s="1111"/>
      <c r="BP234" s="1111"/>
      <c r="BQ234" s="1107"/>
      <c r="BR234" s="1107"/>
      <c r="BS234" s="1107"/>
      <c r="BT234" s="1107"/>
      <c r="BU234" s="1107"/>
      <c r="BV234" s="1107"/>
      <c r="BW234" s="1107"/>
      <c r="BX234" s="1107"/>
      <c r="BY234" s="1107"/>
      <c r="BZ234" s="1107"/>
      <c r="CA234" s="1107"/>
      <c r="CB234" s="1107"/>
      <c r="CC234" s="1107"/>
      <c r="CD234" s="1107"/>
      <c r="CE234" s="1107"/>
      <c r="CF234" s="1107"/>
      <c r="CG234" s="1107"/>
      <c r="CH234" s="1107"/>
      <c r="CI234" s="1107"/>
      <c r="CJ234" s="1107"/>
      <c r="CK234" s="1107"/>
      <c r="CL234" s="1107"/>
      <c r="CM234" s="1107"/>
      <c r="CN234" s="1107"/>
      <c r="CO234" s="1107"/>
      <c r="CP234" s="1107"/>
      <c r="CQ234" s="1107"/>
      <c r="CR234" s="1107"/>
      <c r="CS234" s="1107"/>
      <c r="CT234" s="1107"/>
      <c r="CU234" s="1107"/>
      <c r="CV234" s="1107"/>
      <c r="CW234" s="1107"/>
      <c r="CX234" s="1107"/>
      <c r="CY234" s="1107"/>
      <c r="CZ234" s="1107"/>
      <c r="DA234" s="1107"/>
      <c r="DB234" s="1107"/>
      <c r="DC234" s="1107"/>
      <c r="DD234" s="1107"/>
      <c r="DE234" s="1107"/>
      <c r="DF234" s="1107"/>
      <c r="DG234" s="1107"/>
      <c r="DH234" s="1107"/>
      <c r="DI234" s="1107"/>
      <c r="DJ234" s="1107"/>
      <c r="DK234" s="1107"/>
      <c r="DL234" s="1107"/>
      <c r="DM234" s="1107"/>
      <c r="DN234" s="1107"/>
      <c r="DO234" s="1107"/>
      <c r="DP234" s="1107"/>
      <c r="DQ234" s="1107"/>
      <c r="DR234" s="1107"/>
      <c r="DS234" s="1107"/>
      <c r="DT234" s="1107"/>
      <c r="DU234" s="1107"/>
      <c r="DV234" s="1107"/>
      <c r="DW234" s="1107"/>
      <c r="DX234" s="1107"/>
      <c r="DY234" s="1107"/>
      <c r="DZ234" s="1107"/>
      <c r="EA234" s="1107"/>
      <c r="EB234" s="1107"/>
      <c r="EC234" s="1107"/>
      <c r="ED234" s="1107"/>
      <c r="EE234" s="1107"/>
      <c r="EF234" s="1107"/>
      <c r="EG234" s="1107"/>
      <c r="EH234" s="1107"/>
      <c r="EI234" s="1107"/>
      <c r="EJ234" s="1107"/>
      <c r="EK234" s="1107"/>
      <c r="EL234" s="1107"/>
      <c r="EM234" s="1107"/>
      <c r="EN234" s="1107"/>
      <c r="EO234" s="1107"/>
      <c r="EP234" s="1107"/>
      <c r="EQ234" s="1107"/>
      <c r="ER234" s="1107"/>
      <c r="ES234" s="1107"/>
      <c r="ET234" s="1107"/>
      <c r="EU234" s="1107"/>
      <c r="EV234" s="1107"/>
      <c r="EW234" s="1107"/>
      <c r="EX234" s="1107"/>
      <c r="EY234" s="1107"/>
      <c r="EZ234" s="1107"/>
      <c r="FA234" s="1107"/>
      <c r="FB234" s="1107"/>
      <c r="FC234" s="1107"/>
      <c r="FD234" s="1107"/>
      <c r="FE234" s="1107"/>
      <c r="FF234" s="1107"/>
      <c r="FG234" s="1107"/>
      <c r="FH234" s="1107"/>
      <c r="FI234" s="1107"/>
      <c r="FJ234" s="1107"/>
      <c r="FK234" s="1107"/>
      <c r="FL234" s="1107"/>
      <c r="FM234" s="1107"/>
      <c r="FN234" s="1107"/>
      <c r="FO234" s="1107"/>
      <c r="FP234" s="1107"/>
      <c r="FQ234" s="1107"/>
      <c r="FR234" s="1107"/>
      <c r="FS234" s="1107"/>
      <c r="FT234" s="1107"/>
      <c r="FU234" s="1107"/>
      <c r="FV234" s="1107"/>
      <c r="FW234" s="1107"/>
      <c r="FX234" s="1107"/>
      <c r="FY234" s="1107"/>
      <c r="FZ234" s="1107"/>
      <c r="GA234" s="1107"/>
      <c r="GB234" s="1107"/>
      <c r="GC234" s="1107"/>
      <c r="GD234" s="1107"/>
      <c r="GE234" s="1107"/>
      <c r="GF234" s="1107"/>
      <c r="GG234" s="1107"/>
      <c r="GH234" s="1107"/>
      <c r="GI234" s="1107"/>
      <c r="GJ234" s="1107"/>
      <c r="GK234" s="1107"/>
      <c r="GL234" s="1107"/>
      <c r="GM234" s="1107"/>
      <c r="GN234" s="1107"/>
      <c r="GO234" s="1107"/>
      <c r="GP234" s="1107"/>
      <c r="GQ234" s="1107"/>
      <c r="GR234" s="1107"/>
      <c r="GS234" s="1107"/>
      <c r="GT234" s="1107"/>
      <c r="GU234" s="1107"/>
      <c r="GV234" s="1107"/>
      <c r="GW234" s="1107"/>
      <c r="GX234" s="1107"/>
      <c r="GY234" s="1107"/>
      <c r="GZ234" s="1107"/>
      <c r="HA234" s="1107"/>
      <c r="HB234" s="1107"/>
      <c r="HC234" s="1107"/>
      <c r="HD234" s="1107"/>
      <c r="HE234" s="1107"/>
      <c r="HF234" s="1107"/>
      <c r="HG234" s="1107"/>
      <c r="HH234" s="1107"/>
      <c r="HI234" s="1107"/>
      <c r="HJ234" s="1107"/>
      <c r="HK234" s="1107"/>
      <c r="HL234" s="1107"/>
      <c r="HM234" s="1107"/>
      <c r="HN234" s="1107"/>
      <c r="HO234" s="1107"/>
      <c r="HP234" s="1107"/>
      <c r="HQ234" s="1107"/>
      <c r="HR234" s="1107"/>
      <c r="HS234" s="1107"/>
      <c r="HT234" s="1107"/>
    </row>
    <row r="235" spans="1:228" ht="15" customHeight="1" x14ac:dyDescent="0.25">
      <c r="A235" s="8"/>
      <c r="B235" s="1903"/>
      <c r="C235" s="1903"/>
      <c r="D235" s="1903"/>
      <c r="E235" s="1903"/>
      <c r="F235" s="1903"/>
      <c r="G235" s="1903"/>
      <c r="H235" s="1903"/>
      <c r="I235" s="1903"/>
      <c r="J235" s="1903"/>
      <c r="K235" s="1903"/>
      <c r="L235" s="1903"/>
      <c r="M235" s="1903"/>
      <c r="N235" s="1903"/>
      <c r="O235" s="1903"/>
      <c r="P235" s="36"/>
      <c r="Q235" s="8"/>
      <c r="R235" s="160"/>
      <c r="S235" s="166"/>
      <c r="T235" s="157"/>
      <c r="U235" s="60"/>
      <c r="V235" s="60"/>
      <c r="W235" s="60"/>
      <c r="X235" s="60"/>
      <c r="Y235" s="60"/>
      <c r="Z235" s="60"/>
      <c r="AA235" s="60"/>
      <c r="AB235" s="60"/>
      <c r="AC235" s="60"/>
      <c r="AD235" s="60"/>
      <c r="AE235" s="60"/>
      <c r="AF235" s="60"/>
      <c r="AG235" s="60"/>
      <c r="AH235" s="60"/>
      <c r="AI235" s="60"/>
      <c r="AJ235" s="60"/>
      <c r="AK235" s="60"/>
      <c r="AL235" s="60"/>
      <c r="AM235" s="60"/>
      <c r="AN235" s="60"/>
      <c r="AO235" s="60"/>
      <c r="AP235" s="60"/>
      <c r="AQ235" s="60"/>
      <c r="AR235" s="60"/>
      <c r="AS235" s="60"/>
      <c r="AT235" s="60"/>
      <c r="AU235" s="60"/>
      <c r="AV235" s="60"/>
      <c r="AW235" s="60"/>
      <c r="AX235" s="60"/>
      <c r="AY235" s="60"/>
      <c r="AZ235" s="60"/>
      <c r="BA235" s="60"/>
      <c r="BB235" s="60"/>
      <c r="BC235" s="60"/>
      <c r="BD235" s="60"/>
      <c r="BE235" s="60"/>
      <c r="BF235" s="18"/>
      <c r="BG235" s="18"/>
      <c r="BH235" s="18"/>
      <c r="BI235" s="18"/>
      <c r="BJ235" s="18"/>
      <c r="BK235" s="18"/>
      <c r="BL235" s="18"/>
      <c r="BM235" s="18"/>
      <c r="BN235" s="18"/>
      <c r="BO235" s="18"/>
      <c r="BP235" s="18"/>
      <c r="BQ235" s="14"/>
      <c r="BR235" s="14"/>
      <c r="BS235" s="14"/>
      <c r="BT235" s="14"/>
      <c r="BU235" s="14"/>
      <c r="BV235" s="14"/>
      <c r="BW235" s="14"/>
      <c r="BX235" s="14"/>
      <c r="BY235" s="14"/>
      <c r="BZ235" s="14"/>
      <c r="CA235" s="14"/>
      <c r="CB235" s="14"/>
      <c r="CC235" s="14"/>
      <c r="CD235" s="14"/>
      <c r="CE235" s="14"/>
      <c r="CF235" s="14"/>
      <c r="CG235" s="14"/>
      <c r="CH235" s="14"/>
      <c r="CI235" s="14"/>
      <c r="CJ235" s="14"/>
      <c r="CK235" s="14"/>
      <c r="CL235" s="14"/>
      <c r="CM235" s="14"/>
      <c r="CN235" s="14"/>
      <c r="CO235" s="14"/>
      <c r="CP235" s="14"/>
      <c r="CQ235" s="14"/>
      <c r="CR235" s="14"/>
      <c r="CS235" s="14"/>
      <c r="CT235" s="14"/>
      <c r="CU235" s="14"/>
      <c r="CV235" s="14"/>
      <c r="CW235" s="14"/>
      <c r="CX235" s="14"/>
      <c r="CY235" s="14"/>
      <c r="CZ235" s="14"/>
      <c r="DA235" s="14"/>
      <c r="DB235" s="14"/>
      <c r="DC235" s="14"/>
      <c r="DD235" s="14"/>
      <c r="DE235" s="14"/>
      <c r="DF235" s="14"/>
      <c r="DG235" s="14"/>
      <c r="DH235" s="14"/>
      <c r="DI235" s="14"/>
      <c r="DJ235" s="14"/>
      <c r="DK235" s="14"/>
      <c r="DL235" s="14"/>
      <c r="DM235" s="14"/>
      <c r="DN235" s="14"/>
      <c r="DO235" s="14"/>
      <c r="DP235" s="14"/>
      <c r="DQ235" s="14"/>
      <c r="DR235" s="14"/>
      <c r="DS235" s="14"/>
      <c r="DT235" s="14"/>
      <c r="DU235" s="14"/>
      <c r="DV235" s="14"/>
      <c r="DW235" s="14"/>
      <c r="DX235" s="14"/>
      <c r="DY235" s="14"/>
      <c r="DZ235" s="14"/>
      <c r="EA235" s="14"/>
      <c r="EB235" s="14"/>
      <c r="EC235" s="14"/>
      <c r="ED235" s="14"/>
      <c r="EE235" s="14"/>
      <c r="EF235" s="14"/>
      <c r="EG235" s="14"/>
      <c r="EH235" s="14"/>
      <c r="EI235" s="14"/>
      <c r="EJ235" s="14"/>
      <c r="EK235" s="14"/>
      <c r="EL235" s="14"/>
      <c r="EM235" s="14"/>
      <c r="EN235" s="14"/>
      <c r="EO235" s="14"/>
      <c r="EP235" s="14"/>
      <c r="EQ235" s="14"/>
      <c r="ER235" s="14"/>
      <c r="ES235" s="14"/>
      <c r="ET235" s="14"/>
      <c r="EU235" s="14"/>
      <c r="EV235" s="14"/>
      <c r="EW235" s="14"/>
      <c r="EX235" s="14"/>
      <c r="EY235" s="14"/>
      <c r="EZ235" s="14"/>
      <c r="FA235" s="14"/>
      <c r="FB235" s="14"/>
      <c r="FC235" s="14"/>
      <c r="FD235" s="14"/>
      <c r="FE235" s="14"/>
      <c r="FF235" s="14"/>
      <c r="FG235" s="14"/>
      <c r="FH235" s="14"/>
      <c r="FI235" s="14"/>
      <c r="FJ235" s="14"/>
      <c r="FK235" s="14"/>
      <c r="FL235" s="14"/>
      <c r="FM235" s="14"/>
      <c r="FN235" s="14"/>
      <c r="FO235" s="14"/>
      <c r="FP235" s="14"/>
      <c r="FQ235" s="14"/>
      <c r="FR235" s="14"/>
      <c r="FS235" s="14"/>
      <c r="FT235" s="14"/>
      <c r="FU235" s="14"/>
      <c r="FV235" s="14"/>
      <c r="FW235" s="14"/>
      <c r="FX235" s="14"/>
      <c r="FY235" s="14"/>
      <c r="FZ235" s="14"/>
      <c r="GA235" s="14"/>
      <c r="GB235" s="14"/>
      <c r="GC235" s="14"/>
      <c r="GD235" s="14"/>
      <c r="GE235" s="14"/>
      <c r="GF235" s="14"/>
      <c r="GG235" s="14"/>
      <c r="GH235" s="14"/>
      <c r="GI235" s="14"/>
      <c r="GJ235" s="14"/>
      <c r="GK235" s="14"/>
      <c r="GL235" s="14"/>
      <c r="GM235" s="14"/>
      <c r="GN235" s="14"/>
      <c r="GO235" s="14"/>
      <c r="GP235" s="14"/>
      <c r="GQ235" s="14"/>
      <c r="GR235" s="14"/>
      <c r="GS235" s="14"/>
      <c r="GT235" s="14"/>
      <c r="GU235" s="14"/>
      <c r="GV235" s="14"/>
      <c r="GW235" s="14"/>
      <c r="GX235" s="14"/>
      <c r="GY235" s="14"/>
      <c r="GZ235" s="14"/>
      <c r="HA235" s="14"/>
      <c r="HB235" s="14"/>
      <c r="HC235" s="14"/>
      <c r="HD235" s="14"/>
      <c r="HE235" s="14"/>
      <c r="HF235" s="14"/>
      <c r="HG235" s="14"/>
      <c r="HH235" s="14"/>
      <c r="HI235" s="14"/>
      <c r="HJ235" s="14"/>
      <c r="HK235" s="14"/>
      <c r="HL235" s="14"/>
      <c r="HM235" s="14"/>
      <c r="HN235" s="14"/>
      <c r="HO235" s="14"/>
      <c r="HP235" s="14"/>
      <c r="HQ235" s="14"/>
      <c r="HR235" s="14"/>
      <c r="HS235" s="14"/>
      <c r="HT235" s="14"/>
    </row>
    <row r="236" spans="1:228" ht="21" customHeight="1" x14ac:dyDescent="0.2">
      <c r="A236" s="8"/>
      <c r="B236" s="1549" t="s">
        <v>2010</v>
      </c>
      <c r="C236" s="1550"/>
      <c r="D236" s="1550"/>
      <c r="E236" s="1550"/>
      <c r="F236" s="1550"/>
      <c r="G236" s="1550"/>
      <c r="H236" s="1550"/>
      <c r="I236" s="1550"/>
      <c r="J236" s="1550"/>
      <c r="K236" s="1550"/>
      <c r="L236" s="1550"/>
      <c r="M236" s="1550"/>
      <c r="N236" s="1550"/>
      <c r="O236" s="1550"/>
      <c r="P236" s="1994"/>
      <c r="Q236" s="8"/>
      <c r="R236" s="60"/>
      <c r="S236" s="60"/>
      <c r="T236" s="60"/>
      <c r="U236" s="60"/>
      <c r="V236" s="60"/>
      <c r="W236" s="60"/>
      <c r="X236" s="60"/>
      <c r="Y236" s="60"/>
      <c r="Z236" s="60"/>
      <c r="AA236" s="60"/>
      <c r="AB236" s="60"/>
      <c r="AC236" s="60"/>
      <c r="AD236" s="60"/>
      <c r="AE236" s="60"/>
      <c r="AF236" s="60"/>
      <c r="AG236" s="60"/>
      <c r="AH236" s="60"/>
      <c r="AI236" s="60"/>
      <c r="AJ236" s="60"/>
      <c r="AK236" s="60"/>
      <c r="AL236" s="60"/>
      <c r="AM236" s="60"/>
      <c r="AN236" s="60"/>
      <c r="AO236" s="60"/>
      <c r="AP236" s="60"/>
      <c r="AQ236" s="60"/>
      <c r="AR236" s="60"/>
      <c r="AS236" s="60"/>
      <c r="AT236" s="60"/>
      <c r="AU236" s="60"/>
      <c r="AV236" s="60"/>
      <c r="AW236" s="60"/>
      <c r="AX236" s="60"/>
      <c r="AY236" s="60"/>
      <c r="AZ236" s="60"/>
      <c r="BA236" s="60"/>
      <c r="BB236" s="60"/>
      <c r="BC236" s="60"/>
      <c r="BD236" s="60"/>
      <c r="BE236" s="60"/>
      <c r="BF236" s="18"/>
      <c r="BG236" s="18"/>
      <c r="BH236" s="18"/>
      <c r="BI236" s="18"/>
      <c r="BJ236" s="18"/>
      <c r="BK236" s="18"/>
      <c r="BL236" s="18"/>
      <c r="BM236" s="18"/>
      <c r="BN236" s="18"/>
      <c r="BO236" s="18"/>
      <c r="BP236" s="18"/>
      <c r="BQ236" s="14"/>
      <c r="BR236" s="14"/>
      <c r="BS236" s="14"/>
      <c r="BT236" s="14"/>
      <c r="BU236" s="14"/>
      <c r="BV236" s="14"/>
      <c r="BW236" s="14"/>
      <c r="BX236" s="14"/>
      <c r="BY236" s="14"/>
      <c r="BZ236" s="14"/>
      <c r="CA236" s="14"/>
      <c r="CB236" s="14"/>
      <c r="CC236" s="14"/>
      <c r="CD236" s="14"/>
      <c r="CE236" s="14"/>
      <c r="CF236" s="14"/>
      <c r="CG236" s="14"/>
      <c r="CH236" s="14"/>
      <c r="CI236" s="14"/>
      <c r="CJ236" s="14"/>
      <c r="CK236" s="14"/>
      <c r="CL236" s="14"/>
      <c r="CM236" s="14"/>
      <c r="CN236" s="14"/>
      <c r="CO236" s="14"/>
      <c r="CP236" s="14"/>
      <c r="CQ236" s="14"/>
      <c r="CR236" s="14"/>
      <c r="CS236" s="14"/>
      <c r="CT236" s="14"/>
      <c r="CU236" s="14"/>
      <c r="CV236" s="14"/>
      <c r="CW236" s="14"/>
      <c r="CX236" s="14"/>
      <c r="CY236" s="14"/>
      <c r="CZ236" s="14"/>
      <c r="DA236" s="14"/>
      <c r="DB236" s="14"/>
      <c r="DC236" s="14"/>
      <c r="DD236" s="14"/>
      <c r="DE236" s="14"/>
      <c r="DF236" s="14"/>
      <c r="DG236" s="14"/>
      <c r="DH236" s="14"/>
      <c r="DI236" s="14"/>
      <c r="DJ236" s="14"/>
      <c r="DK236" s="14"/>
      <c r="DL236" s="14"/>
      <c r="DM236" s="14"/>
      <c r="DN236" s="14"/>
      <c r="DO236" s="14"/>
      <c r="DP236" s="14"/>
      <c r="DQ236" s="14"/>
      <c r="DR236" s="14"/>
      <c r="DS236" s="14"/>
      <c r="DT236" s="14"/>
      <c r="DU236" s="14"/>
      <c r="DV236" s="14"/>
      <c r="DW236" s="14"/>
      <c r="DX236" s="14"/>
      <c r="DY236" s="14"/>
      <c r="DZ236" s="14"/>
      <c r="EA236" s="14"/>
      <c r="EB236" s="14"/>
      <c r="EC236" s="14"/>
      <c r="ED236" s="14"/>
      <c r="EE236" s="14"/>
      <c r="EF236" s="14"/>
      <c r="EG236" s="14"/>
      <c r="EH236" s="14"/>
      <c r="EI236" s="14"/>
      <c r="EJ236" s="14"/>
      <c r="EK236" s="14"/>
      <c r="EL236" s="14"/>
      <c r="EM236" s="14"/>
      <c r="EN236" s="14"/>
      <c r="EO236" s="14"/>
      <c r="EP236" s="14"/>
      <c r="EQ236" s="14"/>
      <c r="ER236" s="14"/>
      <c r="ES236" s="14"/>
      <c r="ET236" s="14"/>
      <c r="EU236" s="14"/>
      <c r="EV236" s="14"/>
      <c r="EW236" s="14"/>
      <c r="EX236" s="14"/>
      <c r="EY236" s="14"/>
      <c r="EZ236" s="14"/>
      <c r="FA236" s="14"/>
      <c r="FB236" s="14"/>
      <c r="FC236" s="14"/>
      <c r="FD236" s="14"/>
      <c r="FE236" s="14"/>
      <c r="FF236" s="14"/>
      <c r="FG236" s="14"/>
      <c r="FH236" s="14"/>
      <c r="FI236" s="14"/>
      <c r="FJ236" s="14"/>
      <c r="FK236" s="14"/>
      <c r="FL236" s="14"/>
      <c r="FM236" s="14"/>
      <c r="FN236" s="14"/>
      <c r="FO236" s="14"/>
      <c r="FP236" s="14"/>
      <c r="FQ236" s="14"/>
      <c r="FR236" s="14"/>
      <c r="FS236" s="14"/>
      <c r="FT236" s="14"/>
      <c r="FU236" s="14"/>
      <c r="FV236" s="14"/>
      <c r="FW236" s="14"/>
      <c r="FX236" s="14"/>
      <c r="FY236" s="14"/>
      <c r="FZ236" s="14"/>
      <c r="GA236" s="14"/>
      <c r="GB236" s="14"/>
      <c r="GC236" s="14"/>
      <c r="GD236" s="14"/>
      <c r="GE236" s="14"/>
      <c r="GF236" s="14"/>
      <c r="GG236" s="14"/>
      <c r="GH236" s="14"/>
      <c r="GI236" s="14"/>
      <c r="GJ236" s="14"/>
      <c r="GK236" s="14"/>
      <c r="GL236" s="14"/>
      <c r="GM236" s="14"/>
      <c r="GN236" s="14"/>
      <c r="GO236" s="14"/>
      <c r="GP236" s="14"/>
      <c r="GQ236" s="14"/>
      <c r="GR236" s="14"/>
      <c r="GS236" s="14"/>
      <c r="GT236" s="14"/>
      <c r="GU236" s="14"/>
      <c r="GV236" s="14"/>
      <c r="GW236" s="14"/>
      <c r="GX236" s="14"/>
      <c r="GY236" s="14"/>
      <c r="GZ236" s="14"/>
      <c r="HA236" s="14"/>
      <c r="HB236" s="14"/>
      <c r="HC236" s="14"/>
      <c r="HD236" s="14"/>
      <c r="HE236" s="14"/>
      <c r="HF236" s="14"/>
      <c r="HG236" s="14"/>
      <c r="HH236" s="14"/>
      <c r="HI236" s="14"/>
      <c r="HJ236" s="14"/>
      <c r="HK236" s="14"/>
      <c r="HL236" s="14"/>
      <c r="HM236" s="14"/>
      <c r="HN236" s="14"/>
      <c r="HO236" s="14"/>
      <c r="HP236" s="14"/>
      <c r="HQ236" s="14"/>
      <c r="HR236" s="14"/>
      <c r="HS236" s="14"/>
      <c r="HT236" s="14"/>
    </row>
    <row r="237" spans="1:228" ht="18" customHeight="1" x14ac:dyDescent="0.2">
      <c r="B237" s="1549" t="s">
        <v>2011</v>
      </c>
      <c r="C237" s="1550"/>
      <c r="D237" s="1550"/>
      <c r="E237" s="1550"/>
      <c r="F237" s="1550"/>
      <c r="G237" s="1550"/>
      <c r="H237" s="1550"/>
      <c r="I237" s="1550"/>
      <c r="J237" s="1550"/>
      <c r="K237" s="1550"/>
      <c r="L237" s="1550"/>
      <c r="M237" s="1550"/>
      <c r="N237" s="1550"/>
      <c r="O237" s="1550"/>
      <c r="P237" s="1995"/>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4"/>
      <c r="BR237" s="14"/>
      <c r="BS237" s="14"/>
      <c r="BT237" s="14"/>
      <c r="BU237" s="14"/>
      <c r="BV237" s="14"/>
      <c r="BW237" s="14"/>
      <c r="BX237" s="14"/>
      <c r="BY237" s="14"/>
      <c r="BZ237" s="14"/>
      <c r="CA237" s="14"/>
      <c r="CB237" s="14"/>
      <c r="CC237" s="14"/>
      <c r="CD237" s="14"/>
      <c r="CE237" s="14"/>
      <c r="CF237" s="14"/>
      <c r="CG237" s="14"/>
      <c r="CH237" s="14"/>
      <c r="CI237" s="14"/>
      <c r="CJ237" s="14"/>
      <c r="CK237" s="14"/>
      <c r="CL237" s="14"/>
      <c r="CM237" s="14"/>
      <c r="CN237" s="14"/>
      <c r="CO237" s="14"/>
      <c r="CP237" s="14"/>
      <c r="CQ237" s="14"/>
      <c r="CR237" s="14"/>
      <c r="CS237" s="14"/>
      <c r="CT237" s="14"/>
      <c r="CU237" s="14"/>
      <c r="CV237" s="14"/>
      <c r="CW237" s="14"/>
      <c r="CX237" s="14"/>
      <c r="CY237" s="14"/>
      <c r="CZ237" s="14"/>
      <c r="DA237" s="14"/>
      <c r="DB237" s="14"/>
      <c r="DC237" s="14"/>
      <c r="DD237" s="14"/>
      <c r="DE237" s="14"/>
      <c r="DF237" s="14"/>
      <c r="DG237" s="14"/>
      <c r="DH237" s="14"/>
      <c r="DI237" s="14"/>
      <c r="DJ237" s="14"/>
      <c r="DK237" s="14"/>
      <c r="DL237" s="14"/>
      <c r="DM237" s="14"/>
      <c r="DN237" s="14"/>
      <c r="DO237" s="14"/>
      <c r="DP237" s="14"/>
      <c r="DQ237" s="14"/>
      <c r="DR237" s="14"/>
      <c r="DS237" s="14"/>
      <c r="DT237" s="14"/>
      <c r="DU237" s="14"/>
      <c r="DV237" s="14"/>
      <c r="DW237" s="14"/>
      <c r="DX237" s="14"/>
      <c r="DY237" s="14"/>
      <c r="DZ237" s="14"/>
      <c r="EA237" s="14"/>
      <c r="EB237" s="14"/>
      <c r="EC237" s="14"/>
      <c r="ED237" s="14"/>
      <c r="EE237" s="14"/>
      <c r="EF237" s="14"/>
      <c r="EG237" s="14"/>
      <c r="EH237" s="14"/>
      <c r="EI237" s="14"/>
      <c r="EJ237" s="14"/>
      <c r="EK237" s="14"/>
      <c r="EL237" s="14"/>
      <c r="EM237" s="14"/>
      <c r="EN237" s="14"/>
      <c r="EO237" s="14"/>
      <c r="EP237" s="14"/>
      <c r="EQ237" s="14"/>
      <c r="ER237" s="14"/>
      <c r="ES237" s="14"/>
      <c r="ET237" s="14"/>
      <c r="EU237" s="14"/>
      <c r="EV237" s="14"/>
      <c r="EW237" s="14"/>
      <c r="EX237" s="14"/>
      <c r="EY237" s="14"/>
      <c r="EZ237" s="14"/>
      <c r="FA237" s="14"/>
      <c r="FB237" s="14"/>
      <c r="FC237" s="14"/>
      <c r="FD237" s="14"/>
      <c r="FE237" s="14"/>
      <c r="FF237" s="14"/>
      <c r="FG237" s="14"/>
      <c r="FH237" s="14"/>
      <c r="FI237" s="14"/>
      <c r="FJ237" s="14"/>
      <c r="FK237" s="14"/>
      <c r="FL237" s="14"/>
      <c r="FM237" s="14"/>
      <c r="FN237" s="14"/>
      <c r="FO237" s="14"/>
      <c r="FP237" s="14"/>
      <c r="FQ237" s="14"/>
      <c r="FR237" s="14"/>
      <c r="FS237" s="14"/>
      <c r="FT237" s="14"/>
      <c r="FU237" s="14"/>
      <c r="FV237" s="14"/>
      <c r="FW237" s="14"/>
      <c r="FX237" s="14"/>
      <c r="FY237" s="14"/>
      <c r="FZ237" s="14"/>
      <c r="GA237" s="14"/>
      <c r="GB237" s="14"/>
      <c r="GC237" s="14"/>
      <c r="GD237" s="14"/>
      <c r="GE237" s="14"/>
      <c r="GF237" s="14"/>
      <c r="GG237" s="14"/>
      <c r="GH237" s="14"/>
      <c r="GI237" s="14"/>
      <c r="GJ237" s="14"/>
      <c r="GK237" s="14"/>
      <c r="GL237" s="14"/>
      <c r="GM237" s="14"/>
      <c r="GN237" s="14"/>
      <c r="GO237" s="14"/>
      <c r="GP237" s="14"/>
      <c r="GQ237" s="14"/>
      <c r="GR237" s="14"/>
      <c r="GS237" s="14"/>
      <c r="GT237" s="14"/>
      <c r="GU237" s="14"/>
      <c r="GV237" s="14"/>
      <c r="GW237" s="14"/>
      <c r="GX237" s="14"/>
      <c r="GY237" s="14"/>
      <c r="GZ237" s="14"/>
      <c r="HA237" s="14"/>
      <c r="HB237" s="14"/>
      <c r="HC237" s="14"/>
      <c r="HD237" s="14"/>
      <c r="HE237" s="14"/>
      <c r="HF237" s="14"/>
      <c r="HG237" s="14"/>
      <c r="HH237" s="14"/>
      <c r="HI237" s="14"/>
      <c r="HJ237" s="14"/>
      <c r="HK237" s="14"/>
      <c r="HL237" s="14"/>
      <c r="HM237" s="14"/>
      <c r="HN237" s="14"/>
      <c r="HO237" s="14"/>
      <c r="HP237" s="14"/>
      <c r="HQ237" s="14"/>
      <c r="HR237" s="14"/>
      <c r="HS237" s="14"/>
      <c r="HT237" s="14"/>
    </row>
    <row r="238" spans="1:228" ht="15" customHeight="1" x14ac:dyDescent="0.2">
      <c r="B238" s="185" t="s">
        <v>2014</v>
      </c>
      <c r="C238" s="1955"/>
      <c r="D238" s="1955"/>
      <c r="E238" s="1955"/>
      <c r="F238" s="1955"/>
      <c r="G238" s="1955"/>
      <c r="H238" s="1955"/>
      <c r="I238" s="1955"/>
      <c r="J238" s="1955"/>
      <c r="K238" s="1955"/>
      <c r="L238" s="1955"/>
      <c r="M238" s="1955"/>
      <c r="N238" s="1955"/>
      <c r="O238" s="78"/>
      <c r="P238" s="943">
        <f>IF(C238=S238,0,IF(C238=T238,0.05,IF(C238=U238,0.1,0)))</f>
        <v>0</v>
      </c>
      <c r="R238" s="1557" t="s">
        <v>2197</v>
      </c>
      <c r="S238" s="940" t="s">
        <v>1942</v>
      </c>
      <c r="T238" s="940" t="s">
        <v>1785</v>
      </c>
      <c r="U238" s="940" t="s">
        <v>1786</v>
      </c>
      <c r="V238" s="161"/>
      <c r="W238" s="684" t="s">
        <v>2226</v>
      </c>
      <c r="X238" s="162"/>
      <c r="Z238" s="73"/>
      <c r="AA238" s="73"/>
      <c r="AB238" s="74"/>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4"/>
      <c r="BR238" s="14"/>
      <c r="BS238" s="14"/>
      <c r="BT238" s="14"/>
      <c r="BU238" s="14"/>
      <c r="BV238" s="14"/>
      <c r="BW238" s="14"/>
      <c r="BX238" s="14"/>
      <c r="BY238" s="14"/>
      <c r="BZ238" s="14"/>
      <c r="CA238" s="14"/>
      <c r="CB238" s="14"/>
      <c r="CC238" s="14"/>
      <c r="CD238" s="14"/>
      <c r="CE238" s="14"/>
      <c r="CF238" s="14"/>
      <c r="CG238" s="14"/>
      <c r="CH238" s="14"/>
      <c r="CI238" s="14"/>
      <c r="CJ238" s="14"/>
      <c r="CK238" s="14"/>
      <c r="CL238" s="14"/>
      <c r="CM238" s="14"/>
      <c r="CN238" s="14"/>
      <c r="CO238" s="14"/>
      <c r="CP238" s="14"/>
      <c r="CQ238" s="14"/>
      <c r="CR238" s="14"/>
      <c r="CS238" s="14"/>
      <c r="CT238" s="14"/>
      <c r="CU238" s="14"/>
      <c r="CV238" s="14"/>
      <c r="CW238" s="14"/>
      <c r="CX238" s="14"/>
      <c r="CY238" s="14"/>
      <c r="CZ238" s="14"/>
      <c r="DA238" s="14"/>
      <c r="DB238" s="14"/>
      <c r="DC238" s="14"/>
      <c r="DD238" s="14"/>
      <c r="DE238" s="14"/>
      <c r="DF238" s="14"/>
      <c r="DG238" s="14"/>
      <c r="DH238" s="14"/>
      <c r="DI238" s="14"/>
      <c r="DJ238" s="14"/>
      <c r="DK238" s="14"/>
      <c r="DL238" s="14"/>
      <c r="DM238" s="14"/>
      <c r="DN238" s="14"/>
      <c r="DO238" s="14"/>
      <c r="DP238" s="14"/>
      <c r="DQ238" s="14"/>
      <c r="DR238" s="14"/>
      <c r="DS238" s="14"/>
      <c r="DT238" s="14"/>
      <c r="DU238" s="14"/>
      <c r="DV238" s="14"/>
      <c r="DW238" s="14"/>
      <c r="DX238" s="14"/>
      <c r="DY238" s="14"/>
      <c r="DZ238" s="14"/>
      <c r="EA238" s="14"/>
      <c r="EB238" s="14"/>
      <c r="EC238" s="14"/>
      <c r="ED238" s="14"/>
      <c r="EE238" s="14"/>
      <c r="EF238" s="14"/>
      <c r="EG238" s="14"/>
      <c r="EH238" s="14"/>
      <c r="EI238" s="14"/>
      <c r="EJ238" s="14"/>
      <c r="EK238" s="14"/>
      <c r="EL238" s="14"/>
      <c r="EM238" s="14"/>
      <c r="EN238" s="14"/>
      <c r="EO238" s="14"/>
      <c r="EP238" s="14"/>
      <c r="EQ238" s="14"/>
      <c r="ER238" s="14"/>
      <c r="ES238" s="14"/>
      <c r="ET238" s="14"/>
      <c r="EU238" s="14"/>
      <c r="EV238" s="14"/>
      <c r="EW238" s="14"/>
      <c r="EX238" s="14"/>
      <c r="EY238" s="14"/>
      <c r="EZ238" s="14"/>
      <c r="FA238" s="14"/>
      <c r="FB238" s="14"/>
      <c r="FC238" s="14"/>
      <c r="FD238" s="14"/>
      <c r="FE238" s="14"/>
      <c r="FF238" s="14"/>
      <c r="FG238" s="14"/>
      <c r="FH238" s="14"/>
      <c r="FI238" s="14"/>
      <c r="FJ238" s="14"/>
      <c r="FK238" s="14"/>
      <c r="FL238" s="14"/>
      <c r="FM238" s="14"/>
      <c r="FN238" s="14"/>
      <c r="FO238" s="14"/>
      <c r="FP238" s="14"/>
      <c r="FQ238" s="14"/>
      <c r="FR238" s="14"/>
      <c r="FS238" s="14"/>
      <c r="FT238" s="14"/>
      <c r="FU238" s="14"/>
      <c r="FV238" s="14"/>
      <c r="FW238" s="14"/>
      <c r="FX238" s="14"/>
      <c r="FY238" s="14"/>
      <c r="FZ238" s="14"/>
      <c r="GA238" s="14"/>
      <c r="GB238" s="14"/>
      <c r="GC238" s="14"/>
      <c r="GD238" s="14"/>
      <c r="GE238" s="14"/>
      <c r="GF238" s="14"/>
      <c r="GG238" s="14"/>
      <c r="GH238" s="14"/>
      <c r="GI238" s="14"/>
      <c r="GJ238" s="14"/>
      <c r="GK238" s="14"/>
      <c r="GL238" s="14"/>
      <c r="GM238" s="14"/>
      <c r="GN238" s="14"/>
      <c r="GO238" s="14"/>
      <c r="GP238" s="14"/>
      <c r="GQ238" s="14"/>
      <c r="GR238" s="14"/>
      <c r="GS238" s="14"/>
      <c r="GT238" s="14"/>
      <c r="GU238" s="14"/>
      <c r="GV238" s="14"/>
      <c r="GW238" s="14"/>
      <c r="GX238" s="14"/>
      <c r="GY238" s="14"/>
      <c r="GZ238" s="14"/>
      <c r="HA238" s="14"/>
      <c r="HB238" s="14"/>
      <c r="HC238" s="14"/>
      <c r="HD238" s="14"/>
      <c r="HE238" s="14"/>
      <c r="HF238" s="14"/>
      <c r="HG238" s="14"/>
      <c r="HH238" s="14"/>
      <c r="HI238" s="14"/>
      <c r="HJ238" s="14"/>
      <c r="HK238" s="14"/>
      <c r="HL238" s="14"/>
      <c r="HM238" s="14"/>
      <c r="HN238" s="14"/>
      <c r="HO238" s="14"/>
      <c r="HP238" s="14"/>
      <c r="HQ238" s="14"/>
      <c r="HR238" s="14"/>
      <c r="HS238" s="14"/>
      <c r="HT238" s="14"/>
    </row>
    <row r="239" spans="1:228" ht="15" customHeight="1" x14ac:dyDescent="0.2">
      <c r="B239" s="286" t="s">
        <v>2013</v>
      </c>
      <c r="C239" s="1967"/>
      <c r="D239" s="1967"/>
      <c r="E239" s="1967"/>
      <c r="F239" s="1967"/>
      <c r="G239" s="1967"/>
      <c r="H239" s="1967"/>
      <c r="I239" s="1967"/>
      <c r="J239" s="1967"/>
      <c r="K239" s="1967"/>
      <c r="L239" s="1967"/>
      <c r="M239" s="1967"/>
      <c r="N239" s="1967"/>
      <c r="O239" s="362"/>
      <c r="P239" s="943">
        <f>IF(C239=S239,0,IF(C239=T239,0.05,IF(C239=U239,0.1,0)))</f>
        <v>0</v>
      </c>
      <c r="R239" s="1557"/>
      <c r="S239" s="940" t="s">
        <v>1942</v>
      </c>
      <c r="T239" s="940" t="s">
        <v>1997</v>
      </c>
      <c r="U239" s="940" t="s">
        <v>1998</v>
      </c>
      <c r="V239" s="161"/>
      <c r="W239" s="157">
        <f>MAX(P238,P239)</f>
        <v>0</v>
      </c>
      <c r="X239" s="162"/>
      <c r="Y239" s="18"/>
      <c r="Z239" s="73"/>
      <c r="AA239" s="73"/>
      <c r="AB239" s="74"/>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4"/>
      <c r="BR239" s="14"/>
      <c r="BS239" s="14"/>
      <c r="BT239" s="14"/>
      <c r="BU239" s="14"/>
      <c r="BV239" s="14"/>
      <c r="BW239" s="14"/>
      <c r="BX239" s="14"/>
      <c r="BY239" s="14"/>
      <c r="BZ239" s="14"/>
      <c r="CA239" s="14"/>
      <c r="CB239" s="14"/>
      <c r="CC239" s="14"/>
      <c r="CD239" s="14"/>
      <c r="CE239" s="14"/>
      <c r="CF239" s="14"/>
      <c r="CG239" s="14"/>
      <c r="CH239" s="14"/>
      <c r="CI239" s="14"/>
      <c r="CJ239" s="14"/>
      <c r="CK239" s="14"/>
      <c r="CL239" s="14"/>
      <c r="CM239" s="14"/>
      <c r="CN239" s="14"/>
      <c r="CO239" s="14"/>
      <c r="CP239" s="14"/>
      <c r="CQ239" s="14"/>
      <c r="CR239" s="14"/>
      <c r="CS239" s="14"/>
      <c r="CT239" s="14"/>
      <c r="CU239" s="14"/>
      <c r="CV239" s="14"/>
      <c r="CW239" s="14"/>
      <c r="CX239" s="14"/>
      <c r="CY239" s="14"/>
      <c r="CZ239" s="14"/>
      <c r="DA239" s="14"/>
      <c r="DB239" s="14"/>
      <c r="DC239" s="14"/>
      <c r="DD239" s="14"/>
      <c r="DE239" s="14"/>
      <c r="DF239" s="14"/>
      <c r="DG239" s="14"/>
      <c r="DH239" s="14"/>
      <c r="DI239" s="14"/>
      <c r="DJ239" s="14"/>
      <c r="DK239" s="14"/>
      <c r="DL239" s="14"/>
      <c r="DM239" s="14"/>
      <c r="DN239" s="14"/>
      <c r="DO239" s="14"/>
      <c r="DP239" s="14"/>
      <c r="DQ239" s="14"/>
      <c r="DR239" s="14"/>
      <c r="DS239" s="14"/>
      <c r="DT239" s="14"/>
      <c r="DU239" s="14"/>
      <c r="DV239" s="14"/>
      <c r="DW239" s="14"/>
      <c r="DX239" s="14"/>
      <c r="DY239" s="14"/>
      <c r="DZ239" s="14"/>
      <c r="EA239" s="14"/>
      <c r="EB239" s="14"/>
      <c r="EC239" s="14"/>
      <c r="ED239" s="14"/>
      <c r="EE239" s="14"/>
      <c r="EF239" s="14"/>
      <c r="EG239" s="14"/>
      <c r="EH239" s="14"/>
      <c r="EI239" s="14"/>
      <c r="EJ239" s="14"/>
      <c r="EK239" s="14"/>
      <c r="EL239" s="14"/>
      <c r="EM239" s="14"/>
      <c r="EN239" s="14"/>
      <c r="EO239" s="14"/>
      <c r="EP239" s="14"/>
      <c r="EQ239" s="14"/>
      <c r="ER239" s="14"/>
      <c r="ES239" s="14"/>
      <c r="ET239" s="14"/>
      <c r="EU239" s="14"/>
      <c r="EV239" s="14"/>
      <c r="EW239" s="14"/>
      <c r="EX239" s="14"/>
      <c r="EY239" s="14"/>
      <c r="EZ239" s="14"/>
      <c r="FA239" s="14"/>
      <c r="FB239" s="14"/>
      <c r="FC239" s="14"/>
      <c r="FD239" s="14"/>
      <c r="FE239" s="14"/>
      <c r="FF239" s="14"/>
      <c r="FG239" s="14"/>
      <c r="FH239" s="14"/>
      <c r="FI239" s="14"/>
      <c r="FJ239" s="14"/>
      <c r="FK239" s="14"/>
      <c r="FL239" s="14"/>
      <c r="FM239" s="14"/>
      <c r="FN239" s="14"/>
      <c r="FO239" s="14"/>
      <c r="FP239" s="14"/>
      <c r="FQ239" s="14"/>
      <c r="FR239" s="14"/>
      <c r="FS239" s="14"/>
      <c r="FT239" s="14"/>
      <c r="FU239" s="14"/>
      <c r="FV239" s="14"/>
      <c r="FW239" s="14"/>
      <c r="FX239" s="14"/>
      <c r="FY239" s="14"/>
      <c r="FZ239" s="14"/>
      <c r="GA239" s="14"/>
      <c r="GB239" s="14"/>
      <c r="GC239" s="14"/>
      <c r="GD239" s="14"/>
      <c r="GE239" s="14"/>
      <c r="GF239" s="14"/>
      <c r="GG239" s="14"/>
      <c r="GH239" s="14"/>
      <c r="GI239" s="14"/>
      <c r="GJ239" s="14"/>
      <c r="GK239" s="14"/>
      <c r="GL239" s="14"/>
      <c r="GM239" s="14"/>
      <c r="GN239" s="14"/>
      <c r="GO239" s="14"/>
      <c r="GP239" s="14"/>
      <c r="GQ239" s="14"/>
      <c r="GR239" s="14"/>
      <c r="GS239" s="14"/>
      <c r="GT239" s="14"/>
      <c r="GU239" s="14"/>
      <c r="GV239" s="14"/>
      <c r="GW239" s="14"/>
      <c r="GX239" s="14"/>
      <c r="GY239" s="14"/>
      <c r="GZ239" s="14"/>
      <c r="HA239" s="14"/>
      <c r="HB239" s="14"/>
      <c r="HC239" s="14"/>
      <c r="HD239" s="14"/>
      <c r="HE239" s="14"/>
      <c r="HF239" s="14"/>
      <c r="HG239" s="14"/>
      <c r="HH239" s="14"/>
      <c r="HI239" s="14"/>
      <c r="HJ239" s="14"/>
      <c r="HK239" s="14"/>
      <c r="HL239" s="14"/>
      <c r="HM239" s="14"/>
      <c r="HN239" s="14"/>
      <c r="HO239" s="14"/>
      <c r="HP239" s="14"/>
      <c r="HQ239" s="14"/>
      <c r="HR239" s="14"/>
      <c r="HS239" s="14"/>
      <c r="HT239" s="14"/>
    </row>
    <row r="240" spans="1:228" ht="15" x14ac:dyDescent="0.25">
      <c r="A240" s="8"/>
      <c r="B240" s="1825"/>
      <c r="C240" s="1825"/>
      <c r="D240" s="1825"/>
      <c r="E240" s="1825"/>
      <c r="F240" s="1825"/>
      <c r="G240" s="1825"/>
      <c r="H240" s="1825"/>
      <c r="I240" s="1825"/>
      <c r="J240" s="1825"/>
      <c r="K240" s="1825"/>
      <c r="L240" s="1825"/>
      <c r="M240" s="1825"/>
      <c r="N240" s="1825"/>
      <c r="O240" s="1825"/>
      <c r="P240" s="75"/>
      <c r="Q240" s="8"/>
      <c r="R240" s="60"/>
      <c r="S240" s="115"/>
      <c r="T240" s="115"/>
      <c r="U240" s="115"/>
      <c r="V240" s="60"/>
      <c r="W240" s="60"/>
      <c r="X240" s="60"/>
      <c r="Y240" s="60"/>
      <c r="Z240" s="60"/>
      <c r="AA240" s="60"/>
      <c r="AB240" s="60"/>
      <c r="AC240" s="60"/>
      <c r="AD240" s="60"/>
      <c r="AE240" s="60"/>
      <c r="AF240" s="60"/>
      <c r="AG240" s="60"/>
      <c r="AH240" s="60"/>
      <c r="AI240" s="60"/>
      <c r="AJ240" s="60"/>
      <c r="AK240" s="60"/>
      <c r="AL240" s="60"/>
      <c r="AM240" s="60"/>
      <c r="AN240" s="60"/>
      <c r="AO240" s="60"/>
      <c r="AP240" s="60"/>
      <c r="AQ240" s="60"/>
      <c r="AR240" s="60"/>
      <c r="AS240" s="60"/>
      <c r="AT240" s="60"/>
      <c r="AU240" s="60"/>
      <c r="AV240" s="60"/>
      <c r="AW240" s="60"/>
      <c r="AX240" s="60"/>
      <c r="AY240" s="60"/>
      <c r="AZ240" s="60"/>
      <c r="BA240" s="60"/>
      <c r="BB240" s="60"/>
      <c r="BC240" s="60"/>
      <c r="BD240" s="60"/>
      <c r="BE240" s="60"/>
      <c r="BF240" s="18"/>
      <c r="BG240" s="18"/>
      <c r="BH240" s="18"/>
      <c r="BI240" s="18"/>
      <c r="BJ240" s="18"/>
      <c r="BK240" s="18"/>
      <c r="BL240" s="18"/>
      <c r="BM240" s="18"/>
      <c r="BN240" s="18"/>
      <c r="BO240" s="18"/>
      <c r="BP240" s="18"/>
      <c r="BQ240" s="14"/>
      <c r="BR240" s="14"/>
      <c r="BS240" s="14"/>
      <c r="BT240" s="14"/>
      <c r="BU240" s="14"/>
      <c r="BV240" s="14"/>
      <c r="BW240" s="14"/>
      <c r="BX240" s="14"/>
      <c r="BY240" s="14"/>
      <c r="BZ240" s="14"/>
      <c r="CA240" s="14"/>
      <c r="CB240" s="14"/>
      <c r="CC240" s="14"/>
      <c r="CD240" s="14"/>
      <c r="CE240" s="14"/>
      <c r="CF240" s="14"/>
      <c r="CG240" s="14"/>
      <c r="CH240" s="14"/>
      <c r="CI240" s="14"/>
      <c r="CJ240" s="14"/>
      <c r="CK240" s="14"/>
      <c r="CL240" s="14"/>
      <c r="CM240" s="14"/>
      <c r="CN240" s="14"/>
      <c r="CO240" s="14"/>
      <c r="CP240" s="14"/>
      <c r="CQ240" s="14"/>
      <c r="CR240" s="14"/>
      <c r="CS240" s="14"/>
      <c r="CT240" s="14"/>
      <c r="CU240" s="14"/>
      <c r="CV240" s="14"/>
      <c r="CW240" s="14"/>
      <c r="CX240" s="14"/>
      <c r="CY240" s="14"/>
      <c r="CZ240" s="14"/>
      <c r="DA240" s="14"/>
      <c r="DB240" s="14"/>
      <c r="DC240" s="14"/>
      <c r="DD240" s="14"/>
      <c r="DE240" s="14"/>
      <c r="DF240" s="14"/>
      <c r="DG240" s="14"/>
      <c r="DH240" s="14"/>
      <c r="DI240" s="14"/>
      <c r="DJ240" s="14"/>
      <c r="DK240" s="14"/>
      <c r="DL240" s="14"/>
      <c r="DM240" s="14"/>
      <c r="DN240" s="14"/>
      <c r="DO240" s="14"/>
      <c r="DP240" s="14"/>
      <c r="DQ240" s="14"/>
      <c r="DR240" s="14"/>
      <c r="DS240" s="14"/>
      <c r="DT240" s="14"/>
      <c r="DU240" s="14"/>
      <c r="DV240" s="14"/>
      <c r="DW240" s="14"/>
      <c r="DX240" s="14"/>
      <c r="DY240" s="14"/>
      <c r="DZ240" s="14"/>
      <c r="EA240" s="14"/>
      <c r="EB240" s="14"/>
      <c r="EC240" s="14"/>
      <c r="ED240" s="14"/>
      <c r="EE240" s="14"/>
      <c r="EF240" s="14"/>
      <c r="EG240" s="14"/>
      <c r="EH240" s="14"/>
      <c r="EI240" s="14"/>
      <c r="EJ240" s="14"/>
      <c r="EK240" s="14"/>
      <c r="EL240" s="14"/>
      <c r="EM240" s="14"/>
      <c r="EN240" s="14"/>
      <c r="EO240" s="14"/>
      <c r="EP240" s="14"/>
      <c r="EQ240" s="14"/>
      <c r="ER240" s="14"/>
      <c r="ES240" s="14"/>
      <c r="ET240" s="14"/>
      <c r="EU240" s="14"/>
      <c r="EV240" s="14"/>
      <c r="EW240" s="14"/>
      <c r="EX240" s="14"/>
      <c r="EY240" s="14"/>
      <c r="EZ240" s="14"/>
      <c r="FA240" s="14"/>
      <c r="FB240" s="14"/>
      <c r="FC240" s="14"/>
      <c r="FD240" s="14"/>
      <c r="FE240" s="14"/>
      <c r="FF240" s="14"/>
      <c r="FG240" s="14"/>
      <c r="FH240" s="14"/>
      <c r="FI240" s="14"/>
      <c r="FJ240" s="14"/>
      <c r="FK240" s="14"/>
      <c r="FL240" s="14"/>
      <c r="FM240" s="14"/>
      <c r="FN240" s="14"/>
      <c r="FO240" s="14"/>
      <c r="FP240" s="14"/>
      <c r="FQ240" s="14"/>
      <c r="FR240" s="14"/>
      <c r="FS240" s="14"/>
      <c r="FT240" s="14"/>
      <c r="FU240" s="14"/>
      <c r="FV240" s="14"/>
      <c r="FW240" s="14"/>
      <c r="FX240" s="14"/>
      <c r="FY240" s="14"/>
      <c r="FZ240" s="14"/>
      <c r="GA240" s="14"/>
      <c r="GB240" s="14"/>
      <c r="GC240" s="14"/>
      <c r="GD240" s="14"/>
      <c r="GE240" s="14"/>
      <c r="GF240" s="14"/>
      <c r="GG240" s="14"/>
      <c r="GH240" s="14"/>
      <c r="GI240" s="14"/>
      <c r="GJ240" s="14"/>
      <c r="GK240" s="14"/>
      <c r="GL240" s="14"/>
      <c r="GM240" s="14"/>
      <c r="GN240" s="14"/>
      <c r="GO240" s="14"/>
      <c r="GP240" s="14"/>
      <c r="GQ240" s="14"/>
      <c r="GR240" s="14"/>
      <c r="GS240" s="14"/>
      <c r="GT240" s="14"/>
      <c r="GU240" s="14"/>
      <c r="GV240" s="14"/>
      <c r="GW240" s="14"/>
      <c r="GX240" s="14"/>
      <c r="GY240" s="14"/>
      <c r="GZ240" s="14"/>
      <c r="HA240" s="14"/>
      <c r="HB240" s="14"/>
      <c r="HC240" s="14"/>
      <c r="HD240" s="14"/>
      <c r="HE240" s="14"/>
      <c r="HF240" s="14"/>
      <c r="HG240" s="14"/>
      <c r="HH240" s="14"/>
      <c r="HI240" s="14"/>
      <c r="HJ240" s="14"/>
      <c r="HK240" s="14"/>
      <c r="HL240" s="14"/>
      <c r="HM240" s="14"/>
      <c r="HN240" s="14"/>
      <c r="HO240" s="14"/>
      <c r="HP240" s="14"/>
      <c r="HQ240" s="14"/>
      <c r="HR240" s="14"/>
      <c r="HS240" s="14"/>
      <c r="HT240" s="14"/>
    </row>
    <row r="241" spans="1:228" ht="20.25" customHeight="1" x14ac:dyDescent="0.25">
      <c r="A241" s="189"/>
      <c r="B241" s="1531" t="s">
        <v>570</v>
      </c>
      <c r="C241" s="1535"/>
      <c r="D241" s="1535"/>
      <c r="E241" s="1535"/>
      <c r="F241" s="1535"/>
      <c r="G241" s="1535"/>
      <c r="H241" s="1535"/>
      <c r="I241" s="1535"/>
      <c r="J241" s="1535"/>
      <c r="K241" s="1535"/>
      <c r="L241" s="1535"/>
      <c r="M241" s="1535"/>
      <c r="N241" s="1535"/>
      <c r="O241" s="1535"/>
      <c r="P241" s="470"/>
      <c r="Q241" s="8"/>
      <c r="R241" s="60"/>
      <c r="S241" s="60"/>
      <c r="T241" s="60"/>
      <c r="U241" s="60"/>
      <c r="V241" s="60"/>
      <c r="W241" s="60">
        <v>1E-4</v>
      </c>
      <c r="X241" s="60"/>
      <c r="Y241" s="60"/>
      <c r="Z241" s="60"/>
      <c r="AA241" s="60"/>
      <c r="AB241" s="60"/>
      <c r="AC241" s="60"/>
      <c r="AD241" s="60"/>
      <c r="AE241" s="60"/>
      <c r="AF241" s="60"/>
      <c r="AG241" s="60"/>
      <c r="AH241" s="60"/>
      <c r="AI241" s="60"/>
      <c r="AJ241" s="60"/>
      <c r="AK241" s="60"/>
      <c r="AL241" s="60"/>
      <c r="AM241" s="60"/>
      <c r="AN241" s="60"/>
      <c r="AO241" s="60"/>
      <c r="AP241" s="60"/>
      <c r="AQ241" s="60"/>
      <c r="AR241" s="60"/>
      <c r="AS241" s="60"/>
      <c r="AT241" s="60"/>
      <c r="AU241" s="60"/>
      <c r="AV241" s="60"/>
      <c r="AW241" s="60"/>
      <c r="AX241" s="60"/>
      <c r="AY241" s="60"/>
      <c r="AZ241" s="60"/>
      <c r="BA241" s="60"/>
      <c r="BB241" s="60"/>
      <c r="BC241" s="60"/>
      <c r="BD241" s="60"/>
      <c r="BE241" s="60"/>
      <c r="BF241" s="18"/>
      <c r="BG241" s="18"/>
      <c r="BH241" s="18"/>
      <c r="BI241" s="18"/>
      <c r="BJ241" s="18"/>
      <c r="BK241" s="18"/>
      <c r="BL241" s="18"/>
      <c r="BM241" s="18"/>
      <c r="BN241" s="18"/>
      <c r="BO241" s="18"/>
      <c r="BP241" s="18"/>
      <c r="BQ241" s="14"/>
      <c r="BR241" s="14"/>
      <c r="BS241" s="14"/>
      <c r="BT241" s="14"/>
      <c r="BU241" s="14"/>
      <c r="BV241" s="14"/>
      <c r="BW241" s="14"/>
      <c r="BX241" s="14"/>
      <c r="BY241" s="14"/>
      <c r="BZ241" s="14"/>
      <c r="CA241" s="14"/>
      <c r="CB241" s="14"/>
      <c r="CC241" s="14"/>
      <c r="CD241" s="14"/>
      <c r="CE241" s="14"/>
      <c r="CF241" s="14"/>
      <c r="CG241" s="14"/>
      <c r="CH241" s="14"/>
      <c r="CI241" s="14"/>
      <c r="CJ241" s="14"/>
      <c r="CK241" s="14"/>
      <c r="CL241" s="14"/>
      <c r="CM241" s="14"/>
      <c r="CN241" s="14"/>
      <c r="CO241" s="14"/>
      <c r="CP241" s="14"/>
      <c r="CQ241" s="14"/>
      <c r="CR241" s="14"/>
      <c r="CS241" s="14"/>
      <c r="CT241" s="14"/>
      <c r="CU241" s="14"/>
      <c r="CV241" s="14"/>
      <c r="CW241" s="14"/>
      <c r="CX241" s="14"/>
      <c r="CY241" s="14"/>
      <c r="CZ241" s="14"/>
      <c r="DA241" s="14"/>
      <c r="DB241" s="14"/>
      <c r="DC241" s="14"/>
      <c r="DD241" s="14"/>
      <c r="DE241" s="14"/>
      <c r="DF241" s="14"/>
      <c r="DG241" s="14"/>
      <c r="DH241" s="14"/>
      <c r="DI241" s="14"/>
      <c r="DJ241" s="14"/>
      <c r="DK241" s="14"/>
      <c r="DL241" s="14"/>
      <c r="DM241" s="14"/>
      <c r="DN241" s="14"/>
      <c r="DO241" s="14"/>
      <c r="DP241" s="14"/>
      <c r="DQ241" s="14"/>
      <c r="DR241" s="14"/>
      <c r="DS241" s="14"/>
      <c r="DT241" s="14"/>
      <c r="DU241" s="14"/>
      <c r="DV241" s="14"/>
      <c r="DW241" s="14"/>
      <c r="DX241" s="14"/>
      <c r="DY241" s="14"/>
      <c r="DZ241" s="14"/>
      <c r="EA241" s="14"/>
      <c r="EB241" s="14"/>
      <c r="EC241" s="14"/>
      <c r="ED241" s="14"/>
      <c r="EE241" s="14"/>
      <c r="EF241" s="14"/>
      <c r="EG241" s="14"/>
      <c r="EH241" s="14"/>
      <c r="EI241" s="14"/>
      <c r="EJ241" s="14"/>
      <c r="EK241" s="14"/>
      <c r="EL241" s="14"/>
      <c r="EM241" s="14"/>
      <c r="EN241" s="14"/>
      <c r="EO241" s="14"/>
      <c r="EP241" s="14"/>
      <c r="EQ241" s="14"/>
      <c r="ER241" s="14"/>
      <c r="ES241" s="14"/>
      <c r="ET241" s="14"/>
      <c r="EU241" s="14"/>
      <c r="EV241" s="14"/>
      <c r="EW241" s="14"/>
      <c r="EX241" s="14"/>
      <c r="EY241" s="14"/>
      <c r="EZ241" s="14"/>
      <c r="FA241" s="14"/>
      <c r="FB241" s="14"/>
      <c r="FC241" s="14"/>
      <c r="FD241" s="14"/>
      <c r="FE241" s="14"/>
      <c r="FF241" s="14"/>
      <c r="FG241" s="14"/>
      <c r="FH241" s="14"/>
      <c r="FI241" s="14"/>
      <c r="FJ241" s="14"/>
      <c r="FK241" s="14"/>
      <c r="FL241" s="14"/>
      <c r="FM241" s="14"/>
      <c r="FN241" s="14"/>
      <c r="FO241" s="14"/>
      <c r="FP241" s="14"/>
      <c r="FQ241" s="14"/>
      <c r="FR241" s="14"/>
      <c r="FS241" s="14"/>
      <c r="FT241" s="14"/>
      <c r="FU241" s="14"/>
      <c r="FV241" s="14"/>
      <c r="FW241" s="14"/>
      <c r="FX241" s="14"/>
      <c r="FY241" s="14"/>
      <c r="FZ241" s="14"/>
      <c r="GA241" s="14"/>
      <c r="GB241" s="14"/>
      <c r="GC241" s="14"/>
      <c r="GD241" s="14"/>
      <c r="GE241" s="14"/>
      <c r="GF241" s="14"/>
      <c r="GG241" s="14"/>
      <c r="GH241" s="14"/>
      <c r="GI241" s="14"/>
      <c r="GJ241" s="14"/>
      <c r="GK241" s="14"/>
      <c r="GL241" s="14"/>
      <c r="GM241" s="14"/>
      <c r="GN241" s="14"/>
      <c r="GO241" s="14"/>
      <c r="GP241" s="14"/>
      <c r="GQ241" s="14"/>
      <c r="GR241" s="14"/>
      <c r="GS241" s="14"/>
      <c r="GT241" s="14"/>
      <c r="GU241" s="14"/>
      <c r="GV241" s="14"/>
      <c r="GW241" s="14"/>
      <c r="GX241" s="14"/>
      <c r="GY241" s="14"/>
      <c r="GZ241" s="14"/>
      <c r="HA241" s="14"/>
      <c r="HB241" s="14"/>
      <c r="HC241" s="14"/>
      <c r="HD241" s="14"/>
      <c r="HE241" s="14"/>
      <c r="HF241" s="14"/>
      <c r="HG241" s="14"/>
      <c r="HH241" s="14"/>
      <c r="HI241" s="14"/>
      <c r="HJ241" s="14"/>
      <c r="HK241" s="14"/>
      <c r="HL241" s="14"/>
      <c r="HM241" s="14"/>
      <c r="HN241" s="14"/>
      <c r="HO241" s="14"/>
      <c r="HP241" s="14"/>
      <c r="HQ241" s="14"/>
      <c r="HR241" s="14"/>
      <c r="HS241" s="14"/>
      <c r="HT241" s="14"/>
    </row>
    <row r="242" spans="1:228" ht="15" customHeight="1" x14ac:dyDescent="0.2">
      <c r="A242" s="8"/>
      <c r="B242" s="2038" t="s">
        <v>1027</v>
      </c>
      <c r="C242" s="2039"/>
      <c r="D242" s="2039"/>
      <c r="E242" s="2039"/>
      <c r="F242" s="2039"/>
      <c r="G242" s="1976"/>
      <c r="H242" s="1977"/>
      <c r="I242" s="1977"/>
      <c r="J242" s="1977"/>
      <c r="K242" s="1977"/>
      <c r="L242" s="1977"/>
      <c r="M242" s="1977"/>
      <c r="N242" s="1977"/>
      <c r="O242" s="1977"/>
      <c r="P242" s="105">
        <f>IF(G242=$T$242,0.09,IF(G242=$U$242,0.18,IF(G242=$V$242,0.28,0)))</f>
        <v>0</v>
      </c>
      <c r="Q242" s="8"/>
      <c r="R242" s="1860" t="s">
        <v>2197</v>
      </c>
      <c r="S242" s="942" t="s">
        <v>1942</v>
      </c>
      <c r="T242" s="942" t="s">
        <v>915</v>
      </c>
      <c r="U242" s="942" t="s">
        <v>1803</v>
      </c>
      <c r="V242" s="942" t="s">
        <v>916</v>
      </c>
      <c r="W242" s="942"/>
      <c r="X242" s="60"/>
      <c r="Y242" s="60"/>
      <c r="Z242" s="60"/>
      <c r="AA242" s="60"/>
      <c r="AB242" s="60"/>
      <c r="AC242" s="60"/>
      <c r="AD242" s="60"/>
      <c r="AE242" s="60"/>
      <c r="AF242" s="60"/>
      <c r="AG242" s="60"/>
      <c r="AH242" s="60"/>
      <c r="AI242" s="60"/>
      <c r="AJ242" s="60"/>
      <c r="AK242" s="60"/>
      <c r="AL242" s="60"/>
      <c r="AM242" s="60"/>
      <c r="AN242" s="60"/>
      <c r="AO242" s="60"/>
      <c r="AP242" s="60"/>
      <c r="AQ242" s="60"/>
      <c r="AR242" s="60"/>
      <c r="AS242" s="60"/>
      <c r="AT242" s="60"/>
      <c r="AU242" s="60"/>
      <c r="AV242" s="60"/>
      <c r="AW242" s="60"/>
      <c r="AX242" s="60"/>
      <c r="AY242" s="60"/>
      <c r="AZ242" s="60"/>
      <c r="BA242" s="60"/>
      <c r="BB242" s="60"/>
      <c r="BC242" s="60"/>
      <c r="BD242" s="60"/>
      <c r="BE242" s="60"/>
      <c r="BF242" s="18"/>
      <c r="BG242" s="18"/>
      <c r="BH242" s="18"/>
      <c r="BI242" s="18"/>
      <c r="BJ242" s="18"/>
      <c r="BK242" s="18"/>
      <c r="BL242" s="18"/>
      <c r="BM242" s="18"/>
      <c r="BN242" s="18"/>
      <c r="BO242" s="18"/>
      <c r="BP242" s="18"/>
      <c r="BQ242" s="14"/>
      <c r="BR242" s="14"/>
      <c r="BS242" s="14"/>
      <c r="BT242" s="14"/>
      <c r="BU242" s="14"/>
      <c r="BV242" s="14"/>
      <c r="BW242" s="14"/>
      <c r="BX242" s="14"/>
      <c r="BY242" s="14"/>
      <c r="BZ242" s="14"/>
      <c r="CA242" s="14"/>
      <c r="CB242" s="14"/>
      <c r="CC242" s="14"/>
      <c r="CD242" s="14"/>
      <c r="CE242" s="14"/>
      <c r="CF242" s="14"/>
      <c r="CG242" s="14"/>
      <c r="CH242" s="14"/>
      <c r="CI242" s="14"/>
      <c r="CJ242" s="14"/>
      <c r="CK242" s="14"/>
      <c r="CL242" s="14"/>
      <c r="CM242" s="14"/>
      <c r="CN242" s="14"/>
      <c r="CO242" s="14"/>
      <c r="CP242" s="14"/>
      <c r="CQ242" s="14"/>
      <c r="CR242" s="14"/>
      <c r="CS242" s="14"/>
      <c r="CT242" s="14"/>
      <c r="CU242" s="14"/>
      <c r="CV242" s="14"/>
      <c r="CW242" s="14"/>
      <c r="CX242" s="14"/>
      <c r="CY242" s="14"/>
      <c r="CZ242" s="14"/>
      <c r="DA242" s="14"/>
      <c r="DB242" s="14"/>
      <c r="DC242" s="14"/>
      <c r="DD242" s="14"/>
      <c r="DE242" s="14"/>
      <c r="DF242" s="14"/>
      <c r="DG242" s="14"/>
      <c r="DH242" s="14"/>
      <c r="DI242" s="14"/>
      <c r="DJ242" s="14"/>
      <c r="DK242" s="14"/>
      <c r="DL242" s="14"/>
      <c r="DM242" s="14"/>
      <c r="DN242" s="14"/>
      <c r="DO242" s="14"/>
      <c r="DP242" s="14"/>
      <c r="DQ242" s="14"/>
      <c r="DR242" s="14"/>
      <c r="DS242" s="14"/>
      <c r="DT242" s="14"/>
      <c r="DU242" s="14"/>
      <c r="DV242" s="14"/>
      <c r="DW242" s="14"/>
      <c r="DX242" s="14"/>
      <c r="DY242" s="14"/>
      <c r="DZ242" s="14"/>
      <c r="EA242" s="14"/>
      <c r="EB242" s="14"/>
      <c r="EC242" s="14"/>
      <c r="ED242" s="14"/>
      <c r="EE242" s="14"/>
      <c r="EF242" s="14"/>
      <c r="EG242" s="14"/>
      <c r="EH242" s="14"/>
      <c r="EI242" s="14"/>
      <c r="EJ242" s="14"/>
      <c r="EK242" s="14"/>
      <c r="EL242" s="14"/>
      <c r="EM242" s="14"/>
      <c r="EN242" s="14"/>
      <c r="EO242" s="14"/>
      <c r="EP242" s="14"/>
      <c r="EQ242" s="14"/>
      <c r="ER242" s="14"/>
      <c r="ES242" s="14"/>
      <c r="ET242" s="14"/>
      <c r="EU242" s="14"/>
      <c r="EV242" s="14"/>
      <c r="EW242" s="14"/>
      <c r="EX242" s="14"/>
      <c r="EY242" s="14"/>
      <c r="EZ242" s="14"/>
      <c r="FA242" s="14"/>
      <c r="FB242" s="14"/>
      <c r="FC242" s="14"/>
      <c r="FD242" s="14"/>
      <c r="FE242" s="14"/>
      <c r="FF242" s="14"/>
      <c r="FG242" s="14"/>
      <c r="FH242" s="14"/>
      <c r="FI242" s="14"/>
      <c r="FJ242" s="14"/>
      <c r="FK242" s="14"/>
      <c r="FL242" s="14"/>
      <c r="FM242" s="14"/>
      <c r="FN242" s="14"/>
      <c r="FO242" s="14"/>
      <c r="FP242" s="14"/>
      <c r="FQ242" s="14"/>
      <c r="FR242" s="14"/>
      <c r="FS242" s="14"/>
      <c r="FT242" s="14"/>
      <c r="FU242" s="14"/>
      <c r="FV242" s="14"/>
      <c r="FW242" s="14"/>
      <c r="FX242" s="14"/>
      <c r="FY242" s="14"/>
      <c r="FZ242" s="14"/>
      <c r="GA242" s="14"/>
      <c r="GB242" s="14"/>
      <c r="GC242" s="14"/>
      <c r="GD242" s="14"/>
      <c r="GE242" s="14"/>
      <c r="GF242" s="14"/>
      <c r="GG242" s="14"/>
      <c r="GH242" s="14"/>
      <c r="GI242" s="14"/>
      <c r="GJ242" s="14"/>
      <c r="GK242" s="14"/>
      <c r="GL242" s="14"/>
      <c r="GM242" s="14"/>
      <c r="GN242" s="14"/>
      <c r="GO242" s="14"/>
      <c r="GP242" s="14"/>
      <c r="GQ242" s="14"/>
      <c r="GR242" s="14"/>
      <c r="GS242" s="14"/>
      <c r="GT242" s="14"/>
      <c r="GU242" s="14"/>
      <c r="GV242" s="14"/>
      <c r="GW242" s="14"/>
      <c r="GX242" s="14"/>
      <c r="GY242" s="14"/>
      <c r="GZ242" s="14"/>
      <c r="HA242" s="14"/>
      <c r="HB242" s="14"/>
      <c r="HC242" s="14"/>
      <c r="HD242" s="14"/>
      <c r="HE242" s="14"/>
      <c r="HF242" s="14"/>
      <c r="HG242" s="14"/>
      <c r="HH242" s="14"/>
      <c r="HI242" s="14"/>
      <c r="HJ242" s="14"/>
      <c r="HK242" s="14"/>
      <c r="HL242" s="14"/>
      <c r="HM242" s="14"/>
      <c r="HN242" s="14"/>
      <c r="HO242" s="14"/>
      <c r="HP242" s="14"/>
      <c r="HQ242" s="14"/>
      <c r="HR242" s="14"/>
      <c r="HS242" s="14"/>
      <c r="HT242" s="14"/>
    </row>
    <row r="243" spans="1:228" ht="15" customHeight="1" x14ac:dyDescent="0.2">
      <c r="A243" s="8"/>
      <c r="B243" s="1981" t="s">
        <v>917</v>
      </c>
      <c r="C243" s="1982"/>
      <c r="D243" s="1982"/>
      <c r="E243" s="1982"/>
      <c r="F243" s="1983"/>
      <c r="G243" s="1986"/>
      <c r="H243" s="1987"/>
      <c r="I243" s="1987"/>
      <c r="J243" s="1987"/>
      <c r="K243" s="1987"/>
      <c r="L243" s="1987"/>
      <c r="M243" s="1987"/>
      <c r="N243" s="1987"/>
      <c r="O243" s="1988"/>
      <c r="P243" s="95">
        <f>IF(G243=$T$242,0.06,IF(G243=$U$242,0.11,IF(G243=$V$242,0.17,0)))</f>
        <v>0</v>
      </c>
      <c r="Q243" s="8"/>
      <c r="R243" s="1860"/>
      <c r="S243" s="60"/>
      <c r="T243" s="60"/>
      <c r="U243" s="60"/>
      <c r="V243" s="60"/>
      <c r="W243" s="60"/>
      <c r="X243" s="60"/>
      <c r="Y243" s="60"/>
      <c r="Z243" s="60"/>
      <c r="AA243" s="60"/>
      <c r="AB243" s="60"/>
      <c r="AC243" s="60"/>
      <c r="AD243" s="60"/>
      <c r="AE243" s="60"/>
      <c r="AF243" s="60"/>
      <c r="AG243" s="60"/>
      <c r="AH243" s="60"/>
      <c r="AI243" s="60"/>
      <c r="AJ243" s="60"/>
      <c r="AK243" s="60"/>
      <c r="AL243" s="60"/>
      <c r="AM243" s="60"/>
      <c r="AN243" s="60"/>
      <c r="AO243" s="60"/>
      <c r="AP243" s="60"/>
      <c r="AQ243" s="60"/>
      <c r="AR243" s="60"/>
      <c r="AS243" s="60"/>
      <c r="AT243" s="60"/>
      <c r="AU243" s="60"/>
      <c r="AV243" s="60"/>
      <c r="AW243" s="60"/>
      <c r="AX243" s="60"/>
      <c r="AY243" s="60"/>
      <c r="AZ243" s="60"/>
      <c r="BA243" s="60"/>
      <c r="BB243" s="60"/>
      <c r="BC243" s="60"/>
      <c r="BD243" s="60"/>
      <c r="BE243" s="60"/>
      <c r="BF243" s="18"/>
      <c r="BG243" s="18"/>
      <c r="BH243" s="18"/>
      <c r="BI243" s="18"/>
      <c r="BJ243" s="18"/>
      <c r="BK243" s="18"/>
      <c r="BL243" s="18"/>
      <c r="BM243" s="18"/>
      <c r="BN243" s="18"/>
      <c r="BO243" s="18"/>
      <c r="BP243" s="18"/>
      <c r="BQ243" s="14"/>
      <c r="BR243" s="14"/>
      <c r="BS243" s="14"/>
      <c r="BT243" s="14"/>
      <c r="BU243" s="14"/>
      <c r="BV243" s="14"/>
      <c r="BW243" s="14"/>
      <c r="BX243" s="14"/>
      <c r="BY243" s="14"/>
      <c r="BZ243" s="14"/>
      <c r="CA243" s="14"/>
      <c r="CB243" s="14"/>
      <c r="CC243" s="14"/>
      <c r="CD243" s="14"/>
      <c r="CE243" s="14"/>
      <c r="CF243" s="14"/>
      <c r="CG243" s="14"/>
      <c r="CH243" s="14"/>
      <c r="CI243" s="14"/>
      <c r="CJ243" s="14"/>
      <c r="CK243" s="14"/>
      <c r="CL243" s="14"/>
      <c r="CM243" s="14"/>
      <c r="CN243" s="14"/>
      <c r="CO243" s="14"/>
      <c r="CP243" s="14"/>
      <c r="CQ243" s="14"/>
      <c r="CR243" s="14"/>
      <c r="CS243" s="14"/>
      <c r="CT243" s="14"/>
      <c r="CU243" s="14"/>
      <c r="CV243" s="14"/>
      <c r="CW243" s="14"/>
      <c r="CX243" s="14"/>
      <c r="CY243" s="14"/>
      <c r="CZ243" s="14"/>
      <c r="DA243" s="14"/>
      <c r="DB243" s="14"/>
      <c r="DC243" s="14"/>
      <c r="DD243" s="14"/>
      <c r="DE243" s="14"/>
      <c r="DF243" s="14"/>
      <c r="DG243" s="14"/>
      <c r="DH243" s="14"/>
      <c r="DI243" s="14"/>
      <c r="DJ243" s="14"/>
      <c r="DK243" s="14"/>
      <c r="DL243" s="14"/>
      <c r="DM243" s="14"/>
      <c r="DN243" s="14"/>
      <c r="DO243" s="14"/>
      <c r="DP243" s="14"/>
      <c r="DQ243" s="14"/>
      <c r="DR243" s="14"/>
      <c r="DS243" s="14"/>
      <c r="DT243" s="14"/>
      <c r="DU243" s="14"/>
      <c r="DV243" s="14"/>
      <c r="DW243" s="14"/>
      <c r="DX243" s="14"/>
      <c r="DY243" s="14"/>
      <c r="DZ243" s="14"/>
      <c r="EA243" s="14"/>
      <c r="EB243" s="14"/>
      <c r="EC243" s="14"/>
      <c r="ED243" s="14"/>
      <c r="EE243" s="14"/>
      <c r="EF243" s="14"/>
      <c r="EG243" s="14"/>
      <c r="EH243" s="14"/>
      <c r="EI243" s="14"/>
      <c r="EJ243" s="14"/>
      <c r="EK243" s="14"/>
      <c r="EL243" s="14"/>
      <c r="EM243" s="14"/>
      <c r="EN243" s="14"/>
      <c r="EO243" s="14"/>
      <c r="EP243" s="14"/>
      <c r="EQ243" s="14"/>
      <c r="ER243" s="14"/>
      <c r="ES243" s="14"/>
      <c r="ET243" s="14"/>
      <c r="EU243" s="14"/>
      <c r="EV243" s="14"/>
      <c r="EW243" s="14"/>
      <c r="EX243" s="14"/>
      <c r="EY243" s="14"/>
      <c r="EZ243" s="14"/>
      <c r="FA243" s="14"/>
      <c r="FB243" s="14"/>
      <c r="FC243" s="14"/>
      <c r="FD243" s="14"/>
      <c r="FE243" s="14"/>
      <c r="FF243" s="14"/>
      <c r="FG243" s="14"/>
      <c r="FH243" s="14"/>
      <c r="FI243" s="14"/>
      <c r="FJ243" s="14"/>
      <c r="FK243" s="14"/>
      <c r="FL243" s="14"/>
      <c r="FM243" s="14"/>
      <c r="FN243" s="14"/>
      <c r="FO243" s="14"/>
      <c r="FP243" s="14"/>
      <c r="FQ243" s="14"/>
      <c r="FR243" s="14"/>
      <c r="FS243" s="14"/>
      <c r="FT243" s="14"/>
      <c r="FU243" s="14"/>
      <c r="FV243" s="14"/>
      <c r="FW243" s="14"/>
      <c r="FX243" s="14"/>
      <c r="FY243" s="14"/>
      <c r="FZ243" s="14"/>
      <c r="GA243" s="14"/>
      <c r="GB243" s="14"/>
      <c r="GC243" s="14"/>
      <c r="GD243" s="14"/>
      <c r="GE243" s="14"/>
      <c r="GF243" s="14"/>
      <c r="GG243" s="14"/>
      <c r="GH243" s="14"/>
      <c r="GI243" s="14"/>
      <c r="GJ243" s="14"/>
      <c r="GK243" s="14"/>
      <c r="GL243" s="14"/>
      <c r="GM243" s="14"/>
      <c r="GN243" s="14"/>
      <c r="GO243" s="14"/>
      <c r="GP243" s="14"/>
      <c r="GQ243" s="14"/>
      <c r="GR243" s="14"/>
      <c r="GS243" s="14"/>
      <c r="GT243" s="14"/>
      <c r="GU243" s="14"/>
      <c r="GV243" s="14"/>
      <c r="GW243" s="14"/>
      <c r="GX243" s="14"/>
      <c r="GY243" s="14"/>
      <c r="GZ243" s="14"/>
      <c r="HA243" s="14"/>
      <c r="HB243" s="14"/>
      <c r="HC243" s="14"/>
      <c r="HD243" s="14"/>
      <c r="HE243" s="14"/>
      <c r="HF243" s="14"/>
      <c r="HG243" s="14"/>
      <c r="HH243" s="14"/>
      <c r="HI243" s="14"/>
      <c r="HJ243" s="14"/>
      <c r="HK243" s="14"/>
      <c r="HL243" s="14"/>
      <c r="HM243" s="14"/>
      <c r="HN243" s="14"/>
      <c r="HO243" s="14"/>
      <c r="HP243" s="14"/>
      <c r="HQ243" s="14"/>
      <c r="HR243" s="14"/>
      <c r="HS243" s="14"/>
      <c r="HT243" s="14"/>
    </row>
    <row r="244" spans="1:228" ht="19.5" customHeight="1" x14ac:dyDescent="0.2">
      <c r="A244" s="8"/>
      <c r="B244" s="2040" t="s">
        <v>2134</v>
      </c>
      <c r="C244" s="2041"/>
      <c r="D244" s="2041"/>
      <c r="E244" s="2041"/>
      <c r="F244" s="2041"/>
      <c r="G244" s="2041"/>
      <c r="H244" s="2041"/>
      <c r="I244" s="2041"/>
      <c r="J244" s="2041"/>
      <c r="K244" s="2041"/>
      <c r="L244" s="2041"/>
      <c r="M244" s="2041"/>
      <c r="N244" s="2041"/>
      <c r="O244" s="2042"/>
      <c r="P244" s="105">
        <f>IF(S244=1,0.1,0)</f>
        <v>0</v>
      </c>
      <c r="Q244" s="8"/>
      <c r="R244" s="873" t="b">
        <v>0</v>
      </c>
      <c r="S244" s="942">
        <f>IF(R244=TRUE,1,0)</f>
        <v>0</v>
      </c>
      <c r="T244" s="60"/>
      <c r="U244" s="60"/>
      <c r="V244" s="60"/>
      <c r="W244" s="60"/>
      <c r="X244" s="60"/>
      <c r="Y244" s="60"/>
      <c r="Z244" s="60"/>
      <c r="AA244" s="60"/>
      <c r="AB244" s="60"/>
      <c r="AC244" s="60"/>
      <c r="AD244" s="60"/>
      <c r="AE244" s="60"/>
      <c r="AF244" s="60"/>
      <c r="AG244" s="60"/>
      <c r="AH244" s="60"/>
      <c r="AI244" s="60"/>
      <c r="AJ244" s="60"/>
      <c r="AK244" s="60"/>
      <c r="AL244" s="60"/>
      <c r="AM244" s="60"/>
      <c r="AN244" s="60"/>
      <c r="AO244" s="60"/>
      <c r="AP244" s="60"/>
      <c r="AQ244" s="60"/>
      <c r="AR244" s="60"/>
      <c r="AS244" s="60"/>
      <c r="AT244" s="60"/>
      <c r="AU244" s="60"/>
      <c r="AV244" s="60"/>
      <c r="AW244" s="60"/>
      <c r="AX244" s="60"/>
      <c r="AY244" s="60"/>
      <c r="AZ244" s="60"/>
      <c r="BA244" s="60"/>
      <c r="BB244" s="60"/>
      <c r="BC244" s="60"/>
      <c r="BD244" s="60"/>
      <c r="BE244" s="60"/>
      <c r="BF244" s="18"/>
      <c r="BG244" s="18"/>
      <c r="BH244" s="18"/>
      <c r="BI244" s="18"/>
      <c r="BJ244" s="18"/>
      <c r="BK244" s="18"/>
      <c r="BL244" s="18"/>
      <c r="BM244" s="18"/>
      <c r="BN244" s="18"/>
      <c r="BO244" s="18"/>
      <c r="BP244" s="18"/>
      <c r="BQ244" s="14"/>
      <c r="BR244" s="14"/>
      <c r="BS244" s="14"/>
      <c r="BT244" s="14"/>
      <c r="BU244" s="14"/>
      <c r="BV244" s="14"/>
      <c r="BW244" s="14"/>
      <c r="BX244" s="14"/>
      <c r="BY244" s="14"/>
      <c r="BZ244" s="14"/>
      <c r="CA244" s="14"/>
      <c r="CB244" s="14"/>
      <c r="CC244" s="14"/>
      <c r="CD244" s="14"/>
      <c r="CE244" s="14"/>
      <c r="CF244" s="14"/>
      <c r="CG244" s="14"/>
      <c r="CH244" s="14"/>
      <c r="CI244" s="14"/>
      <c r="CJ244" s="14"/>
      <c r="CK244" s="14"/>
      <c r="CL244" s="14"/>
      <c r="CM244" s="14"/>
      <c r="CN244" s="14"/>
      <c r="CO244" s="14"/>
      <c r="CP244" s="14"/>
      <c r="CQ244" s="14"/>
      <c r="CR244" s="14"/>
      <c r="CS244" s="14"/>
      <c r="CT244" s="14"/>
      <c r="CU244" s="14"/>
      <c r="CV244" s="14"/>
      <c r="CW244" s="14"/>
      <c r="CX244" s="14"/>
      <c r="CY244" s="14"/>
      <c r="CZ244" s="14"/>
      <c r="DA244" s="14"/>
      <c r="DB244" s="14"/>
      <c r="DC244" s="14"/>
      <c r="DD244" s="14"/>
      <c r="DE244" s="14"/>
      <c r="DF244" s="14"/>
      <c r="DG244" s="14"/>
      <c r="DH244" s="14"/>
      <c r="DI244" s="14"/>
      <c r="DJ244" s="14"/>
      <c r="DK244" s="14"/>
      <c r="DL244" s="14"/>
      <c r="DM244" s="14"/>
      <c r="DN244" s="14"/>
      <c r="DO244" s="14"/>
      <c r="DP244" s="14"/>
      <c r="DQ244" s="14"/>
      <c r="DR244" s="14"/>
      <c r="DS244" s="14"/>
      <c r="DT244" s="14"/>
      <c r="DU244" s="14"/>
      <c r="DV244" s="14"/>
      <c r="DW244" s="14"/>
      <c r="DX244" s="14"/>
      <c r="DY244" s="14"/>
      <c r="DZ244" s="14"/>
      <c r="EA244" s="14"/>
      <c r="EB244" s="14"/>
      <c r="EC244" s="14"/>
      <c r="ED244" s="14"/>
      <c r="EE244" s="14"/>
      <c r="EF244" s="14"/>
      <c r="EG244" s="14"/>
      <c r="EH244" s="14"/>
      <c r="EI244" s="14"/>
      <c r="EJ244" s="14"/>
      <c r="EK244" s="14"/>
      <c r="EL244" s="14"/>
      <c r="EM244" s="14"/>
      <c r="EN244" s="14"/>
      <c r="EO244" s="14"/>
      <c r="EP244" s="14"/>
      <c r="EQ244" s="14"/>
      <c r="ER244" s="14"/>
      <c r="ES244" s="14"/>
      <c r="ET244" s="14"/>
      <c r="EU244" s="14"/>
      <c r="EV244" s="14"/>
      <c r="EW244" s="14"/>
      <c r="EX244" s="14"/>
      <c r="EY244" s="14"/>
      <c r="EZ244" s="14"/>
      <c r="FA244" s="14"/>
      <c r="FB244" s="14"/>
      <c r="FC244" s="14"/>
      <c r="FD244" s="14"/>
      <c r="FE244" s="14"/>
      <c r="FF244" s="14"/>
      <c r="FG244" s="14"/>
      <c r="FH244" s="14"/>
      <c r="FI244" s="14"/>
      <c r="FJ244" s="14"/>
      <c r="FK244" s="14"/>
      <c r="FL244" s="14"/>
      <c r="FM244" s="14"/>
      <c r="FN244" s="14"/>
      <c r="FO244" s="14"/>
      <c r="FP244" s="14"/>
      <c r="FQ244" s="14"/>
      <c r="FR244" s="14"/>
      <c r="FS244" s="14"/>
      <c r="FT244" s="14"/>
      <c r="FU244" s="14"/>
      <c r="FV244" s="14"/>
      <c r="FW244" s="14"/>
      <c r="FX244" s="14"/>
      <c r="FY244" s="14"/>
      <c r="FZ244" s="14"/>
      <c r="GA244" s="14"/>
      <c r="GB244" s="14"/>
      <c r="GC244" s="14"/>
      <c r="GD244" s="14"/>
      <c r="GE244" s="14"/>
      <c r="GF244" s="14"/>
      <c r="GG244" s="14"/>
      <c r="GH244" s="14"/>
      <c r="GI244" s="14"/>
      <c r="GJ244" s="14"/>
      <c r="GK244" s="14"/>
      <c r="GL244" s="14"/>
      <c r="GM244" s="14"/>
      <c r="GN244" s="14"/>
      <c r="GO244" s="14"/>
      <c r="GP244" s="14"/>
      <c r="GQ244" s="14"/>
      <c r="GR244" s="14"/>
      <c r="GS244" s="14"/>
      <c r="GT244" s="14"/>
      <c r="GU244" s="14"/>
      <c r="GV244" s="14"/>
      <c r="GW244" s="14"/>
      <c r="GX244" s="14"/>
      <c r="GY244" s="14"/>
      <c r="GZ244" s="14"/>
      <c r="HA244" s="14"/>
      <c r="HB244" s="14"/>
      <c r="HC244" s="14"/>
      <c r="HD244" s="14"/>
      <c r="HE244" s="14"/>
      <c r="HF244" s="14"/>
      <c r="HG244" s="14"/>
      <c r="HH244" s="14"/>
      <c r="HI244" s="14"/>
      <c r="HJ244" s="14"/>
      <c r="HK244" s="14"/>
      <c r="HL244" s="14"/>
      <c r="HM244" s="14"/>
      <c r="HN244" s="14"/>
      <c r="HO244" s="14"/>
      <c r="HP244" s="14"/>
      <c r="HQ244" s="14"/>
      <c r="HR244" s="14"/>
      <c r="HS244" s="14"/>
      <c r="HT244" s="14"/>
    </row>
    <row r="245" spans="1:228" ht="12" customHeight="1" x14ac:dyDescent="0.2">
      <c r="A245" s="8"/>
      <c r="B245" s="1900"/>
      <c r="C245" s="1900"/>
      <c r="D245" s="1900"/>
      <c r="E245" s="1900"/>
      <c r="F245" s="1900"/>
      <c r="G245" s="1900"/>
      <c r="H245" s="1900"/>
      <c r="I245" s="1900"/>
      <c r="J245" s="1900"/>
      <c r="K245" s="1900"/>
      <c r="L245" s="1900"/>
      <c r="M245" s="1900"/>
      <c r="N245" s="1900"/>
      <c r="O245" s="1900"/>
      <c r="P245" s="85"/>
      <c r="Q245" s="8"/>
      <c r="R245" s="60"/>
      <c r="S245" s="60"/>
      <c r="T245" s="60"/>
      <c r="U245" s="60"/>
      <c r="V245" s="60"/>
      <c r="W245" s="60"/>
      <c r="X245" s="60"/>
      <c r="Y245" s="60"/>
      <c r="Z245" s="60"/>
      <c r="AA245" s="60"/>
      <c r="AB245" s="60"/>
      <c r="AC245" s="60"/>
      <c r="AD245" s="60"/>
      <c r="AE245" s="60"/>
      <c r="AF245" s="60"/>
      <c r="AG245" s="60"/>
      <c r="AH245" s="60"/>
      <c r="AI245" s="60"/>
      <c r="AJ245" s="60"/>
      <c r="AK245" s="60"/>
      <c r="AL245" s="60"/>
      <c r="AM245" s="60"/>
      <c r="AN245" s="60"/>
      <c r="AO245" s="60"/>
      <c r="AP245" s="60"/>
      <c r="AQ245" s="60"/>
      <c r="AR245" s="60"/>
      <c r="AS245" s="60"/>
      <c r="AT245" s="60"/>
      <c r="AU245" s="60"/>
      <c r="AV245" s="60"/>
      <c r="AW245" s="60"/>
      <c r="AX245" s="60"/>
      <c r="AY245" s="60"/>
      <c r="AZ245" s="60"/>
      <c r="BA245" s="60"/>
      <c r="BB245" s="60"/>
      <c r="BC245" s="60"/>
      <c r="BD245" s="60"/>
      <c r="BE245" s="60"/>
      <c r="BF245" s="18"/>
      <c r="BG245" s="18"/>
      <c r="BH245" s="18"/>
      <c r="BI245" s="18"/>
      <c r="BJ245" s="18"/>
      <c r="BK245" s="18"/>
      <c r="BL245" s="18"/>
      <c r="BM245" s="18"/>
      <c r="BN245" s="18"/>
      <c r="BO245" s="18"/>
      <c r="BP245" s="18"/>
      <c r="BQ245" s="14"/>
      <c r="BR245" s="14"/>
      <c r="BS245" s="14"/>
      <c r="BT245" s="14"/>
      <c r="BU245" s="14"/>
      <c r="BV245" s="14"/>
      <c r="BW245" s="14"/>
      <c r="BX245" s="14"/>
      <c r="BY245" s="14"/>
      <c r="BZ245" s="14"/>
      <c r="CA245" s="14"/>
      <c r="CB245" s="14"/>
      <c r="CC245" s="14"/>
      <c r="CD245" s="14"/>
      <c r="CE245" s="14"/>
      <c r="CF245" s="14"/>
      <c r="CG245" s="14"/>
      <c r="CH245" s="14"/>
      <c r="CI245" s="14"/>
      <c r="CJ245" s="14"/>
      <c r="CK245" s="14"/>
      <c r="CL245" s="14"/>
      <c r="CM245" s="14"/>
      <c r="CN245" s="14"/>
      <c r="CO245" s="14"/>
      <c r="CP245" s="14"/>
      <c r="CQ245" s="14"/>
      <c r="CR245" s="14"/>
      <c r="CS245" s="14"/>
      <c r="CT245" s="14"/>
      <c r="CU245" s="14"/>
      <c r="CV245" s="14"/>
      <c r="CW245" s="14"/>
      <c r="CX245" s="14"/>
      <c r="CY245" s="14"/>
      <c r="CZ245" s="14"/>
      <c r="DA245" s="14"/>
      <c r="DB245" s="14"/>
      <c r="DC245" s="14"/>
      <c r="DD245" s="14"/>
      <c r="DE245" s="14"/>
      <c r="DF245" s="14"/>
      <c r="DG245" s="14"/>
      <c r="DH245" s="14"/>
      <c r="DI245" s="14"/>
      <c r="DJ245" s="14"/>
      <c r="DK245" s="14"/>
      <c r="DL245" s="14"/>
      <c r="DM245" s="14"/>
      <c r="DN245" s="14"/>
      <c r="DO245" s="14"/>
      <c r="DP245" s="14"/>
      <c r="DQ245" s="14"/>
      <c r="DR245" s="14"/>
      <c r="DS245" s="14"/>
      <c r="DT245" s="14"/>
      <c r="DU245" s="14"/>
      <c r="DV245" s="14"/>
      <c r="DW245" s="14"/>
      <c r="DX245" s="14"/>
      <c r="DY245" s="14"/>
      <c r="DZ245" s="14"/>
      <c r="EA245" s="14"/>
      <c r="EB245" s="14"/>
      <c r="EC245" s="14"/>
      <c r="ED245" s="14"/>
      <c r="EE245" s="14"/>
      <c r="EF245" s="14"/>
      <c r="EG245" s="14"/>
      <c r="EH245" s="14"/>
      <c r="EI245" s="14"/>
      <c r="EJ245" s="14"/>
      <c r="EK245" s="14"/>
      <c r="EL245" s="14"/>
      <c r="EM245" s="14"/>
      <c r="EN245" s="14"/>
      <c r="EO245" s="14"/>
      <c r="EP245" s="14"/>
      <c r="EQ245" s="14"/>
      <c r="ER245" s="14"/>
      <c r="ES245" s="14"/>
      <c r="ET245" s="14"/>
      <c r="EU245" s="14"/>
      <c r="EV245" s="14"/>
      <c r="EW245" s="14"/>
      <c r="EX245" s="14"/>
      <c r="EY245" s="14"/>
      <c r="EZ245" s="14"/>
      <c r="FA245" s="14"/>
      <c r="FB245" s="14"/>
      <c r="FC245" s="14"/>
      <c r="FD245" s="14"/>
      <c r="FE245" s="14"/>
      <c r="FF245" s="14"/>
      <c r="FG245" s="14"/>
      <c r="FH245" s="14"/>
      <c r="FI245" s="14"/>
      <c r="FJ245" s="14"/>
      <c r="FK245" s="14"/>
      <c r="FL245" s="14"/>
      <c r="FM245" s="14"/>
      <c r="FN245" s="14"/>
      <c r="FO245" s="14"/>
      <c r="FP245" s="14"/>
      <c r="FQ245" s="14"/>
      <c r="FR245" s="14"/>
      <c r="FS245" s="14"/>
      <c r="FT245" s="14"/>
      <c r="FU245" s="14"/>
      <c r="FV245" s="14"/>
      <c r="FW245" s="14"/>
      <c r="FX245" s="14"/>
      <c r="FY245" s="14"/>
      <c r="FZ245" s="14"/>
      <c r="GA245" s="14"/>
      <c r="GB245" s="14"/>
      <c r="GC245" s="14"/>
      <c r="GD245" s="14"/>
      <c r="GE245" s="14"/>
      <c r="GF245" s="14"/>
      <c r="GG245" s="14"/>
      <c r="GH245" s="14"/>
      <c r="GI245" s="14"/>
      <c r="GJ245" s="14"/>
      <c r="GK245" s="14"/>
      <c r="GL245" s="14"/>
      <c r="GM245" s="14"/>
      <c r="GN245" s="14"/>
      <c r="GO245" s="14"/>
      <c r="GP245" s="14"/>
      <c r="GQ245" s="14"/>
      <c r="GR245" s="14"/>
      <c r="GS245" s="14"/>
      <c r="GT245" s="14"/>
      <c r="GU245" s="14"/>
      <c r="GV245" s="14"/>
      <c r="GW245" s="14"/>
      <c r="GX245" s="14"/>
      <c r="GY245" s="14"/>
      <c r="GZ245" s="14"/>
      <c r="HA245" s="14"/>
      <c r="HB245" s="14"/>
      <c r="HC245" s="14"/>
      <c r="HD245" s="14"/>
      <c r="HE245" s="14"/>
      <c r="HF245" s="14"/>
      <c r="HG245" s="14"/>
      <c r="HH245" s="14"/>
      <c r="HI245" s="14"/>
      <c r="HJ245" s="14"/>
      <c r="HK245" s="14"/>
      <c r="HL245" s="14"/>
      <c r="HM245" s="14"/>
      <c r="HN245" s="14"/>
      <c r="HO245" s="14"/>
      <c r="HP245" s="14"/>
      <c r="HQ245" s="14"/>
      <c r="HR245" s="14"/>
      <c r="HS245" s="14"/>
      <c r="HT245" s="14"/>
    </row>
    <row r="246" spans="1:228" ht="12" customHeight="1" x14ac:dyDescent="0.25">
      <c r="A246" s="8"/>
      <c r="B246" s="1825"/>
      <c r="C246" s="1825"/>
      <c r="D246" s="1825"/>
      <c r="E246" s="1825"/>
      <c r="F246" s="1825"/>
      <c r="G246" s="1825"/>
      <c r="H246" s="1825"/>
      <c r="I246" s="1825"/>
      <c r="J246" s="1825"/>
      <c r="K246" s="1825"/>
      <c r="L246" s="1825"/>
      <c r="M246" s="1825"/>
      <c r="N246" s="1825"/>
      <c r="O246" s="1825"/>
      <c r="P246" s="75"/>
      <c r="Q246" s="8"/>
      <c r="R246" s="60"/>
      <c r="S246" s="60"/>
      <c r="T246" s="60"/>
      <c r="U246" s="60"/>
      <c r="V246" s="60"/>
      <c r="W246" s="60"/>
      <c r="X246" s="60"/>
      <c r="Y246" s="60"/>
      <c r="Z246" s="60"/>
      <c r="AA246" s="60"/>
      <c r="AB246" s="60"/>
      <c r="AC246" s="60"/>
      <c r="AD246" s="60"/>
      <c r="AE246" s="60"/>
      <c r="AF246" s="60"/>
      <c r="AG246" s="60"/>
      <c r="AH246" s="60"/>
      <c r="AI246" s="60"/>
      <c r="AJ246" s="60"/>
      <c r="AK246" s="60"/>
      <c r="AL246" s="60"/>
      <c r="AM246" s="60"/>
      <c r="AN246" s="60"/>
      <c r="AO246" s="60"/>
      <c r="AP246" s="60"/>
      <c r="AQ246" s="60"/>
      <c r="AR246" s="60"/>
      <c r="AS246" s="60"/>
      <c r="AT246" s="60"/>
      <c r="AU246" s="60"/>
      <c r="AV246" s="60"/>
      <c r="AW246" s="60"/>
      <c r="AX246" s="60"/>
      <c r="AY246" s="60"/>
      <c r="AZ246" s="60"/>
      <c r="BA246" s="60"/>
      <c r="BB246" s="60"/>
      <c r="BC246" s="60"/>
      <c r="BD246" s="60"/>
      <c r="BE246" s="60"/>
      <c r="BF246" s="18"/>
      <c r="BG246" s="18"/>
      <c r="BH246" s="18"/>
      <c r="BI246" s="18"/>
      <c r="BJ246" s="18"/>
      <c r="BK246" s="18"/>
      <c r="BL246" s="18"/>
      <c r="BM246" s="18"/>
      <c r="BN246" s="18"/>
      <c r="BO246" s="18"/>
      <c r="BP246" s="18"/>
      <c r="BQ246" s="14"/>
      <c r="BR246" s="14"/>
      <c r="BS246" s="14"/>
      <c r="BT246" s="14"/>
      <c r="BU246" s="14"/>
      <c r="BV246" s="14"/>
      <c r="BW246" s="14"/>
      <c r="BX246" s="14"/>
      <c r="BY246" s="14"/>
      <c r="BZ246" s="14"/>
      <c r="CA246" s="14"/>
      <c r="CB246" s="14"/>
      <c r="CC246" s="14"/>
      <c r="CD246" s="14"/>
      <c r="CE246" s="14"/>
      <c r="CF246" s="14"/>
      <c r="CG246" s="14"/>
      <c r="CH246" s="14"/>
      <c r="CI246" s="14"/>
      <c r="CJ246" s="14"/>
      <c r="CK246" s="14"/>
      <c r="CL246" s="14"/>
      <c r="CM246" s="14"/>
      <c r="CN246" s="14"/>
      <c r="CO246" s="14"/>
      <c r="CP246" s="14"/>
      <c r="CQ246" s="14"/>
      <c r="CR246" s="14"/>
      <c r="CS246" s="14"/>
      <c r="CT246" s="14"/>
      <c r="CU246" s="14"/>
      <c r="CV246" s="14"/>
      <c r="CW246" s="14"/>
      <c r="CX246" s="14"/>
      <c r="CY246" s="14"/>
      <c r="CZ246" s="14"/>
      <c r="DA246" s="14"/>
      <c r="DB246" s="14"/>
      <c r="DC246" s="14"/>
      <c r="DD246" s="14"/>
      <c r="DE246" s="14"/>
      <c r="DF246" s="14"/>
      <c r="DG246" s="14"/>
      <c r="DH246" s="14"/>
      <c r="DI246" s="14"/>
      <c r="DJ246" s="14"/>
      <c r="DK246" s="14"/>
      <c r="DL246" s="14"/>
      <c r="DM246" s="14"/>
      <c r="DN246" s="14"/>
      <c r="DO246" s="14"/>
      <c r="DP246" s="14"/>
      <c r="DQ246" s="14"/>
      <c r="DR246" s="14"/>
      <c r="DS246" s="14"/>
      <c r="DT246" s="14"/>
      <c r="DU246" s="14"/>
      <c r="DV246" s="14"/>
      <c r="DW246" s="14"/>
      <c r="DX246" s="14"/>
      <c r="DY246" s="14"/>
      <c r="DZ246" s="14"/>
      <c r="EA246" s="14"/>
      <c r="EB246" s="14"/>
      <c r="EC246" s="14"/>
      <c r="ED246" s="14"/>
      <c r="EE246" s="14"/>
      <c r="EF246" s="14"/>
      <c r="EG246" s="14"/>
      <c r="EH246" s="14"/>
      <c r="EI246" s="14"/>
      <c r="EJ246" s="14"/>
      <c r="EK246" s="14"/>
      <c r="EL246" s="14"/>
      <c r="EM246" s="14"/>
      <c r="EN246" s="14"/>
      <c r="EO246" s="14"/>
      <c r="EP246" s="14"/>
      <c r="EQ246" s="14"/>
      <c r="ER246" s="14"/>
      <c r="ES246" s="14"/>
      <c r="ET246" s="14"/>
      <c r="EU246" s="14"/>
      <c r="EV246" s="14"/>
      <c r="EW246" s="14"/>
      <c r="EX246" s="14"/>
      <c r="EY246" s="14"/>
      <c r="EZ246" s="14"/>
      <c r="FA246" s="14"/>
      <c r="FB246" s="14"/>
      <c r="FC246" s="14"/>
      <c r="FD246" s="14"/>
      <c r="FE246" s="14"/>
      <c r="FF246" s="14"/>
      <c r="FG246" s="14"/>
      <c r="FH246" s="14"/>
      <c r="FI246" s="14"/>
      <c r="FJ246" s="14"/>
      <c r="FK246" s="14"/>
      <c r="FL246" s="14"/>
      <c r="FM246" s="14"/>
      <c r="FN246" s="14"/>
      <c r="FO246" s="14"/>
      <c r="FP246" s="14"/>
      <c r="FQ246" s="14"/>
      <c r="FR246" s="14"/>
      <c r="FS246" s="14"/>
      <c r="FT246" s="14"/>
      <c r="FU246" s="14"/>
      <c r="FV246" s="14"/>
      <c r="FW246" s="14"/>
      <c r="FX246" s="14"/>
      <c r="FY246" s="14"/>
      <c r="FZ246" s="14"/>
      <c r="GA246" s="14"/>
      <c r="GB246" s="14"/>
      <c r="GC246" s="14"/>
      <c r="GD246" s="14"/>
      <c r="GE246" s="14"/>
      <c r="GF246" s="14"/>
      <c r="GG246" s="14"/>
      <c r="GH246" s="14"/>
      <c r="GI246" s="14"/>
      <c r="GJ246" s="14"/>
      <c r="GK246" s="14"/>
      <c r="GL246" s="14"/>
      <c r="GM246" s="14"/>
      <c r="GN246" s="14"/>
      <c r="GO246" s="14"/>
      <c r="GP246" s="14"/>
      <c r="GQ246" s="14"/>
      <c r="GR246" s="14"/>
      <c r="GS246" s="14"/>
      <c r="GT246" s="14"/>
      <c r="GU246" s="14"/>
      <c r="GV246" s="14"/>
      <c r="GW246" s="14"/>
      <c r="GX246" s="14"/>
      <c r="GY246" s="14"/>
      <c r="GZ246" s="14"/>
      <c r="HA246" s="14"/>
      <c r="HB246" s="14"/>
      <c r="HC246" s="14"/>
      <c r="HD246" s="14"/>
      <c r="HE246" s="14"/>
      <c r="HF246" s="14"/>
      <c r="HG246" s="14"/>
      <c r="HH246" s="14"/>
      <c r="HI246" s="14"/>
      <c r="HJ246" s="14"/>
      <c r="HK246" s="14"/>
      <c r="HL246" s="14"/>
      <c r="HM246" s="14"/>
      <c r="HN246" s="14"/>
      <c r="HO246" s="14"/>
      <c r="HP246" s="14"/>
      <c r="HQ246" s="14"/>
      <c r="HR246" s="14"/>
      <c r="HS246" s="14"/>
      <c r="HT246" s="14"/>
    </row>
    <row r="247" spans="1:228" ht="19.5" customHeight="1" x14ac:dyDescent="0.2">
      <c r="A247" s="20"/>
      <c r="B247" s="376" t="s">
        <v>1958</v>
      </c>
      <c r="C247" s="1985"/>
      <c r="D247" s="1985"/>
      <c r="E247" s="1985"/>
      <c r="F247" s="1985"/>
      <c r="G247" s="1985"/>
      <c r="H247" s="1985"/>
      <c r="I247" s="1985"/>
      <c r="J247" s="1985"/>
      <c r="K247" s="1985"/>
      <c r="L247" s="1985"/>
      <c r="M247" s="1985"/>
      <c r="N247" s="1985"/>
      <c r="O247" s="1985"/>
      <c r="P247" s="95">
        <f>IF(S247=1,0,IF(S247=2,0.1,IF(S247=3,0.1,0)))</f>
        <v>0</v>
      </c>
      <c r="Q247" s="8"/>
      <c r="R247" s="940" t="s">
        <v>2227</v>
      </c>
      <c r="S247" s="873">
        <v>1</v>
      </c>
      <c r="T247" s="60"/>
      <c r="U247" s="60"/>
      <c r="V247" s="60"/>
      <c r="W247" s="60">
        <v>1E-4</v>
      </c>
      <c r="X247" s="60"/>
      <c r="Y247" s="60"/>
      <c r="Z247" s="60"/>
      <c r="AA247" s="60"/>
      <c r="AB247" s="60"/>
      <c r="AC247" s="60"/>
      <c r="AD247" s="60"/>
      <c r="AE247" s="60"/>
      <c r="AF247" s="60"/>
      <c r="AG247" s="60"/>
      <c r="AH247" s="60"/>
      <c r="AI247" s="60"/>
      <c r="AJ247" s="60"/>
      <c r="AK247" s="60"/>
      <c r="AL247" s="60"/>
      <c r="AM247" s="60"/>
      <c r="AN247" s="60"/>
      <c r="AO247" s="60"/>
      <c r="AP247" s="60"/>
      <c r="AQ247" s="60"/>
      <c r="AR247" s="60"/>
      <c r="AS247" s="60"/>
      <c r="AT247" s="60"/>
      <c r="AU247" s="60"/>
      <c r="AV247" s="60"/>
      <c r="AW247" s="60"/>
      <c r="AX247" s="60"/>
      <c r="AY247" s="60"/>
      <c r="AZ247" s="60"/>
      <c r="BA247" s="60"/>
      <c r="BB247" s="60"/>
      <c r="BC247" s="60"/>
      <c r="BD247" s="60"/>
      <c r="BE247" s="60"/>
      <c r="BF247" s="18"/>
      <c r="BG247" s="18"/>
      <c r="BH247" s="18"/>
      <c r="BI247" s="18"/>
      <c r="BJ247" s="18"/>
      <c r="BK247" s="18"/>
      <c r="BL247" s="18"/>
      <c r="BM247" s="18"/>
      <c r="BN247" s="18"/>
      <c r="BO247" s="18"/>
      <c r="BP247" s="18"/>
      <c r="BQ247" s="14"/>
      <c r="BR247" s="14"/>
      <c r="BS247" s="14"/>
      <c r="BT247" s="14"/>
      <c r="BU247" s="14"/>
      <c r="BV247" s="14"/>
      <c r="BW247" s="14"/>
      <c r="BX247" s="14"/>
      <c r="BY247" s="14"/>
      <c r="BZ247" s="14"/>
      <c r="CA247" s="14"/>
      <c r="CB247" s="14"/>
      <c r="CC247" s="14"/>
      <c r="CD247" s="14"/>
      <c r="CE247" s="14"/>
      <c r="CF247" s="14"/>
      <c r="CG247" s="14"/>
      <c r="CH247" s="14"/>
      <c r="CI247" s="14"/>
      <c r="CJ247" s="14"/>
      <c r="CK247" s="14"/>
      <c r="CL247" s="14"/>
      <c r="CM247" s="14"/>
      <c r="CN247" s="14"/>
      <c r="CO247" s="14"/>
      <c r="CP247" s="14"/>
      <c r="CQ247" s="14"/>
      <c r="CR247" s="14"/>
      <c r="CS247" s="14"/>
      <c r="CT247" s="14"/>
      <c r="CU247" s="14"/>
      <c r="CV247" s="14"/>
      <c r="CW247" s="14"/>
      <c r="CX247" s="14"/>
      <c r="CY247" s="14"/>
      <c r="CZ247" s="14"/>
      <c r="DA247" s="14"/>
      <c r="DB247" s="14"/>
      <c r="DC247" s="14"/>
      <c r="DD247" s="14"/>
      <c r="DE247" s="14"/>
      <c r="DF247" s="14"/>
      <c r="DG247" s="14"/>
      <c r="DH247" s="14"/>
      <c r="DI247" s="14"/>
      <c r="DJ247" s="14"/>
      <c r="DK247" s="14"/>
      <c r="DL247" s="14"/>
      <c r="DM247" s="14"/>
      <c r="DN247" s="14"/>
      <c r="DO247" s="14"/>
      <c r="DP247" s="14"/>
      <c r="DQ247" s="14"/>
      <c r="DR247" s="14"/>
      <c r="DS247" s="14"/>
      <c r="DT247" s="14"/>
      <c r="DU247" s="14"/>
      <c r="DV247" s="14"/>
      <c r="DW247" s="14"/>
      <c r="DX247" s="14"/>
      <c r="DY247" s="14"/>
      <c r="DZ247" s="14"/>
      <c r="EA247" s="14"/>
      <c r="EB247" s="14"/>
      <c r="EC247" s="14"/>
      <c r="ED247" s="14"/>
      <c r="EE247" s="14"/>
      <c r="EF247" s="14"/>
      <c r="EG247" s="14"/>
      <c r="EH247" s="14"/>
      <c r="EI247" s="14"/>
      <c r="EJ247" s="14"/>
      <c r="EK247" s="14"/>
      <c r="EL247" s="14"/>
      <c r="EM247" s="14"/>
      <c r="EN247" s="14"/>
      <c r="EO247" s="14"/>
      <c r="EP247" s="14"/>
      <c r="EQ247" s="14"/>
      <c r="ER247" s="14"/>
      <c r="ES247" s="14"/>
      <c r="ET247" s="14"/>
      <c r="EU247" s="14"/>
      <c r="EV247" s="14"/>
      <c r="EW247" s="14"/>
      <c r="EX247" s="14"/>
      <c r="EY247" s="14"/>
      <c r="EZ247" s="14"/>
      <c r="FA247" s="14"/>
      <c r="FB247" s="14"/>
      <c r="FC247" s="14"/>
      <c r="FD247" s="14"/>
      <c r="FE247" s="14"/>
      <c r="FF247" s="14"/>
      <c r="FG247" s="14"/>
      <c r="FH247" s="14"/>
      <c r="FI247" s="14"/>
      <c r="FJ247" s="14"/>
      <c r="FK247" s="14"/>
      <c r="FL247" s="14"/>
      <c r="FM247" s="14"/>
      <c r="FN247" s="14"/>
      <c r="FO247" s="14"/>
      <c r="FP247" s="14"/>
      <c r="FQ247" s="14"/>
      <c r="FR247" s="14"/>
      <c r="FS247" s="14"/>
      <c r="FT247" s="14"/>
      <c r="FU247" s="14"/>
      <c r="FV247" s="14"/>
      <c r="FW247" s="14"/>
      <c r="FX247" s="14"/>
      <c r="FY247" s="14"/>
      <c r="FZ247" s="14"/>
      <c r="GA247" s="14"/>
      <c r="GB247" s="14"/>
      <c r="GC247" s="14"/>
      <c r="GD247" s="14"/>
      <c r="GE247" s="14"/>
      <c r="GF247" s="14"/>
      <c r="GG247" s="14"/>
      <c r="GH247" s="14"/>
      <c r="GI247" s="14"/>
      <c r="GJ247" s="14"/>
      <c r="GK247" s="14"/>
      <c r="GL247" s="14"/>
      <c r="GM247" s="14"/>
      <c r="GN247" s="14"/>
      <c r="GO247" s="14"/>
      <c r="GP247" s="14"/>
      <c r="GQ247" s="14"/>
      <c r="GR247" s="14"/>
      <c r="GS247" s="14"/>
      <c r="GT247" s="14"/>
      <c r="GU247" s="14"/>
      <c r="GV247" s="14"/>
      <c r="GW247" s="14"/>
      <c r="GX247" s="14"/>
      <c r="GY247" s="14"/>
      <c r="GZ247" s="14"/>
      <c r="HA247" s="14"/>
      <c r="HB247" s="14"/>
      <c r="HC247" s="14"/>
      <c r="HD247" s="14"/>
      <c r="HE247" s="14"/>
      <c r="HF247" s="14"/>
      <c r="HG247" s="14"/>
      <c r="HH247" s="14"/>
      <c r="HI247" s="14"/>
      <c r="HJ247" s="14"/>
      <c r="HK247" s="14"/>
      <c r="HL247" s="14"/>
      <c r="HM247" s="14"/>
      <c r="HN247" s="14"/>
      <c r="HO247" s="14"/>
      <c r="HP247" s="14"/>
      <c r="HQ247" s="14"/>
      <c r="HR247" s="14"/>
      <c r="HS247" s="14"/>
      <c r="HT247" s="14"/>
    </row>
    <row r="248" spans="1:228" ht="18" customHeight="1" x14ac:dyDescent="0.2">
      <c r="A248" s="20"/>
      <c r="B248" s="1650" t="s">
        <v>1870</v>
      </c>
      <c r="C248" s="1651"/>
      <c r="D248" s="1651"/>
      <c r="E248" s="1651"/>
      <c r="F248" s="1651"/>
      <c r="G248" s="1651"/>
      <c r="H248" s="1651"/>
      <c r="I248" s="1651"/>
      <c r="J248" s="1651"/>
      <c r="K248" s="1651"/>
      <c r="L248" s="1651"/>
      <c r="M248" s="1651"/>
      <c r="N248" s="1651"/>
      <c r="O248" s="1651"/>
      <c r="P248" s="105">
        <f>IF(S248=1,0.14,0)</f>
        <v>0</v>
      </c>
      <c r="Q248" s="8"/>
      <c r="R248" s="873" t="b">
        <v>0</v>
      </c>
      <c r="S248" s="942">
        <f>IF(R248=TRUE,1,0)</f>
        <v>0</v>
      </c>
      <c r="T248" s="60"/>
      <c r="U248" s="60"/>
      <c r="V248" s="60"/>
      <c r="W248" s="60">
        <v>1E-4</v>
      </c>
      <c r="X248" s="60"/>
      <c r="Y248" s="60"/>
      <c r="Z248" s="60"/>
      <c r="AA248" s="60"/>
      <c r="AB248" s="60"/>
      <c r="AC248" s="60"/>
      <c r="AD248" s="60"/>
      <c r="AE248" s="60"/>
      <c r="AF248" s="60"/>
      <c r="AG248" s="60"/>
      <c r="AH248" s="60"/>
      <c r="AI248" s="60"/>
      <c r="AJ248" s="60"/>
      <c r="AK248" s="60"/>
      <c r="AL248" s="60"/>
      <c r="AM248" s="60"/>
      <c r="AN248" s="60"/>
      <c r="AO248" s="60"/>
      <c r="AP248" s="60"/>
      <c r="AQ248" s="60"/>
      <c r="AR248" s="60"/>
      <c r="AS248" s="60"/>
      <c r="AT248" s="60"/>
      <c r="AU248" s="60"/>
      <c r="AV248" s="60"/>
      <c r="AW248" s="60"/>
      <c r="AX248" s="60"/>
      <c r="AY248" s="60"/>
      <c r="AZ248" s="60"/>
      <c r="BA248" s="60"/>
      <c r="BB248" s="60"/>
      <c r="BC248" s="60"/>
      <c r="BD248" s="60"/>
      <c r="BE248" s="60"/>
      <c r="BF248" s="18"/>
      <c r="BG248" s="18"/>
      <c r="BH248" s="18"/>
      <c r="BI248" s="18"/>
      <c r="BJ248" s="18"/>
      <c r="BK248" s="18"/>
      <c r="BL248" s="18"/>
      <c r="BM248" s="18"/>
      <c r="BN248" s="18"/>
      <c r="BO248" s="18"/>
      <c r="BP248" s="18"/>
      <c r="BQ248" s="14"/>
      <c r="BR248" s="14"/>
      <c r="BS248" s="14"/>
      <c r="BT248" s="14"/>
      <c r="BU248" s="14"/>
      <c r="BV248" s="14"/>
      <c r="BW248" s="14"/>
      <c r="BX248" s="14"/>
      <c r="BY248" s="14"/>
      <c r="BZ248" s="14"/>
      <c r="CA248" s="14"/>
      <c r="CB248" s="14"/>
      <c r="CC248" s="14"/>
      <c r="CD248" s="14"/>
      <c r="CE248" s="14"/>
      <c r="CF248" s="14"/>
      <c r="CG248" s="14"/>
      <c r="CH248" s="14"/>
      <c r="CI248" s="14"/>
      <c r="CJ248" s="14"/>
      <c r="CK248" s="14"/>
      <c r="CL248" s="14"/>
      <c r="CM248" s="14"/>
      <c r="CN248" s="14"/>
      <c r="CO248" s="14"/>
      <c r="CP248" s="14"/>
      <c r="CQ248" s="14"/>
      <c r="CR248" s="14"/>
      <c r="CS248" s="14"/>
      <c r="CT248" s="14"/>
      <c r="CU248" s="14"/>
      <c r="CV248" s="14"/>
      <c r="CW248" s="14"/>
      <c r="CX248" s="14"/>
      <c r="CY248" s="14"/>
      <c r="CZ248" s="14"/>
      <c r="DA248" s="14"/>
      <c r="DB248" s="14"/>
      <c r="DC248" s="14"/>
      <c r="DD248" s="14"/>
      <c r="DE248" s="14"/>
      <c r="DF248" s="14"/>
      <c r="DG248" s="14"/>
      <c r="DH248" s="14"/>
      <c r="DI248" s="14"/>
      <c r="DJ248" s="14"/>
      <c r="DK248" s="14"/>
      <c r="DL248" s="14"/>
      <c r="DM248" s="14"/>
      <c r="DN248" s="14"/>
      <c r="DO248" s="14"/>
      <c r="DP248" s="14"/>
      <c r="DQ248" s="14"/>
      <c r="DR248" s="14"/>
      <c r="DS248" s="14"/>
      <c r="DT248" s="14"/>
      <c r="DU248" s="14"/>
      <c r="DV248" s="14"/>
      <c r="DW248" s="14"/>
      <c r="DX248" s="14"/>
      <c r="DY248" s="14"/>
      <c r="DZ248" s="14"/>
      <c r="EA248" s="14"/>
      <c r="EB248" s="14"/>
      <c r="EC248" s="14"/>
      <c r="ED248" s="14"/>
      <c r="EE248" s="14"/>
      <c r="EF248" s="14"/>
      <c r="EG248" s="14"/>
      <c r="EH248" s="14"/>
      <c r="EI248" s="14"/>
      <c r="EJ248" s="14"/>
      <c r="EK248" s="14"/>
      <c r="EL248" s="14"/>
      <c r="EM248" s="14"/>
      <c r="EN248" s="14"/>
      <c r="EO248" s="14"/>
      <c r="EP248" s="14"/>
      <c r="EQ248" s="14"/>
      <c r="ER248" s="14"/>
      <c r="ES248" s="14"/>
      <c r="ET248" s="14"/>
      <c r="EU248" s="14"/>
      <c r="EV248" s="14"/>
      <c r="EW248" s="14"/>
      <c r="EX248" s="14"/>
      <c r="EY248" s="14"/>
      <c r="EZ248" s="14"/>
      <c r="FA248" s="14"/>
      <c r="FB248" s="14"/>
      <c r="FC248" s="14"/>
      <c r="FD248" s="14"/>
      <c r="FE248" s="14"/>
      <c r="FF248" s="14"/>
      <c r="FG248" s="14"/>
      <c r="FH248" s="14"/>
      <c r="FI248" s="14"/>
      <c r="FJ248" s="14"/>
      <c r="FK248" s="14"/>
      <c r="FL248" s="14"/>
      <c r="FM248" s="14"/>
      <c r="FN248" s="14"/>
      <c r="FO248" s="14"/>
      <c r="FP248" s="14"/>
      <c r="FQ248" s="14"/>
      <c r="FR248" s="14"/>
      <c r="FS248" s="14"/>
      <c r="FT248" s="14"/>
      <c r="FU248" s="14"/>
      <c r="FV248" s="14"/>
      <c r="FW248" s="14"/>
      <c r="FX248" s="14"/>
      <c r="FY248" s="14"/>
      <c r="FZ248" s="14"/>
      <c r="GA248" s="14"/>
      <c r="GB248" s="14"/>
      <c r="GC248" s="14"/>
      <c r="GD248" s="14"/>
      <c r="GE248" s="14"/>
      <c r="GF248" s="14"/>
      <c r="GG248" s="14"/>
      <c r="GH248" s="14"/>
      <c r="GI248" s="14"/>
      <c r="GJ248" s="14"/>
      <c r="GK248" s="14"/>
      <c r="GL248" s="14"/>
      <c r="GM248" s="14"/>
      <c r="GN248" s="14"/>
      <c r="GO248" s="14"/>
      <c r="GP248" s="14"/>
      <c r="GQ248" s="14"/>
      <c r="GR248" s="14"/>
      <c r="GS248" s="14"/>
      <c r="GT248" s="14"/>
      <c r="GU248" s="14"/>
      <c r="GV248" s="14"/>
      <c r="GW248" s="14"/>
      <c r="GX248" s="14"/>
      <c r="GY248" s="14"/>
      <c r="GZ248" s="14"/>
      <c r="HA248" s="14"/>
      <c r="HB248" s="14"/>
      <c r="HC248" s="14"/>
      <c r="HD248" s="14"/>
      <c r="HE248" s="14"/>
      <c r="HF248" s="14"/>
      <c r="HG248" s="14"/>
      <c r="HH248" s="14"/>
      <c r="HI248" s="14"/>
      <c r="HJ248" s="14"/>
      <c r="HK248" s="14"/>
      <c r="HL248" s="14"/>
      <c r="HM248" s="14"/>
      <c r="HN248" s="14"/>
      <c r="HO248" s="14"/>
      <c r="HP248" s="14"/>
      <c r="HQ248" s="14"/>
      <c r="HR248" s="14"/>
      <c r="HS248" s="14"/>
      <c r="HT248" s="14"/>
    </row>
    <row r="249" spans="1:228" ht="12" customHeight="1" x14ac:dyDescent="0.25">
      <c r="A249" s="8"/>
      <c r="B249" s="1825"/>
      <c r="C249" s="1825"/>
      <c r="D249" s="1825"/>
      <c r="E249" s="1825"/>
      <c r="F249" s="1825"/>
      <c r="G249" s="1825"/>
      <c r="H249" s="1825"/>
      <c r="I249" s="1825"/>
      <c r="J249" s="1825"/>
      <c r="K249" s="1825"/>
      <c r="L249" s="1825"/>
      <c r="M249" s="1825"/>
      <c r="N249" s="1825"/>
      <c r="O249" s="1825"/>
      <c r="P249" s="75"/>
      <c r="Q249" s="8"/>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18"/>
      <c r="BG249" s="18"/>
      <c r="BH249" s="18"/>
      <c r="BI249" s="18"/>
      <c r="BJ249" s="18"/>
      <c r="BK249" s="18"/>
      <c r="BL249" s="18"/>
      <c r="BM249" s="18"/>
      <c r="BN249" s="18"/>
      <c r="BO249" s="18"/>
      <c r="BP249" s="18"/>
      <c r="BQ249" s="14"/>
      <c r="BR249" s="14"/>
      <c r="BS249" s="14"/>
      <c r="BT249" s="14"/>
      <c r="BU249" s="14"/>
      <c r="BV249" s="14"/>
      <c r="BW249" s="14"/>
      <c r="BX249" s="14"/>
      <c r="BY249" s="14"/>
      <c r="BZ249" s="14"/>
      <c r="CA249" s="14"/>
      <c r="CB249" s="14"/>
      <c r="CC249" s="14"/>
      <c r="CD249" s="14"/>
      <c r="CE249" s="14"/>
      <c r="CF249" s="14"/>
      <c r="CG249" s="14"/>
      <c r="CH249" s="14"/>
      <c r="CI249" s="14"/>
      <c r="CJ249" s="14"/>
      <c r="CK249" s="14"/>
      <c r="CL249" s="14"/>
      <c r="CM249" s="14"/>
      <c r="CN249" s="14"/>
      <c r="CO249" s="14"/>
      <c r="CP249" s="14"/>
      <c r="CQ249" s="14"/>
      <c r="CR249" s="14"/>
      <c r="CS249" s="14"/>
      <c r="CT249" s="14"/>
      <c r="CU249" s="14"/>
      <c r="CV249" s="14"/>
      <c r="CW249" s="14"/>
      <c r="CX249" s="14"/>
      <c r="CY249" s="14"/>
      <c r="CZ249" s="14"/>
      <c r="DA249" s="14"/>
      <c r="DB249" s="14"/>
      <c r="DC249" s="14"/>
      <c r="DD249" s="14"/>
      <c r="DE249" s="14"/>
      <c r="DF249" s="14"/>
      <c r="DG249" s="14"/>
      <c r="DH249" s="14"/>
      <c r="DI249" s="14"/>
      <c r="DJ249" s="14"/>
      <c r="DK249" s="14"/>
      <c r="DL249" s="14"/>
      <c r="DM249" s="14"/>
      <c r="DN249" s="14"/>
      <c r="DO249" s="14"/>
      <c r="DP249" s="14"/>
      <c r="DQ249" s="14"/>
      <c r="DR249" s="14"/>
      <c r="DS249" s="14"/>
      <c r="DT249" s="14"/>
      <c r="DU249" s="14"/>
      <c r="DV249" s="14"/>
      <c r="DW249" s="14"/>
      <c r="DX249" s="14"/>
      <c r="DY249" s="14"/>
      <c r="DZ249" s="14"/>
      <c r="EA249" s="14"/>
      <c r="EB249" s="14"/>
      <c r="EC249" s="14"/>
      <c r="ED249" s="14"/>
      <c r="EE249" s="14"/>
      <c r="EF249" s="14"/>
      <c r="EG249" s="14"/>
      <c r="EH249" s="14"/>
      <c r="EI249" s="14"/>
      <c r="EJ249" s="14"/>
      <c r="EK249" s="14"/>
      <c r="EL249" s="14"/>
      <c r="EM249" s="14"/>
      <c r="EN249" s="14"/>
      <c r="EO249" s="14"/>
      <c r="EP249" s="14"/>
      <c r="EQ249" s="14"/>
      <c r="ER249" s="14"/>
      <c r="ES249" s="14"/>
      <c r="ET249" s="14"/>
      <c r="EU249" s="14"/>
      <c r="EV249" s="14"/>
      <c r="EW249" s="14"/>
      <c r="EX249" s="14"/>
      <c r="EY249" s="14"/>
      <c r="EZ249" s="14"/>
      <c r="FA249" s="14"/>
      <c r="FB249" s="14"/>
      <c r="FC249" s="14"/>
      <c r="FD249" s="14"/>
      <c r="FE249" s="14"/>
      <c r="FF249" s="14"/>
      <c r="FG249" s="14"/>
      <c r="FH249" s="14"/>
      <c r="FI249" s="14"/>
      <c r="FJ249" s="14"/>
      <c r="FK249" s="14"/>
      <c r="FL249" s="14"/>
      <c r="FM249" s="14"/>
      <c r="FN249" s="14"/>
      <c r="FO249" s="14"/>
      <c r="FP249" s="14"/>
      <c r="FQ249" s="14"/>
      <c r="FR249" s="14"/>
      <c r="FS249" s="14"/>
      <c r="FT249" s="14"/>
      <c r="FU249" s="14"/>
      <c r="FV249" s="14"/>
      <c r="FW249" s="14"/>
      <c r="FX249" s="14"/>
      <c r="FY249" s="14"/>
      <c r="FZ249" s="14"/>
      <c r="GA249" s="14"/>
      <c r="GB249" s="14"/>
      <c r="GC249" s="14"/>
      <c r="GD249" s="14"/>
      <c r="GE249" s="14"/>
      <c r="GF249" s="14"/>
      <c r="GG249" s="14"/>
      <c r="GH249" s="14"/>
      <c r="GI249" s="14"/>
      <c r="GJ249" s="14"/>
      <c r="GK249" s="14"/>
      <c r="GL249" s="14"/>
      <c r="GM249" s="14"/>
      <c r="GN249" s="14"/>
      <c r="GO249" s="14"/>
      <c r="GP249" s="14"/>
      <c r="GQ249" s="14"/>
      <c r="GR249" s="14"/>
      <c r="GS249" s="14"/>
      <c r="GT249" s="14"/>
      <c r="GU249" s="14"/>
      <c r="GV249" s="14"/>
      <c r="GW249" s="14"/>
      <c r="GX249" s="14"/>
      <c r="GY249" s="14"/>
      <c r="GZ249" s="14"/>
      <c r="HA249" s="14"/>
      <c r="HB249" s="14"/>
      <c r="HC249" s="14"/>
      <c r="HD249" s="14"/>
      <c r="HE249" s="14"/>
      <c r="HF249" s="14"/>
      <c r="HG249" s="14"/>
      <c r="HH249" s="14"/>
      <c r="HI249" s="14"/>
      <c r="HJ249" s="14"/>
      <c r="HK249" s="14"/>
      <c r="HL249" s="14"/>
      <c r="HM249" s="14"/>
      <c r="HN249" s="14"/>
      <c r="HO249" s="14"/>
      <c r="HP249" s="14"/>
      <c r="HQ249" s="14"/>
      <c r="HR249" s="14"/>
      <c r="HS249" s="14"/>
      <c r="HT249" s="14"/>
    </row>
    <row r="250" spans="1:228" ht="18" customHeight="1" x14ac:dyDescent="0.2">
      <c r="A250" s="189"/>
      <c r="B250" s="1830" t="s">
        <v>597</v>
      </c>
      <c r="C250" s="1830"/>
      <c r="D250" s="1830"/>
      <c r="E250" s="1830"/>
      <c r="F250" s="1639"/>
      <c r="G250" s="1639"/>
      <c r="H250" s="1656"/>
      <c r="I250" s="1656"/>
      <c r="J250" s="1656"/>
      <c r="K250" s="1656"/>
      <c r="L250" s="1656"/>
      <c r="M250" s="1656"/>
      <c r="N250" s="1656"/>
      <c r="O250" s="1656"/>
      <c r="P250" s="26">
        <f>IF(S250=1,0.25,0)</f>
        <v>0</v>
      </c>
      <c r="R250" s="686" t="b">
        <v>0</v>
      </c>
      <c r="S250" s="942">
        <f>IF(R250=TRUE,1,0)</f>
        <v>0</v>
      </c>
      <c r="T250" s="18"/>
      <c r="U250" s="18"/>
      <c r="V250" s="18"/>
      <c r="W250" s="18">
        <v>1E-4</v>
      </c>
      <c r="X250" s="18"/>
      <c r="Y250" s="165"/>
      <c r="Z250" s="18"/>
      <c r="AA250" s="18"/>
      <c r="AB250" s="18"/>
      <c r="AC250" s="18"/>
      <c r="AD250" s="18"/>
      <c r="AE250" s="18"/>
      <c r="AF250" s="18"/>
      <c r="AG250" s="18"/>
      <c r="AH250" s="18"/>
      <c r="AI250" s="111"/>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4"/>
      <c r="BR250" s="14"/>
      <c r="BS250" s="14"/>
      <c r="BT250" s="14"/>
      <c r="BU250" s="14"/>
      <c r="BV250" s="14"/>
      <c r="BW250" s="14"/>
      <c r="BX250" s="14"/>
      <c r="BY250" s="14"/>
      <c r="BZ250" s="14"/>
      <c r="CA250" s="14"/>
      <c r="CB250" s="14"/>
      <c r="CC250" s="14"/>
      <c r="CD250" s="14"/>
      <c r="CE250" s="14"/>
      <c r="CF250" s="14"/>
      <c r="CG250" s="14"/>
      <c r="CH250" s="14"/>
      <c r="CI250" s="14"/>
      <c r="CJ250" s="14"/>
      <c r="CK250" s="14"/>
      <c r="CL250" s="14"/>
      <c r="CM250" s="14"/>
      <c r="CN250" s="14"/>
      <c r="CO250" s="14"/>
      <c r="CP250" s="14"/>
      <c r="CQ250" s="14"/>
      <c r="CR250" s="14"/>
      <c r="CS250" s="14"/>
      <c r="CT250" s="14"/>
      <c r="CU250" s="14"/>
      <c r="CV250" s="14"/>
      <c r="CW250" s="14"/>
      <c r="CX250" s="14"/>
      <c r="CY250" s="14"/>
      <c r="CZ250" s="14"/>
      <c r="DA250" s="14"/>
      <c r="DB250" s="14"/>
      <c r="DC250" s="14"/>
      <c r="DD250" s="14"/>
      <c r="DE250" s="14"/>
      <c r="DF250" s="14"/>
      <c r="DG250" s="14"/>
      <c r="DH250" s="14"/>
      <c r="DI250" s="14"/>
      <c r="DJ250" s="14"/>
      <c r="DK250" s="14"/>
      <c r="DL250" s="14"/>
      <c r="DM250" s="14"/>
      <c r="DN250" s="14"/>
      <c r="DO250" s="14"/>
      <c r="DP250" s="14"/>
      <c r="DQ250" s="14"/>
      <c r="DR250" s="14"/>
      <c r="DS250" s="14"/>
      <c r="DT250" s="14"/>
      <c r="DU250" s="14"/>
      <c r="DV250" s="14"/>
      <c r="DW250" s="14"/>
      <c r="DX250" s="14"/>
      <c r="DY250" s="14"/>
      <c r="DZ250" s="14"/>
      <c r="EA250" s="14"/>
      <c r="EB250" s="14"/>
      <c r="EC250" s="14"/>
      <c r="ED250" s="14"/>
      <c r="EE250" s="14"/>
      <c r="EF250" s="14"/>
      <c r="EG250" s="14"/>
      <c r="EH250" s="14"/>
      <c r="EI250" s="14"/>
      <c r="EJ250" s="14"/>
      <c r="EK250" s="14"/>
      <c r="EL250" s="14"/>
      <c r="EM250" s="14"/>
      <c r="EN250" s="14"/>
      <c r="EO250" s="14"/>
      <c r="EP250" s="14"/>
      <c r="EQ250" s="14"/>
      <c r="ER250" s="14"/>
      <c r="ES250" s="14"/>
      <c r="ET250" s="14"/>
      <c r="EU250" s="14"/>
      <c r="EV250" s="14"/>
      <c r="EW250" s="14"/>
      <c r="EX250" s="14"/>
      <c r="EY250" s="14"/>
      <c r="EZ250" s="14"/>
      <c r="FA250" s="14"/>
      <c r="FB250" s="14"/>
      <c r="FC250" s="14"/>
      <c r="FD250" s="14"/>
      <c r="FE250" s="14"/>
      <c r="FF250" s="14"/>
      <c r="FG250" s="14"/>
      <c r="FH250" s="14"/>
      <c r="FI250" s="14"/>
      <c r="FJ250" s="14"/>
      <c r="FK250" s="14"/>
      <c r="FL250" s="14"/>
      <c r="FM250" s="14"/>
      <c r="FN250" s="14"/>
      <c r="FO250" s="14"/>
      <c r="FP250" s="14"/>
      <c r="FQ250" s="14"/>
      <c r="FR250" s="14"/>
      <c r="FS250" s="14"/>
      <c r="FT250" s="14"/>
      <c r="FU250" s="14"/>
      <c r="FV250" s="14"/>
      <c r="FW250" s="14"/>
      <c r="FX250" s="14"/>
      <c r="FY250" s="14"/>
      <c r="FZ250" s="14"/>
      <c r="GA250" s="14"/>
      <c r="GB250" s="14"/>
      <c r="GC250" s="14"/>
      <c r="GD250" s="14"/>
      <c r="GE250" s="14"/>
      <c r="GF250" s="14"/>
      <c r="GG250" s="14"/>
      <c r="GH250" s="14"/>
      <c r="GI250" s="14"/>
      <c r="GJ250" s="14"/>
      <c r="GK250" s="14"/>
      <c r="GL250" s="14"/>
      <c r="GM250" s="14"/>
      <c r="GN250" s="14"/>
      <c r="GO250" s="14"/>
      <c r="GP250" s="14"/>
      <c r="GQ250" s="14"/>
      <c r="GR250" s="14"/>
      <c r="GS250" s="14"/>
      <c r="GT250" s="14"/>
      <c r="GU250" s="14"/>
      <c r="GV250" s="14"/>
      <c r="GW250" s="14"/>
      <c r="GX250" s="14"/>
      <c r="GY250" s="14"/>
      <c r="GZ250" s="14"/>
      <c r="HA250" s="14"/>
      <c r="HB250" s="14"/>
      <c r="HC250" s="14"/>
      <c r="HD250" s="14"/>
      <c r="HE250" s="14"/>
      <c r="HF250" s="14"/>
      <c r="HG250" s="14"/>
      <c r="HH250" s="14"/>
      <c r="HI250" s="14"/>
      <c r="HJ250" s="14"/>
      <c r="HK250" s="14"/>
      <c r="HL250" s="14"/>
      <c r="HM250" s="14"/>
      <c r="HN250" s="14"/>
      <c r="HO250" s="14"/>
      <c r="HP250" s="14"/>
      <c r="HQ250" s="14"/>
      <c r="HR250" s="14"/>
      <c r="HS250" s="14"/>
      <c r="HT250" s="14"/>
    </row>
    <row r="251" spans="1:228" ht="12" customHeight="1" x14ac:dyDescent="0.25">
      <c r="A251" s="8"/>
      <c r="B251" s="1825"/>
      <c r="C251" s="1825"/>
      <c r="D251" s="1825"/>
      <c r="E251" s="1825"/>
      <c r="F251" s="1825"/>
      <c r="G251" s="1825"/>
      <c r="H251" s="1825"/>
      <c r="I251" s="1825"/>
      <c r="J251" s="1825"/>
      <c r="K251" s="1825"/>
      <c r="L251" s="1825"/>
      <c r="M251" s="1825"/>
      <c r="N251" s="1825"/>
      <c r="O251" s="1825"/>
      <c r="P251" s="75"/>
      <c r="Q251" s="8"/>
      <c r="R251" s="60"/>
      <c r="S251" s="60"/>
      <c r="T251" s="60"/>
      <c r="U251" s="60"/>
      <c r="V251" s="60"/>
      <c r="W251" s="60"/>
      <c r="X251" s="60"/>
      <c r="Y251" s="60"/>
      <c r="Z251" s="60"/>
      <c r="AA251" s="60"/>
      <c r="AB251" s="60"/>
      <c r="AC251" s="60"/>
      <c r="AD251" s="60"/>
      <c r="AE251" s="60"/>
      <c r="AF251" s="60"/>
      <c r="AG251" s="60"/>
      <c r="AH251" s="60"/>
      <c r="AI251" s="60"/>
      <c r="AJ251" s="60"/>
      <c r="AK251" s="60"/>
      <c r="AL251" s="60"/>
      <c r="AM251" s="60"/>
      <c r="AN251" s="60"/>
      <c r="AO251" s="60"/>
      <c r="AP251" s="60"/>
      <c r="AQ251" s="60"/>
      <c r="AR251" s="60"/>
      <c r="AS251" s="60"/>
      <c r="AT251" s="60"/>
      <c r="AU251" s="60"/>
      <c r="AV251" s="60"/>
      <c r="AW251" s="60"/>
      <c r="AX251" s="60"/>
      <c r="AY251" s="60"/>
      <c r="AZ251" s="60"/>
      <c r="BA251" s="60"/>
      <c r="BB251" s="60"/>
      <c r="BC251" s="60"/>
      <c r="BD251" s="60"/>
      <c r="BE251" s="60"/>
      <c r="BF251" s="18"/>
      <c r="BG251" s="18"/>
      <c r="BH251" s="18"/>
      <c r="BI251" s="18"/>
      <c r="BJ251" s="18"/>
      <c r="BK251" s="18"/>
      <c r="BL251" s="18"/>
      <c r="BM251" s="18"/>
      <c r="BN251" s="18"/>
      <c r="BO251" s="18"/>
      <c r="BP251" s="18"/>
      <c r="BQ251" s="14"/>
      <c r="BR251" s="14"/>
      <c r="BS251" s="14"/>
      <c r="BT251" s="14"/>
      <c r="BU251" s="14"/>
      <c r="BV251" s="14"/>
      <c r="BW251" s="14"/>
      <c r="BX251" s="14"/>
      <c r="BY251" s="14"/>
      <c r="BZ251" s="14"/>
      <c r="CA251" s="14"/>
      <c r="CB251" s="14"/>
      <c r="CC251" s="14"/>
      <c r="CD251" s="14"/>
      <c r="CE251" s="14"/>
      <c r="CF251" s="14"/>
      <c r="CG251" s="14"/>
      <c r="CH251" s="14"/>
      <c r="CI251" s="14"/>
      <c r="CJ251" s="14"/>
      <c r="CK251" s="14"/>
      <c r="CL251" s="14"/>
      <c r="CM251" s="14"/>
      <c r="CN251" s="14"/>
      <c r="CO251" s="14"/>
      <c r="CP251" s="14"/>
      <c r="CQ251" s="14"/>
      <c r="CR251" s="14"/>
      <c r="CS251" s="14"/>
      <c r="CT251" s="14"/>
      <c r="CU251" s="14"/>
      <c r="CV251" s="14"/>
      <c r="CW251" s="14"/>
      <c r="CX251" s="14"/>
      <c r="CY251" s="14"/>
      <c r="CZ251" s="14"/>
      <c r="DA251" s="14"/>
      <c r="DB251" s="14"/>
      <c r="DC251" s="14"/>
      <c r="DD251" s="14"/>
      <c r="DE251" s="14"/>
      <c r="DF251" s="14"/>
      <c r="DG251" s="14"/>
      <c r="DH251" s="14"/>
      <c r="DI251" s="14"/>
      <c r="DJ251" s="14"/>
      <c r="DK251" s="14"/>
      <c r="DL251" s="14"/>
      <c r="DM251" s="14"/>
      <c r="DN251" s="14"/>
      <c r="DO251" s="14"/>
      <c r="DP251" s="14"/>
      <c r="DQ251" s="14"/>
      <c r="DR251" s="14"/>
      <c r="DS251" s="14"/>
      <c r="DT251" s="14"/>
      <c r="DU251" s="14"/>
      <c r="DV251" s="14"/>
      <c r="DW251" s="14"/>
      <c r="DX251" s="14"/>
      <c r="DY251" s="14"/>
      <c r="DZ251" s="14"/>
      <c r="EA251" s="14"/>
      <c r="EB251" s="14"/>
      <c r="EC251" s="14"/>
      <c r="ED251" s="14"/>
      <c r="EE251" s="14"/>
      <c r="EF251" s="14"/>
      <c r="EG251" s="14"/>
      <c r="EH251" s="14"/>
      <c r="EI251" s="14"/>
      <c r="EJ251" s="14"/>
      <c r="EK251" s="14"/>
      <c r="EL251" s="14"/>
      <c r="EM251" s="14"/>
      <c r="EN251" s="14"/>
      <c r="EO251" s="14"/>
      <c r="EP251" s="14"/>
      <c r="EQ251" s="14"/>
      <c r="ER251" s="14"/>
      <c r="ES251" s="14"/>
      <c r="ET251" s="14"/>
      <c r="EU251" s="14"/>
      <c r="EV251" s="14"/>
      <c r="EW251" s="14"/>
      <c r="EX251" s="14"/>
      <c r="EY251" s="14"/>
      <c r="EZ251" s="14"/>
      <c r="FA251" s="14"/>
      <c r="FB251" s="14"/>
      <c r="FC251" s="14"/>
      <c r="FD251" s="14"/>
      <c r="FE251" s="14"/>
      <c r="FF251" s="14"/>
      <c r="FG251" s="14"/>
      <c r="FH251" s="14"/>
      <c r="FI251" s="14"/>
      <c r="FJ251" s="14"/>
      <c r="FK251" s="14"/>
      <c r="FL251" s="14"/>
      <c r="FM251" s="14"/>
      <c r="FN251" s="14"/>
      <c r="FO251" s="14"/>
      <c r="FP251" s="14"/>
      <c r="FQ251" s="14"/>
      <c r="FR251" s="14"/>
      <c r="FS251" s="14"/>
      <c r="FT251" s="14"/>
      <c r="FU251" s="14"/>
      <c r="FV251" s="14"/>
      <c r="FW251" s="14"/>
      <c r="FX251" s="14"/>
      <c r="FY251" s="14"/>
      <c r="FZ251" s="14"/>
      <c r="GA251" s="14"/>
      <c r="GB251" s="14"/>
      <c r="GC251" s="14"/>
      <c r="GD251" s="14"/>
      <c r="GE251" s="14"/>
      <c r="GF251" s="14"/>
      <c r="GG251" s="14"/>
      <c r="GH251" s="14"/>
      <c r="GI251" s="14"/>
      <c r="GJ251" s="14"/>
      <c r="GK251" s="14"/>
      <c r="GL251" s="14"/>
      <c r="GM251" s="14"/>
      <c r="GN251" s="14"/>
      <c r="GO251" s="14"/>
      <c r="GP251" s="14"/>
      <c r="GQ251" s="14"/>
      <c r="GR251" s="14"/>
      <c r="GS251" s="14"/>
      <c r="GT251" s="14"/>
      <c r="GU251" s="14"/>
      <c r="GV251" s="14"/>
      <c r="GW251" s="14"/>
      <c r="GX251" s="14"/>
      <c r="GY251" s="14"/>
      <c r="GZ251" s="14"/>
      <c r="HA251" s="14"/>
      <c r="HB251" s="14"/>
      <c r="HC251" s="14"/>
      <c r="HD251" s="14"/>
      <c r="HE251" s="14"/>
      <c r="HF251" s="14"/>
      <c r="HG251" s="14"/>
      <c r="HH251" s="14"/>
      <c r="HI251" s="14"/>
      <c r="HJ251" s="14"/>
      <c r="HK251" s="14"/>
      <c r="HL251" s="14"/>
      <c r="HM251" s="14"/>
      <c r="HN251" s="14"/>
      <c r="HO251" s="14"/>
      <c r="HP251" s="14"/>
      <c r="HQ251" s="14"/>
      <c r="HR251" s="14"/>
      <c r="HS251" s="14"/>
      <c r="HT251" s="14"/>
    </row>
    <row r="252" spans="1:228" ht="18" customHeight="1" x14ac:dyDescent="0.25">
      <c r="B252" s="1536" t="s">
        <v>557</v>
      </c>
      <c r="C252" s="1555"/>
      <c r="D252" s="1555"/>
      <c r="E252" s="1555"/>
      <c r="F252" s="1555"/>
      <c r="G252" s="1555"/>
      <c r="H252" s="1555"/>
      <c r="I252" s="1555"/>
      <c r="J252" s="1555"/>
      <c r="K252" s="1555"/>
      <c r="L252" s="1555"/>
      <c r="M252" s="1555"/>
      <c r="N252" s="1555"/>
      <c r="O252" s="1555"/>
      <c r="P252" s="361"/>
      <c r="R252" s="18"/>
      <c r="S252" s="18"/>
      <c r="Y252" s="60"/>
      <c r="Z252" s="1569"/>
      <c r="AA252" s="1569"/>
      <c r="AB252" s="1569"/>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4"/>
      <c r="BR252" s="14"/>
      <c r="BS252" s="14"/>
      <c r="BT252" s="14"/>
      <c r="BU252" s="14"/>
      <c r="BV252" s="14"/>
      <c r="BW252" s="14"/>
      <c r="BX252" s="14"/>
      <c r="BY252" s="14"/>
      <c r="BZ252" s="14"/>
      <c r="CA252" s="14"/>
      <c r="CB252" s="14"/>
      <c r="CC252" s="14"/>
      <c r="CD252" s="14"/>
      <c r="CE252" s="14"/>
      <c r="CF252" s="14"/>
      <c r="CG252" s="14"/>
      <c r="CH252" s="14"/>
      <c r="CI252" s="14"/>
      <c r="CJ252" s="14"/>
      <c r="CK252" s="14"/>
      <c r="CL252" s="14"/>
      <c r="CM252" s="14"/>
      <c r="CN252" s="14"/>
      <c r="CO252" s="14"/>
      <c r="CP252" s="14"/>
      <c r="CQ252" s="14"/>
      <c r="CR252" s="14"/>
      <c r="CS252" s="14"/>
      <c r="CT252" s="14"/>
      <c r="CU252" s="14"/>
      <c r="CV252" s="14"/>
      <c r="CW252" s="14"/>
      <c r="CX252" s="14"/>
      <c r="CY252" s="14"/>
      <c r="CZ252" s="14"/>
      <c r="DA252" s="14"/>
      <c r="DB252" s="14"/>
      <c r="DC252" s="14"/>
      <c r="DD252" s="14"/>
      <c r="DE252" s="14"/>
      <c r="DF252" s="14"/>
      <c r="DG252" s="14"/>
      <c r="DH252" s="14"/>
      <c r="DI252" s="14"/>
      <c r="DJ252" s="14"/>
      <c r="DK252" s="14"/>
      <c r="DL252" s="14"/>
      <c r="DM252" s="14"/>
      <c r="DN252" s="14"/>
      <c r="DO252" s="14"/>
      <c r="DP252" s="14"/>
      <c r="DQ252" s="14"/>
      <c r="DR252" s="14"/>
      <c r="DS252" s="14"/>
      <c r="DT252" s="14"/>
      <c r="DU252" s="14"/>
      <c r="DV252" s="14"/>
      <c r="DW252" s="14"/>
      <c r="DX252" s="14"/>
      <c r="DY252" s="14"/>
      <c r="DZ252" s="14"/>
      <c r="EA252" s="14"/>
      <c r="EB252" s="14"/>
      <c r="EC252" s="14"/>
      <c r="ED252" s="14"/>
      <c r="EE252" s="14"/>
      <c r="EF252" s="14"/>
      <c r="EG252" s="14"/>
      <c r="EH252" s="14"/>
      <c r="EI252" s="14"/>
      <c r="EJ252" s="14"/>
      <c r="EK252" s="14"/>
      <c r="EL252" s="14"/>
      <c r="EM252" s="14"/>
      <c r="EN252" s="14"/>
      <c r="EO252" s="14"/>
      <c r="EP252" s="14"/>
      <c r="EQ252" s="14"/>
      <c r="ER252" s="14"/>
      <c r="ES252" s="14"/>
      <c r="ET252" s="14"/>
      <c r="EU252" s="14"/>
      <c r="EV252" s="14"/>
      <c r="EW252" s="14"/>
      <c r="EX252" s="14"/>
      <c r="EY252" s="14"/>
      <c r="EZ252" s="14"/>
      <c r="FA252" s="14"/>
      <c r="FB252" s="14"/>
      <c r="FC252" s="14"/>
      <c r="FD252" s="14"/>
      <c r="FE252" s="14"/>
      <c r="FF252" s="14"/>
      <c r="FG252" s="14"/>
      <c r="FH252" s="14"/>
      <c r="FI252" s="14"/>
      <c r="FJ252" s="14"/>
      <c r="FK252" s="14"/>
      <c r="FL252" s="14"/>
      <c r="FM252" s="14"/>
      <c r="FN252" s="14"/>
      <c r="FO252" s="14"/>
      <c r="FP252" s="14"/>
      <c r="FQ252" s="14"/>
      <c r="FR252" s="14"/>
      <c r="FS252" s="14"/>
      <c r="FT252" s="14"/>
      <c r="FU252" s="14"/>
      <c r="FV252" s="14"/>
      <c r="FW252" s="14"/>
      <c r="FX252" s="14"/>
      <c r="FY252" s="14"/>
      <c r="FZ252" s="14"/>
      <c r="GA252" s="14"/>
      <c r="GB252" s="14"/>
      <c r="GC252" s="14"/>
      <c r="GD252" s="14"/>
      <c r="GE252" s="14"/>
      <c r="GF252" s="14"/>
      <c r="GG252" s="14"/>
      <c r="GH252" s="14"/>
      <c r="GI252" s="14"/>
      <c r="GJ252" s="14"/>
      <c r="GK252" s="14"/>
      <c r="GL252" s="14"/>
      <c r="GM252" s="14"/>
      <c r="GN252" s="14"/>
      <c r="GO252" s="14"/>
      <c r="GP252" s="14"/>
      <c r="GQ252" s="14"/>
      <c r="GR252" s="14"/>
      <c r="GS252" s="14"/>
      <c r="GT252" s="14"/>
      <c r="GU252" s="14"/>
      <c r="GV252" s="14"/>
      <c r="GW252" s="14"/>
      <c r="GX252" s="14"/>
      <c r="GY252" s="14"/>
      <c r="GZ252" s="14"/>
      <c r="HA252" s="14"/>
      <c r="HB252" s="14"/>
      <c r="HC252" s="14"/>
      <c r="HD252" s="14"/>
      <c r="HE252" s="14"/>
      <c r="HF252" s="14"/>
      <c r="HG252" s="14"/>
      <c r="HH252" s="14"/>
      <c r="HI252" s="14"/>
      <c r="HJ252" s="14"/>
      <c r="HK252" s="14"/>
      <c r="HL252" s="14"/>
      <c r="HM252" s="14"/>
      <c r="HN252" s="14"/>
      <c r="HO252" s="14"/>
      <c r="HP252" s="14"/>
      <c r="HQ252" s="14"/>
      <c r="HR252" s="14"/>
      <c r="HS252" s="14"/>
      <c r="HT252" s="14"/>
    </row>
    <row r="253" spans="1:228" ht="21" customHeight="1" x14ac:dyDescent="0.2">
      <c r="A253" s="8"/>
      <c r="B253" s="1379" t="s">
        <v>559</v>
      </c>
      <c r="C253" s="1379"/>
      <c r="D253" s="1379"/>
      <c r="E253" s="1379"/>
      <c r="F253" s="1379"/>
      <c r="G253" s="1379"/>
      <c r="H253" s="1379"/>
      <c r="I253" s="1379"/>
      <c r="J253" s="1379"/>
      <c r="K253" s="1379"/>
      <c r="L253" s="1379"/>
      <c r="M253" s="1379"/>
      <c r="N253" s="1308"/>
      <c r="O253" s="1308"/>
      <c r="P253" s="26">
        <f>IF(N253=T253,0.03,IF(N253=U253,0.15,IF(N253=V253,0.38,IF(N253=W253,0.68,IF(N253=X253,0.9,0)))))</f>
        <v>0</v>
      </c>
      <c r="R253" s="940">
        <f>IF(OR(N253=U253,N253=V253,N253=W253,N253=X253),1,0)</f>
        <v>0</v>
      </c>
      <c r="S253" s="18"/>
      <c r="T253" s="940" t="s">
        <v>1969</v>
      </c>
      <c r="U253" s="940" t="s">
        <v>1970</v>
      </c>
      <c r="V253" s="941" t="s">
        <v>1972</v>
      </c>
      <c r="W253" s="940" t="s">
        <v>945</v>
      </c>
      <c r="X253" s="941" t="s">
        <v>558</v>
      </c>
      <c r="Y253" s="60"/>
      <c r="Z253" s="1569"/>
      <c r="AA253" s="1569"/>
      <c r="AB253" s="1569"/>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4"/>
      <c r="BR253" s="14"/>
      <c r="BS253" s="14"/>
      <c r="BT253" s="14"/>
      <c r="BU253" s="14"/>
      <c r="BV253" s="14"/>
      <c r="BW253" s="14"/>
      <c r="BX253" s="14"/>
      <c r="BY253" s="14"/>
      <c r="BZ253" s="14"/>
      <c r="CA253" s="14"/>
      <c r="CB253" s="14"/>
      <c r="CC253" s="14"/>
      <c r="CD253" s="14"/>
      <c r="CE253" s="14"/>
      <c r="CF253" s="14"/>
      <c r="CG253" s="14"/>
      <c r="CH253" s="14"/>
      <c r="CI253" s="14"/>
      <c r="CJ253" s="14"/>
      <c r="CK253" s="14"/>
      <c r="CL253" s="14"/>
      <c r="CM253" s="14"/>
      <c r="CN253" s="14"/>
      <c r="CO253" s="14"/>
      <c r="CP253" s="14"/>
      <c r="CQ253" s="14"/>
      <c r="CR253" s="14"/>
      <c r="CS253" s="14"/>
      <c r="CT253" s="14"/>
      <c r="CU253" s="14"/>
      <c r="CV253" s="14"/>
      <c r="CW253" s="14"/>
      <c r="CX253" s="14"/>
      <c r="CY253" s="14"/>
      <c r="CZ253" s="14"/>
      <c r="DA253" s="14"/>
      <c r="DB253" s="14"/>
      <c r="DC253" s="14"/>
      <c r="DD253" s="14"/>
      <c r="DE253" s="14"/>
      <c r="DF253" s="14"/>
      <c r="DG253" s="14"/>
      <c r="DH253" s="14"/>
      <c r="DI253" s="14"/>
      <c r="DJ253" s="14"/>
      <c r="DK253" s="14"/>
      <c r="DL253" s="14"/>
      <c r="DM253" s="14"/>
      <c r="DN253" s="14"/>
      <c r="DO253" s="14"/>
      <c r="DP253" s="14"/>
      <c r="DQ253" s="14"/>
      <c r="DR253" s="14"/>
      <c r="DS253" s="14"/>
      <c r="DT253" s="14"/>
      <c r="DU253" s="14"/>
      <c r="DV253" s="14"/>
      <c r="DW253" s="14"/>
      <c r="DX253" s="14"/>
      <c r="DY253" s="14"/>
      <c r="DZ253" s="14"/>
      <c r="EA253" s="14"/>
      <c r="EB253" s="14"/>
      <c r="EC253" s="14"/>
      <c r="ED253" s="14"/>
      <c r="EE253" s="14"/>
      <c r="EF253" s="14"/>
      <c r="EG253" s="14"/>
      <c r="EH253" s="14"/>
      <c r="EI253" s="14"/>
      <c r="EJ253" s="14"/>
      <c r="EK253" s="14"/>
      <c r="EL253" s="14"/>
      <c r="EM253" s="14"/>
      <c r="EN253" s="14"/>
      <c r="EO253" s="14"/>
      <c r="EP253" s="14"/>
      <c r="EQ253" s="14"/>
      <c r="ER253" s="14"/>
      <c r="ES253" s="14"/>
      <c r="ET253" s="14"/>
      <c r="EU253" s="14"/>
      <c r="EV253" s="14"/>
      <c r="EW253" s="14"/>
      <c r="EX253" s="14"/>
      <c r="EY253" s="14"/>
      <c r="EZ253" s="14"/>
      <c r="FA253" s="14"/>
      <c r="FB253" s="14"/>
      <c r="FC253" s="14"/>
      <c r="FD253" s="14"/>
      <c r="FE253" s="14"/>
      <c r="FF253" s="14"/>
      <c r="FG253" s="14"/>
      <c r="FH253" s="14"/>
      <c r="FI253" s="14"/>
      <c r="FJ253" s="14"/>
      <c r="FK253" s="14"/>
      <c r="FL253" s="14"/>
      <c r="FM253" s="14"/>
      <c r="FN253" s="14"/>
      <c r="FO253" s="14"/>
      <c r="FP253" s="14"/>
      <c r="FQ253" s="14"/>
      <c r="FR253" s="14"/>
      <c r="FS253" s="14"/>
      <c r="FT253" s="14"/>
      <c r="FU253" s="14"/>
      <c r="FV253" s="14"/>
      <c r="FW253" s="14"/>
      <c r="FX253" s="14"/>
      <c r="FY253" s="14"/>
      <c r="FZ253" s="14"/>
      <c r="GA253" s="14"/>
      <c r="GB253" s="14"/>
      <c r="GC253" s="14"/>
      <c r="GD253" s="14"/>
      <c r="GE253" s="14"/>
      <c r="GF253" s="14"/>
      <c r="GG253" s="14"/>
      <c r="GH253" s="14"/>
      <c r="GI253" s="14"/>
      <c r="GJ253" s="14"/>
      <c r="GK253" s="14"/>
      <c r="GL253" s="14"/>
      <c r="GM253" s="14"/>
      <c r="GN253" s="14"/>
      <c r="GO253" s="14"/>
      <c r="GP253" s="14"/>
      <c r="GQ253" s="14"/>
      <c r="GR253" s="14"/>
      <c r="GS253" s="14"/>
      <c r="GT253" s="14"/>
      <c r="GU253" s="14"/>
      <c r="GV253" s="14"/>
      <c r="GW253" s="14"/>
      <c r="GX253" s="14"/>
      <c r="GY253" s="14"/>
      <c r="GZ253" s="14"/>
      <c r="HA253" s="14"/>
      <c r="HB253" s="14"/>
      <c r="HC253" s="14"/>
      <c r="HD253" s="14"/>
      <c r="HE253" s="14"/>
      <c r="HF253" s="14"/>
      <c r="HG253" s="14"/>
      <c r="HH253" s="14"/>
      <c r="HI253" s="14"/>
      <c r="HJ253" s="14"/>
      <c r="HK253" s="14"/>
      <c r="HL253" s="14"/>
      <c r="HM253" s="14"/>
      <c r="HN253" s="14"/>
      <c r="HO253" s="14"/>
      <c r="HP253" s="14"/>
      <c r="HQ253" s="14"/>
      <c r="HR253" s="14"/>
      <c r="HS253" s="14"/>
      <c r="HT253" s="14"/>
    </row>
    <row r="254" spans="1:228" ht="21" customHeight="1" x14ac:dyDescent="0.2">
      <c r="A254" s="20"/>
      <c r="B254" s="1890" t="s">
        <v>560</v>
      </c>
      <c r="C254" s="1890"/>
      <c r="D254" s="1890"/>
      <c r="E254" s="1890"/>
      <c r="F254" s="1890"/>
      <c r="G254" s="1890"/>
      <c r="H254" s="1890"/>
      <c r="I254" s="1890"/>
      <c r="J254" s="1890"/>
      <c r="K254" s="1890"/>
      <c r="L254" s="1890"/>
      <c r="M254" s="1890"/>
      <c r="N254" s="1639"/>
      <c r="O254" s="1639"/>
      <c r="P254" s="95">
        <f>IF(S254=1,0.1,0)</f>
        <v>0</v>
      </c>
      <c r="Q254" s="8"/>
      <c r="R254" s="950" t="s">
        <v>2227</v>
      </c>
      <c r="S254" s="873">
        <v>2</v>
      </c>
      <c r="T254" s="19"/>
      <c r="U254" s="19"/>
      <c r="V254" s="19"/>
      <c r="W254" s="19"/>
      <c r="X254" s="19"/>
      <c r="Y254" s="60"/>
      <c r="Z254" s="60"/>
      <c r="AA254" s="60"/>
      <c r="AB254" s="60"/>
      <c r="AC254" s="60"/>
      <c r="AD254" s="60"/>
      <c r="AE254" s="60"/>
      <c r="AF254" s="60"/>
      <c r="AG254" s="60"/>
      <c r="AH254" s="60"/>
      <c r="AI254" s="60"/>
      <c r="AJ254" s="60"/>
      <c r="AK254" s="60"/>
      <c r="AL254" s="60"/>
      <c r="AM254" s="60"/>
      <c r="AN254" s="60"/>
      <c r="AO254" s="60"/>
      <c r="AP254" s="60"/>
      <c r="AQ254" s="60"/>
      <c r="AR254" s="60"/>
      <c r="AS254" s="60"/>
      <c r="AT254" s="60"/>
      <c r="AU254" s="60"/>
      <c r="AV254" s="60"/>
      <c r="AW254" s="60"/>
      <c r="AX254" s="60"/>
      <c r="AY254" s="60"/>
      <c r="AZ254" s="60"/>
      <c r="BA254" s="60"/>
      <c r="BB254" s="60"/>
      <c r="BC254" s="60"/>
      <c r="BD254" s="60"/>
      <c r="BE254" s="60"/>
      <c r="BF254" s="18"/>
      <c r="BG254" s="18"/>
      <c r="BH254" s="18"/>
      <c r="BI254" s="18"/>
      <c r="BJ254" s="18"/>
      <c r="BK254" s="18"/>
      <c r="BL254" s="18"/>
      <c r="BM254" s="18"/>
      <c r="BN254" s="18"/>
      <c r="BO254" s="18"/>
      <c r="BP254" s="18"/>
      <c r="BQ254" s="14"/>
      <c r="BR254" s="14"/>
      <c r="BS254" s="14"/>
      <c r="BT254" s="14"/>
      <c r="BU254" s="14"/>
      <c r="BV254" s="14"/>
      <c r="BW254" s="14"/>
      <c r="BX254" s="14"/>
      <c r="BY254" s="14"/>
      <c r="BZ254" s="14"/>
      <c r="CA254" s="14"/>
      <c r="CB254" s="14"/>
      <c r="CC254" s="14"/>
      <c r="CD254" s="14"/>
      <c r="CE254" s="14"/>
      <c r="CF254" s="14"/>
      <c r="CG254" s="14"/>
      <c r="CH254" s="14"/>
      <c r="CI254" s="14"/>
      <c r="CJ254" s="14"/>
      <c r="CK254" s="14"/>
      <c r="CL254" s="14"/>
      <c r="CM254" s="14"/>
      <c r="CN254" s="14"/>
      <c r="CO254" s="14"/>
      <c r="CP254" s="14"/>
      <c r="CQ254" s="14"/>
      <c r="CR254" s="14"/>
      <c r="CS254" s="14"/>
      <c r="CT254" s="14"/>
      <c r="CU254" s="14"/>
      <c r="CV254" s="14"/>
      <c r="CW254" s="14"/>
      <c r="CX254" s="14"/>
      <c r="CY254" s="14"/>
      <c r="CZ254" s="14"/>
      <c r="DA254" s="14"/>
      <c r="DB254" s="14"/>
      <c r="DC254" s="14"/>
      <c r="DD254" s="14"/>
      <c r="DE254" s="14"/>
      <c r="DF254" s="14"/>
      <c r="DG254" s="14"/>
      <c r="DH254" s="14"/>
      <c r="DI254" s="14"/>
      <c r="DJ254" s="14"/>
      <c r="DK254" s="14"/>
      <c r="DL254" s="14"/>
      <c r="DM254" s="14"/>
      <c r="DN254" s="14"/>
      <c r="DO254" s="14"/>
      <c r="DP254" s="14"/>
      <c r="DQ254" s="14"/>
      <c r="DR254" s="14"/>
      <c r="DS254" s="14"/>
      <c r="DT254" s="14"/>
      <c r="DU254" s="14"/>
      <c r="DV254" s="14"/>
      <c r="DW254" s="14"/>
      <c r="DX254" s="14"/>
      <c r="DY254" s="14"/>
      <c r="DZ254" s="14"/>
      <c r="EA254" s="14"/>
      <c r="EB254" s="14"/>
      <c r="EC254" s="14"/>
      <c r="ED254" s="14"/>
      <c r="EE254" s="14"/>
      <c r="EF254" s="14"/>
      <c r="EG254" s="14"/>
      <c r="EH254" s="14"/>
      <c r="EI254" s="14"/>
      <c r="EJ254" s="14"/>
      <c r="EK254" s="14"/>
      <c r="EL254" s="14"/>
      <c r="EM254" s="14"/>
      <c r="EN254" s="14"/>
      <c r="EO254" s="14"/>
      <c r="EP254" s="14"/>
      <c r="EQ254" s="14"/>
      <c r="ER254" s="14"/>
      <c r="ES254" s="14"/>
      <c r="ET254" s="14"/>
      <c r="EU254" s="14"/>
      <c r="EV254" s="14"/>
      <c r="EW254" s="14"/>
      <c r="EX254" s="14"/>
      <c r="EY254" s="14"/>
      <c r="EZ254" s="14"/>
      <c r="FA254" s="14"/>
      <c r="FB254" s="14"/>
      <c r="FC254" s="14"/>
      <c r="FD254" s="14"/>
      <c r="FE254" s="14"/>
      <c r="FF254" s="14"/>
      <c r="FG254" s="14"/>
      <c r="FH254" s="14"/>
      <c r="FI254" s="14"/>
      <c r="FJ254" s="14"/>
      <c r="FK254" s="14"/>
      <c r="FL254" s="14"/>
      <c r="FM254" s="14"/>
      <c r="FN254" s="14"/>
      <c r="FO254" s="14"/>
      <c r="FP254" s="14"/>
      <c r="FQ254" s="14"/>
      <c r="FR254" s="14"/>
      <c r="FS254" s="14"/>
      <c r="FT254" s="14"/>
      <c r="FU254" s="14"/>
      <c r="FV254" s="14"/>
      <c r="FW254" s="14"/>
      <c r="FX254" s="14"/>
      <c r="FY254" s="14"/>
      <c r="FZ254" s="14"/>
      <c r="GA254" s="14"/>
      <c r="GB254" s="14"/>
      <c r="GC254" s="14"/>
      <c r="GD254" s="14"/>
      <c r="GE254" s="14"/>
      <c r="GF254" s="14"/>
      <c r="GG254" s="14"/>
      <c r="GH254" s="14"/>
      <c r="GI254" s="14"/>
      <c r="GJ254" s="14"/>
      <c r="GK254" s="14"/>
      <c r="GL254" s="14"/>
      <c r="GM254" s="14"/>
      <c r="GN254" s="14"/>
      <c r="GO254" s="14"/>
      <c r="GP254" s="14"/>
      <c r="GQ254" s="14"/>
      <c r="GR254" s="14"/>
      <c r="GS254" s="14"/>
      <c r="GT254" s="14"/>
      <c r="GU254" s="14"/>
      <c r="GV254" s="14"/>
      <c r="GW254" s="14"/>
      <c r="GX254" s="14"/>
      <c r="GY254" s="14"/>
      <c r="GZ254" s="14"/>
      <c r="HA254" s="14"/>
      <c r="HB254" s="14"/>
      <c r="HC254" s="14"/>
      <c r="HD254" s="14"/>
      <c r="HE254" s="14"/>
      <c r="HF254" s="14"/>
      <c r="HG254" s="14"/>
      <c r="HH254" s="14"/>
      <c r="HI254" s="14"/>
      <c r="HJ254" s="14"/>
      <c r="HK254" s="14"/>
      <c r="HL254" s="14"/>
      <c r="HM254" s="14"/>
      <c r="HN254" s="14"/>
      <c r="HO254" s="14"/>
      <c r="HP254" s="14"/>
      <c r="HQ254" s="14"/>
      <c r="HR254" s="14"/>
      <c r="HS254" s="14"/>
      <c r="HT254" s="14"/>
    </row>
    <row r="255" spans="1:228" ht="12" customHeight="1" x14ac:dyDescent="0.25">
      <c r="A255" s="8"/>
      <c r="B255" s="1825"/>
      <c r="C255" s="1825"/>
      <c r="D255" s="1825"/>
      <c r="E255" s="1825"/>
      <c r="F255" s="1825"/>
      <c r="G255" s="1825"/>
      <c r="H255" s="1825"/>
      <c r="I255" s="1825"/>
      <c r="J255" s="1825"/>
      <c r="K255" s="1825"/>
      <c r="L255" s="1825"/>
      <c r="M255" s="1825"/>
      <c r="N255" s="1825"/>
      <c r="O255" s="1825"/>
      <c r="P255" s="75"/>
      <c r="Q255" s="8"/>
      <c r="R255" s="60"/>
      <c r="S255" s="18"/>
      <c r="T255" s="60"/>
      <c r="U255" s="60"/>
      <c r="V255" s="60"/>
      <c r="W255" s="60">
        <v>1E-4</v>
      </c>
      <c r="X255" s="60"/>
      <c r="Y255" s="60"/>
      <c r="Z255" s="60"/>
      <c r="AA255" s="60"/>
      <c r="AB255" s="60"/>
      <c r="AC255" s="60"/>
      <c r="AD255" s="60"/>
      <c r="AE255" s="60"/>
      <c r="AF255" s="60"/>
      <c r="AG255" s="60"/>
      <c r="AH255" s="60"/>
      <c r="AI255" s="60"/>
      <c r="AJ255" s="60"/>
      <c r="AK255" s="60"/>
      <c r="AL255" s="60"/>
      <c r="AM255" s="60"/>
      <c r="AN255" s="60"/>
      <c r="AO255" s="60"/>
      <c r="AP255" s="60"/>
      <c r="AQ255" s="60"/>
      <c r="AR255" s="60"/>
      <c r="AS255" s="60"/>
      <c r="AT255" s="60"/>
      <c r="AU255" s="60"/>
      <c r="AV255" s="60"/>
      <c r="AW255" s="60"/>
      <c r="AX255" s="60"/>
      <c r="AY255" s="60"/>
      <c r="AZ255" s="60"/>
      <c r="BA255" s="60"/>
      <c r="BB255" s="60"/>
      <c r="BC255" s="60"/>
      <c r="BD255" s="60"/>
      <c r="BE255" s="60"/>
      <c r="BF255" s="18"/>
      <c r="BG255" s="18"/>
      <c r="BH255" s="18"/>
      <c r="BI255" s="18"/>
      <c r="BJ255" s="18"/>
      <c r="BK255" s="18"/>
      <c r="BL255" s="18"/>
      <c r="BM255" s="18"/>
      <c r="BN255" s="18"/>
      <c r="BO255" s="18"/>
      <c r="BP255" s="18"/>
      <c r="BQ255" s="14"/>
      <c r="BR255" s="14"/>
      <c r="BS255" s="14"/>
      <c r="BT255" s="14"/>
      <c r="BU255" s="14"/>
      <c r="BV255" s="14"/>
      <c r="BW255" s="14"/>
      <c r="BX255" s="14"/>
      <c r="BY255" s="14"/>
      <c r="BZ255" s="14"/>
      <c r="CA255" s="14"/>
      <c r="CB255" s="14"/>
      <c r="CC255" s="14"/>
      <c r="CD255" s="14"/>
      <c r="CE255" s="14"/>
      <c r="CF255" s="14"/>
      <c r="CG255" s="14"/>
      <c r="CH255" s="14"/>
      <c r="CI255" s="14"/>
      <c r="CJ255" s="14"/>
      <c r="CK255" s="14"/>
      <c r="CL255" s="14"/>
      <c r="CM255" s="14"/>
      <c r="CN255" s="14"/>
      <c r="CO255" s="14"/>
      <c r="CP255" s="14"/>
      <c r="CQ255" s="14"/>
      <c r="CR255" s="14"/>
      <c r="CS255" s="14"/>
      <c r="CT255" s="14"/>
      <c r="CU255" s="14"/>
      <c r="CV255" s="14"/>
      <c r="CW255" s="14"/>
      <c r="CX255" s="14"/>
      <c r="CY255" s="14"/>
      <c r="CZ255" s="14"/>
      <c r="DA255" s="14"/>
      <c r="DB255" s="14"/>
      <c r="DC255" s="14"/>
      <c r="DD255" s="14"/>
      <c r="DE255" s="14"/>
      <c r="DF255" s="14"/>
      <c r="DG255" s="14"/>
      <c r="DH255" s="14"/>
      <c r="DI255" s="14"/>
      <c r="DJ255" s="14"/>
      <c r="DK255" s="14"/>
      <c r="DL255" s="14"/>
      <c r="DM255" s="14"/>
      <c r="DN255" s="14"/>
      <c r="DO255" s="14"/>
      <c r="DP255" s="14"/>
      <c r="DQ255" s="14"/>
      <c r="DR255" s="14"/>
      <c r="DS255" s="14"/>
      <c r="DT255" s="14"/>
      <c r="DU255" s="14"/>
      <c r="DV255" s="14"/>
      <c r="DW255" s="14"/>
      <c r="DX255" s="14"/>
      <c r="DY255" s="14"/>
      <c r="DZ255" s="14"/>
      <c r="EA255" s="14"/>
      <c r="EB255" s="14"/>
      <c r="EC255" s="14"/>
      <c r="ED255" s="14"/>
      <c r="EE255" s="14"/>
      <c r="EF255" s="14"/>
      <c r="EG255" s="14"/>
      <c r="EH255" s="14"/>
      <c r="EI255" s="14"/>
      <c r="EJ255" s="14"/>
      <c r="EK255" s="14"/>
      <c r="EL255" s="14"/>
      <c r="EM255" s="14"/>
      <c r="EN255" s="14"/>
      <c r="EO255" s="14"/>
      <c r="EP255" s="14"/>
      <c r="EQ255" s="14"/>
      <c r="ER255" s="14"/>
      <c r="ES255" s="14"/>
      <c r="ET255" s="14"/>
      <c r="EU255" s="14"/>
      <c r="EV255" s="14"/>
      <c r="EW255" s="14"/>
      <c r="EX255" s="14"/>
      <c r="EY255" s="14"/>
      <c r="EZ255" s="14"/>
      <c r="FA255" s="14"/>
      <c r="FB255" s="14"/>
      <c r="FC255" s="14"/>
      <c r="FD255" s="14"/>
      <c r="FE255" s="14"/>
      <c r="FF255" s="14"/>
      <c r="FG255" s="14"/>
      <c r="FH255" s="14"/>
      <c r="FI255" s="14"/>
      <c r="FJ255" s="14"/>
      <c r="FK255" s="14"/>
      <c r="FL255" s="14"/>
      <c r="FM255" s="14"/>
      <c r="FN255" s="14"/>
      <c r="FO255" s="14"/>
      <c r="FP255" s="14"/>
      <c r="FQ255" s="14"/>
      <c r="FR255" s="14"/>
      <c r="FS255" s="14"/>
      <c r="FT255" s="14"/>
      <c r="FU255" s="14"/>
      <c r="FV255" s="14"/>
      <c r="FW255" s="14"/>
      <c r="FX255" s="14"/>
      <c r="FY255" s="14"/>
      <c r="FZ255" s="14"/>
      <c r="GA255" s="14"/>
      <c r="GB255" s="14"/>
      <c r="GC255" s="14"/>
      <c r="GD255" s="14"/>
      <c r="GE255" s="14"/>
      <c r="GF255" s="14"/>
      <c r="GG255" s="14"/>
      <c r="GH255" s="14"/>
      <c r="GI255" s="14"/>
      <c r="GJ255" s="14"/>
      <c r="GK255" s="14"/>
      <c r="GL255" s="14"/>
      <c r="GM255" s="14"/>
      <c r="GN255" s="14"/>
      <c r="GO255" s="14"/>
      <c r="GP255" s="14"/>
      <c r="GQ255" s="14"/>
      <c r="GR255" s="14"/>
      <c r="GS255" s="14"/>
      <c r="GT255" s="14"/>
      <c r="GU255" s="14"/>
      <c r="GV255" s="14"/>
      <c r="GW255" s="14"/>
      <c r="GX255" s="14"/>
      <c r="GY255" s="14"/>
      <c r="GZ255" s="14"/>
      <c r="HA255" s="14"/>
      <c r="HB255" s="14"/>
      <c r="HC255" s="14"/>
      <c r="HD255" s="14"/>
      <c r="HE255" s="14"/>
      <c r="HF255" s="14"/>
      <c r="HG255" s="14"/>
      <c r="HH255" s="14"/>
      <c r="HI255" s="14"/>
      <c r="HJ255" s="14"/>
      <c r="HK255" s="14"/>
      <c r="HL255" s="14"/>
      <c r="HM255" s="14"/>
      <c r="HN255" s="14"/>
      <c r="HO255" s="14"/>
      <c r="HP255" s="14"/>
      <c r="HQ255" s="14"/>
      <c r="HR255" s="14"/>
      <c r="HS255" s="14"/>
      <c r="HT255" s="14"/>
    </row>
    <row r="256" spans="1:228" ht="18" customHeight="1" x14ac:dyDescent="0.25">
      <c r="A256" s="8"/>
      <c r="B256" s="1848" t="s">
        <v>769</v>
      </c>
      <c r="C256" s="1848"/>
      <c r="D256" s="1848"/>
      <c r="E256" s="1848"/>
      <c r="F256" s="1848"/>
      <c r="G256" s="1864"/>
      <c r="H256" s="1864"/>
      <c r="I256" s="1864"/>
      <c r="J256" s="1864"/>
      <c r="K256" s="1864"/>
      <c r="L256" s="1864"/>
      <c r="M256" s="1864"/>
      <c r="N256" s="1864"/>
      <c r="O256" s="1864"/>
      <c r="P256" s="361"/>
      <c r="Q256" s="8"/>
      <c r="R256" s="60"/>
      <c r="S256" s="60"/>
      <c r="T256" s="60"/>
      <c r="U256" s="60"/>
      <c r="V256" s="60"/>
      <c r="W256" s="60"/>
      <c r="X256" s="60"/>
      <c r="Y256" s="60"/>
      <c r="Z256" s="60"/>
      <c r="AA256" s="60"/>
      <c r="AB256" s="60"/>
      <c r="AC256" s="60"/>
      <c r="AD256" s="60"/>
      <c r="AE256" s="60"/>
      <c r="AF256" s="60"/>
      <c r="AG256" s="60"/>
      <c r="AH256" s="60"/>
      <c r="AI256" s="60"/>
      <c r="AJ256" s="60"/>
      <c r="AK256" s="60"/>
      <c r="AL256" s="60"/>
      <c r="AM256" s="60"/>
      <c r="AN256" s="60"/>
      <c r="AO256" s="60"/>
      <c r="AP256" s="60"/>
      <c r="AQ256" s="60"/>
      <c r="AR256" s="60"/>
      <c r="AS256" s="60"/>
      <c r="AT256" s="60"/>
      <c r="AU256" s="60"/>
      <c r="AV256" s="60"/>
      <c r="AW256" s="60"/>
      <c r="AX256" s="60"/>
      <c r="AY256" s="60"/>
      <c r="AZ256" s="60"/>
      <c r="BA256" s="60"/>
      <c r="BB256" s="60"/>
      <c r="BC256" s="60"/>
      <c r="BD256" s="60"/>
      <c r="BE256" s="60"/>
      <c r="BF256" s="18"/>
      <c r="BG256" s="18"/>
      <c r="BH256" s="18"/>
      <c r="BI256" s="18"/>
      <c r="BJ256" s="18"/>
      <c r="BK256" s="18"/>
      <c r="BL256" s="18"/>
      <c r="BM256" s="18"/>
      <c r="BN256" s="18"/>
      <c r="BO256" s="18"/>
      <c r="BP256" s="18"/>
      <c r="BQ256" s="14"/>
      <c r="BR256" s="14"/>
      <c r="BS256" s="14"/>
      <c r="BT256" s="14"/>
      <c r="BU256" s="14"/>
      <c r="BV256" s="14"/>
      <c r="BW256" s="14"/>
      <c r="BX256" s="14"/>
      <c r="BY256" s="14"/>
      <c r="BZ256" s="14"/>
      <c r="CA256" s="14"/>
      <c r="CB256" s="14"/>
      <c r="CC256" s="14"/>
      <c r="CD256" s="14"/>
      <c r="CE256" s="14"/>
      <c r="CF256" s="14"/>
      <c r="CG256" s="14"/>
      <c r="CH256" s="14"/>
      <c r="CI256" s="14"/>
      <c r="CJ256" s="14"/>
      <c r="CK256" s="14"/>
      <c r="CL256" s="14"/>
      <c r="CM256" s="14"/>
      <c r="CN256" s="14"/>
      <c r="CO256" s="14"/>
      <c r="CP256" s="14"/>
      <c r="CQ256" s="14"/>
      <c r="CR256" s="14"/>
      <c r="CS256" s="14"/>
      <c r="CT256" s="14"/>
      <c r="CU256" s="14"/>
      <c r="CV256" s="14"/>
      <c r="CW256" s="14"/>
      <c r="CX256" s="14"/>
      <c r="CY256" s="14"/>
      <c r="CZ256" s="14"/>
      <c r="DA256" s="14"/>
      <c r="DB256" s="14"/>
      <c r="DC256" s="14"/>
      <c r="DD256" s="14"/>
      <c r="DE256" s="14"/>
      <c r="DF256" s="14"/>
      <c r="DG256" s="14"/>
      <c r="DH256" s="14"/>
      <c r="DI256" s="14"/>
      <c r="DJ256" s="14"/>
      <c r="DK256" s="14"/>
      <c r="DL256" s="14"/>
      <c r="DM256" s="14"/>
      <c r="DN256" s="14"/>
      <c r="DO256" s="14"/>
      <c r="DP256" s="14"/>
      <c r="DQ256" s="14"/>
      <c r="DR256" s="14"/>
      <c r="DS256" s="14"/>
      <c r="DT256" s="14"/>
      <c r="DU256" s="14"/>
      <c r="DV256" s="14"/>
      <c r="DW256" s="14"/>
      <c r="DX256" s="14"/>
      <c r="DY256" s="14"/>
      <c r="DZ256" s="14"/>
      <c r="EA256" s="14"/>
      <c r="EB256" s="14"/>
      <c r="EC256" s="14"/>
      <c r="ED256" s="14"/>
      <c r="EE256" s="14"/>
      <c r="EF256" s="14"/>
      <c r="EG256" s="14"/>
      <c r="EH256" s="14"/>
      <c r="EI256" s="14"/>
      <c r="EJ256" s="14"/>
      <c r="EK256" s="14"/>
      <c r="EL256" s="14"/>
      <c r="EM256" s="14"/>
      <c r="EN256" s="14"/>
      <c r="EO256" s="14"/>
      <c r="EP256" s="14"/>
      <c r="EQ256" s="14"/>
      <c r="ER256" s="14"/>
      <c r="ES256" s="14"/>
      <c r="ET256" s="14"/>
      <c r="EU256" s="14"/>
      <c r="EV256" s="14"/>
      <c r="EW256" s="14"/>
      <c r="EX256" s="14"/>
      <c r="EY256" s="14"/>
      <c r="EZ256" s="14"/>
      <c r="FA256" s="14"/>
      <c r="FB256" s="14"/>
      <c r="FC256" s="14"/>
      <c r="FD256" s="14"/>
      <c r="FE256" s="14"/>
      <c r="FF256" s="14"/>
      <c r="FG256" s="14"/>
      <c r="FH256" s="14"/>
      <c r="FI256" s="14"/>
      <c r="FJ256" s="14"/>
      <c r="FK256" s="14"/>
      <c r="FL256" s="14"/>
      <c r="FM256" s="14"/>
      <c r="FN256" s="14"/>
      <c r="FO256" s="14"/>
      <c r="FP256" s="14"/>
      <c r="FQ256" s="14"/>
      <c r="FR256" s="14"/>
      <c r="FS256" s="14"/>
      <c r="FT256" s="14"/>
      <c r="FU256" s="14"/>
      <c r="FV256" s="14"/>
      <c r="FW256" s="14"/>
      <c r="FX256" s="14"/>
      <c r="FY256" s="14"/>
      <c r="FZ256" s="14"/>
      <c r="GA256" s="14"/>
      <c r="GB256" s="14"/>
      <c r="GC256" s="14"/>
      <c r="GD256" s="14"/>
      <c r="GE256" s="14"/>
      <c r="GF256" s="14"/>
      <c r="GG256" s="14"/>
      <c r="GH256" s="14"/>
      <c r="GI256" s="14"/>
      <c r="GJ256" s="14"/>
      <c r="GK256" s="14"/>
      <c r="GL256" s="14"/>
      <c r="GM256" s="14"/>
      <c r="GN256" s="14"/>
      <c r="GO256" s="14"/>
      <c r="GP256" s="14"/>
      <c r="GQ256" s="14"/>
      <c r="GR256" s="14"/>
      <c r="GS256" s="14"/>
      <c r="GT256" s="14"/>
      <c r="GU256" s="14"/>
      <c r="GV256" s="14"/>
      <c r="GW256" s="14"/>
      <c r="GX256" s="14"/>
      <c r="GY256" s="14"/>
      <c r="GZ256" s="14"/>
      <c r="HA256" s="14"/>
      <c r="HB256" s="14"/>
      <c r="HC256" s="14"/>
      <c r="HD256" s="14"/>
      <c r="HE256" s="14"/>
      <c r="HF256" s="14"/>
      <c r="HG256" s="14"/>
      <c r="HH256" s="14"/>
      <c r="HI256" s="14"/>
      <c r="HJ256" s="14"/>
      <c r="HK256" s="14"/>
      <c r="HL256" s="14"/>
      <c r="HM256" s="14"/>
      <c r="HN256" s="14"/>
      <c r="HO256" s="14"/>
      <c r="HP256" s="14"/>
      <c r="HQ256" s="14"/>
      <c r="HR256" s="14"/>
      <c r="HS256" s="14"/>
      <c r="HT256" s="14"/>
    </row>
    <row r="257" spans="1:228" ht="18" customHeight="1" x14ac:dyDescent="0.2">
      <c r="A257" s="20"/>
      <c r="B257" s="1999" t="s">
        <v>2238</v>
      </c>
      <c r="C257" s="1999"/>
      <c r="D257" s="1999"/>
      <c r="E257" s="1639"/>
      <c r="F257" s="1714"/>
      <c r="G257" s="1367" t="s">
        <v>975</v>
      </c>
      <c r="H257" s="1368"/>
      <c r="I257" s="1368"/>
      <c r="J257" s="1368"/>
      <c r="K257" s="1368"/>
      <c r="L257" s="1368"/>
      <c r="M257" s="1368"/>
      <c r="N257" s="1368"/>
      <c r="O257" s="1369"/>
      <c r="P257" s="1344">
        <f>IF(AND(T259&gt;0,T263&gt;0),0.05,0)</f>
        <v>0</v>
      </c>
      <c r="Q257" s="8"/>
      <c r="R257" s="873" t="b">
        <v>0</v>
      </c>
      <c r="S257" s="958">
        <f t="shared" ref="S257:S263" si="14">IF(R257=TRUE,1,0)</f>
        <v>0</v>
      </c>
      <c r="T257" s="60"/>
      <c r="U257" s="60"/>
      <c r="V257" s="60"/>
      <c r="W257" s="60">
        <v>1E-4</v>
      </c>
      <c r="X257" s="60"/>
      <c r="Y257" s="60"/>
      <c r="Z257" s="60"/>
      <c r="AA257" s="60"/>
      <c r="AB257" s="60"/>
      <c r="AC257" s="60"/>
      <c r="AD257" s="60"/>
      <c r="AE257" s="60"/>
      <c r="AF257" s="60"/>
      <c r="AG257" s="60"/>
      <c r="AH257" s="60"/>
      <c r="AI257" s="60"/>
      <c r="AJ257" s="60"/>
      <c r="AK257" s="60"/>
      <c r="AL257" s="60"/>
      <c r="AM257" s="60"/>
      <c r="AN257" s="60"/>
      <c r="AO257" s="60"/>
      <c r="AP257" s="60"/>
      <c r="AQ257" s="60"/>
      <c r="AR257" s="60"/>
      <c r="AS257" s="60"/>
      <c r="AT257" s="60"/>
      <c r="AU257" s="60"/>
      <c r="AV257" s="60"/>
      <c r="AW257" s="60"/>
      <c r="AX257" s="60"/>
      <c r="AY257" s="60"/>
      <c r="AZ257" s="60"/>
      <c r="BA257" s="60"/>
      <c r="BB257" s="60"/>
      <c r="BC257" s="60"/>
      <c r="BD257" s="60"/>
      <c r="BE257" s="60"/>
      <c r="BF257" s="18"/>
      <c r="BG257" s="18"/>
      <c r="BH257" s="18"/>
      <c r="BI257" s="18"/>
      <c r="BJ257" s="18"/>
      <c r="BK257" s="18"/>
      <c r="BL257" s="18"/>
      <c r="BM257" s="18"/>
      <c r="BN257" s="18"/>
      <c r="BO257" s="18"/>
      <c r="BP257" s="18"/>
      <c r="BQ257" s="14"/>
      <c r="BR257" s="14"/>
      <c r="BS257" s="14"/>
      <c r="BT257" s="14"/>
      <c r="BU257" s="14"/>
      <c r="BV257" s="14"/>
      <c r="BW257" s="14"/>
      <c r="BX257" s="14"/>
      <c r="BY257" s="14"/>
      <c r="BZ257" s="14"/>
      <c r="CA257" s="14"/>
      <c r="CB257" s="14"/>
      <c r="CC257" s="14"/>
      <c r="CD257" s="14"/>
      <c r="CE257" s="14"/>
      <c r="CF257" s="14"/>
      <c r="CG257" s="14"/>
      <c r="CH257" s="14"/>
      <c r="CI257" s="14"/>
      <c r="CJ257" s="14"/>
      <c r="CK257" s="14"/>
      <c r="CL257" s="14"/>
      <c r="CM257" s="14"/>
      <c r="CN257" s="14"/>
      <c r="CO257" s="14"/>
      <c r="CP257" s="14"/>
      <c r="CQ257" s="14"/>
      <c r="CR257" s="14"/>
      <c r="CS257" s="14"/>
      <c r="CT257" s="14"/>
      <c r="CU257" s="14"/>
      <c r="CV257" s="14"/>
      <c r="CW257" s="14"/>
      <c r="CX257" s="14"/>
      <c r="CY257" s="14"/>
      <c r="CZ257" s="14"/>
      <c r="DA257" s="14"/>
      <c r="DB257" s="14"/>
      <c r="DC257" s="14"/>
      <c r="DD257" s="14"/>
      <c r="DE257" s="14"/>
      <c r="DF257" s="14"/>
      <c r="DG257" s="14"/>
      <c r="DH257" s="14"/>
      <c r="DI257" s="14"/>
      <c r="DJ257" s="14"/>
      <c r="DK257" s="14"/>
      <c r="DL257" s="14"/>
      <c r="DM257" s="14"/>
      <c r="DN257" s="14"/>
      <c r="DO257" s="14"/>
      <c r="DP257" s="14"/>
      <c r="DQ257" s="14"/>
      <c r="DR257" s="14"/>
      <c r="DS257" s="14"/>
      <c r="DT257" s="14"/>
      <c r="DU257" s="14"/>
      <c r="DV257" s="14"/>
      <c r="DW257" s="14"/>
      <c r="DX257" s="14"/>
      <c r="DY257" s="14"/>
      <c r="DZ257" s="14"/>
      <c r="EA257" s="14"/>
      <c r="EB257" s="14"/>
      <c r="EC257" s="14"/>
      <c r="ED257" s="14"/>
      <c r="EE257" s="14"/>
      <c r="EF257" s="14"/>
      <c r="EG257" s="14"/>
      <c r="EH257" s="14"/>
      <c r="EI257" s="14"/>
      <c r="EJ257" s="14"/>
      <c r="EK257" s="14"/>
      <c r="EL257" s="14"/>
      <c r="EM257" s="14"/>
      <c r="EN257" s="14"/>
      <c r="EO257" s="14"/>
      <c r="EP257" s="14"/>
      <c r="EQ257" s="14"/>
      <c r="ER257" s="14"/>
      <c r="ES257" s="14"/>
      <c r="ET257" s="14"/>
      <c r="EU257" s="14"/>
      <c r="EV257" s="14"/>
      <c r="EW257" s="14"/>
      <c r="EX257" s="14"/>
      <c r="EY257" s="14"/>
      <c r="EZ257" s="14"/>
      <c r="FA257" s="14"/>
      <c r="FB257" s="14"/>
      <c r="FC257" s="14"/>
      <c r="FD257" s="14"/>
      <c r="FE257" s="14"/>
      <c r="FF257" s="14"/>
      <c r="FG257" s="14"/>
      <c r="FH257" s="14"/>
      <c r="FI257" s="14"/>
      <c r="FJ257" s="14"/>
      <c r="FK257" s="14"/>
      <c r="FL257" s="14"/>
      <c r="FM257" s="14"/>
      <c r="FN257" s="14"/>
      <c r="FO257" s="14"/>
      <c r="FP257" s="14"/>
      <c r="FQ257" s="14"/>
      <c r="FR257" s="14"/>
      <c r="FS257" s="14"/>
      <c r="FT257" s="14"/>
      <c r="FU257" s="14"/>
      <c r="FV257" s="14"/>
      <c r="FW257" s="14"/>
      <c r="FX257" s="14"/>
      <c r="FY257" s="14"/>
      <c r="FZ257" s="14"/>
      <c r="GA257" s="14"/>
      <c r="GB257" s="14"/>
      <c r="GC257" s="14"/>
      <c r="GD257" s="14"/>
      <c r="GE257" s="14"/>
      <c r="GF257" s="14"/>
      <c r="GG257" s="14"/>
      <c r="GH257" s="14"/>
      <c r="GI257" s="14"/>
      <c r="GJ257" s="14"/>
      <c r="GK257" s="14"/>
      <c r="GL257" s="14"/>
      <c r="GM257" s="14"/>
      <c r="GN257" s="14"/>
      <c r="GO257" s="14"/>
      <c r="GP257" s="14"/>
      <c r="GQ257" s="14"/>
      <c r="GR257" s="14"/>
      <c r="GS257" s="14"/>
      <c r="GT257" s="14"/>
      <c r="GU257" s="14"/>
      <c r="GV257" s="14"/>
      <c r="GW257" s="14"/>
      <c r="GX257" s="14"/>
      <c r="GY257" s="14"/>
      <c r="GZ257" s="14"/>
      <c r="HA257" s="14"/>
      <c r="HB257" s="14"/>
      <c r="HC257" s="14"/>
      <c r="HD257" s="14"/>
      <c r="HE257" s="14"/>
      <c r="HF257" s="14"/>
      <c r="HG257" s="14"/>
      <c r="HH257" s="14"/>
      <c r="HI257" s="14"/>
      <c r="HJ257" s="14"/>
      <c r="HK257" s="14"/>
      <c r="HL257" s="14"/>
      <c r="HM257" s="14"/>
      <c r="HN257" s="14"/>
      <c r="HO257" s="14"/>
      <c r="HP257" s="14"/>
      <c r="HQ257" s="14"/>
      <c r="HR257" s="14"/>
      <c r="HS257" s="14"/>
      <c r="HT257" s="14"/>
    </row>
    <row r="258" spans="1:228" ht="18" customHeight="1" x14ac:dyDescent="0.2">
      <c r="A258" s="8"/>
      <c r="B258" s="1999"/>
      <c r="C258" s="1999"/>
      <c r="D258" s="1999"/>
      <c r="E258" s="1639"/>
      <c r="F258" s="1714"/>
      <c r="G258" s="1437" t="s">
        <v>976</v>
      </c>
      <c r="H258" s="1438"/>
      <c r="I258" s="1438"/>
      <c r="J258" s="1438"/>
      <c r="K258" s="1438"/>
      <c r="L258" s="1438"/>
      <c r="M258" s="1438"/>
      <c r="N258" s="1438"/>
      <c r="O258" s="1439"/>
      <c r="P258" s="1352"/>
      <c r="Q258" s="8"/>
      <c r="R258" s="873" t="b">
        <v>0</v>
      </c>
      <c r="S258" s="958">
        <f t="shared" si="14"/>
        <v>0</v>
      </c>
      <c r="T258" s="958" t="s">
        <v>1023</v>
      </c>
      <c r="U258" s="60"/>
      <c r="V258" s="60"/>
      <c r="W258" s="60"/>
      <c r="X258" s="60"/>
      <c r="Y258" s="60"/>
      <c r="Z258" s="60"/>
      <c r="AA258" s="60"/>
      <c r="AB258" s="60"/>
      <c r="AC258" s="60"/>
      <c r="AD258" s="60"/>
      <c r="AE258" s="60"/>
      <c r="AF258" s="60"/>
      <c r="AG258" s="60"/>
      <c r="AH258" s="60"/>
      <c r="AI258" s="60"/>
      <c r="AJ258" s="60"/>
      <c r="AK258" s="60"/>
      <c r="AL258" s="60"/>
      <c r="AM258" s="60"/>
      <c r="AN258" s="60"/>
      <c r="AO258" s="60"/>
      <c r="AP258" s="60"/>
      <c r="AQ258" s="60"/>
      <c r="AR258" s="60"/>
      <c r="AS258" s="60"/>
      <c r="AT258" s="60"/>
      <c r="AU258" s="60"/>
      <c r="AV258" s="60"/>
      <c r="AW258" s="60"/>
      <c r="AX258" s="60"/>
      <c r="AY258" s="60"/>
      <c r="AZ258" s="60"/>
      <c r="BA258" s="60"/>
      <c r="BB258" s="60"/>
      <c r="BC258" s="60"/>
      <c r="BD258" s="60"/>
      <c r="BE258" s="60"/>
      <c r="BF258" s="18"/>
      <c r="BG258" s="18"/>
      <c r="BH258" s="18"/>
      <c r="BI258" s="18"/>
      <c r="BJ258" s="18"/>
      <c r="BK258" s="18"/>
      <c r="BL258" s="18"/>
      <c r="BM258" s="18"/>
      <c r="BN258" s="18"/>
      <c r="BO258" s="18"/>
      <c r="BP258" s="18"/>
      <c r="BQ258" s="14"/>
      <c r="BR258" s="14"/>
      <c r="BS258" s="14"/>
      <c r="BT258" s="14"/>
      <c r="BU258" s="14"/>
      <c r="BV258" s="14"/>
      <c r="BW258" s="14"/>
      <c r="BX258" s="14"/>
      <c r="BY258" s="14"/>
      <c r="BZ258" s="14"/>
      <c r="CA258" s="14"/>
      <c r="CB258" s="14"/>
      <c r="CC258" s="14"/>
      <c r="CD258" s="14"/>
      <c r="CE258" s="14"/>
      <c r="CF258" s="14"/>
      <c r="CG258" s="14"/>
      <c r="CH258" s="14"/>
      <c r="CI258" s="14"/>
      <c r="CJ258" s="14"/>
      <c r="CK258" s="14"/>
      <c r="CL258" s="14"/>
      <c r="CM258" s="14"/>
      <c r="CN258" s="14"/>
      <c r="CO258" s="14"/>
      <c r="CP258" s="14"/>
      <c r="CQ258" s="14"/>
      <c r="CR258" s="14"/>
      <c r="CS258" s="14"/>
      <c r="CT258" s="14"/>
      <c r="CU258" s="14"/>
      <c r="CV258" s="14"/>
      <c r="CW258" s="14"/>
      <c r="CX258" s="14"/>
      <c r="CY258" s="14"/>
      <c r="CZ258" s="14"/>
      <c r="DA258" s="14"/>
      <c r="DB258" s="14"/>
      <c r="DC258" s="14"/>
      <c r="DD258" s="14"/>
      <c r="DE258" s="14"/>
      <c r="DF258" s="14"/>
      <c r="DG258" s="14"/>
      <c r="DH258" s="14"/>
      <c r="DI258" s="14"/>
      <c r="DJ258" s="14"/>
      <c r="DK258" s="14"/>
      <c r="DL258" s="14"/>
      <c r="DM258" s="14"/>
      <c r="DN258" s="14"/>
      <c r="DO258" s="14"/>
      <c r="DP258" s="14"/>
      <c r="DQ258" s="14"/>
      <c r="DR258" s="14"/>
      <c r="DS258" s="14"/>
      <c r="DT258" s="14"/>
      <c r="DU258" s="14"/>
      <c r="DV258" s="14"/>
      <c r="DW258" s="14"/>
      <c r="DX258" s="14"/>
      <c r="DY258" s="14"/>
      <c r="DZ258" s="14"/>
      <c r="EA258" s="14"/>
      <c r="EB258" s="14"/>
      <c r="EC258" s="14"/>
      <c r="ED258" s="14"/>
      <c r="EE258" s="14"/>
      <c r="EF258" s="14"/>
      <c r="EG258" s="14"/>
      <c r="EH258" s="14"/>
      <c r="EI258" s="14"/>
      <c r="EJ258" s="14"/>
      <c r="EK258" s="14"/>
      <c r="EL258" s="14"/>
      <c r="EM258" s="14"/>
      <c r="EN258" s="14"/>
      <c r="EO258" s="14"/>
      <c r="EP258" s="14"/>
      <c r="EQ258" s="14"/>
      <c r="ER258" s="14"/>
      <c r="ES258" s="14"/>
      <c r="ET258" s="14"/>
      <c r="EU258" s="14"/>
      <c r="EV258" s="14"/>
      <c r="EW258" s="14"/>
      <c r="EX258" s="14"/>
      <c r="EY258" s="14"/>
      <c r="EZ258" s="14"/>
      <c r="FA258" s="14"/>
      <c r="FB258" s="14"/>
      <c r="FC258" s="14"/>
      <c r="FD258" s="14"/>
      <c r="FE258" s="14"/>
      <c r="FF258" s="14"/>
      <c r="FG258" s="14"/>
      <c r="FH258" s="14"/>
      <c r="FI258" s="14"/>
      <c r="FJ258" s="14"/>
      <c r="FK258" s="14"/>
      <c r="FL258" s="14"/>
      <c r="FM258" s="14"/>
      <c r="FN258" s="14"/>
      <c r="FO258" s="14"/>
      <c r="FP258" s="14"/>
      <c r="FQ258" s="14"/>
      <c r="FR258" s="14"/>
      <c r="FS258" s="14"/>
      <c r="FT258" s="14"/>
      <c r="FU258" s="14"/>
      <c r="FV258" s="14"/>
      <c r="FW258" s="14"/>
      <c r="FX258" s="14"/>
      <c r="FY258" s="14"/>
      <c r="FZ258" s="14"/>
      <c r="GA258" s="14"/>
      <c r="GB258" s="14"/>
      <c r="GC258" s="14"/>
      <c r="GD258" s="14"/>
      <c r="GE258" s="14"/>
      <c r="GF258" s="14"/>
      <c r="GG258" s="14"/>
      <c r="GH258" s="14"/>
      <c r="GI258" s="14"/>
      <c r="GJ258" s="14"/>
      <c r="GK258" s="14"/>
      <c r="GL258" s="14"/>
      <c r="GM258" s="14"/>
      <c r="GN258" s="14"/>
      <c r="GO258" s="14"/>
      <c r="GP258" s="14"/>
      <c r="GQ258" s="14"/>
      <c r="GR258" s="14"/>
      <c r="GS258" s="14"/>
      <c r="GT258" s="14"/>
      <c r="GU258" s="14"/>
      <c r="GV258" s="14"/>
      <c r="GW258" s="14"/>
      <c r="GX258" s="14"/>
      <c r="GY258" s="14"/>
      <c r="GZ258" s="14"/>
      <c r="HA258" s="14"/>
      <c r="HB258" s="14"/>
      <c r="HC258" s="14"/>
      <c r="HD258" s="14"/>
      <c r="HE258" s="14"/>
      <c r="HF258" s="14"/>
      <c r="HG258" s="14"/>
      <c r="HH258" s="14"/>
      <c r="HI258" s="14"/>
      <c r="HJ258" s="14"/>
      <c r="HK258" s="14"/>
      <c r="HL258" s="14"/>
      <c r="HM258" s="14"/>
      <c r="HN258" s="14"/>
      <c r="HO258" s="14"/>
      <c r="HP258" s="14"/>
      <c r="HQ258" s="14"/>
      <c r="HR258" s="14"/>
      <c r="HS258" s="14"/>
      <c r="HT258" s="14"/>
    </row>
    <row r="259" spans="1:228" ht="18" customHeight="1" x14ac:dyDescent="0.2">
      <c r="A259" s="8"/>
      <c r="B259" s="1999"/>
      <c r="C259" s="1999"/>
      <c r="D259" s="1999"/>
      <c r="E259" s="1639"/>
      <c r="F259" s="1714"/>
      <c r="G259" s="1437" t="s">
        <v>977</v>
      </c>
      <c r="H259" s="1438"/>
      <c r="I259" s="1438"/>
      <c r="J259" s="1438"/>
      <c r="K259" s="1438"/>
      <c r="L259" s="1438"/>
      <c r="M259" s="1438"/>
      <c r="N259" s="1438"/>
      <c r="O259" s="1439"/>
      <c r="P259" s="1352"/>
      <c r="Q259" s="8"/>
      <c r="R259" s="873" t="b">
        <v>0</v>
      </c>
      <c r="S259" s="958">
        <f t="shared" si="14"/>
        <v>0</v>
      </c>
      <c r="T259" s="958">
        <f>SUM(S257:S259)</f>
        <v>0</v>
      </c>
      <c r="U259" s="60"/>
      <c r="V259" s="60"/>
      <c r="W259" s="60"/>
      <c r="X259" s="60"/>
      <c r="Y259" s="60"/>
      <c r="Z259" s="60"/>
      <c r="AA259" s="60"/>
      <c r="AB259" s="60"/>
      <c r="AC259" s="60"/>
      <c r="AD259" s="60"/>
      <c r="AE259" s="60"/>
      <c r="AF259" s="60"/>
      <c r="AG259" s="60"/>
      <c r="AH259" s="60"/>
      <c r="AI259" s="60"/>
      <c r="AJ259" s="60"/>
      <c r="AK259" s="60"/>
      <c r="AL259" s="60"/>
      <c r="AM259" s="60"/>
      <c r="AN259" s="60"/>
      <c r="AO259" s="60"/>
      <c r="AP259" s="60"/>
      <c r="AQ259" s="60"/>
      <c r="AR259" s="60"/>
      <c r="AS259" s="60"/>
      <c r="AT259" s="60"/>
      <c r="AU259" s="60"/>
      <c r="AV259" s="60"/>
      <c r="AW259" s="60"/>
      <c r="AX259" s="60"/>
      <c r="AY259" s="60"/>
      <c r="AZ259" s="60"/>
      <c r="BA259" s="60"/>
      <c r="BB259" s="60"/>
      <c r="BC259" s="60"/>
      <c r="BD259" s="60"/>
      <c r="BE259" s="60"/>
      <c r="BF259" s="18"/>
      <c r="BG259" s="18"/>
      <c r="BH259" s="18"/>
      <c r="BI259" s="18"/>
      <c r="BJ259" s="18"/>
      <c r="BK259" s="18"/>
      <c r="BL259" s="18"/>
      <c r="BM259" s="18"/>
      <c r="BN259" s="18"/>
      <c r="BO259" s="18"/>
      <c r="BP259" s="18"/>
      <c r="BQ259" s="14"/>
      <c r="BR259" s="14"/>
      <c r="BS259" s="14"/>
      <c r="BT259" s="14"/>
      <c r="BU259" s="14"/>
      <c r="BV259" s="14"/>
      <c r="BW259" s="14"/>
      <c r="BX259" s="14"/>
      <c r="BY259" s="14"/>
      <c r="BZ259" s="14"/>
      <c r="CA259" s="14"/>
      <c r="CB259" s="14"/>
      <c r="CC259" s="14"/>
      <c r="CD259" s="14"/>
      <c r="CE259" s="14"/>
      <c r="CF259" s="14"/>
      <c r="CG259" s="14"/>
      <c r="CH259" s="14"/>
      <c r="CI259" s="14"/>
      <c r="CJ259" s="14"/>
      <c r="CK259" s="14"/>
      <c r="CL259" s="14"/>
      <c r="CM259" s="14"/>
      <c r="CN259" s="14"/>
      <c r="CO259" s="14"/>
      <c r="CP259" s="14"/>
      <c r="CQ259" s="14"/>
      <c r="CR259" s="14"/>
      <c r="CS259" s="14"/>
      <c r="CT259" s="14"/>
      <c r="CU259" s="14"/>
      <c r="CV259" s="14"/>
      <c r="CW259" s="14"/>
      <c r="CX259" s="14"/>
      <c r="CY259" s="14"/>
      <c r="CZ259" s="14"/>
      <c r="DA259" s="14"/>
      <c r="DB259" s="14"/>
      <c r="DC259" s="14"/>
      <c r="DD259" s="14"/>
      <c r="DE259" s="14"/>
      <c r="DF259" s="14"/>
      <c r="DG259" s="14"/>
      <c r="DH259" s="14"/>
      <c r="DI259" s="14"/>
      <c r="DJ259" s="14"/>
      <c r="DK259" s="14"/>
      <c r="DL259" s="14"/>
      <c r="DM259" s="14"/>
      <c r="DN259" s="14"/>
      <c r="DO259" s="14"/>
      <c r="DP259" s="14"/>
      <c r="DQ259" s="14"/>
      <c r="DR259" s="14"/>
      <c r="DS259" s="14"/>
      <c r="DT259" s="14"/>
      <c r="DU259" s="14"/>
      <c r="DV259" s="14"/>
      <c r="DW259" s="14"/>
      <c r="DX259" s="14"/>
      <c r="DY259" s="14"/>
      <c r="DZ259" s="14"/>
      <c r="EA259" s="14"/>
      <c r="EB259" s="14"/>
      <c r="EC259" s="14"/>
      <c r="ED259" s="14"/>
      <c r="EE259" s="14"/>
      <c r="EF259" s="14"/>
      <c r="EG259" s="14"/>
      <c r="EH259" s="14"/>
      <c r="EI259" s="14"/>
      <c r="EJ259" s="14"/>
      <c r="EK259" s="14"/>
      <c r="EL259" s="14"/>
      <c r="EM259" s="14"/>
      <c r="EN259" s="14"/>
      <c r="EO259" s="14"/>
      <c r="EP259" s="14"/>
      <c r="EQ259" s="14"/>
      <c r="ER259" s="14"/>
      <c r="ES259" s="14"/>
      <c r="ET259" s="14"/>
      <c r="EU259" s="14"/>
      <c r="EV259" s="14"/>
      <c r="EW259" s="14"/>
      <c r="EX259" s="14"/>
      <c r="EY259" s="14"/>
      <c r="EZ259" s="14"/>
      <c r="FA259" s="14"/>
      <c r="FB259" s="14"/>
      <c r="FC259" s="14"/>
      <c r="FD259" s="14"/>
      <c r="FE259" s="14"/>
      <c r="FF259" s="14"/>
      <c r="FG259" s="14"/>
      <c r="FH259" s="14"/>
      <c r="FI259" s="14"/>
      <c r="FJ259" s="14"/>
      <c r="FK259" s="14"/>
      <c r="FL259" s="14"/>
      <c r="FM259" s="14"/>
      <c r="FN259" s="14"/>
      <c r="FO259" s="14"/>
      <c r="FP259" s="14"/>
      <c r="FQ259" s="14"/>
      <c r="FR259" s="14"/>
      <c r="FS259" s="14"/>
      <c r="FT259" s="14"/>
      <c r="FU259" s="14"/>
      <c r="FV259" s="14"/>
      <c r="FW259" s="14"/>
      <c r="FX259" s="14"/>
      <c r="FY259" s="14"/>
      <c r="FZ259" s="14"/>
      <c r="GA259" s="14"/>
      <c r="GB259" s="14"/>
      <c r="GC259" s="14"/>
      <c r="GD259" s="14"/>
      <c r="GE259" s="14"/>
      <c r="GF259" s="14"/>
      <c r="GG259" s="14"/>
      <c r="GH259" s="14"/>
      <c r="GI259" s="14"/>
      <c r="GJ259" s="14"/>
      <c r="GK259" s="14"/>
      <c r="GL259" s="14"/>
      <c r="GM259" s="14"/>
      <c r="GN259" s="14"/>
      <c r="GO259" s="14"/>
      <c r="GP259" s="14"/>
      <c r="GQ259" s="14"/>
      <c r="GR259" s="14"/>
      <c r="GS259" s="14"/>
      <c r="GT259" s="14"/>
      <c r="GU259" s="14"/>
      <c r="GV259" s="14"/>
      <c r="GW259" s="14"/>
      <c r="GX259" s="14"/>
      <c r="GY259" s="14"/>
      <c r="GZ259" s="14"/>
      <c r="HA259" s="14"/>
      <c r="HB259" s="14"/>
      <c r="HC259" s="14"/>
      <c r="HD259" s="14"/>
      <c r="HE259" s="14"/>
      <c r="HF259" s="14"/>
      <c r="HG259" s="14"/>
      <c r="HH259" s="14"/>
      <c r="HI259" s="14"/>
      <c r="HJ259" s="14"/>
      <c r="HK259" s="14"/>
      <c r="HL259" s="14"/>
      <c r="HM259" s="14"/>
      <c r="HN259" s="14"/>
      <c r="HO259" s="14"/>
      <c r="HP259" s="14"/>
      <c r="HQ259" s="14"/>
      <c r="HR259" s="14"/>
      <c r="HS259" s="14"/>
      <c r="HT259" s="14"/>
    </row>
    <row r="260" spans="1:228" ht="18" customHeight="1" x14ac:dyDescent="0.2">
      <c r="A260" s="8"/>
      <c r="B260" s="1999"/>
      <c r="C260" s="1999"/>
      <c r="D260" s="1999"/>
      <c r="E260" s="1984"/>
      <c r="F260" s="1650"/>
      <c r="G260" s="2031" t="s">
        <v>978</v>
      </c>
      <c r="H260" s="2032"/>
      <c r="I260" s="2032"/>
      <c r="J260" s="2032"/>
      <c r="K260" s="2032"/>
      <c r="L260" s="2032"/>
      <c r="M260" s="2032"/>
      <c r="N260" s="2032"/>
      <c r="O260" s="2033"/>
      <c r="P260" s="1352"/>
      <c r="Q260" s="8"/>
      <c r="R260" s="873" t="b">
        <v>0</v>
      </c>
      <c r="S260" s="958">
        <f t="shared" si="14"/>
        <v>0</v>
      </c>
      <c r="T260" s="60"/>
      <c r="U260" s="60"/>
      <c r="V260" s="60"/>
      <c r="W260" s="60"/>
      <c r="X260" s="60"/>
      <c r="Y260" s="60"/>
      <c r="Z260" s="60"/>
      <c r="AA260" s="60"/>
      <c r="AB260" s="60"/>
      <c r="AC260" s="60"/>
      <c r="AD260" s="60"/>
      <c r="AE260" s="60"/>
      <c r="AF260" s="60"/>
      <c r="AG260" s="60"/>
      <c r="AH260" s="60"/>
      <c r="AI260" s="60"/>
      <c r="AJ260" s="60"/>
      <c r="AK260" s="60"/>
      <c r="AL260" s="60"/>
      <c r="AM260" s="60"/>
      <c r="AN260" s="60"/>
      <c r="AO260" s="60"/>
      <c r="AP260" s="60"/>
      <c r="AQ260" s="60"/>
      <c r="AR260" s="60"/>
      <c r="AS260" s="60"/>
      <c r="AT260" s="60"/>
      <c r="AU260" s="60"/>
      <c r="AV260" s="60"/>
      <c r="AW260" s="60"/>
      <c r="AX260" s="60"/>
      <c r="AY260" s="60"/>
      <c r="AZ260" s="60"/>
      <c r="BA260" s="60"/>
      <c r="BB260" s="60"/>
      <c r="BC260" s="60"/>
      <c r="BD260" s="60"/>
      <c r="BE260" s="60"/>
      <c r="BF260" s="18"/>
      <c r="BG260" s="18"/>
      <c r="BH260" s="18"/>
      <c r="BI260" s="18"/>
      <c r="BJ260" s="18"/>
      <c r="BK260" s="18"/>
      <c r="BL260" s="18"/>
      <c r="BM260" s="18"/>
      <c r="BN260" s="18"/>
      <c r="BO260" s="18"/>
      <c r="BP260" s="18"/>
      <c r="BQ260" s="14"/>
      <c r="BR260" s="14"/>
      <c r="BS260" s="14"/>
      <c r="BT260" s="14"/>
      <c r="BU260" s="14"/>
      <c r="BV260" s="14"/>
      <c r="BW260" s="14"/>
      <c r="BX260" s="14"/>
      <c r="BY260" s="14"/>
      <c r="BZ260" s="14"/>
      <c r="CA260" s="14"/>
      <c r="CB260" s="14"/>
      <c r="CC260" s="14"/>
      <c r="CD260" s="14"/>
      <c r="CE260" s="14"/>
      <c r="CF260" s="14"/>
      <c r="CG260" s="14"/>
      <c r="CH260" s="14"/>
      <c r="CI260" s="14"/>
      <c r="CJ260" s="14"/>
      <c r="CK260" s="14"/>
      <c r="CL260" s="14"/>
      <c r="CM260" s="14"/>
      <c r="CN260" s="14"/>
      <c r="CO260" s="14"/>
      <c r="CP260" s="14"/>
      <c r="CQ260" s="14"/>
      <c r="CR260" s="14"/>
      <c r="CS260" s="14"/>
      <c r="CT260" s="14"/>
      <c r="CU260" s="14"/>
      <c r="CV260" s="14"/>
      <c r="CW260" s="14"/>
      <c r="CX260" s="14"/>
      <c r="CY260" s="14"/>
      <c r="CZ260" s="14"/>
      <c r="DA260" s="14"/>
      <c r="DB260" s="14"/>
      <c r="DC260" s="14"/>
      <c r="DD260" s="14"/>
      <c r="DE260" s="14"/>
      <c r="DF260" s="14"/>
      <c r="DG260" s="14"/>
      <c r="DH260" s="14"/>
      <c r="DI260" s="14"/>
      <c r="DJ260" s="14"/>
      <c r="DK260" s="14"/>
      <c r="DL260" s="14"/>
      <c r="DM260" s="14"/>
      <c r="DN260" s="14"/>
      <c r="DO260" s="14"/>
      <c r="DP260" s="14"/>
      <c r="DQ260" s="14"/>
      <c r="DR260" s="14"/>
      <c r="DS260" s="14"/>
      <c r="DT260" s="14"/>
      <c r="DU260" s="14"/>
      <c r="DV260" s="14"/>
      <c r="DW260" s="14"/>
      <c r="DX260" s="14"/>
      <c r="DY260" s="14"/>
      <c r="DZ260" s="14"/>
      <c r="EA260" s="14"/>
      <c r="EB260" s="14"/>
      <c r="EC260" s="14"/>
      <c r="ED260" s="14"/>
      <c r="EE260" s="14"/>
      <c r="EF260" s="14"/>
      <c r="EG260" s="14"/>
      <c r="EH260" s="14"/>
      <c r="EI260" s="14"/>
      <c r="EJ260" s="14"/>
      <c r="EK260" s="14"/>
      <c r="EL260" s="14"/>
      <c r="EM260" s="14"/>
      <c r="EN260" s="14"/>
      <c r="EO260" s="14"/>
      <c r="EP260" s="14"/>
      <c r="EQ260" s="14"/>
      <c r="ER260" s="14"/>
      <c r="ES260" s="14"/>
      <c r="ET260" s="14"/>
      <c r="EU260" s="14"/>
      <c r="EV260" s="14"/>
      <c r="EW260" s="14"/>
      <c r="EX260" s="14"/>
      <c r="EY260" s="14"/>
      <c r="EZ260" s="14"/>
      <c r="FA260" s="14"/>
      <c r="FB260" s="14"/>
      <c r="FC260" s="14"/>
      <c r="FD260" s="14"/>
      <c r="FE260" s="14"/>
      <c r="FF260" s="14"/>
      <c r="FG260" s="14"/>
      <c r="FH260" s="14"/>
      <c r="FI260" s="14"/>
      <c r="FJ260" s="14"/>
      <c r="FK260" s="14"/>
      <c r="FL260" s="14"/>
      <c r="FM260" s="14"/>
      <c r="FN260" s="14"/>
      <c r="FO260" s="14"/>
      <c r="FP260" s="14"/>
      <c r="FQ260" s="14"/>
      <c r="FR260" s="14"/>
      <c r="FS260" s="14"/>
      <c r="FT260" s="14"/>
      <c r="FU260" s="14"/>
      <c r="FV260" s="14"/>
      <c r="FW260" s="14"/>
      <c r="FX260" s="14"/>
      <c r="FY260" s="14"/>
      <c r="FZ260" s="14"/>
      <c r="GA260" s="14"/>
      <c r="GB260" s="14"/>
      <c r="GC260" s="14"/>
      <c r="GD260" s="14"/>
      <c r="GE260" s="14"/>
      <c r="GF260" s="14"/>
      <c r="GG260" s="14"/>
      <c r="GH260" s="14"/>
      <c r="GI260" s="14"/>
      <c r="GJ260" s="14"/>
      <c r="GK260" s="14"/>
      <c r="GL260" s="14"/>
      <c r="GM260" s="14"/>
      <c r="GN260" s="14"/>
      <c r="GO260" s="14"/>
      <c r="GP260" s="14"/>
      <c r="GQ260" s="14"/>
      <c r="GR260" s="14"/>
      <c r="GS260" s="14"/>
      <c r="GT260" s="14"/>
      <c r="GU260" s="14"/>
      <c r="GV260" s="14"/>
      <c r="GW260" s="14"/>
      <c r="GX260" s="14"/>
      <c r="GY260" s="14"/>
      <c r="GZ260" s="14"/>
      <c r="HA260" s="14"/>
      <c r="HB260" s="14"/>
      <c r="HC260" s="14"/>
      <c r="HD260" s="14"/>
      <c r="HE260" s="14"/>
      <c r="HF260" s="14"/>
      <c r="HG260" s="14"/>
      <c r="HH260" s="14"/>
      <c r="HI260" s="14"/>
      <c r="HJ260" s="14"/>
      <c r="HK260" s="14"/>
      <c r="HL260" s="14"/>
      <c r="HM260" s="14"/>
      <c r="HN260" s="14"/>
      <c r="HO260" s="14"/>
      <c r="HP260" s="14"/>
      <c r="HQ260" s="14"/>
      <c r="HR260" s="14"/>
      <c r="HS260" s="14"/>
      <c r="HT260" s="14"/>
    </row>
    <row r="261" spans="1:228" ht="18" customHeight="1" x14ac:dyDescent="0.2">
      <c r="A261" s="8"/>
      <c r="B261" s="1999"/>
      <c r="C261" s="1999"/>
      <c r="D261" s="1999"/>
      <c r="E261" s="1639"/>
      <c r="F261" s="1714"/>
      <c r="G261" s="1826" t="s">
        <v>979</v>
      </c>
      <c r="H261" s="1827"/>
      <c r="I261" s="1827"/>
      <c r="J261" s="1827"/>
      <c r="K261" s="1827"/>
      <c r="L261" s="1827"/>
      <c r="M261" s="1827"/>
      <c r="N261" s="1827"/>
      <c r="O261" s="1828"/>
      <c r="P261" s="1352"/>
      <c r="Q261" s="8"/>
      <c r="R261" s="873" t="b">
        <v>0</v>
      </c>
      <c r="S261" s="958">
        <f t="shared" si="14"/>
        <v>0</v>
      </c>
      <c r="T261" s="60"/>
      <c r="U261" s="60"/>
      <c r="V261" s="60"/>
      <c r="W261" s="60"/>
      <c r="X261" s="60"/>
      <c r="Y261" s="60"/>
      <c r="Z261" s="60"/>
      <c r="AA261" s="60"/>
      <c r="AB261" s="60"/>
      <c r="AC261" s="60"/>
      <c r="AD261" s="60"/>
      <c r="AE261" s="60"/>
      <c r="AF261" s="60"/>
      <c r="AG261" s="60"/>
      <c r="AH261" s="60"/>
      <c r="AI261" s="60"/>
      <c r="AJ261" s="60"/>
      <c r="AK261" s="60"/>
      <c r="AL261" s="60"/>
      <c r="AM261" s="60"/>
      <c r="AN261" s="60"/>
      <c r="AO261" s="60"/>
      <c r="AP261" s="60"/>
      <c r="AQ261" s="60"/>
      <c r="AR261" s="60"/>
      <c r="AS261" s="60"/>
      <c r="AT261" s="60"/>
      <c r="AU261" s="60"/>
      <c r="AV261" s="60"/>
      <c r="AW261" s="60"/>
      <c r="AX261" s="60"/>
      <c r="AY261" s="60"/>
      <c r="AZ261" s="60"/>
      <c r="BA261" s="60"/>
      <c r="BB261" s="60"/>
      <c r="BC261" s="60"/>
      <c r="BD261" s="60"/>
      <c r="BE261" s="60"/>
      <c r="BF261" s="18"/>
      <c r="BG261" s="18"/>
      <c r="BH261" s="18"/>
      <c r="BI261" s="18"/>
      <c r="BJ261" s="18"/>
      <c r="BK261" s="18"/>
      <c r="BL261" s="18"/>
      <c r="BM261" s="18"/>
      <c r="BN261" s="18"/>
      <c r="BO261" s="18"/>
      <c r="BP261" s="18"/>
      <c r="BQ261" s="14"/>
      <c r="BR261" s="14"/>
      <c r="BS261" s="14"/>
      <c r="BT261" s="14"/>
      <c r="BU261" s="14"/>
      <c r="BV261" s="14"/>
      <c r="BW261" s="14"/>
      <c r="BX261" s="14"/>
      <c r="BY261" s="14"/>
      <c r="BZ261" s="14"/>
      <c r="CA261" s="14"/>
      <c r="CB261" s="14"/>
      <c r="CC261" s="14"/>
      <c r="CD261" s="14"/>
      <c r="CE261" s="14"/>
      <c r="CF261" s="14"/>
      <c r="CG261" s="14"/>
      <c r="CH261" s="14"/>
      <c r="CI261" s="14"/>
      <c r="CJ261" s="14"/>
      <c r="CK261" s="14"/>
      <c r="CL261" s="14"/>
      <c r="CM261" s="14"/>
      <c r="CN261" s="14"/>
      <c r="CO261" s="14"/>
      <c r="CP261" s="14"/>
      <c r="CQ261" s="14"/>
      <c r="CR261" s="14"/>
      <c r="CS261" s="14"/>
      <c r="CT261" s="14"/>
      <c r="CU261" s="14"/>
      <c r="CV261" s="14"/>
      <c r="CW261" s="14"/>
      <c r="CX261" s="14"/>
      <c r="CY261" s="14"/>
      <c r="CZ261" s="14"/>
      <c r="DA261" s="14"/>
      <c r="DB261" s="14"/>
      <c r="DC261" s="14"/>
      <c r="DD261" s="14"/>
      <c r="DE261" s="14"/>
      <c r="DF261" s="14"/>
      <c r="DG261" s="14"/>
      <c r="DH261" s="14"/>
      <c r="DI261" s="14"/>
      <c r="DJ261" s="14"/>
      <c r="DK261" s="14"/>
      <c r="DL261" s="14"/>
      <c r="DM261" s="14"/>
      <c r="DN261" s="14"/>
      <c r="DO261" s="14"/>
      <c r="DP261" s="14"/>
      <c r="DQ261" s="14"/>
      <c r="DR261" s="14"/>
      <c r="DS261" s="14"/>
      <c r="DT261" s="14"/>
      <c r="DU261" s="14"/>
      <c r="DV261" s="14"/>
      <c r="DW261" s="14"/>
      <c r="DX261" s="14"/>
      <c r="DY261" s="14"/>
      <c r="DZ261" s="14"/>
      <c r="EA261" s="14"/>
      <c r="EB261" s="14"/>
      <c r="EC261" s="14"/>
      <c r="ED261" s="14"/>
      <c r="EE261" s="14"/>
      <c r="EF261" s="14"/>
      <c r="EG261" s="14"/>
      <c r="EH261" s="14"/>
      <c r="EI261" s="14"/>
      <c r="EJ261" s="14"/>
      <c r="EK261" s="14"/>
      <c r="EL261" s="14"/>
      <c r="EM261" s="14"/>
      <c r="EN261" s="14"/>
      <c r="EO261" s="14"/>
      <c r="EP261" s="14"/>
      <c r="EQ261" s="14"/>
      <c r="ER261" s="14"/>
      <c r="ES261" s="14"/>
      <c r="ET261" s="14"/>
      <c r="EU261" s="14"/>
      <c r="EV261" s="14"/>
      <c r="EW261" s="14"/>
      <c r="EX261" s="14"/>
      <c r="EY261" s="14"/>
      <c r="EZ261" s="14"/>
      <c r="FA261" s="14"/>
      <c r="FB261" s="14"/>
      <c r="FC261" s="14"/>
      <c r="FD261" s="14"/>
      <c r="FE261" s="14"/>
      <c r="FF261" s="14"/>
      <c r="FG261" s="14"/>
      <c r="FH261" s="14"/>
      <c r="FI261" s="14"/>
      <c r="FJ261" s="14"/>
      <c r="FK261" s="14"/>
      <c r="FL261" s="14"/>
      <c r="FM261" s="14"/>
      <c r="FN261" s="14"/>
      <c r="FO261" s="14"/>
      <c r="FP261" s="14"/>
      <c r="FQ261" s="14"/>
      <c r="FR261" s="14"/>
      <c r="FS261" s="14"/>
      <c r="FT261" s="14"/>
      <c r="FU261" s="14"/>
      <c r="FV261" s="14"/>
      <c r="FW261" s="14"/>
      <c r="FX261" s="14"/>
      <c r="FY261" s="14"/>
      <c r="FZ261" s="14"/>
      <c r="GA261" s="14"/>
      <c r="GB261" s="14"/>
      <c r="GC261" s="14"/>
      <c r="GD261" s="14"/>
      <c r="GE261" s="14"/>
      <c r="GF261" s="14"/>
      <c r="GG261" s="14"/>
      <c r="GH261" s="14"/>
      <c r="GI261" s="14"/>
      <c r="GJ261" s="14"/>
      <c r="GK261" s="14"/>
      <c r="GL261" s="14"/>
      <c r="GM261" s="14"/>
      <c r="GN261" s="14"/>
      <c r="GO261" s="14"/>
      <c r="GP261" s="14"/>
      <c r="GQ261" s="14"/>
      <c r="GR261" s="14"/>
      <c r="GS261" s="14"/>
      <c r="GT261" s="14"/>
      <c r="GU261" s="14"/>
      <c r="GV261" s="14"/>
      <c r="GW261" s="14"/>
      <c r="GX261" s="14"/>
      <c r="GY261" s="14"/>
      <c r="GZ261" s="14"/>
      <c r="HA261" s="14"/>
      <c r="HB261" s="14"/>
      <c r="HC261" s="14"/>
      <c r="HD261" s="14"/>
      <c r="HE261" s="14"/>
      <c r="HF261" s="14"/>
      <c r="HG261" s="14"/>
      <c r="HH261" s="14"/>
      <c r="HI261" s="14"/>
      <c r="HJ261" s="14"/>
      <c r="HK261" s="14"/>
      <c r="HL261" s="14"/>
      <c r="HM261" s="14"/>
      <c r="HN261" s="14"/>
      <c r="HO261" s="14"/>
      <c r="HP261" s="14"/>
      <c r="HQ261" s="14"/>
      <c r="HR261" s="14"/>
      <c r="HS261" s="14"/>
      <c r="HT261" s="14"/>
    </row>
    <row r="262" spans="1:228" ht="18" customHeight="1" x14ac:dyDescent="0.2">
      <c r="A262" s="8"/>
      <c r="B262" s="1999"/>
      <c r="C262" s="1999"/>
      <c r="D262" s="1999"/>
      <c r="E262" s="1639"/>
      <c r="F262" s="1714"/>
      <c r="G262" s="1826" t="s">
        <v>980</v>
      </c>
      <c r="H262" s="1827"/>
      <c r="I262" s="1827"/>
      <c r="J262" s="1827"/>
      <c r="K262" s="1827"/>
      <c r="L262" s="1827"/>
      <c r="M262" s="1827"/>
      <c r="N262" s="1827"/>
      <c r="O262" s="1828"/>
      <c r="P262" s="1352"/>
      <c r="Q262" s="8"/>
      <c r="R262" s="873" t="b">
        <v>0</v>
      </c>
      <c r="S262" s="958">
        <f t="shared" si="14"/>
        <v>0</v>
      </c>
      <c r="T262" s="958" t="s">
        <v>1023</v>
      </c>
      <c r="U262" s="60"/>
      <c r="V262" s="60"/>
      <c r="W262" s="60"/>
      <c r="X262" s="60"/>
      <c r="Y262" s="60"/>
      <c r="Z262" s="60"/>
      <c r="AA262" s="60"/>
      <c r="AB262" s="60"/>
      <c r="AC262" s="60"/>
      <c r="AD262" s="60"/>
      <c r="AE262" s="60"/>
      <c r="AF262" s="60"/>
      <c r="AG262" s="60"/>
      <c r="AH262" s="60"/>
      <c r="AI262" s="60"/>
      <c r="AJ262" s="60"/>
      <c r="AK262" s="60"/>
      <c r="AL262" s="60"/>
      <c r="AM262" s="60"/>
      <c r="AN262" s="60"/>
      <c r="AO262" s="60"/>
      <c r="AP262" s="60"/>
      <c r="AQ262" s="60"/>
      <c r="AR262" s="60"/>
      <c r="AS262" s="60"/>
      <c r="AT262" s="60"/>
      <c r="AU262" s="60"/>
      <c r="AV262" s="60"/>
      <c r="AW262" s="60"/>
      <c r="AX262" s="60"/>
      <c r="AY262" s="60"/>
      <c r="AZ262" s="60"/>
      <c r="BA262" s="60"/>
      <c r="BB262" s="60"/>
      <c r="BC262" s="60"/>
      <c r="BD262" s="60"/>
      <c r="BE262" s="60"/>
      <c r="BF262" s="18"/>
      <c r="BG262" s="18"/>
      <c r="BH262" s="18"/>
      <c r="BI262" s="18"/>
      <c r="BJ262" s="18"/>
      <c r="BK262" s="18"/>
      <c r="BL262" s="18"/>
      <c r="BM262" s="18"/>
      <c r="BN262" s="18"/>
      <c r="BO262" s="18"/>
      <c r="BP262" s="18"/>
      <c r="BQ262" s="14"/>
      <c r="BR262" s="14"/>
      <c r="BS262" s="14"/>
      <c r="BT262" s="14"/>
      <c r="BU262" s="14"/>
      <c r="BV262" s="14"/>
      <c r="BW262" s="14"/>
      <c r="BX262" s="14"/>
      <c r="BY262" s="14"/>
      <c r="BZ262" s="14"/>
      <c r="CA262" s="14"/>
      <c r="CB262" s="14"/>
      <c r="CC262" s="14"/>
      <c r="CD262" s="14"/>
      <c r="CE262" s="14"/>
      <c r="CF262" s="14"/>
      <c r="CG262" s="14"/>
      <c r="CH262" s="14"/>
      <c r="CI262" s="14"/>
      <c r="CJ262" s="14"/>
      <c r="CK262" s="14"/>
      <c r="CL262" s="14"/>
      <c r="CM262" s="14"/>
      <c r="CN262" s="14"/>
      <c r="CO262" s="14"/>
      <c r="CP262" s="14"/>
      <c r="CQ262" s="14"/>
      <c r="CR262" s="14"/>
      <c r="CS262" s="14"/>
      <c r="CT262" s="14"/>
      <c r="CU262" s="14"/>
      <c r="CV262" s="14"/>
      <c r="CW262" s="14"/>
      <c r="CX262" s="14"/>
      <c r="CY262" s="14"/>
      <c r="CZ262" s="14"/>
      <c r="DA262" s="14"/>
      <c r="DB262" s="14"/>
      <c r="DC262" s="14"/>
      <c r="DD262" s="14"/>
      <c r="DE262" s="14"/>
      <c r="DF262" s="14"/>
      <c r="DG262" s="14"/>
      <c r="DH262" s="14"/>
      <c r="DI262" s="14"/>
      <c r="DJ262" s="14"/>
      <c r="DK262" s="14"/>
      <c r="DL262" s="14"/>
      <c r="DM262" s="14"/>
      <c r="DN262" s="14"/>
      <c r="DO262" s="14"/>
      <c r="DP262" s="14"/>
      <c r="DQ262" s="14"/>
      <c r="DR262" s="14"/>
      <c r="DS262" s="14"/>
      <c r="DT262" s="14"/>
      <c r="DU262" s="14"/>
      <c r="DV262" s="14"/>
      <c r="DW262" s="14"/>
      <c r="DX262" s="14"/>
      <c r="DY262" s="14"/>
      <c r="DZ262" s="14"/>
      <c r="EA262" s="14"/>
      <c r="EB262" s="14"/>
      <c r="EC262" s="14"/>
      <c r="ED262" s="14"/>
      <c r="EE262" s="14"/>
      <c r="EF262" s="14"/>
      <c r="EG262" s="14"/>
      <c r="EH262" s="14"/>
      <c r="EI262" s="14"/>
      <c r="EJ262" s="14"/>
      <c r="EK262" s="14"/>
      <c r="EL262" s="14"/>
      <c r="EM262" s="14"/>
      <c r="EN262" s="14"/>
      <c r="EO262" s="14"/>
      <c r="EP262" s="14"/>
      <c r="EQ262" s="14"/>
      <c r="ER262" s="14"/>
      <c r="ES262" s="14"/>
      <c r="ET262" s="14"/>
      <c r="EU262" s="14"/>
      <c r="EV262" s="14"/>
      <c r="EW262" s="14"/>
      <c r="EX262" s="14"/>
      <c r="EY262" s="14"/>
      <c r="EZ262" s="14"/>
      <c r="FA262" s="14"/>
      <c r="FB262" s="14"/>
      <c r="FC262" s="14"/>
      <c r="FD262" s="14"/>
      <c r="FE262" s="14"/>
      <c r="FF262" s="14"/>
      <c r="FG262" s="14"/>
      <c r="FH262" s="14"/>
      <c r="FI262" s="14"/>
      <c r="FJ262" s="14"/>
      <c r="FK262" s="14"/>
      <c r="FL262" s="14"/>
      <c r="FM262" s="14"/>
      <c r="FN262" s="14"/>
      <c r="FO262" s="14"/>
      <c r="FP262" s="14"/>
      <c r="FQ262" s="14"/>
      <c r="FR262" s="14"/>
      <c r="FS262" s="14"/>
      <c r="FT262" s="14"/>
      <c r="FU262" s="14"/>
      <c r="FV262" s="14"/>
      <c r="FW262" s="14"/>
      <c r="FX262" s="14"/>
      <c r="FY262" s="14"/>
      <c r="FZ262" s="14"/>
      <c r="GA262" s="14"/>
      <c r="GB262" s="14"/>
      <c r="GC262" s="14"/>
      <c r="GD262" s="14"/>
      <c r="GE262" s="14"/>
      <c r="GF262" s="14"/>
      <c r="GG262" s="14"/>
      <c r="GH262" s="14"/>
      <c r="GI262" s="14"/>
      <c r="GJ262" s="14"/>
      <c r="GK262" s="14"/>
      <c r="GL262" s="14"/>
      <c r="GM262" s="14"/>
      <c r="GN262" s="14"/>
      <c r="GO262" s="14"/>
      <c r="GP262" s="14"/>
      <c r="GQ262" s="14"/>
      <c r="GR262" s="14"/>
      <c r="GS262" s="14"/>
      <c r="GT262" s="14"/>
      <c r="GU262" s="14"/>
      <c r="GV262" s="14"/>
      <c r="GW262" s="14"/>
      <c r="GX262" s="14"/>
      <c r="GY262" s="14"/>
      <c r="GZ262" s="14"/>
      <c r="HA262" s="14"/>
      <c r="HB262" s="14"/>
      <c r="HC262" s="14"/>
      <c r="HD262" s="14"/>
      <c r="HE262" s="14"/>
      <c r="HF262" s="14"/>
      <c r="HG262" s="14"/>
      <c r="HH262" s="14"/>
      <c r="HI262" s="14"/>
      <c r="HJ262" s="14"/>
      <c r="HK262" s="14"/>
      <c r="HL262" s="14"/>
      <c r="HM262" s="14"/>
      <c r="HN262" s="14"/>
      <c r="HO262" s="14"/>
      <c r="HP262" s="14"/>
      <c r="HQ262" s="14"/>
      <c r="HR262" s="14"/>
      <c r="HS262" s="14"/>
      <c r="HT262" s="14"/>
    </row>
    <row r="263" spans="1:228" ht="18" customHeight="1" x14ac:dyDescent="0.2">
      <c r="A263" s="8"/>
      <c r="B263" s="1999"/>
      <c r="C263" s="1999"/>
      <c r="D263" s="1999"/>
      <c r="E263" s="1639"/>
      <c r="F263" s="1714"/>
      <c r="G263" s="1888" t="s">
        <v>670</v>
      </c>
      <c r="H263" s="1889"/>
      <c r="I263" s="1889"/>
      <c r="J263" s="1889"/>
      <c r="K263" s="1889"/>
      <c r="L263" s="1889"/>
      <c r="M263" s="1889"/>
      <c r="N263" s="1889"/>
      <c r="O263" s="1910"/>
      <c r="P263" s="1352"/>
      <c r="Q263" s="8"/>
      <c r="R263" s="873" t="b">
        <v>0</v>
      </c>
      <c r="S263" s="958">
        <f t="shared" si="14"/>
        <v>0</v>
      </c>
      <c r="T263" s="958">
        <f>SUM(S260:S263)</f>
        <v>0</v>
      </c>
      <c r="U263" s="115"/>
      <c r="V263" s="115"/>
      <c r="W263" s="60"/>
      <c r="X263" s="60"/>
      <c r="Y263" s="60"/>
      <c r="Z263" s="60"/>
      <c r="AA263" s="60"/>
      <c r="AB263" s="60"/>
      <c r="AC263" s="60"/>
      <c r="AD263" s="60"/>
      <c r="AE263" s="60"/>
      <c r="AF263" s="60"/>
      <c r="AG263" s="60"/>
      <c r="AH263" s="60"/>
      <c r="AI263" s="60"/>
      <c r="AJ263" s="60"/>
      <c r="AK263" s="60"/>
      <c r="AL263" s="60"/>
      <c r="AM263" s="60"/>
      <c r="AN263" s="60"/>
      <c r="AO263" s="60"/>
      <c r="AP263" s="60"/>
      <c r="AQ263" s="60"/>
      <c r="AR263" s="60"/>
      <c r="AS263" s="60"/>
      <c r="AT263" s="60"/>
      <c r="AU263" s="60"/>
      <c r="AV263" s="60"/>
      <c r="AW263" s="60"/>
      <c r="AX263" s="60"/>
      <c r="AY263" s="60"/>
      <c r="AZ263" s="60"/>
      <c r="BA263" s="60"/>
      <c r="BB263" s="60"/>
      <c r="BC263" s="60"/>
      <c r="BD263" s="60"/>
      <c r="BE263" s="60"/>
      <c r="BF263" s="18"/>
      <c r="BG263" s="18"/>
      <c r="BH263" s="18"/>
      <c r="BI263" s="18"/>
      <c r="BJ263" s="18"/>
      <c r="BK263" s="18"/>
      <c r="BL263" s="18"/>
      <c r="BM263" s="18"/>
      <c r="BN263" s="18"/>
      <c r="BO263" s="18"/>
      <c r="BP263" s="18"/>
      <c r="BQ263" s="14"/>
      <c r="BR263" s="14"/>
      <c r="BS263" s="14"/>
      <c r="BT263" s="14"/>
      <c r="BU263" s="14"/>
      <c r="BV263" s="14"/>
      <c r="BW263" s="14"/>
      <c r="BX263" s="14"/>
      <c r="BY263" s="14"/>
      <c r="BZ263" s="14"/>
      <c r="CA263" s="14"/>
      <c r="CB263" s="14"/>
      <c r="CC263" s="14"/>
      <c r="CD263" s="14"/>
      <c r="CE263" s="14"/>
      <c r="CF263" s="14"/>
      <c r="CG263" s="14"/>
      <c r="CH263" s="14"/>
      <c r="CI263" s="14"/>
      <c r="CJ263" s="14"/>
      <c r="CK263" s="14"/>
      <c r="CL263" s="14"/>
      <c r="CM263" s="14"/>
      <c r="CN263" s="14"/>
      <c r="CO263" s="14"/>
      <c r="CP263" s="14"/>
      <c r="CQ263" s="14"/>
      <c r="CR263" s="14"/>
      <c r="CS263" s="14"/>
      <c r="CT263" s="14"/>
      <c r="CU263" s="14"/>
      <c r="CV263" s="14"/>
      <c r="CW263" s="14"/>
      <c r="CX263" s="14"/>
      <c r="CY263" s="14"/>
      <c r="CZ263" s="14"/>
      <c r="DA263" s="14"/>
      <c r="DB263" s="14"/>
      <c r="DC263" s="14"/>
      <c r="DD263" s="14"/>
      <c r="DE263" s="14"/>
      <c r="DF263" s="14"/>
      <c r="DG263" s="14"/>
      <c r="DH263" s="14"/>
      <c r="DI263" s="14"/>
      <c r="DJ263" s="14"/>
      <c r="DK263" s="14"/>
      <c r="DL263" s="14"/>
      <c r="DM263" s="14"/>
      <c r="DN263" s="14"/>
      <c r="DO263" s="14"/>
      <c r="DP263" s="14"/>
      <c r="DQ263" s="14"/>
      <c r="DR263" s="14"/>
      <c r="DS263" s="14"/>
      <c r="DT263" s="14"/>
      <c r="DU263" s="14"/>
      <c r="DV263" s="14"/>
      <c r="DW263" s="14"/>
      <c r="DX263" s="14"/>
      <c r="DY263" s="14"/>
      <c r="DZ263" s="14"/>
      <c r="EA263" s="14"/>
      <c r="EB263" s="14"/>
      <c r="EC263" s="14"/>
      <c r="ED263" s="14"/>
      <c r="EE263" s="14"/>
      <c r="EF263" s="14"/>
      <c r="EG263" s="14"/>
      <c r="EH263" s="14"/>
      <c r="EI263" s="14"/>
      <c r="EJ263" s="14"/>
      <c r="EK263" s="14"/>
      <c r="EL263" s="14"/>
      <c r="EM263" s="14"/>
      <c r="EN263" s="14"/>
      <c r="EO263" s="14"/>
      <c r="EP263" s="14"/>
      <c r="EQ263" s="14"/>
      <c r="ER263" s="14"/>
      <c r="ES263" s="14"/>
      <c r="ET263" s="14"/>
      <c r="EU263" s="14"/>
      <c r="EV263" s="14"/>
      <c r="EW263" s="14"/>
      <c r="EX263" s="14"/>
      <c r="EY263" s="14"/>
      <c r="EZ263" s="14"/>
      <c r="FA263" s="14"/>
      <c r="FB263" s="14"/>
      <c r="FC263" s="14"/>
      <c r="FD263" s="14"/>
      <c r="FE263" s="14"/>
      <c r="FF263" s="14"/>
      <c r="FG263" s="14"/>
      <c r="FH263" s="14"/>
      <c r="FI263" s="14"/>
      <c r="FJ263" s="14"/>
      <c r="FK263" s="14"/>
      <c r="FL263" s="14"/>
      <c r="FM263" s="14"/>
      <c r="FN263" s="14"/>
      <c r="FO263" s="14"/>
      <c r="FP263" s="14"/>
      <c r="FQ263" s="14"/>
      <c r="FR263" s="14"/>
      <c r="FS263" s="14"/>
      <c r="FT263" s="14"/>
      <c r="FU263" s="14"/>
      <c r="FV263" s="14"/>
      <c r="FW263" s="14"/>
      <c r="FX263" s="14"/>
      <c r="FY263" s="14"/>
      <c r="FZ263" s="14"/>
      <c r="GA263" s="14"/>
      <c r="GB263" s="14"/>
      <c r="GC263" s="14"/>
      <c r="GD263" s="14"/>
      <c r="GE263" s="14"/>
      <c r="GF263" s="14"/>
      <c r="GG263" s="14"/>
      <c r="GH263" s="14"/>
      <c r="GI263" s="14"/>
      <c r="GJ263" s="14"/>
      <c r="GK263" s="14"/>
      <c r="GL263" s="14"/>
      <c r="GM263" s="14"/>
      <c r="GN263" s="14"/>
      <c r="GO263" s="14"/>
      <c r="GP263" s="14"/>
      <c r="GQ263" s="14"/>
      <c r="GR263" s="14"/>
      <c r="GS263" s="14"/>
      <c r="GT263" s="14"/>
      <c r="GU263" s="14"/>
      <c r="GV263" s="14"/>
      <c r="GW263" s="14"/>
      <c r="GX263" s="14"/>
      <c r="GY263" s="14"/>
      <c r="GZ263" s="14"/>
      <c r="HA263" s="14"/>
      <c r="HB263" s="14"/>
      <c r="HC263" s="14"/>
      <c r="HD263" s="14"/>
      <c r="HE263" s="14"/>
      <c r="HF263" s="14"/>
      <c r="HG263" s="14"/>
      <c r="HH263" s="14"/>
      <c r="HI263" s="14"/>
      <c r="HJ263" s="14"/>
      <c r="HK263" s="14"/>
      <c r="HL263" s="14"/>
      <c r="HM263" s="14"/>
      <c r="HN263" s="14"/>
      <c r="HO263" s="14"/>
      <c r="HP263" s="14"/>
      <c r="HQ263" s="14"/>
      <c r="HR263" s="14"/>
      <c r="HS263" s="14"/>
      <c r="HT263" s="14"/>
    </row>
    <row r="264" spans="1:228" ht="12" customHeight="1" x14ac:dyDescent="0.25">
      <c r="A264" s="8"/>
      <c r="B264" s="1825"/>
      <c r="C264" s="1825"/>
      <c r="D264" s="1825"/>
      <c r="E264" s="1825"/>
      <c r="F264" s="1825"/>
      <c r="G264" s="1825"/>
      <c r="H264" s="1825"/>
      <c r="I264" s="1825"/>
      <c r="J264" s="1825"/>
      <c r="K264" s="1825"/>
      <c r="L264" s="1825"/>
      <c r="M264" s="1825"/>
      <c r="N264" s="1825"/>
      <c r="O264" s="1825"/>
      <c r="P264" s="75"/>
      <c r="Q264" s="8"/>
      <c r="R264" s="60"/>
      <c r="S264" s="60"/>
      <c r="T264" s="60"/>
      <c r="U264" s="60"/>
      <c r="V264" s="60"/>
      <c r="W264" s="60"/>
      <c r="X264" s="60"/>
      <c r="Y264" s="60"/>
      <c r="Z264" s="60"/>
      <c r="AA264" s="60"/>
      <c r="AB264" s="60"/>
      <c r="AC264" s="60"/>
      <c r="AD264" s="60"/>
      <c r="AE264" s="60"/>
      <c r="AF264" s="60"/>
      <c r="AG264" s="60"/>
      <c r="AH264" s="60"/>
      <c r="AI264" s="60"/>
      <c r="AJ264" s="60"/>
      <c r="AK264" s="60"/>
      <c r="AL264" s="60"/>
      <c r="AM264" s="60"/>
      <c r="AN264" s="60"/>
      <c r="AO264" s="60"/>
      <c r="AP264" s="60"/>
      <c r="AQ264" s="60"/>
      <c r="AR264" s="60"/>
      <c r="AS264" s="60"/>
      <c r="AT264" s="60"/>
      <c r="AU264" s="60"/>
      <c r="AV264" s="60"/>
      <c r="AW264" s="60"/>
      <c r="AX264" s="60"/>
      <c r="AY264" s="60"/>
      <c r="AZ264" s="60"/>
      <c r="BA264" s="60"/>
      <c r="BB264" s="60"/>
      <c r="BC264" s="60"/>
      <c r="BD264" s="60"/>
      <c r="BE264" s="60"/>
      <c r="BF264" s="18"/>
      <c r="BG264" s="18"/>
      <c r="BH264" s="18"/>
      <c r="BI264" s="18"/>
      <c r="BJ264" s="18"/>
      <c r="BK264" s="18"/>
      <c r="BL264" s="18"/>
      <c r="BM264" s="18"/>
      <c r="BN264" s="18"/>
      <c r="BO264" s="18"/>
      <c r="BP264" s="18"/>
      <c r="BQ264" s="14"/>
      <c r="BR264" s="14"/>
      <c r="BS264" s="14"/>
      <c r="BT264" s="14"/>
      <c r="BU264" s="14"/>
      <c r="BV264" s="14"/>
      <c r="BW264" s="14"/>
      <c r="BX264" s="14"/>
      <c r="BY264" s="14"/>
      <c r="BZ264" s="14"/>
      <c r="CA264" s="14"/>
      <c r="CB264" s="14"/>
      <c r="CC264" s="14"/>
      <c r="CD264" s="14"/>
      <c r="CE264" s="14"/>
      <c r="CF264" s="14"/>
      <c r="CG264" s="14"/>
      <c r="CH264" s="14"/>
      <c r="CI264" s="14"/>
      <c r="CJ264" s="14"/>
      <c r="CK264" s="14"/>
      <c r="CL264" s="14"/>
      <c r="CM264" s="14"/>
      <c r="CN264" s="14"/>
      <c r="CO264" s="14"/>
      <c r="CP264" s="14"/>
      <c r="CQ264" s="14"/>
      <c r="CR264" s="14"/>
      <c r="CS264" s="14"/>
      <c r="CT264" s="14"/>
      <c r="CU264" s="14"/>
      <c r="CV264" s="14"/>
      <c r="CW264" s="14"/>
      <c r="CX264" s="14"/>
      <c r="CY264" s="14"/>
      <c r="CZ264" s="14"/>
      <c r="DA264" s="14"/>
      <c r="DB264" s="14"/>
      <c r="DC264" s="14"/>
      <c r="DD264" s="14"/>
      <c r="DE264" s="14"/>
      <c r="DF264" s="14"/>
      <c r="DG264" s="14"/>
      <c r="DH264" s="14"/>
      <c r="DI264" s="14"/>
      <c r="DJ264" s="14"/>
      <c r="DK264" s="14"/>
      <c r="DL264" s="14"/>
      <c r="DM264" s="14"/>
      <c r="DN264" s="14"/>
      <c r="DO264" s="14"/>
      <c r="DP264" s="14"/>
      <c r="DQ264" s="14"/>
      <c r="DR264" s="14"/>
      <c r="DS264" s="14"/>
      <c r="DT264" s="14"/>
      <c r="DU264" s="14"/>
      <c r="DV264" s="14"/>
      <c r="DW264" s="14"/>
      <c r="DX264" s="14"/>
      <c r="DY264" s="14"/>
      <c r="DZ264" s="14"/>
      <c r="EA264" s="14"/>
      <c r="EB264" s="14"/>
      <c r="EC264" s="14"/>
      <c r="ED264" s="14"/>
      <c r="EE264" s="14"/>
      <c r="EF264" s="14"/>
      <c r="EG264" s="14"/>
      <c r="EH264" s="14"/>
      <c r="EI264" s="14"/>
      <c r="EJ264" s="14"/>
      <c r="EK264" s="14"/>
      <c r="EL264" s="14"/>
      <c r="EM264" s="14"/>
      <c r="EN264" s="14"/>
      <c r="EO264" s="14"/>
      <c r="EP264" s="14"/>
      <c r="EQ264" s="14"/>
      <c r="ER264" s="14"/>
      <c r="ES264" s="14"/>
      <c r="ET264" s="14"/>
      <c r="EU264" s="14"/>
      <c r="EV264" s="14"/>
      <c r="EW264" s="14"/>
      <c r="EX264" s="14"/>
      <c r="EY264" s="14"/>
      <c r="EZ264" s="14"/>
      <c r="FA264" s="14"/>
      <c r="FB264" s="14"/>
      <c r="FC264" s="14"/>
      <c r="FD264" s="14"/>
      <c r="FE264" s="14"/>
      <c r="FF264" s="14"/>
      <c r="FG264" s="14"/>
      <c r="FH264" s="14"/>
      <c r="FI264" s="14"/>
      <c r="FJ264" s="14"/>
      <c r="FK264" s="14"/>
      <c r="FL264" s="14"/>
      <c r="FM264" s="14"/>
      <c r="FN264" s="14"/>
      <c r="FO264" s="14"/>
      <c r="FP264" s="14"/>
      <c r="FQ264" s="14"/>
      <c r="FR264" s="14"/>
      <c r="FS264" s="14"/>
      <c r="FT264" s="14"/>
      <c r="FU264" s="14"/>
      <c r="FV264" s="14"/>
      <c r="FW264" s="14"/>
      <c r="FX264" s="14"/>
      <c r="FY264" s="14"/>
      <c r="FZ264" s="14"/>
      <c r="GA264" s="14"/>
      <c r="GB264" s="14"/>
      <c r="GC264" s="14"/>
      <c r="GD264" s="14"/>
      <c r="GE264" s="14"/>
      <c r="GF264" s="14"/>
      <c r="GG264" s="14"/>
      <c r="GH264" s="14"/>
      <c r="GI264" s="14"/>
      <c r="GJ264" s="14"/>
      <c r="GK264" s="14"/>
      <c r="GL264" s="14"/>
      <c r="GM264" s="14"/>
      <c r="GN264" s="14"/>
      <c r="GO264" s="14"/>
      <c r="GP264" s="14"/>
      <c r="GQ264" s="14"/>
      <c r="GR264" s="14"/>
      <c r="GS264" s="14"/>
      <c r="GT264" s="14"/>
      <c r="GU264" s="14"/>
      <c r="GV264" s="14"/>
      <c r="GW264" s="14"/>
      <c r="GX264" s="14"/>
      <c r="GY264" s="14"/>
      <c r="GZ264" s="14"/>
      <c r="HA264" s="14"/>
      <c r="HB264" s="14"/>
      <c r="HC264" s="14"/>
      <c r="HD264" s="14"/>
      <c r="HE264" s="14"/>
      <c r="HF264" s="14"/>
      <c r="HG264" s="14"/>
      <c r="HH264" s="14"/>
      <c r="HI264" s="14"/>
      <c r="HJ264" s="14"/>
      <c r="HK264" s="14"/>
      <c r="HL264" s="14"/>
      <c r="HM264" s="14"/>
      <c r="HN264" s="14"/>
      <c r="HO264" s="14"/>
      <c r="HP264" s="14"/>
      <c r="HQ264" s="14"/>
      <c r="HR264" s="14"/>
      <c r="HS264" s="14"/>
      <c r="HT264" s="14"/>
    </row>
    <row r="265" spans="1:228" ht="20.25" customHeight="1" x14ac:dyDescent="0.2">
      <c r="B265" s="1901" t="s">
        <v>1161</v>
      </c>
      <c r="C265" s="1902"/>
      <c r="D265" s="1902"/>
      <c r="E265" s="1902"/>
      <c r="F265" s="1902"/>
      <c r="G265" s="1902"/>
      <c r="H265" s="1902"/>
      <c r="I265" s="1902"/>
      <c r="J265" s="1902"/>
      <c r="K265" s="1902"/>
      <c r="L265" s="1902"/>
      <c r="M265" s="1902"/>
      <c r="N265" s="1902"/>
      <c r="O265" s="1902"/>
      <c r="P265" s="287"/>
      <c r="R265" s="115"/>
      <c r="S265" s="168"/>
      <c r="T265" s="115"/>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4"/>
      <c r="BR265" s="14"/>
      <c r="BS265" s="14"/>
      <c r="BT265" s="14"/>
      <c r="BU265" s="14"/>
      <c r="BV265" s="14"/>
      <c r="BW265" s="14"/>
      <c r="BX265" s="14"/>
      <c r="BY265" s="14"/>
      <c r="BZ265" s="14"/>
      <c r="CA265" s="14"/>
      <c r="CB265" s="14"/>
      <c r="CC265" s="14"/>
      <c r="CD265" s="14"/>
      <c r="CE265" s="14"/>
      <c r="CF265" s="14"/>
      <c r="CG265" s="14"/>
      <c r="CH265" s="14"/>
      <c r="CI265" s="14"/>
      <c r="CJ265" s="14"/>
      <c r="CK265" s="14"/>
      <c r="CL265" s="14"/>
      <c r="CM265" s="14"/>
      <c r="CN265" s="14"/>
      <c r="CO265" s="14"/>
      <c r="CP265" s="14"/>
      <c r="CQ265" s="14"/>
      <c r="CR265" s="14"/>
      <c r="CS265" s="14"/>
      <c r="CT265" s="14"/>
      <c r="CU265" s="14"/>
      <c r="CV265" s="14"/>
      <c r="CW265" s="14"/>
      <c r="CX265" s="14"/>
      <c r="CY265" s="14"/>
      <c r="CZ265" s="14"/>
      <c r="DA265" s="14"/>
      <c r="DB265" s="14"/>
      <c r="DC265" s="14"/>
      <c r="DD265" s="14"/>
      <c r="DE265" s="14"/>
      <c r="DF265" s="14"/>
      <c r="DG265" s="14"/>
      <c r="DH265" s="14"/>
      <c r="DI265" s="14"/>
      <c r="DJ265" s="14"/>
      <c r="DK265" s="14"/>
      <c r="DL265" s="14"/>
      <c r="DM265" s="14"/>
      <c r="DN265" s="14"/>
      <c r="DO265" s="14"/>
      <c r="DP265" s="14"/>
      <c r="DQ265" s="14"/>
      <c r="DR265" s="14"/>
      <c r="DS265" s="14"/>
      <c r="DT265" s="14"/>
      <c r="DU265" s="14"/>
      <c r="DV265" s="14"/>
      <c r="DW265" s="14"/>
      <c r="DX265" s="14"/>
      <c r="DY265" s="14"/>
      <c r="DZ265" s="14"/>
      <c r="EA265" s="14"/>
      <c r="EB265" s="14"/>
      <c r="EC265" s="14"/>
      <c r="ED265" s="14"/>
      <c r="EE265" s="14"/>
      <c r="EF265" s="14"/>
      <c r="EG265" s="14"/>
      <c r="EH265" s="14"/>
      <c r="EI265" s="14"/>
      <c r="EJ265" s="14"/>
      <c r="EK265" s="14"/>
      <c r="EL265" s="14"/>
      <c r="EM265" s="14"/>
      <c r="EN265" s="14"/>
      <c r="EO265" s="14"/>
      <c r="EP265" s="14"/>
      <c r="EQ265" s="14"/>
      <c r="ER265" s="14"/>
      <c r="ES265" s="14"/>
      <c r="ET265" s="14"/>
      <c r="EU265" s="14"/>
      <c r="EV265" s="14"/>
      <c r="EW265" s="14"/>
      <c r="EX265" s="14"/>
      <c r="EY265" s="14"/>
      <c r="EZ265" s="14"/>
      <c r="FA265" s="14"/>
      <c r="FB265" s="14"/>
      <c r="FC265" s="14"/>
      <c r="FD265" s="14"/>
      <c r="FE265" s="14"/>
      <c r="FF265" s="14"/>
      <c r="FG265" s="14"/>
      <c r="FH265" s="14"/>
      <c r="FI265" s="14"/>
      <c r="FJ265" s="14"/>
      <c r="FK265" s="14"/>
      <c r="FL265" s="14"/>
      <c r="FM265" s="14"/>
      <c r="FN265" s="14"/>
      <c r="FO265" s="14"/>
      <c r="FP265" s="14"/>
      <c r="FQ265" s="14"/>
      <c r="FR265" s="14"/>
      <c r="FS265" s="14"/>
      <c r="FT265" s="14"/>
      <c r="FU265" s="14"/>
      <c r="FV265" s="14"/>
      <c r="FW265" s="14"/>
      <c r="FX265" s="14"/>
      <c r="FY265" s="14"/>
      <c r="FZ265" s="14"/>
      <c r="GA265" s="14"/>
      <c r="GB265" s="14"/>
      <c r="GC265" s="14"/>
      <c r="GD265" s="14"/>
      <c r="GE265" s="14"/>
      <c r="GF265" s="14"/>
      <c r="GG265" s="14"/>
      <c r="GH265" s="14"/>
      <c r="GI265" s="14"/>
      <c r="GJ265" s="14"/>
      <c r="GK265" s="14"/>
      <c r="GL265" s="14"/>
      <c r="GM265" s="14"/>
      <c r="GN265" s="14"/>
      <c r="GO265" s="14"/>
      <c r="GP265" s="14"/>
      <c r="GQ265" s="14"/>
      <c r="GR265" s="14"/>
      <c r="GS265" s="14"/>
      <c r="GT265" s="14"/>
      <c r="GU265" s="14"/>
      <c r="GV265" s="14"/>
      <c r="GW265" s="14"/>
      <c r="GX265" s="14"/>
      <c r="GY265" s="14"/>
      <c r="GZ265" s="14"/>
      <c r="HA265" s="14"/>
      <c r="HB265" s="14"/>
      <c r="HC265" s="14"/>
      <c r="HD265" s="14"/>
      <c r="HE265" s="14"/>
      <c r="HF265" s="14"/>
      <c r="HG265" s="14"/>
      <c r="HH265" s="14"/>
      <c r="HI265" s="14"/>
      <c r="HJ265" s="14"/>
      <c r="HK265" s="14"/>
      <c r="HL265" s="14"/>
      <c r="HM265" s="14"/>
      <c r="HN265" s="14"/>
      <c r="HO265" s="14"/>
      <c r="HP265" s="14"/>
      <c r="HQ265" s="14"/>
      <c r="HR265" s="14"/>
      <c r="HS265" s="14"/>
      <c r="HT265" s="14"/>
    </row>
    <row r="266" spans="1:228" ht="40.5" customHeight="1" x14ac:dyDescent="0.2">
      <c r="B266" s="1370" t="s">
        <v>141</v>
      </c>
      <c r="C266" s="1371"/>
      <c r="D266" s="1371"/>
      <c r="E266" s="1371"/>
      <c r="F266" s="1371"/>
      <c r="G266" s="1371"/>
      <c r="H266" s="1371"/>
      <c r="I266" s="1371"/>
      <c r="J266" s="1371"/>
      <c r="K266" s="1371"/>
      <c r="L266" s="1371"/>
      <c r="M266" s="1371"/>
      <c r="N266" s="1371"/>
      <c r="O266" s="1371"/>
      <c r="P266" s="286"/>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4"/>
      <c r="BR266" s="14"/>
      <c r="BS266" s="14"/>
      <c r="BT266" s="14"/>
      <c r="BU266" s="14"/>
      <c r="BV266" s="14"/>
      <c r="BW266" s="14"/>
      <c r="BX266" s="14"/>
      <c r="BY266" s="14"/>
      <c r="BZ266" s="14"/>
      <c r="CA266" s="14"/>
      <c r="CB266" s="14"/>
      <c r="CC266" s="14"/>
      <c r="CD266" s="14"/>
      <c r="CE266" s="14"/>
      <c r="CF266" s="14"/>
      <c r="CG266" s="14"/>
      <c r="CH266" s="14"/>
      <c r="CI266" s="14"/>
      <c r="CJ266" s="14"/>
      <c r="CK266" s="14"/>
      <c r="CL266" s="14"/>
      <c r="CM266" s="14"/>
      <c r="CN266" s="14"/>
      <c r="CO266" s="14"/>
      <c r="CP266" s="14"/>
      <c r="CQ266" s="14"/>
      <c r="CR266" s="14"/>
      <c r="CS266" s="14"/>
      <c r="CT266" s="14"/>
      <c r="CU266" s="14"/>
      <c r="CV266" s="14"/>
      <c r="CW266" s="14"/>
      <c r="CX266" s="14"/>
      <c r="CY266" s="14"/>
      <c r="CZ266" s="14"/>
      <c r="DA266" s="14"/>
      <c r="DB266" s="14"/>
      <c r="DC266" s="14"/>
      <c r="DD266" s="14"/>
      <c r="DE266" s="14"/>
      <c r="DF266" s="14"/>
      <c r="DG266" s="14"/>
      <c r="DH266" s="14"/>
      <c r="DI266" s="14"/>
      <c r="DJ266" s="14"/>
      <c r="DK266" s="14"/>
      <c r="DL266" s="14"/>
      <c r="DM266" s="14"/>
      <c r="DN266" s="14"/>
      <c r="DO266" s="14"/>
      <c r="DP266" s="14"/>
      <c r="DQ266" s="14"/>
      <c r="DR266" s="14"/>
      <c r="DS266" s="14"/>
      <c r="DT266" s="14"/>
      <c r="DU266" s="14"/>
      <c r="DV266" s="14"/>
      <c r="DW266" s="14"/>
      <c r="DX266" s="14"/>
      <c r="DY266" s="14"/>
      <c r="DZ266" s="14"/>
      <c r="EA266" s="14"/>
      <c r="EB266" s="14"/>
      <c r="EC266" s="14"/>
      <c r="ED266" s="14"/>
      <c r="EE266" s="14"/>
      <c r="EF266" s="14"/>
      <c r="EG266" s="14"/>
      <c r="EH266" s="14"/>
      <c r="EI266" s="14"/>
      <c r="EJ266" s="14"/>
      <c r="EK266" s="14"/>
      <c r="EL266" s="14"/>
      <c r="EM266" s="14"/>
      <c r="EN266" s="14"/>
      <c r="EO266" s="14"/>
      <c r="EP266" s="14"/>
      <c r="EQ266" s="14"/>
      <c r="ER266" s="14"/>
      <c r="ES266" s="14"/>
      <c r="ET266" s="14"/>
      <c r="EU266" s="14"/>
      <c r="EV266" s="14"/>
      <c r="EW266" s="14"/>
      <c r="EX266" s="14"/>
      <c r="EY266" s="14"/>
      <c r="EZ266" s="14"/>
      <c r="FA266" s="14"/>
      <c r="FB266" s="14"/>
      <c r="FC266" s="14"/>
      <c r="FD266" s="14"/>
      <c r="FE266" s="14"/>
      <c r="FF266" s="14"/>
      <c r="FG266" s="14"/>
      <c r="FH266" s="14"/>
      <c r="FI266" s="14"/>
      <c r="FJ266" s="14"/>
      <c r="FK266" s="14"/>
      <c r="FL266" s="14"/>
      <c r="FM266" s="14"/>
      <c r="FN266" s="14"/>
      <c r="FO266" s="14"/>
      <c r="FP266" s="14"/>
      <c r="FQ266" s="14"/>
      <c r="FR266" s="14"/>
      <c r="FS266" s="14"/>
      <c r="FT266" s="14"/>
      <c r="FU266" s="14"/>
      <c r="FV266" s="14"/>
      <c r="FW266" s="14"/>
      <c r="FX266" s="14"/>
      <c r="FY266" s="14"/>
      <c r="FZ266" s="14"/>
      <c r="GA266" s="14"/>
      <c r="GB266" s="14"/>
      <c r="GC266" s="14"/>
      <c r="GD266" s="14"/>
      <c r="GE266" s="14"/>
      <c r="GF266" s="14"/>
      <c r="GG266" s="14"/>
      <c r="GH266" s="14"/>
      <c r="GI266" s="14"/>
      <c r="GJ266" s="14"/>
      <c r="GK266" s="14"/>
      <c r="GL266" s="14"/>
      <c r="GM266" s="14"/>
      <c r="GN266" s="14"/>
      <c r="GO266" s="14"/>
      <c r="GP266" s="14"/>
      <c r="GQ266" s="14"/>
      <c r="GR266" s="14"/>
      <c r="GS266" s="14"/>
      <c r="GT266" s="14"/>
      <c r="GU266" s="14"/>
      <c r="GV266" s="14"/>
      <c r="GW266" s="14"/>
      <c r="GX266" s="14"/>
      <c r="GY266" s="14"/>
      <c r="GZ266" s="14"/>
      <c r="HA266" s="14"/>
      <c r="HB266" s="14"/>
      <c r="HC266" s="14"/>
      <c r="HD266" s="14"/>
      <c r="HE266" s="14"/>
      <c r="HF266" s="14"/>
      <c r="HG266" s="14"/>
      <c r="HH266" s="14"/>
      <c r="HI266" s="14"/>
      <c r="HJ266" s="14"/>
      <c r="HK266" s="14"/>
      <c r="HL266" s="14"/>
      <c r="HM266" s="14"/>
      <c r="HN266" s="14"/>
      <c r="HO266" s="14"/>
      <c r="HP266" s="14"/>
      <c r="HQ266" s="14"/>
      <c r="HR266" s="14"/>
      <c r="HS266" s="14"/>
      <c r="HT266" s="14"/>
    </row>
    <row r="267" spans="1:228" ht="18" customHeight="1" x14ac:dyDescent="0.2">
      <c r="A267" s="20"/>
      <c r="B267" s="1888" t="s">
        <v>948</v>
      </c>
      <c r="C267" s="1889"/>
      <c r="D267" s="1889"/>
      <c r="E267" s="1889"/>
      <c r="F267" s="1889"/>
      <c r="G267" s="1889"/>
      <c r="H267" s="1889"/>
      <c r="I267" s="1889"/>
      <c r="J267" s="1889"/>
      <c r="K267" s="1889"/>
      <c r="L267" s="1889"/>
      <c r="M267" s="1889"/>
      <c r="N267" s="2067"/>
      <c r="O267" s="2067"/>
      <c r="P267" s="26">
        <f>IF(S267=1,0.05,0)</f>
        <v>0</v>
      </c>
      <c r="R267" s="963" t="s">
        <v>2239</v>
      </c>
      <c r="S267" s="686">
        <v>2</v>
      </c>
      <c r="T267" s="18"/>
      <c r="U267" s="18"/>
      <c r="V267" s="18"/>
      <c r="W267" s="18">
        <v>1E-4</v>
      </c>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4"/>
      <c r="BR267" s="14"/>
      <c r="BS267" s="14"/>
      <c r="BT267" s="14"/>
      <c r="BU267" s="14"/>
      <c r="BV267" s="14"/>
      <c r="BW267" s="14"/>
      <c r="BX267" s="14"/>
      <c r="BY267" s="14"/>
      <c r="BZ267" s="14"/>
      <c r="CA267" s="14"/>
      <c r="CB267" s="14"/>
      <c r="CC267" s="14"/>
      <c r="CD267" s="14"/>
      <c r="CE267" s="14"/>
      <c r="CF267" s="14"/>
      <c r="CG267" s="14"/>
      <c r="CH267" s="14"/>
      <c r="CI267" s="14"/>
      <c r="CJ267" s="14"/>
      <c r="CK267" s="14"/>
      <c r="CL267" s="14"/>
      <c r="CM267" s="14"/>
      <c r="CN267" s="14"/>
      <c r="CO267" s="14"/>
      <c r="CP267" s="14"/>
      <c r="CQ267" s="14"/>
      <c r="CR267" s="14"/>
      <c r="CS267" s="14"/>
      <c r="CT267" s="14"/>
      <c r="CU267" s="14"/>
      <c r="CV267" s="14"/>
      <c r="CW267" s="14"/>
      <c r="CX267" s="14"/>
      <c r="CY267" s="14"/>
      <c r="CZ267" s="14"/>
      <c r="DA267" s="14"/>
      <c r="DB267" s="14"/>
      <c r="DC267" s="14"/>
      <c r="DD267" s="14"/>
      <c r="DE267" s="14"/>
      <c r="DF267" s="14"/>
      <c r="DG267" s="14"/>
      <c r="DH267" s="14"/>
      <c r="DI267" s="14"/>
      <c r="DJ267" s="14"/>
      <c r="DK267" s="14"/>
      <c r="DL267" s="14"/>
      <c r="DM267" s="14"/>
      <c r="DN267" s="14"/>
      <c r="DO267" s="14"/>
      <c r="DP267" s="14"/>
      <c r="DQ267" s="14"/>
      <c r="DR267" s="14"/>
      <c r="DS267" s="14"/>
      <c r="DT267" s="14"/>
      <c r="DU267" s="14"/>
      <c r="DV267" s="14"/>
      <c r="DW267" s="14"/>
      <c r="DX267" s="14"/>
      <c r="DY267" s="14"/>
      <c r="DZ267" s="14"/>
      <c r="EA267" s="14"/>
      <c r="EB267" s="14"/>
      <c r="EC267" s="14"/>
      <c r="ED267" s="14"/>
      <c r="EE267" s="14"/>
      <c r="EF267" s="14"/>
      <c r="EG267" s="14"/>
      <c r="EH267" s="14"/>
      <c r="EI267" s="14"/>
      <c r="EJ267" s="14"/>
      <c r="EK267" s="14"/>
      <c r="EL267" s="14"/>
      <c r="EM267" s="14"/>
      <c r="EN267" s="14"/>
      <c r="EO267" s="14"/>
      <c r="EP267" s="14"/>
      <c r="EQ267" s="14"/>
      <c r="ER267" s="14"/>
      <c r="ES267" s="14"/>
      <c r="ET267" s="14"/>
      <c r="EU267" s="14"/>
      <c r="EV267" s="14"/>
      <c r="EW267" s="14"/>
      <c r="EX267" s="14"/>
      <c r="EY267" s="14"/>
      <c r="EZ267" s="14"/>
      <c r="FA267" s="14"/>
      <c r="FB267" s="14"/>
      <c r="FC267" s="14"/>
      <c r="FD267" s="14"/>
      <c r="FE267" s="14"/>
      <c r="FF267" s="14"/>
      <c r="FG267" s="14"/>
      <c r="FH267" s="14"/>
      <c r="FI267" s="14"/>
      <c r="FJ267" s="14"/>
      <c r="FK267" s="14"/>
      <c r="FL267" s="14"/>
      <c r="FM267" s="14"/>
      <c r="FN267" s="14"/>
      <c r="FO267" s="14"/>
      <c r="FP267" s="14"/>
      <c r="FQ267" s="14"/>
      <c r="FR267" s="14"/>
      <c r="FS267" s="14"/>
      <c r="FT267" s="14"/>
      <c r="FU267" s="14"/>
      <c r="FV267" s="14"/>
      <c r="FW267" s="14"/>
      <c r="FX267" s="14"/>
      <c r="FY267" s="14"/>
      <c r="FZ267" s="14"/>
      <c r="GA267" s="14"/>
      <c r="GB267" s="14"/>
      <c r="GC267" s="14"/>
      <c r="GD267" s="14"/>
      <c r="GE267" s="14"/>
      <c r="GF267" s="14"/>
      <c r="GG267" s="14"/>
      <c r="GH267" s="14"/>
      <c r="GI267" s="14"/>
      <c r="GJ267" s="14"/>
      <c r="GK267" s="14"/>
      <c r="GL267" s="14"/>
      <c r="GM267" s="14"/>
      <c r="GN267" s="14"/>
      <c r="GO267" s="14"/>
      <c r="GP267" s="14"/>
      <c r="GQ267" s="14"/>
      <c r="GR267" s="14"/>
      <c r="GS267" s="14"/>
      <c r="GT267" s="14"/>
      <c r="GU267" s="14"/>
      <c r="GV267" s="14"/>
      <c r="GW267" s="14"/>
      <c r="GX267" s="14"/>
      <c r="GY267" s="14"/>
      <c r="GZ267" s="14"/>
      <c r="HA267" s="14"/>
      <c r="HB267" s="14"/>
      <c r="HC267" s="14"/>
      <c r="HD267" s="14"/>
      <c r="HE267" s="14"/>
      <c r="HF267" s="14"/>
      <c r="HG267" s="14"/>
      <c r="HH267" s="14"/>
      <c r="HI267" s="14"/>
      <c r="HJ267" s="14"/>
      <c r="HK267" s="14"/>
      <c r="HL267" s="14"/>
      <c r="HM267" s="14"/>
      <c r="HN267" s="14"/>
      <c r="HO267" s="14"/>
      <c r="HP267" s="14"/>
      <c r="HQ267" s="14"/>
      <c r="HR267" s="14"/>
      <c r="HS267" s="14"/>
      <c r="HT267" s="14"/>
    </row>
    <row r="268" spans="1:228" ht="12" customHeight="1" x14ac:dyDescent="0.25">
      <c r="A268" s="8"/>
      <c r="B268" s="1825"/>
      <c r="C268" s="1825"/>
      <c r="D268" s="1825"/>
      <c r="E268" s="1825"/>
      <c r="F268" s="1825"/>
      <c r="G268" s="1825"/>
      <c r="H268" s="1825"/>
      <c r="I268" s="1825"/>
      <c r="J268" s="1825"/>
      <c r="K268" s="1825"/>
      <c r="L268" s="1825"/>
      <c r="M268" s="1825"/>
      <c r="N268" s="1825"/>
      <c r="O268" s="1825"/>
      <c r="P268" s="75"/>
      <c r="Q268" s="8"/>
      <c r="R268" s="60"/>
      <c r="S268" s="60"/>
      <c r="T268" s="60"/>
      <c r="U268" s="60"/>
      <c r="V268" s="60"/>
      <c r="W268" s="60"/>
      <c r="X268" s="60"/>
      <c r="Y268" s="60"/>
      <c r="Z268" s="60"/>
      <c r="AA268" s="60"/>
      <c r="AB268" s="60"/>
      <c r="AC268" s="60"/>
      <c r="AD268" s="60"/>
      <c r="AE268" s="60"/>
      <c r="AF268" s="60"/>
      <c r="AG268" s="60"/>
      <c r="AH268" s="60"/>
      <c r="AI268" s="60"/>
      <c r="AJ268" s="60"/>
      <c r="AK268" s="60"/>
      <c r="AL268" s="60"/>
      <c r="AM268" s="60"/>
      <c r="AN268" s="60"/>
      <c r="AO268" s="60"/>
      <c r="AP268" s="60"/>
      <c r="AQ268" s="60"/>
      <c r="AR268" s="60"/>
      <c r="AS268" s="60"/>
      <c r="AT268" s="60"/>
      <c r="AU268" s="60"/>
      <c r="AV268" s="60"/>
      <c r="AW268" s="60"/>
      <c r="AX268" s="60"/>
      <c r="AY268" s="60"/>
      <c r="AZ268" s="60"/>
      <c r="BA268" s="60"/>
      <c r="BB268" s="60"/>
      <c r="BC268" s="60"/>
      <c r="BD268" s="60"/>
      <c r="BE268" s="60"/>
      <c r="BF268" s="18"/>
      <c r="BG268" s="18"/>
      <c r="BH268" s="18"/>
      <c r="BI268" s="18"/>
      <c r="BJ268" s="18"/>
      <c r="BK268" s="18"/>
      <c r="BL268" s="18"/>
      <c r="BM268" s="18"/>
      <c r="BN268" s="18"/>
      <c r="BO268" s="18"/>
      <c r="BP268" s="18"/>
      <c r="BQ268" s="14"/>
      <c r="BR268" s="14"/>
      <c r="BS268" s="14"/>
      <c r="BT268" s="14"/>
      <c r="BU268" s="14"/>
      <c r="BV268" s="14"/>
      <c r="BW268" s="14"/>
      <c r="BX268" s="14"/>
      <c r="BY268" s="14"/>
      <c r="BZ268" s="14"/>
      <c r="CA268" s="14"/>
      <c r="CB268" s="14"/>
      <c r="CC268" s="14"/>
      <c r="CD268" s="14"/>
      <c r="CE268" s="14"/>
      <c r="CF268" s="14"/>
      <c r="CG268" s="14"/>
      <c r="CH268" s="14"/>
      <c r="CI268" s="14"/>
      <c r="CJ268" s="14"/>
      <c r="CK268" s="14"/>
      <c r="CL268" s="14"/>
      <c r="CM268" s="14"/>
      <c r="CN268" s="14"/>
      <c r="CO268" s="14"/>
      <c r="CP268" s="14"/>
      <c r="CQ268" s="14"/>
      <c r="CR268" s="14"/>
      <c r="CS268" s="14"/>
      <c r="CT268" s="14"/>
      <c r="CU268" s="14"/>
      <c r="CV268" s="14"/>
      <c r="CW268" s="14"/>
      <c r="CX268" s="14"/>
      <c r="CY268" s="14"/>
      <c r="CZ268" s="14"/>
      <c r="DA268" s="14"/>
      <c r="DB268" s="14"/>
      <c r="DC268" s="14"/>
      <c r="DD268" s="14"/>
      <c r="DE268" s="14"/>
      <c r="DF268" s="14"/>
      <c r="DG268" s="14"/>
      <c r="DH268" s="14"/>
      <c r="DI268" s="14"/>
      <c r="DJ268" s="14"/>
      <c r="DK268" s="14"/>
      <c r="DL268" s="14"/>
      <c r="DM268" s="14"/>
      <c r="DN268" s="14"/>
      <c r="DO268" s="14"/>
      <c r="DP268" s="14"/>
      <c r="DQ268" s="14"/>
      <c r="DR268" s="14"/>
      <c r="DS268" s="14"/>
      <c r="DT268" s="14"/>
      <c r="DU268" s="14"/>
      <c r="DV268" s="14"/>
      <c r="DW268" s="14"/>
      <c r="DX268" s="14"/>
      <c r="DY268" s="14"/>
      <c r="DZ268" s="14"/>
      <c r="EA268" s="14"/>
      <c r="EB268" s="14"/>
      <c r="EC268" s="14"/>
      <c r="ED268" s="14"/>
      <c r="EE268" s="14"/>
      <c r="EF268" s="14"/>
      <c r="EG268" s="14"/>
      <c r="EH268" s="14"/>
      <c r="EI268" s="14"/>
      <c r="EJ268" s="14"/>
      <c r="EK268" s="14"/>
      <c r="EL268" s="14"/>
      <c r="EM268" s="14"/>
      <c r="EN268" s="14"/>
      <c r="EO268" s="14"/>
      <c r="EP268" s="14"/>
      <c r="EQ268" s="14"/>
      <c r="ER268" s="14"/>
      <c r="ES268" s="14"/>
      <c r="ET268" s="14"/>
      <c r="EU268" s="14"/>
      <c r="EV268" s="14"/>
      <c r="EW268" s="14"/>
      <c r="EX268" s="14"/>
      <c r="EY268" s="14"/>
      <c r="EZ268" s="14"/>
      <c r="FA268" s="14"/>
      <c r="FB268" s="14"/>
      <c r="FC268" s="14"/>
      <c r="FD268" s="14"/>
      <c r="FE268" s="14"/>
      <c r="FF268" s="14"/>
      <c r="FG268" s="14"/>
      <c r="FH268" s="14"/>
      <c r="FI268" s="14"/>
      <c r="FJ268" s="14"/>
      <c r="FK268" s="14"/>
      <c r="FL268" s="14"/>
      <c r="FM268" s="14"/>
      <c r="FN268" s="14"/>
      <c r="FO268" s="14"/>
      <c r="FP268" s="14"/>
      <c r="FQ268" s="14"/>
      <c r="FR268" s="14"/>
      <c r="FS268" s="14"/>
      <c r="FT268" s="14"/>
      <c r="FU268" s="14"/>
      <c r="FV268" s="14"/>
      <c r="FW268" s="14"/>
      <c r="FX268" s="14"/>
      <c r="FY268" s="14"/>
      <c r="FZ268" s="14"/>
      <c r="GA268" s="14"/>
      <c r="GB268" s="14"/>
      <c r="GC268" s="14"/>
      <c r="GD268" s="14"/>
      <c r="GE268" s="14"/>
      <c r="GF268" s="14"/>
      <c r="GG268" s="14"/>
      <c r="GH268" s="14"/>
      <c r="GI268" s="14"/>
      <c r="GJ268" s="14"/>
      <c r="GK268" s="14"/>
      <c r="GL268" s="14"/>
      <c r="GM268" s="14"/>
      <c r="GN268" s="14"/>
      <c r="GO268" s="14"/>
      <c r="GP268" s="14"/>
      <c r="GQ268" s="14"/>
      <c r="GR268" s="14"/>
      <c r="GS268" s="14"/>
      <c r="GT268" s="14"/>
      <c r="GU268" s="14"/>
      <c r="GV268" s="14"/>
      <c r="GW268" s="14"/>
      <c r="GX268" s="14"/>
      <c r="GY268" s="14"/>
      <c r="GZ268" s="14"/>
      <c r="HA268" s="14"/>
      <c r="HB268" s="14"/>
      <c r="HC268" s="14"/>
      <c r="HD268" s="14"/>
      <c r="HE268" s="14"/>
      <c r="HF268" s="14"/>
      <c r="HG268" s="14"/>
      <c r="HH268" s="14"/>
      <c r="HI268" s="14"/>
      <c r="HJ268" s="14"/>
      <c r="HK268" s="14"/>
      <c r="HL268" s="14"/>
      <c r="HM268" s="14"/>
      <c r="HN268" s="14"/>
      <c r="HO268" s="14"/>
      <c r="HP268" s="14"/>
      <c r="HQ268" s="14"/>
      <c r="HR268" s="14"/>
      <c r="HS268" s="14"/>
      <c r="HT268" s="14"/>
    </row>
    <row r="269" spans="1:228" ht="18" customHeight="1" x14ac:dyDescent="0.2">
      <c r="A269" s="8"/>
      <c r="B269" s="1534" t="s">
        <v>1162</v>
      </c>
      <c r="C269" s="1534"/>
      <c r="D269" s="1534"/>
      <c r="E269" s="1534"/>
      <c r="F269" s="1534"/>
      <c r="G269" s="1534"/>
      <c r="H269" s="1534"/>
      <c r="I269" s="1534"/>
      <c r="J269" s="1534"/>
      <c r="K269" s="1534"/>
      <c r="L269" s="1534"/>
      <c r="M269" s="1534"/>
      <c r="N269" s="1534"/>
      <c r="O269" s="1534"/>
      <c r="P269" s="185"/>
      <c r="Q269" s="8"/>
      <c r="R269" s="60"/>
      <c r="S269" s="60"/>
      <c r="T269" s="60"/>
      <c r="U269" s="60"/>
      <c r="V269" s="60"/>
      <c r="W269" s="60"/>
      <c r="X269" s="60"/>
      <c r="Y269" s="60"/>
      <c r="Z269" s="60"/>
      <c r="AA269" s="60"/>
      <c r="AB269" s="60"/>
      <c r="AC269" s="60"/>
      <c r="AD269" s="60"/>
      <c r="AE269" s="60"/>
      <c r="AF269" s="60"/>
      <c r="AG269" s="60"/>
      <c r="AH269" s="60"/>
      <c r="AI269" s="60"/>
      <c r="AJ269" s="60"/>
      <c r="AK269" s="60"/>
      <c r="AL269" s="60"/>
      <c r="AM269" s="60"/>
      <c r="AN269" s="60"/>
      <c r="AO269" s="60"/>
      <c r="AP269" s="60"/>
      <c r="AQ269" s="60"/>
      <c r="AR269" s="60"/>
      <c r="AS269" s="60"/>
      <c r="AT269" s="60"/>
      <c r="AU269" s="60"/>
      <c r="AV269" s="60"/>
      <c r="AW269" s="60"/>
      <c r="AX269" s="60"/>
      <c r="AY269" s="60"/>
      <c r="AZ269" s="60"/>
      <c r="BA269" s="60"/>
      <c r="BB269" s="60"/>
      <c r="BC269" s="60"/>
      <c r="BD269" s="60"/>
      <c r="BE269" s="60"/>
      <c r="BF269" s="18"/>
      <c r="BG269" s="18"/>
      <c r="BH269" s="18"/>
      <c r="BI269" s="18"/>
      <c r="BJ269" s="18"/>
      <c r="BK269" s="18"/>
      <c r="BL269" s="18"/>
      <c r="BM269" s="18"/>
      <c r="BN269" s="18"/>
      <c r="BO269" s="18"/>
      <c r="BP269" s="18"/>
      <c r="BQ269" s="14"/>
      <c r="BR269" s="14"/>
      <c r="BS269" s="14"/>
      <c r="BT269" s="14"/>
      <c r="BU269" s="14"/>
      <c r="BV269" s="14"/>
      <c r="BW269" s="14"/>
      <c r="BX269" s="14"/>
      <c r="BY269" s="14"/>
      <c r="BZ269" s="14"/>
      <c r="CA269" s="14"/>
      <c r="CB269" s="14"/>
      <c r="CC269" s="14"/>
      <c r="CD269" s="14"/>
      <c r="CE269" s="14"/>
      <c r="CF269" s="14"/>
      <c r="CG269" s="14"/>
      <c r="CH269" s="14"/>
      <c r="CI269" s="14"/>
      <c r="CJ269" s="14"/>
      <c r="CK269" s="14"/>
      <c r="CL269" s="14"/>
      <c r="CM269" s="14"/>
      <c r="CN269" s="14"/>
      <c r="CO269" s="14"/>
      <c r="CP269" s="14"/>
      <c r="CQ269" s="14"/>
      <c r="CR269" s="14"/>
      <c r="CS269" s="14"/>
      <c r="CT269" s="14"/>
      <c r="CU269" s="14"/>
      <c r="CV269" s="14"/>
      <c r="CW269" s="14"/>
      <c r="CX269" s="14"/>
      <c r="CY269" s="14"/>
      <c r="CZ269" s="14"/>
      <c r="DA269" s="14"/>
      <c r="DB269" s="14"/>
      <c r="DC269" s="14"/>
      <c r="DD269" s="14"/>
      <c r="DE269" s="14"/>
      <c r="DF269" s="14"/>
      <c r="DG269" s="14"/>
      <c r="DH269" s="14"/>
      <c r="DI269" s="14"/>
      <c r="DJ269" s="14"/>
      <c r="DK269" s="14"/>
      <c r="DL269" s="14"/>
      <c r="DM269" s="14"/>
      <c r="DN269" s="14"/>
      <c r="DO269" s="14"/>
      <c r="DP269" s="14"/>
      <c r="DQ269" s="14"/>
      <c r="DR269" s="14"/>
      <c r="DS269" s="14"/>
      <c r="DT269" s="14"/>
      <c r="DU269" s="14"/>
      <c r="DV269" s="14"/>
      <c r="DW269" s="14"/>
      <c r="DX269" s="14"/>
      <c r="DY269" s="14"/>
      <c r="DZ269" s="14"/>
      <c r="EA269" s="14"/>
      <c r="EB269" s="14"/>
      <c r="EC269" s="14"/>
      <c r="ED269" s="14"/>
      <c r="EE269" s="14"/>
      <c r="EF269" s="14"/>
      <c r="EG269" s="14"/>
      <c r="EH269" s="14"/>
      <c r="EI269" s="14"/>
      <c r="EJ269" s="14"/>
      <c r="EK269" s="14"/>
      <c r="EL269" s="14"/>
      <c r="EM269" s="14"/>
      <c r="EN269" s="14"/>
      <c r="EO269" s="14"/>
      <c r="EP269" s="14"/>
      <c r="EQ269" s="14"/>
      <c r="ER269" s="14"/>
      <c r="ES269" s="14"/>
      <c r="ET269" s="14"/>
      <c r="EU269" s="14"/>
      <c r="EV269" s="14"/>
      <c r="EW269" s="14"/>
      <c r="EX269" s="14"/>
      <c r="EY269" s="14"/>
      <c r="EZ269" s="14"/>
      <c r="FA269" s="14"/>
      <c r="FB269" s="14"/>
      <c r="FC269" s="14"/>
      <c r="FD269" s="14"/>
      <c r="FE269" s="14"/>
      <c r="FF269" s="14"/>
      <c r="FG269" s="14"/>
      <c r="FH269" s="14"/>
      <c r="FI269" s="14"/>
      <c r="FJ269" s="14"/>
      <c r="FK269" s="14"/>
      <c r="FL269" s="14"/>
      <c r="FM269" s="14"/>
      <c r="FN269" s="14"/>
      <c r="FO269" s="14"/>
      <c r="FP269" s="14"/>
      <c r="FQ269" s="14"/>
      <c r="FR269" s="14"/>
      <c r="FS269" s="14"/>
      <c r="FT269" s="14"/>
      <c r="FU269" s="14"/>
      <c r="FV269" s="14"/>
      <c r="FW269" s="14"/>
      <c r="FX269" s="14"/>
      <c r="FY269" s="14"/>
      <c r="FZ269" s="14"/>
      <c r="GA269" s="14"/>
      <c r="GB269" s="14"/>
      <c r="GC269" s="14"/>
      <c r="GD269" s="14"/>
      <c r="GE269" s="14"/>
      <c r="GF269" s="14"/>
      <c r="GG269" s="14"/>
      <c r="GH269" s="14"/>
      <c r="GI269" s="14"/>
      <c r="GJ269" s="14"/>
      <c r="GK269" s="14"/>
      <c r="GL269" s="14"/>
      <c r="GM269" s="14"/>
      <c r="GN269" s="14"/>
      <c r="GO269" s="14"/>
      <c r="GP269" s="14"/>
      <c r="GQ269" s="14"/>
      <c r="GR269" s="14"/>
      <c r="GS269" s="14"/>
      <c r="GT269" s="14"/>
      <c r="GU269" s="14"/>
      <c r="GV269" s="14"/>
      <c r="GW269" s="14"/>
      <c r="GX269" s="14"/>
      <c r="GY269" s="14"/>
      <c r="GZ269" s="14"/>
      <c r="HA269" s="14"/>
      <c r="HB269" s="14"/>
      <c r="HC269" s="14"/>
      <c r="HD269" s="14"/>
      <c r="HE269" s="14"/>
      <c r="HF269" s="14"/>
      <c r="HG269" s="14"/>
      <c r="HH269" s="14"/>
      <c r="HI269" s="14"/>
      <c r="HJ269" s="14"/>
      <c r="HK269" s="14"/>
      <c r="HL269" s="14"/>
      <c r="HM269" s="14"/>
      <c r="HN269" s="14"/>
      <c r="HO269" s="14"/>
      <c r="HP269" s="14"/>
      <c r="HQ269" s="14"/>
      <c r="HR269" s="14"/>
      <c r="HS269" s="14"/>
      <c r="HT269" s="14"/>
    </row>
    <row r="270" spans="1:228" ht="15" customHeight="1" x14ac:dyDescent="0.2">
      <c r="A270" s="8"/>
      <c r="B270" s="353" t="s">
        <v>1163</v>
      </c>
      <c r="C270" s="1849">
        <f>IF(OR($R$270=1,$R$271=1),P33,0)</f>
        <v>0</v>
      </c>
      <c r="D270" s="1850"/>
      <c r="E270" s="1850"/>
      <c r="F270" s="1848" t="s">
        <v>1164</v>
      </c>
      <c r="G270" s="1848"/>
      <c r="H270" s="1848"/>
      <c r="I270" s="1848"/>
      <c r="J270" s="1848"/>
      <c r="K270" s="1848"/>
      <c r="L270" s="1849">
        <f>LETable!AT48</f>
        <v>0</v>
      </c>
      <c r="M270" s="1849"/>
      <c r="N270" s="1848" t="s">
        <v>671</v>
      </c>
      <c r="O270" s="1848"/>
      <c r="P270" s="1847">
        <f>SUM(L270:L274)</f>
        <v>0</v>
      </c>
      <c r="Q270" s="8"/>
      <c r="R270" s="875">
        <f>IF(SUM($E$342:$E$366)&gt;0,1,0)</f>
        <v>0</v>
      </c>
      <c r="S270" s="1890" t="s">
        <v>862</v>
      </c>
      <c r="T270" s="1890"/>
      <c r="U270" s="60"/>
      <c r="V270" s="60"/>
      <c r="W270" s="60"/>
      <c r="X270" s="60"/>
      <c r="Y270" s="60"/>
      <c r="Z270" s="60"/>
      <c r="AA270" s="60"/>
      <c r="AB270" s="60"/>
      <c r="AC270" s="60"/>
      <c r="AD270" s="60"/>
      <c r="AE270" s="60"/>
      <c r="AF270" s="60"/>
      <c r="AG270" s="60"/>
      <c r="AH270" s="60"/>
      <c r="AI270" s="60"/>
      <c r="AJ270" s="60"/>
      <c r="AK270" s="60"/>
      <c r="AL270" s="60"/>
      <c r="AM270" s="60"/>
      <c r="AN270" s="60"/>
      <c r="AO270" s="60"/>
      <c r="AP270" s="60"/>
      <c r="AQ270" s="60"/>
      <c r="AR270" s="60"/>
      <c r="AS270" s="60"/>
      <c r="AT270" s="60"/>
      <c r="AU270" s="60"/>
      <c r="AV270" s="60"/>
      <c r="AW270" s="60"/>
      <c r="AX270" s="60"/>
      <c r="AY270" s="60"/>
      <c r="AZ270" s="60"/>
      <c r="BA270" s="60"/>
      <c r="BB270" s="60"/>
      <c r="BC270" s="60"/>
      <c r="BD270" s="60"/>
      <c r="BE270" s="60"/>
      <c r="BF270" s="18"/>
      <c r="BG270" s="18"/>
      <c r="BH270" s="18"/>
      <c r="BI270" s="18"/>
      <c r="BJ270" s="18"/>
      <c r="BK270" s="18"/>
      <c r="BL270" s="18"/>
      <c r="BM270" s="18"/>
      <c r="BN270" s="18"/>
      <c r="BO270" s="18"/>
      <c r="BP270" s="18"/>
      <c r="BQ270" s="14"/>
      <c r="BR270" s="14"/>
      <c r="BS270" s="14"/>
      <c r="BT270" s="14"/>
      <c r="BU270" s="14"/>
      <c r="BV270" s="14"/>
      <c r="BW270" s="14"/>
      <c r="BX270" s="14"/>
      <c r="BY270" s="14"/>
      <c r="BZ270" s="14"/>
      <c r="CA270" s="14"/>
      <c r="CB270" s="14"/>
      <c r="CC270" s="14"/>
      <c r="CD270" s="14"/>
      <c r="CE270" s="14"/>
      <c r="CF270" s="14"/>
      <c r="CG270" s="14"/>
      <c r="CH270" s="14"/>
      <c r="CI270" s="14"/>
      <c r="CJ270" s="14"/>
      <c r="CK270" s="14"/>
      <c r="CL270" s="14"/>
      <c r="CM270" s="14"/>
      <c r="CN270" s="14"/>
      <c r="CO270" s="14"/>
      <c r="CP270" s="14"/>
      <c r="CQ270" s="14"/>
      <c r="CR270" s="14"/>
      <c r="CS270" s="14"/>
      <c r="CT270" s="14"/>
      <c r="CU270" s="14"/>
      <c r="CV270" s="14"/>
      <c r="CW270" s="14"/>
      <c r="CX270" s="14"/>
      <c r="CY270" s="14"/>
      <c r="CZ270" s="14"/>
      <c r="DA270" s="14"/>
      <c r="DB270" s="14"/>
      <c r="DC270" s="14"/>
      <c r="DD270" s="14"/>
      <c r="DE270" s="14"/>
      <c r="DF270" s="14"/>
      <c r="DG270" s="14"/>
      <c r="DH270" s="14"/>
      <c r="DI270" s="14"/>
      <c r="DJ270" s="14"/>
      <c r="DK270" s="14"/>
      <c r="DL270" s="14"/>
      <c r="DM270" s="14"/>
      <c r="DN270" s="14"/>
      <c r="DO270" s="14"/>
      <c r="DP270" s="14"/>
      <c r="DQ270" s="14"/>
      <c r="DR270" s="14"/>
      <c r="DS270" s="14"/>
      <c r="DT270" s="14"/>
      <c r="DU270" s="14"/>
      <c r="DV270" s="14"/>
      <c r="DW270" s="14"/>
      <c r="DX270" s="14"/>
      <c r="DY270" s="14"/>
      <c r="DZ270" s="14"/>
      <c r="EA270" s="14"/>
      <c r="EB270" s="14"/>
      <c r="EC270" s="14"/>
      <c r="ED270" s="14"/>
      <c r="EE270" s="14"/>
      <c r="EF270" s="14"/>
      <c r="EG270" s="14"/>
      <c r="EH270" s="14"/>
      <c r="EI270" s="14"/>
      <c r="EJ270" s="14"/>
      <c r="EK270" s="14"/>
      <c r="EL270" s="14"/>
      <c r="EM270" s="14"/>
      <c r="EN270" s="14"/>
      <c r="EO270" s="14"/>
      <c r="EP270" s="14"/>
      <c r="EQ270" s="14"/>
      <c r="ER270" s="14"/>
      <c r="ES270" s="14"/>
      <c r="ET270" s="14"/>
      <c r="EU270" s="14"/>
      <c r="EV270" s="14"/>
      <c r="EW270" s="14"/>
      <c r="EX270" s="14"/>
      <c r="EY270" s="14"/>
      <c r="EZ270" s="14"/>
      <c r="FA270" s="14"/>
      <c r="FB270" s="14"/>
      <c r="FC270" s="14"/>
      <c r="FD270" s="14"/>
      <c r="FE270" s="14"/>
      <c r="FF270" s="14"/>
      <c r="FG270" s="14"/>
      <c r="FH270" s="14"/>
      <c r="FI270" s="14"/>
      <c r="FJ270" s="14"/>
      <c r="FK270" s="14"/>
      <c r="FL270" s="14"/>
      <c r="FM270" s="14"/>
      <c r="FN270" s="14"/>
      <c r="FO270" s="14"/>
      <c r="FP270" s="14"/>
      <c r="FQ270" s="14"/>
      <c r="FR270" s="14"/>
      <c r="FS270" s="14"/>
      <c r="FT270" s="14"/>
      <c r="FU270" s="14"/>
      <c r="FV270" s="14"/>
      <c r="FW270" s="14"/>
      <c r="FX270" s="14"/>
      <c r="FY270" s="14"/>
      <c r="FZ270" s="14"/>
      <c r="GA270" s="14"/>
      <c r="GB270" s="14"/>
      <c r="GC270" s="14"/>
      <c r="GD270" s="14"/>
      <c r="GE270" s="14"/>
      <c r="GF270" s="14"/>
      <c r="GG270" s="14"/>
      <c r="GH270" s="14"/>
      <c r="GI270" s="14"/>
      <c r="GJ270" s="14"/>
      <c r="GK270" s="14"/>
      <c r="GL270" s="14"/>
      <c r="GM270" s="14"/>
      <c r="GN270" s="14"/>
      <c r="GO270" s="14"/>
      <c r="GP270" s="14"/>
      <c r="GQ270" s="14"/>
      <c r="GR270" s="14"/>
      <c r="GS270" s="14"/>
      <c r="GT270" s="14"/>
      <c r="GU270" s="14"/>
      <c r="GV270" s="14"/>
      <c r="GW270" s="14"/>
      <c r="GX270" s="14"/>
      <c r="GY270" s="14"/>
      <c r="GZ270" s="14"/>
      <c r="HA270" s="14"/>
      <c r="HB270" s="14"/>
      <c r="HC270" s="14"/>
      <c r="HD270" s="14"/>
      <c r="HE270" s="14"/>
      <c r="HF270" s="14"/>
      <c r="HG270" s="14"/>
      <c r="HH270" s="14"/>
      <c r="HI270" s="14"/>
      <c r="HJ270" s="14"/>
      <c r="HK270" s="14"/>
      <c r="HL270" s="14"/>
      <c r="HM270" s="14"/>
      <c r="HN270" s="14"/>
      <c r="HO270" s="14"/>
      <c r="HP270" s="14"/>
      <c r="HQ270" s="14"/>
      <c r="HR270" s="14"/>
      <c r="HS270" s="14"/>
      <c r="HT270" s="14"/>
    </row>
    <row r="271" spans="1:228" ht="15" customHeight="1" x14ac:dyDescent="0.2">
      <c r="A271" s="8"/>
      <c r="B271" s="353" t="s">
        <v>863</v>
      </c>
      <c r="C271" s="1849">
        <f>IF(OR($R$270=1,$R$271=1),P72,0)</f>
        <v>0</v>
      </c>
      <c r="D271" s="1850"/>
      <c r="E271" s="1850"/>
      <c r="F271" s="1848" t="s">
        <v>1164</v>
      </c>
      <c r="G271" s="1848"/>
      <c r="H271" s="1848"/>
      <c r="I271" s="1848"/>
      <c r="J271" s="1848"/>
      <c r="K271" s="1848"/>
      <c r="L271" s="1849">
        <f>LETable!AT49</f>
        <v>0</v>
      </c>
      <c r="M271" s="1849"/>
      <c r="N271" s="1848" t="s">
        <v>671</v>
      </c>
      <c r="O271" s="1848"/>
      <c r="P271" s="1847"/>
      <c r="Q271" s="8"/>
      <c r="R271" s="876">
        <f>IF(SUM(E449:E470)&gt;0,1,0)</f>
        <v>0</v>
      </c>
      <c r="S271" s="1656" t="s">
        <v>864</v>
      </c>
      <c r="T271" s="1656"/>
      <c r="U271" s="60"/>
      <c r="V271" s="60"/>
      <c r="W271" s="60"/>
      <c r="X271" s="60"/>
      <c r="Y271" s="60"/>
      <c r="Z271" s="60"/>
      <c r="AA271" s="60"/>
      <c r="AB271" s="60"/>
      <c r="AC271" s="60"/>
      <c r="AD271" s="60"/>
      <c r="AE271" s="60"/>
      <c r="AF271" s="60"/>
      <c r="AG271" s="60"/>
      <c r="AH271" s="60"/>
      <c r="AI271" s="60"/>
      <c r="AJ271" s="60"/>
      <c r="AK271" s="60"/>
      <c r="AL271" s="60"/>
      <c r="AM271" s="60"/>
      <c r="AN271" s="60"/>
      <c r="AO271" s="60"/>
      <c r="AP271" s="60"/>
      <c r="AQ271" s="60"/>
      <c r="AR271" s="60"/>
      <c r="AS271" s="60"/>
      <c r="AT271" s="60"/>
      <c r="AU271" s="60"/>
      <c r="AV271" s="60"/>
      <c r="AW271" s="60"/>
      <c r="AX271" s="60"/>
      <c r="AY271" s="60"/>
      <c r="AZ271" s="60"/>
      <c r="BA271" s="60"/>
      <c r="BB271" s="60"/>
      <c r="BC271" s="60"/>
      <c r="BD271" s="60"/>
      <c r="BE271" s="60"/>
      <c r="BF271" s="18"/>
      <c r="BG271" s="18"/>
      <c r="BH271" s="18"/>
      <c r="BI271" s="18"/>
      <c r="BJ271" s="18"/>
      <c r="BK271" s="18"/>
      <c r="BL271" s="18"/>
      <c r="BM271" s="18"/>
      <c r="BN271" s="18"/>
      <c r="BO271" s="18"/>
      <c r="BP271" s="18"/>
      <c r="BQ271" s="14"/>
      <c r="BR271" s="14"/>
      <c r="BS271" s="14"/>
      <c r="BT271" s="14"/>
      <c r="BU271" s="14"/>
      <c r="BV271" s="14"/>
      <c r="BW271" s="14"/>
      <c r="BX271" s="14"/>
      <c r="BY271" s="14"/>
      <c r="BZ271" s="14"/>
      <c r="CA271" s="14"/>
      <c r="CB271" s="14"/>
      <c r="CC271" s="14"/>
      <c r="CD271" s="14"/>
      <c r="CE271" s="14"/>
      <c r="CF271" s="14"/>
      <c r="CG271" s="14"/>
      <c r="CH271" s="14"/>
      <c r="CI271" s="14"/>
      <c r="CJ271" s="14"/>
      <c r="CK271" s="14"/>
      <c r="CL271" s="14"/>
      <c r="CM271" s="14"/>
      <c r="CN271" s="14"/>
      <c r="CO271" s="14"/>
      <c r="CP271" s="14"/>
      <c r="CQ271" s="14"/>
      <c r="CR271" s="14"/>
      <c r="CS271" s="14"/>
      <c r="CT271" s="14"/>
      <c r="CU271" s="14"/>
      <c r="CV271" s="14"/>
      <c r="CW271" s="14"/>
      <c r="CX271" s="14"/>
      <c r="CY271" s="14"/>
      <c r="CZ271" s="14"/>
      <c r="DA271" s="14"/>
      <c r="DB271" s="14"/>
      <c r="DC271" s="14"/>
      <c r="DD271" s="14"/>
      <c r="DE271" s="14"/>
      <c r="DF271" s="14"/>
      <c r="DG271" s="14"/>
      <c r="DH271" s="14"/>
      <c r="DI271" s="14"/>
      <c r="DJ271" s="14"/>
      <c r="DK271" s="14"/>
      <c r="DL271" s="14"/>
      <c r="DM271" s="14"/>
      <c r="DN271" s="14"/>
      <c r="DO271" s="14"/>
      <c r="DP271" s="14"/>
      <c r="DQ271" s="14"/>
      <c r="DR271" s="14"/>
      <c r="DS271" s="14"/>
      <c r="DT271" s="14"/>
      <c r="DU271" s="14"/>
      <c r="DV271" s="14"/>
      <c r="DW271" s="14"/>
      <c r="DX271" s="14"/>
      <c r="DY271" s="14"/>
      <c r="DZ271" s="14"/>
      <c r="EA271" s="14"/>
      <c r="EB271" s="14"/>
      <c r="EC271" s="14"/>
      <c r="ED271" s="14"/>
      <c r="EE271" s="14"/>
      <c r="EF271" s="14"/>
      <c r="EG271" s="14"/>
      <c r="EH271" s="14"/>
      <c r="EI271" s="14"/>
      <c r="EJ271" s="14"/>
      <c r="EK271" s="14"/>
      <c r="EL271" s="14"/>
      <c r="EM271" s="14"/>
      <c r="EN271" s="14"/>
      <c r="EO271" s="14"/>
      <c r="EP271" s="14"/>
      <c r="EQ271" s="14"/>
      <c r="ER271" s="14"/>
      <c r="ES271" s="14"/>
      <c r="ET271" s="14"/>
      <c r="EU271" s="14"/>
      <c r="EV271" s="14"/>
      <c r="EW271" s="14"/>
      <c r="EX271" s="14"/>
      <c r="EY271" s="14"/>
      <c r="EZ271" s="14"/>
      <c r="FA271" s="14"/>
      <c r="FB271" s="14"/>
      <c r="FC271" s="14"/>
      <c r="FD271" s="14"/>
      <c r="FE271" s="14"/>
      <c r="FF271" s="14"/>
      <c r="FG271" s="14"/>
      <c r="FH271" s="14"/>
      <c r="FI271" s="14"/>
      <c r="FJ271" s="14"/>
      <c r="FK271" s="14"/>
      <c r="FL271" s="14"/>
      <c r="FM271" s="14"/>
      <c r="FN271" s="14"/>
      <c r="FO271" s="14"/>
      <c r="FP271" s="14"/>
      <c r="FQ271" s="14"/>
      <c r="FR271" s="14"/>
      <c r="FS271" s="14"/>
      <c r="FT271" s="14"/>
      <c r="FU271" s="14"/>
      <c r="FV271" s="14"/>
      <c r="FW271" s="14"/>
      <c r="FX271" s="14"/>
      <c r="FY271" s="14"/>
      <c r="FZ271" s="14"/>
      <c r="GA271" s="14"/>
      <c r="GB271" s="14"/>
      <c r="GC271" s="14"/>
      <c r="GD271" s="14"/>
      <c r="GE271" s="14"/>
      <c r="GF271" s="14"/>
      <c r="GG271" s="14"/>
      <c r="GH271" s="14"/>
      <c r="GI271" s="14"/>
      <c r="GJ271" s="14"/>
      <c r="GK271" s="14"/>
      <c r="GL271" s="14"/>
      <c r="GM271" s="14"/>
      <c r="GN271" s="14"/>
      <c r="GO271" s="14"/>
      <c r="GP271" s="14"/>
      <c r="GQ271" s="14"/>
      <c r="GR271" s="14"/>
      <c r="GS271" s="14"/>
      <c r="GT271" s="14"/>
      <c r="GU271" s="14"/>
      <c r="GV271" s="14"/>
      <c r="GW271" s="14"/>
      <c r="GX271" s="14"/>
      <c r="GY271" s="14"/>
      <c r="GZ271" s="14"/>
      <c r="HA271" s="14"/>
      <c r="HB271" s="14"/>
      <c r="HC271" s="14"/>
      <c r="HD271" s="14"/>
      <c r="HE271" s="14"/>
      <c r="HF271" s="14"/>
      <c r="HG271" s="14"/>
      <c r="HH271" s="14"/>
      <c r="HI271" s="14"/>
      <c r="HJ271" s="14"/>
      <c r="HK271" s="14"/>
      <c r="HL271" s="14"/>
      <c r="HM271" s="14"/>
      <c r="HN271" s="14"/>
      <c r="HO271" s="14"/>
      <c r="HP271" s="14"/>
      <c r="HQ271" s="14"/>
      <c r="HR271" s="14"/>
      <c r="HS271" s="14"/>
      <c r="HT271" s="14"/>
    </row>
    <row r="272" spans="1:228" ht="15" customHeight="1" x14ac:dyDescent="0.2">
      <c r="A272" s="8"/>
      <c r="B272" s="353" t="s">
        <v>865</v>
      </c>
      <c r="C272" s="1849">
        <f>IF(OR($R$270=1,$R$271=1),P112,0)</f>
        <v>0</v>
      </c>
      <c r="D272" s="1850"/>
      <c r="E272" s="1850"/>
      <c r="F272" s="1848" t="s">
        <v>1164</v>
      </c>
      <c r="G272" s="1848"/>
      <c r="H272" s="1848"/>
      <c r="I272" s="1848"/>
      <c r="J272" s="1848"/>
      <c r="K272" s="1848"/>
      <c r="L272" s="1849">
        <f>LETable!AT50</f>
        <v>0</v>
      </c>
      <c r="M272" s="1849"/>
      <c r="N272" s="1848" t="s">
        <v>671</v>
      </c>
      <c r="O272" s="1848"/>
      <c r="P272" s="1847"/>
      <c r="Q272" s="8"/>
      <c r="R272" s="169"/>
      <c r="S272" s="60"/>
      <c r="T272" s="60"/>
      <c r="U272" s="60"/>
      <c r="V272" s="60"/>
      <c r="W272" s="60"/>
      <c r="X272" s="60"/>
      <c r="Y272" s="60"/>
      <c r="Z272" s="60"/>
      <c r="AA272" s="60"/>
      <c r="AB272" s="60"/>
      <c r="AC272" s="60"/>
      <c r="AD272" s="60"/>
      <c r="AE272" s="60"/>
      <c r="AF272" s="60"/>
      <c r="AG272" s="60"/>
      <c r="AH272" s="60"/>
      <c r="AI272" s="60"/>
      <c r="AJ272" s="60"/>
      <c r="AK272" s="60"/>
      <c r="AL272" s="60"/>
      <c r="AM272" s="60"/>
      <c r="AN272" s="60"/>
      <c r="AO272" s="60"/>
      <c r="AP272" s="60"/>
      <c r="AQ272" s="60"/>
      <c r="AR272" s="60"/>
      <c r="AS272" s="60"/>
      <c r="AT272" s="60"/>
      <c r="AU272" s="60"/>
      <c r="AV272" s="60"/>
      <c r="AW272" s="60"/>
      <c r="AX272" s="60"/>
      <c r="AY272" s="60"/>
      <c r="AZ272" s="60"/>
      <c r="BA272" s="60"/>
      <c r="BB272" s="60"/>
      <c r="BC272" s="60"/>
      <c r="BD272" s="60"/>
      <c r="BE272" s="60"/>
      <c r="BF272" s="18"/>
      <c r="BG272" s="18"/>
      <c r="BH272" s="18"/>
      <c r="BI272" s="18"/>
      <c r="BJ272" s="18"/>
      <c r="BK272" s="18"/>
      <c r="BL272" s="18"/>
      <c r="BM272" s="18"/>
      <c r="BN272" s="18"/>
      <c r="BO272" s="18"/>
      <c r="BP272" s="18"/>
      <c r="BQ272" s="14"/>
      <c r="BR272" s="14"/>
      <c r="BS272" s="14"/>
      <c r="BT272" s="14"/>
      <c r="BU272" s="14"/>
      <c r="BV272" s="14"/>
      <c r="BW272" s="14"/>
      <c r="BX272" s="14"/>
      <c r="BY272" s="14"/>
      <c r="BZ272" s="14"/>
      <c r="CA272" s="14"/>
      <c r="CB272" s="14"/>
      <c r="CC272" s="14"/>
      <c r="CD272" s="14"/>
      <c r="CE272" s="14"/>
      <c r="CF272" s="14"/>
      <c r="CG272" s="14"/>
      <c r="CH272" s="14"/>
      <c r="CI272" s="14"/>
      <c r="CJ272" s="14"/>
      <c r="CK272" s="14"/>
      <c r="CL272" s="14"/>
      <c r="CM272" s="14"/>
      <c r="CN272" s="14"/>
      <c r="CO272" s="14"/>
      <c r="CP272" s="14"/>
      <c r="CQ272" s="14"/>
      <c r="CR272" s="14"/>
      <c r="CS272" s="14"/>
      <c r="CT272" s="14"/>
      <c r="CU272" s="14"/>
      <c r="CV272" s="14"/>
      <c r="CW272" s="14"/>
      <c r="CX272" s="14"/>
      <c r="CY272" s="14"/>
      <c r="CZ272" s="14"/>
      <c r="DA272" s="14"/>
      <c r="DB272" s="14"/>
      <c r="DC272" s="14"/>
      <c r="DD272" s="14"/>
      <c r="DE272" s="14"/>
      <c r="DF272" s="14"/>
      <c r="DG272" s="14"/>
      <c r="DH272" s="14"/>
      <c r="DI272" s="14"/>
      <c r="DJ272" s="14"/>
      <c r="DK272" s="14"/>
      <c r="DL272" s="14"/>
      <c r="DM272" s="14"/>
      <c r="DN272" s="14"/>
      <c r="DO272" s="14"/>
      <c r="DP272" s="14"/>
      <c r="DQ272" s="14"/>
      <c r="DR272" s="14"/>
      <c r="DS272" s="14"/>
      <c r="DT272" s="14"/>
      <c r="DU272" s="14"/>
      <c r="DV272" s="14"/>
      <c r="DW272" s="14"/>
      <c r="DX272" s="14"/>
      <c r="DY272" s="14"/>
      <c r="DZ272" s="14"/>
      <c r="EA272" s="14"/>
      <c r="EB272" s="14"/>
      <c r="EC272" s="14"/>
      <c r="ED272" s="14"/>
      <c r="EE272" s="14"/>
      <c r="EF272" s="14"/>
      <c r="EG272" s="14"/>
      <c r="EH272" s="14"/>
      <c r="EI272" s="14"/>
      <c r="EJ272" s="14"/>
      <c r="EK272" s="14"/>
      <c r="EL272" s="14"/>
      <c r="EM272" s="14"/>
      <c r="EN272" s="14"/>
      <c r="EO272" s="14"/>
      <c r="EP272" s="14"/>
      <c r="EQ272" s="14"/>
      <c r="ER272" s="14"/>
      <c r="ES272" s="14"/>
      <c r="ET272" s="14"/>
      <c r="EU272" s="14"/>
      <c r="EV272" s="14"/>
      <c r="EW272" s="14"/>
      <c r="EX272" s="14"/>
      <c r="EY272" s="14"/>
      <c r="EZ272" s="14"/>
      <c r="FA272" s="14"/>
      <c r="FB272" s="14"/>
      <c r="FC272" s="14"/>
      <c r="FD272" s="14"/>
      <c r="FE272" s="14"/>
      <c r="FF272" s="14"/>
      <c r="FG272" s="14"/>
      <c r="FH272" s="14"/>
      <c r="FI272" s="14"/>
      <c r="FJ272" s="14"/>
      <c r="FK272" s="14"/>
      <c r="FL272" s="14"/>
      <c r="FM272" s="14"/>
      <c r="FN272" s="14"/>
      <c r="FO272" s="14"/>
      <c r="FP272" s="14"/>
      <c r="FQ272" s="14"/>
      <c r="FR272" s="14"/>
      <c r="FS272" s="14"/>
      <c r="FT272" s="14"/>
      <c r="FU272" s="14"/>
      <c r="FV272" s="14"/>
      <c r="FW272" s="14"/>
      <c r="FX272" s="14"/>
      <c r="FY272" s="14"/>
      <c r="FZ272" s="14"/>
      <c r="GA272" s="14"/>
      <c r="GB272" s="14"/>
      <c r="GC272" s="14"/>
      <c r="GD272" s="14"/>
      <c r="GE272" s="14"/>
      <c r="GF272" s="14"/>
      <c r="GG272" s="14"/>
      <c r="GH272" s="14"/>
      <c r="GI272" s="14"/>
      <c r="GJ272" s="14"/>
      <c r="GK272" s="14"/>
      <c r="GL272" s="14"/>
      <c r="GM272" s="14"/>
      <c r="GN272" s="14"/>
      <c r="GO272" s="14"/>
      <c r="GP272" s="14"/>
      <c r="GQ272" s="14"/>
      <c r="GR272" s="14"/>
      <c r="GS272" s="14"/>
      <c r="GT272" s="14"/>
      <c r="GU272" s="14"/>
      <c r="GV272" s="14"/>
      <c r="GW272" s="14"/>
      <c r="GX272" s="14"/>
      <c r="GY272" s="14"/>
      <c r="GZ272" s="14"/>
      <c r="HA272" s="14"/>
      <c r="HB272" s="14"/>
      <c r="HC272" s="14"/>
      <c r="HD272" s="14"/>
      <c r="HE272" s="14"/>
      <c r="HF272" s="14"/>
      <c r="HG272" s="14"/>
      <c r="HH272" s="14"/>
      <c r="HI272" s="14"/>
      <c r="HJ272" s="14"/>
      <c r="HK272" s="14"/>
      <c r="HL272" s="14"/>
      <c r="HM272" s="14"/>
      <c r="HN272" s="14"/>
      <c r="HO272" s="14"/>
      <c r="HP272" s="14"/>
      <c r="HQ272" s="14"/>
      <c r="HR272" s="14"/>
      <c r="HS272" s="14"/>
      <c r="HT272" s="14"/>
    </row>
    <row r="273" spans="1:228" ht="15" customHeight="1" x14ac:dyDescent="0.2">
      <c r="A273" s="8"/>
      <c r="B273" s="353" t="s">
        <v>866</v>
      </c>
      <c r="C273" s="1849">
        <f>IF(OR($R$270=1,$R$271=1),P152,0)</f>
        <v>0</v>
      </c>
      <c r="D273" s="1850"/>
      <c r="E273" s="1850"/>
      <c r="F273" s="1848" t="s">
        <v>1164</v>
      </c>
      <c r="G273" s="1848"/>
      <c r="H273" s="1848"/>
      <c r="I273" s="1848"/>
      <c r="J273" s="1848"/>
      <c r="K273" s="1848"/>
      <c r="L273" s="1849">
        <f>LETable!AT51</f>
        <v>0</v>
      </c>
      <c r="M273" s="1849"/>
      <c r="N273" s="1848" t="s">
        <v>671</v>
      </c>
      <c r="O273" s="1848"/>
      <c r="P273" s="1847"/>
      <c r="Q273" s="8"/>
      <c r="R273" s="169"/>
      <c r="S273" s="60"/>
      <c r="T273" s="60"/>
      <c r="U273" s="60"/>
      <c r="V273" s="60"/>
      <c r="W273" s="60"/>
      <c r="X273" s="60"/>
      <c r="Y273" s="60"/>
      <c r="Z273" s="60"/>
      <c r="AA273" s="60"/>
      <c r="AB273" s="60"/>
      <c r="AC273" s="60"/>
      <c r="AD273" s="60"/>
      <c r="AE273" s="60"/>
      <c r="AF273" s="60"/>
      <c r="AG273" s="60"/>
      <c r="AH273" s="60"/>
      <c r="AI273" s="60"/>
      <c r="AJ273" s="60"/>
      <c r="AK273" s="60"/>
      <c r="AL273" s="60"/>
      <c r="AM273" s="60"/>
      <c r="AN273" s="60"/>
      <c r="AO273" s="60"/>
      <c r="AP273" s="60"/>
      <c r="AQ273" s="60"/>
      <c r="AR273" s="60"/>
      <c r="AS273" s="60"/>
      <c r="AT273" s="60"/>
      <c r="AU273" s="60"/>
      <c r="AV273" s="60"/>
      <c r="AW273" s="60"/>
      <c r="AX273" s="60"/>
      <c r="AY273" s="60"/>
      <c r="AZ273" s="60"/>
      <c r="BA273" s="60"/>
      <c r="BB273" s="60"/>
      <c r="BC273" s="60"/>
      <c r="BD273" s="60"/>
      <c r="BE273" s="60"/>
      <c r="BF273" s="18"/>
      <c r="BG273" s="18"/>
      <c r="BH273" s="18"/>
      <c r="BI273" s="18"/>
      <c r="BJ273" s="18"/>
      <c r="BK273" s="18"/>
      <c r="BL273" s="18"/>
      <c r="BM273" s="18"/>
      <c r="BN273" s="18"/>
      <c r="BO273" s="18"/>
      <c r="BP273" s="18"/>
      <c r="BQ273" s="14"/>
      <c r="BR273" s="14"/>
      <c r="BS273" s="14"/>
      <c r="BT273" s="14"/>
      <c r="BU273" s="14"/>
      <c r="BV273" s="14"/>
      <c r="BW273" s="14"/>
      <c r="BX273" s="14"/>
      <c r="BY273" s="14"/>
      <c r="BZ273" s="14"/>
      <c r="CA273" s="14"/>
      <c r="CB273" s="14"/>
      <c r="CC273" s="14"/>
      <c r="CD273" s="14"/>
      <c r="CE273" s="14"/>
      <c r="CF273" s="14"/>
      <c r="CG273" s="14"/>
      <c r="CH273" s="14"/>
      <c r="CI273" s="14"/>
      <c r="CJ273" s="14"/>
      <c r="CK273" s="14"/>
      <c r="CL273" s="14"/>
      <c r="CM273" s="14"/>
      <c r="CN273" s="14"/>
      <c r="CO273" s="14"/>
      <c r="CP273" s="14"/>
      <c r="CQ273" s="14"/>
      <c r="CR273" s="14"/>
      <c r="CS273" s="14"/>
      <c r="CT273" s="14"/>
      <c r="CU273" s="14"/>
      <c r="CV273" s="14"/>
      <c r="CW273" s="14"/>
      <c r="CX273" s="14"/>
      <c r="CY273" s="14"/>
      <c r="CZ273" s="14"/>
      <c r="DA273" s="14"/>
      <c r="DB273" s="14"/>
      <c r="DC273" s="14"/>
      <c r="DD273" s="14"/>
      <c r="DE273" s="14"/>
      <c r="DF273" s="14"/>
      <c r="DG273" s="14"/>
      <c r="DH273" s="14"/>
      <c r="DI273" s="14"/>
      <c r="DJ273" s="14"/>
      <c r="DK273" s="14"/>
      <c r="DL273" s="14"/>
      <c r="DM273" s="14"/>
      <c r="DN273" s="14"/>
      <c r="DO273" s="14"/>
      <c r="DP273" s="14"/>
      <c r="DQ273" s="14"/>
      <c r="DR273" s="14"/>
      <c r="DS273" s="14"/>
      <c r="DT273" s="14"/>
      <c r="DU273" s="14"/>
      <c r="DV273" s="14"/>
      <c r="DW273" s="14"/>
      <c r="DX273" s="14"/>
      <c r="DY273" s="14"/>
      <c r="DZ273" s="14"/>
      <c r="EA273" s="14"/>
      <c r="EB273" s="14"/>
      <c r="EC273" s="14"/>
      <c r="ED273" s="14"/>
      <c r="EE273" s="14"/>
      <c r="EF273" s="14"/>
      <c r="EG273" s="14"/>
      <c r="EH273" s="14"/>
      <c r="EI273" s="14"/>
      <c r="EJ273" s="14"/>
      <c r="EK273" s="14"/>
      <c r="EL273" s="14"/>
      <c r="EM273" s="14"/>
      <c r="EN273" s="14"/>
      <c r="EO273" s="14"/>
      <c r="EP273" s="14"/>
      <c r="EQ273" s="14"/>
      <c r="ER273" s="14"/>
      <c r="ES273" s="14"/>
      <c r="ET273" s="14"/>
      <c r="EU273" s="14"/>
      <c r="EV273" s="14"/>
      <c r="EW273" s="14"/>
      <c r="EX273" s="14"/>
      <c r="EY273" s="14"/>
      <c r="EZ273" s="14"/>
      <c r="FA273" s="14"/>
      <c r="FB273" s="14"/>
      <c r="FC273" s="14"/>
      <c r="FD273" s="14"/>
      <c r="FE273" s="14"/>
      <c r="FF273" s="14"/>
      <c r="FG273" s="14"/>
      <c r="FH273" s="14"/>
      <c r="FI273" s="14"/>
      <c r="FJ273" s="14"/>
      <c r="FK273" s="14"/>
      <c r="FL273" s="14"/>
      <c r="FM273" s="14"/>
      <c r="FN273" s="14"/>
      <c r="FO273" s="14"/>
      <c r="FP273" s="14"/>
      <c r="FQ273" s="14"/>
      <c r="FR273" s="14"/>
      <c r="FS273" s="14"/>
      <c r="FT273" s="14"/>
      <c r="FU273" s="14"/>
      <c r="FV273" s="14"/>
      <c r="FW273" s="14"/>
      <c r="FX273" s="14"/>
      <c r="FY273" s="14"/>
      <c r="FZ273" s="14"/>
      <c r="GA273" s="14"/>
      <c r="GB273" s="14"/>
      <c r="GC273" s="14"/>
      <c r="GD273" s="14"/>
      <c r="GE273" s="14"/>
      <c r="GF273" s="14"/>
      <c r="GG273" s="14"/>
      <c r="GH273" s="14"/>
      <c r="GI273" s="14"/>
      <c r="GJ273" s="14"/>
      <c r="GK273" s="14"/>
      <c r="GL273" s="14"/>
      <c r="GM273" s="14"/>
      <c r="GN273" s="14"/>
      <c r="GO273" s="14"/>
      <c r="GP273" s="14"/>
      <c r="GQ273" s="14"/>
      <c r="GR273" s="14"/>
      <c r="GS273" s="14"/>
      <c r="GT273" s="14"/>
      <c r="GU273" s="14"/>
      <c r="GV273" s="14"/>
      <c r="GW273" s="14"/>
      <c r="GX273" s="14"/>
      <c r="GY273" s="14"/>
      <c r="GZ273" s="14"/>
      <c r="HA273" s="14"/>
      <c r="HB273" s="14"/>
      <c r="HC273" s="14"/>
      <c r="HD273" s="14"/>
      <c r="HE273" s="14"/>
      <c r="HF273" s="14"/>
      <c r="HG273" s="14"/>
      <c r="HH273" s="14"/>
      <c r="HI273" s="14"/>
      <c r="HJ273" s="14"/>
      <c r="HK273" s="14"/>
      <c r="HL273" s="14"/>
      <c r="HM273" s="14"/>
      <c r="HN273" s="14"/>
      <c r="HO273" s="14"/>
      <c r="HP273" s="14"/>
      <c r="HQ273" s="14"/>
      <c r="HR273" s="14"/>
      <c r="HS273" s="14"/>
      <c r="HT273" s="14"/>
    </row>
    <row r="274" spans="1:228" ht="15" customHeight="1" x14ac:dyDescent="0.2">
      <c r="A274" s="8"/>
      <c r="B274" s="353" t="s">
        <v>867</v>
      </c>
      <c r="C274" s="1849">
        <f>IF(OR($R$270=1,$R$271=1),P192,0)</f>
        <v>0</v>
      </c>
      <c r="D274" s="1850"/>
      <c r="E274" s="1850"/>
      <c r="F274" s="1848" t="s">
        <v>1164</v>
      </c>
      <c r="G274" s="1848"/>
      <c r="H274" s="1848"/>
      <c r="I274" s="1848"/>
      <c r="J274" s="1848"/>
      <c r="K274" s="1848"/>
      <c r="L274" s="1849">
        <f>LETable!AT52</f>
        <v>0</v>
      </c>
      <c r="M274" s="1849"/>
      <c r="N274" s="1848" t="s">
        <v>671</v>
      </c>
      <c r="O274" s="1848"/>
      <c r="P274" s="1847"/>
      <c r="Q274" s="8"/>
      <c r="R274" s="169"/>
      <c r="S274" s="60"/>
      <c r="T274" s="60"/>
      <c r="U274" s="60"/>
      <c r="V274" s="60"/>
      <c r="W274" s="60"/>
      <c r="X274" s="60"/>
      <c r="Y274" s="60"/>
      <c r="Z274" s="60"/>
      <c r="AA274" s="60"/>
      <c r="AB274" s="60"/>
      <c r="AC274" s="60"/>
      <c r="AD274" s="60"/>
      <c r="AE274" s="60"/>
      <c r="AF274" s="60"/>
      <c r="AG274" s="60"/>
      <c r="AH274" s="60"/>
      <c r="AI274" s="60"/>
      <c r="AJ274" s="60"/>
      <c r="AK274" s="60"/>
      <c r="AL274" s="60"/>
      <c r="AM274" s="60"/>
      <c r="AN274" s="60"/>
      <c r="AO274" s="60"/>
      <c r="AP274" s="60"/>
      <c r="AQ274" s="60"/>
      <c r="AR274" s="60"/>
      <c r="AS274" s="60"/>
      <c r="AT274" s="60"/>
      <c r="AU274" s="60"/>
      <c r="AV274" s="60"/>
      <c r="AW274" s="60"/>
      <c r="AX274" s="60"/>
      <c r="AY274" s="60"/>
      <c r="AZ274" s="60"/>
      <c r="BA274" s="60"/>
      <c r="BB274" s="60"/>
      <c r="BC274" s="60"/>
      <c r="BD274" s="60"/>
      <c r="BE274" s="60"/>
      <c r="BF274" s="18"/>
      <c r="BG274" s="18"/>
      <c r="BH274" s="18"/>
      <c r="BI274" s="18"/>
      <c r="BJ274" s="18"/>
      <c r="BK274" s="18"/>
      <c r="BL274" s="18"/>
      <c r="BM274" s="18"/>
      <c r="BN274" s="18"/>
      <c r="BO274" s="18"/>
      <c r="BP274" s="18"/>
      <c r="BQ274" s="14"/>
      <c r="BR274" s="14"/>
      <c r="BS274" s="14"/>
      <c r="BT274" s="14"/>
      <c r="BU274" s="14"/>
      <c r="BV274" s="14"/>
      <c r="BW274" s="14"/>
      <c r="BX274" s="14"/>
      <c r="BY274" s="14"/>
      <c r="BZ274" s="14"/>
      <c r="CA274" s="14"/>
      <c r="CB274" s="14"/>
      <c r="CC274" s="14"/>
      <c r="CD274" s="14"/>
      <c r="CE274" s="14"/>
      <c r="CF274" s="14"/>
      <c r="CG274" s="14"/>
      <c r="CH274" s="14"/>
      <c r="CI274" s="14"/>
      <c r="CJ274" s="14"/>
      <c r="CK274" s="14"/>
      <c r="CL274" s="14"/>
      <c r="CM274" s="14"/>
      <c r="CN274" s="14"/>
      <c r="CO274" s="14"/>
      <c r="CP274" s="14"/>
      <c r="CQ274" s="14"/>
      <c r="CR274" s="14"/>
      <c r="CS274" s="14"/>
      <c r="CT274" s="14"/>
      <c r="CU274" s="14"/>
      <c r="CV274" s="14"/>
      <c r="CW274" s="14"/>
      <c r="CX274" s="14"/>
      <c r="CY274" s="14"/>
      <c r="CZ274" s="14"/>
      <c r="DA274" s="14"/>
      <c r="DB274" s="14"/>
      <c r="DC274" s="14"/>
      <c r="DD274" s="14"/>
      <c r="DE274" s="14"/>
      <c r="DF274" s="14"/>
      <c r="DG274" s="14"/>
      <c r="DH274" s="14"/>
      <c r="DI274" s="14"/>
      <c r="DJ274" s="14"/>
      <c r="DK274" s="14"/>
      <c r="DL274" s="14"/>
      <c r="DM274" s="14"/>
      <c r="DN274" s="14"/>
      <c r="DO274" s="14"/>
      <c r="DP274" s="14"/>
      <c r="DQ274" s="14"/>
      <c r="DR274" s="14"/>
      <c r="DS274" s="14"/>
      <c r="DT274" s="14"/>
      <c r="DU274" s="14"/>
      <c r="DV274" s="14"/>
      <c r="DW274" s="14"/>
      <c r="DX274" s="14"/>
      <c r="DY274" s="14"/>
      <c r="DZ274" s="14"/>
      <c r="EA274" s="14"/>
      <c r="EB274" s="14"/>
      <c r="EC274" s="14"/>
      <c r="ED274" s="14"/>
      <c r="EE274" s="14"/>
      <c r="EF274" s="14"/>
      <c r="EG274" s="14"/>
      <c r="EH274" s="14"/>
      <c r="EI274" s="14"/>
      <c r="EJ274" s="14"/>
      <c r="EK274" s="14"/>
      <c r="EL274" s="14"/>
      <c r="EM274" s="14"/>
      <c r="EN274" s="14"/>
      <c r="EO274" s="14"/>
      <c r="EP274" s="14"/>
      <c r="EQ274" s="14"/>
      <c r="ER274" s="14"/>
      <c r="ES274" s="14"/>
      <c r="ET274" s="14"/>
      <c r="EU274" s="14"/>
      <c r="EV274" s="14"/>
      <c r="EW274" s="14"/>
      <c r="EX274" s="14"/>
      <c r="EY274" s="14"/>
      <c r="EZ274" s="14"/>
      <c r="FA274" s="14"/>
      <c r="FB274" s="14"/>
      <c r="FC274" s="14"/>
      <c r="FD274" s="14"/>
      <c r="FE274" s="14"/>
      <c r="FF274" s="14"/>
      <c r="FG274" s="14"/>
      <c r="FH274" s="14"/>
      <c r="FI274" s="14"/>
      <c r="FJ274" s="14"/>
      <c r="FK274" s="14"/>
      <c r="FL274" s="14"/>
      <c r="FM274" s="14"/>
      <c r="FN274" s="14"/>
      <c r="FO274" s="14"/>
      <c r="FP274" s="14"/>
      <c r="FQ274" s="14"/>
      <c r="FR274" s="14"/>
      <c r="FS274" s="14"/>
      <c r="FT274" s="14"/>
      <c r="FU274" s="14"/>
      <c r="FV274" s="14"/>
      <c r="FW274" s="14"/>
      <c r="FX274" s="14"/>
      <c r="FY274" s="14"/>
      <c r="FZ274" s="14"/>
      <c r="GA274" s="14"/>
      <c r="GB274" s="14"/>
      <c r="GC274" s="14"/>
      <c r="GD274" s="14"/>
      <c r="GE274" s="14"/>
      <c r="GF274" s="14"/>
      <c r="GG274" s="14"/>
      <c r="GH274" s="14"/>
      <c r="GI274" s="14"/>
      <c r="GJ274" s="14"/>
      <c r="GK274" s="14"/>
      <c r="GL274" s="14"/>
      <c r="GM274" s="14"/>
      <c r="GN274" s="14"/>
      <c r="GO274" s="14"/>
      <c r="GP274" s="14"/>
      <c r="GQ274" s="14"/>
      <c r="GR274" s="14"/>
      <c r="GS274" s="14"/>
      <c r="GT274" s="14"/>
      <c r="GU274" s="14"/>
      <c r="GV274" s="14"/>
      <c r="GW274" s="14"/>
      <c r="GX274" s="14"/>
      <c r="GY274" s="14"/>
      <c r="GZ274" s="14"/>
      <c r="HA274" s="14"/>
      <c r="HB274" s="14"/>
      <c r="HC274" s="14"/>
      <c r="HD274" s="14"/>
      <c r="HE274" s="14"/>
      <c r="HF274" s="14"/>
      <c r="HG274" s="14"/>
      <c r="HH274" s="14"/>
      <c r="HI274" s="14"/>
      <c r="HJ274" s="14"/>
      <c r="HK274" s="14"/>
      <c r="HL274" s="14"/>
      <c r="HM274" s="14"/>
      <c r="HN274" s="14"/>
      <c r="HO274" s="14"/>
      <c r="HP274" s="14"/>
      <c r="HQ274" s="14"/>
      <c r="HR274" s="14"/>
      <c r="HS274" s="14"/>
      <c r="HT274" s="14"/>
    </row>
    <row r="275" spans="1:228" ht="18" customHeight="1" x14ac:dyDescent="0.2">
      <c r="A275" s="8"/>
      <c r="B275" s="44"/>
      <c r="C275" s="1884" t="s">
        <v>868</v>
      </c>
      <c r="D275" s="1884"/>
      <c r="E275" s="1884"/>
      <c r="F275" s="1884"/>
      <c r="G275" s="1884"/>
      <c r="H275" s="1884"/>
      <c r="I275" s="1884"/>
      <c r="J275" s="1884"/>
      <c r="K275" s="1884"/>
      <c r="L275" s="1884"/>
      <c r="M275" s="1884"/>
      <c r="N275" s="1884"/>
      <c r="O275" s="1884"/>
      <c r="P275" s="1847"/>
      <c r="Q275" s="8"/>
      <c r="R275" s="169"/>
      <c r="S275" s="60"/>
      <c r="T275" s="60"/>
      <c r="U275" s="60"/>
      <c r="V275" s="60"/>
      <c r="W275" s="60"/>
      <c r="X275" s="60"/>
      <c r="Y275" s="60"/>
      <c r="Z275" s="60"/>
      <c r="AA275" s="60"/>
      <c r="AB275" s="60"/>
      <c r="AC275" s="60"/>
      <c r="AD275" s="60"/>
      <c r="AE275" s="60"/>
      <c r="AF275" s="60"/>
      <c r="AG275" s="60"/>
      <c r="AH275" s="60"/>
      <c r="AI275" s="60"/>
      <c r="AJ275" s="60"/>
      <c r="AK275" s="60"/>
      <c r="AL275" s="60"/>
      <c r="AM275" s="60"/>
      <c r="AN275" s="60"/>
      <c r="AO275" s="60"/>
      <c r="AP275" s="60"/>
      <c r="AQ275" s="60"/>
      <c r="AR275" s="60"/>
      <c r="AS275" s="60"/>
      <c r="AT275" s="60"/>
      <c r="AU275" s="60"/>
      <c r="AV275" s="60"/>
      <c r="AW275" s="60"/>
      <c r="AX275" s="60"/>
      <c r="AY275" s="60"/>
      <c r="AZ275" s="60"/>
      <c r="BA275" s="60"/>
      <c r="BB275" s="60"/>
      <c r="BC275" s="60"/>
      <c r="BD275" s="60"/>
      <c r="BE275" s="60"/>
      <c r="BF275" s="18"/>
      <c r="BG275" s="18"/>
      <c r="BH275" s="18"/>
      <c r="BI275" s="18"/>
      <c r="BJ275" s="18"/>
      <c r="BK275" s="18"/>
      <c r="BL275" s="18"/>
      <c r="BM275" s="18"/>
      <c r="BN275" s="18"/>
      <c r="BO275" s="18"/>
      <c r="BP275" s="18"/>
      <c r="BQ275" s="14"/>
      <c r="BR275" s="14"/>
      <c r="BS275" s="14"/>
      <c r="BT275" s="14"/>
      <c r="BU275" s="14"/>
      <c r="BV275" s="14"/>
      <c r="BW275" s="14"/>
      <c r="BX275" s="14"/>
      <c r="BY275" s="14"/>
      <c r="BZ275" s="14"/>
      <c r="CA275" s="14"/>
      <c r="CB275" s="14"/>
      <c r="CC275" s="14"/>
      <c r="CD275" s="14"/>
      <c r="CE275" s="14"/>
      <c r="CF275" s="14"/>
      <c r="CG275" s="14"/>
      <c r="CH275" s="14"/>
      <c r="CI275" s="14"/>
      <c r="CJ275" s="14"/>
      <c r="CK275" s="14"/>
      <c r="CL275" s="14"/>
      <c r="CM275" s="14"/>
      <c r="CN275" s="14"/>
      <c r="CO275" s="14"/>
      <c r="CP275" s="14"/>
      <c r="CQ275" s="14"/>
      <c r="CR275" s="14"/>
      <c r="CS275" s="14"/>
      <c r="CT275" s="14"/>
      <c r="CU275" s="14"/>
      <c r="CV275" s="14"/>
      <c r="CW275" s="14"/>
      <c r="CX275" s="14"/>
      <c r="CY275" s="14"/>
      <c r="CZ275" s="14"/>
      <c r="DA275" s="14"/>
      <c r="DB275" s="14"/>
      <c r="DC275" s="14"/>
      <c r="DD275" s="14"/>
      <c r="DE275" s="14"/>
      <c r="DF275" s="14"/>
      <c r="DG275" s="14"/>
      <c r="DH275" s="14"/>
      <c r="DI275" s="14"/>
      <c r="DJ275" s="14"/>
      <c r="DK275" s="14"/>
      <c r="DL275" s="14"/>
      <c r="DM275" s="14"/>
      <c r="DN275" s="14"/>
      <c r="DO275" s="14"/>
      <c r="DP275" s="14"/>
      <c r="DQ275" s="14"/>
      <c r="DR275" s="14"/>
      <c r="DS275" s="14"/>
      <c r="DT275" s="14"/>
      <c r="DU275" s="14"/>
      <c r="DV275" s="14"/>
      <c r="DW275" s="14"/>
      <c r="DX275" s="14"/>
      <c r="DY275" s="14"/>
      <c r="DZ275" s="14"/>
      <c r="EA275" s="14"/>
      <c r="EB275" s="14"/>
      <c r="EC275" s="14"/>
      <c r="ED275" s="14"/>
      <c r="EE275" s="14"/>
      <c r="EF275" s="14"/>
      <c r="EG275" s="14"/>
      <c r="EH275" s="14"/>
      <c r="EI275" s="14"/>
      <c r="EJ275" s="14"/>
      <c r="EK275" s="14"/>
      <c r="EL275" s="14"/>
      <c r="EM275" s="14"/>
      <c r="EN275" s="14"/>
      <c r="EO275" s="14"/>
      <c r="EP275" s="14"/>
      <c r="EQ275" s="14"/>
      <c r="ER275" s="14"/>
      <c r="ES275" s="14"/>
      <c r="ET275" s="14"/>
      <c r="EU275" s="14"/>
      <c r="EV275" s="14"/>
      <c r="EW275" s="14"/>
      <c r="EX275" s="14"/>
      <c r="EY275" s="14"/>
      <c r="EZ275" s="14"/>
      <c r="FA275" s="14"/>
      <c r="FB275" s="14"/>
      <c r="FC275" s="14"/>
      <c r="FD275" s="14"/>
      <c r="FE275" s="14"/>
      <c r="FF275" s="14"/>
      <c r="FG275" s="14"/>
      <c r="FH275" s="14"/>
      <c r="FI275" s="14"/>
      <c r="FJ275" s="14"/>
      <c r="FK275" s="14"/>
      <c r="FL275" s="14"/>
      <c r="FM275" s="14"/>
      <c r="FN275" s="14"/>
      <c r="FO275" s="14"/>
      <c r="FP275" s="14"/>
      <c r="FQ275" s="14"/>
      <c r="FR275" s="14"/>
      <c r="FS275" s="14"/>
      <c r="FT275" s="14"/>
      <c r="FU275" s="14"/>
      <c r="FV275" s="14"/>
      <c r="FW275" s="14"/>
      <c r="FX275" s="14"/>
      <c r="FY275" s="14"/>
      <c r="FZ275" s="14"/>
      <c r="GA275" s="14"/>
      <c r="GB275" s="14"/>
      <c r="GC275" s="14"/>
      <c r="GD275" s="14"/>
      <c r="GE275" s="14"/>
      <c r="GF275" s="14"/>
      <c r="GG275" s="14"/>
      <c r="GH275" s="14"/>
      <c r="GI275" s="14"/>
      <c r="GJ275" s="14"/>
      <c r="GK275" s="14"/>
      <c r="GL275" s="14"/>
      <c r="GM275" s="14"/>
      <c r="GN275" s="14"/>
      <c r="GO275" s="14"/>
      <c r="GP275" s="14"/>
      <c r="GQ275" s="14"/>
      <c r="GR275" s="14"/>
      <c r="GS275" s="14"/>
      <c r="GT275" s="14"/>
      <c r="GU275" s="14"/>
      <c r="GV275" s="14"/>
      <c r="GW275" s="14"/>
      <c r="GX275" s="14"/>
      <c r="GY275" s="14"/>
      <c r="GZ275" s="14"/>
      <c r="HA275" s="14"/>
      <c r="HB275" s="14"/>
      <c r="HC275" s="14"/>
      <c r="HD275" s="14"/>
      <c r="HE275" s="14"/>
      <c r="HF275" s="14"/>
      <c r="HG275" s="14"/>
      <c r="HH275" s="14"/>
      <c r="HI275" s="14"/>
      <c r="HJ275" s="14"/>
      <c r="HK275" s="14"/>
      <c r="HL275" s="14"/>
      <c r="HM275" s="14"/>
      <c r="HN275" s="14"/>
      <c r="HO275" s="14"/>
      <c r="HP275" s="14"/>
      <c r="HQ275" s="14"/>
      <c r="HR275" s="14"/>
      <c r="HS275" s="14"/>
      <c r="HT275" s="14"/>
    </row>
    <row r="276" spans="1:228" ht="12" customHeight="1" x14ac:dyDescent="0.25">
      <c r="A276" s="8"/>
      <c r="B276" s="1825"/>
      <c r="C276" s="1825"/>
      <c r="D276" s="1825"/>
      <c r="E276" s="1825"/>
      <c r="F276" s="1825"/>
      <c r="G276" s="1825"/>
      <c r="H276" s="1825"/>
      <c r="I276" s="1825"/>
      <c r="J276" s="1825"/>
      <c r="K276" s="1825"/>
      <c r="L276" s="1825"/>
      <c r="M276" s="1825"/>
      <c r="N276" s="1825"/>
      <c r="O276" s="1825"/>
      <c r="P276" s="75"/>
      <c r="Q276" s="8"/>
      <c r="R276" s="60"/>
      <c r="S276" s="60"/>
      <c r="T276" s="60"/>
      <c r="U276" s="60"/>
      <c r="V276" s="60"/>
      <c r="W276" s="60"/>
      <c r="X276" s="60"/>
      <c r="Y276" s="60"/>
      <c r="Z276" s="60"/>
      <c r="AA276" s="60"/>
      <c r="AB276" s="60"/>
      <c r="AC276" s="60"/>
      <c r="AD276" s="60"/>
      <c r="AE276" s="60"/>
      <c r="AF276" s="60"/>
      <c r="AG276" s="60"/>
      <c r="AH276" s="60"/>
      <c r="AI276" s="60"/>
      <c r="AJ276" s="60"/>
      <c r="AK276" s="60"/>
      <c r="AL276" s="60"/>
      <c r="AM276" s="60"/>
      <c r="AN276" s="60"/>
      <c r="AO276" s="60"/>
      <c r="AP276" s="60"/>
      <c r="AQ276" s="60"/>
      <c r="AR276" s="60"/>
      <c r="AS276" s="60"/>
      <c r="AT276" s="60"/>
      <c r="AU276" s="60"/>
      <c r="AV276" s="60"/>
      <c r="AW276" s="60"/>
      <c r="AX276" s="60"/>
      <c r="AY276" s="60"/>
      <c r="AZ276" s="60"/>
      <c r="BA276" s="60"/>
      <c r="BB276" s="60"/>
      <c r="BC276" s="60"/>
      <c r="BD276" s="60"/>
      <c r="BE276" s="60"/>
      <c r="BF276" s="18"/>
      <c r="BG276" s="18"/>
      <c r="BH276" s="18"/>
      <c r="BI276" s="18"/>
      <c r="BJ276" s="18"/>
      <c r="BK276" s="18"/>
      <c r="BL276" s="18"/>
      <c r="BM276" s="18"/>
      <c r="BN276" s="18"/>
      <c r="BO276" s="18"/>
      <c r="BP276" s="18"/>
      <c r="BQ276" s="14"/>
      <c r="BR276" s="14"/>
      <c r="BS276" s="14"/>
      <c r="BT276" s="14"/>
      <c r="BU276" s="14"/>
      <c r="BV276" s="14"/>
      <c r="BW276" s="14"/>
      <c r="BX276" s="14"/>
      <c r="BY276" s="14"/>
      <c r="BZ276" s="14"/>
      <c r="CA276" s="14"/>
      <c r="CB276" s="14"/>
      <c r="CC276" s="14"/>
      <c r="CD276" s="14"/>
      <c r="CE276" s="14"/>
      <c r="CF276" s="14"/>
      <c r="CG276" s="14"/>
      <c r="CH276" s="14"/>
      <c r="CI276" s="14"/>
      <c r="CJ276" s="14"/>
      <c r="CK276" s="14"/>
      <c r="CL276" s="14"/>
      <c r="CM276" s="14"/>
      <c r="CN276" s="14"/>
      <c r="CO276" s="14"/>
      <c r="CP276" s="14"/>
      <c r="CQ276" s="14"/>
      <c r="CR276" s="14"/>
      <c r="CS276" s="14"/>
      <c r="CT276" s="14"/>
      <c r="CU276" s="14"/>
      <c r="CV276" s="14"/>
      <c r="CW276" s="14"/>
      <c r="CX276" s="14"/>
      <c r="CY276" s="14"/>
      <c r="CZ276" s="14"/>
      <c r="DA276" s="14"/>
      <c r="DB276" s="14"/>
      <c r="DC276" s="14"/>
      <c r="DD276" s="14"/>
      <c r="DE276" s="14"/>
      <c r="DF276" s="14"/>
      <c r="DG276" s="14"/>
      <c r="DH276" s="14"/>
      <c r="DI276" s="14"/>
      <c r="DJ276" s="14"/>
      <c r="DK276" s="14"/>
      <c r="DL276" s="14"/>
      <c r="DM276" s="14"/>
      <c r="DN276" s="14"/>
      <c r="DO276" s="14"/>
      <c r="DP276" s="14"/>
      <c r="DQ276" s="14"/>
      <c r="DR276" s="14"/>
      <c r="DS276" s="14"/>
      <c r="DT276" s="14"/>
      <c r="DU276" s="14"/>
      <c r="DV276" s="14"/>
      <c r="DW276" s="14"/>
      <c r="DX276" s="14"/>
      <c r="DY276" s="14"/>
      <c r="DZ276" s="14"/>
      <c r="EA276" s="14"/>
      <c r="EB276" s="14"/>
      <c r="EC276" s="14"/>
      <c r="ED276" s="14"/>
      <c r="EE276" s="14"/>
      <c r="EF276" s="14"/>
      <c r="EG276" s="14"/>
      <c r="EH276" s="14"/>
      <c r="EI276" s="14"/>
      <c r="EJ276" s="14"/>
      <c r="EK276" s="14"/>
      <c r="EL276" s="14"/>
      <c r="EM276" s="14"/>
      <c r="EN276" s="14"/>
      <c r="EO276" s="14"/>
      <c r="EP276" s="14"/>
      <c r="EQ276" s="14"/>
      <c r="ER276" s="14"/>
      <c r="ES276" s="14"/>
      <c r="ET276" s="14"/>
      <c r="EU276" s="14"/>
      <c r="EV276" s="14"/>
      <c r="EW276" s="14"/>
      <c r="EX276" s="14"/>
      <c r="EY276" s="14"/>
      <c r="EZ276" s="14"/>
      <c r="FA276" s="14"/>
      <c r="FB276" s="14"/>
      <c r="FC276" s="14"/>
      <c r="FD276" s="14"/>
      <c r="FE276" s="14"/>
      <c r="FF276" s="14"/>
      <c r="FG276" s="14"/>
      <c r="FH276" s="14"/>
      <c r="FI276" s="14"/>
      <c r="FJ276" s="14"/>
      <c r="FK276" s="14"/>
      <c r="FL276" s="14"/>
      <c r="FM276" s="14"/>
      <c r="FN276" s="14"/>
      <c r="FO276" s="14"/>
      <c r="FP276" s="14"/>
      <c r="FQ276" s="14"/>
      <c r="FR276" s="14"/>
      <c r="FS276" s="14"/>
      <c r="FT276" s="14"/>
      <c r="FU276" s="14"/>
      <c r="FV276" s="14"/>
      <c r="FW276" s="14"/>
      <c r="FX276" s="14"/>
      <c r="FY276" s="14"/>
      <c r="FZ276" s="14"/>
      <c r="GA276" s="14"/>
      <c r="GB276" s="14"/>
      <c r="GC276" s="14"/>
      <c r="GD276" s="14"/>
      <c r="GE276" s="14"/>
      <c r="GF276" s="14"/>
      <c r="GG276" s="14"/>
      <c r="GH276" s="14"/>
      <c r="GI276" s="14"/>
      <c r="GJ276" s="14"/>
      <c r="GK276" s="14"/>
      <c r="GL276" s="14"/>
      <c r="GM276" s="14"/>
      <c r="GN276" s="14"/>
      <c r="GO276" s="14"/>
      <c r="GP276" s="14"/>
      <c r="GQ276" s="14"/>
      <c r="GR276" s="14"/>
      <c r="GS276" s="14"/>
      <c r="GT276" s="14"/>
      <c r="GU276" s="14"/>
      <c r="GV276" s="14"/>
      <c r="GW276" s="14"/>
      <c r="GX276" s="14"/>
      <c r="GY276" s="14"/>
      <c r="GZ276" s="14"/>
      <c r="HA276" s="14"/>
      <c r="HB276" s="14"/>
      <c r="HC276" s="14"/>
      <c r="HD276" s="14"/>
      <c r="HE276" s="14"/>
      <c r="HF276" s="14"/>
      <c r="HG276" s="14"/>
      <c r="HH276" s="14"/>
      <c r="HI276" s="14"/>
      <c r="HJ276" s="14"/>
      <c r="HK276" s="14"/>
      <c r="HL276" s="14"/>
      <c r="HM276" s="14"/>
      <c r="HN276" s="14"/>
      <c r="HO276" s="14"/>
      <c r="HP276" s="14"/>
      <c r="HQ276" s="14"/>
      <c r="HR276" s="14"/>
      <c r="HS276" s="14"/>
      <c r="HT276" s="14"/>
    </row>
    <row r="277" spans="1:228" ht="18" customHeight="1" x14ac:dyDescent="0.2">
      <c r="B277" s="1860" t="s">
        <v>826</v>
      </c>
      <c r="C277" s="1860"/>
      <c r="D277" s="1860"/>
      <c r="E277" s="1860"/>
      <c r="F277" s="1860"/>
      <c r="G277" s="1860"/>
      <c r="H277" s="1860"/>
      <c r="I277" s="1860"/>
      <c r="J277" s="1860"/>
      <c r="K277" s="1860"/>
      <c r="L277" s="1860"/>
      <c r="M277" s="1860"/>
      <c r="N277" s="1860"/>
      <c r="O277" s="1860"/>
      <c r="P277" s="1860"/>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4"/>
      <c r="BR277" s="14"/>
      <c r="BS277" s="14"/>
      <c r="BT277" s="14"/>
      <c r="BU277" s="14"/>
      <c r="BV277" s="14"/>
      <c r="BW277" s="14"/>
      <c r="BX277" s="14"/>
      <c r="BY277" s="14"/>
      <c r="BZ277" s="14"/>
      <c r="CA277" s="14"/>
      <c r="CB277" s="14"/>
      <c r="CC277" s="14"/>
      <c r="CD277" s="14"/>
      <c r="CE277" s="14"/>
      <c r="CF277" s="14"/>
      <c r="CG277" s="14"/>
      <c r="CH277" s="14"/>
      <c r="CI277" s="14"/>
      <c r="CJ277" s="14"/>
      <c r="CK277" s="14"/>
      <c r="CL277" s="14"/>
      <c r="CM277" s="14"/>
      <c r="CN277" s="14"/>
      <c r="CO277" s="14"/>
      <c r="CP277" s="14"/>
      <c r="CQ277" s="14"/>
      <c r="CR277" s="14"/>
      <c r="CS277" s="14"/>
      <c r="CT277" s="14"/>
      <c r="CU277" s="14"/>
      <c r="CV277" s="14"/>
      <c r="CW277" s="14"/>
      <c r="CX277" s="14"/>
      <c r="CY277" s="14"/>
      <c r="CZ277" s="14"/>
      <c r="DA277" s="14"/>
      <c r="DB277" s="14"/>
      <c r="DC277" s="14"/>
      <c r="DD277" s="14"/>
      <c r="DE277" s="14"/>
      <c r="DF277" s="14"/>
      <c r="DG277" s="14"/>
      <c r="DH277" s="14"/>
      <c r="DI277" s="14"/>
      <c r="DJ277" s="14"/>
      <c r="DK277" s="14"/>
      <c r="DL277" s="14"/>
      <c r="DM277" s="14"/>
      <c r="DN277" s="14"/>
      <c r="DO277" s="14"/>
      <c r="DP277" s="14"/>
      <c r="DQ277" s="14"/>
      <c r="DR277" s="14"/>
      <c r="DS277" s="14"/>
      <c r="DT277" s="14"/>
      <c r="DU277" s="14"/>
      <c r="DV277" s="14"/>
      <c r="DW277" s="14"/>
      <c r="DX277" s="14"/>
      <c r="DY277" s="14"/>
      <c r="DZ277" s="14"/>
      <c r="EA277" s="14"/>
      <c r="EB277" s="14"/>
      <c r="EC277" s="14"/>
      <c r="ED277" s="14"/>
      <c r="EE277" s="14"/>
      <c r="EF277" s="14"/>
      <c r="EG277" s="14"/>
      <c r="EH277" s="14"/>
      <c r="EI277" s="14"/>
      <c r="EJ277" s="14"/>
      <c r="EK277" s="14"/>
      <c r="EL277" s="14"/>
      <c r="EM277" s="14"/>
      <c r="EN277" s="14"/>
      <c r="EO277" s="14"/>
      <c r="EP277" s="14"/>
      <c r="EQ277" s="14"/>
      <c r="ER277" s="14"/>
      <c r="ES277" s="14"/>
      <c r="ET277" s="14"/>
      <c r="EU277" s="14"/>
      <c r="EV277" s="14"/>
      <c r="EW277" s="14"/>
      <c r="EX277" s="14"/>
      <c r="EY277" s="14"/>
      <c r="EZ277" s="14"/>
      <c r="FA277" s="14"/>
      <c r="FB277" s="14"/>
      <c r="FC277" s="14"/>
      <c r="FD277" s="14"/>
      <c r="FE277" s="14"/>
      <c r="FF277" s="14"/>
      <c r="FG277" s="14"/>
      <c r="FH277" s="14"/>
      <c r="FI277" s="14"/>
      <c r="FJ277" s="14"/>
      <c r="FK277" s="14"/>
      <c r="FL277" s="14"/>
      <c r="FM277" s="14"/>
      <c r="FN277" s="14"/>
      <c r="FO277" s="14"/>
      <c r="FP277" s="14"/>
      <c r="FQ277" s="14"/>
      <c r="FR277" s="14"/>
      <c r="FS277" s="14"/>
      <c r="FT277" s="14"/>
      <c r="FU277" s="14"/>
      <c r="FV277" s="14"/>
      <c r="FW277" s="14"/>
      <c r="FX277" s="14"/>
      <c r="FY277" s="14"/>
      <c r="FZ277" s="14"/>
      <c r="GA277" s="14"/>
      <c r="GB277" s="14"/>
      <c r="GC277" s="14"/>
      <c r="GD277" s="14"/>
      <c r="GE277" s="14"/>
      <c r="GF277" s="14"/>
      <c r="GG277" s="14"/>
      <c r="GH277" s="14"/>
      <c r="GI277" s="14"/>
      <c r="GJ277" s="14"/>
      <c r="GK277" s="14"/>
      <c r="GL277" s="14"/>
      <c r="GM277" s="14"/>
      <c r="GN277" s="14"/>
      <c r="GO277" s="14"/>
      <c r="GP277" s="14"/>
      <c r="GQ277" s="14"/>
      <c r="GR277" s="14"/>
      <c r="GS277" s="14"/>
      <c r="GT277" s="14"/>
      <c r="GU277" s="14"/>
      <c r="GV277" s="14"/>
      <c r="GW277" s="14"/>
      <c r="GX277" s="14"/>
      <c r="GY277" s="14"/>
      <c r="GZ277" s="14"/>
      <c r="HA277" s="14"/>
      <c r="HB277" s="14"/>
      <c r="HC277" s="14"/>
      <c r="HD277" s="14"/>
      <c r="HE277" s="14"/>
      <c r="HF277" s="14"/>
      <c r="HG277" s="14"/>
      <c r="HH277" s="14"/>
      <c r="HI277" s="14"/>
      <c r="HJ277" s="14"/>
      <c r="HK277" s="14"/>
      <c r="HL277" s="14"/>
      <c r="HM277" s="14"/>
      <c r="HN277" s="14"/>
      <c r="HO277" s="14"/>
      <c r="HP277" s="14"/>
      <c r="HQ277" s="14"/>
      <c r="HR277" s="14"/>
      <c r="HS277" s="14"/>
      <c r="HT277" s="14"/>
    </row>
    <row r="278" spans="1:228" ht="116.25" customHeight="1" x14ac:dyDescent="0.2">
      <c r="B278" s="1379" t="s">
        <v>2026</v>
      </c>
      <c r="C278" s="1379"/>
      <c r="D278" s="1379"/>
      <c r="E278" s="1379"/>
      <c r="F278" s="1379"/>
      <c r="G278" s="1379"/>
      <c r="H278" s="1379"/>
      <c r="I278" s="1379"/>
      <c r="J278" s="1379"/>
      <c r="K278" s="1379"/>
      <c r="L278" s="1379"/>
      <c r="M278" s="1379"/>
      <c r="N278" s="1379"/>
      <c r="O278" s="1379"/>
      <c r="P278" s="1379"/>
      <c r="R278" s="961" t="s">
        <v>2196</v>
      </c>
      <c r="S278" s="950" t="s">
        <v>1942</v>
      </c>
      <c r="T278" s="695" t="s">
        <v>827</v>
      </c>
      <c r="U278" s="695" t="s">
        <v>828</v>
      </c>
      <c r="V278" s="695" t="s">
        <v>829</v>
      </c>
      <c r="W278" s="695" t="s">
        <v>830</v>
      </c>
      <c r="X278" s="950" t="s">
        <v>831</v>
      </c>
      <c r="Y278" s="695" t="s">
        <v>832</v>
      </c>
      <c r="Z278" s="695" t="s">
        <v>833</v>
      </c>
      <c r="AA278" s="695" t="s">
        <v>834</v>
      </c>
      <c r="AB278" s="695" t="s">
        <v>835</v>
      </c>
      <c r="AC278" s="695" t="s">
        <v>836</v>
      </c>
      <c r="AD278" s="695" t="s">
        <v>1681</v>
      </c>
      <c r="AE278" s="695" t="s">
        <v>1682</v>
      </c>
      <c r="AF278" s="695" t="s">
        <v>1683</v>
      </c>
      <c r="AG278" s="695" t="s">
        <v>1684</v>
      </c>
      <c r="AH278" s="695" t="s">
        <v>1685</v>
      </c>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4"/>
      <c r="BR278" s="14"/>
      <c r="BS278" s="14"/>
      <c r="BT278" s="14"/>
      <c r="BU278" s="14"/>
      <c r="BV278" s="14"/>
      <c r="BW278" s="14"/>
      <c r="BX278" s="14"/>
      <c r="BY278" s="14"/>
      <c r="BZ278" s="14"/>
      <c r="CA278" s="14"/>
      <c r="CB278" s="14"/>
      <c r="CC278" s="14"/>
      <c r="CD278" s="14"/>
      <c r="CE278" s="14"/>
      <c r="CF278" s="14"/>
      <c r="CG278" s="14"/>
      <c r="CH278" s="14"/>
      <c r="CI278" s="14"/>
      <c r="CJ278" s="14"/>
      <c r="CK278" s="14"/>
      <c r="CL278" s="14"/>
      <c r="CM278" s="14"/>
      <c r="CN278" s="14"/>
      <c r="CO278" s="14"/>
      <c r="CP278" s="14"/>
      <c r="CQ278" s="14"/>
      <c r="CR278" s="14"/>
      <c r="CS278" s="14"/>
      <c r="CT278" s="14"/>
      <c r="CU278" s="14"/>
      <c r="CV278" s="14"/>
      <c r="CW278" s="14"/>
      <c r="CX278" s="14"/>
      <c r="CY278" s="14"/>
      <c r="CZ278" s="14"/>
      <c r="DA278" s="14"/>
      <c r="DB278" s="14"/>
      <c r="DC278" s="14"/>
      <c r="DD278" s="14"/>
      <c r="DE278" s="14"/>
      <c r="DF278" s="14"/>
      <c r="DG278" s="14"/>
      <c r="DH278" s="14"/>
      <c r="DI278" s="14"/>
      <c r="DJ278" s="14"/>
      <c r="DK278" s="14"/>
      <c r="DL278" s="14"/>
      <c r="DM278" s="14"/>
      <c r="DN278" s="14"/>
      <c r="DO278" s="14"/>
      <c r="DP278" s="14"/>
      <c r="DQ278" s="14"/>
      <c r="DR278" s="14"/>
      <c r="DS278" s="14"/>
      <c r="DT278" s="14"/>
      <c r="DU278" s="14"/>
      <c r="DV278" s="14"/>
      <c r="DW278" s="14"/>
      <c r="DX278" s="14"/>
      <c r="DY278" s="14"/>
      <c r="DZ278" s="14"/>
      <c r="EA278" s="14"/>
      <c r="EB278" s="14"/>
      <c r="EC278" s="14"/>
      <c r="ED278" s="14"/>
      <c r="EE278" s="14"/>
      <c r="EF278" s="14"/>
      <c r="EG278" s="14"/>
      <c r="EH278" s="14"/>
      <c r="EI278" s="14"/>
      <c r="EJ278" s="14"/>
      <c r="EK278" s="14"/>
      <c r="EL278" s="14"/>
      <c r="EM278" s="14"/>
      <c r="EN278" s="14"/>
      <c r="EO278" s="14"/>
      <c r="EP278" s="14"/>
      <c r="EQ278" s="14"/>
      <c r="ER278" s="14"/>
      <c r="ES278" s="14"/>
      <c r="ET278" s="14"/>
      <c r="EU278" s="14"/>
      <c r="EV278" s="14"/>
      <c r="EW278" s="14"/>
      <c r="EX278" s="14"/>
      <c r="EY278" s="14"/>
      <c r="EZ278" s="14"/>
      <c r="FA278" s="14"/>
      <c r="FB278" s="14"/>
      <c r="FC278" s="14"/>
      <c r="FD278" s="14"/>
      <c r="FE278" s="14"/>
      <c r="FF278" s="14"/>
      <c r="FG278" s="14"/>
      <c r="FH278" s="14"/>
      <c r="FI278" s="14"/>
      <c r="FJ278" s="14"/>
      <c r="FK278" s="14"/>
      <c r="FL278" s="14"/>
      <c r="FM278" s="14"/>
      <c r="FN278" s="14"/>
      <c r="FO278" s="14"/>
      <c r="FP278" s="14"/>
      <c r="FQ278" s="14"/>
      <c r="FR278" s="14"/>
      <c r="FS278" s="14"/>
      <c r="FT278" s="14"/>
      <c r="FU278" s="14"/>
      <c r="FV278" s="14"/>
      <c r="FW278" s="14"/>
      <c r="FX278" s="14"/>
      <c r="FY278" s="14"/>
      <c r="FZ278" s="14"/>
      <c r="GA278" s="14"/>
      <c r="GB278" s="14"/>
      <c r="GC278" s="14"/>
      <c r="GD278" s="14"/>
      <c r="GE278" s="14"/>
      <c r="GF278" s="14"/>
      <c r="GG278" s="14"/>
      <c r="GH278" s="14"/>
      <c r="GI278" s="14"/>
      <c r="GJ278" s="14"/>
      <c r="GK278" s="14"/>
      <c r="GL278" s="14"/>
      <c r="GM278" s="14"/>
      <c r="GN278" s="14"/>
      <c r="GO278" s="14"/>
      <c r="GP278" s="14"/>
      <c r="GQ278" s="14"/>
      <c r="GR278" s="14"/>
      <c r="GS278" s="14"/>
      <c r="GT278" s="14"/>
      <c r="GU278" s="14"/>
      <c r="GV278" s="14"/>
      <c r="GW278" s="14"/>
      <c r="GX278" s="14"/>
      <c r="GY278" s="14"/>
      <c r="GZ278" s="14"/>
      <c r="HA278" s="14"/>
      <c r="HB278" s="14"/>
      <c r="HC278" s="14"/>
      <c r="HD278" s="14"/>
      <c r="HE278" s="14"/>
      <c r="HF278" s="14"/>
      <c r="HG278" s="14"/>
      <c r="HH278" s="14"/>
      <c r="HI278" s="14"/>
      <c r="HJ278" s="14"/>
      <c r="HK278" s="14"/>
      <c r="HL278" s="14"/>
      <c r="HM278" s="14"/>
      <c r="HN278" s="14"/>
      <c r="HO278" s="14"/>
      <c r="HP278" s="14"/>
      <c r="HQ278" s="14"/>
      <c r="HR278" s="14"/>
      <c r="HS278" s="14"/>
      <c r="HT278" s="14"/>
    </row>
    <row r="279" spans="1:228" ht="15" customHeight="1" x14ac:dyDescent="0.2">
      <c r="B279" s="1555"/>
      <c r="C279" s="1555"/>
      <c r="D279" s="1555"/>
      <c r="E279" s="1555"/>
      <c r="F279" s="1555"/>
      <c r="G279" s="1555"/>
      <c r="H279" s="1555"/>
      <c r="I279" s="1555"/>
      <c r="J279" s="1555"/>
      <c r="K279" s="1555"/>
      <c r="L279" s="1555"/>
      <c r="M279" s="1536" t="s">
        <v>1686</v>
      </c>
      <c r="N279" s="1640" t="s">
        <v>1687</v>
      </c>
      <c r="O279" s="1640"/>
      <c r="P279" s="1640"/>
      <c r="R279" s="494" t="s">
        <v>2197</v>
      </c>
      <c r="S279" s="962">
        <v>0</v>
      </c>
      <c r="T279" s="960">
        <v>0</v>
      </c>
      <c r="U279" s="960">
        <v>0.05</v>
      </c>
      <c r="V279" s="960">
        <v>0.1</v>
      </c>
      <c r="W279" s="960">
        <v>0.2</v>
      </c>
      <c r="X279" s="960">
        <v>0.3</v>
      </c>
      <c r="Y279" s="960">
        <v>0.4</v>
      </c>
      <c r="Z279" s="960">
        <v>0.5</v>
      </c>
      <c r="AA279" s="960">
        <v>0.6</v>
      </c>
      <c r="AB279" s="960">
        <v>0.7</v>
      </c>
      <c r="AC279" s="960">
        <v>0.75</v>
      </c>
      <c r="AD279" s="960">
        <v>0.8</v>
      </c>
      <c r="AE279" s="960">
        <v>0.85</v>
      </c>
      <c r="AF279" s="960">
        <v>0.9</v>
      </c>
      <c r="AG279" s="960">
        <v>0.95</v>
      </c>
      <c r="AH279" s="960">
        <v>1</v>
      </c>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4"/>
      <c r="BR279" s="14"/>
      <c r="BS279" s="14"/>
      <c r="BT279" s="14"/>
      <c r="BU279" s="14"/>
      <c r="BV279" s="14"/>
      <c r="BW279" s="14"/>
      <c r="BX279" s="14"/>
      <c r="BY279" s="14"/>
      <c r="BZ279" s="14"/>
      <c r="CA279" s="14"/>
      <c r="CB279" s="14"/>
      <c r="CC279" s="14"/>
      <c r="CD279" s="14"/>
      <c r="CE279" s="14"/>
      <c r="CF279" s="14"/>
      <c r="CG279" s="14"/>
      <c r="CH279" s="14"/>
      <c r="CI279" s="14"/>
      <c r="CJ279" s="14"/>
      <c r="CK279" s="14"/>
      <c r="CL279" s="14"/>
      <c r="CM279" s="14"/>
      <c r="CN279" s="14"/>
      <c r="CO279" s="14"/>
      <c r="CP279" s="14"/>
      <c r="CQ279" s="14"/>
      <c r="CR279" s="14"/>
      <c r="CS279" s="14"/>
      <c r="CT279" s="14"/>
      <c r="CU279" s="14"/>
      <c r="CV279" s="14"/>
      <c r="CW279" s="14"/>
      <c r="CX279" s="14"/>
      <c r="CY279" s="14"/>
      <c r="CZ279" s="14"/>
      <c r="DA279" s="14"/>
      <c r="DB279" s="14"/>
      <c r="DC279" s="14"/>
      <c r="DD279" s="14"/>
      <c r="DE279" s="14"/>
      <c r="DF279" s="14"/>
      <c r="DG279" s="14"/>
      <c r="DH279" s="14"/>
      <c r="DI279" s="14"/>
      <c r="DJ279" s="14"/>
      <c r="DK279" s="14"/>
      <c r="DL279" s="14"/>
      <c r="DM279" s="14"/>
      <c r="DN279" s="14"/>
      <c r="DO279" s="14"/>
      <c r="DP279" s="14"/>
      <c r="DQ279" s="14"/>
      <c r="DR279" s="14"/>
      <c r="DS279" s="14"/>
      <c r="DT279" s="14"/>
      <c r="DU279" s="14"/>
      <c r="DV279" s="14"/>
      <c r="DW279" s="14"/>
      <c r="DX279" s="14"/>
      <c r="DY279" s="14"/>
      <c r="DZ279" s="14"/>
      <c r="EA279" s="14"/>
      <c r="EB279" s="14"/>
      <c r="EC279" s="14"/>
      <c r="ED279" s="14"/>
      <c r="EE279" s="14"/>
      <c r="EF279" s="14"/>
      <c r="EG279" s="14"/>
      <c r="EH279" s="14"/>
      <c r="EI279" s="14"/>
      <c r="EJ279" s="14"/>
      <c r="EK279" s="14"/>
      <c r="EL279" s="14"/>
      <c r="EM279" s="14"/>
      <c r="EN279" s="14"/>
      <c r="EO279" s="14"/>
      <c r="EP279" s="14"/>
      <c r="EQ279" s="14"/>
      <c r="ER279" s="14"/>
      <c r="ES279" s="14"/>
      <c r="ET279" s="14"/>
      <c r="EU279" s="14"/>
      <c r="EV279" s="14"/>
      <c r="EW279" s="14"/>
      <c r="EX279" s="14"/>
      <c r="EY279" s="14"/>
      <c r="EZ279" s="14"/>
      <c r="FA279" s="14"/>
      <c r="FB279" s="14"/>
      <c r="FC279" s="14"/>
      <c r="FD279" s="14"/>
      <c r="FE279" s="14"/>
      <c r="FF279" s="14"/>
      <c r="FG279" s="14"/>
      <c r="FH279" s="14"/>
      <c r="FI279" s="14"/>
      <c r="FJ279" s="14"/>
      <c r="FK279" s="14"/>
      <c r="FL279" s="14"/>
      <c r="FM279" s="14"/>
      <c r="FN279" s="14"/>
      <c r="FO279" s="14"/>
      <c r="FP279" s="14"/>
      <c r="FQ279" s="14"/>
      <c r="FR279" s="14"/>
      <c r="FS279" s="14"/>
      <c r="FT279" s="14"/>
      <c r="FU279" s="14"/>
      <c r="FV279" s="14"/>
      <c r="FW279" s="14"/>
      <c r="FX279" s="14"/>
      <c r="FY279" s="14"/>
      <c r="FZ279" s="14"/>
      <c r="GA279" s="14"/>
      <c r="GB279" s="14"/>
      <c r="GC279" s="14"/>
      <c r="GD279" s="14"/>
      <c r="GE279" s="14"/>
      <c r="GF279" s="14"/>
      <c r="GG279" s="14"/>
      <c r="GH279" s="14"/>
      <c r="GI279" s="14"/>
      <c r="GJ279" s="14"/>
      <c r="GK279" s="14"/>
      <c r="GL279" s="14"/>
      <c r="GM279" s="14"/>
      <c r="GN279" s="14"/>
      <c r="GO279" s="14"/>
      <c r="GP279" s="14"/>
      <c r="GQ279" s="14"/>
      <c r="GR279" s="14"/>
      <c r="GS279" s="14"/>
      <c r="GT279" s="14"/>
      <c r="GU279" s="14"/>
      <c r="GV279" s="14"/>
      <c r="GW279" s="14"/>
      <c r="GX279" s="14"/>
      <c r="GY279" s="14"/>
      <c r="GZ279" s="14"/>
      <c r="HA279" s="14"/>
      <c r="HB279" s="14"/>
      <c r="HC279" s="14"/>
      <c r="HD279" s="14"/>
      <c r="HE279" s="14"/>
      <c r="HF279" s="14"/>
      <c r="HG279" s="14"/>
      <c r="HH279" s="14"/>
      <c r="HI279" s="14"/>
      <c r="HJ279" s="14"/>
      <c r="HK279" s="14"/>
      <c r="HL279" s="14"/>
      <c r="HM279" s="14"/>
      <c r="HN279" s="14"/>
      <c r="HO279" s="14"/>
      <c r="HP279" s="14"/>
      <c r="HQ279" s="14"/>
      <c r="HR279" s="14"/>
      <c r="HS279" s="14"/>
      <c r="HT279" s="14"/>
    </row>
    <row r="280" spans="1:228" ht="15" customHeight="1" x14ac:dyDescent="0.2">
      <c r="B280" s="1591" t="s">
        <v>1688</v>
      </c>
      <c r="C280" s="1591"/>
      <c r="D280" s="1591"/>
      <c r="E280" s="1591"/>
      <c r="F280" s="1591"/>
      <c r="G280" s="1591"/>
      <c r="H280" s="1591"/>
      <c r="I280" s="1591"/>
      <c r="J280" s="1591"/>
      <c r="K280" s="1591"/>
      <c r="L280" s="1591"/>
      <c r="M280" s="1536"/>
      <c r="N280" s="475" t="s">
        <v>1689</v>
      </c>
      <c r="O280" s="475" t="s">
        <v>1690</v>
      </c>
      <c r="P280" s="475" t="s">
        <v>1691</v>
      </c>
      <c r="R280" s="1790" t="s">
        <v>2228</v>
      </c>
      <c r="S280" s="1790"/>
      <c r="T280" s="960" t="s">
        <v>1689</v>
      </c>
      <c r="U280" s="960" t="s">
        <v>1597</v>
      </c>
      <c r="V280" s="960" t="s">
        <v>1692</v>
      </c>
      <c r="W280" s="960" t="s">
        <v>1693</v>
      </c>
      <c r="X280" s="960" t="s">
        <v>1694</v>
      </c>
      <c r="Y280" s="19"/>
      <c r="Z280" s="960" t="s">
        <v>1695</v>
      </c>
      <c r="AA280" s="960" t="s">
        <v>1305</v>
      </c>
      <c r="AB280" s="960" t="s">
        <v>1307</v>
      </c>
      <c r="AC280" s="960" t="s">
        <v>1306</v>
      </c>
      <c r="AD280" s="960" t="s">
        <v>1307</v>
      </c>
      <c r="AE280" s="729" t="s">
        <v>1696</v>
      </c>
      <c r="AF280" s="888" t="s">
        <v>1307</v>
      </c>
      <c r="AG280" s="949" t="s">
        <v>1305</v>
      </c>
      <c r="AH280" s="949" t="s">
        <v>1306</v>
      </c>
      <c r="AI280" s="949" t="s">
        <v>1307</v>
      </c>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4"/>
      <c r="BR280" s="14"/>
      <c r="BS280" s="14"/>
      <c r="BT280" s="14"/>
      <c r="BU280" s="14"/>
      <c r="BV280" s="14"/>
      <c r="BW280" s="14"/>
      <c r="BX280" s="14"/>
      <c r="BY280" s="14"/>
      <c r="BZ280" s="14"/>
      <c r="CA280" s="14"/>
      <c r="CB280" s="14"/>
      <c r="CC280" s="14"/>
      <c r="CD280" s="14"/>
      <c r="CE280" s="14"/>
      <c r="CF280" s="14"/>
      <c r="CG280" s="14"/>
      <c r="CH280" s="14"/>
      <c r="CI280" s="14"/>
      <c r="CJ280" s="14"/>
      <c r="CK280" s="14"/>
      <c r="CL280" s="14"/>
      <c r="CM280" s="14"/>
      <c r="CN280" s="14"/>
      <c r="CO280" s="14"/>
      <c r="CP280" s="14"/>
      <c r="CQ280" s="14"/>
      <c r="CR280" s="14"/>
      <c r="CS280" s="14"/>
      <c r="CT280" s="14"/>
      <c r="CU280" s="14"/>
      <c r="CV280" s="14"/>
      <c r="CW280" s="14"/>
      <c r="CX280" s="14"/>
      <c r="CY280" s="14"/>
      <c r="CZ280" s="14"/>
      <c r="DA280" s="14"/>
      <c r="DB280" s="14"/>
      <c r="DC280" s="14"/>
      <c r="DD280" s="14"/>
      <c r="DE280" s="14"/>
      <c r="DF280" s="14"/>
      <c r="DG280" s="14"/>
      <c r="DH280" s="14"/>
      <c r="DI280" s="14"/>
      <c r="DJ280" s="14"/>
      <c r="DK280" s="14"/>
      <c r="DL280" s="14"/>
      <c r="DM280" s="14"/>
      <c r="DN280" s="14"/>
      <c r="DO280" s="14"/>
      <c r="DP280" s="14"/>
      <c r="DQ280" s="14"/>
      <c r="DR280" s="14"/>
      <c r="DS280" s="14"/>
      <c r="DT280" s="14"/>
      <c r="DU280" s="14"/>
      <c r="DV280" s="14"/>
      <c r="DW280" s="14"/>
      <c r="DX280" s="14"/>
      <c r="DY280" s="14"/>
      <c r="DZ280" s="14"/>
      <c r="EA280" s="14"/>
      <c r="EB280" s="14"/>
      <c r="EC280" s="14"/>
      <c r="ED280" s="14"/>
      <c r="EE280" s="14"/>
      <c r="EF280" s="14"/>
      <c r="EG280" s="14"/>
      <c r="EH280" s="14"/>
      <c r="EI280" s="14"/>
      <c r="EJ280" s="14"/>
      <c r="EK280" s="14"/>
      <c r="EL280" s="14"/>
      <c r="EM280" s="14"/>
      <c r="EN280" s="14"/>
      <c r="EO280" s="14"/>
      <c r="EP280" s="14"/>
      <c r="EQ280" s="14"/>
      <c r="ER280" s="14"/>
      <c r="ES280" s="14"/>
      <c r="ET280" s="14"/>
      <c r="EU280" s="14"/>
      <c r="EV280" s="14"/>
      <c r="EW280" s="14"/>
      <c r="EX280" s="14"/>
      <c r="EY280" s="14"/>
      <c r="EZ280" s="14"/>
      <c r="FA280" s="14"/>
      <c r="FB280" s="14"/>
      <c r="FC280" s="14"/>
      <c r="FD280" s="14"/>
      <c r="FE280" s="14"/>
      <c r="FF280" s="14"/>
      <c r="FG280" s="14"/>
      <c r="FH280" s="14"/>
      <c r="FI280" s="14"/>
      <c r="FJ280" s="14"/>
      <c r="FK280" s="14"/>
      <c r="FL280" s="14"/>
      <c r="FM280" s="14"/>
      <c r="FN280" s="14"/>
      <c r="FO280" s="14"/>
      <c r="FP280" s="14"/>
      <c r="FQ280" s="14"/>
      <c r="FR280" s="14"/>
      <c r="FS280" s="14"/>
      <c r="FT280" s="14"/>
      <c r="FU280" s="14"/>
      <c r="FV280" s="14"/>
      <c r="FW280" s="14"/>
      <c r="FX280" s="14"/>
      <c r="FY280" s="14"/>
      <c r="FZ280" s="14"/>
      <c r="GA280" s="14"/>
      <c r="GB280" s="14"/>
      <c r="GC280" s="14"/>
      <c r="GD280" s="14"/>
      <c r="GE280" s="14"/>
      <c r="GF280" s="14"/>
      <c r="GG280" s="14"/>
      <c r="GH280" s="14"/>
      <c r="GI280" s="14"/>
      <c r="GJ280" s="14"/>
      <c r="GK280" s="14"/>
      <c r="GL280" s="14"/>
      <c r="GM280" s="14"/>
      <c r="GN280" s="14"/>
      <c r="GO280" s="14"/>
      <c r="GP280" s="14"/>
      <c r="GQ280" s="14"/>
      <c r="GR280" s="14"/>
      <c r="GS280" s="14"/>
      <c r="GT280" s="14"/>
      <c r="GU280" s="14"/>
      <c r="GV280" s="14"/>
      <c r="GW280" s="14"/>
      <c r="GX280" s="14"/>
      <c r="GY280" s="14"/>
      <c r="GZ280" s="14"/>
      <c r="HA280" s="14"/>
      <c r="HB280" s="14"/>
      <c r="HC280" s="14"/>
      <c r="HD280" s="14"/>
      <c r="HE280" s="14"/>
      <c r="HF280" s="14"/>
      <c r="HG280" s="14"/>
      <c r="HH280" s="14"/>
      <c r="HI280" s="14"/>
      <c r="HJ280" s="14"/>
      <c r="HK280" s="14"/>
      <c r="HL280" s="14"/>
      <c r="HM280" s="14"/>
      <c r="HN280" s="14"/>
      <c r="HO280" s="14"/>
      <c r="HP280" s="14"/>
      <c r="HQ280" s="14"/>
      <c r="HR280" s="14"/>
      <c r="HS280" s="14"/>
      <c r="HT280" s="14"/>
    </row>
    <row r="281" spans="1:228" ht="15" customHeight="1" x14ac:dyDescent="0.2">
      <c r="A281" s="20"/>
      <c r="B281" s="1895"/>
      <c r="C281" s="1895"/>
      <c r="D281" s="1895"/>
      <c r="E281" s="476"/>
      <c r="F281" s="1536" t="s">
        <v>1697</v>
      </c>
      <c r="G281" s="1536"/>
      <c r="H281" s="1536"/>
      <c r="I281" s="1536"/>
      <c r="J281" s="1536"/>
      <c r="K281" s="1536"/>
      <c r="L281" s="1536"/>
      <c r="M281" s="88">
        <f>IF(S281=0,0,0.2)</f>
        <v>0</v>
      </c>
      <c r="N281" s="254"/>
      <c r="O281" s="254"/>
      <c r="P281" s="355" t="str">
        <f>IF(X281=0,"",X281)</f>
        <v/>
      </c>
      <c r="R281" s="745" t="b">
        <v>0</v>
      </c>
      <c r="S281" s="736">
        <f>IF(R281=TRUE,1,0)</f>
        <v>0</v>
      </c>
      <c r="T281" s="747">
        <f>SUMIF($T$278:$AH$278,N281,$T$279:$AH$279)</f>
        <v>0</v>
      </c>
      <c r="U281" s="747">
        <f>SUMIF($S$278:$AH$278,O281,$S$279:$AH$279)</f>
        <v>0</v>
      </c>
      <c r="V281" s="747">
        <f>M281*T281</f>
        <v>0</v>
      </c>
      <c r="W281" s="747">
        <f>M281*U281</f>
        <v>0</v>
      </c>
      <c r="X281" s="747">
        <f>(IF(V281-W281&lt;=0,0,V281-W281))</f>
        <v>0</v>
      </c>
      <c r="Y281" s="19"/>
      <c r="Z281" s="747">
        <f>IF(P303="",0,P303)</f>
        <v>0</v>
      </c>
      <c r="AA281" s="747">
        <f>LARGE($Z$281:$Z$284,1)</f>
        <v>0</v>
      </c>
      <c r="AB281" s="747">
        <f>ROUND(AA281,2)</f>
        <v>0</v>
      </c>
      <c r="AC281" s="684">
        <f>AB281+AB282*(1-AB281)</f>
        <v>0</v>
      </c>
      <c r="AD281" s="747">
        <f>ROUND(AC281,2)</f>
        <v>0</v>
      </c>
      <c r="AE281" s="747">
        <f>IF(P281="",0,P281)</f>
        <v>0</v>
      </c>
      <c r="AF281" s="749">
        <f t="shared" ref="AF281:AF293" si="15">ROUND(AE281,2)</f>
        <v>0</v>
      </c>
      <c r="AG281" s="960">
        <f>LARGE($AF$281:$AF$293,1)</f>
        <v>0</v>
      </c>
      <c r="AH281" s="684">
        <f>AG281+AG282*(1-AG281)</f>
        <v>0</v>
      </c>
      <c r="AI281" s="747">
        <f t="shared" ref="AI281:AI292" si="16">ROUND(AH281,2)</f>
        <v>0</v>
      </c>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4"/>
      <c r="BR281" s="14"/>
      <c r="BS281" s="14"/>
      <c r="BT281" s="14"/>
      <c r="BU281" s="14"/>
      <c r="BV281" s="14"/>
      <c r="BW281" s="14"/>
      <c r="BX281" s="14"/>
      <c r="BY281" s="14"/>
      <c r="BZ281" s="14"/>
      <c r="CA281" s="14"/>
      <c r="CB281" s="14"/>
      <c r="CC281" s="14"/>
      <c r="CD281" s="14"/>
      <c r="CE281" s="14"/>
      <c r="CF281" s="14"/>
      <c r="CG281" s="14"/>
      <c r="CH281" s="14"/>
      <c r="CI281" s="14"/>
      <c r="CJ281" s="14"/>
      <c r="CK281" s="14"/>
      <c r="CL281" s="14"/>
      <c r="CM281" s="14"/>
      <c r="CN281" s="14"/>
      <c r="CO281" s="14"/>
      <c r="CP281" s="14"/>
      <c r="CQ281" s="14"/>
      <c r="CR281" s="14"/>
      <c r="CS281" s="14"/>
      <c r="CT281" s="14"/>
      <c r="CU281" s="14"/>
      <c r="CV281" s="14"/>
      <c r="CW281" s="14"/>
      <c r="CX281" s="14"/>
      <c r="CY281" s="14"/>
      <c r="CZ281" s="14"/>
      <c r="DA281" s="14"/>
      <c r="DB281" s="14"/>
      <c r="DC281" s="14"/>
      <c r="DD281" s="14"/>
      <c r="DE281" s="14"/>
      <c r="DF281" s="14"/>
      <c r="DG281" s="14"/>
      <c r="DH281" s="14"/>
      <c r="DI281" s="14"/>
      <c r="DJ281" s="14"/>
      <c r="DK281" s="14"/>
      <c r="DL281" s="14"/>
      <c r="DM281" s="14"/>
      <c r="DN281" s="14"/>
      <c r="DO281" s="14"/>
      <c r="DP281" s="14"/>
      <c r="DQ281" s="14"/>
      <c r="DR281" s="14"/>
      <c r="DS281" s="14"/>
      <c r="DT281" s="14"/>
      <c r="DU281" s="14"/>
      <c r="DV281" s="14"/>
      <c r="DW281" s="14"/>
      <c r="DX281" s="14"/>
      <c r="DY281" s="14"/>
      <c r="DZ281" s="14"/>
      <c r="EA281" s="14"/>
      <c r="EB281" s="14"/>
      <c r="EC281" s="14"/>
      <c r="ED281" s="14"/>
      <c r="EE281" s="14"/>
      <c r="EF281" s="14"/>
      <c r="EG281" s="14"/>
      <c r="EH281" s="14"/>
      <c r="EI281" s="14"/>
      <c r="EJ281" s="14"/>
      <c r="EK281" s="14"/>
      <c r="EL281" s="14"/>
      <c r="EM281" s="14"/>
      <c r="EN281" s="14"/>
      <c r="EO281" s="14"/>
      <c r="EP281" s="14"/>
      <c r="EQ281" s="14"/>
      <c r="ER281" s="14"/>
      <c r="ES281" s="14"/>
      <c r="ET281" s="14"/>
      <c r="EU281" s="14"/>
      <c r="EV281" s="14"/>
      <c r="EW281" s="14"/>
      <c r="EX281" s="14"/>
      <c r="EY281" s="14"/>
      <c r="EZ281" s="14"/>
      <c r="FA281" s="14"/>
      <c r="FB281" s="14"/>
      <c r="FC281" s="14"/>
      <c r="FD281" s="14"/>
      <c r="FE281" s="14"/>
      <c r="FF281" s="14"/>
      <c r="FG281" s="14"/>
      <c r="FH281" s="14"/>
      <c r="FI281" s="14"/>
      <c r="FJ281" s="14"/>
      <c r="FK281" s="14"/>
      <c r="FL281" s="14"/>
      <c r="FM281" s="14"/>
      <c r="FN281" s="14"/>
      <c r="FO281" s="14"/>
      <c r="FP281" s="14"/>
      <c r="FQ281" s="14"/>
      <c r="FR281" s="14"/>
      <c r="FS281" s="14"/>
      <c r="FT281" s="14"/>
      <c r="FU281" s="14"/>
      <c r="FV281" s="14"/>
      <c r="FW281" s="14"/>
      <c r="FX281" s="14"/>
      <c r="FY281" s="14"/>
      <c r="FZ281" s="14"/>
      <c r="GA281" s="14"/>
      <c r="GB281" s="14"/>
      <c r="GC281" s="14"/>
      <c r="GD281" s="14"/>
      <c r="GE281" s="14"/>
      <c r="GF281" s="14"/>
      <c r="GG281" s="14"/>
      <c r="GH281" s="14"/>
      <c r="GI281" s="14"/>
      <c r="GJ281" s="14"/>
      <c r="GK281" s="14"/>
      <c r="GL281" s="14"/>
      <c r="GM281" s="14"/>
      <c r="GN281" s="14"/>
      <c r="GO281" s="14"/>
      <c r="GP281" s="14"/>
      <c r="GQ281" s="14"/>
      <c r="GR281" s="14"/>
      <c r="GS281" s="14"/>
      <c r="GT281" s="14"/>
      <c r="GU281" s="14"/>
      <c r="GV281" s="14"/>
      <c r="GW281" s="14"/>
      <c r="GX281" s="14"/>
      <c r="GY281" s="14"/>
      <c r="GZ281" s="14"/>
      <c r="HA281" s="14"/>
      <c r="HB281" s="14"/>
      <c r="HC281" s="14"/>
      <c r="HD281" s="14"/>
      <c r="HE281" s="14"/>
      <c r="HF281" s="14"/>
      <c r="HG281" s="14"/>
      <c r="HH281" s="14"/>
      <c r="HI281" s="14"/>
      <c r="HJ281" s="14"/>
      <c r="HK281" s="14"/>
      <c r="HL281" s="14"/>
      <c r="HM281" s="14"/>
      <c r="HN281" s="14"/>
      <c r="HO281" s="14"/>
      <c r="HP281" s="14"/>
      <c r="HQ281" s="14"/>
      <c r="HR281" s="14"/>
      <c r="HS281" s="14"/>
      <c r="HT281" s="14"/>
    </row>
    <row r="282" spans="1:228" ht="15" customHeight="1" x14ac:dyDescent="0.2">
      <c r="B282" s="1895"/>
      <c r="C282" s="1895"/>
      <c r="D282" s="1895"/>
      <c r="E282" s="476"/>
      <c r="F282" s="1536" t="s">
        <v>1698</v>
      </c>
      <c r="G282" s="1536"/>
      <c r="H282" s="1536"/>
      <c r="I282" s="1536"/>
      <c r="J282" s="1536"/>
      <c r="K282" s="1536"/>
      <c r="L282" s="1536"/>
      <c r="M282" s="88">
        <f>IF(S282=0,0,0.2)</f>
        <v>0</v>
      </c>
      <c r="N282" s="254"/>
      <c r="O282" s="254"/>
      <c r="P282" s="355" t="str">
        <f>IF(X282=0,"",X282)</f>
        <v/>
      </c>
      <c r="R282" s="745" t="b">
        <v>0</v>
      </c>
      <c r="S282" s="736">
        <f>IF(R282=TRUE,1,0)</f>
        <v>0</v>
      </c>
      <c r="T282" s="747">
        <f>SUMIF($T$278:$AH$278,N282,$T$279:$AH$279)</f>
        <v>0</v>
      </c>
      <c r="U282" s="747">
        <f>SUMIF($S$278:$AH$278,O282,$S$279:$AH$279)</f>
        <v>0</v>
      </c>
      <c r="V282" s="747">
        <f>M282*T282</f>
        <v>0</v>
      </c>
      <c r="W282" s="747">
        <f>M282*U282</f>
        <v>0</v>
      </c>
      <c r="X282" s="747">
        <f>(IF(V282-W282&lt;=0,0,V282-W282))</f>
        <v>0</v>
      </c>
      <c r="Y282" s="19"/>
      <c r="Z282" s="747">
        <f>IF(P299="",0,P299)</f>
        <v>0</v>
      </c>
      <c r="AA282" s="747">
        <f>LARGE($Z$281:$Z$284,2)</f>
        <v>0</v>
      </c>
      <c r="AB282" s="747">
        <f>ROUND(AA282,2)</f>
        <v>0</v>
      </c>
      <c r="AC282" s="684">
        <f>AD281+AB283*(1-AD281)</f>
        <v>0</v>
      </c>
      <c r="AD282" s="747">
        <f>ROUND(AC282,2)</f>
        <v>0</v>
      </c>
      <c r="AE282" s="747">
        <f>IF(P282="",0,P282)</f>
        <v>0</v>
      </c>
      <c r="AF282" s="749">
        <f t="shared" si="15"/>
        <v>0</v>
      </c>
      <c r="AG282" s="960">
        <f>LARGE($AF$281:$AF$293,2)</f>
        <v>0</v>
      </c>
      <c r="AH282" s="684">
        <f t="shared" ref="AH282:AH292" si="17">AI281+AG283*(1-AI281)</f>
        <v>0</v>
      </c>
      <c r="AI282" s="747">
        <f t="shared" si="16"/>
        <v>0</v>
      </c>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4"/>
      <c r="BR282" s="14"/>
      <c r="BS282" s="14"/>
      <c r="BT282" s="14"/>
      <c r="BU282" s="14"/>
      <c r="BV282" s="14"/>
      <c r="BW282" s="14"/>
      <c r="BX282" s="14"/>
      <c r="BY282" s="14"/>
      <c r="BZ282" s="14"/>
      <c r="CA282" s="14"/>
      <c r="CB282" s="14"/>
      <c r="CC282" s="14"/>
      <c r="CD282" s="14"/>
      <c r="CE282" s="14"/>
      <c r="CF282" s="14"/>
      <c r="CG282" s="14"/>
      <c r="CH282" s="14"/>
      <c r="CI282" s="14"/>
      <c r="CJ282" s="14"/>
      <c r="CK282" s="14"/>
      <c r="CL282" s="14"/>
      <c r="CM282" s="14"/>
      <c r="CN282" s="14"/>
      <c r="CO282" s="14"/>
      <c r="CP282" s="14"/>
      <c r="CQ282" s="14"/>
      <c r="CR282" s="14"/>
      <c r="CS282" s="14"/>
      <c r="CT282" s="14"/>
      <c r="CU282" s="14"/>
      <c r="CV282" s="14"/>
      <c r="CW282" s="14"/>
      <c r="CX282" s="14"/>
      <c r="CY282" s="14"/>
      <c r="CZ282" s="14"/>
      <c r="DA282" s="14"/>
      <c r="DB282" s="14"/>
      <c r="DC282" s="14"/>
      <c r="DD282" s="14"/>
      <c r="DE282" s="14"/>
      <c r="DF282" s="14"/>
      <c r="DG282" s="14"/>
      <c r="DH282" s="14"/>
      <c r="DI282" s="14"/>
      <c r="DJ282" s="14"/>
      <c r="DK282" s="14"/>
      <c r="DL282" s="14"/>
      <c r="DM282" s="14"/>
      <c r="DN282" s="14"/>
      <c r="DO282" s="14"/>
      <c r="DP282" s="14"/>
      <c r="DQ282" s="14"/>
      <c r="DR282" s="14"/>
      <c r="DS282" s="14"/>
      <c r="DT282" s="14"/>
      <c r="DU282" s="14"/>
      <c r="DV282" s="14"/>
      <c r="DW282" s="14"/>
      <c r="DX282" s="14"/>
      <c r="DY282" s="14"/>
      <c r="DZ282" s="14"/>
      <c r="EA282" s="14"/>
      <c r="EB282" s="14"/>
      <c r="EC282" s="14"/>
      <c r="ED282" s="14"/>
      <c r="EE282" s="14"/>
      <c r="EF282" s="14"/>
      <c r="EG282" s="14"/>
      <c r="EH282" s="14"/>
      <c r="EI282" s="14"/>
      <c r="EJ282" s="14"/>
      <c r="EK282" s="14"/>
      <c r="EL282" s="14"/>
      <c r="EM282" s="14"/>
      <c r="EN282" s="14"/>
      <c r="EO282" s="14"/>
      <c r="EP282" s="14"/>
      <c r="EQ282" s="14"/>
      <c r="ER282" s="14"/>
      <c r="ES282" s="14"/>
      <c r="ET282" s="14"/>
      <c r="EU282" s="14"/>
      <c r="EV282" s="14"/>
      <c r="EW282" s="14"/>
      <c r="EX282" s="14"/>
      <c r="EY282" s="14"/>
      <c r="EZ282" s="14"/>
      <c r="FA282" s="14"/>
      <c r="FB282" s="14"/>
      <c r="FC282" s="14"/>
      <c r="FD282" s="14"/>
      <c r="FE282" s="14"/>
      <c r="FF282" s="14"/>
      <c r="FG282" s="14"/>
      <c r="FH282" s="14"/>
      <c r="FI282" s="14"/>
      <c r="FJ282" s="14"/>
      <c r="FK282" s="14"/>
      <c r="FL282" s="14"/>
      <c r="FM282" s="14"/>
      <c r="FN282" s="14"/>
      <c r="FO282" s="14"/>
      <c r="FP282" s="14"/>
      <c r="FQ282" s="14"/>
      <c r="FR282" s="14"/>
      <c r="FS282" s="14"/>
      <c r="FT282" s="14"/>
      <c r="FU282" s="14"/>
      <c r="FV282" s="14"/>
      <c r="FW282" s="14"/>
      <c r="FX282" s="14"/>
      <c r="FY282" s="14"/>
      <c r="FZ282" s="14"/>
      <c r="GA282" s="14"/>
      <c r="GB282" s="14"/>
      <c r="GC282" s="14"/>
      <c r="GD282" s="14"/>
      <c r="GE282" s="14"/>
      <c r="GF282" s="14"/>
      <c r="GG282" s="14"/>
      <c r="GH282" s="14"/>
      <c r="GI282" s="14"/>
      <c r="GJ282" s="14"/>
      <c r="GK282" s="14"/>
      <c r="GL282" s="14"/>
      <c r="GM282" s="14"/>
      <c r="GN282" s="14"/>
      <c r="GO282" s="14"/>
      <c r="GP282" s="14"/>
      <c r="GQ282" s="14"/>
      <c r="GR282" s="14"/>
      <c r="GS282" s="14"/>
      <c r="GT282" s="14"/>
      <c r="GU282" s="14"/>
      <c r="GV282" s="14"/>
      <c r="GW282" s="14"/>
      <c r="GX282" s="14"/>
      <c r="GY282" s="14"/>
      <c r="GZ282" s="14"/>
      <c r="HA282" s="14"/>
      <c r="HB282" s="14"/>
      <c r="HC282" s="14"/>
      <c r="HD282" s="14"/>
      <c r="HE282" s="14"/>
      <c r="HF282" s="14"/>
      <c r="HG282" s="14"/>
      <c r="HH282" s="14"/>
      <c r="HI282" s="14"/>
      <c r="HJ282" s="14"/>
      <c r="HK282" s="14"/>
      <c r="HL282" s="14"/>
      <c r="HM282" s="14"/>
      <c r="HN282" s="14"/>
      <c r="HO282" s="14"/>
      <c r="HP282" s="14"/>
      <c r="HQ282" s="14"/>
      <c r="HR282" s="14"/>
      <c r="HS282" s="14"/>
      <c r="HT282" s="14"/>
    </row>
    <row r="283" spans="1:228" ht="15" customHeight="1" x14ac:dyDescent="0.2">
      <c r="B283" s="1895"/>
      <c r="C283" s="1895"/>
      <c r="D283" s="1895"/>
      <c r="E283" s="476"/>
      <c r="F283" s="1536" t="s">
        <v>1699</v>
      </c>
      <c r="G283" s="1536"/>
      <c r="H283" s="1536"/>
      <c r="I283" s="1536"/>
      <c r="J283" s="1536"/>
      <c r="K283" s="1536"/>
      <c r="L283" s="1536"/>
      <c r="M283" s="88">
        <f>IF(S283=0,0,0.34)</f>
        <v>0</v>
      </c>
      <c r="N283" s="254"/>
      <c r="O283" s="254"/>
      <c r="P283" s="355" t="str">
        <f>IF(X283=0,"",X283)</f>
        <v/>
      </c>
      <c r="R283" s="745" t="b">
        <v>0</v>
      </c>
      <c r="S283" s="736">
        <f>IF(R283=TRUE,1,0)</f>
        <v>0</v>
      </c>
      <c r="T283" s="747">
        <f>SUMIF($T$278:$AH$278,N283,$T$279:$AH$279)</f>
        <v>0</v>
      </c>
      <c r="U283" s="747">
        <f>SUMIF($S$278:$AH$278,O283,$S$279:$AH$279)</f>
        <v>0</v>
      </c>
      <c r="V283" s="747">
        <f>M283*T283</f>
        <v>0</v>
      </c>
      <c r="W283" s="747">
        <f>M283*U283</f>
        <v>0</v>
      </c>
      <c r="X283" s="747">
        <f>(IF(V283-W283&lt;=0,0,V283-W283))</f>
        <v>0</v>
      </c>
      <c r="Y283" s="19"/>
      <c r="Z283" s="747">
        <f>IF(Z297=2,0,P320)</f>
        <v>0</v>
      </c>
      <c r="AA283" s="747">
        <f>LARGE($Z$281:$Z$284,3)</f>
        <v>0</v>
      </c>
      <c r="AB283" s="747">
        <f>ROUND(AA283,2)</f>
        <v>0</v>
      </c>
      <c r="AC283" s="684">
        <f>AD282+AB284*(1-AD282)</f>
        <v>0</v>
      </c>
      <c r="AD283" s="747">
        <f>ROUND(AC283,2)</f>
        <v>0</v>
      </c>
      <c r="AE283" s="747">
        <f>IF(P283="",0,P283)</f>
        <v>0</v>
      </c>
      <c r="AF283" s="749">
        <f t="shared" si="15"/>
        <v>0</v>
      </c>
      <c r="AG283" s="960">
        <f>LARGE($AF$281:$AF$293,3)</f>
        <v>0</v>
      </c>
      <c r="AH283" s="684">
        <f t="shared" si="17"/>
        <v>0</v>
      </c>
      <c r="AI283" s="747">
        <f t="shared" si="16"/>
        <v>0</v>
      </c>
      <c r="AJ283" s="18"/>
      <c r="AK283" s="18">
        <v>1E-4</v>
      </c>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4"/>
      <c r="BR283" s="14"/>
      <c r="BS283" s="14"/>
      <c r="BT283" s="14"/>
      <c r="BU283" s="14"/>
      <c r="BV283" s="14"/>
      <c r="BW283" s="14"/>
      <c r="BX283" s="14"/>
      <c r="BY283" s="14"/>
      <c r="BZ283" s="14"/>
      <c r="CA283" s="14"/>
      <c r="CB283" s="14"/>
      <c r="CC283" s="14"/>
      <c r="CD283" s="14"/>
      <c r="CE283" s="14"/>
      <c r="CF283" s="14"/>
      <c r="CG283" s="14"/>
      <c r="CH283" s="14"/>
      <c r="CI283" s="14"/>
      <c r="CJ283" s="14"/>
      <c r="CK283" s="14"/>
      <c r="CL283" s="14"/>
      <c r="CM283" s="14"/>
      <c r="CN283" s="14"/>
      <c r="CO283" s="14"/>
      <c r="CP283" s="14"/>
      <c r="CQ283" s="14"/>
      <c r="CR283" s="14"/>
      <c r="CS283" s="14"/>
      <c r="CT283" s="14"/>
      <c r="CU283" s="14"/>
      <c r="CV283" s="14"/>
      <c r="CW283" s="14"/>
      <c r="CX283" s="14"/>
      <c r="CY283" s="14"/>
      <c r="CZ283" s="14"/>
      <c r="DA283" s="14"/>
      <c r="DB283" s="14"/>
      <c r="DC283" s="14"/>
      <c r="DD283" s="14"/>
      <c r="DE283" s="14"/>
      <c r="DF283" s="14"/>
      <c r="DG283" s="14"/>
      <c r="DH283" s="14"/>
      <c r="DI283" s="14"/>
      <c r="DJ283" s="14"/>
      <c r="DK283" s="14"/>
      <c r="DL283" s="14"/>
      <c r="DM283" s="14"/>
      <c r="DN283" s="14"/>
      <c r="DO283" s="14"/>
      <c r="DP283" s="14"/>
      <c r="DQ283" s="14"/>
      <c r="DR283" s="14"/>
      <c r="DS283" s="14"/>
      <c r="DT283" s="14"/>
      <c r="DU283" s="14"/>
      <c r="DV283" s="14"/>
      <c r="DW283" s="14"/>
      <c r="DX283" s="14"/>
      <c r="DY283" s="14"/>
      <c r="DZ283" s="14"/>
      <c r="EA283" s="14"/>
      <c r="EB283" s="14"/>
      <c r="EC283" s="14"/>
      <c r="ED283" s="14"/>
      <c r="EE283" s="14"/>
      <c r="EF283" s="14"/>
      <c r="EG283" s="14"/>
      <c r="EH283" s="14"/>
      <c r="EI283" s="14"/>
      <c r="EJ283" s="14"/>
      <c r="EK283" s="14"/>
      <c r="EL283" s="14"/>
      <c r="EM283" s="14"/>
      <c r="EN283" s="14"/>
      <c r="EO283" s="14"/>
      <c r="EP283" s="14"/>
      <c r="EQ283" s="14"/>
      <c r="ER283" s="14"/>
      <c r="ES283" s="14"/>
      <c r="ET283" s="14"/>
      <c r="EU283" s="14"/>
      <c r="EV283" s="14"/>
      <c r="EW283" s="14"/>
      <c r="EX283" s="14"/>
      <c r="EY283" s="14"/>
      <c r="EZ283" s="14"/>
      <c r="FA283" s="14"/>
      <c r="FB283" s="14"/>
      <c r="FC283" s="14"/>
      <c r="FD283" s="14"/>
      <c r="FE283" s="14"/>
      <c r="FF283" s="14"/>
      <c r="FG283" s="14"/>
      <c r="FH283" s="14"/>
      <c r="FI283" s="14"/>
      <c r="FJ283" s="14"/>
      <c r="FK283" s="14"/>
      <c r="FL283" s="14"/>
      <c r="FM283" s="14"/>
      <c r="FN283" s="14"/>
      <c r="FO283" s="14"/>
      <c r="FP283" s="14"/>
      <c r="FQ283" s="14"/>
      <c r="FR283" s="14"/>
      <c r="FS283" s="14"/>
      <c r="FT283" s="14"/>
      <c r="FU283" s="14"/>
      <c r="FV283" s="14"/>
      <c r="FW283" s="14"/>
      <c r="FX283" s="14"/>
      <c r="FY283" s="14"/>
      <c r="FZ283" s="14"/>
      <c r="GA283" s="14"/>
      <c r="GB283" s="14"/>
      <c r="GC283" s="14"/>
      <c r="GD283" s="14"/>
      <c r="GE283" s="14"/>
      <c r="GF283" s="14"/>
      <c r="GG283" s="14"/>
      <c r="GH283" s="14"/>
      <c r="GI283" s="14"/>
      <c r="GJ283" s="14"/>
      <c r="GK283" s="14"/>
      <c r="GL283" s="14"/>
      <c r="GM283" s="14"/>
      <c r="GN283" s="14"/>
      <c r="GO283" s="14"/>
      <c r="GP283" s="14"/>
      <c r="GQ283" s="14"/>
      <c r="GR283" s="14"/>
      <c r="GS283" s="14"/>
      <c r="GT283" s="14"/>
      <c r="GU283" s="14"/>
      <c r="GV283" s="14"/>
      <c r="GW283" s="14"/>
      <c r="GX283" s="14"/>
      <c r="GY283" s="14"/>
      <c r="GZ283" s="14"/>
      <c r="HA283" s="14"/>
      <c r="HB283" s="14"/>
      <c r="HC283" s="14"/>
      <c r="HD283" s="14"/>
      <c r="HE283" s="14"/>
      <c r="HF283" s="14"/>
      <c r="HG283" s="14"/>
      <c r="HH283" s="14"/>
      <c r="HI283" s="14"/>
      <c r="HJ283" s="14"/>
      <c r="HK283" s="14"/>
      <c r="HL283" s="14"/>
      <c r="HM283" s="14"/>
      <c r="HN283" s="14"/>
      <c r="HO283" s="14"/>
      <c r="HP283" s="14"/>
      <c r="HQ283" s="14"/>
      <c r="HR283" s="14"/>
      <c r="HS283" s="14"/>
      <c r="HT283" s="14"/>
    </row>
    <row r="284" spans="1:228" ht="15" customHeight="1" x14ac:dyDescent="0.2">
      <c r="B284" s="1895"/>
      <c r="C284" s="1895"/>
      <c r="D284" s="1895"/>
      <c r="E284" s="476"/>
      <c r="F284" s="1536" t="s">
        <v>1700</v>
      </c>
      <c r="G284" s="1536"/>
      <c r="H284" s="1536"/>
      <c r="I284" s="1536"/>
      <c r="J284" s="1536"/>
      <c r="K284" s="1536"/>
      <c r="L284" s="1536"/>
      <c r="M284" s="88">
        <f>IF(S284=0,0,0.37)</f>
        <v>0</v>
      </c>
      <c r="N284" s="254"/>
      <c r="O284" s="254"/>
      <c r="P284" s="355" t="str">
        <f>IF(X284=0,"",X284)</f>
        <v/>
      </c>
      <c r="R284" s="745" t="b">
        <v>0</v>
      </c>
      <c r="S284" s="736">
        <f>IF(R284=TRUE,1,0)</f>
        <v>0</v>
      </c>
      <c r="T284" s="747">
        <f>SUMIF($T$278:$AH$278,N284,$T$279:$AH$279)</f>
        <v>0</v>
      </c>
      <c r="U284" s="747">
        <f>SUMIF($S$278:$AH$278,O284,$S$279:$AH$279)</f>
        <v>0</v>
      </c>
      <c r="V284" s="747">
        <f>M284*T284</f>
        <v>0</v>
      </c>
      <c r="W284" s="747">
        <f>M284*U284</f>
        <v>0</v>
      </c>
      <c r="X284" s="747">
        <f>(IF(V284-W284&lt;=0,0,V284-W284))</f>
        <v>0</v>
      </c>
      <c r="Y284" s="19"/>
      <c r="Z284" s="747">
        <f>IF(Z297=2,0,IF(P318="",0,P318))</f>
        <v>0</v>
      </c>
      <c r="AA284" s="747">
        <f>LARGE($Z$281:$Z$284,4)</f>
        <v>0</v>
      </c>
      <c r="AB284" s="747">
        <f>ROUND(AA284,2)</f>
        <v>0</v>
      </c>
      <c r="AC284" s="19"/>
      <c r="AD284" s="19"/>
      <c r="AE284" s="747">
        <f>IF(P284="",0,P284)</f>
        <v>0</v>
      </c>
      <c r="AF284" s="749">
        <f t="shared" si="15"/>
        <v>0</v>
      </c>
      <c r="AG284" s="960">
        <f>LARGE($AF$281:$AF$293,4)</f>
        <v>0</v>
      </c>
      <c r="AH284" s="684">
        <f t="shared" si="17"/>
        <v>0</v>
      </c>
      <c r="AI284" s="747">
        <f t="shared" si="16"/>
        <v>0</v>
      </c>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4"/>
      <c r="BR284" s="14"/>
      <c r="BS284" s="14"/>
      <c r="BT284" s="14"/>
      <c r="BU284" s="14"/>
      <c r="BV284" s="14"/>
      <c r="BW284" s="14"/>
      <c r="BX284" s="14"/>
      <c r="BY284" s="14"/>
      <c r="BZ284" s="14"/>
      <c r="CA284" s="14"/>
      <c r="CB284" s="14"/>
      <c r="CC284" s="14"/>
      <c r="CD284" s="14"/>
      <c r="CE284" s="14"/>
      <c r="CF284" s="14"/>
      <c r="CG284" s="14"/>
      <c r="CH284" s="14"/>
      <c r="CI284" s="14"/>
      <c r="CJ284" s="14"/>
      <c r="CK284" s="14"/>
      <c r="CL284" s="14"/>
      <c r="CM284" s="14"/>
      <c r="CN284" s="14"/>
      <c r="CO284" s="14"/>
      <c r="CP284" s="14"/>
      <c r="CQ284" s="14"/>
      <c r="CR284" s="14"/>
      <c r="CS284" s="14"/>
      <c r="CT284" s="14"/>
      <c r="CU284" s="14"/>
      <c r="CV284" s="14"/>
      <c r="CW284" s="14"/>
      <c r="CX284" s="14"/>
      <c r="CY284" s="14"/>
      <c r="CZ284" s="14"/>
      <c r="DA284" s="14"/>
      <c r="DB284" s="14"/>
      <c r="DC284" s="14"/>
      <c r="DD284" s="14"/>
      <c r="DE284" s="14"/>
      <c r="DF284" s="14"/>
      <c r="DG284" s="14"/>
      <c r="DH284" s="14"/>
      <c r="DI284" s="14"/>
      <c r="DJ284" s="14"/>
      <c r="DK284" s="14"/>
      <c r="DL284" s="14"/>
      <c r="DM284" s="14"/>
      <c r="DN284" s="14"/>
      <c r="DO284" s="14"/>
      <c r="DP284" s="14"/>
      <c r="DQ284" s="14"/>
      <c r="DR284" s="14"/>
      <c r="DS284" s="14"/>
      <c r="DT284" s="14"/>
      <c r="DU284" s="14"/>
      <c r="DV284" s="14"/>
      <c r="DW284" s="14"/>
      <c r="DX284" s="14"/>
      <c r="DY284" s="14"/>
      <c r="DZ284" s="14"/>
      <c r="EA284" s="14"/>
      <c r="EB284" s="14"/>
      <c r="EC284" s="14"/>
      <c r="ED284" s="14"/>
      <c r="EE284" s="14"/>
      <c r="EF284" s="14"/>
      <c r="EG284" s="14"/>
      <c r="EH284" s="14"/>
      <c r="EI284" s="14"/>
      <c r="EJ284" s="14"/>
      <c r="EK284" s="14"/>
      <c r="EL284" s="14"/>
      <c r="EM284" s="14"/>
      <c r="EN284" s="14"/>
      <c r="EO284" s="14"/>
      <c r="EP284" s="14"/>
      <c r="EQ284" s="14"/>
      <c r="ER284" s="14"/>
      <c r="ES284" s="14"/>
      <c r="ET284" s="14"/>
      <c r="EU284" s="14"/>
      <c r="EV284" s="14"/>
      <c r="EW284" s="14"/>
      <c r="EX284" s="14"/>
      <c r="EY284" s="14"/>
      <c r="EZ284" s="14"/>
      <c r="FA284" s="14"/>
      <c r="FB284" s="14"/>
      <c r="FC284" s="14"/>
      <c r="FD284" s="14"/>
      <c r="FE284" s="14"/>
      <c r="FF284" s="14"/>
      <c r="FG284" s="14"/>
      <c r="FH284" s="14"/>
      <c r="FI284" s="14"/>
      <c r="FJ284" s="14"/>
      <c r="FK284" s="14"/>
      <c r="FL284" s="14"/>
      <c r="FM284" s="14"/>
      <c r="FN284" s="14"/>
      <c r="FO284" s="14"/>
      <c r="FP284" s="14"/>
      <c r="FQ284" s="14"/>
      <c r="FR284" s="14"/>
      <c r="FS284" s="14"/>
      <c r="FT284" s="14"/>
      <c r="FU284" s="14"/>
      <c r="FV284" s="14"/>
      <c r="FW284" s="14"/>
      <c r="FX284" s="14"/>
      <c r="FY284" s="14"/>
      <c r="FZ284" s="14"/>
      <c r="GA284" s="14"/>
      <c r="GB284" s="14"/>
      <c r="GC284" s="14"/>
      <c r="GD284" s="14"/>
      <c r="GE284" s="14"/>
      <c r="GF284" s="14"/>
      <c r="GG284" s="14"/>
      <c r="GH284" s="14"/>
      <c r="GI284" s="14"/>
      <c r="GJ284" s="14"/>
      <c r="GK284" s="14"/>
      <c r="GL284" s="14"/>
      <c r="GM284" s="14"/>
      <c r="GN284" s="14"/>
      <c r="GO284" s="14"/>
      <c r="GP284" s="14"/>
      <c r="GQ284" s="14"/>
      <c r="GR284" s="14"/>
      <c r="GS284" s="14"/>
      <c r="GT284" s="14"/>
      <c r="GU284" s="14"/>
      <c r="GV284" s="14"/>
      <c r="GW284" s="14"/>
      <c r="GX284" s="14"/>
      <c r="GY284" s="14"/>
      <c r="GZ284" s="14"/>
      <c r="HA284" s="14"/>
      <c r="HB284" s="14"/>
      <c r="HC284" s="14"/>
      <c r="HD284" s="14"/>
      <c r="HE284" s="14"/>
      <c r="HF284" s="14"/>
      <c r="HG284" s="14"/>
      <c r="HH284" s="14"/>
      <c r="HI284" s="14"/>
      <c r="HJ284" s="14"/>
      <c r="HK284" s="14"/>
      <c r="HL284" s="14"/>
      <c r="HM284" s="14"/>
      <c r="HN284" s="14"/>
      <c r="HO284" s="14"/>
      <c r="HP284" s="14"/>
      <c r="HQ284" s="14"/>
      <c r="HR284" s="14"/>
      <c r="HS284" s="14"/>
      <c r="HT284" s="14"/>
    </row>
    <row r="285" spans="1:228" ht="15" customHeight="1" x14ac:dyDescent="0.2">
      <c r="B285" s="1895"/>
      <c r="C285" s="1895"/>
      <c r="D285" s="1895"/>
      <c r="E285" s="476"/>
      <c r="F285" s="1536" t="s">
        <v>1701</v>
      </c>
      <c r="G285" s="1536"/>
      <c r="H285" s="1536"/>
      <c r="I285" s="1536"/>
      <c r="J285" s="1536"/>
      <c r="K285" s="1536"/>
      <c r="L285" s="1536"/>
      <c r="M285" s="88">
        <f>IF(S285=0,0,0.2)</f>
        <v>0</v>
      </c>
      <c r="N285" s="254"/>
      <c r="O285" s="254"/>
      <c r="P285" s="355" t="str">
        <f>IF(X285=0,"",X285)</f>
        <v/>
      </c>
      <c r="R285" s="745" t="b">
        <v>0</v>
      </c>
      <c r="S285" s="736">
        <f>IF(R285=TRUE,1,0)</f>
        <v>0</v>
      </c>
      <c r="T285" s="747">
        <f>SUMIF($T$278:$AH$278,N285,$T$279:$AH$279)</f>
        <v>0</v>
      </c>
      <c r="U285" s="747">
        <f>SUMIF($S$278:$AH$278,O285,$S$279:$AH$279)</f>
        <v>0</v>
      </c>
      <c r="V285" s="747">
        <f>M285*T285</f>
        <v>0</v>
      </c>
      <c r="W285" s="747">
        <f>M285*U285</f>
        <v>0</v>
      </c>
      <c r="X285" s="747">
        <f>(IF(V285-W285&lt;=0,0,V285-W285))</f>
        <v>0</v>
      </c>
      <c r="Y285" s="19"/>
      <c r="Z285" s="18"/>
      <c r="AA285" s="19"/>
      <c r="AB285" s="19"/>
      <c r="AC285" s="19"/>
      <c r="AD285" s="19"/>
      <c r="AE285" s="747">
        <f>IF(P285="",0,P285)</f>
        <v>0</v>
      </c>
      <c r="AF285" s="749">
        <f t="shared" si="15"/>
        <v>0</v>
      </c>
      <c r="AG285" s="960">
        <f>LARGE($AF$281:$AF$293,5)</f>
        <v>0</v>
      </c>
      <c r="AH285" s="684">
        <f t="shared" si="17"/>
        <v>0</v>
      </c>
      <c r="AI285" s="747">
        <f t="shared" si="16"/>
        <v>0</v>
      </c>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4"/>
      <c r="BR285" s="14"/>
      <c r="BS285" s="14"/>
      <c r="BT285" s="14"/>
      <c r="BU285" s="14"/>
      <c r="BV285" s="14"/>
      <c r="BW285" s="14"/>
      <c r="BX285" s="14"/>
      <c r="BY285" s="14"/>
      <c r="BZ285" s="14"/>
      <c r="CA285" s="14"/>
      <c r="CB285" s="14"/>
      <c r="CC285" s="14"/>
      <c r="CD285" s="14"/>
      <c r="CE285" s="14"/>
      <c r="CF285" s="14"/>
      <c r="CG285" s="14"/>
      <c r="CH285" s="14"/>
      <c r="CI285" s="14"/>
      <c r="CJ285" s="14"/>
      <c r="CK285" s="14"/>
      <c r="CL285" s="14"/>
      <c r="CM285" s="14"/>
      <c r="CN285" s="14"/>
      <c r="CO285" s="14"/>
      <c r="CP285" s="14"/>
      <c r="CQ285" s="14"/>
      <c r="CR285" s="14"/>
      <c r="CS285" s="14"/>
      <c r="CT285" s="14"/>
      <c r="CU285" s="14"/>
      <c r="CV285" s="14"/>
      <c r="CW285" s="14"/>
      <c r="CX285" s="14"/>
      <c r="CY285" s="14"/>
      <c r="CZ285" s="14"/>
      <c r="DA285" s="14"/>
      <c r="DB285" s="14"/>
      <c r="DC285" s="14"/>
      <c r="DD285" s="14"/>
      <c r="DE285" s="14"/>
      <c r="DF285" s="14"/>
      <c r="DG285" s="14"/>
      <c r="DH285" s="14"/>
      <c r="DI285" s="14"/>
      <c r="DJ285" s="14"/>
      <c r="DK285" s="14"/>
      <c r="DL285" s="14"/>
      <c r="DM285" s="14"/>
      <c r="DN285" s="14"/>
      <c r="DO285" s="14"/>
      <c r="DP285" s="14"/>
      <c r="DQ285" s="14"/>
      <c r="DR285" s="14"/>
      <c r="DS285" s="14"/>
      <c r="DT285" s="14"/>
      <c r="DU285" s="14"/>
      <c r="DV285" s="14"/>
      <c r="DW285" s="14"/>
      <c r="DX285" s="14"/>
      <c r="DY285" s="14"/>
      <c r="DZ285" s="14"/>
      <c r="EA285" s="14"/>
      <c r="EB285" s="14"/>
      <c r="EC285" s="14"/>
      <c r="ED285" s="14"/>
      <c r="EE285" s="14"/>
      <c r="EF285" s="14"/>
      <c r="EG285" s="14"/>
      <c r="EH285" s="14"/>
      <c r="EI285" s="14"/>
      <c r="EJ285" s="14"/>
      <c r="EK285" s="14"/>
      <c r="EL285" s="14"/>
      <c r="EM285" s="14"/>
      <c r="EN285" s="14"/>
      <c r="EO285" s="14"/>
      <c r="EP285" s="14"/>
      <c r="EQ285" s="14"/>
      <c r="ER285" s="14"/>
      <c r="ES285" s="14"/>
      <c r="ET285" s="14"/>
      <c r="EU285" s="14"/>
      <c r="EV285" s="14"/>
      <c r="EW285" s="14"/>
      <c r="EX285" s="14"/>
      <c r="EY285" s="14"/>
      <c r="EZ285" s="14"/>
      <c r="FA285" s="14"/>
      <c r="FB285" s="14"/>
      <c r="FC285" s="14"/>
      <c r="FD285" s="14"/>
      <c r="FE285" s="14"/>
      <c r="FF285" s="14"/>
      <c r="FG285" s="14"/>
      <c r="FH285" s="14"/>
      <c r="FI285" s="14"/>
      <c r="FJ285" s="14"/>
      <c r="FK285" s="14"/>
      <c r="FL285" s="14"/>
      <c r="FM285" s="14"/>
      <c r="FN285" s="14"/>
      <c r="FO285" s="14"/>
      <c r="FP285" s="14"/>
      <c r="FQ285" s="14"/>
      <c r="FR285" s="14"/>
      <c r="FS285" s="14"/>
      <c r="FT285" s="14"/>
      <c r="FU285" s="14"/>
      <c r="FV285" s="14"/>
      <c r="FW285" s="14"/>
      <c r="FX285" s="14"/>
      <c r="FY285" s="14"/>
      <c r="FZ285" s="14"/>
      <c r="GA285" s="14"/>
      <c r="GB285" s="14"/>
      <c r="GC285" s="14"/>
      <c r="GD285" s="14"/>
      <c r="GE285" s="14"/>
      <c r="GF285" s="14"/>
      <c r="GG285" s="14"/>
      <c r="GH285" s="14"/>
      <c r="GI285" s="14"/>
      <c r="GJ285" s="14"/>
      <c r="GK285" s="14"/>
      <c r="GL285" s="14"/>
      <c r="GM285" s="14"/>
      <c r="GN285" s="14"/>
      <c r="GO285" s="14"/>
      <c r="GP285" s="14"/>
      <c r="GQ285" s="14"/>
      <c r="GR285" s="14"/>
      <c r="GS285" s="14"/>
      <c r="GT285" s="14"/>
      <c r="GU285" s="14"/>
      <c r="GV285" s="14"/>
      <c r="GW285" s="14"/>
      <c r="GX285" s="14"/>
      <c r="GY285" s="14"/>
      <c r="GZ285" s="14"/>
      <c r="HA285" s="14"/>
      <c r="HB285" s="14"/>
      <c r="HC285" s="14"/>
      <c r="HD285" s="14"/>
      <c r="HE285" s="14"/>
      <c r="HF285" s="14"/>
      <c r="HG285" s="14"/>
      <c r="HH285" s="14"/>
      <c r="HI285" s="14"/>
      <c r="HJ285" s="14"/>
      <c r="HK285" s="14"/>
      <c r="HL285" s="14"/>
      <c r="HM285" s="14"/>
      <c r="HN285" s="14"/>
      <c r="HO285" s="14"/>
      <c r="HP285" s="14"/>
      <c r="HQ285" s="14"/>
      <c r="HR285" s="14"/>
      <c r="HS285" s="14"/>
      <c r="HT285" s="14"/>
    </row>
    <row r="286" spans="1:228" ht="18" customHeight="1" x14ac:dyDescent="0.2">
      <c r="B286" s="1665" t="s">
        <v>1702</v>
      </c>
      <c r="C286" s="1665"/>
      <c r="D286" s="1665"/>
      <c r="E286" s="1591"/>
      <c r="F286" s="1591"/>
      <c r="G286" s="1591"/>
      <c r="H286" s="1591"/>
      <c r="I286" s="1591"/>
      <c r="J286" s="1591"/>
      <c r="K286" s="1591"/>
      <c r="L286" s="1591"/>
      <c r="M286" s="477"/>
      <c r="N286" s="475"/>
      <c r="O286" s="475"/>
      <c r="P286" s="475"/>
      <c r="Q286" s="3"/>
      <c r="R286" s="157"/>
      <c r="S286" s="116"/>
      <c r="T286" s="111"/>
      <c r="U286" s="111"/>
      <c r="V286" s="111"/>
      <c r="W286" s="111"/>
      <c r="X286" s="111"/>
      <c r="Y286" s="19"/>
      <c r="Z286" s="18"/>
      <c r="AA286" s="19"/>
      <c r="AB286" s="19"/>
      <c r="AC286" s="19"/>
      <c r="AD286" s="19"/>
      <c r="AE286" s="747">
        <f>P292</f>
        <v>0</v>
      </c>
      <c r="AF286" s="749">
        <f t="shared" si="15"/>
        <v>0</v>
      </c>
      <c r="AG286" s="960">
        <f>LARGE($AF$281:$AF$293,6)</f>
        <v>0</v>
      </c>
      <c r="AH286" s="684">
        <f t="shared" si="17"/>
        <v>0</v>
      </c>
      <c r="AI286" s="747">
        <f t="shared" si="16"/>
        <v>0</v>
      </c>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4"/>
      <c r="BR286" s="14"/>
      <c r="BS286" s="14"/>
      <c r="BT286" s="14"/>
      <c r="BU286" s="14"/>
      <c r="BV286" s="14"/>
      <c r="BW286" s="14"/>
      <c r="BX286" s="14"/>
      <c r="BY286" s="14"/>
      <c r="BZ286" s="14"/>
      <c r="CA286" s="14"/>
      <c r="CB286" s="14"/>
      <c r="CC286" s="14"/>
      <c r="CD286" s="14"/>
      <c r="CE286" s="14"/>
      <c r="CF286" s="14"/>
      <c r="CG286" s="14"/>
      <c r="CH286" s="14"/>
      <c r="CI286" s="14"/>
      <c r="CJ286" s="14"/>
      <c r="CK286" s="14"/>
      <c r="CL286" s="14"/>
      <c r="CM286" s="14"/>
      <c r="CN286" s="14"/>
      <c r="CO286" s="14"/>
      <c r="CP286" s="14"/>
      <c r="CQ286" s="14"/>
      <c r="CR286" s="14"/>
      <c r="CS286" s="14"/>
      <c r="CT286" s="14"/>
      <c r="CU286" s="14"/>
      <c r="CV286" s="14"/>
      <c r="CW286" s="14"/>
      <c r="CX286" s="14"/>
      <c r="CY286" s="14"/>
      <c r="CZ286" s="14"/>
      <c r="DA286" s="14"/>
      <c r="DB286" s="14"/>
      <c r="DC286" s="14"/>
      <c r="DD286" s="14"/>
      <c r="DE286" s="14"/>
      <c r="DF286" s="14"/>
      <c r="DG286" s="14"/>
      <c r="DH286" s="14"/>
      <c r="DI286" s="14"/>
      <c r="DJ286" s="14"/>
      <c r="DK286" s="14"/>
      <c r="DL286" s="14"/>
      <c r="DM286" s="14"/>
      <c r="DN286" s="14"/>
      <c r="DO286" s="14"/>
      <c r="DP286" s="14"/>
      <c r="DQ286" s="14"/>
      <c r="DR286" s="14"/>
      <c r="DS286" s="14"/>
      <c r="DT286" s="14"/>
      <c r="DU286" s="14"/>
      <c r="DV286" s="14"/>
      <c r="DW286" s="14"/>
      <c r="DX286" s="14"/>
      <c r="DY286" s="14"/>
      <c r="DZ286" s="14"/>
      <c r="EA286" s="14"/>
      <c r="EB286" s="14"/>
      <c r="EC286" s="14"/>
      <c r="ED286" s="14"/>
      <c r="EE286" s="14"/>
      <c r="EF286" s="14"/>
      <c r="EG286" s="14"/>
      <c r="EH286" s="14"/>
      <c r="EI286" s="14"/>
      <c r="EJ286" s="14"/>
      <c r="EK286" s="14"/>
      <c r="EL286" s="14"/>
      <c r="EM286" s="14"/>
      <c r="EN286" s="14"/>
      <c r="EO286" s="14"/>
      <c r="EP286" s="14"/>
      <c r="EQ286" s="14"/>
      <c r="ER286" s="14"/>
      <c r="ES286" s="14"/>
      <c r="ET286" s="14"/>
      <c r="EU286" s="14"/>
      <c r="EV286" s="14"/>
      <c r="EW286" s="14"/>
      <c r="EX286" s="14"/>
      <c r="EY286" s="14"/>
      <c r="EZ286" s="14"/>
      <c r="FA286" s="14"/>
      <c r="FB286" s="14"/>
      <c r="FC286" s="14"/>
      <c r="FD286" s="14"/>
      <c r="FE286" s="14"/>
      <c r="FF286" s="14"/>
      <c r="FG286" s="14"/>
      <c r="FH286" s="14"/>
      <c r="FI286" s="14"/>
      <c r="FJ286" s="14"/>
      <c r="FK286" s="14"/>
      <c r="FL286" s="14"/>
      <c r="FM286" s="14"/>
      <c r="FN286" s="14"/>
      <c r="FO286" s="14"/>
      <c r="FP286" s="14"/>
      <c r="FQ286" s="14"/>
      <c r="FR286" s="14"/>
      <c r="FS286" s="14"/>
      <c r="FT286" s="14"/>
      <c r="FU286" s="14"/>
      <c r="FV286" s="14"/>
      <c r="FW286" s="14"/>
      <c r="FX286" s="14"/>
      <c r="FY286" s="14"/>
      <c r="FZ286" s="14"/>
      <c r="GA286" s="14"/>
      <c r="GB286" s="14"/>
      <c r="GC286" s="14"/>
      <c r="GD286" s="14"/>
      <c r="GE286" s="14"/>
      <c r="GF286" s="14"/>
      <c r="GG286" s="14"/>
      <c r="GH286" s="14"/>
      <c r="GI286" s="14"/>
      <c r="GJ286" s="14"/>
      <c r="GK286" s="14"/>
      <c r="GL286" s="14"/>
      <c r="GM286" s="14"/>
      <c r="GN286" s="14"/>
      <c r="GO286" s="14"/>
      <c r="GP286" s="14"/>
      <c r="GQ286" s="14"/>
      <c r="GR286" s="14"/>
      <c r="GS286" s="14"/>
      <c r="GT286" s="14"/>
      <c r="GU286" s="14"/>
      <c r="GV286" s="14"/>
      <c r="GW286" s="14"/>
      <c r="GX286" s="14"/>
      <c r="GY286" s="14"/>
      <c r="GZ286" s="14"/>
      <c r="HA286" s="14"/>
      <c r="HB286" s="14"/>
      <c r="HC286" s="14"/>
      <c r="HD286" s="14"/>
      <c r="HE286" s="14"/>
      <c r="HF286" s="14"/>
      <c r="HG286" s="14"/>
      <c r="HH286" s="14"/>
      <c r="HI286" s="14"/>
      <c r="HJ286" s="14"/>
      <c r="HK286" s="14"/>
      <c r="HL286" s="14"/>
      <c r="HM286" s="14"/>
      <c r="HN286" s="14"/>
      <c r="HO286" s="14"/>
      <c r="HP286" s="14"/>
      <c r="HQ286" s="14"/>
      <c r="HR286" s="14"/>
      <c r="HS286" s="14"/>
      <c r="HT286" s="14"/>
    </row>
    <row r="287" spans="1:228" ht="27" customHeight="1" x14ac:dyDescent="0.2">
      <c r="A287" s="3"/>
      <c r="B287" s="551" t="s">
        <v>1703</v>
      </c>
      <c r="C287" s="568"/>
      <c r="D287" s="552"/>
      <c r="E287" s="323"/>
      <c r="F287" s="1837" t="str">
        <f>IF(Z295=1,"","Sciatic nerve; overall loss at level shown; no averaging")</f>
        <v/>
      </c>
      <c r="G287" s="1837"/>
      <c r="H287" s="1837"/>
      <c r="I287" s="1837"/>
      <c r="J287" s="1837"/>
      <c r="K287" s="1837"/>
      <c r="L287" s="1837"/>
      <c r="M287" s="88">
        <f>IF(OR(F287="",S287=0),0,IF($Z$295=2,0.75,IF($Z$295=3,0.4,0)))</f>
        <v>0</v>
      </c>
      <c r="N287" s="254"/>
      <c r="O287" s="254"/>
      <c r="P287" s="355" t="str">
        <f>IF(X287=0,"",X287)</f>
        <v/>
      </c>
      <c r="R287" s="686" t="b">
        <v>0</v>
      </c>
      <c r="S287" s="736">
        <f>IF(R287=TRUE,1,0)</f>
        <v>0</v>
      </c>
      <c r="T287" s="747">
        <f>SUMIF($T$278:$AH$278,N287,$T$279:$AH$279)</f>
        <v>0</v>
      </c>
      <c r="U287" s="747">
        <f>SUMIF($S$278:$AH$278,O287,$S$279:$AH$279)</f>
        <v>0</v>
      </c>
      <c r="V287" s="747">
        <f>M287*T287</f>
        <v>0</v>
      </c>
      <c r="W287" s="747">
        <f>M287*U287</f>
        <v>0</v>
      </c>
      <c r="X287" s="747">
        <f>(IF(V287-W287&lt;=0,0,V287-W287))</f>
        <v>0</v>
      </c>
      <c r="Y287" s="18"/>
      <c r="Z287" s="18"/>
      <c r="AA287" s="18"/>
      <c r="AB287" s="18"/>
      <c r="AC287" s="18"/>
      <c r="AD287" s="18"/>
      <c r="AE287" s="750">
        <f>IF(P320="",0,IF(Z297=2,P320,0))</f>
        <v>0</v>
      </c>
      <c r="AF287" s="749">
        <f t="shared" si="15"/>
        <v>0</v>
      </c>
      <c r="AG287" s="960">
        <f>LARGE($AF$281:$AF$293,7)</f>
        <v>0</v>
      </c>
      <c r="AH287" s="684">
        <f t="shared" si="17"/>
        <v>0</v>
      </c>
      <c r="AI287" s="747">
        <f t="shared" si="16"/>
        <v>0</v>
      </c>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4"/>
      <c r="BR287" s="14"/>
      <c r="BS287" s="14"/>
      <c r="BT287" s="14"/>
      <c r="BU287" s="14"/>
      <c r="BV287" s="14"/>
      <c r="BW287" s="14"/>
      <c r="BX287" s="14"/>
      <c r="BY287" s="14"/>
      <c r="BZ287" s="14"/>
      <c r="CA287" s="14"/>
      <c r="CB287" s="14"/>
      <c r="CC287" s="14"/>
      <c r="CD287" s="14"/>
      <c r="CE287" s="14"/>
      <c r="CF287" s="14"/>
      <c r="CG287" s="14"/>
      <c r="CH287" s="14"/>
      <c r="CI287" s="14"/>
      <c r="CJ287" s="14"/>
      <c r="CK287" s="14"/>
      <c r="CL287" s="14"/>
      <c r="CM287" s="14"/>
      <c r="CN287" s="14"/>
      <c r="CO287" s="14"/>
      <c r="CP287" s="14"/>
      <c r="CQ287" s="14"/>
      <c r="CR287" s="14"/>
      <c r="CS287" s="14"/>
      <c r="CT287" s="14"/>
      <c r="CU287" s="14"/>
      <c r="CV287" s="14"/>
      <c r="CW287" s="14"/>
      <c r="CX287" s="14"/>
      <c r="CY287" s="14"/>
      <c r="CZ287" s="14"/>
      <c r="DA287" s="14"/>
      <c r="DB287" s="14"/>
      <c r="DC287" s="14"/>
      <c r="DD287" s="14"/>
      <c r="DE287" s="14"/>
      <c r="DF287" s="14"/>
      <c r="DG287" s="14"/>
      <c r="DH287" s="14"/>
      <c r="DI287" s="14"/>
      <c r="DJ287" s="14"/>
      <c r="DK287" s="14"/>
      <c r="DL287" s="14"/>
      <c r="DM287" s="14"/>
      <c r="DN287" s="14"/>
      <c r="DO287" s="14"/>
      <c r="DP287" s="14"/>
      <c r="DQ287" s="14"/>
      <c r="DR287" s="14"/>
      <c r="DS287" s="14"/>
      <c r="DT287" s="14"/>
      <c r="DU287" s="14"/>
      <c r="DV287" s="14"/>
      <c r="DW287" s="14"/>
      <c r="DX287" s="14"/>
      <c r="DY287" s="14"/>
      <c r="DZ287" s="14"/>
      <c r="EA287" s="14"/>
      <c r="EB287" s="14"/>
      <c r="EC287" s="14"/>
      <c r="ED287" s="14"/>
      <c r="EE287" s="14"/>
      <c r="EF287" s="14"/>
      <c r="EG287" s="14"/>
      <c r="EH287" s="14"/>
      <c r="EI287" s="14"/>
      <c r="EJ287" s="14"/>
      <c r="EK287" s="14"/>
      <c r="EL287" s="14"/>
      <c r="EM287" s="14"/>
      <c r="EN287" s="14"/>
      <c r="EO287" s="14"/>
      <c r="EP287" s="14"/>
      <c r="EQ287" s="14"/>
      <c r="ER287" s="14"/>
      <c r="ES287" s="14"/>
      <c r="ET287" s="14"/>
      <c r="EU287" s="14"/>
      <c r="EV287" s="14"/>
      <c r="EW287" s="14"/>
      <c r="EX287" s="14"/>
      <c r="EY287" s="14"/>
      <c r="EZ287" s="14"/>
      <c r="FA287" s="14"/>
      <c r="FB287" s="14"/>
      <c r="FC287" s="14"/>
      <c r="FD287" s="14"/>
      <c r="FE287" s="14"/>
      <c r="FF287" s="14"/>
      <c r="FG287" s="14"/>
      <c r="FH287" s="14"/>
      <c r="FI287" s="14"/>
      <c r="FJ287" s="14"/>
      <c r="FK287" s="14"/>
      <c r="FL287" s="14"/>
      <c r="FM287" s="14"/>
      <c r="FN287" s="14"/>
      <c r="FO287" s="14"/>
      <c r="FP287" s="14"/>
      <c r="FQ287" s="14"/>
      <c r="FR287" s="14"/>
      <c r="FS287" s="14"/>
      <c r="FT287" s="14"/>
      <c r="FU287" s="14"/>
      <c r="FV287" s="14"/>
      <c r="FW287" s="14"/>
      <c r="FX287" s="14"/>
      <c r="FY287" s="14"/>
      <c r="FZ287" s="14"/>
      <c r="GA287" s="14"/>
      <c r="GB287" s="14"/>
      <c r="GC287" s="14"/>
      <c r="GD287" s="14"/>
      <c r="GE287" s="14"/>
      <c r="GF287" s="14"/>
      <c r="GG287" s="14"/>
      <c r="GH287" s="14"/>
      <c r="GI287" s="14"/>
      <c r="GJ287" s="14"/>
      <c r="GK287" s="14"/>
      <c r="GL287" s="14"/>
      <c r="GM287" s="14"/>
      <c r="GN287" s="14"/>
      <c r="GO287" s="14"/>
      <c r="GP287" s="14"/>
      <c r="GQ287" s="14"/>
      <c r="GR287" s="14"/>
      <c r="GS287" s="14"/>
      <c r="GT287" s="14"/>
      <c r="GU287" s="14"/>
      <c r="GV287" s="14"/>
      <c r="GW287" s="14"/>
      <c r="GX287" s="14"/>
      <c r="GY287" s="14"/>
      <c r="GZ287" s="14"/>
      <c r="HA287" s="14"/>
      <c r="HB287" s="14"/>
      <c r="HC287" s="14"/>
      <c r="HD287" s="14"/>
      <c r="HE287" s="14"/>
      <c r="HF287" s="14"/>
      <c r="HG287" s="14"/>
      <c r="HH287" s="14"/>
      <c r="HI287" s="14"/>
      <c r="HJ287" s="14"/>
      <c r="HK287" s="14"/>
      <c r="HL287" s="14"/>
      <c r="HM287" s="14"/>
      <c r="HN287" s="14"/>
      <c r="HO287" s="14"/>
      <c r="HP287" s="14"/>
      <c r="HQ287" s="14"/>
      <c r="HR287" s="14"/>
      <c r="HS287" s="14"/>
      <c r="HT287" s="14"/>
    </row>
    <row r="288" spans="1:228" ht="15" customHeight="1" x14ac:dyDescent="0.2">
      <c r="A288" s="3"/>
      <c r="B288" s="566"/>
      <c r="C288" s="167"/>
      <c r="D288" s="569"/>
      <c r="E288" s="567"/>
      <c r="F288" s="1410" t="str">
        <f>IF(OR(Z295=1,S287=1),"","Biceps femoris (long head)")</f>
        <v/>
      </c>
      <c r="G288" s="1410"/>
      <c r="H288" s="1410"/>
      <c r="I288" s="1410"/>
      <c r="J288" s="1410"/>
      <c r="K288" s="1410"/>
      <c r="L288" s="1410"/>
      <c r="M288" s="88">
        <f>IF(OR(F288="",S288=0),0,IF($Z$295=2,0.75,IF($Z$295=3,0.4,0)))</f>
        <v>0</v>
      </c>
      <c r="N288" s="254"/>
      <c r="O288" s="254"/>
      <c r="P288" s="355" t="str">
        <f>IF(X288=0,"",X288)</f>
        <v/>
      </c>
      <c r="R288" s="686" t="b">
        <v>0</v>
      </c>
      <c r="S288" s="736">
        <f>IF(R288=TRUE,1,0)</f>
        <v>0</v>
      </c>
      <c r="T288" s="747">
        <f>SUMIF($T$278:$AH$278,N288,$T$279:$AH$279)</f>
        <v>0</v>
      </c>
      <c r="U288" s="747">
        <f>SUMIF($S$278:$AH$278,O288,$S$279:$AH$279)</f>
        <v>0</v>
      </c>
      <c r="V288" s="747">
        <f>M288*T288</f>
        <v>0</v>
      </c>
      <c r="W288" s="747">
        <f>M288*U288</f>
        <v>0</v>
      </c>
      <c r="X288" s="747">
        <f>(IF(V288-W288&lt;=0,0,V288-W288))</f>
        <v>0</v>
      </c>
      <c r="Y288" s="158"/>
      <c r="Z288" s="18"/>
      <c r="AA288" s="158"/>
      <c r="AB288" s="158"/>
      <c r="AC288" s="18"/>
      <c r="AD288" s="158"/>
      <c r="AE288" s="750">
        <f>IF(P318="",0,IF(Z297=2,P318,0))</f>
        <v>0</v>
      </c>
      <c r="AF288" s="749">
        <f t="shared" si="15"/>
        <v>0</v>
      </c>
      <c r="AG288" s="960">
        <f>LARGE($AF$281:$AF$293,8)</f>
        <v>0</v>
      </c>
      <c r="AH288" s="684">
        <f t="shared" si="17"/>
        <v>0</v>
      </c>
      <c r="AI288" s="747">
        <f t="shared" si="16"/>
        <v>0</v>
      </c>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4"/>
      <c r="BR288" s="14"/>
      <c r="BS288" s="14"/>
      <c r="BT288" s="14"/>
      <c r="BU288" s="14"/>
      <c r="BV288" s="14"/>
      <c r="BW288" s="14"/>
      <c r="BX288" s="14"/>
      <c r="BY288" s="14"/>
      <c r="BZ288" s="14"/>
      <c r="CA288" s="14"/>
      <c r="CB288" s="14"/>
      <c r="CC288" s="14"/>
      <c r="CD288" s="14"/>
      <c r="CE288" s="14"/>
      <c r="CF288" s="14"/>
      <c r="CG288" s="14"/>
      <c r="CH288" s="14"/>
      <c r="CI288" s="14"/>
      <c r="CJ288" s="14"/>
      <c r="CK288" s="14"/>
      <c r="CL288" s="14"/>
      <c r="CM288" s="14"/>
      <c r="CN288" s="14"/>
      <c r="CO288" s="14"/>
      <c r="CP288" s="14"/>
      <c r="CQ288" s="14"/>
      <c r="CR288" s="14"/>
      <c r="CS288" s="14"/>
      <c r="CT288" s="14"/>
      <c r="CU288" s="14"/>
      <c r="CV288" s="14"/>
      <c r="CW288" s="14"/>
      <c r="CX288" s="14"/>
      <c r="CY288" s="14"/>
      <c r="CZ288" s="14"/>
      <c r="DA288" s="14"/>
      <c r="DB288" s="14"/>
      <c r="DC288" s="14"/>
      <c r="DD288" s="14"/>
      <c r="DE288" s="14"/>
      <c r="DF288" s="14"/>
      <c r="DG288" s="14"/>
      <c r="DH288" s="14"/>
      <c r="DI288" s="14"/>
      <c r="DJ288" s="14"/>
      <c r="DK288" s="14"/>
      <c r="DL288" s="14"/>
      <c r="DM288" s="14"/>
      <c r="DN288" s="14"/>
      <c r="DO288" s="14"/>
      <c r="DP288" s="14"/>
      <c r="DQ288" s="14"/>
      <c r="DR288" s="14"/>
      <c r="DS288" s="14"/>
      <c r="DT288" s="14"/>
      <c r="DU288" s="14"/>
      <c r="DV288" s="14"/>
      <c r="DW288" s="14"/>
      <c r="DX288" s="14"/>
      <c r="DY288" s="14"/>
      <c r="DZ288" s="14"/>
      <c r="EA288" s="14"/>
      <c r="EB288" s="14"/>
      <c r="EC288" s="14"/>
      <c r="ED288" s="14"/>
      <c r="EE288" s="14"/>
      <c r="EF288" s="14"/>
      <c r="EG288" s="14"/>
      <c r="EH288" s="14"/>
      <c r="EI288" s="14"/>
      <c r="EJ288" s="14"/>
      <c r="EK288" s="14"/>
      <c r="EL288" s="14"/>
      <c r="EM288" s="14"/>
      <c r="EN288" s="14"/>
      <c r="EO288" s="14"/>
      <c r="EP288" s="14"/>
      <c r="EQ288" s="14"/>
      <c r="ER288" s="14"/>
      <c r="ES288" s="14"/>
      <c r="ET288" s="14"/>
      <c r="EU288" s="14"/>
      <c r="EV288" s="14"/>
      <c r="EW288" s="14"/>
      <c r="EX288" s="14"/>
      <c r="EY288" s="14"/>
      <c r="EZ288" s="14"/>
      <c r="FA288" s="14"/>
      <c r="FB288" s="14"/>
      <c r="FC288" s="14"/>
      <c r="FD288" s="14"/>
      <c r="FE288" s="14"/>
      <c r="FF288" s="14"/>
      <c r="FG288" s="14"/>
      <c r="FH288" s="14"/>
      <c r="FI288" s="14"/>
      <c r="FJ288" s="14"/>
      <c r="FK288" s="14"/>
      <c r="FL288" s="14"/>
      <c r="FM288" s="14"/>
      <c r="FN288" s="14"/>
      <c r="FO288" s="14"/>
      <c r="FP288" s="14"/>
      <c r="FQ288" s="14"/>
      <c r="FR288" s="14"/>
      <c r="FS288" s="14"/>
      <c r="FT288" s="14"/>
      <c r="FU288" s="14"/>
      <c r="FV288" s="14"/>
      <c r="FW288" s="14"/>
      <c r="FX288" s="14"/>
      <c r="FY288" s="14"/>
      <c r="FZ288" s="14"/>
      <c r="GA288" s="14"/>
      <c r="GB288" s="14"/>
      <c r="GC288" s="14"/>
      <c r="GD288" s="14"/>
      <c r="GE288" s="14"/>
      <c r="GF288" s="14"/>
      <c r="GG288" s="14"/>
      <c r="GH288" s="14"/>
      <c r="GI288" s="14"/>
      <c r="GJ288" s="14"/>
      <c r="GK288" s="14"/>
      <c r="GL288" s="14"/>
      <c r="GM288" s="14"/>
      <c r="GN288" s="14"/>
      <c r="GO288" s="14"/>
      <c r="GP288" s="14"/>
      <c r="GQ288" s="14"/>
      <c r="GR288" s="14"/>
      <c r="GS288" s="14"/>
      <c r="GT288" s="14"/>
      <c r="GU288" s="14"/>
      <c r="GV288" s="14"/>
      <c r="GW288" s="14"/>
      <c r="GX288" s="14"/>
      <c r="GY288" s="14"/>
      <c r="GZ288" s="14"/>
      <c r="HA288" s="14"/>
      <c r="HB288" s="14"/>
      <c r="HC288" s="14"/>
      <c r="HD288" s="14"/>
      <c r="HE288" s="14"/>
      <c r="HF288" s="14"/>
      <c r="HG288" s="14"/>
      <c r="HH288" s="14"/>
      <c r="HI288" s="14"/>
      <c r="HJ288" s="14"/>
      <c r="HK288" s="14"/>
      <c r="HL288" s="14"/>
      <c r="HM288" s="14"/>
      <c r="HN288" s="14"/>
      <c r="HO288" s="14"/>
      <c r="HP288" s="14"/>
      <c r="HQ288" s="14"/>
      <c r="HR288" s="14"/>
      <c r="HS288" s="14"/>
      <c r="HT288" s="14"/>
    </row>
    <row r="289" spans="1:228" ht="15" customHeight="1" x14ac:dyDescent="0.2">
      <c r="A289" s="3"/>
      <c r="B289" s="566"/>
      <c r="C289" s="167"/>
      <c r="D289" s="569"/>
      <c r="E289" s="567"/>
      <c r="F289" s="1410" t="str">
        <f>IF(OR(S287=1,Z295=1),"","Biceps femoris (short head)")</f>
        <v/>
      </c>
      <c r="G289" s="1410"/>
      <c r="H289" s="1410"/>
      <c r="I289" s="1410"/>
      <c r="J289" s="1410"/>
      <c r="K289" s="1410"/>
      <c r="L289" s="1410"/>
      <c r="M289" s="88">
        <f>IF(OR(F289="",S289=0),0,IF($Z$295=2,0.75,IF($Z$295=3,0.4,0)))</f>
        <v>0</v>
      </c>
      <c r="N289" s="254"/>
      <c r="O289" s="254"/>
      <c r="P289" s="355" t="str">
        <f>IF(X289=0,"",X289)</f>
        <v/>
      </c>
      <c r="R289" s="686" t="b">
        <v>0</v>
      </c>
      <c r="S289" s="736">
        <f>IF(R289=TRUE,1,0)</f>
        <v>0</v>
      </c>
      <c r="T289" s="747">
        <f>SUMIF($T$278:$AH$278,N289,$T$279:$AH$279)</f>
        <v>0</v>
      </c>
      <c r="U289" s="747">
        <f>SUMIF($S$278:$AH$278,O289,$S$279:$AH$279)</f>
        <v>0</v>
      </c>
      <c r="V289" s="747">
        <f>M289*T289</f>
        <v>0</v>
      </c>
      <c r="W289" s="747">
        <f>M289*U289</f>
        <v>0</v>
      </c>
      <c r="X289" s="747">
        <f>(IF(V289-W289&lt;=0,0,V289-W289))</f>
        <v>0</v>
      </c>
      <c r="Y289" s="116"/>
      <c r="Z289" s="18"/>
      <c r="AA289" s="116"/>
      <c r="AB289" s="116"/>
      <c r="AC289" s="116"/>
      <c r="AD289" s="116"/>
      <c r="AE289" s="684">
        <f>P328</f>
        <v>0</v>
      </c>
      <c r="AF289" s="749">
        <f t="shared" si="15"/>
        <v>0</v>
      </c>
      <c r="AG289" s="960">
        <f>LARGE($AF$281:$AF$293,9)</f>
        <v>0</v>
      </c>
      <c r="AH289" s="684">
        <f t="shared" si="17"/>
        <v>0</v>
      </c>
      <c r="AI289" s="747">
        <f t="shared" si="16"/>
        <v>0</v>
      </c>
      <c r="AJ289" s="172"/>
      <c r="AK289" s="172"/>
      <c r="AL289" s="116"/>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4"/>
      <c r="BR289" s="14"/>
      <c r="BS289" s="14"/>
      <c r="BT289" s="14"/>
      <c r="BU289" s="14"/>
      <c r="BV289" s="14"/>
      <c r="BW289" s="14"/>
      <c r="BX289" s="14"/>
      <c r="BY289" s="14"/>
      <c r="BZ289" s="14"/>
      <c r="CA289" s="14"/>
      <c r="CB289" s="14"/>
      <c r="CC289" s="14"/>
      <c r="CD289" s="14"/>
      <c r="CE289" s="14"/>
      <c r="CF289" s="14"/>
      <c r="CG289" s="14"/>
      <c r="CH289" s="14"/>
      <c r="CI289" s="14"/>
      <c r="CJ289" s="14"/>
      <c r="CK289" s="14"/>
      <c r="CL289" s="14"/>
      <c r="CM289" s="14"/>
      <c r="CN289" s="14"/>
      <c r="CO289" s="14"/>
      <c r="CP289" s="14"/>
      <c r="CQ289" s="14"/>
      <c r="CR289" s="14"/>
      <c r="CS289" s="14"/>
      <c r="CT289" s="14"/>
      <c r="CU289" s="14"/>
      <c r="CV289" s="14"/>
      <c r="CW289" s="14"/>
      <c r="CX289" s="14"/>
      <c r="CY289" s="14"/>
      <c r="CZ289" s="14"/>
      <c r="DA289" s="14"/>
      <c r="DB289" s="14"/>
      <c r="DC289" s="14"/>
      <c r="DD289" s="14"/>
      <c r="DE289" s="14"/>
      <c r="DF289" s="14"/>
      <c r="DG289" s="14"/>
      <c r="DH289" s="14"/>
      <c r="DI289" s="14"/>
      <c r="DJ289" s="14"/>
      <c r="DK289" s="14"/>
      <c r="DL289" s="14"/>
      <c r="DM289" s="14"/>
      <c r="DN289" s="14"/>
      <c r="DO289" s="14"/>
      <c r="DP289" s="14"/>
      <c r="DQ289" s="14"/>
      <c r="DR289" s="14"/>
      <c r="DS289" s="14"/>
      <c r="DT289" s="14"/>
      <c r="DU289" s="14"/>
      <c r="DV289" s="14"/>
      <c r="DW289" s="14"/>
      <c r="DX289" s="14"/>
      <c r="DY289" s="14"/>
      <c r="DZ289" s="14"/>
      <c r="EA289" s="14"/>
      <c r="EB289" s="14"/>
      <c r="EC289" s="14"/>
      <c r="ED289" s="14"/>
      <c r="EE289" s="14"/>
      <c r="EF289" s="14"/>
      <c r="EG289" s="14"/>
      <c r="EH289" s="14"/>
      <c r="EI289" s="14"/>
      <c r="EJ289" s="14"/>
      <c r="EK289" s="14"/>
      <c r="EL289" s="14"/>
      <c r="EM289" s="14"/>
      <c r="EN289" s="14"/>
      <c r="EO289" s="14"/>
      <c r="EP289" s="14"/>
      <c r="EQ289" s="14"/>
      <c r="ER289" s="14"/>
      <c r="ES289" s="14"/>
      <c r="ET289" s="14"/>
      <c r="EU289" s="14"/>
      <c r="EV289" s="14"/>
      <c r="EW289" s="14"/>
      <c r="EX289" s="14"/>
      <c r="EY289" s="14"/>
      <c r="EZ289" s="14"/>
      <c r="FA289" s="14"/>
      <c r="FB289" s="14"/>
      <c r="FC289" s="14"/>
      <c r="FD289" s="14"/>
      <c r="FE289" s="14"/>
      <c r="FF289" s="14"/>
      <c r="FG289" s="14"/>
      <c r="FH289" s="14"/>
      <c r="FI289" s="14"/>
      <c r="FJ289" s="14"/>
      <c r="FK289" s="14"/>
      <c r="FL289" s="14"/>
      <c r="FM289" s="14"/>
      <c r="FN289" s="14"/>
      <c r="FO289" s="14"/>
      <c r="FP289" s="14"/>
      <c r="FQ289" s="14"/>
      <c r="FR289" s="14"/>
      <c r="FS289" s="14"/>
      <c r="FT289" s="14"/>
      <c r="FU289" s="14"/>
      <c r="FV289" s="14"/>
      <c r="FW289" s="14"/>
      <c r="FX289" s="14"/>
      <c r="FY289" s="14"/>
      <c r="FZ289" s="14"/>
      <c r="GA289" s="14"/>
      <c r="GB289" s="14"/>
      <c r="GC289" s="14"/>
      <c r="GD289" s="14"/>
      <c r="GE289" s="14"/>
      <c r="GF289" s="14"/>
      <c r="GG289" s="14"/>
      <c r="GH289" s="14"/>
      <c r="GI289" s="14"/>
      <c r="GJ289" s="14"/>
      <c r="GK289" s="14"/>
      <c r="GL289" s="14"/>
      <c r="GM289" s="14"/>
      <c r="GN289" s="14"/>
      <c r="GO289" s="14"/>
      <c r="GP289" s="14"/>
      <c r="GQ289" s="14"/>
      <c r="GR289" s="14"/>
      <c r="GS289" s="14"/>
      <c r="GT289" s="14"/>
      <c r="GU289" s="14"/>
      <c r="GV289" s="14"/>
      <c r="GW289" s="14"/>
      <c r="GX289" s="14"/>
      <c r="GY289" s="14"/>
      <c r="GZ289" s="14"/>
      <c r="HA289" s="14"/>
      <c r="HB289" s="14"/>
      <c r="HC289" s="14"/>
      <c r="HD289" s="14"/>
      <c r="HE289" s="14"/>
      <c r="HF289" s="14"/>
      <c r="HG289" s="14"/>
      <c r="HH289" s="14"/>
      <c r="HI289" s="14"/>
      <c r="HJ289" s="14"/>
      <c r="HK289" s="14"/>
      <c r="HL289" s="14"/>
      <c r="HM289" s="14"/>
      <c r="HN289" s="14"/>
      <c r="HO289" s="14"/>
      <c r="HP289" s="14"/>
      <c r="HQ289" s="14"/>
      <c r="HR289" s="14"/>
      <c r="HS289" s="14"/>
      <c r="HT289" s="14"/>
    </row>
    <row r="290" spans="1:228" ht="15" customHeight="1" x14ac:dyDescent="0.2">
      <c r="A290" s="3"/>
      <c r="B290" s="566"/>
      <c r="C290" s="167"/>
      <c r="D290" s="569"/>
      <c r="E290" s="567"/>
      <c r="F290" s="1410" t="str">
        <f>IF(OR(Z295=1,S287=1),"","Semitendinosus")</f>
        <v/>
      </c>
      <c r="G290" s="1410"/>
      <c r="H290" s="1410"/>
      <c r="I290" s="1410"/>
      <c r="J290" s="1410"/>
      <c r="K290" s="1410"/>
      <c r="L290" s="1410"/>
      <c r="M290" s="88">
        <f>IF(OR(F290="",S290=0),0,IF($Z$295=2,0.75,IF($Z$295=3,0.4,0)))</f>
        <v>0</v>
      </c>
      <c r="N290" s="254"/>
      <c r="O290" s="254"/>
      <c r="P290" s="355" t="str">
        <f>IF(X290=0,"",X290)</f>
        <v/>
      </c>
      <c r="R290" s="686" t="b">
        <v>0</v>
      </c>
      <c r="S290" s="736">
        <f>IF(R290=TRUE,1,0)</f>
        <v>0</v>
      </c>
      <c r="T290" s="747">
        <f>SUMIF($T$278:$AH$278,N290,$T$279:$AH$279)</f>
        <v>0</v>
      </c>
      <c r="U290" s="747">
        <f>SUMIF($S$278:$AH$278,O290,$S$279:$AH$279)</f>
        <v>0</v>
      </c>
      <c r="V290" s="747">
        <f>M290*T290</f>
        <v>0</v>
      </c>
      <c r="W290" s="747">
        <f>M290*U290</f>
        <v>0</v>
      </c>
      <c r="X290" s="747">
        <f>(IF(V290-W290&lt;=0,0,V290-W290))</f>
        <v>0</v>
      </c>
      <c r="Y290" s="19"/>
      <c r="Z290" s="18"/>
      <c r="AA290" s="19"/>
      <c r="AB290" s="19"/>
      <c r="AC290" s="19"/>
      <c r="AD290" s="19"/>
      <c r="AE290" s="747">
        <f>P329</f>
        <v>0</v>
      </c>
      <c r="AF290" s="749">
        <f t="shared" si="15"/>
        <v>0</v>
      </c>
      <c r="AG290" s="960">
        <f>LARGE($AF$281:$AF$293,10)</f>
        <v>0</v>
      </c>
      <c r="AH290" s="684">
        <f t="shared" si="17"/>
        <v>0</v>
      </c>
      <c r="AI290" s="747">
        <f t="shared" si="16"/>
        <v>0</v>
      </c>
      <c r="AJ290" s="19"/>
      <c r="AK290" s="19"/>
      <c r="AL290" s="19"/>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4"/>
      <c r="BR290" s="14"/>
      <c r="BS290" s="14"/>
      <c r="BT290" s="14"/>
      <c r="BU290" s="14"/>
      <c r="BV290" s="14"/>
      <c r="BW290" s="14"/>
      <c r="BX290" s="14"/>
      <c r="BY290" s="14"/>
      <c r="BZ290" s="14"/>
      <c r="CA290" s="14"/>
      <c r="CB290" s="14"/>
      <c r="CC290" s="14"/>
      <c r="CD290" s="14"/>
      <c r="CE290" s="14"/>
      <c r="CF290" s="14"/>
      <c r="CG290" s="14"/>
      <c r="CH290" s="14"/>
      <c r="CI290" s="14"/>
      <c r="CJ290" s="14"/>
      <c r="CK290" s="14"/>
      <c r="CL290" s="14"/>
      <c r="CM290" s="14"/>
      <c r="CN290" s="14"/>
      <c r="CO290" s="14"/>
      <c r="CP290" s="14"/>
      <c r="CQ290" s="14"/>
      <c r="CR290" s="14"/>
      <c r="CS290" s="14"/>
      <c r="CT290" s="14"/>
      <c r="CU290" s="14"/>
      <c r="CV290" s="14"/>
      <c r="CW290" s="14"/>
      <c r="CX290" s="14"/>
      <c r="CY290" s="14"/>
      <c r="CZ290" s="14"/>
      <c r="DA290" s="14"/>
      <c r="DB290" s="14"/>
      <c r="DC290" s="14"/>
      <c r="DD290" s="14"/>
      <c r="DE290" s="14"/>
      <c r="DF290" s="14"/>
      <c r="DG290" s="14"/>
      <c r="DH290" s="14"/>
      <c r="DI290" s="14"/>
      <c r="DJ290" s="14"/>
      <c r="DK290" s="14"/>
      <c r="DL290" s="14"/>
      <c r="DM290" s="14"/>
      <c r="DN290" s="14"/>
      <c r="DO290" s="14"/>
      <c r="DP290" s="14"/>
      <c r="DQ290" s="14"/>
      <c r="DR290" s="14"/>
      <c r="DS290" s="14"/>
      <c r="DT290" s="14"/>
      <c r="DU290" s="14"/>
      <c r="DV290" s="14"/>
      <c r="DW290" s="14"/>
      <c r="DX290" s="14"/>
      <c r="DY290" s="14"/>
      <c r="DZ290" s="14"/>
      <c r="EA290" s="14"/>
      <c r="EB290" s="14"/>
      <c r="EC290" s="14"/>
      <c r="ED290" s="14"/>
      <c r="EE290" s="14"/>
      <c r="EF290" s="14"/>
      <c r="EG290" s="14"/>
      <c r="EH290" s="14"/>
      <c r="EI290" s="14"/>
      <c r="EJ290" s="14"/>
      <c r="EK290" s="14"/>
      <c r="EL290" s="14"/>
      <c r="EM290" s="14"/>
      <c r="EN290" s="14"/>
      <c r="EO290" s="14"/>
      <c r="EP290" s="14"/>
      <c r="EQ290" s="14"/>
      <c r="ER290" s="14"/>
      <c r="ES290" s="14"/>
      <c r="ET290" s="14"/>
      <c r="EU290" s="14"/>
      <c r="EV290" s="14"/>
      <c r="EW290" s="14"/>
      <c r="EX290" s="14"/>
      <c r="EY290" s="14"/>
      <c r="EZ290" s="14"/>
      <c r="FA290" s="14"/>
      <c r="FB290" s="14"/>
      <c r="FC290" s="14"/>
      <c r="FD290" s="14"/>
      <c r="FE290" s="14"/>
      <c r="FF290" s="14"/>
      <c r="FG290" s="14"/>
      <c r="FH290" s="14"/>
      <c r="FI290" s="14"/>
      <c r="FJ290" s="14"/>
      <c r="FK290" s="14"/>
      <c r="FL290" s="14"/>
      <c r="FM290" s="14"/>
      <c r="FN290" s="14"/>
      <c r="FO290" s="14"/>
      <c r="FP290" s="14"/>
      <c r="FQ290" s="14"/>
      <c r="FR290" s="14"/>
      <c r="FS290" s="14"/>
      <c r="FT290" s="14"/>
      <c r="FU290" s="14"/>
      <c r="FV290" s="14"/>
      <c r="FW290" s="14"/>
      <c r="FX290" s="14"/>
      <c r="FY290" s="14"/>
      <c r="FZ290" s="14"/>
      <c r="GA290" s="14"/>
      <c r="GB290" s="14"/>
      <c r="GC290" s="14"/>
      <c r="GD290" s="14"/>
      <c r="GE290" s="14"/>
      <c r="GF290" s="14"/>
      <c r="GG290" s="14"/>
      <c r="GH290" s="14"/>
      <c r="GI290" s="14"/>
      <c r="GJ290" s="14"/>
      <c r="GK290" s="14"/>
      <c r="GL290" s="14"/>
      <c r="GM290" s="14"/>
      <c r="GN290" s="14"/>
      <c r="GO290" s="14"/>
      <c r="GP290" s="14"/>
      <c r="GQ290" s="14"/>
      <c r="GR290" s="14"/>
      <c r="GS290" s="14"/>
      <c r="GT290" s="14"/>
      <c r="GU290" s="14"/>
      <c r="GV290" s="14"/>
      <c r="GW290" s="14"/>
      <c r="GX290" s="14"/>
      <c r="GY290" s="14"/>
      <c r="GZ290" s="14"/>
      <c r="HA290" s="14"/>
      <c r="HB290" s="14"/>
      <c r="HC290" s="14"/>
      <c r="HD290" s="14"/>
      <c r="HE290" s="14"/>
      <c r="HF290" s="14"/>
      <c r="HG290" s="14"/>
      <c r="HH290" s="14"/>
      <c r="HI290" s="14"/>
      <c r="HJ290" s="14"/>
      <c r="HK290" s="14"/>
      <c r="HL290" s="14"/>
      <c r="HM290" s="14"/>
      <c r="HN290" s="14"/>
      <c r="HO290" s="14"/>
      <c r="HP290" s="14"/>
      <c r="HQ290" s="14"/>
      <c r="HR290" s="14"/>
      <c r="HS290" s="14"/>
      <c r="HT290" s="14"/>
    </row>
    <row r="291" spans="1:228" ht="15" customHeight="1" x14ac:dyDescent="0.2">
      <c r="A291" s="3"/>
      <c r="B291" s="553"/>
      <c r="C291" s="331"/>
      <c r="D291" s="554"/>
      <c r="E291" s="567"/>
      <c r="F291" s="1410" t="str">
        <f>IF(OR(Z295=1,S287=1),"","Semimembranosus")</f>
        <v/>
      </c>
      <c r="G291" s="1410"/>
      <c r="H291" s="1410"/>
      <c r="I291" s="1410"/>
      <c r="J291" s="1410"/>
      <c r="K291" s="1410"/>
      <c r="L291" s="1410"/>
      <c r="M291" s="88">
        <f>IF(OR(F291="",S291=0),0,IF($Z$295=2,0.75,IF($Z$295=3,0.4,0)))</f>
        <v>0</v>
      </c>
      <c r="N291" s="254"/>
      <c r="O291" s="254"/>
      <c r="P291" s="355" t="str">
        <f>IF(X291=0,"",X291)</f>
        <v/>
      </c>
      <c r="R291" s="686" t="b">
        <v>0</v>
      </c>
      <c r="S291" s="736">
        <f>IF(R291=TRUE,1,0)</f>
        <v>0</v>
      </c>
      <c r="T291" s="747">
        <f>SUMIF($T$278:$AH$278,N291,$T$279:$AH$279)</f>
        <v>0</v>
      </c>
      <c r="U291" s="747">
        <f>SUMIF($S$278:$AH$278,O291,$S$279:$AH$279)</f>
        <v>0</v>
      </c>
      <c r="V291" s="747">
        <f>M291*T291</f>
        <v>0</v>
      </c>
      <c r="W291" s="747">
        <f>M291*U291</f>
        <v>0</v>
      </c>
      <c r="X291" s="747">
        <f>(IF(V291-W291&lt;=0,0,V291-W291))</f>
        <v>0</v>
      </c>
      <c r="Y291" s="19"/>
      <c r="Z291" s="19"/>
      <c r="AA291" s="19"/>
      <c r="AB291" s="19"/>
      <c r="AC291" s="19"/>
      <c r="AD291" s="19"/>
      <c r="AE291" s="747">
        <f>P330</f>
        <v>0</v>
      </c>
      <c r="AF291" s="749">
        <f t="shared" si="15"/>
        <v>0</v>
      </c>
      <c r="AG291" s="960">
        <f>LARGE($AF$281:$AF$293,11)</f>
        <v>0</v>
      </c>
      <c r="AH291" s="684">
        <f t="shared" si="17"/>
        <v>0</v>
      </c>
      <c r="AI291" s="747">
        <f t="shared" si="16"/>
        <v>0</v>
      </c>
      <c r="AJ291" s="19"/>
      <c r="AK291" s="18"/>
      <c r="AL291" s="19"/>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4"/>
      <c r="BR291" s="14"/>
      <c r="BS291" s="14"/>
      <c r="BT291" s="14"/>
      <c r="BU291" s="14"/>
      <c r="BV291" s="14"/>
      <c r="BW291" s="14"/>
      <c r="BX291" s="14"/>
      <c r="BY291" s="14"/>
      <c r="BZ291" s="14"/>
      <c r="CA291" s="14"/>
      <c r="CB291" s="14"/>
      <c r="CC291" s="14"/>
      <c r="CD291" s="14"/>
      <c r="CE291" s="14"/>
      <c r="CF291" s="14"/>
      <c r="CG291" s="14"/>
      <c r="CH291" s="14"/>
      <c r="CI291" s="14"/>
      <c r="CJ291" s="14"/>
      <c r="CK291" s="14"/>
      <c r="CL291" s="14"/>
      <c r="CM291" s="14"/>
      <c r="CN291" s="14"/>
      <c r="CO291" s="14"/>
      <c r="CP291" s="14"/>
      <c r="CQ291" s="14"/>
      <c r="CR291" s="14"/>
      <c r="CS291" s="14"/>
      <c r="CT291" s="14"/>
      <c r="CU291" s="14"/>
      <c r="CV291" s="14"/>
      <c r="CW291" s="14"/>
      <c r="CX291" s="14"/>
      <c r="CY291" s="14"/>
      <c r="CZ291" s="14"/>
      <c r="DA291" s="14"/>
      <c r="DB291" s="14"/>
      <c r="DC291" s="14"/>
      <c r="DD291" s="14"/>
      <c r="DE291" s="14"/>
      <c r="DF291" s="14"/>
      <c r="DG291" s="14"/>
      <c r="DH291" s="14"/>
      <c r="DI291" s="14"/>
      <c r="DJ291" s="14"/>
      <c r="DK291" s="14"/>
      <c r="DL291" s="14"/>
      <c r="DM291" s="14"/>
      <c r="DN291" s="14"/>
      <c r="DO291" s="14"/>
      <c r="DP291" s="14"/>
      <c r="DQ291" s="14"/>
      <c r="DR291" s="14"/>
      <c r="DS291" s="14"/>
      <c r="DT291" s="14"/>
      <c r="DU291" s="14"/>
      <c r="DV291" s="14"/>
      <c r="DW291" s="14"/>
      <c r="DX291" s="14"/>
      <c r="DY291" s="14"/>
      <c r="DZ291" s="14"/>
      <c r="EA291" s="14"/>
      <c r="EB291" s="14"/>
      <c r="EC291" s="14"/>
      <c r="ED291" s="14"/>
      <c r="EE291" s="14"/>
      <c r="EF291" s="14"/>
      <c r="EG291" s="14"/>
      <c r="EH291" s="14"/>
      <c r="EI291" s="14"/>
      <c r="EJ291" s="14"/>
      <c r="EK291" s="14"/>
      <c r="EL291" s="14"/>
      <c r="EM291" s="14"/>
      <c r="EN291" s="14"/>
      <c r="EO291" s="14"/>
      <c r="EP291" s="14"/>
      <c r="EQ291" s="14"/>
      <c r="ER291" s="14"/>
      <c r="ES291" s="14"/>
      <c r="ET291" s="14"/>
      <c r="EU291" s="14"/>
      <c r="EV291" s="14"/>
      <c r="EW291" s="14"/>
      <c r="EX291" s="14"/>
      <c r="EY291" s="14"/>
      <c r="EZ291" s="14"/>
      <c r="FA291" s="14"/>
      <c r="FB291" s="14"/>
      <c r="FC291" s="14"/>
      <c r="FD291" s="14"/>
      <c r="FE291" s="14"/>
      <c r="FF291" s="14"/>
      <c r="FG291" s="14"/>
      <c r="FH291" s="14"/>
      <c r="FI291" s="14"/>
      <c r="FJ291" s="14"/>
      <c r="FK291" s="14"/>
      <c r="FL291" s="14"/>
      <c r="FM291" s="14"/>
      <c r="FN291" s="14"/>
      <c r="FO291" s="14"/>
      <c r="FP291" s="14"/>
      <c r="FQ291" s="14"/>
      <c r="FR291" s="14"/>
      <c r="FS291" s="14"/>
      <c r="FT291" s="14"/>
      <c r="FU291" s="14"/>
      <c r="FV291" s="14"/>
      <c r="FW291" s="14"/>
      <c r="FX291" s="14"/>
      <c r="FY291" s="14"/>
      <c r="FZ291" s="14"/>
      <c r="GA291" s="14"/>
      <c r="GB291" s="14"/>
      <c r="GC291" s="14"/>
      <c r="GD291" s="14"/>
      <c r="GE291" s="14"/>
      <c r="GF291" s="14"/>
      <c r="GG291" s="14"/>
      <c r="GH291" s="14"/>
      <c r="GI291" s="14"/>
      <c r="GJ291" s="14"/>
      <c r="GK291" s="14"/>
      <c r="GL291" s="14"/>
      <c r="GM291" s="14"/>
      <c r="GN291" s="14"/>
      <c r="GO291" s="14"/>
      <c r="GP291" s="14"/>
      <c r="GQ291" s="14"/>
      <c r="GR291" s="14"/>
      <c r="GS291" s="14"/>
      <c r="GT291" s="14"/>
      <c r="GU291" s="14"/>
      <c r="GV291" s="14"/>
      <c r="GW291" s="14"/>
      <c r="GX291" s="14"/>
      <c r="GY291" s="14"/>
      <c r="GZ291" s="14"/>
      <c r="HA291" s="14"/>
      <c r="HB291" s="14"/>
      <c r="HC291" s="14"/>
      <c r="HD291" s="14"/>
      <c r="HE291" s="14"/>
      <c r="HF291" s="14"/>
      <c r="HG291" s="14"/>
      <c r="HH291" s="14"/>
      <c r="HI291" s="14"/>
      <c r="HJ291" s="14"/>
      <c r="HK291" s="14"/>
      <c r="HL291" s="14"/>
      <c r="HM291" s="14"/>
      <c r="HN291" s="14"/>
      <c r="HO291" s="14"/>
      <c r="HP291" s="14"/>
      <c r="HQ291" s="14"/>
      <c r="HR291" s="14"/>
      <c r="HS291" s="14"/>
      <c r="HT291" s="14"/>
    </row>
    <row r="292" spans="1:228" ht="15" customHeight="1" x14ac:dyDescent="0.25">
      <c r="A292" s="3"/>
      <c r="B292" s="2029"/>
      <c r="C292" s="2029"/>
      <c r="D292" s="2029"/>
      <c r="E292" s="1909"/>
      <c r="F292" s="1909"/>
      <c r="G292" s="1909"/>
      <c r="H292" s="1909"/>
      <c r="I292" s="1909"/>
      <c r="J292" s="1909"/>
      <c r="K292" s="1909"/>
      <c r="L292" s="1909"/>
      <c r="M292" s="478"/>
      <c r="N292" s="1855" t="str">
        <f>IF(M287&gt;0,"Total:",IF(AND(M287=0,P292&gt;0),"Average:",""))</f>
        <v/>
      </c>
      <c r="O292" s="1855"/>
      <c r="P292" s="240">
        <f>IF(AND(P287="",P288="",P289="",P290="",P291=""),0,AVERAGE(P287:P291))</f>
        <v>0</v>
      </c>
      <c r="R292" s="18"/>
      <c r="S292" s="116"/>
      <c r="T292" s="111"/>
      <c r="U292" s="111"/>
      <c r="V292" s="114"/>
      <c r="W292" s="114"/>
      <c r="X292" s="111"/>
      <c r="Y292" s="19"/>
      <c r="Z292" s="19"/>
      <c r="AA292" s="19"/>
      <c r="AB292" s="19"/>
      <c r="AC292" s="19"/>
      <c r="AD292" s="19"/>
      <c r="AE292" s="747">
        <f>P335</f>
        <v>0</v>
      </c>
      <c r="AF292" s="749">
        <f t="shared" si="15"/>
        <v>0</v>
      </c>
      <c r="AG292" s="960">
        <f>LARGE($AF$281:$AF$293,12)</f>
        <v>0</v>
      </c>
      <c r="AH292" s="684">
        <f t="shared" si="17"/>
        <v>0</v>
      </c>
      <c r="AI292" s="747">
        <f t="shared" si="16"/>
        <v>0</v>
      </c>
      <c r="AJ292" s="19"/>
      <c r="AK292" s="18"/>
      <c r="AL292" s="19"/>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4"/>
      <c r="BR292" s="14"/>
      <c r="BS292" s="14"/>
      <c r="BT292" s="14"/>
      <c r="BU292" s="14"/>
      <c r="BV292" s="14"/>
      <c r="BW292" s="14"/>
      <c r="BX292" s="14"/>
      <c r="BY292" s="14"/>
      <c r="BZ292" s="14"/>
      <c r="CA292" s="14"/>
      <c r="CB292" s="14"/>
      <c r="CC292" s="14"/>
      <c r="CD292" s="14"/>
      <c r="CE292" s="14"/>
      <c r="CF292" s="14"/>
      <c r="CG292" s="14"/>
      <c r="CH292" s="14"/>
      <c r="CI292" s="14"/>
      <c r="CJ292" s="14"/>
      <c r="CK292" s="14"/>
      <c r="CL292" s="14"/>
      <c r="CM292" s="14"/>
      <c r="CN292" s="14"/>
      <c r="CO292" s="14"/>
      <c r="CP292" s="14"/>
      <c r="CQ292" s="14"/>
      <c r="CR292" s="14"/>
      <c r="CS292" s="14"/>
      <c r="CT292" s="14"/>
      <c r="CU292" s="14"/>
      <c r="CV292" s="14"/>
      <c r="CW292" s="14"/>
      <c r="CX292" s="14"/>
      <c r="CY292" s="14"/>
      <c r="CZ292" s="14"/>
      <c r="DA292" s="14"/>
      <c r="DB292" s="14"/>
      <c r="DC292" s="14"/>
      <c r="DD292" s="14"/>
      <c r="DE292" s="14"/>
      <c r="DF292" s="14"/>
      <c r="DG292" s="14"/>
      <c r="DH292" s="14"/>
      <c r="DI292" s="14"/>
      <c r="DJ292" s="14"/>
      <c r="DK292" s="14"/>
      <c r="DL292" s="14"/>
      <c r="DM292" s="14"/>
      <c r="DN292" s="14"/>
      <c r="DO292" s="14"/>
      <c r="DP292" s="14"/>
      <c r="DQ292" s="14"/>
      <c r="DR292" s="14"/>
      <c r="DS292" s="14"/>
      <c r="DT292" s="14"/>
      <c r="DU292" s="14"/>
      <c r="DV292" s="14"/>
      <c r="DW292" s="14"/>
      <c r="DX292" s="14"/>
      <c r="DY292" s="14"/>
      <c r="DZ292" s="14"/>
      <c r="EA292" s="14"/>
      <c r="EB292" s="14"/>
      <c r="EC292" s="14"/>
      <c r="ED292" s="14"/>
      <c r="EE292" s="14"/>
      <c r="EF292" s="14"/>
      <c r="EG292" s="14"/>
      <c r="EH292" s="14"/>
      <c r="EI292" s="14"/>
      <c r="EJ292" s="14"/>
      <c r="EK292" s="14"/>
      <c r="EL292" s="14"/>
      <c r="EM292" s="14"/>
      <c r="EN292" s="14"/>
      <c r="EO292" s="14"/>
      <c r="EP292" s="14"/>
      <c r="EQ292" s="14"/>
      <c r="ER292" s="14"/>
      <c r="ES292" s="14"/>
      <c r="ET292" s="14"/>
      <c r="EU292" s="14"/>
      <c r="EV292" s="14"/>
      <c r="EW292" s="14"/>
      <c r="EX292" s="14"/>
      <c r="EY292" s="14"/>
      <c r="EZ292" s="14"/>
      <c r="FA292" s="14"/>
      <c r="FB292" s="14"/>
      <c r="FC292" s="14"/>
      <c r="FD292" s="14"/>
      <c r="FE292" s="14"/>
      <c r="FF292" s="14"/>
      <c r="FG292" s="14"/>
      <c r="FH292" s="14"/>
      <c r="FI292" s="14"/>
      <c r="FJ292" s="14"/>
      <c r="FK292" s="14"/>
      <c r="FL292" s="14"/>
      <c r="FM292" s="14"/>
      <c r="FN292" s="14"/>
      <c r="FO292" s="14"/>
      <c r="FP292" s="14"/>
      <c r="FQ292" s="14"/>
      <c r="FR292" s="14"/>
      <c r="FS292" s="14"/>
      <c r="FT292" s="14"/>
      <c r="FU292" s="14"/>
      <c r="FV292" s="14"/>
      <c r="FW292" s="14"/>
      <c r="FX292" s="14"/>
      <c r="FY292" s="14"/>
      <c r="FZ292" s="14"/>
      <c r="GA292" s="14"/>
      <c r="GB292" s="14"/>
      <c r="GC292" s="14"/>
      <c r="GD292" s="14"/>
      <c r="GE292" s="14"/>
      <c r="GF292" s="14"/>
      <c r="GG292" s="14"/>
      <c r="GH292" s="14"/>
      <c r="GI292" s="14"/>
      <c r="GJ292" s="14"/>
      <c r="GK292" s="14"/>
      <c r="GL292" s="14"/>
      <c r="GM292" s="14"/>
      <c r="GN292" s="14"/>
      <c r="GO292" s="14"/>
      <c r="GP292" s="14"/>
      <c r="GQ292" s="14"/>
      <c r="GR292" s="14"/>
      <c r="GS292" s="14"/>
      <c r="GT292" s="14"/>
      <c r="GU292" s="14"/>
      <c r="GV292" s="14"/>
      <c r="GW292" s="14"/>
      <c r="GX292" s="14"/>
      <c r="GY292" s="14"/>
      <c r="GZ292" s="14"/>
      <c r="HA292" s="14"/>
      <c r="HB292" s="14"/>
      <c r="HC292" s="14"/>
      <c r="HD292" s="14"/>
      <c r="HE292" s="14"/>
      <c r="HF292" s="14"/>
      <c r="HG292" s="14"/>
      <c r="HH292" s="14"/>
      <c r="HI292" s="14"/>
      <c r="HJ292" s="14"/>
      <c r="HK292" s="14"/>
      <c r="HL292" s="14"/>
      <c r="HM292" s="14"/>
      <c r="HN292" s="14"/>
      <c r="HO292" s="14"/>
      <c r="HP292" s="14"/>
      <c r="HQ292" s="14"/>
      <c r="HR292" s="14"/>
      <c r="HS292" s="14"/>
      <c r="HT292" s="14"/>
    </row>
    <row r="293" spans="1:228" ht="27" customHeight="1" x14ac:dyDescent="0.2">
      <c r="A293" s="3"/>
      <c r="B293" s="1906" t="s">
        <v>2240</v>
      </c>
      <c r="C293" s="1906"/>
      <c r="D293" s="1906"/>
      <c r="E293" s="455"/>
      <c r="F293" s="2071" t="str">
        <f>IF(OR(Z296=1,Z296=7),"","Peroneal - overall loss at level shown")</f>
        <v/>
      </c>
      <c r="G293" s="2071"/>
      <c r="H293" s="2071"/>
      <c r="I293" s="2071"/>
      <c r="J293" s="2071"/>
      <c r="K293" s="2071"/>
      <c r="L293" s="2071"/>
      <c r="M293" s="90">
        <f t="shared" ref="M293:M298" si="18">IF(OR(F293="",S293=0),0,IF($Z$296=2,0.39,IF(OR($Z$296=3,$Z$296=4),0.28,IF(OR($Z$296=5,$Z$296=6),0.06,0))))</f>
        <v>0</v>
      </c>
      <c r="N293" s="485"/>
      <c r="O293" s="485"/>
      <c r="P293" s="363" t="str">
        <f t="shared" ref="P293:P298" si="19">IF(X293=0,"",X293)</f>
        <v/>
      </c>
      <c r="R293" s="686" t="b">
        <v>0</v>
      </c>
      <c r="S293" s="736">
        <f t="shared" ref="S293:S298" si="20">IF(R293=TRUE,1,0)</f>
        <v>0</v>
      </c>
      <c r="T293" s="747">
        <f t="shared" ref="T293:T298" si="21">SUMIF($T$278:$AH$278,N293,$T$279:$AH$279)</f>
        <v>0</v>
      </c>
      <c r="U293" s="747">
        <f t="shared" ref="U293:U298" si="22">SUMIF($S$278:$AH$278,O293,$S$279:$AH$279)</f>
        <v>0</v>
      </c>
      <c r="V293" s="747">
        <f t="shared" ref="V293:V298" si="23">M293*T293</f>
        <v>0</v>
      </c>
      <c r="W293" s="747">
        <f t="shared" ref="W293:W298" si="24">M293*U293</f>
        <v>0</v>
      </c>
      <c r="X293" s="747">
        <f t="shared" ref="X293:X298" si="25">(IF(V293-W293&lt;=0,0,V293-W293))</f>
        <v>0</v>
      </c>
      <c r="Y293" s="19"/>
      <c r="Z293" s="19"/>
      <c r="AA293" s="19"/>
      <c r="AB293" s="19"/>
      <c r="AC293" s="19"/>
      <c r="AD293" s="19"/>
      <c r="AE293" s="747">
        <f>P336</f>
        <v>0</v>
      </c>
      <c r="AF293" s="749">
        <f t="shared" si="15"/>
        <v>0</v>
      </c>
      <c r="AG293" s="960">
        <f>LARGE($AF$281:$AF$293,13)</f>
        <v>0</v>
      </c>
      <c r="AH293" s="18"/>
      <c r="AI293" s="18"/>
      <c r="AJ293" s="19"/>
      <c r="AK293" s="18"/>
      <c r="AL293" s="19"/>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4"/>
      <c r="BR293" s="14"/>
      <c r="BS293" s="14"/>
      <c r="BT293" s="14"/>
      <c r="BU293" s="14"/>
      <c r="BV293" s="14"/>
      <c r="BW293" s="14"/>
      <c r="BX293" s="14"/>
      <c r="BY293" s="14"/>
      <c r="BZ293" s="14"/>
      <c r="CA293" s="14"/>
      <c r="CB293" s="14"/>
      <c r="CC293" s="14"/>
      <c r="CD293" s="14"/>
      <c r="CE293" s="14"/>
      <c r="CF293" s="14"/>
      <c r="CG293" s="14"/>
      <c r="CH293" s="14"/>
      <c r="CI293" s="14"/>
      <c r="CJ293" s="14"/>
      <c r="CK293" s="14"/>
      <c r="CL293" s="14"/>
      <c r="CM293" s="14"/>
      <c r="CN293" s="14"/>
      <c r="CO293" s="14"/>
      <c r="CP293" s="14"/>
      <c r="CQ293" s="14"/>
      <c r="CR293" s="14"/>
      <c r="CS293" s="14"/>
      <c r="CT293" s="14"/>
      <c r="CU293" s="14"/>
      <c r="CV293" s="14"/>
      <c r="CW293" s="14"/>
      <c r="CX293" s="14"/>
      <c r="CY293" s="14"/>
      <c r="CZ293" s="14"/>
      <c r="DA293" s="14"/>
      <c r="DB293" s="14"/>
      <c r="DC293" s="14"/>
      <c r="DD293" s="14"/>
      <c r="DE293" s="14"/>
      <c r="DF293" s="14"/>
      <c r="DG293" s="14"/>
      <c r="DH293" s="14"/>
      <c r="DI293" s="14"/>
      <c r="DJ293" s="14"/>
      <c r="DK293" s="14"/>
      <c r="DL293" s="14"/>
      <c r="DM293" s="14"/>
      <c r="DN293" s="14"/>
      <c r="DO293" s="14"/>
      <c r="DP293" s="14"/>
      <c r="DQ293" s="14"/>
      <c r="DR293" s="14"/>
      <c r="DS293" s="14"/>
      <c r="DT293" s="14"/>
      <c r="DU293" s="14"/>
      <c r="DV293" s="14"/>
      <c r="DW293" s="14"/>
      <c r="DX293" s="14"/>
      <c r="DY293" s="14"/>
      <c r="DZ293" s="14"/>
      <c r="EA293" s="14"/>
      <c r="EB293" s="14"/>
      <c r="EC293" s="14"/>
      <c r="ED293" s="14"/>
      <c r="EE293" s="14"/>
      <c r="EF293" s="14"/>
      <c r="EG293" s="14"/>
      <c r="EH293" s="14"/>
      <c r="EI293" s="14"/>
      <c r="EJ293" s="14"/>
      <c r="EK293" s="14"/>
      <c r="EL293" s="14"/>
      <c r="EM293" s="14"/>
      <c r="EN293" s="14"/>
      <c r="EO293" s="14"/>
      <c r="EP293" s="14"/>
      <c r="EQ293" s="14"/>
      <c r="ER293" s="14"/>
      <c r="ES293" s="14"/>
      <c r="ET293" s="14"/>
      <c r="EU293" s="14"/>
      <c r="EV293" s="14"/>
      <c r="EW293" s="14"/>
      <c r="EX293" s="14"/>
      <c r="EY293" s="14"/>
      <c r="EZ293" s="14"/>
      <c r="FA293" s="14"/>
      <c r="FB293" s="14"/>
      <c r="FC293" s="14"/>
      <c r="FD293" s="14"/>
      <c r="FE293" s="14"/>
      <c r="FF293" s="14"/>
      <c r="FG293" s="14"/>
      <c r="FH293" s="14"/>
      <c r="FI293" s="14"/>
      <c r="FJ293" s="14"/>
      <c r="FK293" s="14"/>
      <c r="FL293" s="14"/>
      <c r="FM293" s="14"/>
      <c r="FN293" s="14"/>
      <c r="FO293" s="14"/>
      <c r="FP293" s="14"/>
      <c r="FQ293" s="14"/>
      <c r="FR293" s="14"/>
      <c r="FS293" s="14"/>
      <c r="FT293" s="14"/>
      <c r="FU293" s="14"/>
      <c r="FV293" s="14"/>
      <c r="FW293" s="14"/>
      <c r="FX293" s="14"/>
      <c r="FY293" s="14"/>
      <c r="FZ293" s="14"/>
      <c r="GA293" s="14"/>
      <c r="GB293" s="14"/>
      <c r="GC293" s="14"/>
      <c r="GD293" s="14"/>
      <c r="GE293" s="14"/>
      <c r="GF293" s="14"/>
      <c r="GG293" s="14"/>
      <c r="GH293" s="14"/>
      <c r="GI293" s="14"/>
      <c r="GJ293" s="14"/>
      <c r="GK293" s="14"/>
      <c r="GL293" s="14"/>
      <c r="GM293" s="14"/>
      <c r="GN293" s="14"/>
      <c r="GO293" s="14"/>
      <c r="GP293" s="14"/>
      <c r="GQ293" s="14"/>
      <c r="GR293" s="14"/>
      <c r="GS293" s="14"/>
      <c r="GT293" s="14"/>
      <c r="GU293" s="14"/>
      <c r="GV293" s="14"/>
      <c r="GW293" s="14"/>
      <c r="GX293" s="14"/>
      <c r="GY293" s="14"/>
      <c r="GZ293" s="14"/>
      <c r="HA293" s="14"/>
      <c r="HB293" s="14"/>
      <c r="HC293" s="14"/>
      <c r="HD293" s="14"/>
      <c r="HE293" s="14"/>
      <c r="HF293" s="14"/>
      <c r="HG293" s="14"/>
      <c r="HH293" s="14"/>
      <c r="HI293" s="14"/>
      <c r="HJ293" s="14"/>
      <c r="HK293" s="14"/>
      <c r="HL293" s="14"/>
      <c r="HM293" s="14"/>
      <c r="HN293" s="14"/>
      <c r="HO293" s="14"/>
      <c r="HP293" s="14"/>
      <c r="HQ293" s="14"/>
      <c r="HR293" s="14"/>
      <c r="HS293" s="14"/>
      <c r="HT293" s="14"/>
    </row>
    <row r="294" spans="1:228" ht="15" customHeight="1" x14ac:dyDescent="0.2">
      <c r="A294" s="3"/>
      <c r="B294" s="1906"/>
      <c r="C294" s="1906"/>
      <c r="D294" s="1906"/>
      <c r="E294" s="454"/>
      <c r="F294" s="1887" t="str">
        <f>IF(OR(Z296=1,Z296=7,S293=1),"","Tibialis anterior")</f>
        <v/>
      </c>
      <c r="G294" s="1887"/>
      <c r="H294" s="1887"/>
      <c r="I294" s="1887"/>
      <c r="J294" s="1887"/>
      <c r="K294" s="1887"/>
      <c r="L294" s="1887"/>
      <c r="M294" s="88">
        <f t="shared" si="18"/>
        <v>0</v>
      </c>
      <c r="N294" s="254"/>
      <c r="O294" s="254"/>
      <c r="P294" s="363" t="str">
        <f t="shared" si="19"/>
        <v/>
      </c>
      <c r="R294" s="686" t="b">
        <v>0</v>
      </c>
      <c r="S294" s="736">
        <f t="shared" si="20"/>
        <v>0</v>
      </c>
      <c r="T294" s="747">
        <f t="shared" si="21"/>
        <v>0</v>
      </c>
      <c r="U294" s="747">
        <f t="shared" si="22"/>
        <v>0</v>
      </c>
      <c r="V294" s="747">
        <f t="shared" si="23"/>
        <v>0</v>
      </c>
      <c r="W294" s="747">
        <f t="shared" si="24"/>
        <v>0</v>
      </c>
      <c r="X294" s="747">
        <f t="shared" si="25"/>
        <v>0</v>
      </c>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4"/>
      <c r="BR294" s="14"/>
      <c r="BS294" s="14"/>
      <c r="BT294" s="14"/>
      <c r="BU294" s="14"/>
      <c r="BV294" s="14"/>
      <c r="BW294" s="14"/>
      <c r="BX294" s="14"/>
      <c r="BY294" s="14"/>
      <c r="BZ294" s="14"/>
      <c r="CA294" s="14"/>
      <c r="CB294" s="14"/>
      <c r="CC294" s="14"/>
      <c r="CD294" s="14"/>
      <c r="CE294" s="14"/>
      <c r="CF294" s="14"/>
      <c r="CG294" s="14"/>
      <c r="CH294" s="14"/>
      <c r="CI294" s="14"/>
      <c r="CJ294" s="14"/>
      <c r="CK294" s="14"/>
      <c r="CL294" s="14"/>
      <c r="CM294" s="14"/>
      <c r="CN294" s="14"/>
      <c r="CO294" s="14"/>
      <c r="CP294" s="14"/>
      <c r="CQ294" s="14"/>
      <c r="CR294" s="14"/>
      <c r="CS294" s="14"/>
      <c r="CT294" s="14"/>
      <c r="CU294" s="14"/>
      <c r="CV294" s="14"/>
      <c r="CW294" s="14"/>
      <c r="CX294" s="14"/>
      <c r="CY294" s="14"/>
      <c r="CZ294" s="14"/>
      <c r="DA294" s="14"/>
      <c r="DB294" s="14"/>
      <c r="DC294" s="14"/>
      <c r="DD294" s="14"/>
      <c r="DE294" s="14"/>
      <c r="DF294" s="14"/>
      <c r="DG294" s="14"/>
      <c r="DH294" s="14"/>
      <c r="DI294" s="14"/>
      <c r="DJ294" s="14"/>
      <c r="DK294" s="14"/>
      <c r="DL294" s="14"/>
      <c r="DM294" s="14"/>
      <c r="DN294" s="14"/>
      <c r="DO294" s="14"/>
      <c r="DP294" s="14"/>
      <c r="DQ294" s="14"/>
      <c r="DR294" s="14"/>
      <c r="DS294" s="14"/>
      <c r="DT294" s="14"/>
      <c r="DU294" s="14"/>
      <c r="DV294" s="14"/>
      <c r="DW294" s="14"/>
      <c r="DX294" s="14"/>
      <c r="DY294" s="14"/>
      <c r="DZ294" s="14"/>
      <c r="EA294" s="14"/>
      <c r="EB294" s="14"/>
      <c r="EC294" s="14"/>
      <c r="ED294" s="14"/>
      <c r="EE294" s="14"/>
      <c r="EF294" s="14"/>
      <c r="EG294" s="14"/>
      <c r="EH294" s="14"/>
      <c r="EI294" s="14"/>
      <c r="EJ294" s="14"/>
      <c r="EK294" s="14"/>
      <c r="EL294" s="14"/>
      <c r="EM294" s="14"/>
      <c r="EN294" s="14"/>
      <c r="EO294" s="14"/>
      <c r="EP294" s="14"/>
      <c r="EQ294" s="14"/>
      <c r="ER294" s="14"/>
      <c r="ES294" s="14"/>
      <c r="ET294" s="14"/>
      <c r="EU294" s="14"/>
      <c r="EV294" s="14"/>
      <c r="EW294" s="14"/>
      <c r="EX294" s="14"/>
      <c r="EY294" s="14"/>
      <c r="EZ294" s="14"/>
      <c r="FA294" s="14"/>
      <c r="FB294" s="14"/>
      <c r="FC294" s="14"/>
      <c r="FD294" s="14"/>
      <c r="FE294" s="14"/>
      <c r="FF294" s="14"/>
      <c r="FG294" s="14"/>
      <c r="FH294" s="14"/>
      <c r="FI294" s="14"/>
      <c r="FJ294" s="14"/>
      <c r="FK294" s="14"/>
      <c r="FL294" s="14"/>
      <c r="FM294" s="14"/>
      <c r="FN294" s="14"/>
      <c r="FO294" s="14"/>
      <c r="FP294" s="14"/>
      <c r="FQ294" s="14"/>
      <c r="FR294" s="14"/>
      <c r="FS294" s="14"/>
      <c r="FT294" s="14"/>
      <c r="FU294" s="14"/>
      <c r="FV294" s="14"/>
      <c r="FW294" s="14"/>
      <c r="FX294" s="14"/>
      <c r="FY294" s="14"/>
      <c r="FZ294" s="14"/>
      <c r="GA294" s="14"/>
      <c r="GB294" s="14"/>
      <c r="GC294" s="14"/>
      <c r="GD294" s="14"/>
      <c r="GE294" s="14"/>
      <c r="GF294" s="14"/>
      <c r="GG294" s="14"/>
      <c r="GH294" s="14"/>
      <c r="GI294" s="14"/>
      <c r="GJ294" s="14"/>
      <c r="GK294" s="14"/>
      <c r="GL294" s="14"/>
      <c r="GM294" s="14"/>
      <c r="GN294" s="14"/>
      <c r="GO294" s="14"/>
      <c r="GP294" s="14"/>
      <c r="GQ294" s="14"/>
      <c r="GR294" s="14"/>
      <c r="GS294" s="14"/>
      <c r="GT294" s="14"/>
      <c r="GU294" s="14"/>
      <c r="GV294" s="14"/>
      <c r="GW294" s="14"/>
      <c r="GX294" s="14"/>
      <c r="GY294" s="14"/>
      <c r="GZ294" s="14"/>
      <c r="HA294" s="14"/>
      <c r="HB294" s="14"/>
      <c r="HC294" s="14"/>
      <c r="HD294" s="14"/>
      <c r="HE294" s="14"/>
      <c r="HF294" s="14"/>
      <c r="HG294" s="14"/>
      <c r="HH294" s="14"/>
      <c r="HI294" s="14"/>
      <c r="HJ294" s="14"/>
      <c r="HK294" s="14"/>
      <c r="HL294" s="14"/>
      <c r="HM294" s="14"/>
      <c r="HN294" s="14"/>
      <c r="HO294" s="14"/>
      <c r="HP294" s="14"/>
      <c r="HQ294" s="14"/>
      <c r="HR294" s="14"/>
      <c r="HS294" s="14"/>
      <c r="HT294" s="14"/>
    </row>
    <row r="295" spans="1:228" ht="15" customHeight="1" x14ac:dyDescent="0.2">
      <c r="A295" s="3"/>
      <c r="B295" s="1906"/>
      <c r="C295" s="1906"/>
      <c r="D295" s="1906"/>
      <c r="E295" s="454"/>
      <c r="F295" s="1410" t="str">
        <f>IF(OR(Z296=1,Z296=7,S293=1),"","Extensor hallucis longus")</f>
        <v/>
      </c>
      <c r="G295" s="1410"/>
      <c r="H295" s="1410"/>
      <c r="I295" s="1410"/>
      <c r="J295" s="1410"/>
      <c r="K295" s="1410"/>
      <c r="L295" s="1410"/>
      <c r="M295" s="88">
        <f t="shared" si="18"/>
        <v>0</v>
      </c>
      <c r="N295" s="254"/>
      <c r="O295" s="254"/>
      <c r="P295" s="363" t="str">
        <f t="shared" si="19"/>
        <v/>
      </c>
      <c r="R295" s="745" t="b">
        <v>0</v>
      </c>
      <c r="S295" s="736">
        <f t="shared" si="20"/>
        <v>0</v>
      </c>
      <c r="T295" s="747">
        <f t="shared" si="21"/>
        <v>0</v>
      </c>
      <c r="U295" s="747">
        <f t="shared" si="22"/>
        <v>0</v>
      </c>
      <c r="V295" s="747">
        <f t="shared" si="23"/>
        <v>0</v>
      </c>
      <c r="W295" s="747">
        <f t="shared" si="24"/>
        <v>0</v>
      </c>
      <c r="X295" s="747">
        <f t="shared" si="25"/>
        <v>0</v>
      </c>
      <c r="Y295" s="19"/>
      <c r="Z295" s="686">
        <v>1</v>
      </c>
      <c r="AA295" s="1410" t="s">
        <v>810</v>
      </c>
      <c r="AB295" s="1410"/>
      <c r="AC295" s="19"/>
      <c r="AD295" s="19"/>
      <c r="AE295" s="19"/>
      <c r="AF295" s="19"/>
      <c r="AG295" s="19"/>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4"/>
      <c r="BR295" s="14"/>
      <c r="BS295" s="14"/>
      <c r="BT295" s="14"/>
      <c r="BU295" s="14"/>
      <c r="BV295" s="14"/>
      <c r="BW295" s="14"/>
      <c r="BX295" s="14"/>
      <c r="BY295" s="14"/>
      <c r="BZ295" s="14"/>
      <c r="CA295" s="14"/>
      <c r="CB295" s="14"/>
      <c r="CC295" s="14"/>
      <c r="CD295" s="14"/>
      <c r="CE295" s="14"/>
      <c r="CF295" s="14"/>
      <c r="CG295" s="14"/>
      <c r="CH295" s="14"/>
      <c r="CI295" s="14"/>
      <c r="CJ295" s="14"/>
      <c r="CK295" s="14"/>
      <c r="CL295" s="14"/>
      <c r="CM295" s="14"/>
      <c r="CN295" s="14"/>
      <c r="CO295" s="14"/>
      <c r="CP295" s="14"/>
      <c r="CQ295" s="14"/>
      <c r="CR295" s="14"/>
      <c r="CS295" s="14"/>
      <c r="CT295" s="14"/>
      <c r="CU295" s="14"/>
      <c r="CV295" s="14"/>
      <c r="CW295" s="14"/>
      <c r="CX295" s="14"/>
      <c r="CY295" s="14"/>
      <c r="CZ295" s="14"/>
      <c r="DA295" s="14"/>
      <c r="DB295" s="14"/>
      <c r="DC295" s="14"/>
      <c r="DD295" s="14"/>
      <c r="DE295" s="14"/>
      <c r="DF295" s="14"/>
      <c r="DG295" s="14"/>
      <c r="DH295" s="14"/>
      <c r="DI295" s="14"/>
      <c r="DJ295" s="14"/>
      <c r="DK295" s="14"/>
      <c r="DL295" s="14"/>
      <c r="DM295" s="14"/>
      <c r="DN295" s="14"/>
      <c r="DO295" s="14"/>
      <c r="DP295" s="14"/>
      <c r="DQ295" s="14"/>
      <c r="DR295" s="14"/>
      <c r="DS295" s="14"/>
      <c r="DT295" s="14"/>
      <c r="DU295" s="14"/>
      <c r="DV295" s="14"/>
      <c r="DW295" s="14"/>
      <c r="DX295" s="14"/>
      <c r="DY295" s="14"/>
      <c r="DZ295" s="14"/>
      <c r="EA295" s="14"/>
      <c r="EB295" s="14"/>
      <c r="EC295" s="14"/>
      <c r="ED295" s="14"/>
      <c r="EE295" s="14"/>
      <c r="EF295" s="14"/>
      <c r="EG295" s="14"/>
      <c r="EH295" s="14"/>
      <c r="EI295" s="14"/>
      <c r="EJ295" s="14"/>
      <c r="EK295" s="14"/>
      <c r="EL295" s="14"/>
      <c r="EM295" s="14"/>
      <c r="EN295" s="14"/>
      <c r="EO295" s="14"/>
      <c r="EP295" s="14"/>
      <c r="EQ295" s="14"/>
      <c r="ER295" s="14"/>
      <c r="ES295" s="14"/>
      <c r="ET295" s="14"/>
      <c r="EU295" s="14"/>
      <c r="EV295" s="14"/>
      <c r="EW295" s="14"/>
      <c r="EX295" s="14"/>
      <c r="EY295" s="14"/>
      <c r="EZ295" s="14"/>
      <c r="FA295" s="14"/>
      <c r="FB295" s="14"/>
      <c r="FC295" s="14"/>
      <c r="FD295" s="14"/>
      <c r="FE295" s="14"/>
      <c r="FF295" s="14"/>
      <c r="FG295" s="14"/>
      <c r="FH295" s="14"/>
      <c r="FI295" s="14"/>
      <c r="FJ295" s="14"/>
      <c r="FK295" s="14"/>
      <c r="FL295" s="14"/>
      <c r="FM295" s="14"/>
      <c r="FN295" s="14"/>
      <c r="FO295" s="14"/>
      <c r="FP295" s="14"/>
      <c r="FQ295" s="14"/>
      <c r="FR295" s="14"/>
      <c r="FS295" s="14"/>
      <c r="FT295" s="14"/>
      <c r="FU295" s="14"/>
      <c r="FV295" s="14"/>
      <c r="FW295" s="14"/>
      <c r="FX295" s="14"/>
      <c r="FY295" s="14"/>
      <c r="FZ295" s="14"/>
      <c r="GA295" s="14"/>
      <c r="GB295" s="14"/>
      <c r="GC295" s="14"/>
      <c r="GD295" s="14"/>
      <c r="GE295" s="14"/>
      <c r="GF295" s="14"/>
      <c r="GG295" s="14"/>
      <c r="GH295" s="14"/>
      <c r="GI295" s="14"/>
      <c r="GJ295" s="14"/>
      <c r="GK295" s="14"/>
      <c r="GL295" s="14"/>
      <c r="GM295" s="14"/>
      <c r="GN295" s="14"/>
      <c r="GO295" s="14"/>
      <c r="GP295" s="14"/>
      <c r="GQ295" s="14"/>
      <c r="GR295" s="14"/>
      <c r="GS295" s="14"/>
      <c r="GT295" s="14"/>
      <c r="GU295" s="14"/>
      <c r="GV295" s="14"/>
      <c r="GW295" s="14"/>
      <c r="GX295" s="14"/>
      <c r="GY295" s="14"/>
      <c r="GZ295" s="14"/>
      <c r="HA295" s="14"/>
      <c r="HB295" s="14"/>
      <c r="HC295" s="14"/>
      <c r="HD295" s="14"/>
      <c r="HE295" s="14"/>
      <c r="HF295" s="14"/>
      <c r="HG295" s="14"/>
      <c r="HH295" s="14"/>
      <c r="HI295" s="14"/>
      <c r="HJ295" s="14"/>
      <c r="HK295" s="14"/>
      <c r="HL295" s="14"/>
      <c r="HM295" s="14"/>
      <c r="HN295" s="14"/>
      <c r="HO295" s="14"/>
      <c r="HP295" s="14"/>
      <c r="HQ295" s="14"/>
      <c r="HR295" s="14"/>
      <c r="HS295" s="14"/>
      <c r="HT295" s="14"/>
    </row>
    <row r="296" spans="1:228" ht="15" customHeight="1" x14ac:dyDescent="0.2">
      <c r="A296" s="3"/>
      <c r="B296" s="1906"/>
      <c r="C296" s="1906"/>
      <c r="D296" s="1906"/>
      <c r="E296" s="454"/>
      <c r="F296" s="1887" t="str">
        <f>IF(OR(Z296=1,Z296=7,S293=1),"","Extensor digitorum longus")</f>
        <v/>
      </c>
      <c r="G296" s="1887"/>
      <c r="H296" s="1887"/>
      <c r="I296" s="1887"/>
      <c r="J296" s="1887"/>
      <c r="K296" s="1887"/>
      <c r="L296" s="1887"/>
      <c r="M296" s="88">
        <f t="shared" si="18"/>
        <v>0</v>
      </c>
      <c r="N296" s="254"/>
      <c r="O296" s="254"/>
      <c r="P296" s="363" t="str">
        <f t="shared" si="19"/>
        <v/>
      </c>
      <c r="R296" s="745" t="b">
        <v>0</v>
      </c>
      <c r="S296" s="736">
        <f t="shared" si="20"/>
        <v>0</v>
      </c>
      <c r="T296" s="747">
        <f t="shared" si="21"/>
        <v>0</v>
      </c>
      <c r="U296" s="747">
        <f t="shared" si="22"/>
        <v>0</v>
      </c>
      <c r="V296" s="747">
        <f t="shared" si="23"/>
        <v>0</v>
      </c>
      <c r="W296" s="747">
        <f t="shared" si="24"/>
        <v>0</v>
      </c>
      <c r="X296" s="747">
        <f t="shared" si="25"/>
        <v>0</v>
      </c>
      <c r="Y296" s="18"/>
      <c r="Z296" s="686">
        <v>1</v>
      </c>
      <c r="AA296" s="1789" t="s">
        <v>811</v>
      </c>
      <c r="AB296" s="1789"/>
      <c r="AC296" s="18"/>
      <c r="AD296" s="18"/>
      <c r="AE296" s="18"/>
      <c r="AF296" s="18"/>
      <c r="AG296" s="18"/>
      <c r="AH296" s="18"/>
      <c r="AI296" s="18"/>
      <c r="AJ296" s="18"/>
      <c r="AK296" s="18"/>
      <c r="AL296" s="18"/>
      <c r="AM296" s="19"/>
      <c r="AN296" s="18"/>
      <c r="AO296" s="19"/>
      <c r="AP296" s="18"/>
      <c r="AQ296" s="19"/>
      <c r="AR296" s="19"/>
      <c r="AS296" s="19"/>
      <c r="AT296" s="19"/>
      <c r="AU296" s="18"/>
      <c r="AV296" s="19"/>
      <c r="AW296" s="18"/>
      <c r="AX296" s="18"/>
      <c r="AY296" s="18"/>
      <c r="AZ296" s="18"/>
      <c r="BA296" s="18"/>
      <c r="BB296" s="18"/>
      <c r="BC296" s="18"/>
      <c r="BD296" s="18"/>
      <c r="BE296" s="18"/>
      <c r="BF296" s="18"/>
      <c r="BG296" s="18"/>
      <c r="BH296" s="18"/>
      <c r="BI296" s="18"/>
      <c r="BJ296" s="18"/>
      <c r="BK296" s="18"/>
      <c r="BL296" s="18"/>
      <c r="BM296" s="18"/>
      <c r="BN296" s="18"/>
      <c r="BO296" s="18"/>
      <c r="BP296" s="18"/>
      <c r="BQ296" s="14"/>
      <c r="BR296" s="14"/>
      <c r="BS296" s="14"/>
      <c r="BT296" s="14"/>
      <c r="BU296" s="14"/>
      <c r="BV296" s="14"/>
      <c r="BW296" s="14"/>
      <c r="BX296" s="14"/>
      <c r="BY296" s="14"/>
      <c r="BZ296" s="14"/>
      <c r="CA296" s="14"/>
      <c r="CB296" s="14"/>
      <c r="CC296" s="14"/>
      <c r="CD296" s="14"/>
      <c r="CE296" s="14"/>
      <c r="CF296" s="14"/>
      <c r="CG296" s="14"/>
      <c r="CH296" s="14"/>
      <c r="CI296" s="14"/>
      <c r="CJ296" s="14"/>
      <c r="CK296" s="14"/>
      <c r="CL296" s="14"/>
      <c r="CM296" s="14"/>
      <c r="CN296" s="14"/>
      <c r="CO296" s="14"/>
      <c r="CP296" s="14"/>
      <c r="CQ296" s="14"/>
      <c r="CR296" s="14"/>
      <c r="CS296" s="14"/>
      <c r="CT296" s="14"/>
      <c r="CU296" s="14"/>
      <c r="CV296" s="14"/>
      <c r="CW296" s="14"/>
      <c r="CX296" s="14"/>
      <c r="CY296" s="14"/>
      <c r="CZ296" s="14"/>
      <c r="DA296" s="14"/>
      <c r="DB296" s="14"/>
      <c r="DC296" s="14"/>
      <c r="DD296" s="14"/>
      <c r="DE296" s="14"/>
      <c r="DF296" s="14"/>
      <c r="DG296" s="14"/>
      <c r="DH296" s="14"/>
      <c r="DI296" s="14"/>
      <c r="DJ296" s="14"/>
      <c r="DK296" s="14"/>
      <c r="DL296" s="14"/>
      <c r="DM296" s="14"/>
      <c r="DN296" s="14"/>
      <c r="DO296" s="14"/>
      <c r="DP296" s="14"/>
      <c r="DQ296" s="14"/>
      <c r="DR296" s="14"/>
      <c r="DS296" s="14"/>
      <c r="DT296" s="14"/>
      <c r="DU296" s="14"/>
      <c r="DV296" s="14"/>
      <c r="DW296" s="14"/>
      <c r="DX296" s="14"/>
      <c r="DY296" s="14"/>
      <c r="DZ296" s="14"/>
      <c r="EA296" s="14"/>
      <c r="EB296" s="14"/>
      <c r="EC296" s="14"/>
      <c r="ED296" s="14"/>
      <c r="EE296" s="14"/>
      <c r="EF296" s="14"/>
      <c r="EG296" s="14"/>
      <c r="EH296" s="14"/>
      <c r="EI296" s="14"/>
      <c r="EJ296" s="14"/>
      <c r="EK296" s="14"/>
      <c r="EL296" s="14"/>
      <c r="EM296" s="14"/>
      <c r="EN296" s="14"/>
      <c r="EO296" s="14"/>
      <c r="EP296" s="14"/>
      <c r="EQ296" s="14"/>
      <c r="ER296" s="14"/>
      <c r="ES296" s="14"/>
      <c r="ET296" s="14"/>
      <c r="EU296" s="14"/>
      <c r="EV296" s="14"/>
      <c r="EW296" s="14"/>
      <c r="EX296" s="14"/>
      <c r="EY296" s="14"/>
      <c r="EZ296" s="14"/>
      <c r="FA296" s="14"/>
      <c r="FB296" s="14"/>
      <c r="FC296" s="14"/>
      <c r="FD296" s="14"/>
      <c r="FE296" s="14"/>
      <c r="FF296" s="14"/>
      <c r="FG296" s="14"/>
      <c r="FH296" s="14"/>
      <c r="FI296" s="14"/>
      <c r="FJ296" s="14"/>
      <c r="FK296" s="14"/>
      <c r="FL296" s="14"/>
      <c r="FM296" s="14"/>
      <c r="FN296" s="14"/>
      <c r="FO296" s="14"/>
      <c r="FP296" s="14"/>
      <c r="FQ296" s="14"/>
      <c r="FR296" s="14"/>
      <c r="FS296" s="14"/>
      <c r="FT296" s="14"/>
      <c r="FU296" s="14"/>
      <c r="FV296" s="14"/>
      <c r="FW296" s="14"/>
      <c r="FX296" s="14"/>
      <c r="FY296" s="14"/>
      <c r="FZ296" s="14"/>
      <c r="GA296" s="14"/>
      <c r="GB296" s="14"/>
      <c r="GC296" s="14"/>
      <c r="GD296" s="14"/>
      <c r="GE296" s="14"/>
      <c r="GF296" s="14"/>
      <c r="GG296" s="14"/>
      <c r="GH296" s="14"/>
      <c r="GI296" s="14"/>
      <c r="GJ296" s="14"/>
      <c r="GK296" s="14"/>
      <c r="GL296" s="14"/>
      <c r="GM296" s="14"/>
      <c r="GN296" s="14"/>
      <c r="GO296" s="14"/>
      <c r="GP296" s="14"/>
      <c r="GQ296" s="14"/>
      <c r="GR296" s="14"/>
      <c r="GS296" s="14"/>
      <c r="GT296" s="14"/>
      <c r="GU296" s="14"/>
      <c r="GV296" s="14"/>
      <c r="GW296" s="14"/>
      <c r="GX296" s="14"/>
      <c r="GY296" s="14"/>
      <c r="GZ296" s="14"/>
      <c r="HA296" s="14"/>
      <c r="HB296" s="14"/>
      <c r="HC296" s="14"/>
      <c r="HD296" s="14"/>
      <c r="HE296" s="14"/>
      <c r="HF296" s="14"/>
      <c r="HG296" s="14"/>
      <c r="HH296" s="14"/>
      <c r="HI296" s="14"/>
      <c r="HJ296" s="14"/>
      <c r="HK296" s="14"/>
      <c r="HL296" s="14"/>
      <c r="HM296" s="14"/>
      <c r="HN296" s="14"/>
      <c r="HO296" s="14"/>
      <c r="HP296" s="14"/>
      <c r="HQ296" s="14"/>
      <c r="HR296" s="14"/>
      <c r="HS296" s="14"/>
      <c r="HT296" s="14"/>
    </row>
    <row r="297" spans="1:228" ht="15" customHeight="1" x14ac:dyDescent="0.2">
      <c r="A297" s="3"/>
      <c r="B297" s="1906"/>
      <c r="C297" s="1906"/>
      <c r="D297" s="1906"/>
      <c r="E297" s="454"/>
      <c r="F297" s="1410" t="str">
        <f>IF(OR(Z296=1,Z296=7,S293=1),"","Peroneus tertius")</f>
        <v/>
      </c>
      <c r="G297" s="1410"/>
      <c r="H297" s="1410"/>
      <c r="I297" s="1410"/>
      <c r="J297" s="1410"/>
      <c r="K297" s="1410"/>
      <c r="L297" s="1410"/>
      <c r="M297" s="88">
        <f t="shared" si="18"/>
        <v>0</v>
      </c>
      <c r="N297" s="254"/>
      <c r="O297" s="254"/>
      <c r="P297" s="363" t="str">
        <f t="shared" si="19"/>
        <v/>
      </c>
      <c r="R297" s="745" t="b">
        <v>0</v>
      </c>
      <c r="S297" s="736">
        <f t="shared" si="20"/>
        <v>0</v>
      </c>
      <c r="T297" s="747">
        <f t="shared" si="21"/>
        <v>0</v>
      </c>
      <c r="U297" s="747">
        <f t="shared" si="22"/>
        <v>0</v>
      </c>
      <c r="V297" s="747">
        <f t="shared" si="23"/>
        <v>0</v>
      </c>
      <c r="W297" s="747">
        <f t="shared" si="24"/>
        <v>0</v>
      </c>
      <c r="X297" s="747">
        <f t="shared" si="25"/>
        <v>0</v>
      </c>
      <c r="Y297" s="74"/>
      <c r="Z297" s="889">
        <v>1</v>
      </c>
      <c r="AA297" s="1832" t="s">
        <v>1024</v>
      </c>
      <c r="AB297" s="1832"/>
      <c r="AC297" s="74"/>
      <c r="AD297" s="74"/>
      <c r="AE297" s="74"/>
      <c r="AF297" s="74"/>
      <c r="AG297" s="74"/>
      <c r="AH297" s="74"/>
      <c r="AI297" s="74"/>
      <c r="AJ297" s="74"/>
      <c r="AK297" s="74"/>
      <c r="AL297" s="74"/>
      <c r="AM297" s="74"/>
      <c r="AN297" s="74"/>
      <c r="AO297" s="74"/>
      <c r="AP297" s="74"/>
      <c r="AQ297" s="74"/>
      <c r="AR297" s="74"/>
      <c r="AS297" s="74"/>
      <c r="AT297" s="74"/>
      <c r="AU297" s="74"/>
      <c r="AV297" s="74"/>
      <c r="AW297" s="74"/>
      <c r="AX297" s="74"/>
      <c r="AY297" s="74"/>
      <c r="AZ297" s="74"/>
      <c r="BA297" s="74"/>
      <c r="BB297" s="74"/>
      <c r="BC297" s="74"/>
      <c r="BD297" s="74"/>
      <c r="BE297" s="74"/>
      <c r="BF297" s="18"/>
      <c r="BG297" s="18"/>
      <c r="BH297" s="18"/>
      <c r="BI297" s="18"/>
      <c r="BJ297" s="18"/>
      <c r="BK297" s="18"/>
      <c r="BL297" s="18"/>
      <c r="BM297" s="18"/>
      <c r="BN297" s="18"/>
      <c r="BO297" s="18"/>
      <c r="BP297" s="18"/>
      <c r="BQ297" s="14"/>
      <c r="BR297" s="14"/>
      <c r="BS297" s="14"/>
      <c r="BT297" s="14"/>
      <c r="BU297" s="14"/>
      <c r="BV297" s="14"/>
      <c r="BW297" s="14"/>
      <c r="BX297" s="14"/>
      <c r="BY297" s="14"/>
      <c r="BZ297" s="14"/>
      <c r="CA297" s="14"/>
      <c r="CB297" s="14"/>
      <c r="CC297" s="14"/>
      <c r="CD297" s="14"/>
      <c r="CE297" s="14"/>
      <c r="CF297" s="14"/>
      <c r="CG297" s="14"/>
      <c r="CH297" s="14"/>
      <c r="CI297" s="14"/>
      <c r="CJ297" s="14"/>
      <c r="CK297" s="14"/>
      <c r="CL297" s="14"/>
      <c r="CM297" s="14"/>
      <c r="CN297" s="14"/>
      <c r="CO297" s="14"/>
      <c r="CP297" s="14"/>
      <c r="CQ297" s="14"/>
      <c r="CR297" s="14"/>
      <c r="CS297" s="14"/>
      <c r="CT297" s="14"/>
      <c r="CU297" s="14"/>
      <c r="CV297" s="14"/>
      <c r="CW297" s="14"/>
      <c r="CX297" s="14"/>
      <c r="CY297" s="14"/>
      <c r="CZ297" s="14"/>
      <c r="DA297" s="14"/>
      <c r="DB297" s="14"/>
      <c r="DC297" s="14"/>
      <c r="DD297" s="14"/>
      <c r="DE297" s="14"/>
      <c r="DF297" s="14"/>
      <c r="DG297" s="14"/>
      <c r="DH297" s="14"/>
      <c r="DI297" s="14"/>
      <c r="DJ297" s="14"/>
      <c r="DK297" s="14"/>
      <c r="DL297" s="14"/>
      <c r="DM297" s="14"/>
      <c r="DN297" s="14"/>
      <c r="DO297" s="14"/>
      <c r="DP297" s="14"/>
      <c r="DQ297" s="14"/>
      <c r="DR297" s="14"/>
      <c r="DS297" s="14"/>
      <c r="DT297" s="14"/>
      <c r="DU297" s="14"/>
      <c r="DV297" s="14"/>
      <c r="DW297" s="14"/>
      <c r="DX297" s="14"/>
      <c r="DY297" s="14"/>
      <c r="DZ297" s="14"/>
      <c r="EA297" s="14"/>
      <c r="EB297" s="14"/>
      <c r="EC297" s="14"/>
      <c r="ED297" s="14"/>
      <c r="EE297" s="14"/>
      <c r="EF297" s="14"/>
      <c r="EG297" s="14"/>
      <c r="EH297" s="14"/>
      <c r="EI297" s="14"/>
      <c r="EJ297" s="14"/>
      <c r="EK297" s="14"/>
      <c r="EL297" s="14"/>
      <c r="EM297" s="14"/>
      <c r="EN297" s="14"/>
      <c r="EO297" s="14"/>
      <c r="EP297" s="14"/>
      <c r="EQ297" s="14"/>
      <c r="ER297" s="14"/>
      <c r="ES297" s="14"/>
      <c r="ET297" s="14"/>
      <c r="EU297" s="14"/>
      <c r="EV297" s="14"/>
      <c r="EW297" s="14"/>
      <c r="EX297" s="14"/>
      <c r="EY297" s="14"/>
      <c r="EZ297" s="14"/>
      <c r="FA297" s="14"/>
      <c r="FB297" s="14"/>
      <c r="FC297" s="14"/>
      <c r="FD297" s="14"/>
      <c r="FE297" s="14"/>
      <c r="FF297" s="14"/>
      <c r="FG297" s="14"/>
      <c r="FH297" s="14"/>
      <c r="FI297" s="14"/>
      <c r="FJ297" s="14"/>
      <c r="FK297" s="14"/>
      <c r="FL297" s="14"/>
      <c r="FM297" s="14"/>
      <c r="FN297" s="14"/>
      <c r="FO297" s="14"/>
      <c r="FP297" s="14"/>
      <c r="FQ297" s="14"/>
      <c r="FR297" s="14"/>
      <c r="FS297" s="14"/>
      <c r="FT297" s="14"/>
      <c r="FU297" s="14"/>
      <c r="FV297" s="14"/>
      <c r="FW297" s="14"/>
      <c r="FX297" s="14"/>
      <c r="FY297" s="14"/>
      <c r="FZ297" s="14"/>
      <c r="GA297" s="14"/>
      <c r="GB297" s="14"/>
      <c r="GC297" s="14"/>
      <c r="GD297" s="14"/>
      <c r="GE297" s="14"/>
      <c r="GF297" s="14"/>
      <c r="GG297" s="14"/>
      <c r="GH297" s="14"/>
      <c r="GI297" s="14"/>
      <c r="GJ297" s="14"/>
      <c r="GK297" s="14"/>
      <c r="GL297" s="14"/>
      <c r="GM297" s="14"/>
      <c r="GN297" s="14"/>
      <c r="GO297" s="14"/>
      <c r="GP297" s="14"/>
      <c r="GQ297" s="14"/>
      <c r="GR297" s="14"/>
      <c r="GS297" s="14"/>
      <c r="GT297" s="14"/>
      <c r="GU297" s="14"/>
      <c r="GV297" s="14"/>
      <c r="GW297" s="14"/>
      <c r="GX297" s="14"/>
      <c r="GY297" s="14"/>
      <c r="GZ297" s="14"/>
      <c r="HA297" s="14"/>
      <c r="HB297" s="14"/>
      <c r="HC297" s="14"/>
      <c r="HD297" s="14"/>
      <c r="HE297" s="14"/>
      <c r="HF297" s="14"/>
      <c r="HG297" s="14"/>
      <c r="HH297" s="14"/>
      <c r="HI297" s="14"/>
      <c r="HJ297" s="14"/>
      <c r="HK297" s="14"/>
      <c r="HL297" s="14"/>
      <c r="HM297" s="14"/>
      <c r="HN297" s="14"/>
      <c r="HO297" s="14"/>
      <c r="HP297" s="14"/>
      <c r="HQ297" s="14"/>
      <c r="HR297" s="14"/>
      <c r="HS297" s="14"/>
      <c r="HT297" s="14"/>
    </row>
    <row r="298" spans="1:228" ht="15" customHeight="1" x14ac:dyDescent="0.2">
      <c r="A298" s="3"/>
      <c r="B298" s="1906"/>
      <c r="C298" s="1906"/>
      <c r="D298" s="1906"/>
      <c r="E298" s="454"/>
      <c r="F298" s="1887" t="str">
        <f>IF(OR(Z296=1,Z296=7,S293=1),"","Extensor digitorum brevis")</f>
        <v/>
      </c>
      <c r="G298" s="1887"/>
      <c r="H298" s="1887"/>
      <c r="I298" s="1887"/>
      <c r="J298" s="1887"/>
      <c r="K298" s="1887"/>
      <c r="L298" s="1887"/>
      <c r="M298" s="88">
        <f t="shared" si="18"/>
        <v>0</v>
      </c>
      <c r="N298" s="254"/>
      <c r="O298" s="254"/>
      <c r="P298" s="363" t="str">
        <f t="shared" si="19"/>
        <v/>
      </c>
      <c r="R298" s="745" t="b">
        <v>0</v>
      </c>
      <c r="S298" s="736">
        <f t="shared" si="20"/>
        <v>0</v>
      </c>
      <c r="T298" s="747">
        <f t="shared" si="21"/>
        <v>0</v>
      </c>
      <c r="U298" s="747">
        <f t="shared" si="22"/>
        <v>0</v>
      </c>
      <c r="V298" s="747">
        <f t="shared" si="23"/>
        <v>0</v>
      </c>
      <c r="W298" s="747">
        <f t="shared" si="24"/>
        <v>0</v>
      </c>
      <c r="X298" s="747">
        <f t="shared" si="25"/>
        <v>0</v>
      </c>
      <c r="Y298" s="74"/>
      <c r="Z298" s="74"/>
      <c r="AA298" s="74"/>
      <c r="AB298" s="74"/>
      <c r="AC298" s="74"/>
      <c r="AD298" s="74"/>
      <c r="AE298" s="74"/>
      <c r="AF298" s="74"/>
      <c r="AG298" s="74"/>
      <c r="AH298" s="74"/>
      <c r="AI298" s="74"/>
      <c r="AJ298" s="74"/>
      <c r="AK298" s="74"/>
      <c r="AL298" s="74"/>
      <c r="AM298" s="74"/>
      <c r="AN298" s="74"/>
      <c r="AO298" s="74"/>
      <c r="AP298" s="74"/>
      <c r="AQ298" s="74"/>
      <c r="AR298" s="74"/>
      <c r="AS298" s="74"/>
      <c r="AT298" s="74"/>
      <c r="AU298" s="74"/>
      <c r="AV298" s="74"/>
      <c r="AW298" s="74"/>
      <c r="AX298" s="74"/>
      <c r="AY298" s="74"/>
      <c r="AZ298" s="74"/>
      <c r="BA298" s="74"/>
      <c r="BB298" s="74"/>
      <c r="BC298" s="74"/>
      <c r="BD298" s="74"/>
      <c r="BE298" s="74"/>
      <c r="BF298" s="18"/>
      <c r="BG298" s="18"/>
      <c r="BH298" s="18"/>
      <c r="BI298" s="18"/>
      <c r="BJ298" s="18"/>
      <c r="BK298" s="18"/>
      <c r="BL298" s="18"/>
      <c r="BM298" s="18"/>
      <c r="BN298" s="18"/>
      <c r="BO298" s="18"/>
      <c r="BP298" s="18"/>
      <c r="BQ298" s="14"/>
      <c r="BR298" s="14"/>
      <c r="BS298" s="14"/>
      <c r="BT298" s="14"/>
      <c r="BU298" s="14"/>
      <c r="BV298" s="14"/>
      <c r="BW298" s="14"/>
      <c r="BX298" s="14"/>
      <c r="BY298" s="14"/>
      <c r="BZ298" s="14"/>
      <c r="CA298" s="14"/>
      <c r="CB298" s="14"/>
      <c r="CC298" s="14"/>
      <c r="CD298" s="14"/>
      <c r="CE298" s="14"/>
      <c r="CF298" s="14"/>
      <c r="CG298" s="14"/>
      <c r="CH298" s="14"/>
      <c r="CI298" s="14"/>
      <c r="CJ298" s="14"/>
      <c r="CK298" s="14"/>
      <c r="CL298" s="14"/>
      <c r="CM298" s="14"/>
      <c r="CN298" s="14"/>
      <c r="CO298" s="14"/>
      <c r="CP298" s="14"/>
      <c r="CQ298" s="14"/>
      <c r="CR298" s="14"/>
      <c r="CS298" s="14"/>
      <c r="CT298" s="14"/>
      <c r="CU298" s="14"/>
      <c r="CV298" s="14"/>
      <c r="CW298" s="14"/>
      <c r="CX298" s="14"/>
      <c r="CY298" s="14"/>
      <c r="CZ298" s="14"/>
      <c r="DA298" s="14"/>
      <c r="DB298" s="14"/>
      <c r="DC298" s="14"/>
      <c r="DD298" s="14"/>
      <c r="DE298" s="14"/>
      <c r="DF298" s="14"/>
      <c r="DG298" s="14"/>
      <c r="DH298" s="14"/>
      <c r="DI298" s="14"/>
      <c r="DJ298" s="14"/>
      <c r="DK298" s="14"/>
      <c r="DL298" s="14"/>
      <c r="DM298" s="14"/>
      <c r="DN298" s="14"/>
      <c r="DO298" s="14"/>
      <c r="DP298" s="14"/>
      <c r="DQ298" s="14"/>
      <c r="DR298" s="14"/>
      <c r="DS298" s="14"/>
      <c r="DT298" s="14"/>
      <c r="DU298" s="14"/>
      <c r="DV298" s="14"/>
      <c r="DW298" s="14"/>
      <c r="DX298" s="14"/>
      <c r="DY298" s="14"/>
      <c r="DZ298" s="14"/>
      <c r="EA298" s="14"/>
      <c r="EB298" s="14"/>
      <c r="EC298" s="14"/>
      <c r="ED298" s="14"/>
      <c r="EE298" s="14"/>
      <c r="EF298" s="14"/>
      <c r="EG298" s="14"/>
      <c r="EH298" s="14"/>
      <c r="EI298" s="14"/>
      <c r="EJ298" s="14"/>
      <c r="EK298" s="14"/>
      <c r="EL298" s="14"/>
      <c r="EM298" s="14"/>
      <c r="EN298" s="14"/>
      <c r="EO298" s="14"/>
      <c r="EP298" s="14"/>
      <c r="EQ298" s="14"/>
      <c r="ER298" s="14"/>
      <c r="ES298" s="14"/>
      <c r="ET298" s="14"/>
      <c r="EU298" s="14"/>
      <c r="EV298" s="14"/>
      <c r="EW298" s="14"/>
      <c r="EX298" s="14"/>
      <c r="EY298" s="14"/>
      <c r="EZ298" s="14"/>
      <c r="FA298" s="14"/>
      <c r="FB298" s="14"/>
      <c r="FC298" s="14"/>
      <c r="FD298" s="14"/>
      <c r="FE298" s="14"/>
      <c r="FF298" s="14"/>
      <c r="FG298" s="14"/>
      <c r="FH298" s="14"/>
      <c r="FI298" s="14"/>
      <c r="FJ298" s="14"/>
      <c r="FK298" s="14"/>
      <c r="FL298" s="14"/>
      <c r="FM298" s="14"/>
      <c r="FN298" s="14"/>
      <c r="FO298" s="14"/>
      <c r="FP298" s="14"/>
      <c r="FQ298" s="14"/>
      <c r="FR298" s="14"/>
      <c r="FS298" s="14"/>
      <c r="FT298" s="14"/>
      <c r="FU298" s="14"/>
      <c r="FV298" s="14"/>
      <c r="FW298" s="14"/>
      <c r="FX298" s="14"/>
      <c r="FY298" s="14"/>
      <c r="FZ298" s="14"/>
      <c r="GA298" s="14"/>
      <c r="GB298" s="14"/>
      <c r="GC298" s="14"/>
      <c r="GD298" s="14"/>
      <c r="GE298" s="14"/>
      <c r="GF298" s="14"/>
      <c r="GG298" s="14"/>
      <c r="GH298" s="14"/>
      <c r="GI298" s="14"/>
      <c r="GJ298" s="14"/>
      <c r="GK298" s="14"/>
      <c r="GL298" s="14"/>
      <c r="GM298" s="14"/>
      <c r="GN298" s="14"/>
      <c r="GO298" s="14"/>
      <c r="GP298" s="14"/>
      <c r="GQ298" s="14"/>
      <c r="GR298" s="14"/>
      <c r="GS298" s="14"/>
      <c r="GT298" s="14"/>
      <c r="GU298" s="14"/>
      <c r="GV298" s="14"/>
      <c r="GW298" s="14"/>
      <c r="GX298" s="14"/>
      <c r="GY298" s="14"/>
      <c r="GZ298" s="14"/>
      <c r="HA298" s="14"/>
      <c r="HB298" s="14"/>
      <c r="HC298" s="14"/>
      <c r="HD298" s="14"/>
      <c r="HE298" s="14"/>
      <c r="HF298" s="14"/>
      <c r="HG298" s="14"/>
      <c r="HH298" s="14"/>
      <c r="HI298" s="14"/>
      <c r="HJ298" s="14"/>
      <c r="HK298" s="14"/>
      <c r="HL298" s="14"/>
      <c r="HM298" s="14"/>
      <c r="HN298" s="14"/>
      <c r="HO298" s="14"/>
      <c r="HP298" s="14"/>
      <c r="HQ298" s="14"/>
      <c r="HR298" s="14"/>
      <c r="HS298" s="14"/>
      <c r="HT298" s="14"/>
    </row>
    <row r="299" spans="1:228" ht="15" customHeight="1" x14ac:dyDescent="0.2">
      <c r="A299" s="3"/>
      <c r="B299" s="1906"/>
      <c r="C299" s="1906"/>
      <c r="D299" s="1906"/>
      <c r="E299" s="479"/>
      <c r="F299" s="1568" t="str">
        <f>IF(OR(Z296=1,Z296=2,Z296=3,Z296=5,Z296=7),"",IF(OR(Z296=4,Z296=6),"Total for peroneal except superficial; FOOT impairment:",""))</f>
        <v/>
      </c>
      <c r="G299" s="1568"/>
      <c r="H299" s="1568"/>
      <c r="I299" s="1568"/>
      <c r="J299" s="1568"/>
      <c r="K299" s="1568"/>
      <c r="L299" s="1568"/>
      <c r="M299" s="1568"/>
      <c r="N299" s="1568"/>
      <c r="O299" s="1568"/>
      <c r="P299" s="240" t="str">
        <f>IF(F299="","",IF(AND(P293="",P294="",P295="",P296="",P297="",P298=""),0,IF(Z296&lt;&gt;2,AVERAGE(P293:P298),"")))</f>
        <v/>
      </c>
      <c r="R299" s="157"/>
      <c r="S299" s="116"/>
      <c r="T299" s="111"/>
      <c r="U299" s="111"/>
      <c r="V299" s="114"/>
      <c r="W299" s="111"/>
      <c r="X299" s="111"/>
      <c r="Y299" s="74"/>
      <c r="Z299" s="74"/>
      <c r="AA299" s="74"/>
      <c r="AB299" s="74"/>
      <c r="AC299" s="74"/>
      <c r="AD299" s="74"/>
      <c r="AE299" s="74"/>
      <c r="AF299" s="74"/>
      <c r="AG299" s="74"/>
      <c r="AH299" s="74"/>
      <c r="AI299" s="74"/>
      <c r="AJ299" s="74"/>
      <c r="AK299" s="74"/>
      <c r="AL299" s="74"/>
      <c r="AM299" s="74"/>
      <c r="AN299" s="74"/>
      <c r="AO299" s="74"/>
      <c r="AP299" s="74"/>
      <c r="AQ299" s="74"/>
      <c r="AR299" s="74"/>
      <c r="AS299" s="74"/>
      <c r="AT299" s="74"/>
      <c r="AU299" s="74"/>
      <c r="AV299" s="74"/>
      <c r="AW299" s="74"/>
      <c r="AX299" s="74"/>
      <c r="AY299" s="74"/>
      <c r="AZ299" s="74"/>
      <c r="BA299" s="74"/>
      <c r="BB299" s="74"/>
      <c r="BC299" s="74"/>
      <c r="BD299" s="74"/>
      <c r="BE299" s="74"/>
      <c r="BF299" s="18"/>
      <c r="BG299" s="18"/>
      <c r="BH299" s="18"/>
      <c r="BI299" s="18"/>
      <c r="BJ299" s="18"/>
      <c r="BK299" s="18"/>
      <c r="BL299" s="18"/>
      <c r="BM299" s="18"/>
      <c r="BN299" s="18"/>
      <c r="BO299" s="18"/>
      <c r="BP299" s="18"/>
      <c r="BQ299" s="14"/>
      <c r="BR299" s="14"/>
      <c r="BS299" s="14"/>
      <c r="BT299" s="14"/>
      <c r="BU299" s="14"/>
      <c r="BV299" s="14"/>
      <c r="BW299" s="14"/>
      <c r="BX299" s="14"/>
      <c r="BY299" s="14"/>
      <c r="BZ299" s="14"/>
      <c r="CA299" s="14"/>
      <c r="CB299" s="14"/>
      <c r="CC299" s="14"/>
      <c r="CD299" s="14"/>
      <c r="CE299" s="14"/>
      <c r="CF299" s="14"/>
      <c r="CG299" s="14"/>
      <c r="CH299" s="14"/>
      <c r="CI299" s="14"/>
      <c r="CJ299" s="14"/>
      <c r="CK299" s="14"/>
      <c r="CL299" s="14"/>
      <c r="CM299" s="14"/>
      <c r="CN299" s="14"/>
      <c r="CO299" s="14"/>
      <c r="CP299" s="14"/>
      <c r="CQ299" s="14"/>
      <c r="CR299" s="14"/>
      <c r="CS299" s="14"/>
      <c r="CT299" s="14"/>
      <c r="CU299" s="14"/>
      <c r="CV299" s="14"/>
      <c r="CW299" s="14"/>
      <c r="CX299" s="14"/>
      <c r="CY299" s="14"/>
      <c r="CZ299" s="14"/>
      <c r="DA299" s="14"/>
      <c r="DB299" s="14"/>
      <c r="DC299" s="14"/>
      <c r="DD299" s="14"/>
      <c r="DE299" s="14"/>
      <c r="DF299" s="14"/>
      <c r="DG299" s="14"/>
      <c r="DH299" s="14"/>
      <c r="DI299" s="14"/>
      <c r="DJ299" s="14"/>
      <c r="DK299" s="14"/>
      <c r="DL299" s="14"/>
      <c r="DM299" s="14"/>
      <c r="DN299" s="14"/>
      <c r="DO299" s="14"/>
      <c r="DP299" s="14"/>
      <c r="DQ299" s="14"/>
      <c r="DR299" s="14"/>
      <c r="DS299" s="14"/>
      <c r="DT299" s="14"/>
      <c r="DU299" s="14"/>
      <c r="DV299" s="14"/>
      <c r="DW299" s="14"/>
      <c r="DX299" s="14"/>
      <c r="DY299" s="14"/>
      <c r="DZ299" s="14"/>
      <c r="EA299" s="14"/>
      <c r="EB299" s="14"/>
      <c r="EC299" s="14"/>
      <c r="ED299" s="14"/>
      <c r="EE299" s="14"/>
      <c r="EF299" s="14"/>
      <c r="EG299" s="14"/>
      <c r="EH299" s="14"/>
      <c r="EI299" s="14"/>
      <c r="EJ299" s="14"/>
      <c r="EK299" s="14"/>
      <c r="EL299" s="14"/>
      <c r="EM299" s="14"/>
      <c r="EN299" s="14"/>
      <c r="EO299" s="14"/>
      <c r="EP299" s="14"/>
      <c r="EQ299" s="14"/>
      <c r="ER299" s="14"/>
      <c r="ES299" s="14"/>
      <c r="ET299" s="14"/>
      <c r="EU299" s="14"/>
      <c r="EV299" s="14"/>
      <c r="EW299" s="14"/>
      <c r="EX299" s="14"/>
      <c r="EY299" s="14"/>
      <c r="EZ299" s="14"/>
      <c r="FA299" s="14"/>
      <c r="FB299" s="14"/>
      <c r="FC299" s="14"/>
      <c r="FD299" s="14"/>
      <c r="FE299" s="14"/>
      <c r="FF299" s="14"/>
      <c r="FG299" s="14"/>
      <c r="FH299" s="14"/>
      <c r="FI299" s="14"/>
      <c r="FJ299" s="14"/>
      <c r="FK299" s="14"/>
      <c r="FL299" s="14"/>
      <c r="FM299" s="14"/>
      <c r="FN299" s="14"/>
      <c r="FO299" s="14"/>
      <c r="FP299" s="14"/>
      <c r="FQ299" s="14"/>
      <c r="FR299" s="14"/>
      <c r="FS299" s="14"/>
      <c r="FT299" s="14"/>
      <c r="FU299" s="14"/>
      <c r="FV299" s="14"/>
      <c r="FW299" s="14"/>
      <c r="FX299" s="14"/>
      <c r="FY299" s="14"/>
      <c r="FZ299" s="14"/>
      <c r="GA299" s="14"/>
      <c r="GB299" s="14"/>
      <c r="GC299" s="14"/>
      <c r="GD299" s="14"/>
      <c r="GE299" s="14"/>
      <c r="GF299" s="14"/>
      <c r="GG299" s="14"/>
      <c r="GH299" s="14"/>
      <c r="GI299" s="14"/>
      <c r="GJ299" s="14"/>
      <c r="GK299" s="14"/>
      <c r="GL299" s="14"/>
      <c r="GM299" s="14"/>
      <c r="GN299" s="14"/>
      <c r="GO299" s="14"/>
      <c r="GP299" s="14"/>
      <c r="GQ299" s="14"/>
      <c r="GR299" s="14"/>
      <c r="GS299" s="14"/>
      <c r="GT299" s="14"/>
      <c r="GU299" s="14"/>
      <c r="GV299" s="14"/>
      <c r="GW299" s="14"/>
      <c r="GX299" s="14"/>
      <c r="GY299" s="14"/>
      <c r="GZ299" s="14"/>
      <c r="HA299" s="14"/>
      <c r="HB299" s="14"/>
      <c r="HC299" s="14"/>
      <c r="HD299" s="14"/>
      <c r="HE299" s="14"/>
      <c r="HF299" s="14"/>
      <c r="HG299" s="14"/>
      <c r="HH299" s="14"/>
      <c r="HI299" s="14"/>
      <c r="HJ299" s="14"/>
      <c r="HK299" s="14"/>
      <c r="HL299" s="14"/>
      <c r="HM299" s="14"/>
      <c r="HN299" s="14"/>
      <c r="HO299" s="14"/>
      <c r="HP299" s="14"/>
      <c r="HQ299" s="14"/>
      <c r="HR299" s="14"/>
      <c r="HS299" s="14"/>
      <c r="HT299" s="14"/>
    </row>
    <row r="300" spans="1:228" ht="25.5" customHeight="1" x14ac:dyDescent="0.2">
      <c r="A300" s="3"/>
      <c r="B300" s="1906"/>
      <c r="C300" s="1906"/>
      <c r="D300" s="1906"/>
      <c r="E300" s="454"/>
      <c r="F300" s="1379" t="str">
        <f>IF(OR(Z296=1,Z296=2,Z296=3,Z296=5),"","Superficial peroneal
overall loss; no averaging")</f>
        <v/>
      </c>
      <c r="G300" s="1379"/>
      <c r="H300" s="1379"/>
      <c r="I300" s="1379"/>
      <c r="J300" s="1379"/>
      <c r="K300" s="1379"/>
      <c r="L300" s="1379"/>
      <c r="M300" s="88">
        <f>IF(OR(F300="",S300=0),0,IF(Z296=2,0.39,0.11))</f>
        <v>0</v>
      </c>
      <c r="N300" s="254"/>
      <c r="O300" s="254"/>
      <c r="P300" s="355" t="str">
        <f>IF(X300=0,"",X300)</f>
        <v/>
      </c>
      <c r="R300" s="745" t="b">
        <v>0</v>
      </c>
      <c r="S300" s="736">
        <f>IF(R300=TRUE,1,0)</f>
        <v>0</v>
      </c>
      <c r="T300" s="747">
        <f>SUMIF($T$278:$AH$278,N300,$T$279:$AH$279)</f>
        <v>0</v>
      </c>
      <c r="U300" s="747">
        <f>SUMIF($S$278:$AH$278,O300,$S$279:$AH$279)</f>
        <v>0</v>
      </c>
      <c r="V300" s="747">
        <f>M300*T300</f>
        <v>0</v>
      </c>
      <c r="W300" s="747">
        <f>M300*U300</f>
        <v>0</v>
      </c>
      <c r="X300" s="747">
        <f>(IF(V300-W300&lt;=0,0,V300-W300))</f>
        <v>0</v>
      </c>
      <c r="Y300" s="74"/>
      <c r="Z300" s="74"/>
      <c r="AA300" s="74"/>
      <c r="AB300" s="74"/>
      <c r="AC300" s="74"/>
      <c r="AD300" s="74"/>
      <c r="AE300" s="74"/>
      <c r="AF300" s="74"/>
      <c r="AG300" s="74"/>
      <c r="AH300" s="74"/>
      <c r="AI300" s="74"/>
      <c r="AJ300" s="74"/>
      <c r="AK300" s="74"/>
      <c r="AL300" s="74"/>
      <c r="AM300" s="74"/>
      <c r="AN300" s="74"/>
      <c r="AO300" s="74"/>
      <c r="AP300" s="74"/>
      <c r="AQ300" s="74"/>
      <c r="AR300" s="74"/>
      <c r="AS300" s="74"/>
      <c r="AT300" s="74"/>
      <c r="AU300" s="74"/>
      <c r="AV300" s="74"/>
      <c r="AW300" s="74"/>
      <c r="AX300" s="74"/>
      <c r="AY300" s="74"/>
      <c r="AZ300" s="74"/>
      <c r="BA300" s="74"/>
      <c r="BB300" s="74"/>
      <c r="BC300" s="74"/>
      <c r="BD300" s="74"/>
      <c r="BE300" s="74"/>
      <c r="BF300" s="18"/>
      <c r="BG300" s="18"/>
      <c r="BH300" s="18"/>
      <c r="BI300" s="18"/>
      <c r="BJ300" s="18"/>
      <c r="BK300" s="18"/>
      <c r="BL300" s="18"/>
      <c r="BM300" s="18"/>
      <c r="BN300" s="18"/>
      <c r="BO300" s="18"/>
      <c r="BP300" s="18"/>
      <c r="BQ300" s="14"/>
      <c r="BR300" s="14"/>
      <c r="BS300" s="14"/>
      <c r="BT300" s="14"/>
      <c r="BU300" s="14"/>
      <c r="BV300" s="14"/>
      <c r="BW300" s="14"/>
      <c r="BX300" s="14"/>
      <c r="BY300" s="14"/>
      <c r="BZ300" s="14"/>
      <c r="CA300" s="14"/>
      <c r="CB300" s="14"/>
      <c r="CC300" s="14"/>
      <c r="CD300" s="14"/>
      <c r="CE300" s="14"/>
      <c r="CF300" s="14"/>
      <c r="CG300" s="14"/>
      <c r="CH300" s="14"/>
      <c r="CI300" s="14"/>
      <c r="CJ300" s="14"/>
      <c r="CK300" s="14"/>
      <c r="CL300" s="14"/>
      <c r="CM300" s="14"/>
      <c r="CN300" s="14"/>
      <c r="CO300" s="14"/>
      <c r="CP300" s="14"/>
      <c r="CQ300" s="14"/>
      <c r="CR300" s="14"/>
      <c r="CS300" s="14"/>
      <c r="CT300" s="14"/>
      <c r="CU300" s="14"/>
      <c r="CV300" s="14"/>
      <c r="CW300" s="14"/>
      <c r="CX300" s="14"/>
      <c r="CY300" s="14"/>
      <c r="CZ300" s="14"/>
      <c r="DA300" s="14"/>
      <c r="DB300" s="14"/>
      <c r="DC300" s="14"/>
      <c r="DD300" s="14"/>
      <c r="DE300" s="14"/>
      <c r="DF300" s="14"/>
      <c r="DG300" s="14"/>
      <c r="DH300" s="14"/>
      <c r="DI300" s="14"/>
      <c r="DJ300" s="14"/>
      <c r="DK300" s="14"/>
      <c r="DL300" s="14"/>
      <c r="DM300" s="14"/>
      <c r="DN300" s="14"/>
      <c r="DO300" s="14"/>
      <c r="DP300" s="14"/>
      <c r="DQ300" s="14"/>
      <c r="DR300" s="14"/>
      <c r="DS300" s="14"/>
      <c r="DT300" s="14"/>
      <c r="DU300" s="14"/>
      <c r="DV300" s="14"/>
      <c r="DW300" s="14"/>
      <c r="DX300" s="14"/>
      <c r="DY300" s="14"/>
      <c r="DZ300" s="14"/>
      <c r="EA300" s="14"/>
      <c r="EB300" s="14"/>
      <c r="EC300" s="14"/>
      <c r="ED300" s="14"/>
      <c r="EE300" s="14"/>
      <c r="EF300" s="14"/>
      <c r="EG300" s="14"/>
      <c r="EH300" s="14"/>
      <c r="EI300" s="14"/>
      <c r="EJ300" s="14"/>
      <c r="EK300" s="14"/>
      <c r="EL300" s="14"/>
      <c r="EM300" s="14"/>
      <c r="EN300" s="14"/>
      <c r="EO300" s="14"/>
      <c r="EP300" s="14"/>
      <c r="EQ300" s="14"/>
      <c r="ER300" s="14"/>
      <c r="ES300" s="14"/>
      <c r="ET300" s="14"/>
      <c r="EU300" s="14"/>
      <c r="EV300" s="14"/>
      <c r="EW300" s="14"/>
      <c r="EX300" s="14"/>
      <c r="EY300" s="14"/>
      <c r="EZ300" s="14"/>
      <c r="FA300" s="14"/>
      <c r="FB300" s="14"/>
      <c r="FC300" s="14"/>
      <c r="FD300" s="14"/>
      <c r="FE300" s="14"/>
      <c r="FF300" s="14"/>
      <c r="FG300" s="14"/>
      <c r="FH300" s="14"/>
      <c r="FI300" s="14"/>
      <c r="FJ300" s="14"/>
      <c r="FK300" s="14"/>
      <c r="FL300" s="14"/>
      <c r="FM300" s="14"/>
      <c r="FN300" s="14"/>
      <c r="FO300" s="14"/>
      <c r="FP300" s="14"/>
      <c r="FQ300" s="14"/>
      <c r="FR300" s="14"/>
      <c r="FS300" s="14"/>
      <c r="FT300" s="14"/>
      <c r="FU300" s="14"/>
      <c r="FV300" s="14"/>
      <c r="FW300" s="14"/>
      <c r="FX300" s="14"/>
      <c r="FY300" s="14"/>
      <c r="FZ300" s="14"/>
      <c r="GA300" s="14"/>
      <c r="GB300" s="14"/>
      <c r="GC300" s="14"/>
      <c r="GD300" s="14"/>
      <c r="GE300" s="14"/>
      <c r="GF300" s="14"/>
      <c r="GG300" s="14"/>
      <c r="GH300" s="14"/>
      <c r="GI300" s="14"/>
      <c r="GJ300" s="14"/>
      <c r="GK300" s="14"/>
      <c r="GL300" s="14"/>
      <c r="GM300" s="14"/>
      <c r="GN300" s="14"/>
      <c r="GO300" s="14"/>
      <c r="GP300" s="14"/>
      <c r="GQ300" s="14"/>
      <c r="GR300" s="14"/>
      <c r="GS300" s="14"/>
      <c r="GT300" s="14"/>
      <c r="GU300" s="14"/>
      <c r="GV300" s="14"/>
      <c r="GW300" s="14"/>
      <c r="GX300" s="14"/>
      <c r="GY300" s="14"/>
      <c r="GZ300" s="14"/>
      <c r="HA300" s="14"/>
      <c r="HB300" s="14"/>
      <c r="HC300" s="14"/>
      <c r="HD300" s="14"/>
      <c r="HE300" s="14"/>
      <c r="HF300" s="14"/>
      <c r="HG300" s="14"/>
      <c r="HH300" s="14"/>
      <c r="HI300" s="14"/>
      <c r="HJ300" s="14"/>
      <c r="HK300" s="14"/>
      <c r="HL300" s="14"/>
      <c r="HM300" s="14"/>
      <c r="HN300" s="14"/>
      <c r="HO300" s="14"/>
      <c r="HP300" s="14"/>
      <c r="HQ300" s="14"/>
      <c r="HR300" s="14"/>
      <c r="HS300" s="14"/>
      <c r="HT300" s="14"/>
    </row>
    <row r="301" spans="1:228" ht="15" customHeight="1" x14ac:dyDescent="0.2">
      <c r="A301" s="3"/>
      <c r="B301" s="1906"/>
      <c r="C301" s="1906"/>
      <c r="D301" s="1906"/>
      <c r="E301" s="454"/>
      <c r="F301" s="1410" t="str">
        <f>IF(AND(Z296=2,S293=1),"",IF(S300=1,"",IF(OR(Z296=2,Z296=4,Z296=6,Z296=7),"Peroneus longus","")))</f>
        <v/>
      </c>
      <c r="G301" s="1410"/>
      <c r="H301" s="1410"/>
      <c r="I301" s="1410"/>
      <c r="J301" s="1410"/>
      <c r="K301" s="1410"/>
      <c r="L301" s="1410"/>
      <c r="M301" s="88">
        <f>IF(OR(F301="",S301=0),0,IF(Z296=2,0.39,0.11))</f>
        <v>0</v>
      </c>
      <c r="N301" s="254"/>
      <c r="O301" s="254"/>
      <c r="P301" s="355" t="str">
        <f>IF(X301=0,"",X301)</f>
        <v/>
      </c>
      <c r="R301" s="745" t="b">
        <v>0</v>
      </c>
      <c r="S301" s="736">
        <f>IF(R301=TRUE,1,0)</f>
        <v>0</v>
      </c>
      <c r="T301" s="747">
        <f>SUMIF($T$278:$AH$278,N301,$T$279:$AH$279)</f>
        <v>0</v>
      </c>
      <c r="U301" s="747">
        <f>SUMIF($S$278:$AH$278,O301,$S$279:$AH$279)</f>
        <v>0</v>
      </c>
      <c r="V301" s="747">
        <f>M301*T301</f>
        <v>0</v>
      </c>
      <c r="W301" s="747">
        <f>M301*U301</f>
        <v>0</v>
      </c>
      <c r="X301" s="747">
        <f>(IF(V301-W301&lt;=0,0,V301-W301))</f>
        <v>0</v>
      </c>
      <c r="Y301" s="19"/>
      <c r="Z301" s="19"/>
      <c r="AA301" s="19"/>
      <c r="AB301" s="19"/>
      <c r="AC301" s="19"/>
      <c r="AD301" s="19"/>
      <c r="AE301" s="19"/>
      <c r="AF301" s="19"/>
      <c r="AG301" s="19"/>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4"/>
      <c r="BR301" s="14"/>
      <c r="BS301" s="14"/>
      <c r="BT301" s="14"/>
      <c r="BU301" s="14"/>
      <c r="BV301" s="14"/>
      <c r="BW301" s="14"/>
      <c r="BX301" s="14"/>
      <c r="BY301" s="14"/>
      <c r="BZ301" s="14"/>
      <c r="CA301" s="14"/>
      <c r="CB301" s="14"/>
      <c r="CC301" s="14"/>
      <c r="CD301" s="14"/>
      <c r="CE301" s="14"/>
      <c r="CF301" s="14"/>
      <c r="CG301" s="14"/>
      <c r="CH301" s="14"/>
      <c r="CI301" s="14"/>
      <c r="CJ301" s="14"/>
      <c r="CK301" s="14"/>
      <c r="CL301" s="14"/>
      <c r="CM301" s="14"/>
      <c r="CN301" s="14"/>
      <c r="CO301" s="14"/>
      <c r="CP301" s="14"/>
      <c r="CQ301" s="14"/>
      <c r="CR301" s="14"/>
      <c r="CS301" s="14"/>
      <c r="CT301" s="14"/>
      <c r="CU301" s="14"/>
      <c r="CV301" s="14"/>
      <c r="CW301" s="14"/>
      <c r="CX301" s="14"/>
      <c r="CY301" s="14"/>
      <c r="CZ301" s="14"/>
      <c r="DA301" s="14"/>
      <c r="DB301" s="14"/>
      <c r="DC301" s="14"/>
      <c r="DD301" s="14"/>
      <c r="DE301" s="14"/>
      <c r="DF301" s="14"/>
      <c r="DG301" s="14"/>
      <c r="DH301" s="14"/>
      <c r="DI301" s="14"/>
      <c r="DJ301" s="14"/>
      <c r="DK301" s="14"/>
      <c r="DL301" s="14"/>
      <c r="DM301" s="14"/>
      <c r="DN301" s="14"/>
      <c r="DO301" s="14"/>
      <c r="DP301" s="14"/>
      <c r="DQ301" s="14"/>
      <c r="DR301" s="14"/>
      <c r="DS301" s="14"/>
      <c r="DT301" s="14"/>
      <c r="DU301" s="14"/>
      <c r="DV301" s="14"/>
      <c r="DW301" s="14"/>
      <c r="DX301" s="14"/>
      <c r="DY301" s="14"/>
      <c r="DZ301" s="14"/>
      <c r="EA301" s="14"/>
      <c r="EB301" s="14"/>
      <c r="EC301" s="14"/>
      <c r="ED301" s="14"/>
      <c r="EE301" s="14"/>
      <c r="EF301" s="14"/>
      <c r="EG301" s="14"/>
      <c r="EH301" s="14"/>
      <c r="EI301" s="14"/>
      <c r="EJ301" s="14"/>
      <c r="EK301" s="14"/>
      <c r="EL301" s="14"/>
      <c r="EM301" s="14"/>
      <c r="EN301" s="14"/>
      <c r="EO301" s="14"/>
      <c r="EP301" s="14"/>
      <c r="EQ301" s="14"/>
      <c r="ER301" s="14"/>
      <c r="ES301" s="14"/>
      <c r="ET301" s="14"/>
      <c r="EU301" s="14"/>
      <c r="EV301" s="14"/>
      <c r="EW301" s="14"/>
      <c r="EX301" s="14"/>
      <c r="EY301" s="14"/>
      <c r="EZ301" s="14"/>
      <c r="FA301" s="14"/>
      <c r="FB301" s="14"/>
      <c r="FC301" s="14"/>
      <c r="FD301" s="14"/>
      <c r="FE301" s="14"/>
      <c r="FF301" s="14"/>
      <c r="FG301" s="14"/>
      <c r="FH301" s="14"/>
      <c r="FI301" s="14"/>
      <c r="FJ301" s="14"/>
      <c r="FK301" s="14"/>
      <c r="FL301" s="14"/>
      <c r="FM301" s="14"/>
      <c r="FN301" s="14"/>
      <c r="FO301" s="14"/>
      <c r="FP301" s="14"/>
      <c r="FQ301" s="14"/>
      <c r="FR301" s="14"/>
      <c r="FS301" s="14"/>
      <c r="FT301" s="14"/>
      <c r="FU301" s="14"/>
      <c r="FV301" s="14"/>
      <c r="FW301" s="14"/>
      <c r="FX301" s="14"/>
      <c r="FY301" s="14"/>
      <c r="FZ301" s="14"/>
      <c r="GA301" s="14"/>
      <c r="GB301" s="14"/>
      <c r="GC301" s="14"/>
      <c r="GD301" s="14"/>
      <c r="GE301" s="14"/>
      <c r="GF301" s="14"/>
      <c r="GG301" s="14"/>
      <c r="GH301" s="14"/>
      <c r="GI301" s="14"/>
      <c r="GJ301" s="14"/>
      <c r="GK301" s="14"/>
      <c r="GL301" s="14"/>
      <c r="GM301" s="14"/>
      <c r="GN301" s="14"/>
      <c r="GO301" s="14"/>
      <c r="GP301" s="14"/>
      <c r="GQ301" s="14"/>
      <c r="GR301" s="14"/>
      <c r="GS301" s="14"/>
      <c r="GT301" s="14"/>
      <c r="GU301" s="14"/>
      <c r="GV301" s="14"/>
      <c r="GW301" s="14"/>
      <c r="GX301" s="14"/>
      <c r="GY301" s="14"/>
      <c r="GZ301" s="14"/>
      <c r="HA301" s="14"/>
      <c r="HB301" s="14"/>
      <c r="HC301" s="14"/>
      <c r="HD301" s="14"/>
      <c r="HE301" s="14"/>
      <c r="HF301" s="14"/>
      <c r="HG301" s="14"/>
      <c r="HH301" s="14"/>
      <c r="HI301" s="14"/>
      <c r="HJ301" s="14"/>
      <c r="HK301" s="14"/>
      <c r="HL301" s="14"/>
      <c r="HM301" s="14"/>
      <c r="HN301" s="14"/>
      <c r="HO301" s="14"/>
      <c r="HP301" s="14"/>
      <c r="HQ301" s="14"/>
      <c r="HR301" s="14"/>
      <c r="HS301" s="14"/>
      <c r="HT301" s="14"/>
    </row>
    <row r="302" spans="1:228" ht="15" customHeight="1" x14ac:dyDescent="0.2">
      <c r="A302" s="3"/>
      <c r="B302" s="1906"/>
      <c r="C302" s="1906"/>
      <c r="D302" s="1906"/>
      <c r="E302" s="454"/>
      <c r="F302" s="1887" t="str">
        <f>IF(AND(Z296=2,S293=1),"",IF(S300=1,"",IF(OR(Z296=2,Z296=4,Z296=6,Z296=7),"Peroneus brevis","")))</f>
        <v/>
      </c>
      <c r="G302" s="1887"/>
      <c r="H302" s="1887"/>
      <c r="I302" s="1887"/>
      <c r="J302" s="1887"/>
      <c r="K302" s="1887"/>
      <c r="L302" s="1887"/>
      <c r="M302" s="88">
        <f>IF(OR(F302="",S302=0),0,IF(Z296=2,0.39,0.11))</f>
        <v>0</v>
      </c>
      <c r="N302" s="254"/>
      <c r="O302" s="254"/>
      <c r="P302" s="355" t="str">
        <f>IF(X302=0,"",X302)</f>
        <v/>
      </c>
      <c r="R302" s="745" t="b">
        <v>0</v>
      </c>
      <c r="S302" s="736">
        <f>IF(R302=TRUE,1,0)</f>
        <v>0</v>
      </c>
      <c r="T302" s="747">
        <f>SUMIF($T$278:$AH$278,N302,$T$279:$AH$279)</f>
        <v>0</v>
      </c>
      <c r="U302" s="747">
        <f>SUMIF($S$278:$AH$278,O302,$S$279:$AH$279)</f>
        <v>0</v>
      </c>
      <c r="V302" s="747">
        <f>M302*T302</f>
        <v>0</v>
      </c>
      <c r="W302" s="747">
        <f>M302*U302</f>
        <v>0</v>
      </c>
      <c r="X302" s="747">
        <f>(IF(V302-W302&lt;=0,0,V302-W302))</f>
        <v>0</v>
      </c>
      <c r="Y302" s="19"/>
      <c r="Z302" s="19"/>
      <c r="AA302" s="19"/>
      <c r="AB302" s="19"/>
      <c r="AC302" s="19"/>
      <c r="AD302" s="19"/>
      <c r="AE302" s="19"/>
      <c r="AF302" s="19"/>
      <c r="AG302" s="19"/>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4"/>
      <c r="BR302" s="14"/>
      <c r="BS302" s="14"/>
      <c r="BT302" s="14"/>
      <c r="BU302" s="14"/>
      <c r="BV302" s="14"/>
      <c r="BW302" s="14"/>
      <c r="BX302" s="14"/>
      <c r="BY302" s="14"/>
      <c r="BZ302" s="14"/>
      <c r="CA302" s="14"/>
      <c r="CB302" s="14"/>
      <c r="CC302" s="14"/>
      <c r="CD302" s="14"/>
      <c r="CE302" s="14"/>
      <c r="CF302" s="14"/>
      <c r="CG302" s="14"/>
      <c r="CH302" s="14"/>
      <c r="CI302" s="14"/>
      <c r="CJ302" s="14"/>
      <c r="CK302" s="14"/>
      <c r="CL302" s="14"/>
      <c r="CM302" s="14"/>
      <c r="CN302" s="14"/>
      <c r="CO302" s="14"/>
      <c r="CP302" s="14"/>
      <c r="CQ302" s="14"/>
      <c r="CR302" s="14"/>
      <c r="CS302" s="14"/>
      <c r="CT302" s="14"/>
      <c r="CU302" s="14"/>
      <c r="CV302" s="14"/>
      <c r="CW302" s="14"/>
      <c r="CX302" s="14"/>
      <c r="CY302" s="14"/>
      <c r="CZ302" s="14"/>
      <c r="DA302" s="14"/>
      <c r="DB302" s="14"/>
      <c r="DC302" s="14"/>
      <c r="DD302" s="14"/>
      <c r="DE302" s="14"/>
      <c r="DF302" s="14"/>
      <c r="DG302" s="14"/>
      <c r="DH302" s="14"/>
      <c r="DI302" s="14"/>
      <c r="DJ302" s="14"/>
      <c r="DK302" s="14"/>
      <c r="DL302" s="14"/>
      <c r="DM302" s="14"/>
      <c r="DN302" s="14"/>
      <c r="DO302" s="14"/>
      <c r="DP302" s="14"/>
      <c r="DQ302" s="14"/>
      <c r="DR302" s="14"/>
      <c r="DS302" s="14"/>
      <c r="DT302" s="14"/>
      <c r="DU302" s="14"/>
      <c r="DV302" s="14"/>
      <c r="DW302" s="14"/>
      <c r="DX302" s="14"/>
      <c r="DY302" s="14"/>
      <c r="DZ302" s="14"/>
      <c r="EA302" s="14"/>
      <c r="EB302" s="14"/>
      <c r="EC302" s="14"/>
      <c r="ED302" s="14"/>
      <c r="EE302" s="14"/>
      <c r="EF302" s="14"/>
      <c r="EG302" s="14"/>
      <c r="EH302" s="14"/>
      <c r="EI302" s="14"/>
      <c r="EJ302" s="14"/>
      <c r="EK302" s="14"/>
      <c r="EL302" s="14"/>
      <c r="EM302" s="14"/>
      <c r="EN302" s="14"/>
      <c r="EO302" s="14"/>
      <c r="EP302" s="14"/>
      <c r="EQ302" s="14"/>
      <c r="ER302" s="14"/>
      <c r="ES302" s="14"/>
      <c r="ET302" s="14"/>
      <c r="EU302" s="14"/>
      <c r="EV302" s="14"/>
      <c r="EW302" s="14"/>
      <c r="EX302" s="14"/>
      <c r="EY302" s="14"/>
      <c r="EZ302" s="14"/>
      <c r="FA302" s="14"/>
      <c r="FB302" s="14"/>
      <c r="FC302" s="14"/>
      <c r="FD302" s="14"/>
      <c r="FE302" s="14"/>
      <c r="FF302" s="14"/>
      <c r="FG302" s="14"/>
      <c r="FH302" s="14"/>
      <c r="FI302" s="14"/>
      <c r="FJ302" s="14"/>
      <c r="FK302" s="14"/>
      <c r="FL302" s="14"/>
      <c r="FM302" s="14"/>
      <c r="FN302" s="14"/>
      <c r="FO302" s="14"/>
      <c r="FP302" s="14"/>
      <c r="FQ302" s="14"/>
      <c r="FR302" s="14"/>
      <c r="FS302" s="14"/>
      <c r="FT302" s="14"/>
      <c r="FU302" s="14"/>
      <c r="FV302" s="14"/>
      <c r="FW302" s="14"/>
      <c r="FX302" s="14"/>
      <c r="FY302" s="14"/>
      <c r="FZ302" s="14"/>
      <c r="GA302" s="14"/>
      <c r="GB302" s="14"/>
      <c r="GC302" s="14"/>
      <c r="GD302" s="14"/>
      <c r="GE302" s="14"/>
      <c r="GF302" s="14"/>
      <c r="GG302" s="14"/>
      <c r="GH302" s="14"/>
      <c r="GI302" s="14"/>
      <c r="GJ302" s="14"/>
      <c r="GK302" s="14"/>
      <c r="GL302" s="14"/>
      <c r="GM302" s="14"/>
      <c r="GN302" s="14"/>
      <c r="GO302" s="14"/>
      <c r="GP302" s="14"/>
      <c r="GQ302" s="14"/>
      <c r="GR302" s="14"/>
      <c r="GS302" s="14"/>
      <c r="GT302" s="14"/>
      <c r="GU302" s="14"/>
      <c r="GV302" s="14"/>
      <c r="GW302" s="14"/>
      <c r="GX302" s="14"/>
      <c r="GY302" s="14"/>
      <c r="GZ302" s="14"/>
      <c r="HA302" s="14"/>
      <c r="HB302" s="14"/>
      <c r="HC302" s="14"/>
      <c r="HD302" s="14"/>
      <c r="HE302" s="14"/>
      <c r="HF302" s="14"/>
      <c r="HG302" s="14"/>
      <c r="HH302" s="14"/>
      <c r="HI302" s="14"/>
      <c r="HJ302" s="14"/>
      <c r="HK302" s="14"/>
      <c r="HL302" s="14"/>
      <c r="HM302" s="14"/>
      <c r="HN302" s="14"/>
      <c r="HO302" s="14"/>
      <c r="HP302" s="14"/>
      <c r="HQ302" s="14"/>
      <c r="HR302" s="14"/>
      <c r="HS302" s="14"/>
      <c r="HT302" s="14"/>
    </row>
    <row r="303" spans="1:228" ht="15" customHeight="1" x14ac:dyDescent="0.2">
      <c r="A303" s="3"/>
      <c r="B303" s="1740" t="str">
        <f>IF(Z296=1,"",IF(OR(Z296=2,Z296=3,Z296=5),"Total for peroneal; FOOT impairment:",IF(OR(Z296=4,Z296=6,Z296=7),"Total for superficial peroneal; FOOT impairment:","")))</f>
        <v/>
      </c>
      <c r="C303" s="1741"/>
      <c r="D303" s="1741"/>
      <c r="E303" s="1741"/>
      <c r="F303" s="1741"/>
      <c r="G303" s="1741"/>
      <c r="H303" s="1741"/>
      <c r="I303" s="1741"/>
      <c r="J303" s="1741"/>
      <c r="K303" s="1741"/>
      <c r="L303" s="1741"/>
      <c r="M303" s="1741"/>
      <c r="N303" s="1741"/>
      <c r="O303" s="1742"/>
      <c r="P303" s="355">
        <f>IF(T303=0,0,IF(Z296=2,AVERAGE(P293:P302),IF(OR(Z296=3,Z296=5),AVERAGE(P293:P298),IF(AND(P300="",P301="",P302=""),0,IF(OR(Z296=4,Z296=6,Z296=7),AVERAGE(P300:P302))))))</f>
        <v>0</v>
      </c>
      <c r="R303" s="962" t="s">
        <v>1555</v>
      </c>
      <c r="S303" s="736">
        <f>SUM(S293:S302)</f>
        <v>0</v>
      </c>
      <c r="T303" s="747">
        <f>SUM(P293,P294,P295,P296,P297,P298,P300,P301,P302)</f>
        <v>0</v>
      </c>
      <c r="U303" s="111"/>
      <c r="V303" s="111"/>
      <c r="W303" s="111"/>
      <c r="X303" s="111"/>
      <c r="Y303" s="19"/>
      <c r="Z303" s="19"/>
      <c r="AA303" s="19"/>
      <c r="AB303" s="19"/>
      <c r="AC303" s="19"/>
      <c r="AD303" s="19"/>
      <c r="AE303" s="19"/>
      <c r="AF303" s="19"/>
      <c r="AG303" s="19"/>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4"/>
      <c r="BR303" s="14"/>
      <c r="BS303" s="14"/>
      <c r="BT303" s="14"/>
      <c r="BU303" s="14"/>
      <c r="BV303" s="14"/>
      <c r="BW303" s="14"/>
      <c r="BX303" s="14"/>
      <c r="BY303" s="14"/>
      <c r="BZ303" s="14"/>
      <c r="CA303" s="14"/>
      <c r="CB303" s="14"/>
      <c r="CC303" s="14"/>
      <c r="CD303" s="14"/>
      <c r="CE303" s="14"/>
      <c r="CF303" s="14"/>
      <c r="CG303" s="14"/>
      <c r="CH303" s="14"/>
      <c r="CI303" s="14"/>
      <c r="CJ303" s="14"/>
      <c r="CK303" s="14"/>
      <c r="CL303" s="14"/>
      <c r="CM303" s="14"/>
      <c r="CN303" s="14"/>
      <c r="CO303" s="14"/>
      <c r="CP303" s="14"/>
      <c r="CQ303" s="14"/>
      <c r="CR303" s="14"/>
      <c r="CS303" s="14"/>
      <c r="CT303" s="14"/>
      <c r="CU303" s="14"/>
      <c r="CV303" s="14"/>
      <c r="CW303" s="14"/>
      <c r="CX303" s="14"/>
      <c r="CY303" s="14"/>
      <c r="CZ303" s="14"/>
      <c r="DA303" s="14"/>
      <c r="DB303" s="14"/>
      <c r="DC303" s="14"/>
      <c r="DD303" s="14"/>
      <c r="DE303" s="14"/>
      <c r="DF303" s="14"/>
      <c r="DG303" s="14"/>
      <c r="DH303" s="14"/>
      <c r="DI303" s="14"/>
      <c r="DJ303" s="14"/>
      <c r="DK303" s="14"/>
      <c r="DL303" s="14"/>
      <c r="DM303" s="14"/>
      <c r="DN303" s="14"/>
      <c r="DO303" s="14"/>
      <c r="DP303" s="14"/>
      <c r="DQ303" s="14"/>
      <c r="DR303" s="14"/>
      <c r="DS303" s="14"/>
      <c r="DT303" s="14"/>
      <c r="DU303" s="14"/>
      <c r="DV303" s="14"/>
      <c r="DW303" s="14"/>
      <c r="DX303" s="14"/>
      <c r="DY303" s="14"/>
      <c r="DZ303" s="14"/>
      <c r="EA303" s="14"/>
      <c r="EB303" s="14"/>
      <c r="EC303" s="14"/>
      <c r="ED303" s="14"/>
      <c r="EE303" s="14"/>
      <c r="EF303" s="14"/>
      <c r="EG303" s="14"/>
      <c r="EH303" s="14"/>
      <c r="EI303" s="14"/>
      <c r="EJ303" s="14"/>
      <c r="EK303" s="14"/>
      <c r="EL303" s="14"/>
      <c r="EM303" s="14"/>
      <c r="EN303" s="14"/>
      <c r="EO303" s="14"/>
      <c r="EP303" s="14"/>
      <c r="EQ303" s="14"/>
      <c r="ER303" s="14"/>
      <c r="ES303" s="14"/>
      <c r="ET303" s="14"/>
      <c r="EU303" s="14"/>
      <c r="EV303" s="14"/>
      <c r="EW303" s="14"/>
      <c r="EX303" s="14"/>
      <c r="EY303" s="14"/>
      <c r="EZ303" s="14"/>
      <c r="FA303" s="14"/>
      <c r="FB303" s="14"/>
      <c r="FC303" s="14"/>
      <c r="FD303" s="14"/>
      <c r="FE303" s="14"/>
      <c r="FF303" s="14"/>
      <c r="FG303" s="14"/>
      <c r="FH303" s="14"/>
      <c r="FI303" s="14"/>
      <c r="FJ303" s="14"/>
      <c r="FK303" s="14"/>
      <c r="FL303" s="14"/>
      <c r="FM303" s="14"/>
      <c r="FN303" s="14"/>
      <c r="FO303" s="14"/>
      <c r="FP303" s="14"/>
      <c r="FQ303" s="14"/>
      <c r="FR303" s="14"/>
      <c r="FS303" s="14"/>
      <c r="FT303" s="14"/>
      <c r="FU303" s="14"/>
      <c r="FV303" s="14"/>
      <c r="FW303" s="14"/>
      <c r="FX303" s="14"/>
      <c r="FY303" s="14"/>
      <c r="FZ303" s="14"/>
      <c r="GA303" s="14"/>
      <c r="GB303" s="14"/>
      <c r="GC303" s="14"/>
      <c r="GD303" s="14"/>
      <c r="GE303" s="14"/>
      <c r="GF303" s="14"/>
      <c r="GG303" s="14"/>
      <c r="GH303" s="14"/>
      <c r="GI303" s="14"/>
      <c r="GJ303" s="14"/>
      <c r="GK303" s="14"/>
      <c r="GL303" s="14"/>
      <c r="GM303" s="14"/>
      <c r="GN303" s="14"/>
      <c r="GO303" s="14"/>
      <c r="GP303" s="14"/>
      <c r="GQ303" s="14"/>
      <c r="GR303" s="14"/>
      <c r="GS303" s="14"/>
      <c r="GT303" s="14"/>
      <c r="GU303" s="14"/>
      <c r="GV303" s="14"/>
      <c r="GW303" s="14"/>
      <c r="GX303" s="14"/>
      <c r="GY303" s="14"/>
      <c r="GZ303" s="14"/>
      <c r="HA303" s="14"/>
      <c r="HB303" s="14"/>
      <c r="HC303" s="14"/>
      <c r="HD303" s="14"/>
      <c r="HE303" s="14"/>
      <c r="HF303" s="14"/>
      <c r="HG303" s="14"/>
      <c r="HH303" s="14"/>
      <c r="HI303" s="14"/>
      <c r="HJ303" s="14"/>
      <c r="HK303" s="14"/>
      <c r="HL303" s="14"/>
      <c r="HM303" s="14"/>
      <c r="HN303" s="14"/>
      <c r="HO303" s="14"/>
      <c r="HP303" s="14"/>
      <c r="HQ303" s="14"/>
      <c r="HR303" s="14"/>
      <c r="HS303" s="14"/>
      <c r="HT303" s="14"/>
    </row>
    <row r="304" spans="1:228" ht="12" customHeight="1" x14ac:dyDescent="0.2">
      <c r="A304" s="3"/>
      <c r="B304" s="1854"/>
      <c r="C304" s="1854"/>
      <c r="D304" s="1854"/>
      <c r="E304" s="1854"/>
      <c r="F304" s="1854"/>
      <c r="G304" s="1854"/>
      <c r="H304" s="1854"/>
      <c r="I304" s="1854"/>
      <c r="J304" s="1854"/>
      <c r="K304" s="1854"/>
      <c r="L304" s="1854"/>
      <c r="M304" s="1854"/>
      <c r="N304" s="1854"/>
      <c r="O304" s="1854"/>
      <c r="P304" s="1854"/>
      <c r="R304" s="157"/>
      <c r="S304" s="116"/>
      <c r="T304" s="111"/>
      <c r="U304" s="111"/>
      <c r="V304" s="111"/>
      <c r="W304" s="111"/>
      <c r="X304" s="111"/>
      <c r="Y304" s="19"/>
      <c r="Z304" s="19"/>
      <c r="AA304" s="19"/>
      <c r="AB304" s="19"/>
      <c r="AC304" s="19"/>
      <c r="AD304" s="19"/>
      <c r="AE304" s="19"/>
      <c r="AF304" s="19"/>
      <c r="AG304" s="19"/>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4"/>
      <c r="BR304" s="14"/>
      <c r="BS304" s="14"/>
      <c r="BT304" s="14"/>
      <c r="BU304" s="14"/>
      <c r="BV304" s="14"/>
      <c r="BW304" s="14"/>
      <c r="BX304" s="14"/>
      <c r="BY304" s="14"/>
      <c r="BZ304" s="14"/>
      <c r="CA304" s="14"/>
      <c r="CB304" s="14"/>
      <c r="CC304" s="14"/>
      <c r="CD304" s="14"/>
      <c r="CE304" s="14"/>
      <c r="CF304" s="14"/>
      <c r="CG304" s="14"/>
      <c r="CH304" s="14"/>
      <c r="CI304" s="14"/>
      <c r="CJ304" s="14"/>
      <c r="CK304" s="14"/>
      <c r="CL304" s="14"/>
      <c r="CM304" s="14"/>
      <c r="CN304" s="14"/>
      <c r="CO304" s="14"/>
      <c r="CP304" s="14"/>
      <c r="CQ304" s="14"/>
      <c r="CR304" s="14"/>
      <c r="CS304" s="14"/>
      <c r="CT304" s="14"/>
      <c r="CU304" s="14"/>
      <c r="CV304" s="14"/>
      <c r="CW304" s="14"/>
      <c r="CX304" s="14"/>
      <c r="CY304" s="14"/>
      <c r="CZ304" s="14"/>
      <c r="DA304" s="14"/>
      <c r="DB304" s="14"/>
      <c r="DC304" s="14"/>
      <c r="DD304" s="14"/>
      <c r="DE304" s="14"/>
      <c r="DF304" s="14"/>
      <c r="DG304" s="14"/>
      <c r="DH304" s="14"/>
      <c r="DI304" s="14"/>
      <c r="DJ304" s="14"/>
      <c r="DK304" s="14"/>
      <c r="DL304" s="14"/>
      <c r="DM304" s="14"/>
      <c r="DN304" s="14"/>
      <c r="DO304" s="14"/>
      <c r="DP304" s="14"/>
      <c r="DQ304" s="14"/>
      <c r="DR304" s="14"/>
      <c r="DS304" s="14"/>
      <c r="DT304" s="14"/>
      <c r="DU304" s="14"/>
      <c r="DV304" s="14"/>
      <c r="DW304" s="14"/>
      <c r="DX304" s="14"/>
      <c r="DY304" s="14"/>
      <c r="DZ304" s="14"/>
      <c r="EA304" s="14"/>
      <c r="EB304" s="14"/>
      <c r="EC304" s="14"/>
      <c r="ED304" s="14"/>
      <c r="EE304" s="14"/>
      <c r="EF304" s="14"/>
      <c r="EG304" s="14"/>
      <c r="EH304" s="14"/>
      <c r="EI304" s="14"/>
      <c r="EJ304" s="14"/>
      <c r="EK304" s="14"/>
      <c r="EL304" s="14"/>
      <c r="EM304" s="14"/>
      <c r="EN304" s="14"/>
      <c r="EO304" s="14"/>
      <c r="EP304" s="14"/>
      <c r="EQ304" s="14"/>
      <c r="ER304" s="14"/>
      <c r="ES304" s="14"/>
      <c r="ET304" s="14"/>
      <c r="EU304" s="14"/>
      <c r="EV304" s="14"/>
      <c r="EW304" s="14"/>
      <c r="EX304" s="14"/>
      <c r="EY304" s="14"/>
      <c r="EZ304" s="14"/>
      <c r="FA304" s="14"/>
      <c r="FB304" s="14"/>
      <c r="FC304" s="14"/>
      <c r="FD304" s="14"/>
      <c r="FE304" s="14"/>
      <c r="FF304" s="14"/>
      <c r="FG304" s="14"/>
      <c r="FH304" s="14"/>
      <c r="FI304" s="14"/>
      <c r="FJ304" s="14"/>
      <c r="FK304" s="14"/>
      <c r="FL304" s="14"/>
      <c r="FM304" s="14"/>
      <c r="FN304" s="14"/>
      <c r="FO304" s="14"/>
      <c r="FP304" s="14"/>
      <c r="FQ304" s="14"/>
      <c r="FR304" s="14"/>
      <c r="FS304" s="14"/>
      <c r="FT304" s="14"/>
      <c r="FU304" s="14"/>
      <c r="FV304" s="14"/>
      <c r="FW304" s="14"/>
      <c r="FX304" s="14"/>
      <c r="FY304" s="14"/>
      <c r="FZ304" s="14"/>
      <c r="GA304" s="14"/>
      <c r="GB304" s="14"/>
      <c r="GC304" s="14"/>
      <c r="GD304" s="14"/>
      <c r="GE304" s="14"/>
      <c r="GF304" s="14"/>
      <c r="GG304" s="14"/>
      <c r="GH304" s="14"/>
      <c r="GI304" s="14"/>
      <c r="GJ304" s="14"/>
      <c r="GK304" s="14"/>
      <c r="GL304" s="14"/>
      <c r="GM304" s="14"/>
      <c r="GN304" s="14"/>
      <c r="GO304" s="14"/>
      <c r="GP304" s="14"/>
      <c r="GQ304" s="14"/>
      <c r="GR304" s="14"/>
      <c r="GS304" s="14"/>
      <c r="GT304" s="14"/>
      <c r="GU304" s="14"/>
      <c r="GV304" s="14"/>
      <c r="GW304" s="14"/>
      <c r="GX304" s="14"/>
      <c r="GY304" s="14"/>
      <c r="GZ304" s="14"/>
      <c r="HA304" s="14"/>
      <c r="HB304" s="14"/>
      <c r="HC304" s="14"/>
      <c r="HD304" s="14"/>
      <c r="HE304" s="14"/>
      <c r="HF304" s="14"/>
      <c r="HG304" s="14"/>
      <c r="HH304" s="14"/>
      <c r="HI304" s="14"/>
      <c r="HJ304" s="14"/>
      <c r="HK304" s="14"/>
      <c r="HL304" s="14"/>
      <c r="HM304" s="14"/>
      <c r="HN304" s="14"/>
      <c r="HO304" s="14"/>
      <c r="HP304" s="14"/>
      <c r="HQ304" s="14"/>
      <c r="HR304" s="14"/>
      <c r="HS304" s="14"/>
      <c r="HT304" s="14"/>
    </row>
    <row r="305" spans="1:228" ht="12" customHeight="1" x14ac:dyDescent="0.2">
      <c r="A305" s="3"/>
      <c r="B305" s="1854"/>
      <c r="C305" s="1854"/>
      <c r="D305" s="1854"/>
      <c r="E305" s="1854"/>
      <c r="F305" s="1854"/>
      <c r="G305" s="1854"/>
      <c r="H305" s="1854"/>
      <c r="I305" s="1854"/>
      <c r="J305" s="1854"/>
      <c r="K305" s="1854"/>
      <c r="L305" s="1854"/>
      <c r="M305" s="1854"/>
      <c r="N305" s="1854"/>
      <c r="O305" s="1854"/>
      <c r="P305" s="1854"/>
      <c r="R305" s="157"/>
      <c r="S305" s="116"/>
      <c r="T305" s="111"/>
      <c r="U305" s="111"/>
      <c r="V305" s="111"/>
      <c r="W305" s="111"/>
      <c r="X305" s="111"/>
      <c r="Y305" s="19"/>
      <c r="Z305" s="19"/>
      <c r="AA305" s="19"/>
      <c r="AB305" s="19"/>
      <c r="AC305" s="19"/>
      <c r="AD305" s="19"/>
      <c r="AE305" s="19"/>
      <c r="AF305" s="19"/>
      <c r="AG305" s="19"/>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4"/>
      <c r="BR305" s="14"/>
      <c r="BS305" s="14"/>
      <c r="BT305" s="14"/>
      <c r="BU305" s="14"/>
      <c r="BV305" s="14"/>
      <c r="BW305" s="14"/>
      <c r="BX305" s="14"/>
      <c r="BY305" s="14"/>
      <c r="BZ305" s="14"/>
      <c r="CA305" s="14"/>
      <c r="CB305" s="14"/>
      <c r="CC305" s="14"/>
      <c r="CD305" s="14"/>
      <c r="CE305" s="14"/>
      <c r="CF305" s="14"/>
      <c r="CG305" s="14"/>
      <c r="CH305" s="14"/>
      <c r="CI305" s="14"/>
      <c r="CJ305" s="14"/>
      <c r="CK305" s="14"/>
      <c r="CL305" s="14"/>
      <c r="CM305" s="14"/>
      <c r="CN305" s="14"/>
      <c r="CO305" s="14"/>
      <c r="CP305" s="14"/>
      <c r="CQ305" s="14"/>
      <c r="CR305" s="14"/>
      <c r="CS305" s="14"/>
      <c r="CT305" s="14"/>
      <c r="CU305" s="14"/>
      <c r="CV305" s="14"/>
      <c r="CW305" s="14"/>
      <c r="CX305" s="14"/>
      <c r="CY305" s="14"/>
      <c r="CZ305" s="14"/>
      <c r="DA305" s="14"/>
      <c r="DB305" s="14"/>
      <c r="DC305" s="14"/>
      <c r="DD305" s="14"/>
      <c r="DE305" s="14"/>
      <c r="DF305" s="14"/>
      <c r="DG305" s="14"/>
      <c r="DH305" s="14"/>
      <c r="DI305" s="14"/>
      <c r="DJ305" s="14"/>
      <c r="DK305" s="14"/>
      <c r="DL305" s="14"/>
      <c r="DM305" s="14"/>
      <c r="DN305" s="14"/>
      <c r="DO305" s="14"/>
      <c r="DP305" s="14"/>
      <c r="DQ305" s="14"/>
      <c r="DR305" s="14"/>
      <c r="DS305" s="14"/>
      <c r="DT305" s="14"/>
      <c r="DU305" s="14"/>
      <c r="DV305" s="14"/>
      <c r="DW305" s="14"/>
      <c r="DX305" s="14"/>
      <c r="DY305" s="14"/>
      <c r="DZ305" s="14"/>
      <c r="EA305" s="14"/>
      <c r="EB305" s="14"/>
      <c r="EC305" s="14"/>
      <c r="ED305" s="14"/>
      <c r="EE305" s="14"/>
      <c r="EF305" s="14"/>
      <c r="EG305" s="14"/>
      <c r="EH305" s="14"/>
      <c r="EI305" s="14"/>
      <c r="EJ305" s="14"/>
      <c r="EK305" s="14"/>
      <c r="EL305" s="14"/>
      <c r="EM305" s="14"/>
      <c r="EN305" s="14"/>
      <c r="EO305" s="14"/>
      <c r="EP305" s="14"/>
      <c r="EQ305" s="14"/>
      <c r="ER305" s="14"/>
      <c r="ES305" s="14"/>
      <c r="ET305" s="14"/>
      <c r="EU305" s="14"/>
      <c r="EV305" s="14"/>
      <c r="EW305" s="14"/>
      <c r="EX305" s="14"/>
      <c r="EY305" s="14"/>
      <c r="EZ305" s="14"/>
      <c r="FA305" s="14"/>
      <c r="FB305" s="14"/>
      <c r="FC305" s="14"/>
      <c r="FD305" s="14"/>
      <c r="FE305" s="14"/>
      <c r="FF305" s="14"/>
      <c r="FG305" s="14"/>
      <c r="FH305" s="14"/>
      <c r="FI305" s="14"/>
      <c r="FJ305" s="14"/>
      <c r="FK305" s="14"/>
      <c r="FL305" s="14"/>
      <c r="FM305" s="14"/>
      <c r="FN305" s="14"/>
      <c r="FO305" s="14"/>
      <c r="FP305" s="14"/>
      <c r="FQ305" s="14"/>
      <c r="FR305" s="14"/>
      <c r="FS305" s="14"/>
      <c r="FT305" s="14"/>
      <c r="FU305" s="14"/>
      <c r="FV305" s="14"/>
      <c r="FW305" s="14"/>
      <c r="FX305" s="14"/>
      <c r="FY305" s="14"/>
      <c r="FZ305" s="14"/>
      <c r="GA305" s="14"/>
      <c r="GB305" s="14"/>
      <c r="GC305" s="14"/>
      <c r="GD305" s="14"/>
      <c r="GE305" s="14"/>
      <c r="GF305" s="14"/>
      <c r="GG305" s="14"/>
      <c r="GH305" s="14"/>
      <c r="GI305" s="14"/>
      <c r="GJ305" s="14"/>
      <c r="GK305" s="14"/>
      <c r="GL305" s="14"/>
      <c r="GM305" s="14"/>
      <c r="GN305" s="14"/>
      <c r="GO305" s="14"/>
      <c r="GP305" s="14"/>
      <c r="GQ305" s="14"/>
      <c r="GR305" s="14"/>
      <c r="GS305" s="14"/>
      <c r="GT305" s="14"/>
      <c r="GU305" s="14"/>
      <c r="GV305" s="14"/>
      <c r="GW305" s="14"/>
      <c r="GX305" s="14"/>
      <c r="GY305" s="14"/>
      <c r="GZ305" s="14"/>
      <c r="HA305" s="14"/>
      <c r="HB305" s="14"/>
      <c r="HC305" s="14"/>
      <c r="HD305" s="14"/>
      <c r="HE305" s="14"/>
      <c r="HF305" s="14"/>
      <c r="HG305" s="14"/>
      <c r="HH305" s="14"/>
      <c r="HI305" s="14"/>
      <c r="HJ305" s="14"/>
      <c r="HK305" s="14"/>
      <c r="HL305" s="14"/>
      <c r="HM305" s="14"/>
      <c r="HN305" s="14"/>
      <c r="HO305" s="14"/>
      <c r="HP305" s="14"/>
      <c r="HQ305" s="14"/>
      <c r="HR305" s="14"/>
      <c r="HS305" s="14"/>
      <c r="HT305" s="14"/>
    </row>
    <row r="306" spans="1:228" ht="15" customHeight="1" x14ac:dyDescent="0.2">
      <c r="A306" s="3"/>
      <c r="B306" s="1909"/>
      <c r="C306" s="1909"/>
      <c r="D306" s="1909"/>
      <c r="E306" s="1909"/>
      <c r="F306" s="1909"/>
      <c r="G306" s="1909"/>
      <c r="H306" s="1909"/>
      <c r="I306" s="1909"/>
      <c r="J306" s="1909"/>
      <c r="K306" s="1909"/>
      <c r="L306" s="1909"/>
      <c r="M306" s="1909"/>
      <c r="N306" s="1923" t="s">
        <v>1687</v>
      </c>
      <c r="O306" s="1923"/>
      <c r="P306" s="1923"/>
      <c r="R306" s="157"/>
      <c r="S306" s="116"/>
      <c r="T306" s="111"/>
      <c r="U306" s="111"/>
      <c r="V306" s="111"/>
      <c r="W306" s="111"/>
      <c r="X306" s="111"/>
      <c r="Y306" s="19"/>
      <c r="Z306" s="19"/>
      <c r="AA306" s="19"/>
      <c r="AB306" s="19"/>
      <c r="AC306" s="19"/>
      <c r="AD306" s="19"/>
      <c r="AE306" s="19"/>
      <c r="AF306" s="19"/>
      <c r="AG306" s="19"/>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4"/>
      <c r="BR306" s="14"/>
      <c r="BS306" s="14"/>
      <c r="BT306" s="14"/>
      <c r="BU306" s="14"/>
      <c r="BV306" s="14"/>
      <c r="BW306" s="14"/>
      <c r="BX306" s="14"/>
      <c r="BY306" s="14"/>
      <c r="BZ306" s="14"/>
      <c r="CA306" s="14"/>
      <c r="CB306" s="14"/>
      <c r="CC306" s="14"/>
      <c r="CD306" s="14"/>
      <c r="CE306" s="14"/>
      <c r="CF306" s="14"/>
      <c r="CG306" s="14"/>
      <c r="CH306" s="14"/>
      <c r="CI306" s="14"/>
      <c r="CJ306" s="14"/>
      <c r="CK306" s="14"/>
      <c r="CL306" s="14"/>
      <c r="CM306" s="14"/>
      <c r="CN306" s="14"/>
      <c r="CO306" s="14"/>
      <c r="CP306" s="14"/>
      <c r="CQ306" s="14"/>
      <c r="CR306" s="14"/>
      <c r="CS306" s="14"/>
      <c r="CT306" s="14"/>
      <c r="CU306" s="14"/>
      <c r="CV306" s="14"/>
      <c r="CW306" s="14"/>
      <c r="CX306" s="14"/>
      <c r="CY306" s="14"/>
      <c r="CZ306" s="14"/>
      <c r="DA306" s="14"/>
      <c r="DB306" s="14"/>
      <c r="DC306" s="14"/>
      <c r="DD306" s="14"/>
      <c r="DE306" s="14"/>
      <c r="DF306" s="14"/>
      <c r="DG306" s="14"/>
      <c r="DH306" s="14"/>
      <c r="DI306" s="14"/>
      <c r="DJ306" s="14"/>
      <c r="DK306" s="14"/>
      <c r="DL306" s="14"/>
      <c r="DM306" s="14"/>
      <c r="DN306" s="14"/>
      <c r="DO306" s="14"/>
      <c r="DP306" s="14"/>
      <c r="DQ306" s="14"/>
      <c r="DR306" s="14"/>
      <c r="DS306" s="14"/>
      <c r="DT306" s="14"/>
      <c r="DU306" s="14"/>
      <c r="DV306" s="14"/>
      <c r="DW306" s="14"/>
      <c r="DX306" s="14"/>
      <c r="DY306" s="14"/>
      <c r="DZ306" s="14"/>
      <c r="EA306" s="14"/>
      <c r="EB306" s="14"/>
      <c r="EC306" s="14"/>
      <c r="ED306" s="14"/>
      <c r="EE306" s="14"/>
      <c r="EF306" s="14"/>
      <c r="EG306" s="14"/>
      <c r="EH306" s="14"/>
      <c r="EI306" s="14"/>
      <c r="EJ306" s="14"/>
      <c r="EK306" s="14"/>
      <c r="EL306" s="14"/>
      <c r="EM306" s="14"/>
      <c r="EN306" s="14"/>
      <c r="EO306" s="14"/>
      <c r="EP306" s="14"/>
      <c r="EQ306" s="14"/>
      <c r="ER306" s="14"/>
      <c r="ES306" s="14"/>
      <c r="ET306" s="14"/>
      <c r="EU306" s="14"/>
      <c r="EV306" s="14"/>
      <c r="EW306" s="14"/>
      <c r="EX306" s="14"/>
      <c r="EY306" s="14"/>
      <c r="EZ306" s="14"/>
      <c r="FA306" s="14"/>
      <c r="FB306" s="14"/>
      <c r="FC306" s="14"/>
      <c r="FD306" s="14"/>
      <c r="FE306" s="14"/>
      <c r="FF306" s="14"/>
      <c r="FG306" s="14"/>
      <c r="FH306" s="14"/>
      <c r="FI306" s="14"/>
      <c r="FJ306" s="14"/>
      <c r="FK306" s="14"/>
      <c r="FL306" s="14"/>
      <c r="FM306" s="14"/>
      <c r="FN306" s="14"/>
      <c r="FO306" s="14"/>
      <c r="FP306" s="14"/>
      <c r="FQ306" s="14"/>
      <c r="FR306" s="14"/>
      <c r="FS306" s="14"/>
      <c r="FT306" s="14"/>
      <c r="FU306" s="14"/>
      <c r="FV306" s="14"/>
      <c r="FW306" s="14"/>
      <c r="FX306" s="14"/>
      <c r="FY306" s="14"/>
      <c r="FZ306" s="14"/>
      <c r="GA306" s="14"/>
      <c r="GB306" s="14"/>
      <c r="GC306" s="14"/>
      <c r="GD306" s="14"/>
      <c r="GE306" s="14"/>
      <c r="GF306" s="14"/>
      <c r="GG306" s="14"/>
      <c r="GH306" s="14"/>
      <c r="GI306" s="14"/>
      <c r="GJ306" s="14"/>
      <c r="GK306" s="14"/>
      <c r="GL306" s="14"/>
      <c r="GM306" s="14"/>
      <c r="GN306" s="14"/>
      <c r="GO306" s="14"/>
      <c r="GP306" s="14"/>
      <c r="GQ306" s="14"/>
      <c r="GR306" s="14"/>
      <c r="GS306" s="14"/>
      <c r="GT306" s="14"/>
      <c r="GU306" s="14"/>
      <c r="GV306" s="14"/>
      <c r="GW306" s="14"/>
      <c r="GX306" s="14"/>
      <c r="GY306" s="14"/>
      <c r="GZ306" s="14"/>
      <c r="HA306" s="14"/>
      <c r="HB306" s="14"/>
      <c r="HC306" s="14"/>
      <c r="HD306" s="14"/>
      <c r="HE306" s="14"/>
      <c r="HF306" s="14"/>
      <c r="HG306" s="14"/>
      <c r="HH306" s="14"/>
      <c r="HI306" s="14"/>
      <c r="HJ306" s="14"/>
      <c r="HK306" s="14"/>
      <c r="HL306" s="14"/>
      <c r="HM306" s="14"/>
      <c r="HN306" s="14"/>
      <c r="HO306" s="14"/>
      <c r="HP306" s="14"/>
      <c r="HQ306" s="14"/>
      <c r="HR306" s="14"/>
      <c r="HS306" s="14"/>
      <c r="HT306" s="14"/>
    </row>
    <row r="307" spans="1:228" ht="18" customHeight="1" x14ac:dyDescent="0.2">
      <c r="A307" s="3"/>
      <c r="B307" s="1907" t="s">
        <v>421</v>
      </c>
      <c r="C307" s="1403"/>
      <c r="D307" s="1403"/>
      <c r="E307" s="1908"/>
      <c r="F307" s="1908"/>
      <c r="G307" s="1908"/>
      <c r="H307" s="1908"/>
      <c r="I307" s="1908"/>
      <c r="J307" s="1908"/>
      <c r="K307" s="1908"/>
      <c r="L307" s="1908"/>
      <c r="M307" s="1713"/>
      <c r="N307" s="475" t="s">
        <v>1689</v>
      </c>
      <c r="O307" s="475" t="s">
        <v>1690</v>
      </c>
      <c r="P307" s="475" t="s">
        <v>1691</v>
      </c>
      <c r="R307" s="157"/>
      <c r="S307" s="116"/>
      <c r="T307" s="754" t="s">
        <v>1689</v>
      </c>
      <c r="U307" s="754" t="s">
        <v>1597</v>
      </c>
      <c r="V307" s="754" t="s">
        <v>1692</v>
      </c>
      <c r="W307" s="754" t="s">
        <v>1693</v>
      </c>
      <c r="X307" s="754" t="s">
        <v>1694</v>
      </c>
      <c r="Y307" s="19"/>
      <c r="Z307" s="19"/>
      <c r="AA307" s="19"/>
      <c r="AB307" s="19"/>
      <c r="AC307" s="19"/>
      <c r="AD307" s="19"/>
      <c r="AE307" s="19"/>
      <c r="AF307" s="19"/>
      <c r="AG307" s="19"/>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4"/>
      <c r="BR307" s="14"/>
      <c r="BS307" s="14"/>
      <c r="BT307" s="14"/>
      <c r="BU307" s="14"/>
      <c r="BV307" s="14"/>
      <c r="BW307" s="14"/>
      <c r="BX307" s="14"/>
      <c r="BY307" s="14"/>
      <c r="BZ307" s="14"/>
      <c r="CA307" s="14"/>
      <c r="CB307" s="14"/>
      <c r="CC307" s="14"/>
      <c r="CD307" s="14"/>
      <c r="CE307" s="14"/>
      <c r="CF307" s="14"/>
      <c r="CG307" s="14"/>
      <c r="CH307" s="14"/>
      <c r="CI307" s="14"/>
      <c r="CJ307" s="14"/>
      <c r="CK307" s="14"/>
      <c r="CL307" s="14"/>
      <c r="CM307" s="14"/>
      <c r="CN307" s="14"/>
      <c r="CO307" s="14"/>
      <c r="CP307" s="14"/>
      <c r="CQ307" s="14"/>
      <c r="CR307" s="14"/>
      <c r="CS307" s="14"/>
      <c r="CT307" s="14"/>
      <c r="CU307" s="14"/>
      <c r="CV307" s="14"/>
      <c r="CW307" s="14"/>
      <c r="CX307" s="14"/>
      <c r="CY307" s="14"/>
      <c r="CZ307" s="14"/>
      <c r="DA307" s="14"/>
      <c r="DB307" s="14"/>
      <c r="DC307" s="14"/>
      <c r="DD307" s="14"/>
      <c r="DE307" s="14"/>
      <c r="DF307" s="14"/>
      <c r="DG307" s="14"/>
      <c r="DH307" s="14"/>
      <c r="DI307" s="14"/>
      <c r="DJ307" s="14"/>
      <c r="DK307" s="14"/>
      <c r="DL307" s="14"/>
      <c r="DM307" s="14"/>
      <c r="DN307" s="14"/>
      <c r="DO307" s="14"/>
      <c r="DP307" s="14"/>
      <c r="DQ307" s="14"/>
      <c r="DR307" s="14"/>
      <c r="DS307" s="14"/>
      <c r="DT307" s="14"/>
      <c r="DU307" s="14"/>
      <c r="DV307" s="14"/>
      <c r="DW307" s="14"/>
      <c r="DX307" s="14"/>
      <c r="DY307" s="14"/>
      <c r="DZ307" s="14"/>
      <c r="EA307" s="14"/>
      <c r="EB307" s="14"/>
      <c r="EC307" s="14"/>
      <c r="ED307" s="14"/>
      <c r="EE307" s="14"/>
      <c r="EF307" s="14"/>
      <c r="EG307" s="14"/>
      <c r="EH307" s="14"/>
      <c r="EI307" s="14"/>
      <c r="EJ307" s="14"/>
      <c r="EK307" s="14"/>
      <c r="EL307" s="14"/>
      <c r="EM307" s="14"/>
      <c r="EN307" s="14"/>
      <c r="EO307" s="14"/>
      <c r="EP307" s="14"/>
      <c r="EQ307" s="14"/>
      <c r="ER307" s="14"/>
      <c r="ES307" s="14"/>
      <c r="ET307" s="14"/>
      <c r="EU307" s="14"/>
      <c r="EV307" s="14"/>
      <c r="EW307" s="14"/>
      <c r="EX307" s="14"/>
      <c r="EY307" s="14"/>
      <c r="EZ307" s="14"/>
      <c r="FA307" s="14"/>
      <c r="FB307" s="14"/>
      <c r="FC307" s="14"/>
      <c r="FD307" s="14"/>
      <c r="FE307" s="14"/>
      <c r="FF307" s="14"/>
      <c r="FG307" s="14"/>
      <c r="FH307" s="14"/>
      <c r="FI307" s="14"/>
      <c r="FJ307" s="14"/>
      <c r="FK307" s="14"/>
      <c r="FL307" s="14"/>
      <c r="FM307" s="14"/>
      <c r="FN307" s="14"/>
      <c r="FO307" s="14"/>
      <c r="FP307" s="14"/>
      <c r="FQ307" s="14"/>
      <c r="FR307" s="14"/>
      <c r="FS307" s="14"/>
      <c r="FT307" s="14"/>
      <c r="FU307" s="14"/>
      <c r="FV307" s="14"/>
      <c r="FW307" s="14"/>
      <c r="FX307" s="14"/>
      <c r="FY307" s="14"/>
      <c r="FZ307" s="14"/>
      <c r="GA307" s="14"/>
      <c r="GB307" s="14"/>
      <c r="GC307" s="14"/>
      <c r="GD307" s="14"/>
      <c r="GE307" s="14"/>
      <c r="GF307" s="14"/>
      <c r="GG307" s="14"/>
      <c r="GH307" s="14"/>
      <c r="GI307" s="14"/>
      <c r="GJ307" s="14"/>
      <c r="GK307" s="14"/>
      <c r="GL307" s="14"/>
      <c r="GM307" s="14"/>
      <c r="GN307" s="14"/>
      <c r="GO307" s="14"/>
      <c r="GP307" s="14"/>
      <c r="GQ307" s="14"/>
      <c r="GR307" s="14"/>
      <c r="GS307" s="14"/>
      <c r="GT307" s="14"/>
      <c r="GU307" s="14"/>
      <c r="GV307" s="14"/>
      <c r="GW307" s="14"/>
      <c r="GX307" s="14"/>
      <c r="GY307" s="14"/>
      <c r="GZ307" s="14"/>
      <c r="HA307" s="14"/>
      <c r="HB307" s="14"/>
      <c r="HC307" s="14"/>
      <c r="HD307" s="14"/>
      <c r="HE307" s="14"/>
      <c r="HF307" s="14"/>
      <c r="HG307" s="14"/>
      <c r="HH307" s="14"/>
      <c r="HI307" s="14"/>
      <c r="HJ307" s="14"/>
      <c r="HK307" s="14"/>
      <c r="HL307" s="14"/>
      <c r="HM307" s="14"/>
      <c r="HN307" s="14"/>
      <c r="HO307" s="14"/>
      <c r="HP307" s="14"/>
      <c r="HQ307" s="14"/>
      <c r="HR307" s="14"/>
      <c r="HS307" s="14"/>
      <c r="HT307" s="14"/>
    </row>
    <row r="308" spans="1:228" ht="27" customHeight="1" x14ac:dyDescent="0.2">
      <c r="A308" s="3"/>
      <c r="B308" s="583" t="s">
        <v>422</v>
      </c>
      <c r="C308" s="584"/>
      <c r="D308" s="585"/>
      <c r="E308" s="567"/>
      <c r="F308" s="1837" t="str">
        <f>IF(Z297=1,"","Tibial - overall loss at level shown; no averaging")</f>
        <v/>
      </c>
      <c r="G308" s="1837"/>
      <c r="H308" s="1837"/>
      <c r="I308" s="1837"/>
      <c r="J308" s="1837"/>
      <c r="K308" s="1837"/>
      <c r="L308" s="1837"/>
      <c r="M308" s="88">
        <f>IF(OR(F308="",S308=0),0,IF($Z$297=2,0.35,IF($Z$297=3,0.28,IF($Z$297=4,0.17,IF($Z$297=5,"See
below",IF(OR($Z$297=6,$Z$297=7),0.06,0))))))</f>
        <v>0</v>
      </c>
      <c r="N308" s="254"/>
      <c r="O308" s="254"/>
      <c r="P308" s="355" t="str">
        <f>IF(AND(S308=1,Z297=5),"",IF(X308=0,"",X308))</f>
        <v/>
      </c>
      <c r="R308" s="745" t="b">
        <v>0</v>
      </c>
      <c r="S308" s="736">
        <f t="shared" ref="S308:S317" si="26">IF(R308=TRUE,1,0)</f>
        <v>0</v>
      </c>
      <c r="T308" s="747">
        <f t="shared" ref="T308:T317" si="27">SUMIF($T$278:$AH$278,N308,$T$279:$AH$279)</f>
        <v>0</v>
      </c>
      <c r="U308" s="747">
        <f t="shared" ref="U308:U317" si="28">SUMIF($S$278:$AH$278,O308,$S$279:$AH$279)</f>
        <v>0</v>
      </c>
      <c r="V308" s="747">
        <f>IF(AND(S308=1,Z297=5),0,M308*T308)</f>
        <v>0</v>
      </c>
      <c r="W308" s="747">
        <f>IF(AND(S308=1,Z297=5),0,M308*U308)</f>
        <v>0</v>
      </c>
      <c r="X308" s="747">
        <f t="shared" ref="X308:X317" si="29">(IF(V308-W308&lt;=0,0,V308-W308))</f>
        <v>0</v>
      </c>
      <c r="Y308" s="19"/>
      <c r="Z308" s="19"/>
      <c r="AA308" s="19"/>
      <c r="AB308" s="19"/>
      <c r="AC308" s="19"/>
      <c r="AD308" s="19"/>
      <c r="AE308" s="19"/>
      <c r="AF308" s="19"/>
      <c r="AG308" s="19"/>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4"/>
      <c r="BR308" s="14"/>
      <c r="BS308" s="14"/>
      <c r="BT308" s="14"/>
      <c r="BU308" s="14"/>
      <c r="BV308" s="14"/>
      <c r="BW308" s="14"/>
      <c r="BX308" s="14"/>
      <c r="BY308" s="14"/>
      <c r="BZ308" s="14"/>
      <c r="CA308" s="14"/>
      <c r="CB308" s="14"/>
      <c r="CC308" s="14"/>
      <c r="CD308" s="14"/>
      <c r="CE308" s="14"/>
      <c r="CF308" s="14"/>
      <c r="CG308" s="14"/>
      <c r="CH308" s="14"/>
      <c r="CI308" s="14"/>
      <c r="CJ308" s="14"/>
      <c r="CK308" s="14"/>
      <c r="CL308" s="14"/>
      <c r="CM308" s="14"/>
      <c r="CN308" s="14"/>
      <c r="CO308" s="14"/>
      <c r="CP308" s="14"/>
      <c r="CQ308" s="14"/>
      <c r="CR308" s="14"/>
      <c r="CS308" s="14"/>
      <c r="CT308" s="14"/>
      <c r="CU308" s="14"/>
      <c r="CV308" s="14"/>
      <c r="CW308" s="14"/>
      <c r="CX308" s="14"/>
      <c r="CY308" s="14"/>
      <c r="CZ308" s="14"/>
      <c r="DA308" s="14"/>
      <c r="DB308" s="14"/>
      <c r="DC308" s="14"/>
      <c r="DD308" s="14"/>
      <c r="DE308" s="14"/>
      <c r="DF308" s="14"/>
      <c r="DG308" s="14"/>
      <c r="DH308" s="14"/>
      <c r="DI308" s="14"/>
      <c r="DJ308" s="14"/>
      <c r="DK308" s="14"/>
      <c r="DL308" s="14"/>
      <c r="DM308" s="14"/>
      <c r="DN308" s="14"/>
      <c r="DO308" s="14"/>
      <c r="DP308" s="14"/>
      <c r="DQ308" s="14"/>
      <c r="DR308" s="14"/>
      <c r="DS308" s="14"/>
      <c r="DT308" s="14"/>
      <c r="DU308" s="14"/>
      <c r="DV308" s="14"/>
      <c r="DW308" s="14"/>
      <c r="DX308" s="14"/>
      <c r="DY308" s="14"/>
      <c r="DZ308" s="14"/>
      <c r="EA308" s="14"/>
      <c r="EB308" s="14"/>
      <c r="EC308" s="14"/>
      <c r="ED308" s="14"/>
      <c r="EE308" s="14"/>
      <c r="EF308" s="14"/>
      <c r="EG308" s="14"/>
      <c r="EH308" s="14"/>
      <c r="EI308" s="14"/>
      <c r="EJ308" s="14"/>
      <c r="EK308" s="14"/>
      <c r="EL308" s="14"/>
      <c r="EM308" s="14"/>
      <c r="EN308" s="14"/>
      <c r="EO308" s="14"/>
      <c r="EP308" s="14"/>
      <c r="EQ308" s="14"/>
      <c r="ER308" s="14"/>
      <c r="ES308" s="14"/>
      <c r="ET308" s="14"/>
      <c r="EU308" s="14"/>
      <c r="EV308" s="14"/>
      <c r="EW308" s="14"/>
      <c r="EX308" s="14"/>
      <c r="EY308" s="14"/>
      <c r="EZ308" s="14"/>
      <c r="FA308" s="14"/>
      <c r="FB308" s="14"/>
      <c r="FC308" s="14"/>
      <c r="FD308" s="14"/>
      <c r="FE308" s="14"/>
      <c r="FF308" s="14"/>
      <c r="FG308" s="14"/>
      <c r="FH308" s="14"/>
      <c r="FI308" s="14"/>
      <c r="FJ308" s="14"/>
      <c r="FK308" s="14"/>
      <c r="FL308" s="14"/>
      <c r="FM308" s="14"/>
      <c r="FN308" s="14"/>
      <c r="FO308" s="14"/>
      <c r="FP308" s="14"/>
      <c r="FQ308" s="14"/>
      <c r="FR308" s="14"/>
      <c r="FS308" s="14"/>
      <c r="FT308" s="14"/>
      <c r="FU308" s="14"/>
      <c r="FV308" s="14"/>
      <c r="FW308" s="14"/>
      <c r="FX308" s="14"/>
      <c r="FY308" s="14"/>
      <c r="FZ308" s="14"/>
      <c r="GA308" s="14"/>
      <c r="GB308" s="14"/>
      <c r="GC308" s="14"/>
      <c r="GD308" s="14"/>
      <c r="GE308" s="14"/>
      <c r="GF308" s="14"/>
      <c r="GG308" s="14"/>
      <c r="GH308" s="14"/>
      <c r="GI308" s="14"/>
      <c r="GJ308" s="14"/>
      <c r="GK308" s="14"/>
      <c r="GL308" s="14"/>
      <c r="GM308" s="14"/>
      <c r="GN308" s="14"/>
      <c r="GO308" s="14"/>
      <c r="GP308" s="14"/>
      <c r="GQ308" s="14"/>
      <c r="GR308" s="14"/>
      <c r="GS308" s="14"/>
      <c r="GT308" s="14"/>
      <c r="GU308" s="14"/>
      <c r="GV308" s="14"/>
      <c r="GW308" s="14"/>
      <c r="GX308" s="14"/>
      <c r="GY308" s="14"/>
      <c r="GZ308" s="14"/>
      <c r="HA308" s="14"/>
      <c r="HB308" s="14"/>
      <c r="HC308" s="14"/>
      <c r="HD308" s="14"/>
      <c r="HE308" s="14"/>
      <c r="HF308" s="14"/>
      <c r="HG308" s="14"/>
      <c r="HH308" s="14"/>
      <c r="HI308" s="14"/>
      <c r="HJ308" s="14"/>
      <c r="HK308" s="14"/>
      <c r="HL308" s="14"/>
      <c r="HM308" s="14"/>
      <c r="HN308" s="14"/>
      <c r="HO308" s="14"/>
      <c r="HP308" s="14"/>
      <c r="HQ308" s="14"/>
      <c r="HR308" s="14"/>
      <c r="HS308" s="14"/>
      <c r="HT308" s="14"/>
    </row>
    <row r="309" spans="1:228" ht="15" customHeight="1" x14ac:dyDescent="0.2">
      <c r="A309" s="3"/>
      <c r="B309" s="586"/>
      <c r="C309" s="582"/>
      <c r="D309" s="587"/>
      <c r="E309" s="567"/>
      <c r="F309" s="1887" t="str">
        <f>IF(OR(S308=1,Z297=1,Z297=5,Z297=6,Z297=7),"","Gastrocnemius")</f>
        <v/>
      </c>
      <c r="G309" s="1887"/>
      <c r="H309" s="1887"/>
      <c r="I309" s="1887"/>
      <c r="J309" s="1887"/>
      <c r="K309" s="1887"/>
      <c r="L309" s="1887"/>
      <c r="M309" s="88">
        <f t="shared" ref="M309:M315" si="30">IF(OR(F309="",S309=0),0,IF($Z$297=2,0.35,IF($Z$297=3,0.28,IF($Z$297=4,0.17,0))))</f>
        <v>0</v>
      </c>
      <c r="N309" s="254"/>
      <c r="O309" s="254"/>
      <c r="P309" s="355" t="str">
        <f>IF(X309=0,"",X309)</f>
        <v/>
      </c>
      <c r="R309" s="745" t="b">
        <v>0</v>
      </c>
      <c r="S309" s="736">
        <f t="shared" si="26"/>
        <v>0</v>
      </c>
      <c r="T309" s="747">
        <f t="shared" si="27"/>
        <v>0</v>
      </c>
      <c r="U309" s="747">
        <f t="shared" si="28"/>
        <v>0</v>
      </c>
      <c r="V309" s="747">
        <f t="shared" ref="V309:V317" si="31">M309*T309</f>
        <v>0</v>
      </c>
      <c r="W309" s="747">
        <f t="shared" ref="W309:W317" si="32">M309*U309</f>
        <v>0</v>
      </c>
      <c r="X309" s="747">
        <f t="shared" si="29"/>
        <v>0</v>
      </c>
      <c r="Y309" s="18"/>
      <c r="Z309" s="18"/>
      <c r="AA309" s="18"/>
      <c r="AB309" s="18"/>
      <c r="AC309" s="19"/>
      <c r="AD309" s="19"/>
      <c r="AE309" s="19"/>
      <c r="AF309" s="19"/>
      <c r="AG309" s="19"/>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4"/>
      <c r="BR309" s="14"/>
      <c r="BS309" s="14"/>
      <c r="BT309" s="14"/>
      <c r="BU309" s="14"/>
      <c r="BV309" s="14"/>
      <c r="BW309" s="14"/>
      <c r="BX309" s="14"/>
      <c r="BY309" s="14"/>
      <c r="BZ309" s="14"/>
      <c r="CA309" s="14"/>
      <c r="CB309" s="14"/>
      <c r="CC309" s="14"/>
      <c r="CD309" s="14"/>
      <c r="CE309" s="14"/>
      <c r="CF309" s="14"/>
      <c r="CG309" s="14"/>
      <c r="CH309" s="14"/>
      <c r="CI309" s="14"/>
      <c r="CJ309" s="14"/>
      <c r="CK309" s="14"/>
      <c r="CL309" s="14"/>
      <c r="CM309" s="14"/>
      <c r="CN309" s="14"/>
      <c r="CO309" s="14"/>
      <c r="CP309" s="14"/>
      <c r="CQ309" s="14"/>
      <c r="CR309" s="14"/>
      <c r="CS309" s="14"/>
      <c r="CT309" s="14"/>
      <c r="CU309" s="14"/>
      <c r="CV309" s="14"/>
      <c r="CW309" s="14"/>
      <c r="CX309" s="14"/>
      <c r="CY309" s="14"/>
      <c r="CZ309" s="14"/>
      <c r="DA309" s="14"/>
      <c r="DB309" s="14"/>
      <c r="DC309" s="14"/>
      <c r="DD309" s="14"/>
      <c r="DE309" s="14"/>
      <c r="DF309" s="14"/>
      <c r="DG309" s="14"/>
      <c r="DH309" s="14"/>
      <c r="DI309" s="14"/>
      <c r="DJ309" s="14"/>
      <c r="DK309" s="14"/>
      <c r="DL309" s="14"/>
      <c r="DM309" s="14"/>
      <c r="DN309" s="14"/>
      <c r="DO309" s="14"/>
      <c r="DP309" s="14"/>
      <c r="DQ309" s="14"/>
      <c r="DR309" s="14"/>
      <c r="DS309" s="14"/>
      <c r="DT309" s="14"/>
      <c r="DU309" s="14"/>
      <c r="DV309" s="14"/>
      <c r="DW309" s="14"/>
      <c r="DX309" s="14"/>
      <c r="DY309" s="14"/>
      <c r="DZ309" s="14"/>
      <c r="EA309" s="14"/>
      <c r="EB309" s="14"/>
      <c r="EC309" s="14"/>
      <c r="ED309" s="14"/>
      <c r="EE309" s="14"/>
      <c r="EF309" s="14"/>
      <c r="EG309" s="14"/>
      <c r="EH309" s="14"/>
      <c r="EI309" s="14"/>
      <c r="EJ309" s="14"/>
      <c r="EK309" s="14"/>
      <c r="EL309" s="14"/>
      <c r="EM309" s="14"/>
      <c r="EN309" s="14"/>
      <c r="EO309" s="14"/>
      <c r="EP309" s="14"/>
      <c r="EQ309" s="14"/>
      <c r="ER309" s="14"/>
      <c r="ES309" s="14"/>
      <c r="ET309" s="14"/>
      <c r="EU309" s="14"/>
      <c r="EV309" s="14"/>
      <c r="EW309" s="14"/>
      <c r="EX309" s="14"/>
      <c r="EY309" s="14"/>
      <c r="EZ309" s="14"/>
      <c r="FA309" s="14"/>
      <c r="FB309" s="14"/>
      <c r="FC309" s="14"/>
      <c r="FD309" s="14"/>
      <c r="FE309" s="14"/>
      <c r="FF309" s="14"/>
      <c r="FG309" s="14"/>
      <c r="FH309" s="14"/>
      <c r="FI309" s="14"/>
      <c r="FJ309" s="14"/>
      <c r="FK309" s="14"/>
      <c r="FL309" s="14"/>
      <c r="FM309" s="14"/>
      <c r="FN309" s="14"/>
      <c r="FO309" s="14"/>
      <c r="FP309" s="14"/>
      <c r="FQ309" s="14"/>
      <c r="FR309" s="14"/>
      <c r="FS309" s="14"/>
      <c r="FT309" s="14"/>
      <c r="FU309" s="14"/>
      <c r="FV309" s="14"/>
      <c r="FW309" s="14"/>
      <c r="FX309" s="14"/>
      <c r="FY309" s="14"/>
      <c r="FZ309" s="14"/>
      <c r="GA309" s="14"/>
      <c r="GB309" s="14"/>
      <c r="GC309" s="14"/>
      <c r="GD309" s="14"/>
      <c r="GE309" s="14"/>
      <c r="GF309" s="14"/>
      <c r="GG309" s="14"/>
      <c r="GH309" s="14"/>
      <c r="GI309" s="14"/>
      <c r="GJ309" s="14"/>
      <c r="GK309" s="14"/>
      <c r="GL309" s="14"/>
      <c r="GM309" s="14"/>
      <c r="GN309" s="14"/>
      <c r="GO309" s="14"/>
      <c r="GP309" s="14"/>
      <c r="GQ309" s="14"/>
      <c r="GR309" s="14"/>
      <c r="GS309" s="14"/>
      <c r="GT309" s="14"/>
      <c r="GU309" s="14"/>
      <c r="GV309" s="14"/>
      <c r="GW309" s="14"/>
      <c r="GX309" s="14"/>
      <c r="GY309" s="14"/>
      <c r="GZ309" s="14"/>
      <c r="HA309" s="14"/>
      <c r="HB309" s="14"/>
      <c r="HC309" s="14"/>
      <c r="HD309" s="14"/>
      <c r="HE309" s="14"/>
      <c r="HF309" s="14"/>
      <c r="HG309" s="14"/>
      <c r="HH309" s="14"/>
      <c r="HI309" s="14"/>
      <c r="HJ309" s="14"/>
      <c r="HK309" s="14"/>
      <c r="HL309" s="14"/>
      <c r="HM309" s="14"/>
      <c r="HN309" s="14"/>
      <c r="HO309" s="14"/>
      <c r="HP309" s="14"/>
      <c r="HQ309" s="14"/>
      <c r="HR309" s="14"/>
      <c r="HS309" s="14"/>
      <c r="HT309" s="14"/>
    </row>
    <row r="310" spans="1:228" ht="15" customHeight="1" x14ac:dyDescent="0.2">
      <c r="A310" s="3"/>
      <c r="B310" s="586"/>
      <c r="C310" s="582"/>
      <c r="D310" s="587"/>
      <c r="E310" s="567"/>
      <c r="F310" s="1410" t="str">
        <f>IF(OR(S308=1,Z297=1,Z297=5,Z297=6,Z297=7),"","Plantaris")</f>
        <v/>
      </c>
      <c r="G310" s="1410"/>
      <c r="H310" s="1410"/>
      <c r="I310" s="1410"/>
      <c r="J310" s="1410"/>
      <c r="K310" s="1410"/>
      <c r="L310" s="1410"/>
      <c r="M310" s="88">
        <f t="shared" si="30"/>
        <v>0</v>
      </c>
      <c r="N310" s="254"/>
      <c r="O310" s="254"/>
      <c r="P310" s="355" t="str">
        <f t="shared" ref="P310:P317" si="33">IF(X310=0,"",X310)</f>
        <v/>
      </c>
      <c r="R310" s="745" t="b">
        <v>0</v>
      </c>
      <c r="S310" s="736">
        <f t="shared" si="26"/>
        <v>0</v>
      </c>
      <c r="T310" s="747">
        <f t="shared" si="27"/>
        <v>0</v>
      </c>
      <c r="U310" s="747">
        <f t="shared" si="28"/>
        <v>0</v>
      </c>
      <c r="V310" s="747">
        <f t="shared" si="31"/>
        <v>0</v>
      </c>
      <c r="W310" s="747">
        <f t="shared" si="32"/>
        <v>0</v>
      </c>
      <c r="X310" s="747">
        <f t="shared" si="29"/>
        <v>0</v>
      </c>
      <c r="Y310" s="18"/>
      <c r="Z310" s="18"/>
      <c r="AA310" s="18"/>
      <c r="AB310" s="19"/>
      <c r="AC310" s="19"/>
      <c r="AD310" s="19"/>
      <c r="AE310" s="19"/>
      <c r="AF310" s="19"/>
      <c r="AG310" s="19"/>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4"/>
      <c r="BR310" s="14"/>
      <c r="BS310" s="14"/>
      <c r="BT310" s="14"/>
      <c r="BU310" s="14"/>
      <c r="BV310" s="14"/>
      <c r="BW310" s="14"/>
      <c r="BX310" s="14"/>
      <c r="BY310" s="14"/>
      <c r="BZ310" s="14"/>
      <c r="CA310" s="14"/>
      <c r="CB310" s="14"/>
      <c r="CC310" s="14"/>
      <c r="CD310" s="14"/>
      <c r="CE310" s="14"/>
      <c r="CF310" s="14"/>
      <c r="CG310" s="14"/>
      <c r="CH310" s="14"/>
      <c r="CI310" s="14"/>
      <c r="CJ310" s="14"/>
      <c r="CK310" s="14"/>
      <c r="CL310" s="14"/>
      <c r="CM310" s="14"/>
      <c r="CN310" s="14"/>
      <c r="CO310" s="14"/>
      <c r="CP310" s="14"/>
      <c r="CQ310" s="14"/>
      <c r="CR310" s="14"/>
      <c r="CS310" s="14"/>
      <c r="CT310" s="14"/>
      <c r="CU310" s="14"/>
      <c r="CV310" s="14"/>
      <c r="CW310" s="14"/>
      <c r="CX310" s="14"/>
      <c r="CY310" s="14"/>
      <c r="CZ310" s="14"/>
      <c r="DA310" s="14"/>
      <c r="DB310" s="14"/>
      <c r="DC310" s="14"/>
      <c r="DD310" s="14"/>
      <c r="DE310" s="14"/>
      <c r="DF310" s="14"/>
      <c r="DG310" s="14"/>
      <c r="DH310" s="14"/>
      <c r="DI310" s="14"/>
      <c r="DJ310" s="14"/>
      <c r="DK310" s="14"/>
      <c r="DL310" s="14"/>
      <c r="DM310" s="14"/>
      <c r="DN310" s="14"/>
      <c r="DO310" s="14"/>
      <c r="DP310" s="14"/>
      <c r="DQ310" s="14"/>
      <c r="DR310" s="14"/>
      <c r="DS310" s="14"/>
      <c r="DT310" s="14"/>
      <c r="DU310" s="14"/>
      <c r="DV310" s="14"/>
      <c r="DW310" s="14"/>
      <c r="DX310" s="14"/>
      <c r="DY310" s="14"/>
      <c r="DZ310" s="14"/>
      <c r="EA310" s="14"/>
      <c r="EB310" s="14"/>
      <c r="EC310" s="14"/>
      <c r="ED310" s="14"/>
      <c r="EE310" s="14"/>
      <c r="EF310" s="14"/>
      <c r="EG310" s="14"/>
      <c r="EH310" s="14"/>
      <c r="EI310" s="14"/>
      <c r="EJ310" s="14"/>
      <c r="EK310" s="14"/>
      <c r="EL310" s="14"/>
      <c r="EM310" s="14"/>
      <c r="EN310" s="14"/>
      <c r="EO310" s="14"/>
      <c r="EP310" s="14"/>
      <c r="EQ310" s="14"/>
      <c r="ER310" s="14"/>
      <c r="ES310" s="14"/>
      <c r="ET310" s="14"/>
      <c r="EU310" s="14"/>
      <c r="EV310" s="14"/>
      <c r="EW310" s="14"/>
      <c r="EX310" s="14"/>
      <c r="EY310" s="14"/>
      <c r="EZ310" s="14"/>
      <c r="FA310" s="14"/>
      <c r="FB310" s="14"/>
      <c r="FC310" s="14"/>
      <c r="FD310" s="14"/>
      <c r="FE310" s="14"/>
      <c r="FF310" s="14"/>
      <c r="FG310" s="14"/>
      <c r="FH310" s="14"/>
      <c r="FI310" s="14"/>
      <c r="FJ310" s="14"/>
      <c r="FK310" s="14"/>
      <c r="FL310" s="14"/>
      <c r="FM310" s="14"/>
      <c r="FN310" s="14"/>
      <c r="FO310" s="14"/>
      <c r="FP310" s="14"/>
      <c r="FQ310" s="14"/>
      <c r="FR310" s="14"/>
      <c r="FS310" s="14"/>
      <c r="FT310" s="14"/>
      <c r="FU310" s="14"/>
      <c r="FV310" s="14"/>
      <c r="FW310" s="14"/>
      <c r="FX310" s="14"/>
      <c r="FY310" s="14"/>
      <c r="FZ310" s="14"/>
      <c r="GA310" s="14"/>
      <c r="GB310" s="14"/>
      <c r="GC310" s="14"/>
      <c r="GD310" s="14"/>
      <c r="GE310" s="14"/>
      <c r="GF310" s="14"/>
      <c r="GG310" s="14"/>
      <c r="GH310" s="14"/>
      <c r="GI310" s="14"/>
      <c r="GJ310" s="14"/>
      <c r="GK310" s="14"/>
      <c r="GL310" s="14"/>
      <c r="GM310" s="14"/>
      <c r="GN310" s="14"/>
      <c r="GO310" s="14"/>
      <c r="GP310" s="14"/>
      <c r="GQ310" s="14"/>
      <c r="GR310" s="14"/>
      <c r="GS310" s="14"/>
      <c r="GT310" s="14"/>
      <c r="GU310" s="14"/>
      <c r="GV310" s="14"/>
      <c r="GW310" s="14"/>
      <c r="GX310" s="14"/>
      <c r="GY310" s="14"/>
      <c r="GZ310" s="14"/>
      <c r="HA310" s="14"/>
      <c r="HB310" s="14"/>
      <c r="HC310" s="14"/>
      <c r="HD310" s="14"/>
      <c r="HE310" s="14"/>
      <c r="HF310" s="14"/>
      <c r="HG310" s="14"/>
      <c r="HH310" s="14"/>
      <c r="HI310" s="14"/>
      <c r="HJ310" s="14"/>
      <c r="HK310" s="14"/>
      <c r="HL310" s="14"/>
      <c r="HM310" s="14"/>
      <c r="HN310" s="14"/>
      <c r="HO310" s="14"/>
      <c r="HP310" s="14"/>
      <c r="HQ310" s="14"/>
      <c r="HR310" s="14"/>
      <c r="HS310" s="14"/>
      <c r="HT310" s="14"/>
    </row>
    <row r="311" spans="1:228" ht="15" customHeight="1" x14ac:dyDescent="0.2">
      <c r="A311" s="3"/>
      <c r="B311" s="586"/>
      <c r="C311" s="582"/>
      <c r="D311" s="587"/>
      <c r="E311" s="567"/>
      <c r="F311" s="1887" t="str">
        <f>IF(OR(S308=1,Z297=1,Z297=5,Z297=6,Z297=7),"","Popliteus")</f>
        <v/>
      </c>
      <c r="G311" s="1887"/>
      <c r="H311" s="1887"/>
      <c r="I311" s="1887"/>
      <c r="J311" s="1887"/>
      <c r="K311" s="1887"/>
      <c r="L311" s="1887"/>
      <c r="M311" s="88">
        <f t="shared" si="30"/>
        <v>0</v>
      </c>
      <c r="N311" s="254"/>
      <c r="O311" s="254"/>
      <c r="P311" s="355" t="str">
        <f t="shared" si="33"/>
        <v/>
      </c>
      <c r="R311" s="745" t="b">
        <v>0</v>
      </c>
      <c r="S311" s="736">
        <f t="shared" si="26"/>
        <v>0</v>
      </c>
      <c r="T311" s="747">
        <f t="shared" si="27"/>
        <v>0</v>
      </c>
      <c r="U311" s="747">
        <f t="shared" si="28"/>
        <v>0</v>
      </c>
      <c r="V311" s="747">
        <f t="shared" si="31"/>
        <v>0</v>
      </c>
      <c r="W311" s="747">
        <f t="shared" si="32"/>
        <v>0</v>
      </c>
      <c r="X311" s="747">
        <f t="shared" si="29"/>
        <v>0</v>
      </c>
      <c r="Y311" s="18"/>
      <c r="Z311" s="18"/>
      <c r="AA311" s="19"/>
      <c r="AB311" s="19"/>
      <c r="AC311" s="19"/>
      <c r="AD311" s="19"/>
      <c r="AE311" s="19"/>
      <c r="AF311" s="19"/>
      <c r="AG311" s="19"/>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4"/>
      <c r="BR311" s="14"/>
      <c r="BS311" s="14"/>
      <c r="BT311" s="14"/>
      <c r="BU311" s="14"/>
      <c r="BV311" s="14"/>
      <c r="BW311" s="14"/>
      <c r="BX311" s="14"/>
      <c r="BY311" s="14"/>
      <c r="BZ311" s="14"/>
      <c r="CA311" s="14"/>
      <c r="CB311" s="14"/>
      <c r="CC311" s="14"/>
      <c r="CD311" s="14"/>
      <c r="CE311" s="14"/>
      <c r="CF311" s="14"/>
      <c r="CG311" s="14"/>
      <c r="CH311" s="14"/>
      <c r="CI311" s="14"/>
      <c r="CJ311" s="14"/>
      <c r="CK311" s="14"/>
      <c r="CL311" s="14"/>
      <c r="CM311" s="14"/>
      <c r="CN311" s="14"/>
      <c r="CO311" s="14"/>
      <c r="CP311" s="14"/>
      <c r="CQ311" s="14"/>
      <c r="CR311" s="14"/>
      <c r="CS311" s="14"/>
      <c r="CT311" s="14"/>
      <c r="CU311" s="14"/>
      <c r="CV311" s="14"/>
      <c r="CW311" s="14"/>
      <c r="CX311" s="14"/>
      <c r="CY311" s="14"/>
      <c r="CZ311" s="14"/>
      <c r="DA311" s="14"/>
      <c r="DB311" s="14"/>
      <c r="DC311" s="14"/>
      <c r="DD311" s="14"/>
      <c r="DE311" s="14"/>
      <c r="DF311" s="14"/>
      <c r="DG311" s="14"/>
      <c r="DH311" s="14"/>
      <c r="DI311" s="14"/>
      <c r="DJ311" s="14"/>
      <c r="DK311" s="14"/>
      <c r="DL311" s="14"/>
      <c r="DM311" s="14"/>
      <c r="DN311" s="14"/>
      <c r="DO311" s="14"/>
      <c r="DP311" s="14"/>
      <c r="DQ311" s="14"/>
      <c r="DR311" s="14"/>
      <c r="DS311" s="14"/>
      <c r="DT311" s="14"/>
      <c r="DU311" s="14"/>
      <c r="DV311" s="14"/>
      <c r="DW311" s="14"/>
      <c r="DX311" s="14"/>
      <c r="DY311" s="14"/>
      <c r="DZ311" s="14"/>
      <c r="EA311" s="14"/>
      <c r="EB311" s="14"/>
      <c r="EC311" s="14"/>
      <c r="ED311" s="14"/>
      <c r="EE311" s="14"/>
      <c r="EF311" s="14"/>
      <c r="EG311" s="14"/>
      <c r="EH311" s="14"/>
      <c r="EI311" s="14"/>
      <c r="EJ311" s="14"/>
      <c r="EK311" s="14"/>
      <c r="EL311" s="14"/>
      <c r="EM311" s="14"/>
      <c r="EN311" s="14"/>
      <c r="EO311" s="14"/>
      <c r="EP311" s="14"/>
      <c r="EQ311" s="14"/>
      <c r="ER311" s="14"/>
      <c r="ES311" s="14"/>
      <c r="ET311" s="14"/>
      <c r="EU311" s="14"/>
      <c r="EV311" s="14"/>
      <c r="EW311" s="14"/>
      <c r="EX311" s="14"/>
      <c r="EY311" s="14"/>
      <c r="EZ311" s="14"/>
      <c r="FA311" s="14"/>
      <c r="FB311" s="14"/>
      <c r="FC311" s="14"/>
      <c r="FD311" s="14"/>
      <c r="FE311" s="14"/>
      <c r="FF311" s="14"/>
      <c r="FG311" s="14"/>
      <c r="FH311" s="14"/>
      <c r="FI311" s="14"/>
      <c r="FJ311" s="14"/>
      <c r="FK311" s="14"/>
      <c r="FL311" s="14"/>
      <c r="FM311" s="14"/>
      <c r="FN311" s="14"/>
      <c r="FO311" s="14"/>
      <c r="FP311" s="14"/>
      <c r="FQ311" s="14"/>
      <c r="FR311" s="14"/>
      <c r="FS311" s="14"/>
      <c r="FT311" s="14"/>
      <c r="FU311" s="14"/>
      <c r="FV311" s="14"/>
      <c r="FW311" s="14"/>
      <c r="FX311" s="14"/>
      <c r="FY311" s="14"/>
      <c r="FZ311" s="14"/>
      <c r="GA311" s="14"/>
      <c r="GB311" s="14"/>
      <c r="GC311" s="14"/>
      <c r="GD311" s="14"/>
      <c r="GE311" s="14"/>
      <c r="GF311" s="14"/>
      <c r="GG311" s="14"/>
      <c r="GH311" s="14"/>
      <c r="GI311" s="14"/>
      <c r="GJ311" s="14"/>
      <c r="GK311" s="14"/>
      <c r="GL311" s="14"/>
      <c r="GM311" s="14"/>
      <c r="GN311" s="14"/>
      <c r="GO311" s="14"/>
      <c r="GP311" s="14"/>
      <c r="GQ311" s="14"/>
      <c r="GR311" s="14"/>
      <c r="GS311" s="14"/>
      <c r="GT311" s="14"/>
      <c r="GU311" s="14"/>
      <c r="GV311" s="14"/>
      <c r="GW311" s="14"/>
      <c r="GX311" s="14"/>
      <c r="GY311" s="14"/>
      <c r="GZ311" s="14"/>
      <c r="HA311" s="14"/>
      <c r="HB311" s="14"/>
      <c r="HC311" s="14"/>
      <c r="HD311" s="14"/>
      <c r="HE311" s="14"/>
      <c r="HF311" s="14"/>
      <c r="HG311" s="14"/>
      <c r="HH311" s="14"/>
      <c r="HI311" s="14"/>
      <c r="HJ311" s="14"/>
      <c r="HK311" s="14"/>
      <c r="HL311" s="14"/>
      <c r="HM311" s="14"/>
      <c r="HN311" s="14"/>
      <c r="HO311" s="14"/>
      <c r="HP311" s="14"/>
      <c r="HQ311" s="14"/>
      <c r="HR311" s="14"/>
      <c r="HS311" s="14"/>
      <c r="HT311" s="14"/>
    </row>
    <row r="312" spans="1:228" ht="15" customHeight="1" x14ac:dyDescent="0.2">
      <c r="A312" s="3"/>
      <c r="B312" s="586"/>
      <c r="C312" s="582"/>
      <c r="D312" s="587"/>
      <c r="E312" s="567"/>
      <c r="F312" s="1410" t="str">
        <f>IF(OR(S308=1,Z297=1,Z297=5,Z297=6,Z297=7),"","Soleus")</f>
        <v/>
      </c>
      <c r="G312" s="1410"/>
      <c r="H312" s="1410"/>
      <c r="I312" s="1410"/>
      <c r="J312" s="1410"/>
      <c r="K312" s="1410"/>
      <c r="L312" s="1410"/>
      <c r="M312" s="88">
        <f t="shared" si="30"/>
        <v>0</v>
      </c>
      <c r="N312" s="254"/>
      <c r="O312" s="254"/>
      <c r="P312" s="355" t="str">
        <f t="shared" si="33"/>
        <v/>
      </c>
      <c r="R312" s="686" t="b">
        <v>0</v>
      </c>
      <c r="S312" s="736">
        <f t="shared" si="26"/>
        <v>0</v>
      </c>
      <c r="T312" s="747">
        <f t="shared" si="27"/>
        <v>0</v>
      </c>
      <c r="U312" s="747">
        <f t="shared" si="28"/>
        <v>0</v>
      </c>
      <c r="V312" s="747">
        <f t="shared" si="31"/>
        <v>0</v>
      </c>
      <c r="W312" s="747">
        <f t="shared" si="32"/>
        <v>0</v>
      </c>
      <c r="X312" s="747">
        <f t="shared" si="29"/>
        <v>0</v>
      </c>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4"/>
      <c r="BR312" s="14"/>
      <c r="BS312" s="14"/>
      <c r="BT312" s="14"/>
      <c r="BU312" s="14"/>
      <c r="BV312" s="14"/>
      <c r="BW312" s="14"/>
      <c r="BX312" s="14"/>
      <c r="BY312" s="14"/>
      <c r="BZ312" s="14"/>
      <c r="CA312" s="14"/>
      <c r="CB312" s="14"/>
      <c r="CC312" s="14"/>
      <c r="CD312" s="14"/>
      <c r="CE312" s="14"/>
      <c r="CF312" s="14"/>
      <c r="CG312" s="14"/>
      <c r="CH312" s="14"/>
      <c r="CI312" s="14"/>
      <c r="CJ312" s="14"/>
      <c r="CK312" s="14"/>
      <c r="CL312" s="14"/>
      <c r="CM312" s="14"/>
      <c r="CN312" s="14"/>
      <c r="CO312" s="14"/>
      <c r="CP312" s="14"/>
      <c r="CQ312" s="14"/>
      <c r="CR312" s="14"/>
      <c r="CS312" s="14"/>
      <c r="CT312" s="14"/>
      <c r="CU312" s="14"/>
      <c r="CV312" s="14"/>
      <c r="CW312" s="14"/>
      <c r="CX312" s="14"/>
      <c r="CY312" s="14"/>
      <c r="CZ312" s="14"/>
      <c r="DA312" s="14"/>
      <c r="DB312" s="14"/>
      <c r="DC312" s="14"/>
      <c r="DD312" s="14"/>
      <c r="DE312" s="14"/>
      <c r="DF312" s="14"/>
      <c r="DG312" s="14"/>
      <c r="DH312" s="14"/>
      <c r="DI312" s="14"/>
      <c r="DJ312" s="14"/>
      <c r="DK312" s="14"/>
      <c r="DL312" s="14"/>
      <c r="DM312" s="14"/>
      <c r="DN312" s="14"/>
      <c r="DO312" s="14"/>
      <c r="DP312" s="14"/>
      <c r="DQ312" s="14"/>
      <c r="DR312" s="14"/>
      <c r="DS312" s="14"/>
      <c r="DT312" s="14"/>
      <c r="DU312" s="14"/>
      <c r="DV312" s="14"/>
      <c r="DW312" s="14"/>
      <c r="DX312" s="14"/>
      <c r="DY312" s="14"/>
      <c r="DZ312" s="14"/>
      <c r="EA312" s="14"/>
      <c r="EB312" s="14"/>
      <c r="EC312" s="14"/>
      <c r="ED312" s="14"/>
      <c r="EE312" s="14"/>
      <c r="EF312" s="14"/>
      <c r="EG312" s="14"/>
      <c r="EH312" s="14"/>
      <c r="EI312" s="14"/>
      <c r="EJ312" s="14"/>
      <c r="EK312" s="14"/>
      <c r="EL312" s="14"/>
      <c r="EM312" s="14"/>
      <c r="EN312" s="14"/>
      <c r="EO312" s="14"/>
      <c r="EP312" s="14"/>
      <c r="EQ312" s="14"/>
      <c r="ER312" s="14"/>
      <c r="ES312" s="14"/>
      <c r="ET312" s="14"/>
      <c r="EU312" s="14"/>
      <c r="EV312" s="14"/>
      <c r="EW312" s="14"/>
      <c r="EX312" s="14"/>
      <c r="EY312" s="14"/>
      <c r="EZ312" s="14"/>
      <c r="FA312" s="14"/>
      <c r="FB312" s="14"/>
      <c r="FC312" s="14"/>
      <c r="FD312" s="14"/>
      <c r="FE312" s="14"/>
      <c r="FF312" s="14"/>
      <c r="FG312" s="14"/>
      <c r="FH312" s="14"/>
      <c r="FI312" s="14"/>
      <c r="FJ312" s="14"/>
      <c r="FK312" s="14"/>
      <c r="FL312" s="14"/>
      <c r="FM312" s="14"/>
      <c r="FN312" s="14"/>
      <c r="FO312" s="14"/>
      <c r="FP312" s="14"/>
      <c r="FQ312" s="14"/>
      <c r="FR312" s="14"/>
      <c r="FS312" s="14"/>
      <c r="FT312" s="14"/>
      <c r="FU312" s="14"/>
      <c r="FV312" s="14"/>
      <c r="FW312" s="14"/>
      <c r="FX312" s="14"/>
      <c r="FY312" s="14"/>
      <c r="FZ312" s="14"/>
      <c r="GA312" s="14"/>
      <c r="GB312" s="14"/>
      <c r="GC312" s="14"/>
      <c r="GD312" s="14"/>
      <c r="GE312" s="14"/>
      <c r="GF312" s="14"/>
      <c r="GG312" s="14"/>
      <c r="GH312" s="14"/>
      <c r="GI312" s="14"/>
      <c r="GJ312" s="14"/>
      <c r="GK312" s="14"/>
      <c r="GL312" s="14"/>
      <c r="GM312" s="14"/>
      <c r="GN312" s="14"/>
      <c r="GO312" s="14"/>
      <c r="GP312" s="14"/>
      <c r="GQ312" s="14"/>
      <c r="GR312" s="14"/>
      <c r="GS312" s="14"/>
      <c r="GT312" s="14"/>
      <c r="GU312" s="14"/>
      <c r="GV312" s="14"/>
      <c r="GW312" s="14"/>
      <c r="GX312" s="14"/>
      <c r="GY312" s="14"/>
      <c r="GZ312" s="14"/>
      <c r="HA312" s="14"/>
      <c r="HB312" s="14"/>
      <c r="HC312" s="14"/>
      <c r="HD312" s="14"/>
      <c r="HE312" s="14"/>
      <c r="HF312" s="14"/>
      <c r="HG312" s="14"/>
      <c r="HH312" s="14"/>
      <c r="HI312" s="14"/>
      <c r="HJ312" s="14"/>
      <c r="HK312" s="14"/>
      <c r="HL312" s="14"/>
      <c r="HM312" s="14"/>
      <c r="HN312" s="14"/>
      <c r="HO312" s="14"/>
      <c r="HP312" s="14"/>
      <c r="HQ312" s="14"/>
      <c r="HR312" s="14"/>
      <c r="HS312" s="14"/>
      <c r="HT312" s="14"/>
    </row>
    <row r="313" spans="1:228" ht="15" customHeight="1" x14ac:dyDescent="0.2">
      <c r="A313" s="3"/>
      <c r="B313" s="586"/>
      <c r="C313" s="582"/>
      <c r="D313" s="587"/>
      <c r="E313" s="567"/>
      <c r="F313" s="1887" t="str">
        <f>IF(OR(S308=1,Z297=1,Z297=5,Z297=6,Z297=7),"","Tibialis posterior")</f>
        <v/>
      </c>
      <c r="G313" s="1887"/>
      <c r="H313" s="1887"/>
      <c r="I313" s="1887"/>
      <c r="J313" s="1887"/>
      <c r="K313" s="1887"/>
      <c r="L313" s="1887"/>
      <c r="M313" s="88">
        <f t="shared" si="30"/>
        <v>0</v>
      </c>
      <c r="N313" s="254"/>
      <c r="O313" s="254"/>
      <c r="P313" s="355" t="str">
        <f t="shared" si="33"/>
        <v/>
      </c>
      <c r="R313" s="686" t="b">
        <v>0</v>
      </c>
      <c r="S313" s="736">
        <f t="shared" si="26"/>
        <v>0</v>
      </c>
      <c r="T313" s="747">
        <f t="shared" si="27"/>
        <v>0</v>
      </c>
      <c r="U313" s="747">
        <f t="shared" si="28"/>
        <v>0</v>
      </c>
      <c r="V313" s="747">
        <f t="shared" si="31"/>
        <v>0</v>
      </c>
      <c r="W313" s="747">
        <f t="shared" si="32"/>
        <v>0</v>
      </c>
      <c r="X313" s="747">
        <f t="shared" si="29"/>
        <v>0</v>
      </c>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57"/>
      <c r="BE313" s="19"/>
      <c r="BF313" s="19"/>
      <c r="BG313" s="19"/>
      <c r="BH313" s="19"/>
      <c r="BI313" s="19"/>
      <c r="BJ313" s="19"/>
      <c r="BK313" s="19"/>
      <c r="BL313" s="19"/>
      <c r="BM313" s="19"/>
      <c r="BN313" s="19"/>
      <c r="BO313" s="19"/>
      <c r="BP313" s="19"/>
      <c r="BQ313" s="15"/>
      <c r="BR313" s="14"/>
      <c r="BS313" s="18"/>
      <c r="BT313" s="18"/>
      <c r="BU313" s="18"/>
      <c r="BV313" s="18"/>
      <c r="BW313" s="14"/>
      <c r="BX313" s="14"/>
      <c r="BY313" s="14"/>
      <c r="BZ313" s="14"/>
      <c r="CA313" s="14"/>
      <c r="CB313" s="14"/>
      <c r="CC313" s="14"/>
      <c r="CD313" s="14"/>
      <c r="CE313" s="14"/>
      <c r="CF313" s="14"/>
      <c r="CG313" s="14"/>
      <c r="CH313" s="14"/>
      <c r="CI313" s="14"/>
      <c r="CJ313" s="14"/>
      <c r="CK313" s="14"/>
      <c r="CL313" s="14"/>
      <c r="CM313" s="14"/>
      <c r="CN313" s="14"/>
      <c r="CO313" s="14"/>
      <c r="CP313" s="14"/>
      <c r="CQ313" s="14"/>
      <c r="CR313" s="14"/>
      <c r="CS313" s="14"/>
      <c r="CT313" s="14"/>
      <c r="CU313" s="14"/>
      <c r="CV313" s="14"/>
      <c r="CW313" s="14"/>
      <c r="CX313" s="14"/>
      <c r="CY313" s="14"/>
      <c r="CZ313" s="14"/>
      <c r="DA313" s="14"/>
      <c r="DB313" s="14"/>
      <c r="DC313" s="14"/>
      <c r="DD313" s="14"/>
      <c r="DE313" s="14"/>
      <c r="DF313" s="14"/>
      <c r="DG313" s="14"/>
      <c r="DH313" s="14"/>
      <c r="DI313" s="14"/>
      <c r="DJ313" s="14"/>
      <c r="DK313" s="14"/>
      <c r="DL313" s="14"/>
      <c r="DM313" s="14"/>
      <c r="DN313" s="14"/>
      <c r="DO313" s="14"/>
      <c r="DP313" s="14"/>
      <c r="DQ313" s="14"/>
      <c r="DR313" s="14"/>
      <c r="DS313" s="14"/>
      <c r="DT313" s="14"/>
      <c r="DU313" s="14"/>
      <c r="DV313" s="14"/>
      <c r="DW313" s="14"/>
      <c r="DX313" s="14"/>
      <c r="DY313" s="14"/>
      <c r="DZ313" s="14"/>
      <c r="EA313" s="14"/>
      <c r="EB313" s="14"/>
      <c r="EC313" s="14"/>
      <c r="ED313" s="14"/>
      <c r="EE313" s="14"/>
      <c r="EF313" s="14"/>
      <c r="EG313" s="14"/>
      <c r="EH313" s="14"/>
      <c r="EI313" s="14"/>
      <c r="EJ313" s="14"/>
      <c r="EK313" s="14"/>
      <c r="EL313" s="14"/>
      <c r="EM313" s="14"/>
      <c r="EN313" s="14"/>
      <c r="EO313" s="14"/>
      <c r="EP313" s="14"/>
      <c r="EQ313" s="14"/>
      <c r="ER313" s="14"/>
      <c r="ES313" s="14"/>
      <c r="ET313" s="14"/>
      <c r="EU313" s="14"/>
      <c r="EV313" s="14"/>
      <c r="EW313" s="14"/>
      <c r="EX313" s="14"/>
      <c r="EY313" s="14"/>
      <c r="EZ313" s="14"/>
      <c r="FA313" s="14"/>
      <c r="FB313" s="14"/>
      <c r="FC313" s="14"/>
      <c r="FD313" s="14"/>
      <c r="FE313" s="14"/>
      <c r="FF313" s="14"/>
      <c r="FG313" s="14"/>
      <c r="FH313" s="14"/>
      <c r="FI313" s="14"/>
      <c r="FJ313" s="14"/>
      <c r="FK313" s="14"/>
      <c r="FL313" s="14"/>
      <c r="FM313" s="14"/>
      <c r="FN313" s="14"/>
      <c r="FO313" s="14"/>
      <c r="FP313" s="14"/>
      <c r="FQ313" s="14"/>
      <c r="FR313" s="14"/>
      <c r="FS313" s="14"/>
      <c r="FT313" s="14"/>
      <c r="FU313" s="14"/>
      <c r="FV313" s="14"/>
      <c r="FW313" s="14"/>
      <c r="FX313" s="14"/>
      <c r="FY313" s="14"/>
      <c r="FZ313" s="14"/>
      <c r="GA313" s="14"/>
      <c r="GB313" s="14"/>
      <c r="GC313" s="14"/>
      <c r="GD313" s="14"/>
      <c r="GE313" s="14"/>
      <c r="GF313" s="14"/>
      <c r="GG313" s="14"/>
      <c r="GH313" s="14"/>
      <c r="GI313" s="14"/>
      <c r="GJ313" s="14"/>
      <c r="GK313" s="14"/>
      <c r="GL313" s="14"/>
      <c r="GM313" s="14"/>
      <c r="GN313" s="14"/>
      <c r="GO313" s="14"/>
      <c r="GP313" s="14"/>
      <c r="GQ313" s="14"/>
      <c r="GR313" s="14"/>
      <c r="GS313" s="14"/>
      <c r="GT313" s="14"/>
      <c r="GU313" s="14"/>
      <c r="GV313" s="14"/>
      <c r="GW313" s="14"/>
      <c r="GX313" s="14"/>
      <c r="GY313" s="14"/>
      <c r="GZ313" s="14"/>
      <c r="HA313" s="14"/>
      <c r="HB313" s="14"/>
      <c r="HC313" s="14"/>
      <c r="HD313" s="14"/>
      <c r="HE313" s="14"/>
      <c r="HF313" s="14"/>
      <c r="HG313" s="14"/>
      <c r="HH313" s="14"/>
      <c r="HI313" s="14"/>
      <c r="HJ313" s="14"/>
      <c r="HK313" s="14"/>
      <c r="HL313" s="14"/>
      <c r="HM313" s="14"/>
      <c r="HN313" s="14"/>
      <c r="HO313" s="14"/>
      <c r="HP313" s="14"/>
      <c r="HQ313" s="14"/>
      <c r="HR313" s="14"/>
      <c r="HS313" s="14"/>
      <c r="HT313" s="14"/>
    </row>
    <row r="314" spans="1:228" ht="15" customHeight="1" x14ac:dyDescent="0.2">
      <c r="A314" s="3"/>
      <c r="B314" s="586"/>
      <c r="C314" s="582"/>
      <c r="D314" s="587"/>
      <c r="E314" s="567"/>
      <c r="F314" s="1410" t="str">
        <f>IF(OR(S308=1,Z297=1,Z297=5,Z297=6,Z297=7),"","Flexor digitorum longus")</f>
        <v/>
      </c>
      <c r="G314" s="1410"/>
      <c r="H314" s="1410"/>
      <c r="I314" s="1410"/>
      <c r="J314" s="1410"/>
      <c r="K314" s="1410"/>
      <c r="L314" s="1410"/>
      <c r="M314" s="88">
        <f t="shared" si="30"/>
        <v>0</v>
      </c>
      <c r="N314" s="254"/>
      <c r="O314" s="254"/>
      <c r="P314" s="355" t="str">
        <f t="shared" si="33"/>
        <v/>
      </c>
      <c r="R314" s="686" t="b">
        <v>0</v>
      </c>
      <c r="S314" s="736">
        <f t="shared" si="26"/>
        <v>0</v>
      </c>
      <c r="T314" s="747">
        <f t="shared" si="27"/>
        <v>0</v>
      </c>
      <c r="U314" s="747">
        <f t="shared" si="28"/>
        <v>0</v>
      </c>
      <c r="V314" s="747">
        <f t="shared" si="31"/>
        <v>0</v>
      </c>
      <c r="W314" s="747">
        <f t="shared" si="32"/>
        <v>0</v>
      </c>
      <c r="X314" s="747">
        <f t="shared" si="29"/>
        <v>0</v>
      </c>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9"/>
      <c r="BM314" s="19"/>
      <c r="BN314" s="19"/>
      <c r="BO314" s="19"/>
      <c r="BP314" s="19"/>
      <c r="BQ314" s="15"/>
      <c r="BR314" s="14"/>
      <c r="BS314" s="18"/>
      <c r="BT314" s="18"/>
      <c r="BU314" s="18"/>
      <c r="BV314" s="18"/>
      <c r="BW314" s="14"/>
      <c r="BX314" s="14"/>
      <c r="BY314" s="14"/>
      <c r="BZ314" s="14"/>
      <c r="CA314" s="14"/>
      <c r="CB314" s="14"/>
      <c r="CC314" s="14"/>
      <c r="CD314" s="14"/>
      <c r="CE314" s="14"/>
      <c r="CF314" s="14"/>
      <c r="CG314" s="14"/>
      <c r="CH314" s="14"/>
      <c r="CI314" s="14"/>
      <c r="CJ314" s="14"/>
      <c r="CK314" s="14"/>
      <c r="CL314" s="14"/>
      <c r="CM314" s="14"/>
      <c r="CN314" s="14"/>
      <c r="CO314" s="14"/>
      <c r="CP314" s="14"/>
      <c r="CQ314" s="14"/>
      <c r="CR314" s="14"/>
      <c r="CS314" s="14"/>
      <c r="CT314" s="14"/>
      <c r="CU314" s="14"/>
      <c r="CV314" s="14"/>
      <c r="CW314" s="14"/>
      <c r="CX314" s="14"/>
      <c r="CY314" s="14"/>
      <c r="CZ314" s="14"/>
      <c r="DA314" s="14"/>
      <c r="DB314" s="14"/>
      <c r="DC314" s="14"/>
      <c r="DD314" s="14"/>
      <c r="DE314" s="14"/>
      <c r="DF314" s="14"/>
      <c r="DG314" s="14"/>
      <c r="DH314" s="14"/>
      <c r="DI314" s="14"/>
      <c r="DJ314" s="14"/>
      <c r="DK314" s="14"/>
      <c r="DL314" s="14"/>
      <c r="DM314" s="14"/>
      <c r="DN314" s="14"/>
      <c r="DO314" s="14"/>
      <c r="DP314" s="14"/>
      <c r="DQ314" s="14"/>
      <c r="DR314" s="14"/>
      <c r="DS314" s="14"/>
      <c r="DT314" s="14"/>
      <c r="DU314" s="14"/>
      <c r="DV314" s="14"/>
      <c r="DW314" s="14"/>
      <c r="DX314" s="14"/>
      <c r="DY314" s="14"/>
      <c r="DZ314" s="14"/>
      <c r="EA314" s="14"/>
      <c r="EB314" s="14"/>
      <c r="EC314" s="14"/>
      <c r="ED314" s="14"/>
      <c r="EE314" s="14"/>
      <c r="EF314" s="14"/>
      <c r="EG314" s="14"/>
      <c r="EH314" s="14"/>
      <c r="EI314" s="14"/>
      <c r="EJ314" s="14"/>
      <c r="EK314" s="14"/>
      <c r="EL314" s="14"/>
      <c r="EM314" s="14"/>
      <c r="EN314" s="14"/>
      <c r="EO314" s="14"/>
      <c r="EP314" s="14"/>
      <c r="EQ314" s="14"/>
      <c r="ER314" s="14"/>
      <c r="ES314" s="14"/>
      <c r="ET314" s="14"/>
      <c r="EU314" s="14"/>
      <c r="EV314" s="14"/>
      <c r="EW314" s="14"/>
      <c r="EX314" s="14"/>
      <c r="EY314" s="14"/>
      <c r="EZ314" s="14"/>
      <c r="FA314" s="14"/>
      <c r="FB314" s="14"/>
      <c r="FC314" s="14"/>
      <c r="FD314" s="14"/>
      <c r="FE314" s="14"/>
      <c r="FF314" s="14"/>
      <c r="FG314" s="14"/>
      <c r="FH314" s="14"/>
      <c r="FI314" s="14"/>
      <c r="FJ314" s="14"/>
      <c r="FK314" s="14"/>
      <c r="FL314" s="14"/>
      <c r="FM314" s="14"/>
      <c r="FN314" s="14"/>
      <c r="FO314" s="14"/>
      <c r="FP314" s="14"/>
      <c r="FQ314" s="14"/>
      <c r="FR314" s="14"/>
      <c r="FS314" s="14"/>
      <c r="FT314" s="14"/>
      <c r="FU314" s="14"/>
      <c r="FV314" s="14"/>
      <c r="FW314" s="14"/>
      <c r="FX314" s="14"/>
      <c r="FY314" s="14"/>
      <c r="FZ314" s="14"/>
      <c r="GA314" s="14"/>
      <c r="GB314" s="14"/>
      <c r="GC314" s="14"/>
      <c r="GD314" s="14"/>
      <c r="GE314" s="14"/>
      <c r="GF314" s="14"/>
      <c r="GG314" s="14"/>
      <c r="GH314" s="14"/>
      <c r="GI314" s="14"/>
      <c r="GJ314" s="14"/>
      <c r="GK314" s="14"/>
      <c r="GL314" s="14"/>
      <c r="GM314" s="14"/>
      <c r="GN314" s="14"/>
      <c r="GO314" s="14"/>
      <c r="GP314" s="14"/>
      <c r="GQ314" s="14"/>
      <c r="GR314" s="14"/>
      <c r="GS314" s="14"/>
      <c r="GT314" s="14"/>
      <c r="GU314" s="14"/>
      <c r="GV314" s="14"/>
      <c r="GW314" s="14"/>
      <c r="GX314" s="14"/>
      <c r="GY314" s="14"/>
      <c r="GZ314" s="14"/>
      <c r="HA314" s="14"/>
      <c r="HB314" s="14"/>
      <c r="HC314" s="14"/>
      <c r="HD314" s="14"/>
      <c r="HE314" s="14"/>
      <c r="HF314" s="14"/>
      <c r="HG314" s="14"/>
      <c r="HH314" s="14"/>
      <c r="HI314" s="14"/>
      <c r="HJ314" s="14"/>
      <c r="HK314" s="14"/>
      <c r="HL314" s="14"/>
      <c r="HM314" s="14"/>
      <c r="HN314" s="14"/>
      <c r="HO314" s="14"/>
      <c r="HP314" s="14"/>
      <c r="HQ314" s="14"/>
      <c r="HR314" s="14"/>
      <c r="HS314" s="14"/>
      <c r="HT314" s="14"/>
    </row>
    <row r="315" spans="1:228" ht="15" customHeight="1" x14ac:dyDescent="0.2">
      <c r="A315" s="3"/>
      <c r="B315" s="586"/>
      <c r="C315" s="582"/>
      <c r="D315" s="587"/>
      <c r="E315" s="567"/>
      <c r="F315" s="1887" t="str">
        <f>IF(OR(S308=1,Z297=1,Z297=5,Z297=6,Z297=7),"","Flexor hallucis longus")</f>
        <v/>
      </c>
      <c r="G315" s="1887"/>
      <c r="H315" s="1887"/>
      <c r="I315" s="1887"/>
      <c r="J315" s="1887"/>
      <c r="K315" s="1887"/>
      <c r="L315" s="1887"/>
      <c r="M315" s="88">
        <f t="shared" si="30"/>
        <v>0</v>
      </c>
      <c r="N315" s="254"/>
      <c r="O315" s="254"/>
      <c r="P315" s="355" t="str">
        <f t="shared" si="33"/>
        <v/>
      </c>
      <c r="R315" s="686" t="b">
        <v>0</v>
      </c>
      <c r="S315" s="736">
        <f t="shared" si="26"/>
        <v>0</v>
      </c>
      <c r="T315" s="747">
        <f t="shared" si="27"/>
        <v>0</v>
      </c>
      <c r="U315" s="747">
        <f t="shared" si="28"/>
        <v>0</v>
      </c>
      <c r="V315" s="747">
        <f t="shared" si="31"/>
        <v>0</v>
      </c>
      <c r="W315" s="747">
        <f t="shared" si="32"/>
        <v>0</v>
      </c>
      <c r="X315" s="747">
        <f t="shared" si="29"/>
        <v>0</v>
      </c>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4"/>
      <c r="BR315" s="14"/>
      <c r="BS315" s="14"/>
      <c r="BT315" s="14"/>
      <c r="BU315" s="14"/>
      <c r="BV315" s="14"/>
      <c r="BW315" s="14"/>
      <c r="BX315" s="14"/>
      <c r="BY315" s="14"/>
      <c r="BZ315" s="14"/>
      <c r="CA315" s="14"/>
      <c r="CB315" s="14"/>
      <c r="CC315" s="14"/>
      <c r="CD315" s="14"/>
      <c r="CE315" s="14"/>
      <c r="CF315" s="14"/>
      <c r="CG315" s="14"/>
      <c r="CH315" s="14"/>
      <c r="CI315" s="14"/>
      <c r="CJ315" s="14"/>
      <c r="CK315" s="14"/>
      <c r="CL315" s="14"/>
      <c r="CM315" s="14"/>
      <c r="CN315" s="14"/>
      <c r="CO315" s="14"/>
      <c r="CP315" s="14"/>
      <c r="CQ315" s="14"/>
      <c r="CR315" s="14"/>
      <c r="CS315" s="14"/>
      <c r="CT315" s="14"/>
      <c r="CU315" s="14"/>
      <c r="CV315" s="14"/>
      <c r="CW315" s="14"/>
      <c r="CX315" s="14"/>
      <c r="CY315" s="14"/>
      <c r="CZ315" s="14"/>
      <c r="DA315" s="14"/>
      <c r="DB315" s="14"/>
      <c r="DC315" s="14"/>
      <c r="DD315" s="14"/>
      <c r="DE315" s="14"/>
      <c r="DF315" s="14"/>
      <c r="DG315" s="14"/>
      <c r="DH315" s="14"/>
      <c r="DI315" s="14"/>
      <c r="DJ315" s="14"/>
      <c r="DK315" s="14"/>
      <c r="DL315" s="14"/>
      <c r="DM315" s="14"/>
      <c r="DN315" s="14"/>
      <c r="DO315" s="14"/>
      <c r="DP315" s="14"/>
      <c r="DQ315" s="14"/>
      <c r="DR315" s="14"/>
      <c r="DS315" s="14"/>
      <c r="DT315" s="14"/>
      <c r="DU315" s="14"/>
      <c r="DV315" s="14"/>
      <c r="DW315" s="14"/>
      <c r="DX315" s="14"/>
      <c r="DY315" s="14"/>
      <c r="DZ315" s="14"/>
      <c r="EA315" s="14"/>
      <c r="EB315" s="14"/>
      <c r="EC315" s="14"/>
      <c r="ED315" s="14"/>
      <c r="EE315" s="14"/>
      <c r="EF315" s="14"/>
      <c r="EG315" s="14"/>
      <c r="EH315" s="14"/>
      <c r="EI315" s="14"/>
      <c r="EJ315" s="14"/>
      <c r="EK315" s="14"/>
      <c r="EL315" s="14"/>
      <c r="EM315" s="14"/>
      <c r="EN315" s="14"/>
      <c r="EO315" s="14"/>
      <c r="EP315" s="14"/>
      <c r="EQ315" s="14"/>
      <c r="ER315" s="14"/>
      <c r="ES315" s="14"/>
      <c r="ET315" s="14"/>
      <c r="EU315" s="14"/>
      <c r="EV315" s="14"/>
      <c r="EW315" s="14"/>
      <c r="EX315" s="14"/>
      <c r="EY315" s="14"/>
      <c r="EZ315" s="14"/>
      <c r="FA315" s="14"/>
      <c r="FB315" s="14"/>
      <c r="FC315" s="14"/>
      <c r="FD315" s="14"/>
      <c r="FE315" s="14"/>
      <c r="FF315" s="14"/>
      <c r="FG315" s="14"/>
      <c r="FH315" s="14"/>
      <c r="FI315" s="14"/>
      <c r="FJ315" s="14"/>
      <c r="FK315" s="14"/>
      <c r="FL315" s="14"/>
      <c r="FM315" s="14"/>
      <c r="FN315" s="14"/>
      <c r="FO315" s="14"/>
      <c r="FP315" s="14"/>
      <c r="FQ315" s="14"/>
      <c r="FR315" s="14"/>
      <c r="FS315" s="14"/>
      <c r="FT315" s="14"/>
      <c r="FU315" s="14"/>
      <c r="FV315" s="14"/>
      <c r="FW315" s="14"/>
      <c r="FX315" s="14"/>
      <c r="FY315" s="14"/>
      <c r="FZ315" s="14"/>
      <c r="GA315" s="14"/>
      <c r="GB315" s="14"/>
      <c r="GC315" s="14"/>
      <c r="GD315" s="14"/>
      <c r="GE315" s="14"/>
      <c r="GF315" s="14"/>
      <c r="GG315" s="14"/>
      <c r="GH315" s="14"/>
      <c r="GI315" s="14"/>
      <c r="GJ315" s="14"/>
      <c r="GK315" s="14"/>
      <c r="GL315" s="14"/>
      <c r="GM315" s="14"/>
      <c r="GN315" s="14"/>
      <c r="GO315" s="14"/>
      <c r="GP315" s="14"/>
      <c r="GQ315" s="14"/>
      <c r="GR315" s="14"/>
      <c r="GS315" s="14"/>
      <c r="GT315" s="14"/>
      <c r="GU315" s="14"/>
      <c r="GV315" s="14"/>
      <c r="GW315" s="14"/>
      <c r="GX315" s="14"/>
      <c r="GY315" s="14"/>
      <c r="GZ315" s="14"/>
      <c r="HA315" s="14"/>
      <c r="HB315" s="14"/>
      <c r="HC315" s="14"/>
      <c r="HD315" s="14"/>
      <c r="HE315" s="14"/>
      <c r="HF315" s="14"/>
      <c r="HG315" s="14"/>
      <c r="HH315" s="14"/>
      <c r="HI315" s="14"/>
      <c r="HJ315" s="14"/>
      <c r="HK315" s="14"/>
      <c r="HL315" s="14"/>
      <c r="HM315" s="14"/>
      <c r="HN315" s="14"/>
      <c r="HO315" s="14"/>
      <c r="HP315" s="14"/>
      <c r="HQ315" s="14"/>
      <c r="HR315" s="14"/>
      <c r="HS315" s="14"/>
      <c r="HT315" s="14"/>
    </row>
    <row r="316" spans="1:228" ht="15" customHeight="1" x14ac:dyDescent="0.2">
      <c r="A316" s="3"/>
      <c r="B316" s="586"/>
      <c r="C316" s="582"/>
      <c r="D316" s="587"/>
      <c r="E316" s="567"/>
      <c r="F316" s="1887" t="str">
        <f>IF(OR(Z297=1,Z297=7),"",IF(AND(Z297=6,S308=1),"",IF(AND(S308=1,Z297=5),"Lateral plantar branch",IF(S308=1,"","Abductor digiti minimi"))))</f>
        <v/>
      </c>
      <c r="G316" s="1887"/>
      <c r="H316" s="1887"/>
      <c r="I316" s="1887"/>
      <c r="J316" s="1887"/>
      <c r="K316" s="1887"/>
      <c r="L316" s="1887"/>
      <c r="M316" s="88">
        <f>IF(OR(F316="",S316=0),0,0.06)</f>
        <v>0</v>
      </c>
      <c r="N316" s="254"/>
      <c r="O316" s="254"/>
      <c r="P316" s="355" t="str">
        <f t="shared" si="33"/>
        <v/>
      </c>
      <c r="Q316" s="3"/>
      <c r="R316" s="686" t="b">
        <v>0</v>
      </c>
      <c r="S316" s="736">
        <f t="shared" si="26"/>
        <v>0</v>
      </c>
      <c r="T316" s="747">
        <f t="shared" si="27"/>
        <v>0</v>
      </c>
      <c r="U316" s="747">
        <f t="shared" si="28"/>
        <v>0</v>
      </c>
      <c r="V316" s="747">
        <f t="shared" si="31"/>
        <v>0</v>
      </c>
      <c r="W316" s="747">
        <f t="shared" si="32"/>
        <v>0</v>
      </c>
      <c r="X316" s="747">
        <f t="shared" si="29"/>
        <v>0</v>
      </c>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4"/>
      <c r="BR316" s="14"/>
      <c r="BS316" s="14"/>
      <c r="BT316" s="14"/>
      <c r="BU316" s="14"/>
      <c r="BV316" s="14"/>
      <c r="BW316" s="14"/>
      <c r="BX316" s="14"/>
      <c r="BY316" s="14"/>
      <c r="BZ316" s="14"/>
      <c r="CA316" s="14"/>
      <c r="CB316" s="14"/>
      <c r="CC316" s="14"/>
      <c r="CD316" s="14"/>
      <c r="CE316" s="14"/>
      <c r="CF316" s="14"/>
      <c r="CG316" s="14"/>
      <c r="CH316" s="14"/>
      <c r="CI316" s="14"/>
      <c r="CJ316" s="14"/>
      <c r="CK316" s="14"/>
      <c r="CL316" s="14"/>
      <c r="CM316" s="14"/>
      <c r="CN316" s="14"/>
      <c r="CO316" s="14"/>
      <c r="CP316" s="14"/>
      <c r="CQ316" s="14"/>
      <c r="CR316" s="14"/>
      <c r="CS316" s="14"/>
      <c r="CT316" s="14"/>
      <c r="CU316" s="14"/>
      <c r="CV316" s="14"/>
      <c r="CW316" s="14"/>
      <c r="CX316" s="14"/>
      <c r="CY316" s="14"/>
      <c r="CZ316" s="14"/>
      <c r="DA316" s="14"/>
      <c r="DB316" s="14"/>
      <c r="DC316" s="14"/>
      <c r="DD316" s="14"/>
      <c r="DE316" s="14"/>
      <c r="DF316" s="14"/>
      <c r="DG316" s="14"/>
      <c r="DH316" s="14"/>
      <c r="DI316" s="14"/>
      <c r="DJ316" s="14"/>
      <c r="DK316" s="14"/>
      <c r="DL316" s="14"/>
      <c r="DM316" s="14"/>
      <c r="DN316" s="14"/>
      <c r="DO316" s="14"/>
      <c r="DP316" s="14"/>
      <c r="DQ316" s="14"/>
      <c r="DR316" s="14"/>
      <c r="DS316" s="14"/>
      <c r="DT316" s="14"/>
      <c r="DU316" s="14"/>
      <c r="DV316" s="14"/>
      <c r="DW316" s="14"/>
      <c r="DX316" s="14"/>
      <c r="DY316" s="14"/>
      <c r="DZ316" s="14"/>
      <c r="EA316" s="14"/>
      <c r="EB316" s="14"/>
      <c r="EC316" s="14"/>
      <c r="ED316" s="14"/>
      <c r="EE316" s="14"/>
      <c r="EF316" s="14"/>
      <c r="EG316" s="14"/>
      <c r="EH316" s="14"/>
      <c r="EI316" s="14"/>
      <c r="EJ316" s="14"/>
      <c r="EK316" s="14"/>
      <c r="EL316" s="14"/>
      <c r="EM316" s="14"/>
      <c r="EN316" s="14"/>
      <c r="EO316" s="14"/>
      <c r="EP316" s="14"/>
      <c r="EQ316" s="14"/>
      <c r="ER316" s="14"/>
      <c r="ES316" s="14"/>
      <c r="ET316" s="14"/>
      <c r="EU316" s="14"/>
      <c r="EV316" s="14"/>
      <c r="EW316" s="14"/>
      <c r="EX316" s="14"/>
      <c r="EY316" s="14"/>
      <c r="EZ316" s="14"/>
      <c r="FA316" s="14"/>
      <c r="FB316" s="14"/>
      <c r="FC316" s="14"/>
      <c r="FD316" s="14"/>
      <c r="FE316" s="14"/>
      <c r="FF316" s="14"/>
      <c r="FG316" s="14"/>
      <c r="FH316" s="14"/>
      <c r="FI316" s="14"/>
      <c r="FJ316" s="14"/>
      <c r="FK316" s="14"/>
      <c r="FL316" s="14"/>
      <c r="FM316" s="14"/>
      <c r="FN316" s="14"/>
      <c r="FO316" s="14"/>
      <c r="FP316" s="14"/>
      <c r="FQ316" s="14"/>
      <c r="FR316" s="14"/>
      <c r="FS316" s="14"/>
      <c r="FT316" s="14"/>
      <c r="FU316" s="14"/>
      <c r="FV316" s="14"/>
      <c r="FW316" s="14"/>
      <c r="FX316" s="14"/>
      <c r="FY316" s="14"/>
      <c r="FZ316" s="14"/>
      <c r="GA316" s="14"/>
      <c r="GB316" s="14"/>
      <c r="GC316" s="14"/>
      <c r="GD316" s="14"/>
      <c r="GE316" s="14"/>
      <c r="GF316" s="14"/>
      <c r="GG316" s="14"/>
      <c r="GH316" s="14"/>
      <c r="GI316" s="14"/>
      <c r="GJ316" s="14"/>
      <c r="GK316" s="14"/>
      <c r="GL316" s="14"/>
      <c r="GM316" s="14"/>
      <c r="GN316" s="14"/>
      <c r="GO316" s="14"/>
      <c r="GP316" s="14"/>
      <c r="GQ316" s="14"/>
      <c r="GR316" s="14"/>
      <c r="GS316" s="14"/>
      <c r="GT316" s="14"/>
      <c r="GU316" s="14"/>
      <c r="GV316" s="14"/>
      <c r="GW316" s="14"/>
      <c r="GX316" s="14"/>
      <c r="GY316" s="14"/>
      <c r="GZ316" s="14"/>
      <c r="HA316" s="14"/>
      <c r="HB316" s="14"/>
      <c r="HC316" s="14"/>
      <c r="HD316" s="14"/>
      <c r="HE316" s="14"/>
      <c r="HF316" s="14"/>
      <c r="HG316" s="14"/>
      <c r="HH316" s="14"/>
      <c r="HI316" s="14"/>
      <c r="HJ316" s="14"/>
      <c r="HK316" s="14"/>
      <c r="HL316" s="14"/>
      <c r="HM316" s="14"/>
      <c r="HN316" s="14"/>
      <c r="HO316" s="14"/>
      <c r="HP316" s="14"/>
      <c r="HQ316" s="14"/>
      <c r="HR316" s="14"/>
      <c r="HS316" s="14"/>
      <c r="HT316" s="14"/>
    </row>
    <row r="317" spans="1:228" ht="15" customHeight="1" x14ac:dyDescent="0.2">
      <c r="A317" s="3"/>
      <c r="B317" s="586"/>
      <c r="C317" s="582"/>
      <c r="D317" s="587"/>
      <c r="E317" s="567"/>
      <c r="F317" s="1887" t="str">
        <f>IF(OR(S308=1,Z297=1,Z297=7),"","Dorsal interossei")</f>
        <v/>
      </c>
      <c r="G317" s="1887"/>
      <c r="H317" s="1887"/>
      <c r="I317" s="1887"/>
      <c r="J317" s="1887"/>
      <c r="K317" s="1887"/>
      <c r="L317" s="1887"/>
      <c r="M317" s="88">
        <f>IF(OR(F317="",S317=0),0,0.06)</f>
        <v>0</v>
      </c>
      <c r="N317" s="254"/>
      <c r="O317" s="254"/>
      <c r="P317" s="355" t="str">
        <f t="shared" si="33"/>
        <v/>
      </c>
      <c r="Q317" s="3"/>
      <c r="R317" s="686" t="b">
        <v>0</v>
      </c>
      <c r="S317" s="736">
        <f t="shared" si="26"/>
        <v>0</v>
      </c>
      <c r="T317" s="747">
        <f t="shared" si="27"/>
        <v>0</v>
      </c>
      <c r="U317" s="747">
        <f t="shared" si="28"/>
        <v>0</v>
      </c>
      <c r="V317" s="747">
        <f t="shared" si="31"/>
        <v>0</v>
      </c>
      <c r="W317" s="747">
        <f t="shared" si="32"/>
        <v>0</v>
      </c>
      <c r="X317" s="747">
        <f t="shared" si="29"/>
        <v>0</v>
      </c>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4"/>
      <c r="BR317" s="14"/>
      <c r="BS317" s="14"/>
      <c r="BT317" s="14"/>
      <c r="BU317" s="14"/>
      <c r="BV317" s="14"/>
      <c r="BW317" s="14"/>
      <c r="BX317" s="14"/>
      <c r="BY317" s="14"/>
      <c r="BZ317" s="14"/>
      <c r="CA317" s="14"/>
      <c r="CB317" s="14"/>
      <c r="CC317" s="14"/>
      <c r="CD317" s="14"/>
      <c r="CE317" s="14"/>
      <c r="CF317" s="14"/>
      <c r="CG317" s="14"/>
      <c r="CH317" s="14"/>
      <c r="CI317" s="14"/>
      <c r="CJ317" s="14"/>
      <c r="CK317" s="14"/>
      <c r="CL317" s="14"/>
      <c r="CM317" s="14"/>
      <c r="CN317" s="14"/>
      <c r="CO317" s="14"/>
      <c r="CP317" s="14"/>
      <c r="CQ317" s="14"/>
      <c r="CR317" s="14"/>
      <c r="CS317" s="14"/>
      <c r="CT317" s="14"/>
      <c r="CU317" s="14"/>
      <c r="CV317" s="14"/>
      <c r="CW317" s="14"/>
      <c r="CX317" s="14"/>
      <c r="CY317" s="14"/>
      <c r="CZ317" s="14"/>
      <c r="DA317" s="14"/>
      <c r="DB317" s="14"/>
      <c r="DC317" s="14"/>
      <c r="DD317" s="14"/>
      <c r="DE317" s="14"/>
      <c r="DF317" s="14"/>
      <c r="DG317" s="14"/>
      <c r="DH317" s="14"/>
      <c r="DI317" s="14"/>
      <c r="DJ317" s="14"/>
      <c r="DK317" s="14"/>
      <c r="DL317" s="14"/>
      <c r="DM317" s="14"/>
      <c r="DN317" s="14"/>
      <c r="DO317" s="14"/>
      <c r="DP317" s="14"/>
      <c r="DQ317" s="14"/>
      <c r="DR317" s="14"/>
      <c r="DS317" s="14"/>
      <c r="DT317" s="14"/>
      <c r="DU317" s="14"/>
      <c r="DV317" s="14"/>
      <c r="DW317" s="14"/>
      <c r="DX317" s="14"/>
      <c r="DY317" s="14"/>
      <c r="DZ317" s="14"/>
      <c r="EA317" s="14"/>
      <c r="EB317" s="14"/>
      <c r="EC317" s="14"/>
      <c r="ED317" s="14"/>
      <c r="EE317" s="14"/>
      <c r="EF317" s="14"/>
      <c r="EG317" s="14"/>
      <c r="EH317" s="14"/>
      <c r="EI317" s="14"/>
      <c r="EJ317" s="14"/>
      <c r="EK317" s="14"/>
      <c r="EL317" s="14"/>
      <c r="EM317" s="14"/>
      <c r="EN317" s="14"/>
      <c r="EO317" s="14"/>
      <c r="EP317" s="14"/>
      <c r="EQ317" s="14"/>
      <c r="ER317" s="14"/>
      <c r="ES317" s="14"/>
      <c r="ET317" s="14"/>
      <c r="EU317" s="14"/>
      <c r="EV317" s="14"/>
      <c r="EW317" s="14"/>
      <c r="EX317" s="14"/>
      <c r="EY317" s="14"/>
      <c r="EZ317" s="14"/>
      <c r="FA317" s="14"/>
      <c r="FB317" s="14"/>
      <c r="FC317" s="14"/>
      <c r="FD317" s="14"/>
      <c r="FE317" s="14"/>
      <c r="FF317" s="14"/>
      <c r="FG317" s="14"/>
      <c r="FH317" s="14"/>
      <c r="FI317" s="14"/>
      <c r="FJ317" s="14"/>
      <c r="FK317" s="14"/>
      <c r="FL317" s="14"/>
      <c r="FM317" s="14"/>
      <c r="FN317" s="14"/>
      <c r="FO317" s="14"/>
      <c r="FP317" s="14"/>
      <c r="FQ317" s="14"/>
      <c r="FR317" s="14"/>
      <c r="FS317" s="14"/>
      <c r="FT317" s="14"/>
      <c r="FU317" s="14"/>
      <c r="FV317" s="14"/>
      <c r="FW317" s="14"/>
      <c r="FX317" s="14"/>
      <c r="FY317" s="14"/>
      <c r="FZ317" s="14"/>
      <c r="GA317" s="14"/>
      <c r="GB317" s="14"/>
      <c r="GC317" s="14"/>
      <c r="GD317" s="14"/>
      <c r="GE317" s="14"/>
      <c r="GF317" s="14"/>
      <c r="GG317" s="14"/>
      <c r="GH317" s="14"/>
      <c r="GI317" s="14"/>
      <c r="GJ317" s="14"/>
      <c r="GK317" s="14"/>
      <c r="GL317" s="14"/>
      <c r="GM317" s="14"/>
      <c r="GN317" s="14"/>
      <c r="GO317" s="14"/>
      <c r="GP317" s="14"/>
      <c r="GQ317" s="14"/>
      <c r="GR317" s="14"/>
      <c r="GS317" s="14"/>
      <c r="GT317" s="14"/>
      <c r="GU317" s="14"/>
      <c r="GV317" s="14"/>
      <c r="GW317" s="14"/>
      <c r="GX317" s="14"/>
      <c r="GY317" s="14"/>
      <c r="GZ317" s="14"/>
      <c r="HA317" s="14"/>
      <c r="HB317" s="14"/>
      <c r="HC317" s="14"/>
      <c r="HD317" s="14"/>
      <c r="HE317" s="14"/>
      <c r="HF317" s="14"/>
      <c r="HG317" s="14"/>
      <c r="HH317" s="14"/>
      <c r="HI317" s="14"/>
      <c r="HJ317" s="14"/>
      <c r="HK317" s="14"/>
      <c r="HL317" s="14"/>
      <c r="HM317" s="14"/>
      <c r="HN317" s="14"/>
      <c r="HO317" s="14"/>
      <c r="HP317" s="14"/>
      <c r="HQ317" s="14"/>
      <c r="HR317" s="14"/>
      <c r="HS317" s="14"/>
      <c r="HT317" s="14"/>
    </row>
    <row r="318" spans="1:228" ht="15" customHeight="1" x14ac:dyDescent="0.2">
      <c r="A318" s="3"/>
      <c r="B318" s="586"/>
      <c r="C318" s="582"/>
      <c r="D318" s="587"/>
      <c r="E318" s="581"/>
      <c r="F318" s="1740" t="str">
        <f>IF(OR(Z297=5,Z297=6),"Total for lateral plantar branch of the tibial nerve:","")</f>
        <v/>
      </c>
      <c r="G318" s="1741"/>
      <c r="H318" s="1741"/>
      <c r="I318" s="1741"/>
      <c r="J318" s="1741"/>
      <c r="K318" s="1741"/>
      <c r="L318" s="1741"/>
      <c r="M318" s="1741"/>
      <c r="N318" s="1741"/>
      <c r="O318" s="1742"/>
      <c r="P318" s="355" t="str">
        <f>IF(AND(P316="",P317=""),"",IF(OR(Z297=5,Z297=6),AVERAGE(P316:P317),""))</f>
        <v/>
      </c>
      <c r="Q318" s="3"/>
      <c r="R318" s="174"/>
      <c r="S318" s="116"/>
      <c r="T318" s="111"/>
      <c r="U318" s="111"/>
      <c r="V318" s="111"/>
      <c r="W318" s="111"/>
      <c r="X318" s="111"/>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4"/>
      <c r="BR318" s="14"/>
      <c r="BS318" s="14"/>
      <c r="BT318" s="14"/>
      <c r="BU318" s="14"/>
      <c r="BV318" s="14"/>
      <c r="BW318" s="14"/>
      <c r="BX318" s="14"/>
      <c r="BY318" s="14"/>
      <c r="BZ318" s="14"/>
      <c r="CA318" s="14"/>
      <c r="CB318" s="14"/>
      <c r="CC318" s="14"/>
      <c r="CD318" s="14"/>
      <c r="CE318" s="14"/>
      <c r="CF318" s="14"/>
      <c r="CG318" s="14"/>
      <c r="CH318" s="14"/>
      <c r="CI318" s="14"/>
      <c r="CJ318" s="14"/>
      <c r="CK318" s="14"/>
      <c r="CL318" s="14"/>
      <c r="CM318" s="14"/>
      <c r="CN318" s="14"/>
      <c r="CO318" s="14"/>
      <c r="CP318" s="14"/>
      <c r="CQ318" s="14"/>
      <c r="CR318" s="14"/>
      <c r="CS318" s="14"/>
      <c r="CT318" s="14"/>
      <c r="CU318" s="14"/>
      <c r="CV318" s="14"/>
      <c r="CW318" s="14"/>
      <c r="CX318" s="14"/>
      <c r="CY318" s="14"/>
      <c r="CZ318" s="14"/>
      <c r="DA318" s="14"/>
      <c r="DB318" s="14"/>
      <c r="DC318" s="14"/>
      <c r="DD318" s="14"/>
      <c r="DE318" s="14"/>
      <c r="DF318" s="14"/>
      <c r="DG318" s="14"/>
      <c r="DH318" s="14"/>
      <c r="DI318" s="14"/>
      <c r="DJ318" s="14"/>
      <c r="DK318" s="14"/>
      <c r="DL318" s="14"/>
      <c r="DM318" s="14"/>
      <c r="DN318" s="14"/>
      <c r="DO318" s="14"/>
      <c r="DP318" s="14"/>
      <c r="DQ318" s="14"/>
      <c r="DR318" s="14"/>
      <c r="DS318" s="14"/>
      <c r="DT318" s="14"/>
      <c r="DU318" s="14"/>
      <c r="DV318" s="14"/>
      <c r="DW318" s="14"/>
      <c r="DX318" s="14"/>
      <c r="DY318" s="14"/>
      <c r="DZ318" s="14"/>
      <c r="EA318" s="14"/>
      <c r="EB318" s="14"/>
      <c r="EC318" s="14"/>
      <c r="ED318" s="14"/>
      <c r="EE318" s="14"/>
      <c r="EF318" s="14"/>
      <c r="EG318" s="14"/>
      <c r="EH318" s="14"/>
      <c r="EI318" s="14"/>
      <c r="EJ318" s="14"/>
      <c r="EK318" s="14"/>
      <c r="EL318" s="14"/>
      <c r="EM318" s="14"/>
      <c r="EN318" s="14"/>
      <c r="EO318" s="14"/>
      <c r="EP318" s="14"/>
      <c r="EQ318" s="14"/>
      <c r="ER318" s="14"/>
      <c r="ES318" s="14"/>
      <c r="ET318" s="14"/>
      <c r="EU318" s="14"/>
      <c r="EV318" s="14"/>
      <c r="EW318" s="14"/>
      <c r="EX318" s="14"/>
      <c r="EY318" s="14"/>
      <c r="EZ318" s="14"/>
      <c r="FA318" s="14"/>
      <c r="FB318" s="14"/>
      <c r="FC318" s="14"/>
      <c r="FD318" s="14"/>
      <c r="FE318" s="14"/>
      <c r="FF318" s="14"/>
      <c r="FG318" s="14"/>
      <c r="FH318" s="14"/>
      <c r="FI318" s="14"/>
      <c r="FJ318" s="14"/>
      <c r="FK318" s="14"/>
      <c r="FL318" s="14"/>
      <c r="FM318" s="14"/>
      <c r="FN318" s="14"/>
      <c r="FO318" s="14"/>
      <c r="FP318" s="14"/>
      <c r="FQ318" s="14"/>
      <c r="FR318" s="14"/>
      <c r="FS318" s="14"/>
      <c r="FT318" s="14"/>
      <c r="FU318" s="14"/>
      <c r="FV318" s="14"/>
      <c r="FW318" s="14"/>
      <c r="FX318" s="14"/>
      <c r="FY318" s="14"/>
      <c r="FZ318" s="14"/>
      <c r="GA318" s="14"/>
      <c r="GB318" s="14"/>
      <c r="GC318" s="14"/>
      <c r="GD318" s="14"/>
      <c r="GE318" s="14"/>
      <c r="GF318" s="14"/>
      <c r="GG318" s="14"/>
      <c r="GH318" s="14"/>
      <c r="GI318" s="14"/>
      <c r="GJ318" s="14"/>
      <c r="GK318" s="14"/>
      <c r="GL318" s="14"/>
      <c r="GM318" s="14"/>
      <c r="GN318" s="14"/>
      <c r="GO318" s="14"/>
      <c r="GP318" s="14"/>
      <c r="GQ318" s="14"/>
      <c r="GR318" s="14"/>
      <c r="GS318" s="14"/>
      <c r="GT318" s="14"/>
      <c r="GU318" s="14"/>
      <c r="GV318" s="14"/>
      <c r="GW318" s="14"/>
      <c r="GX318" s="14"/>
      <c r="GY318" s="14"/>
      <c r="GZ318" s="14"/>
      <c r="HA318" s="14"/>
      <c r="HB318" s="14"/>
      <c r="HC318" s="14"/>
      <c r="HD318" s="14"/>
      <c r="HE318" s="14"/>
      <c r="HF318" s="14"/>
      <c r="HG318" s="14"/>
      <c r="HH318" s="14"/>
      <c r="HI318" s="14"/>
      <c r="HJ318" s="14"/>
      <c r="HK318" s="14"/>
      <c r="HL318" s="14"/>
      <c r="HM318" s="14"/>
      <c r="HN318" s="14"/>
      <c r="HO318" s="14"/>
      <c r="HP318" s="14"/>
      <c r="HQ318" s="14"/>
      <c r="HR318" s="14"/>
      <c r="HS318" s="14"/>
      <c r="HT318" s="14"/>
    </row>
    <row r="319" spans="1:228" ht="15" customHeight="1" x14ac:dyDescent="0.2">
      <c r="A319" s="3"/>
      <c r="B319" s="588"/>
      <c r="C319" s="589"/>
      <c r="D319" s="590"/>
      <c r="E319" s="567"/>
      <c r="F319" s="1410" t="str">
        <f>IF(OR(Z297=1,Z297=6),"",IF(AND(Z297=7,S308=1),"",IF(AND(S308=1,Z297=5),"Medial plantar branch",IF(S308=1,"","Abductor hallucis"))))</f>
        <v/>
      </c>
      <c r="G319" s="1410"/>
      <c r="H319" s="1410"/>
      <c r="I319" s="1410"/>
      <c r="J319" s="1410"/>
      <c r="K319" s="1410"/>
      <c r="L319" s="1410"/>
      <c r="M319" s="88">
        <f>IF(OR(F319="",S319=0),0,0.06)</f>
        <v>0</v>
      </c>
      <c r="N319" s="254"/>
      <c r="O319" s="254"/>
      <c r="P319" s="355" t="str">
        <f>IF(X319=0,"",X319)</f>
        <v/>
      </c>
      <c r="Q319" s="3"/>
      <c r="R319" s="686" t="b">
        <v>0</v>
      </c>
      <c r="S319" s="736">
        <f>IF(R319=TRUE,1,0)</f>
        <v>0</v>
      </c>
      <c r="T319" s="747">
        <f>SUMIF($T$278:$AH$278,N319,$T$279:$AH$279)</f>
        <v>0</v>
      </c>
      <c r="U319" s="747">
        <f>SUMIF($S$278:$AH$278,O319,$S$279:$AH$279)</f>
        <v>0</v>
      </c>
      <c r="V319" s="747">
        <f>M319*T319</f>
        <v>0</v>
      </c>
      <c r="W319" s="747">
        <f>M319*U319</f>
        <v>0</v>
      </c>
      <c r="X319" s="747">
        <f>(IF(V319-W319&lt;=0,0,V319-W319))</f>
        <v>0</v>
      </c>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4"/>
      <c r="BR319" s="14"/>
      <c r="BS319" s="14"/>
      <c r="BT319" s="14"/>
      <c r="BU319" s="14"/>
      <c r="BV319" s="14"/>
      <c r="BW319" s="14"/>
      <c r="BX319" s="14"/>
      <c r="BY319" s="14"/>
      <c r="BZ319" s="14"/>
      <c r="CA319" s="14"/>
      <c r="CB319" s="14"/>
      <c r="CC319" s="14"/>
      <c r="CD319" s="14"/>
      <c r="CE319" s="14"/>
      <c r="CF319" s="14"/>
      <c r="CG319" s="14"/>
      <c r="CH319" s="14"/>
      <c r="CI319" s="14"/>
      <c r="CJ319" s="14"/>
      <c r="CK319" s="14"/>
      <c r="CL319" s="14"/>
      <c r="CM319" s="14"/>
      <c r="CN319" s="14"/>
      <c r="CO319" s="14"/>
      <c r="CP319" s="14"/>
      <c r="CQ319" s="14"/>
      <c r="CR319" s="14"/>
      <c r="CS319" s="14"/>
      <c r="CT319" s="14"/>
      <c r="CU319" s="14"/>
      <c r="CV319" s="14"/>
      <c r="CW319" s="14"/>
      <c r="CX319" s="14"/>
      <c r="CY319" s="14"/>
      <c r="CZ319" s="14"/>
      <c r="DA319" s="14"/>
      <c r="DB319" s="14"/>
      <c r="DC319" s="14"/>
      <c r="DD319" s="14"/>
      <c r="DE319" s="14"/>
      <c r="DF319" s="14"/>
      <c r="DG319" s="14"/>
      <c r="DH319" s="14"/>
      <c r="DI319" s="14"/>
      <c r="DJ319" s="14"/>
      <c r="DK319" s="14"/>
      <c r="DL319" s="14"/>
      <c r="DM319" s="14"/>
      <c r="DN319" s="14"/>
      <c r="DO319" s="14"/>
      <c r="DP319" s="14"/>
      <c r="DQ319" s="14"/>
      <c r="DR319" s="14"/>
      <c r="DS319" s="14"/>
      <c r="DT319" s="14"/>
      <c r="DU319" s="14"/>
      <c r="DV319" s="14"/>
      <c r="DW319" s="14"/>
      <c r="DX319" s="14"/>
      <c r="DY319" s="14"/>
      <c r="DZ319" s="14"/>
      <c r="EA319" s="14"/>
      <c r="EB319" s="14"/>
      <c r="EC319" s="14"/>
      <c r="ED319" s="14"/>
      <c r="EE319" s="14"/>
      <c r="EF319" s="14"/>
      <c r="EG319" s="14"/>
      <c r="EH319" s="14"/>
      <c r="EI319" s="14"/>
      <c r="EJ319" s="14"/>
      <c r="EK319" s="14"/>
      <c r="EL319" s="14"/>
      <c r="EM319" s="14"/>
      <c r="EN319" s="14"/>
      <c r="EO319" s="14"/>
      <c r="EP319" s="14"/>
      <c r="EQ319" s="14"/>
      <c r="ER319" s="14"/>
      <c r="ES319" s="14"/>
      <c r="ET319" s="14"/>
      <c r="EU319" s="14"/>
      <c r="EV319" s="14"/>
      <c r="EW319" s="14"/>
      <c r="EX319" s="14"/>
      <c r="EY319" s="14"/>
      <c r="EZ319" s="14"/>
      <c r="FA319" s="14"/>
      <c r="FB319" s="14"/>
      <c r="FC319" s="14"/>
      <c r="FD319" s="14"/>
      <c r="FE319" s="14"/>
      <c r="FF319" s="14"/>
      <c r="FG319" s="14"/>
      <c r="FH319" s="14"/>
      <c r="FI319" s="14"/>
      <c r="FJ319" s="14"/>
      <c r="FK319" s="14"/>
      <c r="FL319" s="14"/>
      <c r="FM319" s="14"/>
      <c r="FN319" s="14"/>
      <c r="FO319" s="14"/>
      <c r="FP319" s="14"/>
      <c r="FQ319" s="14"/>
      <c r="FR319" s="14"/>
      <c r="FS319" s="14"/>
      <c r="FT319" s="14"/>
      <c r="FU319" s="14"/>
      <c r="FV319" s="14"/>
      <c r="FW319" s="14"/>
      <c r="FX319" s="14"/>
      <c r="FY319" s="14"/>
      <c r="FZ319" s="14"/>
      <c r="GA319" s="14"/>
      <c r="GB319" s="14"/>
      <c r="GC319" s="14"/>
      <c r="GD319" s="14"/>
      <c r="GE319" s="14"/>
      <c r="GF319" s="14"/>
      <c r="GG319" s="14"/>
      <c r="GH319" s="14"/>
      <c r="GI319" s="14"/>
      <c r="GJ319" s="14"/>
      <c r="GK319" s="14"/>
      <c r="GL319" s="14"/>
      <c r="GM319" s="14"/>
      <c r="GN319" s="14"/>
      <c r="GO319" s="14"/>
      <c r="GP319" s="14"/>
      <c r="GQ319" s="14"/>
      <c r="GR319" s="14"/>
      <c r="GS319" s="14"/>
      <c r="GT319" s="14"/>
      <c r="GU319" s="14"/>
      <c r="GV319" s="14"/>
      <c r="GW319" s="14"/>
      <c r="GX319" s="14"/>
      <c r="GY319" s="14"/>
      <c r="GZ319" s="14"/>
      <c r="HA319" s="14"/>
      <c r="HB319" s="14"/>
      <c r="HC319" s="14"/>
      <c r="HD319" s="14"/>
      <c r="HE319" s="14"/>
      <c r="HF319" s="14"/>
      <c r="HG319" s="14"/>
      <c r="HH319" s="14"/>
      <c r="HI319" s="14"/>
      <c r="HJ319" s="14"/>
      <c r="HK319" s="14"/>
      <c r="HL319" s="14"/>
      <c r="HM319" s="14"/>
      <c r="HN319" s="14"/>
      <c r="HO319" s="14"/>
      <c r="HP319" s="14"/>
      <c r="HQ319" s="14"/>
      <c r="HR319" s="14"/>
      <c r="HS319" s="14"/>
      <c r="HT319" s="14"/>
    </row>
    <row r="320" spans="1:228" ht="18" customHeight="1" x14ac:dyDescent="0.2">
      <c r="A320" s="3"/>
      <c r="B320" s="1856" t="str">
        <f>IF(Z297=2,"Total for tibial nerve; LEG impairment:",IF(OR(Z297=3,Z297=4),"Total for tibial nerve; FOOT impairment:",IF(OR(Z297=5,Z297=7),"Total for medial plantar branch of the tibial nerve:","")))</f>
        <v/>
      </c>
      <c r="C320" s="1856"/>
      <c r="D320" s="1856"/>
      <c r="E320" s="1570"/>
      <c r="F320" s="1570"/>
      <c r="G320" s="1570"/>
      <c r="H320" s="1570"/>
      <c r="I320" s="1570"/>
      <c r="J320" s="1570"/>
      <c r="K320" s="1570"/>
      <c r="L320" s="1570"/>
      <c r="M320" s="1570"/>
      <c r="N320" s="1570"/>
      <c r="O320" s="1570"/>
      <c r="P320" s="355">
        <f>IF(T320=0,0,IF(OR(Z297=1,Z297=6),0,IF(OR(Z297=5,Z297=7),AVERAGE(P319,P308),IF(OR(Z297=2,Z297=3,Z297=4),AVERAGE(P308:P319)))))</f>
        <v>0</v>
      </c>
      <c r="Q320" s="3"/>
      <c r="R320" s="950" t="s">
        <v>1720</v>
      </c>
      <c r="S320" s="736">
        <f>SUM(S308:S319)</f>
        <v>0</v>
      </c>
      <c r="T320" s="747">
        <f>SUM(P308:P319)</f>
        <v>0</v>
      </c>
      <c r="U320" s="747"/>
      <c r="V320" s="684"/>
      <c r="W320" s="684"/>
      <c r="X320" s="684"/>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4"/>
      <c r="BR320" s="14"/>
      <c r="BS320" s="14"/>
      <c r="BT320" s="14"/>
      <c r="BU320" s="14"/>
      <c r="BV320" s="14"/>
      <c r="BW320" s="14"/>
      <c r="BX320" s="14"/>
      <c r="BY320" s="14"/>
      <c r="BZ320" s="14"/>
      <c r="CA320" s="14"/>
      <c r="CB320" s="14"/>
      <c r="CC320" s="14"/>
      <c r="CD320" s="14"/>
      <c r="CE320" s="14"/>
      <c r="CF320" s="14"/>
      <c r="CG320" s="14"/>
      <c r="CH320" s="14"/>
      <c r="CI320" s="14"/>
      <c r="CJ320" s="14"/>
      <c r="CK320" s="14"/>
      <c r="CL320" s="14"/>
      <c r="CM320" s="14"/>
      <c r="CN320" s="14"/>
      <c r="CO320" s="14"/>
      <c r="CP320" s="14"/>
      <c r="CQ320" s="14"/>
      <c r="CR320" s="14"/>
      <c r="CS320" s="14"/>
      <c r="CT320" s="14"/>
      <c r="CU320" s="14"/>
      <c r="CV320" s="14"/>
      <c r="CW320" s="14"/>
      <c r="CX320" s="14"/>
      <c r="CY320" s="14"/>
      <c r="CZ320" s="14"/>
      <c r="DA320" s="14"/>
      <c r="DB320" s="14"/>
      <c r="DC320" s="14"/>
      <c r="DD320" s="14"/>
      <c r="DE320" s="14"/>
      <c r="DF320" s="14"/>
      <c r="DG320" s="14"/>
      <c r="DH320" s="14"/>
      <c r="DI320" s="14"/>
      <c r="DJ320" s="14"/>
      <c r="DK320" s="14"/>
      <c r="DL320" s="14"/>
      <c r="DM320" s="14"/>
      <c r="DN320" s="14"/>
      <c r="DO320" s="14"/>
      <c r="DP320" s="14"/>
      <c r="DQ320" s="14"/>
      <c r="DR320" s="14"/>
      <c r="DS320" s="14"/>
      <c r="DT320" s="14"/>
      <c r="DU320" s="14"/>
      <c r="DV320" s="14"/>
      <c r="DW320" s="14"/>
      <c r="DX320" s="14"/>
      <c r="DY320" s="14"/>
      <c r="DZ320" s="14"/>
      <c r="EA320" s="14"/>
      <c r="EB320" s="14"/>
      <c r="EC320" s="14"/>
      <c r="ED320" s="14"/>
      <c r="EE320" s="14"/>
      <c r="EF320" s="14"/>
      <c r="EG320" s="14"/>
      <c r="EH320" s="14"/>
      <c r="EI320" s="14"/>
      <c r="EJ320" s="14"/>
      <c r="EK320" s="14"/>
      <c r="EL320" s="14"/>
      <c r="EM320" s="14"/>
      <c r="EN320" s="14"/>
      <c r="EO320" s="14"/>
      <c r="EP320" s="14"/>
      <c r="EQ320" s="14"/>
      <c r="ER320" s="14"/>
      <c r="ES320" s="14"/>
      <c r="ET320" s="14"/>
      <c r="EU320" s="14"/>
      <c r="EV320" s="14"/>
      <c r="EW320" s="14"/>
      <c r="EX320" s="14"/>
      <c r="EY320" s="14"/>
      <c r="EZ320" s="14"/>
      <c r="FA320" s="14"/>
      <c r="FB320" s="14"/>
      <c r="FC320" s="14"/>
      <c r="FD320" s="14"/>
      <c r="FE320" s="14"/>
      <c r="FF320" s="14"/>
      <c r="FG320" s="14"/>
      <c r="FH320" s="14"/>
      <c r="FI320" s="14"/>
      <c r="FJ320" s="14"/>
      <c r="FK320" s="14"/>
      <c r="FL320" s="14"/>
      <c r="FM320" s="14"/>
      <c r="FN320" s="14"/>
      <c r="FO320" s="14"/>
      <c r="FP320" s="14"/>
      <c r="FQ320" s="14"/>
      <c r="FR320" s="14"/>
      <c r="FS320" s="14"/>
      <c r="FT320" s="14"/>
      <c r="FU320" s="14"/>
      <c r="FV320" s="14"/>
      <c r="FW320" s="14"/>
      <c r="FX320" s="14"/>
      <c r="FY320" s="14"/>
      <c r="FZ320" s="14"/>
      <c r="GA320" s="14"/>
      <c r="GB320" s="14"/>
      <c r="GC320" s="14"/>
      <c r="GD320" s="14"/>
      <c r="GE320" s="14"/>
      <c r="GF320" s="14"/>
      <c r="GG320" s="14"/>
      <c r="GH320" s="14"/>
      <c r="GI320" s="14"/>
      <c r="GJ320" s="14"/>
      <c r="GK320" s="14"/>
      <c r="GL320" s="14"/>
      <c r="GM320" s="14"/>
      <c r="GN320" s="14"/>
      <c r="GO320" s="14"/>
      <c r="GP320" s="14"/>
      <c r="GQ320" s="14"/>
      <c r="GR320" s="14"/>
      <c r="GS320" s="14"/>
      <c r="GT320" s="14"/>
      <c r="GU320" s="14"/>
      <c r="GV320" s="14"/>
      <c r="GW320" s="14"/>
      <c r="GX320" s="14"/>
      <c r="GY320" s="14"/>
      <c r="GZ320" s="14"/>
      <c r="HA320" s="14"/>
      <c r="HB320" s="14"/>
      <c r="HC320" s="14"/>
      <c r="HD320" s="14"/>
      <c r="HE320" s="14"/>
      <c r="HF320" s="14"/>
      <c r="HG320" s="14"/>
      <c r="HH320" s="14"/>
      <c r="HI320" s="14"/>
      <c r="HJ320" s="14"/>
      <c r="HK320" s="14"/>
      <c r="HL320" s="14"/>
      <c r="HM320" s="14"/>
      <c r="HN320" s="14"/>
      <c r="HO320" s="14"/>
      <c r="HP320" s="14"/>
      <c r="HQ320" s="14"/>
      <c r="HR320" s="14"/>
      <c r="HS320" s="14"/>
      <c r="HT320" s="14"/>
    </row>
    <row r="321" spans="1:228" ht="15" customHeight="1" x14ac:dyDescent="0.2">
      <c r="A321" s="3"/>
      <c r="B321" s="1367" t="s">
        <v>423</v>
      </c>
      <c r="C321" s="1368"/>
      <c r="D321" s="1369"/>
      <c r="E321" s="594"/>
      <c r="F321" s="1394" t="s">
        <v>985</v>
      </c>
      <c r="G321" s="1394"/>
      <c r="H321" s="1394"/>
      <c r="I321" s="1394"/>
      <c r="J321" s="1394"/>
      <c r="K321" s="1394"/>
      <c r="L321" s="1394"/>
      <c r="M321" s="91">
        <f t="shared" ref="M321:M327" si="34">IF(OR(F321="",S321=0),0,0.3)</f>
        <v>0</v>
      </c>
      <c r="N321" s="485"/>
      <c r="O321" s="485"/>
      <c r="P321" s="363" t="str">
        <f>IF(X321=0,"",X321)</f>
        <v/>
      </c>
      <c r="R321" s="686" t="b">
        <v>0</v>
      </c>
      <c r="S321" s="736">
        <f t="shared" ref="S321:S327" si="35">IF(R321=TRUE,1,0)</f>
        <v>0</v>
      </c>
      <c r="T321" s="747">
        <f t="shared" ref="T321:T327" si="36">SUMIF($T$278:$AH$278,N321,$T$279:$AH$279)</f>
        <v>0</v>
      </c>
      <c r="U321" s="747">
        <f t="shared" ref="U321:U327" si="37">SUMIF($S$278:$AH$278,O321,$S$279:$AH$279)</f>
        <v>0</v>
      </c>
      <c r="V321" s="747">
        <f t="shared" ref="V321:V327" si="38">M321*T321</f>
        <v>0</v>
      </c>
      <c r="W321" s="747">
        <f t="shared" ref="W321:W327" si="39">M321*U321</f>
        <v>0</v>
      </c>
      <c r="X321" s="747">
        <f t="shared" ref="X321:X327" si="40">(IF(V321-W321&lt;=0,0,V321-W321))</f>
        <v>0</v>
      </c>
      <c r="Y321" s="18"/>
      <c r="Z321" s="18"/>
      <c r="AA321" s="18"/>
      <c r="AB321" s="18"/>
      <c r="AC321" s="18"/>
      <c r="AD321" s="18"/>
      <c r="AE321" s="18"/>
      <c r="AF321" s="18"/>
      <c r="AG321" s="18"/>
      <c r="AH321" s="172"/>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4"/>
      <c r="BR321" s="14"/>
      <c r="BS321" s="14"/>
      <c r="BT321" s="14"/>
      <c r="BU321" s="14"/>
      <c r="BV321" s="14"/>
      <c r="BW321" s="14"/>
      <c r="BX321" s="14"/>
      <c r="BY321" s="14"/>
      <c r="BZ321" s="14"/>
      <c r="CA321" s="14"/>
      <c r="CB321" s="14"/>
      <c r="CC321" s="14"/>
      <c r="CD321" s="14"/>
      <c r="CE321" s="14"/>
      <c r="CF321" s="14"/>
      <c r="CG321" s="14"/>
      <c r="CH321" s="14"/>
      <c r="CI321" s="14"/>
      <c r="CJ321" s="14"/>
      <c r="CK321" s="14"/>
      <c r="CL321" s="14"/>
      <c r="CM321" s="14"/>
      <c r="CN321" s="14"/>
      <c r="CO321" s="14"/>
      <c r="CP321" s="14"/>
      <c r="CQ321" s="14"/>
      <c r="CR321" s="14"/>
      <c r="CS321" s="14"/>
      <c r="CT321" s="14"/>
      <c r="CU321" s="14"/>
      <c r="CV321" s="14"/>
      <c r="CW321" s="14"/>
      <c r="CX321" s="14"/>
      <c r="CY321" s="14"/>
      <c r="CZ321" s="14"/>
      <c r="DA321" s="14"/>
      <c r="DB321" s="14"/>
      <c r="DC321" s="14"/>
      <c r="DD321" s="14"/>
      <c r="DE321" s="14"/>
      <c r="DF321" s="14"/>
      <c r="DG321" s="14"/>
      <c r="DH321" s="14"/>
      <c r="DI321" s="14"/>
      <c r="DJ321" s="14"/>
      <c r="DK321" s="14"/>
      <c r="DL321" s="14"/>
      <c r="DM321" s="14"/>
      <c r="DN321" s="14"/>
      <c r="DO321" s="14"/>
      <c r="DP321" s="14"/>
      <c r="DQ321" s="14"/>
      <c r="DR321" s="14"/>
      <c r="DS321" s="14"/>
      <c r="DT321" s="14"/>
      <c r="DU321" s="14"/>
      <c r="DV321" s="14"/>
      <c r="DW321" s="14"/>
      <c r="DX321" s="14"/>
      <c r="DY321" s="14"/>
      <c r="DZ321" s="14"/>
      <c r="EA321" s="14"/>
      <c r="EB321" s="14"/>
      <c r="EC321" s="14"/>
      <c r="ED321" s="14"/>
      <c r="EE321" s="14"/>
      <c r="EF321" s="14"/>
      <c r="EG321" s="14"/>
      <c r="EH321" s="14"/>
      <c r="EI321" s="14"/>
      <c r="EJ321" s="14"/>
      <c r="EK321" s="14"/>
      <c r="EL321" s="14"/>
      <c r="EM321" s="14"/>
      <c r="EN321" s="14"/>
      <c r="EO321" s="14"/>
      <c r="EP321" s="14"/>
      <c r="EQ321" s="14"/>
      <c r="ER321" s="14"/>
      <c r="ES321" s="14"/>
      <c r="ET321" s="14"/>
      <c r="EU321" s="14"/>
      <c r="EV321" s="14"/>
      <c r="EW321" s="14"/>
      <c r="EX321" s="14"/>
      <c r="EY321" s="14"/>
      <c r="EZ321" s="14"/>
      <c r="FA321" s="14"/>
      <c r="FB321" s="14"/>
      <c r="FC321" s="14"/>
      <c r="FD321" s="14"/>
      <c r="FE321" s="14"/>
      <c r="FF321" s="14"/>
      <c r="FG321" s="14"/>
      <c r="FH321" s="14"/>
      <c r="FI321" s="14"/>
      <c r="FJ321" s="14"/>
      <c r="FK321" s="14"/>
      <c r="FL321" s="14"/>
      <c r="FM321" s="14"/>
      <c r="FN321" s="14"/>
      <c r="FO321" s="14"/>
      <c r="FP321" s="14"/>
      <c r="FQ321" s="14"/>
      <c r="FR321" s="14"/>
      <c r="FS321" s="14"/>
      <c r="FT321" s="14"/>
      <c r="FU321" s="14"/>
      <c r="FV321" s="14"/>
      <c r="FW321" s="14"/>
      <c r="FX321" s="14"/>
      <c r="FY321" s="14"/>
      <c r="FZ321" s="14"/>
      <c r="GA321" s="14"/>
      <c r="GB321" s="14"/>
      <c r="GC321" s="14"/>
      <c r="GD321" s="14"/>
      <c r="GE321" s="14"/>
      <c r="GF321" s="14"/>
      <c r="GG321" s="14"/>
      <c r="GH321" s="14"/>
      <c r="GI321" s="14"/>
      <c r="GJ321" s="14"/>
      <c r="GK321" s="14"/>
      <c r="GL321" s="14"/>
      <c r="GM321" s="14"/>
      <c r="GN321" s="14"/>
      <c r="GO321" s="14"/>
      <c r="GP321" s="14"/>
      <c r="GQ321" s="14"/>
      <c r="GR321" s="14"/>
      <c r="GS321" s="14"/>
      <c r="GT321" s="14"/>
      <c r="GU321" s="14"/>
      <c r="GV321" s="14"/>
      <c r="GW321" s="14"/>
      <c r="GX321" s="14"/>
      <c r="GY321" s="14"/>
      <c r="GZ321" s="14"/>
      <c r="HA321" s="14"/>
      <c r="HB321" s="14"/>
      <c r="HC321" s="14"/>
      <c r="HD321" s="14"/>
      <c r="HE321" s="14"/>
      <c r="HF321" s="14"/>
      <c r="HG321" s="14"/>
      <c r="HH321" s="14"/>
      <c r="HI321" s="14"/>
      <c r="HJ321" s="14"/>
      <c r="HK321" s="14"/>
      <c r="HL321" s="14"/>
      <c r="HM321" s="14"/>
      <c r="HN321" s="14"/>
      <c r="HO321" s="14"/>
      <c r="HP321" s="14"/>
      <c r="HQ321" s="14"/>
      <c r="HR321" s="14"/>
      <c r="HS321" s="14"/>
      <c r="HT321" s="14"/>
    </row>
    <row r="322" spans="1:228" ht="15" customHeight="1" x14ac:dyDescent="0.2">
      <c r="A322" s="3"/>
      <c r="B322" s="1437"/>
      <c r="C322" s="1438"/>
      <c r="D322" s="1439"/>
      <c r="E322" s="565"/>
      <c r="F322" s="1410" t="str">
        <f>IF(S321=1,"","Pectineus")</f>
        <v>Pectineus</v>
      </c>
      <c r="G322" s="1410"/>
      <c r="H322" s="1410"/>
      <c r="I322" s="1410"/>
      <c r="J322" s="1410"/>
      <c r="K322" s="1410"/>
      <c r="L322" s="1410"/>
      <c r="M322" s="92">
        <f t="shared" si="34"/>
        <v>0</v>
      </c>
      <c r="N322" s="254"/>
      <c r="O322" s="254"/>
      <c r="P322" s="363" t="str">
        <f t="shared" ref="P322:P327" si="41">IF(X322=0,"",X322)</f>
        <v/>
      </c>
      <c r="R322" s="686" t="b">
        <v>0</v>
      </c>
      <c r="S322" s="736">
        <f t="shared" si="35"/>
        <v>0</v>
      </c>
      <c r="T322" s="747">
        <f t="shared" si="36"/>
        <v>0</v>
      </c>
      <c r="U322" s="747">
        <f t="shared" si="37"/>
        <v>0</v>
      </c>
      <c r="V322" s="747">
        <f t="shared" si="38"/>
        <v>0</v>
      </c>
      <c r="W322" s="747">
        <f t="shared" si="39"/>
        <v>0</v>
      </c>
      <c r="X322" s="747">
        <f t="shared" si="40"/>
        <v>0</v>
      </c>
      <c r="Y322" s="18"/>
      <c r="Z322" s="18"/>
      <c r="AA322" s="18"/>
      <c r="AB322" s="18"/>
      <c r="AC322" s="18"/>
      <c r="AD322" s="18"/>
      <c r="AE322" s="18"/>
      <c r="AF322" s="18"/>
      <c r="AG322" s="18"/>
      <c r="AH322" s="172"/>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4"/>
      <c r="BR322" s="14"/>
      <c r="BS322" s="14"/>
      <c r="BT322" s="14"/>
      <c r="BU322" s="14"/>
      <c r="BV322" s="14"/>
      <c r="BW322" s="14"/>
      <c r="BX322" s="14"/>
      <c r="BY322" s="14"/>
      <c r="BZ322" s="14"/>
      <c r="CA322" s="14"/>
      <c r="CB322" s="14"/>
      <c r="CC322" s="14"/>
      <c r="CD322" s="14"/>
      <c r="CE322" s="14"/>
      <c r="CF322" s="14"/>
      <c r="CG322" s="14"/>
      <c r="CH322" s="14"/>
      <c r="CI322" s="14"/>
      <c r="CJ322" s="14"/>
      <c r="CK322" s="14"/>
      <c r="CL322" s="14"/>
      <c r="CM322" s="14"/>
      <c r="CN322" s="14"/>
      <c r="CO322" s="14"/>
      <c r="CP322" s="14"/>
      <c r="CQ322" s="14"/>
      <c r="CR322" s="14"/>
      <c r="CS322" s="14"/>
      <c r="CT322" s="14"/>
      <c r="CU322" s="14"/>
      <c r="CV322" s="14"/>
      <c r="CW322" s="14"/>
      <c r="CX322" s="14"/>
      <c r="CY322" s="14"/>
      <c r="CZ322" s="14"/>
      <c r="DA322" s="14"/>
      <c r="DB322" s="14"/>
      <c r="DC322" s="14"/>
      <c r="DD322" s="14"/>
      <c r="DE322" s="14"/>
      <c r="DF322" s="14"/>
      <c r="DG322" s="14"/>
      <c r="DH322" s="14"/>
      <c r="DI322" s="14"/>
      <c r="DJ322" s="14"/>
      <c r="DK322" s="14"/>
      <c r="DL322" s="14"/>
      <c r="DM322" s="14"/>
      <c r="DN322" s="14"/>
      <c r="DO322" s="14"/>
      <c r="DP322" s="14"/>
      <c r="DQ322" s="14"/>
      <c r="DR322" s="14"/>
      <c r="DS322" s="14"/>
      <c r="DT322" s="14"/>
      <c r="DU322" s="14"/>
      <c r="DV322" s="14"/>
      <c r="DW322" s="14"/>
      <c r="DX322" s="14"/>
      <c r="DY322" s="14"/>
      <c r="DZ322" s="14"/>
      <c r="EA322" s="14"/>
      <c r="EB322" s="14"/>
      <c r="EC322" s="14"/>
      <c r="ED322" s="14"/>
      <c r="EE322" s="14"/>
      <c r="EF322" s="14"/>
      <c r="EG322" s="14"/>
      <c r="EH322" s="14"/>
      <c r="EI322" s="14"/>
      <c r="EJ322" s="14"/>
      <c r="EK322" s="14"/>
      <c r="EL322" s="14"/>
      <c r="EM322" s="14"/>
      <c r="EN322" s="14"/>
      <c r="EO322" s="14"/>
      <c r="EP322" s="14"/>
      <c r="EQ322" s="14"/>
      <c r="ER322" s="14"/>
      <c r="ES322" s="14"/>
      <c r="ET322" s="14"/>
      <c r="EU322" s="14"/>
      <c r="EV322" s="14"/>
      <c r="EW322" s="14"/>
      <c r="EX322" s="14"/>
      <c r="EY322" s="14"/>
      <c r="EZ322" s="14"/>
      <c r="FA322" s="14"/>
      <c r="FB322" s="14"/>
      <c r="FC322" s="14"/>
      <c r="FD322" s="14"/>
      <c r="FE322" s="14"/>
      <c r="FF322" s="14"/>
      <c r="FG322" s="14"/>
      <c r="FH322" s="14"/>
      <c r="FI322" s="14"/>
      <c r="FJ322" s="14"/>
      <c r="FK322" s="14"/>
      <c r="FL322" s="14"/>
      <c r="FM322" s="14"/>
      <c r="FN322" s="14"/>
      <c r="FO322" s="14"/>
      <c r="FP322" s="14"/>
      <c r="FQ322" s="14"/>
      <c r="FR322" s="14"/>
      <c r="FS322" s="14"/>
      <c r="FT322" s="14"/>
      <c r="FU322" s="14"/>
      <c r="FV322" s="14"/>
      <c r="FW322" s="14"/>
      <c r="FX322" s="14"/>
      <c r="FY322" s="14"/>
      <c r="FZ322" s="14"/>
      <c r="GA322" s="14"/>
      <c r="GB322" s="14"/>
      <c r="GC322" s="14"/>
      <c r="GD322" s="14"/>
      <c r="GE322" s="14"/>
      <c r="GF322" s="14"/>
      <c r="GG322" s="14"/>
      <c r="GH322" s="14"/>
      <c r="GI322" s="14"/>
      <c r="GJ322" s="14"/>
      <c r="GK322" s="14"/>
      <c r="GL322" s="14"/>
      <c r="GM322" s="14"/>
      <c r="GN322" s="14"/>
      <c r="GO322" s="14"/>
      <c r="GP322" s="14"/>
      <c r="GQ322" s="14"/>
      <c r="GR322" s="14"/>
      <c r="GS322" s="14"/>
      <c r="GT322" s="14"/>
      <c r="GU322" s="14"/>
      <c r="GV322" s="14"/>
      <c r="GW322" s="14"/>
      <c r="GX322" s="14"/>
      <c r="GY322" s="14"/>
      <c r="GZ322" s="14"/>
      <c r="HA322" s="14"/>
      <c r="HB322" s="14"/>
      <c r="HC322" s="14"/>
      <c r="HD322" s="14"/>
      <c r="HE322" s="14"/>
      <c r="HF322" s="14"/>
      <c r="HG322" s="14"/>
      <c r="HH322" s="14"/>
      <c r="HI322" s="14"/>
      <c r="HJ322" s="14"/>
      <c r="HK322" s="14"/>
      <c r="HL322" s="14"/>
      <c r="HM322" s="14"/>
      <c r="HN322" s="14"/>
      <c r="HO322" s="14"/>
      <c r="HP322" s="14"/>
      <c r="HQ322" s="14"/>
      <c r="HR322" s="14"/>
      <c r="HS322" s="14"/>
      <c r="HT322" s="14"/>
    </row>
    <row r="323" spans="1:228" ht="15" customHeight="1" x14ac:dyDescent="0.2">
      <c r="A323" s="3"/>
      <c r="B323" s="2054"/>
      <c r="C323" s="2055"/>
      <c r="D323" s="2056"/>
      <c r="E323" s="565"/>
      <c r="F323" s="1410" t="str">
        <f>IF(S321=1,"","Sartorius")</f>
        <v>Sartorius</v>
      </c>
      <c r="G323" s="1410"/>
      <c r="H323" s="1410"/>
      <c r="I323" s="1410"/>
      <c r="J323" s="1410"/>
      <c r="K323" s="1410"/>
      <c r="L323" s="1410"/>
      <c r="M323" s="92">
        <f t="shared" si="34"/>
        <v>0</v>
      </c>
      <c r="N323" s="254"/>
      <c r="O323" s="254"/>
      <c r="P323" s="363" t="str">
        <f t="shared" si="41"/>
        <v/>
      </c>
      <c r="R323" s="686" t="b">
        <v>0</v>
      </c>
      <c r="S323" s="736">
        <f t="shared" si="35"/>
        <v>0</v>
      </c>
      <c r="T323" s="747">
        <f t="shared" si="36"/>
        <v>0</v>
      </c>
      <c r="U323" s="747">
        <f t="shared" si="37"/>
        <v>0</v>
      </c>
      <c r="V323" s="747">
        <f t="shared" si="38"/>
        <v>0</v>
      </c>
      <c r="W323" s="747">
        <f t="shared" si="39"/>
        <v>0</v>
      </c>
      <c r="X323" s="747">
        <f t="shared" si="40"/>
        <v>0</v>
      </c>
      <c r="Y323" s="18"/>
      <c r="Z323" s="18"/>
      <c r="AA323" s="18"/>
      <c r="AB323" s="18"/>
      <c r="AC323" s="18"/>
      <c r="AD323" s="18"/>
      <c r="AE323" s="18"/>
      <c r="AF323" s="18"/>
      <c r="AG323" s="18"/>
      <c r="AH323" s="172"/>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4"/>
      <c r="BR323" s="14"/>
      <c r="BS323" s="14"/>
      <c r="BT323" s="14"/>
      <c r="BU323" s="14"/>
      <c r="BV323" s="14"/>
      <c r="BW323" s="14"/>
      <c r="BX323" s="14"/>
      <c r="BY323" s="14"/>
      <c r="BZ323" s="14"/>
      <c r="CA323" s="14"/>
      <c r="CB323" s="14"/>
      <c r="CC323" s="14"/>
      <c r="CD323" s="14"/>
      <c r="CE323" s="14"/>
      <c r="CF323" s="14"/>
      <c r="CG323" s="14"/>
      <c r="CH323" s="14"/>
      <c r="CI323" s="14"/>
      <c r="CJ323" s="14"/>
      <c r="CK323" s="14"/>
      <c r="CL323" s="14"/>
      <c r="CM323" s="14"/>
      <c r="CN323" s="14"/>
      <c r="CO323" s="14"/>
      <c r="CP323" s="14"/>
      <c r="CQ323" s="14"/>
      <c r="CR323" s="14"/>
      <c r="CS323" s="14"/>
      <c r="CT323" s="14"/>
      <c r="CU323" s="14"/>
      <c r="CV323" s="14"/>
      <c r="CW323" s="14"/>
      <c r="CX323" s="14"/>
      <c r="CY323" s="14"/>
      <c r="CZ323" s="14"/>
      <c r="DA323" s="14"/>
      <c r="DB323" s="14"/>
      <c r="DC323" s="14"/>
      <c r="DD323" s="14"/>
      <c r="DE323" s="14"/>
      <c r="DF323" s="14"/>
      <c r="DG323" s="14"/>
      <c r="DH323" s="14"/>
      <c r="DI323" s="14"/>
      <c r="DJ323" s="14"/>
      <c r="DK323" s="14"/>
      <c r="DL323" s="14"/>
      <c r="DM323" s="14"/>
      <c r="DN323" s="14"/>
      <c r="DO323" s="14"/>
      <c r="DP323" s="14"/>
      <c r="DQ323" s="14"/>
      <c r="DR323" s="14"/>
      <c r="DS323" s="14"/>
      <c r="DT323" s="14"/>
      <c r="DU323" s="14"/>
      <c r="DV323" s="14"/>
      <c r="DW323" s="14"/>
      <c r="DX323" s="14"/>
      <c r="DY323" s="14"/>
      <c r="DZ323" s="14"/>
      <c r="EA323" s="14"/>
      <c r="EB323" s="14"/>
      <c r="EC323" s="14"/>
      <c r="ED323" s="14"/>
      <c r="EE323" s="14"/>
      <c r="EF323" s="14"/>
      <c r="EG323" s="14"/>
      <c r="EH323" s="14"/>
      <c r="EI323" s="14"/>
      <c r="EJ323" s="14"/>
      <c r="EK323" s="14"/>
      <c r="EL323" s="14"/>
      <c r="EM323" s="14"/>
      <c r="EN323" s="14"/>
      <c r="EO323" s="14"/>
      <c r="EP323" s="14"/>
      <c r="EQ323" s="14"/>
      <c r="ER323" s="14"/>
      <c r="ES323" s="14"/>
      <c r="ET323" s="14"/>
      <c r="EU323" s="14"/>
      <c r="EV323" s="14"/>
      <c r="EW323" s="14"/>
      <c r="EX323" s="14"/>
      <c r="EY323" s="14"/>
      <c r="EZ323" s="14"/>
      <c r="FA323" s="14"/>
      <c r="FB323" s="14"/>
      <c r="FC323" s="14"/>
      <c r="FD323" s="14"/>
      <c r="FE323" s="14"/>
      <c r="FF323" s="14"/>
      <c r="FG323" s="14"/>
      <c r="FH323" s="14"/>
      <c r="FI323" s="14"/>
      <c r="FJ323" s="14"/>
      <c r="FK323" s="14"/>
      <c r="FL323" s="14"/>
      <c r="FM323" s="14"/>
      <c r="FN323" s="14"/>
      <c r="FO323" s="14"/>
      <c r="FP323" s="14"/>
      <c r="FQ323" s="14"/>
      <c r="FR323" s="14"/>
      <c r="FS323" s="14"/>
      <c r="FT323" s="14"/>
      <c r="FU323" s="14"/>
      <c r="FV323" s="14"/>
      <c r="FW323" s="14"/>
      <c r="FX323" s="14"/>
      <c r="FY323" s="14"/>
      <c r="FZ323" s="14"/>
      <c r="GA323" s="14"/>
      <c r="GB323" s="14"/>
      <c r="GC323" s="14"/>
      <c r="GD323" s="14"/>
      <c r="GE323" s="14"/>
      <c r="GF323" s="14"/>
      <c r="GG323" s="14"/>
      <c r="GH323" s="14"/>
      <c r="GI323" s="14"/>
      <c r="GJ323" s="14"/>
      <c r="GK323" s="14"/>
      <c r="GL323" s="14"/>
      <c r="GM323" s="14"/>
      <c r="GN323" s="14"/>
      <c r="GO323" s="14"/>
      <c r="GP323" s="14"/>
      <c r="GQ323" s="14"/>
      <c r="GR323" s="14"/>
      <c r="GS323" s="14"/>
      <c r="GT323" s="14"/>
      <c r="GU323" s="14"/>
      <c r="GV323" s="14"/>
      <c r="GW323" s="14"/>
      <c r="GX323" s="14"/>
      <c r="GY323" s="14"/>
      <c r="GZ323" s="14"/>
      <c r="HA323" s="14"/>
      <c r="HB323" s="14"/>
      <c r="HC323" s="14"/>
      <c r="HD323" s="14"/>
      <c r="HE323" s="14"/>
      <c r="HF323" s="14"/>
      <c r="HG323" s="14"/>
      <c r="HH323" s="14"/>
      <c r="HI323" s="14"/>
      <c r="HJ323" s="14"/>
      <c r="HK323" s="14"/>
      <c r="HL323" s="14"/>
      <c r="HM323" s="14"/>
      <c r="HN323" s="14"/>
      <c r="HO323" s="14"/>
      <c r="HP323" s="14"/>
      <c r="HQ323" s="14"/>
      <c r="HR323" s="14"/>
      <c r="HS323" s="14"/>
      <c r="HT323" s="14"/>
    </row>
    <row r="324" spans="1:228" ht="15" customHeight="1" x14ac:dyDescent="0.2">
      <c r="A324" s="3"/>
      <c r="B324" s="2054"/>
      <c r="C324" s="2055"/>
      <c r="D324" s="2056"/>
      <c r="E324" s="565"/>
      <c r="F324" s="1410" t="str">
        <f>IF(S321=1,"","Rectus femoris")</f>
        <v>Rectus femoris</v>
      </c>
      <c r="G324" s="1410"/>
      <c r="H324" s="1410"/>
      <c r="I324" s="1410"/>
      <c r="J324" s="1410"/>
      <c r="K324" s="1410"/>
      <c r="L324" s="1410"/>
      <c r="M324" s="92">
        <f t="shared" si="34"/>
        <v>0</v>
      </c>
      <c r="N324" s="254"/>
      <c r="O324" s="254"/>
      <c r="P324" s="363" t="str">
        <f t="shared" si="41"/>
        <v/>
      </c>
      <c r="R324" s="686" t="b">
        <v>0</v>
      </c>
      <c r="S324" s="736">
        <f t="shared" si="35"/>
        <v>0</v>
      </c>
      <c r="T324" s="747">
        <f t="shared" si="36"/>
        <v>0</v>
      </c>
      <c r="U324" s="747">
        <f t="shared" si="37"/>
        <v>0</v>
      </c>
      <c r="V324" s="747">
        <f t="shared" si="38"/>
        <v>0</v>
      </c>
      <c r="W324" s="747">
        <f t="shared" si="39"/>
        <v>0</v>
      </c>
      <c r="X324" s="747">
        <f t="shared" si="40"/>
        <v>0</v>
      </c>
      <c r="Y324" s="18"/>
      <c r="Z324" s="18"/>
      <c r="AA324" s="18"/>
      <c r="AB324" s="18"/>
      <c r="AC324" s="18"/>
      <c r="AD324" s="18"/>
      <c r="AE324" s="18"/>
      <c r="AF324" s="18"/>
      <c r="AG324" s="18"/>
      <c r="AH324" s="172"/>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4"/>
      <c r="BR324" s="14"/>
      <c r="BS324" s="14"/>
      <c r="BT324" s="14"/>
      <c r="BU324" s="14"/>
      <c r="BV324" s="14"/>
      <c r="BW324" s="14"/>
      <c r="BX324" s="14"/>
      <c r="BY324" s="14"/>
      <c r="BZ324" s="14"/>
      <c r="CA324" s="14"/>
      <c r="CB324" s="14"/>
      <c r="CC324" s="14"/>
      <c r="CD324" s="14"/>
      <c r="CE324" s="14"/>
      <c r="CF324" s="14"/>
      <c r="CG324" s="14"/>
      <c r="CH324" s="14"/>
      <c r="CI324" s="14"/>
      <c r="CJ324" s="14"/>
      <c r="CK324" s="14"/>
      <c r="CL324" s="14"/>
      <c r="CM324" s="14"/>
      <c r="CN324" s="14"/>
      <c r="CO324" s="14"/>
      <c r="CP324" s="14"/>
      <c r="CQ324" s="14"/>
      <c r="CR324" s="14"/>
      <c r="CS324" s="14"/>
      <c r="CT324" s="14"/>
      <c r="CU324" s="14"/>
      <c r="CV324" s="14"/>
      <c r="CW324" s="14"/>
      <c r="CX324" s="14"/>
      <c r="CY324" s="14"/>
      <c r="CZ324" s="14"/>
      <c r="DA324" s="14"/>
      <c r="DB324" s="14"/>
      <c r="DC324" s="14"/>
      <c r="DD324" s="14"/>
      <c r="DE324" s="14"/>
      <c r="DF324" s="14"/>
      <c r="DG324" s="14"/>
      <c r="DH324" s="14"/>
      <c r="DI324" s="14"/>
      <c r="DJ324" s="14"/>
      <c r="DK324" s="14"/>
      <c r="DL324" s="14"/>
      <c r="DM324" s="14"/>
      <c r="DN324" s="14"/>
      <c r="DO324" s="14"/>
      <c r="DP324" s="14"/>
      <c r="DQ324" s="14"/>
      <c r="DR324" s="14"/>
      <c r="DS324" s="14"/>
      <c r="DT324" s="14"/>
      <c r="DU324" s="14"/>
      <c r="DV324" s="14"/>
      <c r="DW324" s="14"/>
      <c r="DX324" s="14"/>
      <c r="DY324" s="14"/>
      <c r="DZ324" s="14"/>
      <c r="EA324" s="14"/>
      <c r="EB324" s="14"/>
      <c r="EC324" s="14"/>
      <c r="ED324" s="14"/>
      <c r="EE324" s="14"/>
      <c r="EF324" s="14"/>
      <c r="EG324" s="14"/>
      <c r="EH324" s="14"/>
      <c r="EI324" s="14"/>
      <c r="EJ324" s="14"/>
      <c r="EK324" s="14"/>
      <c r="EL324" s="14"/>
      <c r="EM324" s="14"/>
      <c r="EN324" s="14"/>
      <c r="EO324" s="14"/>
      <c r="EP324" s="14"/>
      <c r="EQ324" s="14"/>
      <c r="ER324" s="14"/>
      <c r="ES324" s="14"/>
      <c r="ET324" s="14"/>
      <c r="EU324" s="14"/>
      <c r="EV324" s="14"/>
      <c r="EW324" s="14"/>
      <c r="EX324" s="14"/>
      <c r="EY324" s="14"/>
      <c r="EZ324" s="14"/>
      <c r="FA324" s="14"/>
      <c r="FB324" s="14"/>
      <c r="FC324" s="14"/>
      <c r="FD324" s="14"/>
      <c r="FE324" s="14"/>
      <c r="FF324" s="14"/>
      <c r="FG324" s="14"/>
      <c r="FH324" s="14"/>
      <c r="FI324" s="14"/>
      <c r="FJ324" s="14"/>
      <c r="FK324" s="14"/>
      <c r="FL324" s="14"/>
      <c r="FM324" s="14"/>
      <c r="FN324" s="14"/>
      <c r="FO324" s="14"/>
      <c r="FP324" s="14"/>
      <c r="FQ324" s="14"/>
      <c r="FR324" s="14"/>
      <c r="FS324" s="14"/>
      <c r="FT324" s="14"/>
      <c r="FU324" s="14"/>
      <c r="FV324" s="14"/>
      <c r="FW324" s="14"/>
      <c r="FX324" s="14"/>
      <c r="FY324" s="14"/>
      <c r="FZ324" s="14"/>
      <c r="GA324" s="14"/>
      <c r="GB324" s="14"/>
      <c r="GC324" s="14"/>
      <c r="GD324" s="14"/>
      <c r="GE324" s="14"/>
      <c r="GF324" s="14"/>
      <c r="GG324" s="14"/>
      <c r="GH324" s="14"/>
      <c r="GI324" s="14"/>
      <c r="GJ324" s="14"/>
      <c r="GK324" s="14"/>
      <c r="GL324" s="14"/>
      <c r="GM324" s="14"/>
      <c r="GN324" s="14"/>
      <c r="GO324" s="14"/>
      <c r="GP324" s="14"/>
      <c r="GQ324" s="14"/>
      <c r="GR324" s="14"/>
      <c r="GS324" s="14"/>
      <c r="GT324" s="14"/>
      <c r="GU324" s="14"/>
      <c r="GV324" s="14"/>
      <c r="GW324" s="14"/>
      <c r="GX324" s="14"/>
      <c r="GY324" s="14"/>
      <c r="GZ324" s="14"/>
      <c r="HA324" s="14"/>
      <c r="HB324" s="14"/>
      <c r="HC324" s="14"/>
      <c r="HD324" s="14"/>
      <c r="HE324" s="14"/>
      <c r="HF324" s="14"/>
      <c r="HG324" s="14"/>
      <c r="HH324" s="14"/>
      <c r="HI324" s="14"/>
      <c r="HJ324" s="14"/>
      <c r="HK324" s="14"/>
      <c r="HL324" s="14"/>
      <c r="HM324" s="14"/>
      <c r="HN324" s="14"/>
      <c r="HO324" s="14"/>
      <c r="HP324" s="14"/>
      <c r="HQ324" s="14"/>
      <c r="HR324" s="14"/>
      <c r="HS324" s="14"/>
      <c r="HT324" s="14"/>
    </row>
    <row r="325" spans="1:228" ht="15" customHeight="1" x14ac:dyDescent="0.2">
      <c r="A325" s="3"/>
      <c r="B325" s="2054"/>
      <c r="C325" s="2055"/>
      <c r="D325" s="2056"/>
      <c r="E325" s="565"/>
      <c r="F325" s="1410" t="str">
        <f>IF(S321=1,"","Vastus lateralis")</f>
        <v>Vastus lateralis</v>
      </c>
      <c r="G325" s="1410"/>
      <c r="H325" s="1410"/>
      <c r="I325" s="1410"/>
      <c r="J325" s="1410"/>
      <c r="K325" s="1410"/>
      <c r="L325" s="1410"/>
      <c r="M325" s="92">
        <f t="shared" si="34"/>
        <v>0</v>
      </c>
      <c r="N325" s="254"/>
      <c r="O325" s="254"/>
      <c r="P325" s="363" t="str">
        <f t="shared" si="41"/>
        <v/>
      </c>
      <c r="R325" s="686" t="b">
        <v>0</v>
      </c>
      <c r="S325" s="736">
        <f t="shared" si="35"/>
        <v>0</v>
      </c>
      <c r="T325" s="747">
        <f t="shared" si="36"/>
        <v>0</v>
      </c>
      <c r="U325" s="747">
        <f t="shared" si="37"/>
        <v>0</v>
      </c>
      <c r="V325" s="747">
        <f t="shared" si="38"/>
        <v>0</v>
      </c>
      <c r="W325" s="747">
        <f t="shared" si="39"/>
        <v>0</v>
      </c>
      <c r="X325" s="747">
        <f t="shared" si="40"/>
        <v>0</v>
      </c>
      <c r="Y325" s="18"/>
      <c r="Z325" s="18"/>
      <c r="AA325" s="18"/>
      <c r="AB325" s="18"/>
      <c r="AC325" s="18"/>
      <c r="AD325" s="18"/>
      <c r="AE325" s="18"/>
      <c r="AF325" s="18"/>
      <c r="AG325" s="18"/>
      <c r="AH325" s="172"/>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4"/>
      <c r="BR325" s="14"/>
      <c r="BS325" s="14"/>
      <c r="BT325" s="14"/>
      <c r="BU325" s="14"/>
      <c r="BV325" s="14"/>
      <c r="BW325" s="14"/>
      <c r="BX325" s="14"/>
      <c r="BY325" s="14"/>
      <c r="BZ325" s="14"/>
      <c r="CA325" s="14"/>
      <c r="CB325" s="14"/>
      <c r="CC325" s="14"/>
      <c r="CD325" s="14"/>
      <c r="CE325" s="14"/>
      <c r="CF325" s="14"/>
      <c r="CG325" s="14"/>
      <c r="CH325" s="14"/>
      <c r="CI325" s="14"/>
      <c r="CJ325" s="14"/>
      <c r="CK325" s="14"/>
      <c r="CL325" s="14"/>
      <c r="CM325" s="14"/>
      <c r="CN325" s="14"/>
      <c r="CO325" s="14"/>
      <c r="CP325" s="14"/>
      <c r="CQ325" s="14"/>
      <c r="CR325" s="14"/>
      <c r="CS325" s="14"/>
      <c r="CT325" s="14"/>
      <c r="CU325" s="14"/>
      <c r="CV325" s="14"/>
      <c r="CW325" s="14"/>
      <c r="CX325" s="14"/>
      <c r="CY325" s="14"/>
      <c r="CZ325" s="14"/>
      <c r="DA325" s="14"/>
      <c r="DB325" s="14"/>
      <c r="DC325" s="14"/>
      <c r="DD325" s="14"/>
      <c r="DE325" s="14"/>
      <c r="DF325" s="14"/>
      <c r="DG325" s="14"/>
      <c r="DH325" s="14"/>
      <c r="DI325" s="14"/>
      <c r="DJ325" s="14"/>
      <c r="DK325" s="14"/>
      <c r="DL325" s="14"/>
      <c r="DM325" s="14"/>
      <c r="DN325" s="14"/>
      <c r="DO325" s="14"/>
      <c r="DP325" s="14"/>
      <c r="DQ325" s="14"/>
      <c r="DR325" s="14"/>
      <c r="DS325" s="14"/>
      <c r="DT325" s="14"/>
      <c r="DU325" s="14"/>
      <c r="DV325" s="14"/>
      <c r="DW325" s="14"/>
      <c r="DX325" s="14"/>
      <c r="DY325" s="14"/>
      <c r="DZ325" s="14"/>
      <c r="EA325" s="14"/>
      <c r="EB325" s="14"/>
      <c r="EC325" s="14"/>
      <c r="ED325" s="14"/>
      <c r="EE325" s="14"/>
      <c r="EF325" s="14"/>
      <c r="EG325" s="14"/>
      <c r="EH325" s="14"/>
      <c r="EI325" s="14"/>
      <c r="EJ325" s="14"/>
      <c r="EK325" s="14"/>
      <c r="EL325" s="14"/>
      <c r="EM325" s="14"/>
      <c r="EN325" s="14"/>
      <c r="EO325" s="14"/>
      <c r="EP325" s="14"/>
      <c r="EQ325" s="14"/>
      <c r="ER325" s="14"/>
      <c r="ES325" s="14"/>
      <c r="ET325" s="14"/>
      <c r="EU325" s="14"/>
      <c r="EV325" s="14"/>
      <c r="EW325" s="14"/>
      <c r="EX325" s="14"/>
      <c r="EY325" s="14"/>
      <c r="EZ325" s="14"/>
      <c r="FA325" s="14"/>
      <c r="FB325" s="14"/>
      <c r="FC325" s="14"/>
      <c r="FD325" s="14"/>
      <c r="FE325" s="14"/>
      <c r="FF325" s="14"/>
      <c r="FG325" s="14"/>
      <c r="FH325" s="14"/>
      <c r="FI325" s="14"/>
      <c r="FJ325" s="14"/>
      <c r="FK325" s="14"/>
      <c r="FL325" s="14"/>
      <c r="FM325" s="14"/>
      <c r="FN325" s="14"/>
      <c r="FO325" s="14"/>
      <c r="FP325" s="14"/>
      <c r="FQ325" s="14"/>
      <c r="FR325" s="14"/>
      <c r="FS325" s="14"/>
      <c r="FT325" s="14"/>
      <c r="FU325" s="14"/>
      <c r="FV325" s="14"/>
      <c r="FW325" s="14"/>
      <c r="FX325" s="14"/>
      <c r="FY325" s="14"/>
      <c r="FZ325" s="14"/>
      <c r="GA325" s="14"/>
      <c r="GB325" s="14"/>
      <c r="GC325" s="14"/>
      <c r="GD325" s="14"/>
      <c r="GE325" s="14"/>
      <c r="GF325" s="14"/>
      <c r="GG325" s="14"/>
      <c r="GH325" s="14"/>
      <c r="GI325" s="14"/>
      <c r="GJ325" s="14"/>
      <c r="GK325" s="14"/>
      <c r="GL325" s="14"/>
      <c r="GM325" s="14"/>
      <c r="GN325" s="14"/>
      <c r="GO325" s="14"/>
      <c r="GP325" s="14"/>
      <c r="GQ325" s="14"/>
      <c r="GR325" s="14"/>
      <c r="GS325" s="14"/>
      <c r="GT325" s="14"/>
      <c r="GU325" s="14"/>
      <c r="GV325" s="14"/>
      <c r="GW325" s="14"/>
      <c r="GX325" s="14"/>
      <c r="GY325" s="14"/>
      <c r="GZ325" s="14"/>
      <c r="HA325" s="14"/>
      <c r="HB325" s="14"/>
      <c r="HC325" s="14"/>
      <c r="HD325" s="14"/>
      <c r="HE325" s="14"/>
      <c r="HF325" s="14"/>
      <c r="HG325" s="14"/>
      <c r="HH325" s="14"/>
      <c r="HI325" s="14"/>
      <c r="HJ325" s="14"/>
      <c r="HK325" s="14"/>
      <c r="HL325" s="14"/>
      <c r="HM325" s="14"/>
      <c r="HN325" s="14"/>
      <c r="HO325" s="14"/>
      <c r="HP325" s="14"/>
      <c r="HQ325" s="14"/>
      <c r="HR325" s="14"/>
      <c r="HS325" s="14"/>
      <c r="HT325" s="14"/>
    </row>
    <row r="326" spans="1:228" ht="15" customHeight="1" x14ac:dyDescent="0.2">
      <c r="A326" s="3"/>
      <c r="B326" s="2054"/>
      <c r="C326" s="2055"/>
      <c r="D326" s="2056"/>
      <c r="E326" s="565"/>
      <c r="F326" s="1410" t="str">
        <f>IF(S321=1,"","Vastus intermedius")</f>
        <v>Vastus intermedius</v>
      </c>
      <c r="G326" s="1410"/>
      <c r="H326" s="1410"/>
      <c r="I326" s="1410"/>
      <c r="J326" s="1410"/>
      <c r="K326" s="1410"/>
      <c r="L326" s="1410"/>
      <c r="M326" s="92">
        <f t="shared" si="34"/>
        <v>0</v>
      </c>
      <c r="N326" s="254"/>
      <c r="O326" s="254"/>
      <c r="P326" s="363" t="str">
        <f t="shared" si="41"/>
        <v/>
      </c>
      <c r="R326" s="686" t="b">
        <v>0</v>
      </c>
      <c r="S326" s="736">
        <f t="shared" si="35"/>
        <v>0</v>
      </c>
      <c r="T326" s="747">
        <f t="shared" si="36"/>
        <v>0</v>
      </c>
      <c r="U326" s="747">
        <f t="shared" si="37"/>
        <v>0</v>
      </c>
      <c r="V326" s="747">
        <f t="shared" si="38"/>
        <v>0</v>
      </c>
      <c r="W326" s="747">
        <f t="shared" si="39"/>
        <v>0</v>
      </c>
      <c r="X326" s="747">
        <f t="shared" si="40"/>
        <v>0</v>
      </c>
      <c r="Y326" s="18"/>
      <c r="Z326" s="18"/>
      <c r="AA326" s="18"/>
      <c r="AB326" s="18"/>
      <c r="AC326" s="18"/>
      <c r="AD326" s="18"/>
      <c r="AE326" s="18"/>
      <c r="AF326" s="18"/>
      <c r="AG326" s="18"/>
      <c r="AH326" s="172"/>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4"/>
      <c r="BR326" s="14"/>
      <c r="BS326" s="14"/>
      <c r="BT326" s="14"/>
      <c r="BU326" s="14"/>
      <c r="BV326" s="14"/>
      <c r="BW326" s="14"/>
      <c r="BX326" s="14"/>
      <c r="BY326" s="14"/>
      <c r="BZ326" s="14"/>
      <c r="CA326" s="14"/>
      <c r="CB326" s="14"/>
      <c r="CC326" s="14"/>
      <c r="CD326" s="14"/>
      <c r="CE326" s="14"/>
      <c r="CF326" s="14"/>
      <c r="CG326" s="14"/>
      <c r="CH326" s="14"/>
      <c r="CI326" s="14"/>
      <c r="CJ326" s="14"/>
      <c r="CK326" s="14"/>
      <c r="CL326" s="14"/>
      <c r="CM326" s="14"/>
      <c r="CN326" s="14"/>
      <c r="CO326" s="14"/>
      <c r="CP326" s="14"/>
      <c r="CQ326" s="14"/>
      <c r="CR326" s="14"/>
      <c r="CS326" s="14"/>
      <c r="CT326" s="14"/>
      <c r="CU326" s="14"/>
      <c r="CV326" s="14"/>
      <c r="CW326" s="14"/>
      <c r="CX326" s="14"/>
      <c r="CY326" s="14"/>
      <c r="CZ326" s="14"/>
      <c r="DA326" s="14"/>
      <c r="DB326" s="14"/>
      <c r="DC326" s="14"/>
      <c r="DD326" s="14"/>
      <c r="DE326" s="14"/>
      <c r="DF326" s="14"/>
      <c r="DG326" s="14"/>
      <c r="DH326" s="14"/>
      <c r="DI326" s="14"/>
      <c r="DJ326" s="14"/>
      <c r="DK326" s="14"/>
      <c r="DL326" s="14"/>
      <c r="DM326" s="14"/>
      <c r="DN326" s="14"/>
      <c r="DO326" s="14"/>
      <c r="DP326" s="14"/>
      <c r="DQ326" s="14"/>
      <c r="DR326" s="14"/>
      <c r="DS326" s="14"/>
      <c r="DT326" s="14"/>
      <c r="DU326" s="14"/>
      <c r="DV326" s="14"/>
      <c r="DW326" s="14"/>
      <c r="DX326" s="14"/>
      <c r="DY326" s="14"/>
      <c r="DZ326" s="14"/>
      <c r="EA326" s="14"/>
      <c r="EB326" s="14"/>
      <c r="EC326" s="14"/>
      <c r="ED326" s="14"/>
      <c r="EE326" s="14"/>
      <c r="EF326" s="14"/>
      <c r="EG326" s="14"/>
      <c r="EH326" s="14"/>
      <c r="EI326" s="14"/>
      <c r="EJ326" s="14"/>
      <c r="EK326" s="14"/>
      <c r="EL326" s="14"/>
      <c r="EM326" s="14"/>
      <c r="EN326" s="14"/>
      <c r="EO326" s="14"/>
      <c r="EP326" s="14"/>
      <c r="EQ326" s="14"/>
      <c r="ER326" s="14"/>
      <c r="ES326" s="14"/>
      <c r="ET326" s="14"/>
      <c r="EU326" s="14"/>
      <c r="EV326" s="14"/>
      <c r="EW326" s="14"/>
      <c r="EX326" s="14"/>
      <c r="EY326" s="14"/>
      <c r="EZ326" s="14"/>
      <c r="FA326" s="14"/>
      <c r="FB326" s="14"/>
      <c r="FC326" s="14"/>
      <c r="FD326" s="14"/>
      <c r="FE326" s="14"/>
      <c r="FF326" s="14"/>
      <c r="FG326" s="14"/>
      <c r="FH326" s="14"/>
      <c r="FI326" s="14"/>
      <c r="FJ326" s="14"/>
      <c r="FK326" s="14"/>
      <c r="FL326" s="14"/>
      <c r="FM326" s="14"/>
      <c r="FN326" s="14"/>
      <c r="FO326" s="14"/>
      <c r="FP326" s="14"/>
      <c r="FQ326" s="14"/>
      <c r="FR326" s="14"/>
      <c r="FS326" s="14"/>
      <c r="FT326" s="14"/>
      <c r="FU326" s="14"/>
      <c r="FV326" s="14"/>
      <c r="FW326" s="14"/>
      <c r="FX326" s="14"/>
      <c r="FY326" s="14"/>
      <c r="FZ326" s="14"/>
      <c r="GA326" s="14"/>
      <c r="GB326" s="14"/>
      <c r="GC326" s="14"/>
      <c r="GD326" s="14"/>
      <c r="GE326" s="14"/>
      <c r="GF326" s="14"/>
      <c r="GG326" s="14"/>
      <c r="GH326" s="14"/>
      <c r="GI326" s="14"/>
      <c r="GJ326" s="14"/>
      <c r="GK326" s="14"/>
      <c r="GL326" s="14"/>
      <c r="GM326" s="14"/>
      <c r="GN326" s="14"/>
      <c r="GO326" s="14"/>
      <c r="GP326" s="14"/>
      <c r="GQ326" s="14"/>
      <c r="GR326" s="14"/>
      <c r="GS326" s="14"/>
      <c r="GT326" s="14"/>
      <c r="GU326" s="14"/>
      <c r="GV326" s="14"/>
      <c r="GW326" s="14"/>
      <c r="GX326" s="14"/>
      <c r="GY326" s="14"/>
      <c r="GZ326" s="14"/>
      <c r="HA326" s="14"/>
      <c r="HB326" s="14"/>
      <c r="HC326" s="14"/>
      <c r="HD326" s="14"/>
      <c r="HE326" s="14"/>
      <c r="HF326" s="14"/>
      <c r="HG326" s="14"/>
      <c r="HH326" s="14"/>
      <c r="HI326" s="14"/>
      <c r="HJ326" s="14"/>
      <c r="HK326" s="14"/>
      <c r="HL326" s="14"/>
      <c r="HM326" s="14"/>
      <c r="HN326" s="14"/>
      <c r="HO326" s="14"/>
      <c r="HP326" s="14"/>
      <c r="HQ326" s="14"/>
      <c r="HR326" s="14"/>
      <c r="HS326" s="14"/>
      <c r="HT326" s="14"/>
    </row>
    <row r="327" spans="1:228" ht="15" customHeight="1" x14ac:dyDescent="0.2">
      <c r="A327" s="3"/>
      <c r="B327" s="2057"/>
      <c r="C327" s="2058"/>
      <c r="D327" s="2059"/>
      <c r="E327" s="565"/>
      <c r="F327" s="1410" t="str">
        <f>IF(S321=1,"","Vastus medialis")</f>
        <v>Vastus medialis</v>
      </c>
      <c r="G327" s="1410"/>
      <c r="H327" s="1410"/>
      <c r="I327" s="1410"/>
      <c r="J327" s="1410"/>
      <c r="K327" s="1410"/>
      <c r="L327" s="1410"/>
      <c r="M327" s="92">
        <f t="shared" si="34"/>
        <v>0</v>
      </c>
      <c r="N327" s="254"/>
      <c r="O327" s="254"/>
      <c r="P327" s="363" t="str">
        <f t="shared" si="41"/>
        <v/>
      </c>
      <c r="R327" s="686" t="b">
        <v>0</v>
      </c>
      <c r="S327" s="736">
        <f t="shared" si="35"/>
        <v>0</v>
      </c>
      <c r="T327" s="747">
        <f t="shared" si="36"/>
        <v>0</v>
      </c>
      <c r="U327" s="747">
        <f t="shared" si="37"/>
        <v>0</v>
      </c>
      <c r="V327" s="747">
        <f t="shared" si="38"/>
        <v>0</v>
      </c>
      <c r="W327" s="747">
        <f t="shared" si="39"/>
        <v>0</v>
      </c>
      <c r="X327" s="747">
        <f t="shared" si="40"/>
        <v>0</v>
      </c>
      <c r="Y327" s="18"/>
      <c r="Z327" s="18"/>
      <c r="AA327" s="18"/>
      <c r="AB327" s="18"/>
      <c r="AC327" s="18"/>
      <c r="AD327" s="18"/>
      <c r="AE327" s="18"/>
      <c r="AF327" s="18"/>
      <c r="AG327" s="18"/>
      <c r="AH327" s="172"/>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4"/>
      <c r="BR327" s="14"/>
      <c r="BS327" s="14"/>
      <c r="BT327" s="14"/>
      <c r="BU327" s="14"/>
      <c r="BV327" s="14"/>
      <c r="BW327" s="14"/>
      <c r="BX327" s="14"/>
      <c r="BY327" s="14"/>
      <c r="BZ327" s="14"/>
      <c r="CA327" s="14"/>
      <c r="CB327" s="14"/>
      <c r="CC327" s="14"/>
      <c r="CD327" s="14"/>
      <c r="CE327" s="14"/>
      <c r="CF327" s="14"/>
      <c r="CG327" s="14"/>
      <c r="CH327" s="14"/>
      <c r="CI327" s="14"/>
      <c r="CJ327" s="14"/>
      <c r="CK327" s="14"/>
      <c r="CL327" s="14"/>
      <c r="CM327" s="14"/>
      <c r="CN327" s="14"/>
      <c r="CO327" s="14"/>
      <c r="CP327" s="14"/>
      <c r="CQ327" s="14"/>
      <c r="CR327" s="14"/>
      <c r="CS327" s="14"/>
      <c r="CT327" s="14"/>
      <c r="CU327" s="14"/>
      <c r="CV327" s="14"/>
      <c r="CW327" s="14"/>
      <c r="CX327" s="14"/>
      <c r="CY327" s="14"/>
      <c r="CZ327" s="14"/>
      <c r="DA327" s="14"/>
      <c r="DB327" s="14"/>
      <c r="DC327" s="14"/>
      <c r="DD327" s="14"/>
      <c r="DE327" s="14"/>
      <c r="DF327" s="14"/>
      <c r="DG327" s="14"/>
      <c r="DH327" s="14"/>
      <c r="DI327" s="14"/>
      <c r="DJ327" s="14"/>
      <c r="DK327" s="14"/>
      <c r="DL327" s="14"/>
      <c r="DM327" s="14"/>
      <c r="DN327" s="14"/>
      <c r="DO327" s="14"/>
      <c r="DP327" s="14"/>
      <c r="DQ327" s="14"/>
      <c r="DR327" s="14"/>
      <c r="DS327" s="14"/>
      <c r="DT327" s="14"/>
      <c r="DU327" s="14"/>
      <c r="DV327" s="14"/>
      <c r="DW327" s="14"/>
      <c r="DX327" s="14"/>
      <c r="DY327" s="14"/>
      <c r="DZ327" s="14"/>
      <c r="EA327" s="14"/>
      <c r="EB327" s="14"/>
      <c r="EC327" s="14"/>
      <c r="ED327" s="14"/>
      <c r="EE327" s="14"/>
      <c r="EF327" s="14"/>
      <c r="EG327" s="14"/>
      <c r="EH327" s="14"/>
      <c r="EI327" s="14"/>
      <c r="EJ327" s="14"/>
      <c r="EK327" s="14"/>
      <c r="EL327" s="14"/>
      <c r="EM327" s="14"/>
      <c r="EN327" s="14"/>
      <c r="EO327" s="14"/>
      <c r="EP327" s="14"/>
      <c r="EQ327" s="14"/>
      <c r="ER327" s="14"/>
      <c r="ES327" s="14"/>
      <c r="ET327" s="14"/>
      <c r="EU327" s="14"/>
      <c r="EV327" s="14"/>
      <c r="EW327" s="14"/>
      <c r="EX327" s="14"/>
      <c r="EY327" s="14"/>
      <c r="EZ327" s="14"/>
      <c r="FA327" s="14"/>
      <c r="FB327" s="14"/>
      <c r="FC327" s="14"/>
      <c r="FD327" s="14"/>
      <c r="FE327" s="14"/>
      <c r="FF327" s="14"/>
      <c r="FG327" s="14"/>
      <c r="FH327" s="14"/>
      <c r="FI327" s="14"/>
      <c r="FJ327" s="14"/>
      <c r="FK327" s="14"/>
      <c r="FL327" s="14"/>
      <c r="FM327" s="14"/>
      <c r="FN327" s="14"/>
      <c r="FO327" s="14"/>
      <c r="FP327" s="14"/>
      <c r="FQ327" s="14"/>
      <c r="FR327" s="14"/>
      <c r="FS327" s="14"/>
      <c r="FT327" s="14"/>
      <c r="FU327" s="14"/>
      <c r="FV327" s="14"/>
      <c r="FW327" s="14"/>
      <c r="FX327" s="14"/>
      <c r="FY327" s="14"/>
      <c r="FZ327" s="14"/>
      <c r="GA327" s="14"/>
      <c r="GB327" s="14"/>
      <c r="GC327" s="14"/>
      <c r="GD327" s="14"/>
      <c r="GE327" s="14"/>
      <c r="GF327" s="14"/>
      <c r="GG327" s="14"/>
      <c r="GH327" s="14"/>
      <c r="GI327" s="14"/>
      <c r="GJ327" s="14"/>
      <c r="GK327" s="14"/>
      <c r="GL327" s="14"/>
      <c r="GM327" s="14"/>
      <c r="GN327" s="14"/>
      <c r="GO327" s="14"/>
      <c r="GP327" s="14"/>
      <c r="GQ327" s="14"/>
      <c r="GR327" s="14"/>
      <c r="GS327" s="14"/>
      <c r="GT327" s="14"/>
      <c r="GU327" s="14"/>
      <c r="GV327" s="14"/>
      <c r="GW327" s="14"/>
      <c r="GX327" s="14"/>
      <c r="GY327" s="14"/>
      <c r="GZ327" s="14"/>
      <c r="HA327" s="14"/>
      <c r="HB327" s="14"/>
      <c r="HC327" s="14"/>
      <c r="HD327" s="14"/>
      <c r="HE327" s="14"/>
      <c r="HF327" s="14"/>
      <c r="HG327" s="14"/>
      <c r="HH327" s="14"/>
      <c r="HI327" s="14"/>
      <c r="HJ327" s="14"/>
      <c r="HK327" s="14"/>
      <c r="HL327" s="14"/>
      <c r="HM327" s="14"/>
      <c r="HN327" s="14"/>
      <c r="HO327" s="14"/>
      <c r="HP327" s="14"/>
      <c r="HQ327" s="14"/>
      <c r="HR327" s="14"/>
      <c r="HS327" s="14"/>
      <c r="HT327" s="14"/>
    </row>
    <row r="328" spans="1:228" ht="18" customHeight="1" x14ac:dyDescent="0.2">
      <c r="A328" s="3"/>
      <c r="B328" s="1743" t="str">
        <f>IF(SUM(M321:M327)=0,"","Total for femoral nerve; LEG impairment:")</f>
        <v/>
      </c>
      <c r="C328" s="1743"/>
      <c r="D328" s="1743"/>
      <c r="E328" s="1570"/>
      <c r="F328" s="1570"/>
      <c r="G328" s="1570"/>
      <c r="H328" s="1570"/>
      <c r="I328" s="1570"/>
      <c r="J328" s="1570"/>
      <c r="K328" s="1570"/>
      <c r="L328" s="1570"/>
      <c r="M328" s="1570"/>
      <c r="N328" s="1570"/>
      <c r="O328" s="1570"/>
      <c r="P328" s="240">
        <f>IF(AND(P321="",P322="",P323="",P324="",P325="",P326="",P327=""),0,AVERAGE(P321:P327))</f>
        <v>0</v>
      </c>
      <c r="R328" s="18"/>
      <c r="S328" s="116"/>
      <c r="T328" s="111"/>
      <c r="U328" s="111"/>
      <c r="V328" s="111"/>
      <c r="W328" s="111"/>
      <c r="X328" s="111"/>
      <c r="Y328" s="18"/>
      <c r="Z328" s="18"/>
      <c r="AA328" s="18"/>
      <c r="AB328" s="18"/>
      <c r="AC328" s="18"/>
      <c r="AD328" s="18"/>
      <c r="AE328" s="18"/>
      <c r="AF328" s="18"/>
      <c r="AG328" s="18"/>
      <c r="AH328" s="172"/>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4"/>
      <c r="BR328" s="14"/>
      <c r="BS328" s="14"/>
      <c r="BT328" s="14"/>
      <c r="BU328" s="14"/>
      <c r="BV328" s="14"/>
      <c r="BW328" s="14"/>
      <c r="BX328" s="14"/>
      <c r="BY328" s="14"/>
      <c r="BZ328" s="14"/>
      <c r="CA328" s="14"/>
      <c r="CB328" s="14"/>
      <c r="CC328" s="14"/>
      <c r="CD328" s="14"/>
      <c r="CE328" s="14"/>
      <c r="CF328" s="14"/>
      <c r="CG328" s="14"/>
      <c r="CH328" s="14"/>
      <c r="CI328" s="14"/>
      <c r="CJ328" s="14"/>
      <c r="CK328" s="14"/>
      <c r="CL328" s="14"/>
      <c r="CM328" s="14"/>
      <c r="CN328" s="14"/>
      <c r="CO328" s="14"/>
      <c r="CP328" s="14"/>
      <c r="CQ328" s="14"/>
      <c r="CR328" s="14"/>
      <c r="CS328" s="14"/>
      <c r="CT328" s="14"/>
      <c r="CU328" s="14"/>
      <c r="CV328" s="14"/>
      <c r="CW328" s="14"/>
      <c r="CX328" s="14"/>
      <c r="CY328" s="14"/>
      <c r="CZ328" s="14"/>
      <c r="DA328" s="14"/>
      <c r="DB328" s="14"/>
      <c r="DC328" s="14"/>
      <c r="DD328" s="14"/>
      <c r="DE328" s="14"/>
      <c r="DF328" s="14"/>
      <c r="DG328" s="14"/>
      <c r="DH328" s="14"/>
      <c r="DI328" s="14"/>
      <c r="DJ328" s="14"/>
      <c r="DK328" s="14"/>
      <c r="DL328" s="14"/>
      <c r="DM328" s="14"/>
      <c r="DN328" s="14"/>
      <c r="DO328" s="14"/>
      <c r="DP328" s="14"/>
      <c r="DQ328" s="14"/>
      <c r="DR328" s="14"/>
      <c r="DS328" s="14"/>
      <c r="DT328" s="14"/>
      <c r="DU328" s="14"/>
      <c r="DV328" s="14"/>
      <c r="DW328" s="14"/>
      <c r="DX328" s="14"/>
      <c r="DY328" s="14"/>
      <c r="DZ328" s="14"/>
      <c r="EA328" s="14"/>
      <c r="EB328" s="14"/>
      <c r="EC328" s="14"/>
      <c r="ED328" s="14"/>
      <c r="EE328" s="14"/>
      <c r="EF328" s="14"/>
      <c r="EG328" s="14"/>
      <c r="EH328" s="14"/>
      <c r="EI328" s="14"/>
      <c r="EJ328" s="14"/>
      <c r="EK328" s="14"/>
      <c r="EL328" s="14"/>
      <c r="EM328" s="14"/>
      <c r="EN328" s="14"/>
      <c r="EO328" s="14"/>
      <c r="EP328" s="14"/>
      <c r="EQ328" s="14"/>
      <c r="ER328" s="14"/>
      <c r="ES328" s="14"/>
      <c r="ET328" s="14"/>
      <c r="EU328" s="14"/>
      <c r="EV328" s="14"/>
      <c r="EW328" s="14"/>
      <c r="EX328" s="14"/>
      <c r="EY328" s="14"/>
      <c r="EZ328" s="14"/>
      <c r="FA328" s="14"/>
      <c r="FB328" s="14"/>
      <c r="FC328" s="14"/>
      <c r="FD328" s="14"/>
      <c r="FE328" s="14"/>
      <c r="FF328" s="14"/>
      <c r="FG328" s="14"/>
      <c r="FH328" s="14"/>
      <c r="FI328" s="14"/>
      <c r="FJ328" s="14"/>
      <c r="FK328" s="14"/>
      <c r="FL328" s="14"/>
      <c r="FM328" s="14"/>
      <c r="FN328" s="14"/>
      <c r="FO328" s="14"/>
      <c r="FP328" s="14"/>
      <c r="FQ328" s="14"/>
      <c r="FR328" s="14"/>
      <c r="FS328" s="14"/>
      <c r="FT328" s="14"/>
      <c r="FU328" s="14"/>
      <c r="FV328" s="14"/>
      <c r="FW328" s="14"/>
      <c r="FX328" s="14"/>
      <c r="FY328" s="14"/>
      <c r="FZ328" s="14"/>
      <c r="GA328" s="14"/>
      <c r="GB328" s="14"/>
      <c r="GC328" s="14"/>
      <c r="GD328" s="14"/>
      <c r="GE328" s="14"/>
      <c r="GF328" s="14"/>
      <c r="GG328" s="14"/>
      <c r="GH328" s="14"/>
      <c r="GI328" s="14"/>
      <c r="GJ328" s="14"/>
      <c r="GK328" s="14"/>
      <c r="GL328" s="14"/>
      <c r="GM328" s="14"/>
      <c r="GN328" s="14"/>
      <c r="GO328" s="14"/>
      <c r="GP328" s="14"/>
      <c r="GQ328" s="14"/>
      <c r="GR328" s="14"/>
      <c r="GS328" s="14"/>
      <c r="GT328" s="14"/>
      <c r="GU328" s="14"/>
      <c r="GV328" s="14"/>
      <c r="GW328" s="14"/>
      <c r="GX328" s="14"/>
      <c r="GY328" s="14"/>
      <c r="GZ328" s="14"/>
      <c r="HA328" s="14"/>
      <c r="HB328" s="14"/>
      <c r="HC328" s="14"/>
      <c r="HD328" s="14"/>
      <c r="HE328" s="14"/>
      <c r="HF328" s="14"/>
      <c r="HG328" s="14"/>
      <c r="HH328" s="14"/>
      <c r="HI328" s="14"/>
      <c r="HJ328" s="14"/>
      <c r="HK328" s="14"/>
      <c r="HL328" s="14"/>
      <c r="HM328" s="14"/>
      <c r="HN328" s="14"/>
      <c r="HO328" s="14"/>
      <c r="HP328" s="14"/>
      <c r="HQ328" s="14"/>
      <c r="HR328" s="14"/>
      <c r="HS328" s="14"/>
      <c r="HT328" s="14"/>
    </row>
    <row r="329" spans="1:228" ht="27" customHeight="1" x14ac:dyDescent="0.2">
      <c r="A329" s="3"/>
      <c r="B329" s="1778" t="s">
        <v>986</v>
      </c>
      <c r="C329" s="1778"/>
      <c r="D329" s="1778"/>
      <c r="E329" s="486"/>
      <c r="F329" s="1778" t="s">
        <v>517</v>
      </c>
      <c r="G329" s="1778"/>
      <c r="H329" s="1778"/>
      <c r="I329" s="1778"/>
      <c r="J329" s="1778"/>
      <c r="K329" s="1778"/>
      <c r="L329" s="1778"/>
      <c r="M329" s="91">
        <f>IF(OR(F329="",S329=0),0,0.1)</f>
        <v>0</v>
      </c>
      <c r="N329" s="485"/>
      <c r="O329" s="485"/>
      <c r="P329" s="363">
        <f>IF(X329=0,0,X329)</f>
        <v>0</v>
      </c>
      <c r="R329" s="686" t="b">
        <v>0</v>
      </c>
      <c r="S329" s="736">
        <f t="shared" ref="S329:S334" si="42">IF(R329=TRUE,1,0)</f>
        <v>0</v>
      </c>
      <c r="T329" s="747">
        <f t="shared" ref="T329:T334" si="43">SUMIF($T$278:$AH$278,N329,$T$279:$AH$279)</f>
        <v>0</v>
      </c>
      <c r="U329" s="747">
        <f t="shared" ref="U329:U334" si="44">SUMIF($S$278:$AH$278,O329,$S$279:$AH$279)</f>
        <v>0</v>
      </c>
      <c r="V329" s="747">
        <f t="shared" ref="V329:V334" si="45">M329*T329</f>
        <v>0</v>
      </c>
      <c r="W329" s="747">
        <f t="shared" ref="W329:W334" si="46">M329*U329</f>
        <v>0</v>
      </c>
      <c r="X329" s="747">
        <f t="shared" ref="X329:X334" si="47">(IF(V329-W329&lt;=0,0,V329-W329))</f>
        <v>0</v>
      </c>
      <c r="Y329" s="18"/>
      <c r="Z329" s="18"/>
      <c r="AA329" s="18"/>
      <c r="AB329" s="18"/>
      <c r="AC329" s="18"/>
      <c r="AD329" s="18"/>
      <c r="AE329" s="18"/>
      <c r="AF329" s="18"/>
      <c r="AG329" s="18"/>
      <c r="AH329" s="172"/>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4"/>
      <c r="BR329" s="14"/>
      <c r="BS329" s="14"/>
      <c r="BT329" s="14"/>
      <c r="BU329" s="14"/>
      <c r="BV329" s="14"/>
      <c r="BW329" s="14"/>
      <c r="BX329" s="14"/>
      <c r="BY329" s="14"/>
      <c r="BZ329" s="14"/>
      <c r="CA329" s="14"/>
      <c r="CB329" s="14"/>
      <c r="CC329" s="14"/>
      <c r="CD329" s="14"/>
      <c r="CE329" s="14"/>
      <c r="CF329" s="14"/>
      <c r="CG329" s="14"/>
      <c r="CH329" s="14"/>
      <c r="CI329" s="14"/>
      <c r="CJ329" s="14"/>
      <c r="CK329" s="14"/>
      <c r="CL329" s="14"/>
      <c r="CM329" s="14"/>
      <c r="CN329" s="14"/>
      <c r="CO329" s="14"/>
      <c r="CP329" s="14"/>
      <c r="CQ329" s="14"/>
      <c r="CR329" s="14"/>
      <c r="CS329" s="14"/>
      <c r="CT329" s="14"/>
      <c r="CU329" s="14"/>
      <c r="CV329" s="14"/>
      <c r="CW329" s="14"/>
      <c r="CX329" s="14"/>
      <c r="CY329" s="14"/>
      <c r="CZ329" s="14"/>
      <c r="DA329" s="14"/>
      <c r="DB329" s="14"/>
      <c r="DC329" s="14"/>
      <c r="DD329" s="14"/>
      <c r="DE329" s="14"/>
      <c r="DF329" s="14"/>
      <c r="DG329" s="14"/>
      <c r="DH329" s="14"/>
      <c r="DI329" s="14"/>
      <c r="DJ329" s="14"/>
      <c r="DK329" s="14"/>
      <c r="DL329" s="14"/>
      <c r="DM329" s="14"/>
      <c r="DN329" s="14"/>
      <c r="DO329" s="14"/>
      <c r="DP329" s="14"/>
      <c r="DQ329" s="14"/>
      <c r="DR329" s="14"/>
      <c r="DS329" s="14"/>
      <c r="DT329" s="14"/>
      <c r="DU329" s="14"/>
      <c r="DV329" s="14"/>
      <c r="DW329" s="14"/>
      <c r="DX329" s="14"/>
      <c r="DY329" s="14"/>
      <c r="DZ329" s="14"/>
      <c r="EA329" s="14"/>
      <c r="EB329" s="14"/>
      <c r="EC329" s="14"/>
      <c r="ED329" s="14"/>
      <c r="EE329" s="14"/>
      <c r="EF329" s="14"/>
      <c r="EG329" s="14"/>
      <c r="EH329" s="14"/>
      <c r="EI329" s="14"/>
      <c r="EJ329" s="14"/>
      <c r="EK329" s="14"/>
      <c r="EL329" s="14"/>
      <c r="EM329" s="14"/>
      <c r="EN329" s="14"/>
      <c r="EO329" s="14"/>
      <c r="EP329" s="14"/>
      <c r="EQ329" s="14"/>
      <c r="ER329" s="14"/>
      <c r="ES329" s="14"/>
      <c r="ET329" s="14"/>
      <c r="EU329" s="14"/>
      <c r="EV329" s="14"/>
      <c r="EW329" s="14"/>
      <c r="EX329" s="14"/>
      <c r="EY329" s="14"/>
      <c r="EZ329" s="14"/>
      <c r="FA329" s="14"/>
      <c r="FB329" s="14"/>
      <c r="FC329" s="14"/>
      <c r="FD329" s="14"/>
      <c r="FE329" s="14"/>
      <c r="FF329" s="14"/>
      <c r="FG329" s="14"/>
      <c r="FH329" s="14"/>
      <c r="FI329" s="14"/>
      <c r="FJ329" s="14"/>
      <c r="FK329" s="14"/>
      <c r="FL329" s="14"/>
      <c r="FM329" s="14"/>
      <c r="FN329" s="14"/>
      <c r="FO329" s="14"/>
      <c r="FP329" s="14"/>
      <c r="FQ329" s="14"/>
      <c r="FR329" s="14"/>
      <c r="FS329" s="14"/>
      <c r="FT329" s="14"/>
      <c r="FU329" s="14"/>
      <c r="FV329" s="14"/>
      <c r="FW329" s="14"/>
      <c r="FX329" s="14"/>
      <c r="FY329" s="14"/>
      <c r="FZ329" s="14"/>
      <c r="GA329" s="14"/>
      <c r="GB329" s="14"/>
      <c r="GC329" s="14"/>
      <c r="GD329" s="14"/>
      <c r="GE329" s="14"/>
      <c r="GF329" s="14"/>
      <c r="GG329" s="14"/>
      <c r="GH329" s="14"/>
      <c r="GI329" s="14"/>
      <c r="GJ329" s="14"/>
      <c r="GK329" s="14"/>
      <c r="GL329" s="14"/>
      <c r="GM329" s="14"/>
      <c r="GN329" s="14"/>
      <c r="GO329" s="14"/>
      <c r="GP329" s="14"/>
      <c r="GQ329" s="14"/>
      <c r="GR329" s="14"/>
      <c r="GS329" s="14"/>
      <c r="GT329" s="14"/>
      <c r="GU329" s="14"/>
      <c r="GV329" s="14"/>
      <c r="GW329" s="14"/>
      <c r="GX329" s="14"/>
      <c r="GY329" s="14"/>
      <c r="GZ329" s="14"/>
      <c r="HA329" s="14"/>
      <c r="HB329" s="14"/>
      <c r="HC329" s="14"/>
      <c r="HD329" s="14"/>
      <c r="HE329" s="14"/>
      <c r="HF329" s="14"/>
      <c r="HG329" s="14"/>
      <c r="HH329" s="14"/>
      <c r="HI329" s="14"/>
      <c r="HJ329" s="14"/>
      <c r="HK329" s="14"/>
      <c r="HL329" s="14"/>
      <c r="HM329" s="14"/>
      <c r="HN329" s="14"/>
      <c r="HO329" s="14"/>
      <c r="HP329" s="14"/>
      <c r="HQ329" s="14"/>
      <c r="HR329" s="14"/>
      <c r="HS329" s="14"/>
      <c r="HT329" s="14"/>
    </row>
    <row r="330" spans="1:228" ht="39" customHeight="1" x14ac:dyDescent="0.2">
      <c r="A330" s="3"/>
      <c r="B330" s="1560" t="s">
        <v>815</v>
      </c>
      <c r="C330" s="1560"/>
      <c r="D330" s="1560"/>
      <c r="E330" s="456"/>
      <c r="F330" s="1379" t="s">
        <v>518</v>
      </c>
      <c r="G330" s="1379"/>
      <c r="H330" s="1379"/>
      <c r="I330" s="1379"/>
      <c r="J330" s="1379"/>
      <c r="K330" s="1379"/>
      <c r="L330" s="1379"/>
      <c r="M330" s="92">
        <f>IF(OR(F330="",S330=0),0,0.1)</f>
        <v>0</v>
      </c>
      <c r="N330" s="254"/>
      <c r="O330" s="254"/>
      <c r="P330" s="355">
        <f>IF(X330=0,0,X330)</f>
        <v>0</v>
      </c>
      <c r="R330" s="686" t="b">
        <v>0</v>
      </c>
      <c r="S330" s="736">
        <f t="shared" si="42"/>
        <v>0</v>
      </c>
      <c r="T330" s="747">
        <f t="shared" si="43"/>
        <v>0</v>
      </c>
      <c r="U330" s="747">
        <f t="shared" si="44"/>
        <v>0</v>
      </c>
      <c r="V330" s="747">
        <f t="shared" si="45"/>
        <v>0</v>
      </c>
      <c r="W330" s="747">
        <f t="shared" si="46"/>
        <v>0</v>
      </c>
      <c r="X330" s="747">
        <f t="shared" si="47"/>
        <v>0</v>
      </c>
      <c r="Y330" s="18"/>
      <c r="Z330" s="18"/>
      <c r="AA330" s="18"/>
      <c r="AB330" s="18"/>
      <c r="AC330" s="18"/>
      <c r="AD330" s="18"/>
      <c r="AE330" s="18"/>
      <c r="AF330" s="18"/>
      <c r="AG330" s="18"/>
      <c r="AH330" s="172"/>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4"/>
      <c r="BR330" s="14"/>
      <c r="BS330" s="14"/>
      <c r="BT330" s="14"/>
      <c r="BU330" s="14"/>
      <c r="BV330" s="14"/>
      <c r="BW330" s="14"/>
      <c r="BX330" s="14"/>
      <c r="BY330" s="14"/>
      <c r="BZ330" s="14"/>
      <c r="CA330" s="14"/>
      <c r="CB330" s="14"/>
      <c r="CC330" s="14"/>
      <c r="CD330" s="14"/>
      <c r="CE330" s="14"/>
      <c r="CF330" s="14"/>
      <c r="CG330" s="14"/>
      <c r="CH330" s="14"/>
      <c r="CI330" s="14"/>
      <c r="CJ330" s="14"/>
      <c r="CK330" s="14"/>
      <c r="CL330" s="14"/>
      <c r="CM330" s="14"/>
      <c r="CN330" s="14"/>
      <c r="CO330" s="14"/>
      <c r="CP330" s="14"/>
      <c r="CQ330" s="14"/>
      <c r="CR330" s="14"/>
      <c r="CS330" s="14"/>
      <c r="CT330" s="14"/>
      <c r="CU330" s="14"/>
      <c r="CV330" s="14"/>
      <c r="CW330" s="14"/>
      <c r="CX330" s="14"/>
      <c r="CY330" s="14"/>
      <c r="CZ330" s="14"/>
      <c r="DA330" s="14"/>
      <c r="DB330" s="14"/>
      <c r="DC330" s="14"/>
      <c r="DD330" s="14"/>
      <c r="DE330" s="14"/>
      <c r="DF330" s="14"/>
      <c r="DG330" s="14"/>
      <c r="DH330" s="14"/>
      <c r="DI330" s="14"/>
      <c r="DJ330" s="14"/>
      <c r="DK330" s="14"/>
      <c r="DL330" s="14"/>
      <c r="DM330" s="14"/>
      <c r="DN330" s="14"/>
      <c r="DO330" s="14"/>
      <c r="DP330" s="14"/>
      <c r="DQ330" s="14"/>
      <c r="DR330" s="14"/>
      <c r="DS330" s="14"/>
      <c r="DT330" s="14"/>
      <c r="DU330" s="14"/>
      <c r="DV330" s="14"/>
      <c r="DW330" s="14"/>
      <c r="DX330" s="14"/>
      <c r="DY330" s="14"/>
      <c r="DZ330" s="14"/>
      <c r="EA330" s="14"/>
      <c r="EB330" s="14"/>
      <c r="EC330" s="14"/>
      <c r="ED330" s="14"/>
      <c r="EE330" s="14"/>
      <c r="EF330" s="14"/>
      <c r="EG330" s="14"/>
      <c r="EH330" s="14"/>
      <c r="EI330" s="14"/>
      <c r="EJ330" s="14"/>
      <c r="EK330" s="14"/>
      <c r="EL330" s="14"/>
      <c r="EM330" s="14"/>
      <c r="EN330" s="14"/>
      <c r="EO330" s="14"/>
      <c r="EP330" s="14"/>
      <c r="EQ330" s="14"/>
      <c r="ER330" s="14"/>
      <c r="ES330" s="14"/>
      <c r="ET330" s="14"/>
      <c r="EU330" s="14"/>
      <c r="EV330" s="14"/>
      <c r="EW330" s="14"/>
      <c r="EX330" s="14"/>
      <c r="EY330" s="14"/>
      <c r="EZ330" s="14"/>
      <c r="FA330" s="14"/>
      <c r="FB330" s="14"/>
      <c r="FC330" s="14"/>
      <c r="FD330" s="14"/>
      <c r="FE330" s="14"/>
      <c r="FF330" s="14"/>
      <c r="FG330" s="14"/>
      <c r="FH330" s="14"/>
      <c r="FI330" s="14"/>
      <c r="FJ330" s="14"/>
      <c r="FK330" s="14"/>
      <c r="FL330" s="14"/>
      <c r="FM330" s="14"/>
      <c r="FN330" s="14"/>
      <c r="FO330" s="14"/>
      <c r="FP330" s="14"/>
      <c r="FQ330" s="14"/>
      <c r="FR330" s="14"/>
      <c r="FS330" s="14"/>
      <c r="FT330" s="14"/>
      <c r="FU330" s="14"/>
      <c r="FV330" s="14"/>
      <c r="FW330" s="14"/>
      <c r="FX330" s="14"/>
      <c r="FY330" s="14"/>
      <c r="FZ330" s="14"/>
      <c r="GA330" s="14"/>
      <c r="GB330" s="14"/>
      <c r="GC330" s="14"/>
      <c r="GD330" s="14"/>
      <c r="GE330" s="14"/>
      <c r="GF330" s="14"/>
      <c r="GG330" s="14"/>
      <c r="GH330" s="14"/>
      <c r="GI330" s="14"/>
      <c r="GJ330" s="14"/>
      <c r="GK330" s="14"/>
      <c r="GL330" s="14"/>
      <c r="GM330" s="14"/>
      <c r="GN330" s="14"/>
      <c r="GO330" s="14"/>
      <c r="GP330" s="14"/>
      <c r="GQ330" s="14"/>
      <c r="GR330" s="14"/>
      <c r="GS330" s="14"/>
      <c r="GT330" s="14"/>
      <c r="GU330" s="14"/>
      <c r="GV330" s="14"/>
      <c r="GW330" s="14"/>
      <c r="GX330" s="14"/>
      <c r="GY330" s="14"/>
      <c r="GZ330" s="14"/>
      <c r="HA330" s="14"/>
      <c r="HB330" s="14"/>
      <c r="HC330" s="14"/>
      <c r="HD330" s="14"/>
      <c r="HE330" s="14"/>
      <c r="HF330" s="14"/>
      <c r="HG330" s="14"/>
      <c r="HH330" s="14"/>
      <c r="HI330" s="14"/>
      <c r="HJ330" s="14"/>
      <c r="HK330" s="14"/>
      <c r="HL330" s="14"/>
      <c r="HM330" s="14"/>
      <c r="HN330" s="14"/>
      <c r="HO330" s="14"/>
      <c r="HP330" s="14"/>
      <c r="HQ330" s="14"/>
      <c r="HR330" s="14"/>
      <c r="HS330" s="14"/>
      <c r="HT330" s="14"/>
    </row>
    <row r="331" spans="1:228" ht="15" customHeight="1" x14ac:dyDescent="0.2">
      <c r="A331" s="3"/>
      <c r="B331" s="1367" t="s">
        <v>519</v>
      </c>
      <c r="C331" s="1368"/>
      <c r="D331" s="1369"/>
      <c r="E331" s="594"/>
      <c r="F331" s="1394" t="s">
        <v>985</v>
      </c>
      <c r="G331" s="1394"/>
      <c r="H331" s="1394"/>
      <c r="I331" s="1394"/>
      <c r="J331" s="1394"/>
      <c r="K331" s="1394"/>
      <c r="L331" s="1394"/>
      <c r="M331" s="91">
        <f>IF(OR(F331="",S331=0),0,0.2)</f>
        <v>0</v>
      </c>
      <c r="N331" s="254"/>
      <c r="O331" s="254"/>
      <c r="P331" s="363" t="str">
        <f>IF(X331=0,"",X331)</f>
        <v/>
      </c>
      <c r="R331" s="686" t="b">
        <v>0</v>
      </c>
      <c r="S331" s="736">
        <f t="shared" si="42"/>
        <v>0</v>
      </c>
      <c r="T331" s="747">
        <f t="shared" si="43"/>
        <v>0</v>
      </c>
      <c r="U331" s="747">
        <f t="shared" si="44"/>
        <v>0</v>
      </c>
      <c r="V331" s="747">
        <f t="shared" si="45"/>
        <v>0</v>
      </c>
      <c r="W331" s="747">
        <f t="shared" si="46"/>
        <v>0</v>
      </c>
      <c r="X331" s="747">
        <f t="shared" si="47"/>
        <v>0</v>
      </c>
      <c r="Y331" s="18"/>
      <c r="Z331" s="18"/>
      <c r="AA331" s="18"/>
      <c r="AB331" s="18"/>
      <c r="AC331" s="18"/>
      <c r="AD331" s="18"/>
      <c r="AE331" s="18"/>
      <c r="AF331" s="18"/>
      <c r="AG331" s="18"/>
      <c r="AH331" s="172"/>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4"/>
      <c r="BR331" s="14"/>
      <c r="BS331" s="14"/>
      <c r="BT331" s="14"/>
      <c r="BU331" s="14"/>
      <c r="BV331" s="14"/>
      <c r="BW331" s="14"/>
      <c r="BX331" s="14"/>
      <c r="BY331" s="14"/>
      <c r="BZ331" s="14"/>
      <c r="CA331" s="14"/>
      <c r="CB331" s="14"/>
      <c r="CC331" s="14"/>
      <c r="CD331" s="14"/>
      <c r="CE331" s="14"/>
      <c r="CF331" s="14"/>
      <c r="CG331" s="14"/>
      <c r="CH331" s="14"/>
      <c r="CI331" s="14"/>
      <c r="CJ331" s="14"/>
      <c r="CK331" s="14"/>
      <c r="CL331" s="14"/>
      <c r="CM331" s="14"/>
      <c r="CN331" s="14"/>
      <c r="CO331" s="14"/>
      <c r="CP331" s="14"/>
      <c r="CQ331" s="14"/>
      <c r="CR331" s="14"/>
      <c r="CS331" s="14"/>
      <c r="CT331" s="14"/>
      <c r="CU331" s="14"/>
      <c r="CV331" s="14"/>
      <c r="CW331" s="14"/>
      <c r="CX331" s="14"/>
      <c r="CY331" s="14"/>
      <c r="CZ331" s="14"/>
      <c r="DA331" s="14"/>
      <c r="DB331" s="14"/>
      <c r="DC331" s="14"/>
      <c r="DD331" s="14"/>
      <c r="DE331" s="14"/>
      <c r="DF331" s="14"/>
      <c r="DG331" s="14"/>
      <c r="DH331" s="14"/>
      <c r="DI331" s="14"/>
      <c r="DJ331" s="14"/>
      <c r="DK331" s="14"/>
      <c r="DL331" s="14"/>
      <c r="DM331" s="14"/>
      <c r="DN331" s="14"/>
      <c r="DO331" s="14"/>
      <c r="DP331" s="14"/>
      <c r="DQ331" s="14"/>
      <c r="DR331" s="14"/>
      <c r="DS331" s="14"/>
      <c r="DT331" s="14"/>
      <c r="DU331" s="14"/>
      <c r="DV331" s="14"/>
      <c r="DW331" s="14"/>
      <c r="DX331" s="14"/>
      <c r="DY331" s="14"/>
      <c r="DZ331" s="14"/>
      <c r="EA331" s="14"/>
      <c r="EB331" s="14"/>
      <c r="EC331" s="14"/>
      <c r="ED331" s="14"/>
      <c r="EE331" s="14"/>
      <c r="EF331" s="14"/>
      <c r="EG331" s="14"/>
      <c r="EH331" s="14"/>
      <c r="EI331" s="14"/>
      <c r="EJ331" s="14"/>
      <c r="EK331" s="14"/>
      <c r="EL331" s="14"/>
      <c r="EM331" s="14"/>
      <c r="EN331" s="14"/>
      <c r="EO331" s="14"/>
      <c r="EP331" s="14"/>
      <c r="EQ331" s="14"/>
      <c r="ER331" s="14"/>
      <c r="ES331" s="14"/>
      <c r="ET331" s="14"/>
      <c r="EU331" s="14"/>
      <c r="EV331" s="14"/>
      <c r="EW331" s="14"/>
      <c r="EX331" s="14"/>
      <c r="EY331" s="14"/>
      <c r="EZ331" s="14"/>
      <c r="FA331" s="14"/>
      <c r="FB331" s="14"/>
      <c r="FC331" s="14"/>
      <c r="FD331" s="14"/>
      <c r="FE331" s="14"/>
      <c r="FF331" s="14"/>
      <c r="FG331" s="14"/>
      <c r="FH331" s="14"/>
      <c r="FI331" s="14"/>
      <c r="FJ331" s="14"/>
      <c r="FK331" s="14"/>
      <c r="FL331" s="14"/>
      <c r="FM331" s="14"/>
      <c r="FN331" s="14"/>
      <c r="FO331" s="14"/>
      <c r="FP331" s="14"/>
      <c r="FQ331" s="14"/>
      <c r="FR331" s="14"/>
      <c r="FS331" s="14"/>
      <c r="FT331" s="14"/>
      <c r="FU331" s="14"/>
      <c r="FV331" s="14"/>
      <c r="FW331" s="14"/>
      <c r="FX331" s="14"/>
      <c r="FY331" s="14"/>
      <c r="FZ331" s="14"/>
      <c r="GA331" s="14"/>
      <c r="GB331" s="14"/>
      <c r="GC331" s="14"/>
      <c r="GD331" s="14"/>
      <c r="GE331" s="14"/>
      <c r="GF331" s="14"/>
      <c r="GG331" s="14"/>
      <c r="GH331" s="14"/>
      <c r="GI331" s="14"/>
      <c r="GJ331" s="14"/>
      <c r="GK331" s="14"/>
      <c r="GL331" s="14"/>
      <c r="GM331" s="14"/>
      <c r="GN331" s="14"/>
      <c r="GO331" s="14"/>
      <c r="GP331" s="14"/>
      <c r="GQ331" s="14"/>
      <c r="GR331" s="14"/>
      <c r="GS331" s="14"/>
      <c r="GT331" s="14"/>
      <c r="GU331" s="14"/>
      <c r="GV331" s="14"/>
      <c r="GW331" s="14"/>
      <c r="GX331" s="14"/>
      <c r="GY331" s="14"/>
      <c r="GZ331" s="14"/>
      <c r="HA331" s="14"/>
      <c r="HB331" s="14"/>
      <c r="HC331" s="14"/>
      <c r="HD331" s="14"/>
      <c r="HE331" s="14"/>
      <c r="HF331" s="14"/>
      <c r="HG331" s="14"/>
      <c r="HH331" s="14"/>
      <c r="HI331" s="14"/>
      <c r="HJ331" s="14"/>
      <c r="HK331" s="14"/>
      <c r="HL331" s="14"/>
      <c r="HM331" s="14"/>
      <c r="HN331" s="14"/>
      <c r="HO331" s="14"/>
      <c r="HP331" s="14"/>
      <c r="HQ331" s="14"/>
      <c r="HR331" s="14"/>
      <c r="HS331" s="14"/>
      <c r="HT331" s="14"/>
    </row>
    <row r="332" spans="1:228" ht="15" customHeight="1" x14ac:dyDescent="0.2">
      <c r="A332" s="3"/>
      <c r="B332" s="2054"/>
      <c r="C332" s="2055"/>
      <c r="D332" s="2056"/>
      <c r="E332" s="565"/>
      <c r="F332" s="1410" t="str">
        <f>IF(S331=1,"","Gluteus medius")</f>
        <v>Gluteus medius</v>
      </c>
      <c r="G332" s="1410"/>
      <c r="H332" s="1410"/>
      <c r="I332" s="1410"/>
      <c r="J332" s="1410"/>
      <c r="K332" s="1410"/>
      <c r="L332" s="1410"/>
      <c r="M332" s="92">
        <f>IF(OR(F332="",S332=0),0,0.2)</f>
        <v>0</v>
      </c>
      <c r="N332" s="254"/>
      <c r="O332" s="254"/>
      <c r="P332" s="363" t="str">
        <f>IF(X332=0,"",X332)</f>
        <v/>
      </c>
      <c r="R332" s="686" t="b">
        <v>0</v>
      </c>
      <c r="S332" s="736">
        <f t="shared" si="42"/>
        <v>0</v>
      </c>
      <c r="T332" s="747">
        <f t="shared" si="43"/>
        <v>0</v>
      </c>
      <c r="U332" s="747">
        <f t="shared" si="44"/>
        <v>0</v>
      </c>
      <c r="V332" s="747">
        <f t="shared" si="45"/>
        <v>0</v>
      </c>
      <c r="W332" s="747">
        <f t="shared" si="46"/>
        <v>0</v>
      </c>
      <c r="X332" s="747">
        <f t="shared" si="47"/>
        <v>0</v>
      </c>
      <c r="Y332" s="18"/>
      <c r="Z332" s="18"/>
      <c r="AA332" s="18"/>
      <c r="AB332" s="18"/>
      <c r="AC332" s="18"/>
      <c r="AD332" s="18"/>
      <c r="AE332" s="18"/>
      <c r="AF332" s="18"/>
      <c r="AG332" s="18"/>
      <c r="AH332" s="172"/>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4"/>
      <c r="BR332" s="14"/>
      <c r="BS332" s="14"/>
      <c r="BT332" s="14"/>
      <c r="BU332" s="14"/>
      <c r="BV332" s="14"/>
      <c r="BW332" s="14"/>
      <c r="BX332" s="14"/>
      <c r="BY332" s="14"/>
      <c r="BZ332" s="14"/>
      <c r="CA332" s="14"/>
      <c r="CB332" s="14"/>
      <c r="CC332" s="14"/>
      <c r="CD332" s="14"/>
      <c r="CE332" s="14"/>
      <c r="CF332" s="14"/>
      <c r="CG332" s="14"/>
      <c r="CH332" s="14"/>
      <c r="CI332" s="14"/>
      <c r="CJ332" s="14"/>
      <c r="CK332" s="14"/>
      <c r="CL332" s="14"/>
      <c r="CM332" s="14"/>
      <c r="CN332" s="14"/>
      <c r="CO332" s="14"/>
      <c r="CP332" s="14"/>
      <c r="CQ332" s="14"/>
      <c r="CR332" s="14"/>
      <c r="CS332" s="14"/>
      <c r="CT332" s="14"/>
      <c r="CU332" s="14"/>
      <c r="CV332" s="14"/>
      <c r="CW332" s="14"/>
      <c r="CX332" s="14"/>
      <c r="CY332" s="14"/>
      <c r="CZ332" s="14"/>
      <c r="DA332" s="14"/>
      <c r="DB332" s="14"/>
      <c r="DC332" s="14"/>
      <c r="DD332" s="14"/>
      <c r="DE332" s="14"/>
      <c r="DF332" s="14"/>
      <c r="DG332" s="14"/>
      <c r="DH332" s="14"/>
      <c r="DI332" s="14"/>
      <c r="DJ332" s="14"/>
      <c r="DK332" s="14"/>
      <c r="DL332" s="14"/>
      <c r="DM332" s="14"/>
      <c r="DN332" s="14"/>
      <c r="DO332" s="14"/>
      <c r="DP332" s="14"/>
      <c r="DQ332" s="14"/>
      <c r="DR332" s="14"/>
      <c r="DS332" s="14"/>
      <c r="DT332" s="14"/>
      <c r="DU332" s="14"/>
      <c r="DV332" s="14"/>
      <c r="DW332" s="14"/>
      <c r="DX332" s="14"/>
      <c r="DY332" s="14"/>
      <c r="DZ332" s="14"/>
      <c r="EA332" s="14"/>
      <c r="EB332" s="14"/>
      <c r="EC332" s="14"/>
      <c r="ED332" s="14"/>
      <c r="EE332" s="14"/>
      <c r="EF332" s="14"/>
      <c r="EG332" s="14"/>
      <c r="EH332" s="14"/>
      <c r="EI332" s="14"/>
      <c r="EJ332" s="14"/>
      <c r="EK332" s="14"/>
      <c r="EL332" s="14"/>
      <c r="EM332" s="14"/>
      <c r="EN332" s="14"/>
      <c r="EO332" s="14"/>
      <c r="EP332" s="14"/>
      <c r="EQ332" s="14"/>
      <c r="ER332" s="14"/>
      <c r="ES332" s="14"/>
      <c r="ET332" s="14"/>
      <c r="EU332" s="14"/>
      <c r="EV332" s="14"/>
      <c r="EW332" s="14"/>
      <c r="EX332" s="14"/>
      <c r="EY332" s="14"/>
      <c r="EZ332" s="14"/>
      <c r="FA332" s="14"/>
      <c r="FB332" s="14"/>
      <c r="FC332" s="14"/>
      <c r="FD332" s="14"/>
      <c r="FE332" s="14"/>
      <c r="FF332" s="14"/>
      <c r="FG332" s="14"/>
      <c r="FH332" s="14"/>
      <c r="FI332" s="14"/>
      <c r="FJ332" s="14"/>
      <c r="FK332" s="14"/>
      <c r="FL332" s="14"/>
      <c r="FM332" s="14"/>
      <c r="FN332" s="14"/>
      <c r="FO332" s="14"/>
      <c r="FP332" s="14"/>
      <c r="FQ332" s="14"/>
      <c r="FR332" s="14"/>
      <c r="FS332" s="14"/>
      <c r="FT332" s="14"/>
      <c r="FU332" s="14"/>
      <c r="FV332" s="14"/>
      <c r="FW332" s="14"/>
      <c r="FX332" s="14"/>
      <c r="FY332" s="14"/>
      <c r="FZ332" s="14"/>
      <c r="GA332" s="14"/>
      <c r="GB332" s="14"/>
      <c r="GC332" s="14"/>
      <c r="GD332" s="14"/>
      <c r="GE332" s="14"/>
      <c r="GF332" s="14"/>
      <c r="GG332" s="14"/>
      <c r="GH332" s="14"/>
      <c r="GI332" s="14"/>
      <c r="GJ332" s="14"/>
      <c r="GK332" s="14"/>
      <c r="GL332" s="14"/>
      <c r="GM332" s="14"/>
      <c r="GN332" s="14"/>
      <c r="GO332" s="14"/>
      <c r="GP332" s="14"/>
      <c r="GQ332" s="14"/>
      <c r="GR332" s="14"/>
      <c r="GS332" s="14"/>
      <c r="GT332" s="14"/>
      <c r="GU332" s="14"/>
      <c r="GV332" s="14"/>
      <c r="GW332" s="14"/>
      <c r="GX332" s="14"/>
      <c r="GY332" s="14"/>
      <c r="GZ332" s="14"/>
      <c r="HA332" s="14"/>
      <c r="HB332" s="14"/>
      <c r="HC332" s="14"/>
      <c r="HD332" s="14"/>
      <c r="HE332" s="14"/>
      <c r="HF332" s="14"/>
      <c r="HG332" s="14"/>
      <c r="HH332" s="14"/>
      <c r="HI332" s="14"/>
      <c r="HJ332" s="14"/>
      <c r="HK332" s="14"/>
      <c r="HL332" s="14"/>
      <c r="HM332" s="14"/>
      <c r="HN332" s="14"/>
      <c r="HO332" s="14"/>
      <c r="HP332" s="14"/>
      <c r="HQ332" s="14"/>
      <c r="HR332" s="14"/>
      <c r="HS332" s="14"/>
      <c r="HT332" s="14"/>
    </row>
    <row r="333" spans="1:228" ht="15" customHeight="1" x14ac:dyDescent="0.2">
      <c r="A333" s="3"/>
      <c r="B333" s="2054"/>
      <c r="C333" s="2055"/>
      <c r="D333" s="2056"/>
      <c r="E333" s="565"/>
      <c r="F333" s="1410" t="str">
        <f>IF(S331=1,"","Gluteus minimus")</f>
        <v>Gluteus minimus</v>
      </c>
      <c r="G333" s="1410"/>
      <c r="H333" s="1410"/>
      <c r="I333" s="1410"/>
      <c r="J333" s="1410"/>
      <c r="K333" s="1410"/>
      <c r="L333" s="1410"/>
      <c r="M333" s="92">
        <f>IF(OR(F333="",S333=0),0,0.2)</f>
        <v>0</v>
      </c>
      <c r="N333" s="254"/>
      <c r="O333" s="254"/>
      <c r="P333" s="363" t="str">
        <f>IF(X333=0,"",X333)</f>
        <v/>
      </c>
      <c r="R333" s="686" t="b">
        <v>0</v>
      </c>
      <c r="S333" s="736">
        <f t="shared" si="42"/>
        <v>0</v>
      </c>
      <c r="T333" s="747">
        <f t="shared" si="43"/>
        <v>0</v>
      </c>
      <c r="U333" s="747">
        <f t="shared" si="44"/>
        <v>0</v>
      </c>
      <c r="V333" s="747">
        <f t="shared" si="45"/>
        <v>0</v>
      </c>
      <c r="W333" s="747">
        <f t="shared" si="46"/>
        <v>0</v>
      </c>
      <c r="X333" s="747">
        <f t="shared" si="47"/>
        <v>0</v>
      </c>
      <c r="Y333" s="18"/>
      <c r="Z333" s="18"/>
      <c r="AA333" s="18"/>
      <c r="AB333" s="18"/>
      <c r="AC333" s="18"/>
      <c r="AD333" s="18"/>
      <c r="AE333" s="18"/>
      <c r="AF333" s="18"/>
      <c r="AG333" s="18"/>
      <c r="AH333" s="172"/>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4"/>
      <c r="BR333" s="14"/>
      <c r="BS333" s="14"/>
      <c r="BT333" s="14"/>
      <c r="BU333" s="14"/>
      <c r="BV333" s="14"/>
      <c r="BW333" s="14"/>
      <c r="BX333" s="14"/>
      <c r="BY333" s="14"/>
      <c r="BZ333" s="14"/>
      <c r="CA333" s="14"/>
      <c r="CB333" s="14"/>
      <c r="CC333" s="14"/>
      <c r="CD333" s="14"/>
      <c r="CE333" s="14"/>
      <c r="CF333" s="14"/>
      <c r="CG333" s="14"/>
      <c r="CH333" s="14"/>
      <c r="CI333" s="14"/>
      <c r="CJ333" s="14"/>
      <c r="CK333" s="14"/>
      <c r="CL333" s="14"/>
      <c r="CM333" s="14"/>
      <c r="CN333" s="14"/>
      <c r="CO333" s="14"/>
      <c r="CP333" s="14"/>
      <c r="CQ333" s="14"/>
      <c r="CR333" s="14"/>
      <c r="CS333" s="14"/>
      <c r="CT333" s="14"/>
      <c r="CU333" s="14"/>
      <c r="CV333" s="14"/>
      <c r="CW333" s="14"/>
      <c r="CX333" s="14"/>
      <c r="CY333" s="14"/>
      <c r="CZ333" s="14"/>
      <c r="DA333" s="14"/>
      <c r="DB333" s="14"/>
      <c r="DC333" s="14"/>
      <c r="DD333" s="14"/>
      <c r="DE333" s="14"/>
      <c r="DF333" s="14"/>
      <c r="DG333" s="14"/>
      <c r="DH333" s="14"/>
      <c r="DI333" s="14"/>
      <c r="DJ333" s="14"/>
      <c r="DK333" s="14"/>
      <c r="DL333" s="14"/>
      <c r="DM333" s="14"/>
      <c r="DN333" s="14"/>
      <c r="DO333" s="14"/>
      <c r="DP333" s="14"/>
      <c r="DQ333" s="14"/>
      <c r="DR333" s="14"/>
      <c r="DS333" s="14"/>
      <c r="DT333" s="14"/>
      <c r="DU333" s="14"/>
      <c r="DV333" s="14"/>
      <c r="DW333" s="14"/>
      <c r="DX333" s="14"/>
      <c r="DY333" s="14"/>
      <c r="DZ333" s="14"/>
      <c r="EA333" s="14"/>
      <c r="EB333" s="14"/>
      <c r="EC333" s="14"/>
      <c r="ED333" s="14"/>
      <c r="EE333" s="14"/>
      <c r="EF333" s="14"/>
      <c r="EG333" s="14"/>
      <c r="EH333" s="14"/>
      <c r="EI333" s="14"/>
      <c r="EJ333" s="14"/>
      <c r="EK333" s="14"/>
      <c r="EL333" s="14"/>
      <c r="EM333" s="14"/>
      <c r="EN333" s="14"/>
      <c r="EO333" s="14"/>
      <c r="EP333" s="14"/>
      <c r="EQ333" s="14"/>
      <c r="ER333" s="14"/>
      <c r="ES333" s="14"/>
      <c r="ET333" s="14"/>
      <c r="EU333" s="14"/>
      <c r="EV333" s="14"/>
      <c r="EW333" s="14"/>
      <c r="EX333" s="14"/>
      <c r="EY333" s="14"/>
      <c r="EZ333" s="14"/>
      <c r="FA333" s="14"/>
      <c r="FB333" s="14"/>
      <c r="FC333" s="14"/>
      <c r="FD333" s="14"/>
      <c r="FE333" s="14"/>
      <c r="FF333" s="14"/>
      <c r="FG333" s="14"/>
      <c r="FH333" s="14"/>
      <c r="FI333" s="14"/>
      <c r="FJ333" s="14"/>
      <c r="FK333" s="14"/>
      <c r="FL333" s="14"/>
      <c r="FM333" s="14"/>
      <c r="FN333" s="14"/>
      <c r="FO333" s="14"/>
      <c r="FP333" s="14"/>
      <c r="FQ333" s="14"/>
      <c r="FR333" s="14"/>
      <c r="FS333" s="14"/>
      <c r="FT333" s="14"/>
      <c r="FU333" s="14"/>
      <c r="FV333" s="14"/>
      <c r="FW333" s="14"/>
      <c r="FX333" s="14"/>
      <c r="FY333" s="14"/>
      <c r="FZ333" s="14"/>
      <c r="GA333" s="14"/>
      <c r="GB333" s="14"/>
      <c r="GC333" s="14"/>
      <c r="GD333" s="14"/>
      <c r="GE333" s="14"/>
      <c r="GF333" s="14"/>
      <c r="GG333" s="14"/>
      <c r="GH333" s="14"/>
      <c r="GI333" s="14"/>
      <c r="GJ333" s="14"/>
      <c r="GK333" s="14"/>
      <c r="GL333" s="14"/>
      <c r="GM333" s="14"/>
      <c r="GN333" s="14"/>
      <c r="GO333" s="14"/>
      <c r="GP333" s="14"/>
      <c r="GQ333" s="14"/>
      <c r="GR333" s="14"/>
      <c r="GS333" s="14"/>
      <c r="GT333" s="14"/>
      <c r="GU333" s="14"/>
      <c r="GV333" s="14"/>
      <c r="GW333" s="14"/>
      <c r="GX333" s="14"/>
      <c r="GY333" s="14"/>
      <c r="GZ333" s="14"/>
      <c r="HA333" s="14"/>
      <c r="HB333" s="14"/>
      <c r="HC333" s="14"/>
      <c r="HD333" s="14"/>
      <c r="HE333" s="14"/>
      <c r="HF333" s="14"/>
      <c r="HG333" s="14"/>
      <c r="HH333" s="14"/>
      <c r="HI333" s="14"/>
      <c r="HJ333" s="14"/>
      <c r="HK333" s="14"/>
      <c r="HL333" s="14"/>
      <c r="HM333" s="14"/>
      <c r="HN333" s="14"/>
      <c r="HO333" s="14"/>
      <c r="HP333" s="14"/>
      <c r="HQ333" s="14"/>
      <c r="HR333" s="14"/>
      <c r="HS333" s="14"/>
      <c r="HT333" s="14"/>
    </row>
    <row r="334" spans="1:228" ht="15" customHeight="1" x14ac:dyDescent="0.2">
      <c r="A334" s="3"/>
      <c r="B334" s="2057"/>
      <c r="C334" s="2058"/>
      <c r="D334" s="2059"/>
      <c r="E334" s="565"/>
      <c r="F334" s="1410" t="str">
        <f>IF(S331=1,"","Tensor fasciae latae")</f>
        <v>Tensor fasciae latae</v>
      </c>
      <c r="G334" s="1410"/>
      <c r="H334" s="1410"/>
      <c r="I334" s="1410"/>
      <c r="J334" s="1410"/>
      <c r="K334" s="1410"/>
      <c r="L334" s="1410"/>
      <c r="M334" s="92">
        <f>IF(OR(F334="",S334=0),0,0.2)</f>
        <v>0</v>
      </c>
      <c r="N334" s="254"/>
      <c r="O334" s="254"/>
      <c r="P334" s="363" t="str">
        <f>IF(X334=0,"",X334)</f>
        <v/>
      </c>
      <c r="R334" s="686" t="b">
        <v>0</v>
      </c>
      <c r="S334" s="736">
        <f t="shared" si="42"/>
        <v>0</v>
      </c>
      <c r="T334" s="747">
        <f t="shared" si="43"/>
        <v>0</v>
      </c>
      <c r="U334" s="747">
        <f t="shared" si="44"/>
        <v>0</v>
      </c>
      <c r="V334" s="747">
        <f t="shared" si="45"/>
        <v>0</v>
      </c>
      <c r="W334" s="747">
        <f t="shared" si="46"/>
        <v>0</v>
      </c>
      <c r="X334" s="747">
        <f t="shared" si="47"/>
        <v>0</v>
      </c>
      <c r="Y334" s="18"/>
      <c r="Z334" s="18"/>
      <c r="AA334" s="18"/>
      <c r="AB334" s="18"/>
      <c r="AC334" s="18"/>
      <c r="AD334" s="18"/>
      <c r="AE334" s="18"/>
      <c r="AF334" s="18"/>
      <c r="AG334" s="18"/>
      <c r="AH334" s="172"/>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4"/>
      <c r="BR334" s="14"/>
      <c r="BS334" s="14"/>
      <c r="BT334" s="14"/>
      <c r="BU334" s="14"/>
      <c r="BV334" s="14"/>
      <c r="BW334" s="14"/>
      <c r="BX334" s="14"/>
      <c r="BY334" s="14"/>
      <c r="BZ334" s="14"/>
      <c r="CA334" s="14"/>
      <c r="CB334" s="14"/>
      <c r="CC334" s="14"/>
      <c r="CD334" s="14"/>
      <c r="CE334" s="14"/>
      <c r="CF334" s="14"/>
      <c r="CG334" s="14"/>
      <c r="CH334" s="14"/>
      <c r="CI334" s="14"/>
      <c r="CJ334" s="14"/>
      <c r="CK334" s="14"/>
      <c r="CL334" s="14"/>
      <c r="CM334" s="14"/>
      <c r="CN334" s="14"/>
      <c r="CO334" s="14"/>
      <c r="CP334" s="14"/>
      <c r="CQ334" s="14"/>
      <c r="CR334" s="14"/>
      <c r="CS334" s="14"/>
      <c r="CT334" s="14"/>
      <c r="CU334" s="14"/>
      <c r="CV334" s="14"/>
      <c r="CW334" s="14"/>
      <c r="CX334" s="14"/>
      <c r="CY334" s="14"/>
      <c r="CZ334" s="14"/>
      <c r="DA334" s="14"/>
      <c r="DB334" s="14"/>
      <c r="DC334" s="14"/>
      <c r="DD334" s="14"/>
      <c r="DE334" s="14"/>
      <c r="DF334" s="14"/>
      <c r="DG334" s="14"/>
      <c r="DH334" s="14"/>
      <c r="DI334" s="14"/>
      <c r="DJ334" s="14"/>
      <c r="DK334" s="14"/>
      <c r="DL334" s="14"/>
      <c r="DM334" s="14"/>
      <c r="DN334" s="14"/>
      <c r="DO334" s="14"/>
      <c r="DP334" s="14"/>
      <c r="DQ334" s="14"/>
      <c r="DR334" s="14"/>
      <c r="DS334" s="14"/>
      <c r="DT334" s="14"/>
      <c r="DU334" s="14"/>
      <c r="DV334" s="14"/>
      <c r="DW334" s="14"/>
      <c r="DX334" s="14"/>
      <c r="DY334" s="14"/>
      <c r="DZ334" s="14"/>
      <c r="EA334" s="14"/>
      <c r="EB334" s="14"/>
      <c r="EC334" s="14"/>
      <c r="ED334" s="14"/>
      <c r="EE334" s="14"/>
      <c r="EF334" s="14"/>
      <c r="EG334" s="14"/>
      <c r="EH334" s="14"/>
      <c r="EI334" s="14"/>
      <c r="EJ334" s="14"/>
      <c r="EK334" s="14"/>
      <c r="EL334" s="14"/>
      <c r="EM334" s="14"/>
      <c r="EN334" s="14"/>
      <c r="EO334" s="14"/>
      <c r="EP334" s="14"/>
      <c r="EQ334" s="14"/>
      <c r="ER334" s="14"/>
      <c r="ES334" s="14"/>
      <c r="ET334" s="14"/>
      <c r="EU334" s="14"/>
      <c r="EV334" s="14"/>
      <c r="EW334" s="14"/>
      <c r="EX334" s="14"/>
      <c r="EY334" s="14"/>
      <c r="EZ334" s="14"/>
      <c r="FA334" s="14"/>
      <c r="FB334" s="14"/>
      <c r="FC334" s="14"/>
      <c r="FD334" s="14"/>
      <c r="FE334" s="14"/>
      <c r="FF334" s="14"/>
      <c r="FG334" s="14"/>
      <c r="FH334" s="14"/>
      <c r="FI334" s="14"/>
      <c r="FJ334" s="14"/>
      <c r="FK334" s="14"/>
      <c r="FL334" s="14"/>
      <c r="FM334" s="14"/>
      <c r="FN334" s="14"/>
      <c r="FO334" s="14"/>
      <c r="FP334" s="14"/>
      <c r="FQ334" s="14"/>
      <c r="FR334" s="14"/>
      <c r="FS334" s="14"/>
      <c r="FT334" s="14"/>
      <c r="FU334" s="14"/>
      <c r="FV334" s="14"/>
      <c r="FW334" s="14"/>
      <c r="FX334" s="14"/>
      <c r="FY334" s="14"/>
      <c r="FZ334" s="14"/>
      <c r="GA334" s="14"/>
      <c r="GB334" s="14"/>
      <c r="GC334" s="14"/>
      <c r="GD334" s="14"/>
      <c r="GE334" s="14"/>
      <c r="GF334" s="14"/>
      <c r="GG334" s="14"/>
      <c r="GH334" s="14"/>
      <c r="GI334" s="14"/>
      <c r="GJ334" s="14"/>
      <c r="GK334" s="14"/>
      <c r="GL334" s="14"/>
      <c r="GM334" s="14"/>
      <c r="GN334" s="14"/>
      <c r="GO334" s="14"/>
      <c r="GP334" s="14"/>
      <c r="GQ334" s="14"/>
      <c r="GR334" s="14"/>
      <c r="GS334" s="14"/>
      <c r="GT334" s="14"/>
      <c r="GU334" s="14"/>
      <c r="GV334" s="14"/>
      <c r="GW334" s="14"/>
      <c r="GX334" s="14"/>
      <c r="GY334" s="14"/>
      <c r="GZ334" s="14"/>
      <c r="HA334" s="14"/>
      <c r="HB334" s="14"/>
      <c r="HC334" s="14"/>
      <c r="HD334" s="14"/>
      <c r="HE334" s="14"/>
      <c r="HF334" s="14"/>
      <c r="HG334" s="14"/>
      <c r="HH334" s="14"/>
      <c r="HI334" s="14"/>
      <c r="HJ334" s="14"/>
      <c r="HK334" s="14"/>
      <c r="HL334" s="14"/>
      <c r="HM334" s="14"/>
      <c r="HN334" s="14"/>
      <c r="HO334" s="14"/>
      <c r="HP334" s="14"/>
      <c r="HQ334" s="14"/>
      <c r="HR334" s="14"/>
      <c r="HS334" s="14"/>
      <c r="HT334" s="14"/>
    </row>
    <row r="335" spans="1:228" ht="18" customHeight="1" x14ac:dyDescent="0.2">
      <c r="A335" s="3"/>
      <c r="B335" s="1743" t="str">
        <f>IF(SUM(M331:M334)=0,"","Total for superior gluteal; LEG impairment:")</f>
        <v/>
      </c>
      <c r="C335" s="1743"/>
      <c r="D335" s="1743"/>
      <c r="E335" s="1570"/>
      <c r="F335" s="1570"/>
      <c r="G335" s="1570"/>
      <c r="H335" s="1570"/>
      <c r="I335" s="1570"/>
      <c r="J335" s="1570"/>
      <c r="K335" s="1570"/>
      <c r="L335" s="1570"/>
      <c r="M335" s="1570"/>
      <c r="N335" s="1570"/>
      <c r="O335" s="1570"/>
      <c r="P335" s="240">
        <f>IF(AND(P331="",P332="",P333="",P334=""),0,AVERAGE(P331:P334))</f>
        <v>0</v>
      </c>
      <c r="R335" s="18"/>
      <c r="S335" s="116"/>
      <c r="T335" s="111"/>
      <c r="U335" s="111"/>
      <c r="V335" s="111"/>
      <c r="W335" s="111"/>
      <c r="X335" s="111"/>
      <c r="Y335" s="18"/>
      <c r="Z335" s="18"/>
      <c r="AA335" s="18"/>
      <c r="AB335" s="18"/>
      <c r="AC335" s="18"/>
      <c r="AD335" s="18"/>
      <c r="AE335" s="18"/>
      <c r="AF335" s="18"/>
      <c r="AG335" s="18"/>
      <c r="AH335" s="172"/>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4"/>
      <c r="BR335" s="14"/>
      <c r="BS335" s="14"/>
      <c r="BT335" s="14"/>
      <c r="BU335" s="14"/>
      <c r="BV335" s="14"/>
      <c r="BW335" s="14"/>
      <c r="BX335" s="14"/>
      <c r="BY335" s="14"/>
      <c r="BZ335" s="14"/>
      <c r="CA335" s="14"/>
      <c r="CB335" s="14"/>
      <c r="CC335" s="14"/>
      <c r="CD335" s="14"/>
      <c r="CE335" s="14"/>
      <c r="CF335" s="14"/>
      <c r="CG335" s="14"/>
      <c r="CH335" s="14"/>
      <c r="CI335" s="14"/>
      <c r="CJ335" s="14"/>
      <c r="CK335" s="14"/>
      <c r="CL335" s="14"/>
      <c r="CM335" s="14"/>
      <c r="CN335" s="14"/>
      <c r="CO335" s="14"/>
      <c r="CP335" s="14"/>
      <c r="CQ335" s="14"/>
      <c r="CR335" s="14"/>
      <c r="CS335" s="14"/>
      <c r="CT335" s="14"/>
      <c r="CU335" s="14"/>
      <c r="CV335" s="14"/>
      <c r="CW335" s="14"/>
      <c r="CX335" s="14"/>
      <c r="CY335" s="14"/>
      <c r="CZ335" s="14"/>
      <c r="DA335" s="14"/>
      <c r="DB335" s="14"/>
      <c r="DC335" s="14"/>
      <c r="DD335" s="14"/>
      <c r="DE335" s="14"/>
      <c r="DF335" s="14"/>
      <c r="DG335" s="14"/>
      <c r="DH335" s="14"/>
      <c r="DI335" s="14"/>
      <c r="DJ335" s="14"/>
      <c r="DK335" s="14"/>
      <c r="DL335" s="14"/>
      <c r="DM335" s="14"/>
      <c r="DN335" s="14"/>
      <c r="DO335" s="14"/>
      <c r="DP335" s="14"/>
      <c r="DQ335" s="14"/>
      <c r="DR335" s="14"/>
      <c r="DS335" s="14"/>
      <c r="DT335" s="14"/>
      <c r="DU335" s="14"/>
      <c r="DV335" s="14"/>
      <c r="DW335" s="14"/>
      <c r="DX335" s="14"/>
      <c r="DY335" s="14"/>
      <c r="DZ335" s="14"/>
      <c r="EA335" s="14"/>
      <c r="EB335" s="14"/>
      <c r="EC335" s="14"/>
      <c r="ED335" s="14"/>
      <c r="EE335" s="14"/>
      <c r="EF335" s="14"/>
      <c r="EG335" s="14"/>
      <c r="EH335" s="14"/>
      <c r="EI335" s="14"/>
      <c r="EJ335" s="14"/>
      <c r="EK335" s="14"/>
      <c r="EL335" s="14"/>
      <c r="EM335" s="14"/>
      <c r="EN335" s="14"/>
      <c r="EO335" s="14"/>
      <c r="EP335" s="14"/>
      <c r="EQ335" s="14"/>
      <c r="ER335" s="14"/>
      <c r="ES335" s="14"/>
      <c r="ET335" s="14"/>
      <c r="EU335" s="14"/>
      <c r="EV335" s="14"/>
      <c r="EW335" s="14"/>
      <c r="EX335" s="14"/>
      <c r="EY335" s="14"/>
      <c r="EZ335" s="14"/>
      <c r="FA335" s="14"/>
      <c r="FB335" s="14"/>
      <c r="FC335" s="14"/>
      <c r="FD335" s="14"/>
      <c r="FE335" s="14"/>
      <c r="FF335" s="14"/>
      <c r="FG335" s="14"/>
      <c r="FH335" s="14"/>
      <c r="FI335" s="14"/>
      <c r="FJ335" s="14"/>
      <c r="FK335" s="14"/>
      <c r="FL335" s="14"/>
      <c r="FM335" s="14"/>
      <c r="FN335" s="14"/>
      <c r="FO335" s="14"/>
      <c r="FP335" s="14"/>
      <c r="FQ335" s="14"/>
      <c r="FR335" s="14"/>
      <c r="FS335" s="14"/>
      <c r="FT335" s="14"/>
      <c r="FU335" s="14"/>
      <c r="FV335" s="14"/>
      <c r="FW335" s="14"/>
      <c r="FX335" s="14"/>
      <c r="FY335" s="14"/>
      <c r="FZ335" s="14"/>
      <c r="GA335" s="14"/>
      <c r="GB335" s="14"/>
      <c r="GC335" s="14"/>
      <c r="GD335" s="14"/>
      <c r="GE335" s="14"/>
      <c r="GF335" s="14"/>
      <c r="GG335" s="14"/>
      <c r="GH335" s="14"/>
      <c r="GI335" s="14"/>
      <c r="GJ335" s="14"/>
      <c r="GK335" s="14"/>
      <c r="GL335" s="14"/>
      <c r="GM335" s="14"/>
      <c r="GN335" s="14"/>
      <c r="GO335" s="14"/>
      <c r="GP335" s="14"/>
      <c r="GQ335" s="14"/>
      <c r="GR335" s="14"/>
      <c r="GS335" s="14"/>
      <c r="GT335" s="14"/>
      <c r="GU335" s="14"/>
      <c r="GV335" s="14"/>
      <c r="GW335" s="14"/>
      <c r="GX335" s="14"/>
      <c r="GY335" s="14"/>
      <c r="GZ335" s="14"/>
      <c r="HA335" s="14"/>
      <c r="HB335" s="14"/>
      <c r="HC335" s="14"/>
      <c r="HD335" s="14"/>
      <c r="HE335" s="14"/>
      <c r="HF335" s="14"/>
      <c r="HG335" s="14"/>
      <c r="HH335" s="14"/>
      <c r="HI335" s="14"/>
      <c r="HJ335" s="14"/>
      <c r="HK335" s="14"/>
      <c r="HL335" s="14"/>
      <c r="HM335" s="14"/>
      <c r="HN335" s="14"/>
      <c r="HO335" s="14"/>
      <c r="HP335" s="14"/>
      <c r="HQ335" s="14"/>
      <c r="HR335" s="14"/>
      <c r="HS335" s="14"/>
      <c r="HT335" s="14"/>
    </row>
    <row r="336" spans="1:228" ht="15" customHeight="1" x14ac:dyDescent="0.2">
      <c r="A336" s="3"/>
      <c r="B336" s="1379" t="s">
        <v>520</v>
      </c>
      <c r="C336" s="1379"/>
      <c r="D336" s="1379"/>
      <c r="E336" s="456"/>
      <c r="F336" s="1410" t="s">
        <v>521</v>
      </c>
      <c r="G336" s="1410"/>
      <c r="H336" s="1410"/>
      <c r="I336" s="1410"/>
      <c r="J336" s="1410"/>
      <c r="K336" s="1410"/>
      <c r="L336" s="1410"/>
      <c r="M336" s="92">
        <f>IF(OR(F336="",S336=0),0,0.25)</f>
        <v>0</v>
      </c>
      <c r="N336" s="254"/>
      <c r="O336" s="254"/>
      <c r="P336" s="355">
        <f>IF(X336=0,0,X336)</f>
        <v>0</v>
      </c>
      <c r="R336" s="686" t="b">
        <v>0</v>
      </c>
      <c r="S336" s="736">
        <f>IF(R336=TRUE,1,0)</f>
        <v>0</v>
      </c>
      <c r="T336" s="747">
        <f>SUMIF($T$278:$AH$278,N336,$T$279:$AH$279)</f>
        <v>0</v>
      </c>
      <c r="U336" s="747">
        <f>SUMIF($S$278:$AH$278,O336,$S$279:$AH$279)</f>
        <v>0</v>
      </c>
      <c r="V336" s="747">
        <f>M336*T336</f>
        <v>0</v>
      </c>
      <c r="W336" s="747">
        <f>M336*U336</f>
        <v>0</v>
      </c>
      <c r="X336" s="747">
        <f>(IF(V336-W336&lt;=0,0,V336-W336))</f>
        <v>0</v>
      </c>
      <c r="Y336" s="18"/>
      <c r="Z336" s="18"/>
      <c r="AA336" s="18"/>
      <c r="AB336" s="18"/>
      <c r="AC336" s="18"/>
      <c r="AD336" s="18"/>
      <c r="AE336" s="18"/>
      <c r="AF336" s="18"/>
      <c r="AG336" s="18"/>
      <c r="AH336" s="172"/>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4"/>
      <c r="BR336" s="14"/>
      <c r="BS336" s="14"/>
      <c r="BT336" s="14"/>
      <c r="BU336" s="14"/>
      <c r="BV336" s="14"/>
      <c r="BW336" s="14"/>
      <c r="BX336" s="14"/>
      <c r="BY336" s="14"/>
      <c r="BZ336" s="14"/>
      <c r="CA336" s="14"/>
      <c r="CB336" s="14"/>
      <c r="CC336" s="14"/>
      <c r="CD336" s="14"/>
      <c r="CE336" s="14"/>
      <c r="CF336" s="14"/>
      <c r="CG336" s="14"/>
      <c r="CH336" s="14"/>
      <c r="CI336" s="14"/>
      <c r="CJ336" s="14"/>
      <c r="CK336" s="14"/>
      <c r="CL336" s="14"/>
      <c r="CM336" s="14"/>
      <c r="CN336" s="14"/>
      <c r="CO336" s="14"/>
      <c r="CP336" s="14"/>
      <c r="CQ336" s="14"/>
      <c r="CR336" s="14"/>
      <c r="CS336" s="14"/>
      <c r="CT336" s="14"/>
      <c r="CU336" s="14"/>
      <c r="CV336" s="14"/>
      <c r="CW336" s="14"/>
      <c r="CX336" s="14"/>
      <c r="CY336" s="14"/>
      <c r="CZ336" s="14"/>
      <c r="DA336" s="14"/>
      <c r="DB336" s="14"/>
      <c r="DC336" s="14"/>
      <c r="DD336" s="14"/>
      <c r="DE336" s="14"/>
      <c r="DF336" s="14"/>
      <c r="DG336" s="14"/>
      <c r="DH336" s="14"/>
      <c r="DI336" s="14"/>
      <c r="DJ336" s="14"/>
      <c r="DK336" s="14"/>
      <c r="DL336" s="14"/>
      <c r="DM336" s="14"/>
      <c r="DN336" s="14"/>
      <c r="DO336" s="14"/>
      <c r="DP336" s="14"/>
      <c r="DQ336" s="14"/>
      <c r="DR336" s="14"/>
      <c r="DS336" s="14"/>
      <c r="DT336" s="14"/>
      <c r="DU336" s="14"/>
      <c r="DV336" s="14"/>
      <c r="DW336" s="14"/>
      <c r="DX336" s="14"/>
      <c r="DY336" s="14"/>
      <c r="DZ336" s="14"/>
      <c r="EA336" s="14"/>
      <c r="EB336" s="14"/>
      <c r="EC336" s="14"/>
      <c r="ED336" s="14"/>
      <c r="EE336" s="14"/>
      <c r="EF336" s="14"/>
      <c r="EG336" s="14"/>
      <c r="EH336" s="14"/>
      <c r="EI336" s="14"/>
      <c r="EJ336" s="14"/>
      <c r="EK336" s="14"/>
      <c r="EL336" s="14"/>
      <c r="EM336" s="14"/>
      <c r="EN336" s="14"/>
      <c r="EO336" s="14"/>
      <c r="EP336" s="14"/>
      <c r="EQ336" s="14"/>
      <c r="ER336" s="14"/>
      <c r="ES336" s="14"/>
      <c r="ET336" s="14"/>
      <c r="EU336" s="14"/>
      <c r="EV336" s="14"/>
      <c r="EW336" s="14"/>
      <c r="EX336" s="14"/>
      <c r="EY336" s="14"/>
      <c r="EZ336" s="14"/>
      <c r="FA336" s="14"/>
      <c r="FB336" s="14"/>
      <c r="FC336" s="14"/>
      <c r="FD336" s="14"/>
      <c r="FE336" s="14"/>
      <c r="FF336" s="14"/>
      <c r="FG336" s="14"/>
      <c r="FH336" s="14"/>
      <c r="FI336" s="14"/>
      <c r="FJ336" s="14"/>
      <c r="FK336" s="14"/>
      <c r="FL336" s="14"/>
      <c r="FM336" s="14"/>
      <c r="FN336" s="14"/>
      <c r="FO336" s="14"/>
      <c r="FP336" s="14"/>
      <c r="FQ336" s="14"/>
      <c r="FR336" s="14"/>
      <c r="FS336" s="14"/>
      <c r="FT336" s="14"/>
      <c r="FU336" s="14"/>
      <c r="FV336" s="14"/>
      <c r="FW336" s="14"/>
      <c r="FX336" s="14"/>
      <c r="FY336" s="14"/>
      <c r="FZ336" s="14"/>
      <c r="GA336" s="14"/>
      <c r="GB336" s="14"/>
      <c r="GC336" s="14"/>
      <c r="GD336" s="14"/>
      <c r="GE336" s="14"/>
      <c r="GF336" s="14"/>
      <c r="GG336" s="14"/>
      <c r="GH336" s="14"/>
      <c r="GI336" s="14"/>
      <c r="GJ336" s="14"/>
      <c r="GK336" s="14"/>
      <c r="GL336" s="14"/>
      <c r="GM336" s="14"/>
      <c r="GN336" s="14"/>
      <c r="GO336" s="14"/>
      <c r="GP336" s="14"/>
      <c r="GQ336" s="14"/>
      <c r="GR336" s="14"/>
      <c r="GS336" s="14"/>
      <c r="GT336" s="14"/>
      <c r="GU336" s="14"/>
      <c r="GV336" s="14"/>
      <c r="GW336" s="14"/>
      <c r="GX336" s="14"/>
      <c r="GY336" s="14"/>
      <c r="GZ336" s="14"/>
      <c r="HA336" s="14"/>
      <c r="HB336" s="14"/>
      <c r="HC336" s="14"/>
      <c r="HD336" s="14"/>
      <c r="HE336" s="14"/>
      <c r="HF336" s="14"/>
      <c r="HG336" s="14"/>
      <c r="HH336" s="14"/>
      <c r="HI336" s="14"/>
      <c r="HJ336" s="14"/>
      <c r="HK336" s="14"/>
      <c r="HL336" s="14"/>
      <c r="HM336" s="14"/>
      <c r="HN336" s="14"/>
      <c r="HO336" s="14"/>
      <c r="HP336" s="14"/>
      <c r="HQ336" s="14"/>
      <c r="HR336" s="14"/>
      <c r="HS336" s="14"/>
      <c r="HT336" s="14"/>
    </row>
    <row r="337" spans="2:228" ht="18" customHeight="1" x14ac:dyDescent="0.2">
      <c r="B337" s="1570" t="s">
        <v>585</v>
      </c>
      <c r="C337" s="1570"/>
      <c r="D337" s="1570"/>
      <c r="E337" s="1570"/>
      <c r="F337" s="1570"/>
      <c r="G337" s="1570"/>
      <c r="H337" s="1570"/>
      <c r="I337" s="1570"/>
      <c r="J337" s="1570"/>
      <c r="K337" s="1570"/>
      <c r="L337" s="1570"/>
      <c r="M337" s="1570"/>
      <c r="N337" s="1570"/>
      <c r="O337" s="1570"/>
      <c r="P337" s="344">
        <f>AD283</f>
        <v>0</v>
      </c>
      <c r="Q337" s="93"/>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4"/>
      <c r="BR337" s="14"/>
      <c r="BS337" s="14"/>
      <c r="BT337" s="14"/>
      <c r="BU337" s="14"/>
      <c r="BV337" s="14"/>
      <c r="BW337" s="14"/>
      <c r="BX337" s="14"/>
      <c r="BY337" s="14"/>
      <c r="BZ337" s="14"/>
      <c r="CA337" s="14"/>
      <c r="CB337" s="14"/>
      <c r="CC337" s="14"/>
      <c r="CD337" s="14"/>
      <c r="CE337" s="14"/>
      <c r="CF337" s="14"/>
      <c r="CG337" s="14"/>
      <c r="CH337" s="14"/>
      <c r="CI337" s="14"/>
      <c r="CJ337" s="14"/>
      <c r="CK337" s="14"/>
      <c r="CL337" s="14"/>
      <c r="CM337" s="14"/>
      <c r="CN337" s="14"/>
      <c r="CO337" s="14"/>
      <c r="CP337" s="14"/>
      <c r="CQ337" s="14"/>
      <c r="CR337" s="14"/>
      <c r="CS337" s="14"/>
      <c r="CT337" s="14"/>
      <c r="CU337" s="14"/>
      <c r="CV337" s="14"/>
      <c r="CW337" s="14"/>
      <c r="CX337" s="14"/>
      <c r="CY337" s="14"/>
      <c r="CZ337" s="14"/>
      <c r="DA337" s="14"/>
      <c r="DB337" s="14"/>
      <c r="DC337" s="14"/>
      <c r="DD337" s="14"/>
      <c r="DE337" s="14"/>
      <c r="DF337" s="14"/>
      <c r="DG337" s="14"/>
      <c r="DH337" s="14"/>
      <c r="DI337" s="14"/>
      <c r="DJ337" s="14"/>
      <c r="DK337" s="14"/>
      <c r="DL337" s="14"/>
      <c r="DM337" s="14"/>
      <c r="DN337" s="14"/>
      <c r="DO337" s="14"/>
      <c r="DP337" s="14"/>
      <c r="DQ337" s="14"/>
      <c r="DR337" s="14"/>
      <c r="DS337" s="14"/>
      <c r="DT337" s="14"/>
      <c r="DU337" s="14"/>
      <c r="DV337" s="14"/>
      <c r="DW337" s="14"/>
      <c r="DX337" s="14"/>
      <c r="DY337" s="14"/>
      <c r="DZ337" s="14"/>
      <c r="EA337" s="14"/>
      <c r="EB337" s="14"/>
      <c r="EC337" s="14"/>
      <c r="ED337" s="14"/>
      <c r="EE337" s="14"/>
      <c r="EF337" s="14"/>
      <c r="EG337" s="14"/>
      <c r="EH337" s="14"/>
      <c r="EI337" s="14"/>
      <c r="EJ337" s="14"/>
      <c r="EK337" s="14"/>
      <c r="EL337" s="14"/>
      <c r="EM337" s="14"/>
      <c r="EN337" s="14"/>
      <c r="EO337" s="14"/>
      <c r="EP337" s="14"/>
      <c r="EQ337" s="14"/>
      <c r="ER337" s="14"/>
      <c r="ES337" s="14"/>
      <c r="ET337" s="14"/>
      <c r="EU337" s="14"/>
      <c r="EV337" s="14"/>
      <c r="EW337" s="14"/>
      <c r="EX337" s="14"/>
      <c r="EY337" s="14"/>
      <c r="EZ337" s="14"/>
      <c r="FA337" s="14"/>
      <c r="FB337" s="14"/>
      <c r="FC337" s="14"/>
      <c r="FD337" s="14"/>
      <c r="FE337" s="14"/>
      <c r="FF337" s="14"/>
      <c r="FG337" s="14"/>
      <c r="FH337" s="14"/>
      <c r="FI337" s="14"/>
      <c r="FJ337" s="14"/>
      <c r="FK337" s="14"/>
      <c r="FL337" s="14"/>
      <c r="FM337" s="14"/>
      <c r="FN337" s="14"/>
      <c r="FO337" s="14"/>
      <c r="FP337" s="14"/>
      <c r="FQ337" s="14"/>
      <c r="FR337" s="14"/>
      <c r="FS337" s="14"/>
      <c r="FT337" s="14"/>
      <c r="FU337" s="14"/>
      <c r="FV337" s="14"/>
      <c r="FW337" s="14"/>
      <c r="FX337" s="14"/>
      <c r="FY337" s="14"/>
      <c r="FZ337" s="14"/>
      <c r="GA337" s="14"/>
      <c r="GB337" s="14"/>
      <c r="GC337" s="14"/>
      <c r="GD337" s="14"/>
      <c r="GE337" s="14"/>
      <c r="GF337" s="14"/>
      <c r="GG337" s="14"/>
      <c r="GH337" s="14"/>
      <c r="GI337" s="14"/>
      <c r="GJ337" s="14"/>
      <c r="GK337" s="14"/>
      <c r="GL337" s="14"/>
      <c r="GM337" s="14"/>
      <c r="GN337" s="14"/>
      <c r="GO337" s="14"/>
      <c r="GP337" s="14"/>
      <c r="GQ337" s="14"/>
      <c r="GR337" s="14"/>
      <c r="GS337" s="14"/>
      <c r="GT337" s="14"/>
      <c r="GU337" s="14"/>
      <c r="GV337" s="14"/>
      <c r="GW337" s="14"/>
      <c r="GX337" s="14"/>
      <c r="GY337" s="14"/>
      <c r="GZ337" s="14"/>
      <c r="HA337" s="14"/>
      <c r="HB337" s="14"/>
      <c r="HC337" s="14"/>
      <c r="HD337" s="14"/>
      <c r="HE337" s="14"/>
      <c r="HF337" s="14"/>
      <c r="HG337" s="14"/>
      <c r="HH337" s="14"/>
      <c r="HI337" s="14"/>
      <c r="HJ337" s="14"/>
      <c r="HK337" s="14"/>
      <c r="HL337" s="14"/>
      <c r="HM337" s="14"/>
      <c r="HN337" s="14"/>
      <c r="HO337" s="14"/>
      <c r="HP337" s="14"/>
      <c r="HQ337" s="14"/>
      <c r="HR337" s="14"/>
      <c r="HS337" s="14"/>
      <c r="HT337" s="14"/>
    </row>
    <row r="338" spans="2:228" ht="18" customHeight="1" x14ac:dyDescent="0.2">
      <c r="B338" s="1570" t="s">
        <v>859</v>
      </c>
      <c r="C338" s="1570"/>
      <c r="D338" s="1570"/>
      <c r="E338" s="1570"/>
      <c r="F338" s="1570"/>
      <c r="G338" s="1570"/>
      <c r="H338" s="1570"/>
      <c r="I338" s="1570"/>
      <c r="J338" s="1570"/>
      <c r="K338" s="1570"/>
      <c r="L338" s="1570"/>
      <c r="M338" s="1570"/>
      <c r="N338" s="1570"/>
      <c r="O338" s="1570"/>
      <c r="P338" s="344">
        <f>AI292</f>
        <v>0</v>
      </c>
      <c r="Q338" s="93"/>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4"/>
      <c r="BR338" s="14"/>
      <c r="BS338" s="14"/>
      <c r="BT338" s="14"/>
      <c r="BU338" s="14"/>
      <c r="BV338" s="14"/>
      <c r="BW338" s="14"/>
      <c r="BX338" s="14"/>
      <c r="BY338" s="14"/>
      <c r="BZ338" s="14"/>
      <c r="CA338" s="14"/>
      <c r="CB338" s="14"/>
      <c r="CC338" s="14"/>
      <c r="CD338" s="14"/>
      <c r="CE338" s="14"/>
      <c r="CF338" s="14"/>
      <c r="CG338" s="14"/>
      <c r="CH338" s="14"/>
      <c r="CI338" s="14"/>
      <c r="CJ338" s="14"/>
      <c r="CK338" s="14"/>
      <c r="CL338" s="14"/>
      <c r="CM338" s="14"/>
      <c r="CN338" s="14"/>
      <c r="CO338" s="14"/>
      <c r="CP338" s="14"/>
      <c r="CQ338" s="14"/>
      <c r="CR338" s="14"/>
      <c r="CS338" s="14"/>
      <c r="CT338" s="14"/>
      <c r="CU338" s="14"/>
      <c r="CV338" s="14"/>
      <c r="CW338" s="14"/>
      <c r="CX338" s="14"/>
      <c r="CY338" s="14"/>
      <c r="CZ338" s="14"/>
      <c r="DA338" s="14"/>
      <c r="DB338" s="14"/>
      <c r="DC338" s="14"/>
      <c r="DD338" s="14"/>
      <c r="DE338" s="14"/>
      <c r="DF338" s="14"/>
      <c r="DG338" s="14"/>
      <c r="DH338" s="14"/>
      <c r="DI338" s="14"/>
      <c r="DJ338" s="14"/>
      <c r="DK338" s="14"/>
      <c r="DL338" s="14"/>
      <c r="DM338" s="14"/>
      <c r="DN338" s="14"/>
      <c r="DO338" s="14"/>
      <c r="DP338" s="14"/>
      <c r="DQ338" s="14"/>
      <c r="DR338" s="14"/>
      <c r="DS338" s="14"/>
      <c r="DT338" s="14"/>
      <c r="DU338" s="14"/>
      <c r="DV338" s="14"/>
      <c r="DW338" s="14"/>
      <c r="DX338" s="14"/>
      <c r="DY338" s="14"/>
      <c r="DZ338" s="14"/>
      <c r="EA338" s="14"/>
      <c r="EB338" s="14"/>
      <c r="EC338" s="14"/>
      <c r="ED338" s="14"/>
      <c r="EE338" s="14"/>
      <c r="EF338" s="14"/>
      <c r="EG338" s="14"/>
      <c r="EH338" s="14"/>
      <c r="EI338" s="14"/>
      <c r="EJ338" s="14"/>
      <c r="EK338" s="14"/>
      <c r="EL338" s="14"/>
      <c r="EM338" s="14"/>
      <c r="EN338" s="14"/>
      <c r="EO338" s="14"/>
      <c r="EP338" s="14"/>
      <c r="EQ338" s="14"/>
      <c r="ER338" s="14"/>
      <c r="ES338" s="14"/>
      <c r="ET338" s="14"/>
      <c r="EU338" s="14"/>
      <c r="EV338" s="14"/>
      <c r="EW338" s="14"/>
      <c r="EX338" s="14"/>
      <c r="EY338" s="14"/>
      <c r="EZ338" s="14"/>
      <c r="FA338" s="14"/>
      <c r="FB338" s="14"/>
      <c r="FC338" s="14"/>
      <c r="FD338" s="14"/>
      <c r="FE338" s="14"/>
      <c r="FF338" s="14"/>
      <c r="FG338" s="14"/>
      <c r="FH338" s="14"/>
      <c r="FI338" s="14"/>
      <c r="FJ338" s="14"/>
      <c r="FK338" s="14"/>
      <c r="FL338" s="14"/>
      <c r="FM338" s="14"/>
      <c r="FN338" s="14"/>
      <c r="FO338" s="14"/>
      <c r="FP338" s="14"/>
      <c r="FQ338" s="14"/>
      <c r="FR338" s="14"/>
      <c r="FS338" s="14"/>
      <c r="FT338" s="14"/>
      <c r="FU338" s="14"/>
      <c r="FV338" s="14"/>
      <c r="FW338" s="14"/>
      <c r="FX338" s="14"/>
      <c r="FY338" s="14"/>
      <c r="FZ338" s="14"/>
      <c r="GA338" s="14"/>
      <c r="GB338" s="14"/>
      <c r="GC338" s="14"/>
      <c r="GD338" s="14"/>
      <c r="GE338" s="14"/>
      <c r="GF338" s="14"/>
      <c r="GG338" s="14"/>
      <c r="GH338" s="14"/>
      <c r="GI338" s="14"/>
      <c r="GJ338" s="14"/>
      <c r="GK338" s="14"/>
      <c r="GL338" s="14"/>
      <c r="GM338" s="14"/>
      <c r="GN338" s="14"/>
      <c r="GO338" s="14"/>
      <c r="GP338" s="14"/>
      <c r="GQ338" s="14"/>
      <c r="GR338" s="14"/>
      <c r="GS338" s="14"/>
      <c r="GT338" s="14"/>
      <c r="GU338" s="14"/>
      <c r="GV338" s="14"/>
      <c r="GW338" s="14"/>
      <c r="GX338" s="14"/>
      <c r="GY338" s="14"/>
      <c r="GZ338" s="14"/>
      <c r="HA338" s="14"/>
      <c r="HB338" s="14"/>
      <c r="HC338" s="14"/>
      <c r="HD338" s="14"/>
      <c r="HE338" s="14"/>
      <c r="HF338" s="14"/>
      <c r="HG338" s="14"/>
      <c r="HH338" s="14"/>
      <c r="HI338" s="14"/>
      <c r="HJ338" s="14"/>
      <c r="HK338" s="14"/>
      <c r="HL338" s="14"/>
      <c r="HM338" s="14"/>
      <c r="HN338" s="14"/>
      <c r="HO338" s="14"/>
      <c r="HP338" s="14"/>
      <c r="HQ338" s="14"/>
      <c r="HR338" s="14"/>
      <c r="HS338" s="14"/>
      <c r="HT338" s="14"/>
    </row>
    <row r="339" spans="2:228" ht="12" customHeight="1" x14ac:dyDescent="0.2">
      <c r="B339" s="1395"/>
      <c r="C339" s="1395"/>
      <c r="D339" s="1395"/>
      <c r="E339" s="1395"/>
      <c r="F339" s="1395"/>
      <c r="G339" s="1395"/>
      <c r="H339" s="1395"/>
      <c r="I339" s="1395"/>
      <c r="J339" s="1395"/>
      <c r="K339" s="1395"/>
      <c r="L339" s="1395"/>
      <c r="M339" s="1395"/>
      <c r="N339" s="1395"/>
      <c r="O339" s="1395"/>
      <c r="P339" s="1395"/>
      <c r="Q339" s="93"/>
      <c r="R339" s="18"/>
      <c r="S339" s="18"/>
      <c r="T339" s="18"/>
      <c r="U339" s="18"/>
      <c r="V339" s="18"/>
      <c r="W339" s="18"/>
      <c r="X339" s="18"/>
      <c r="Y339" s="954" t="s">
        <v>1004</v>
      </c>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4"/>
      <c r="BR339" s="14"/>
      <c r="BS339" s="14"/>
      <c r="BT339" s="14"/>
      <c r="BU339" s="14"/>
      <c r="BV339" s="14"/>
      <c r="BW339" s="14"/>
      <c r="BX339" s="14"/>
      <c r="BY339" s="14"/>
      <c r="BZ339" s="14"/>
      <c r="CA339" s="14"/>
      <c r="CB339" s="14"/>
      <c r="CC339" s="14"/>
      <c r="CD339" s="14"/>
      <c r="CE339" s="14"/>
      <c r="CF339" s="14"/>
      <c r="CG339" s="14"/>
      <c r="CH339" s="14"/>
      <c r="CI339" s="14"/>
      <c r="CJ339" s="14"/>
      <c r="CK339" s="14"/>
      <c r="CL339" s="14"/>
      <c r="CM339" s="14"/>
      <c r="CN339" s="14"/>
      <c r="CO339" s="14"/>
      <c r="CP339" s="14"/>
      <c r="CQ339" s="14"/>
      <c r="CR339" s="14"/>
      <c r="CS339" s="14"/>
      <c r="CT339" s="14"/>
      <c r="CU339" s="14"/>
      <c r="CV339" s="14"/>
      <c r="CW339" s="14"/>
      <c r="CX339" s="14"/>
      <c r="CY339" s="14"/>
      <c r="CZ339" s="14"/>
      <c r="DA339" s="14"/>
      <c r="DB339" s="14"/>
      <c r="DC339" s="14"/>
      <c r="DD339" s="14"/>
      <c r="DE339" s="14"/>
      <c r="DF339" s="14"/>
      <c r="DG339" s="14"/>
      <c r="DH339" s="14"/>
      <c r="DI339" s="14"/>
      <c r="DJ339" s="14"/>
      <c r="DK339" s="14"/>
      <c r="DL339" s="14"/>
      <c r="DM339" s="14"/>
      <c r="DN339" s="14"/>
      <c r="DO339" s="14"/>
      <c r="DP339" s="14"/>
      <c r="DQ339" s="14"/>
      <c r="DR339" s="14"/>
      <c r="DS339" s="14"/>
      <c r="DT339" s="14"/>
      <c r="DU339" s="14"/>
      <c r="DV339" s="14"/>
      <c r="DW339" s="14"/>
      <c r="DX339" s="14"/>
      <c r="DY339" s="14"/>
      <c r="DZ339" s="14"/>
      <c r="EA339" s="14"/>
      <c r="EB339" s="14"/>
      <c r="EC339" s="14"/>
      <c r="ED339" s="14"/>
      <c r="EE339" s="14"/>
      <c r="EF339" s="14"/>
      <c r="EG339" s="14"/>
      <c r="EH339" s="14"/>
      <c r="EI339" s="14"/>
      <c r="EJ339" s="14"/>
      <c r="EK339" s="14"/>
      <c r="EL339" s="14"/>
      <c r="EM339" s="14"/>
      <c r="EN339" s="14"/>
      <c r="EO339" s="14"/>
      <c r="EP339" s="14"/>
      <c r="EQ339" s="14"/>
      <c r="ER339" s="14"/>
      <c r="ES339" s="14"/>
      <c r="ET339" s="14"/>
      <c r="EU339" s="14"/>
      <c r="EV339" s="14"/>
      <c r="EW339" s="14"/>
      <c r="EX339" s="14"/>
      <c r="EY339" s="14"/>
      <c r="EZ339" s="14"/>
      <c r="FA339" s="14"/>
      <c r="FB339" s="14"/>
      <c r="FC339" s="14"/>
      <c r="FD339" s="14"/>
      <c r="FE339" s="14"/>
      <c r="FF339" s="14"/>
      <c r="FG339" s="14"/>
      <c r="FH339" s="14"/>
      <c r="FI339" s="14"/>
      <c r="FJ339" s="14"/>
      <c r="FK339" s="14"/>
      <c r="FL339" s="14"/>
      <c r="FM339" s="14"/>
      <c r="FN339" s="14"/>
      <c r="FO339" s="14"/>
      <c r="FP339" s="14"/>
      <c r="FQ339" s="14"/>
      <c r="FR339" s="14"/>
      <c r="FS339" s="14"/>
      <c r="FT339" s="14"/>
      <c r="FU339" s="14"/>
      <c r="FV339" s="14"/>
      <c r="FW339" s="14"/>
      <c r="FX339" s="14"/>
      <c r="FY339" s="14"/>
      <c r="FZ339" s="14"/>
      <c r="GA339" s="14"/>
      <c r="GB339" s="14"/>
      <c r="GC339" s="14"/>
      <c r="GD339" s="14"/>
      <c r="GE339" s="14"/>
      <c r="GF339" s="14"/>
      <c r="GG339" s="14"/>
      <c r="GH339" s="14"/>
      <c r="GI339" s="14"/>
      <c r="GJ339" s="14"/>
      <c r="GK339" s="14"/>
      <c r="GL339" s="14"/>
      <c r="GM339" s="14"/>
      <c r="GN339" s="14"/>
      <c r="GO339" s="14"/>
      <c r="GP339" s="14"/>
      <c r="GQ339" s="14"/>
      <c r="GR339" s="14"/>
      <c r="GS339" s="14"/>
      <c r="GT339" s="14"/>
      <c r="GU339" s="14"/>
      <c r="GV339" s="14"/>
      <c r="GW339" s="14"/>
      <c r="GX339" s="14"/>
      <c r="GY339" s="14"/>
      <c r="GZ339" s="14"/>
      <c r="HA339" s="14"/>
      <c r="HB339" s="14"/>
      <c r="HC339" s="14"/>
      <c r="HD339" s="14"/>
      <c r="HE339" s="14"/>
      <c r="HF339" s="14"/>
      <c r="HG339" s="14"/>
      <c r="HH339" s="14"/>
      <c r="HI339" s="14"/>
      <c r="HJ339" s="14"/>
      <c r="HK339" s="14"/>
      <c r="HL339" s="14"/>
      <c r="HM339" s="14"/>
      <c r="HN339" s="14"/>
      <c r="HO339" s="14"/>
      <c r="HP339" s="14"/>
      <c r="HQ339" s="14"/>
      <c r="HR339" s="14"/>
      <c r="HS339" s="14"/>
      <c r="HT339" s="14"/>
    </row>
    <row r="340" spans="2:228" ht="12" customHeight="1" x14ac:dyDescent="0.2">
      <c r="B340" s="1395"/>
      <c r="C340" s="1395"/>
      <c r="D340" s="1395"/>
      <c r="E340" s="1395"/>
      <c r="F340" s="1395"/>
      <c r="G340" s="1395"/>
      <c r="H340" s="1395"/>
      <c r="I340" s="1395"/>
      <c r="J340" s="1395"/>
      <c r="K340" s="1395"/>
      <c r="L340" s="1395"/>
      <c r="M340" s="1395"/>
      <c r="N340" s="1395"/>
      <c r="O340" s="1395"/>
      <c r="P340" s="1395"/>
      <c r="Q340" s="93"/>
      <c r="R340" s="18"/>
      <c r="S340" s="18"/>
      <c r="T340" s="18"/>
      <c r="U340" s="18"/>
      <c r="V340" s="18"/>
      <c r="W340" s="18"/>
      <c r="X340" s="18"/>
      <c r="Y340" s="954">
        <f>Y342+Y341</f>
        <v>0</v>
      </c>
      <c r="Z340" s="18" t="s">
        <v>1911</v>
      </c>
      <c r="AA340" s="18"/>
      <c r="AB340" s="63"/>
      <c r="AC340" s="63"/>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4"/>
      <c r="BR340" s="14"/>
      <c r="BS340" s="14"/>
      <c r="BT340" s="14"/>
      <c r="BU340" s="14"/>
      <c r="BV340" s="14"/>
      <c r="BW340" s="14"/>
      <c r="BX340" s="14"/>
      <c r="BY340" s="14"/>
      <c r="BZ340" s="14"/>
      <c r="CA340" s="14"/>
      <c r="CB340" s="14"/>
      <c r="CC340" s="14"/>
      <c r="CD340" s="14"/>
      <c r="CE340" s="14"/>
      <c r="CF340" s="14"/>
      <c r="CG340" s="14"/>
      <c r="CH340" s="14"/>
      <c r="CI340" s="14"/>
      <c r="CJ340" s="14"/>
      <c r="CK340" s="14"/>
      <c r="CL340" s="14"/>
      <c r="CM340" s="14"/>
      <c r="CN340" s="14"/>
      <c r="CO340" s="14"/>
      <c r="CP340" s="14"/>
      <c r="CQ340" s="14"/>
      <c r="CR340" s="14"/>
      <c r="CS340" s="14"/>
      <c r="CT340" s="14"/>
      <c r="CU340" s="14"/>
      <c r="CV340" s="14"/>
      <c r="CW340" s="14"/>
      <c r="CX340" s="14"/>
      <c r="CY340" s="14"/>
      <c r="CZ340" s="14"/>
      <c r="DA340" s="14"/>
      <c r="DB340" s="14"/>
      <c r="DC340" s="14"/>
      <c r="DD340" s="14"/>
      <c r="DE340" s="14"/>
      <c r="DF340" s="14"/>
      <c r="DG340" s="14"/>
      <c r="DH340" s="14"/>
      <c r="DI340" s="14"/>
      <c r="DJ340" s="14"/>
      <c r="DK340" s="14"/>
      <c r="DL340" s="14"/>
      <c r="DM340" s="14"/>
      <c r="DN340" s="14"/>
      <c r="DO340" s="14"/>
      <c r="DP340" s="14"/>
      <c r="DQ340" s="14"/>
      <c r="DR340" s="14"/>
      <c r="DS340" s="14"/>
      <c r="DT340" s="14"/>
      <c r="DU340" s="14"/>
      <c r="DV340" s="14"/>
      <c r="DW340" s="14"/>
      <c r="DX340" s="14"/>
      <c r="DY340" s="14"/>
      <c r="DZ340" s="14"/>
      <c r="EA340" s="14"/>
      <c r="EB340" s="14"/>
      <c r="EC340" s="14"/>
      <c r="ED340" s="14"/>
      <c r="EE340" s="14"/>
      <c r="EF340" s="14"/>
      <c r="EG340" s="14"/>
      <c r="EH340" s="14"/>
      <c r="EI340" s="14"/>
      <c r="EJ340" s="14"/>
      <c r="EK340" s="14"/>
      <c r="EL340" s="14"/>
      <c r="EM340" s="14"/>
      <c r="EN340" s="14"/>
      <c r="EO340" s="14"/>
      <c r="EP340" s="14"/>
      <c r="EQ340" s="14"/>
      <c r="ER340" s="14"/>
      <c r="ES340" s="14"/>
      <c r="ET340" s="14"/>
      <c r="EU340" s="14"/>
      <c r="EV340" s="14"/>
      <c r="EW340" s="14"/>
      <c r="EX340" s="14"/>
      <c r="EY340" s="14"/>
      <c r="EZ340" s="14"/>
      <c r="FA340" s="14"/>
      <c r="FB340" s="14"/>
      <c r="FC340" s="14"/>
      <c r="FD340" s="14"/>
      <c r="FE340" s="14"/>
      <c r="FF340" s="14"/>
      <c r="FG340" s="14"/>
      <c r="FH340" s="14"/>
      <c r="FI340" s="14"/>
      <c r="FJ340" s="14"/>
      <c r="FK340" s="14"/>
      <c r="FL340" s="14"/>
      <c r="FM340" s="14"/>
      <c r="FN340" s="14"/>
      <c r="FO340" s="14"/>
      <c r="FP340" s="14"/>
      <c r="FQ340" s="14"/>
      <c r="FR340" s="14"/>
      <c r="FS340" s="14"/>
      <c r="FT340" s="14"/>
      <c r="FU340" s="14"/>
      <c r="FV340" s="14"/>
      <c r="FW340" s="14"/>
      <c r="FX340" s="14"/>
      <c r="FY340" s="14"/>
      <c r="FZ340" s="14"/>
      <c r="GA340" s="14"/>
      <c r="GB340" s="14"/>
      <c r="GC340" s="14"/>
      <c r="GD340" s="14"/>
      <c r="GE340" s="14"/>
      <c r="GF340" s="14"/>
      <c r="GG340" s="14"/>
      <c r="GH340" s="14"/>
      <c r="GI340" s="14"/>
      <c r="GJ340" s="14"/>
      <c r="GK340" s="14"/>
      <c r="GL340" s="14"/>
      <c r="GM340" s="14"/>
      <c r="GN340" s="14"/>
      <c r="GO340" s="14"/>
      <c r="GP340" s="14"/>
      <c r="GQ340" s="14"/>
      <c r="GR340" s="14"/>
      <c r="GS340" s="14"/>
      <c r="GT340" s="14"/>
      <c r="GU340" s="14"/>
      <c r="GV340" s="14"/>
      <c r="GW340" s="14"/>
      <c r="GX340" s="14"/>
      <c r="GY340" s="14"/>
      <c r="GZ340" s="14"/>
      <c r="HA340" s="14"/>
      <c r="HB340" s="14"/>
      <c r="HC340" s="14"/>
      <c r="HD340" s="14"/>
      <c r="HE340" s="14"/>
      <c r="HF340" s="14"/>
      <c r="HG340" s="14"/>
      <c r="HH340" s="14"/>
      <c r="HI340" s="14"/>
      <c r="HJ340" s="14"/>
      <c r="HK340" s="14"/>
      <c r="HL340" s="14"/>
      <c r="HM340" s="14"/>
      <c r="HN340" s="14"/>
      <c r="HO340" s="14"/>
      <c r="HP340" s="14"/>
      <c r="HQ340" s="14"/>
      <c r="HR340" s="14"/>
      <c r="HS340" s="14"/>
      <c r="HT340" s="14"/>
    </row>
    <row r="341" spans="2:228" ht="30" customHeight="1" x14ac:dyDescent="0.2">
      <c r="B341" s="1659" t="s">
        <v>819</v>
      </c>
      <c r="C341" s="1660"/>
      <c r="D341" s="1660"/>
      <c r="E341" s="1660"/>
      <c r="F341" s="1661"/>
      <c r="G341" s="1626" t="s">
        <v>1525</v>
      </c>
      <c r="H341" s="1627"/>
      <c r="I341" s="1627"/>
      <c r="J341" s="1627"/>
      <c r="K341" s="1628"/>
      <c r="L341" s="1757"/>
      <c r="M341" s="1758"/>
      <c r="N341" s="1758"/>
      <c r="O341" s="1759"/>
      <c r="P341" s="1481">
        <f>IF(J368&gt;0,J368,V366)</f>
        <v>0</v>
      </c>
      <c r="R341" s="18"/>
      <c r="S341" s="963" t="s">
        <v>1865</v>
      </c>
      <c r="T341" s="950" t="s">
        <v>1305</v>
      </c>
      <c r="U341" s="950" t="s">
        <v>1306</v>
      </c>
      <c r="V341" s="950" t="s">
        <v>1307</v>
      </c>
      <c r="W341" s="950" t="s">
        <v>860</v>
      </c>
      <c r="X341" s="18"/>
      <c r="Y341" s="954">
        <f>IF(OR(E342&gt;0,E343&gt;0,E344&gt;0,E345&gt;0,E346&gt;0,E347&gt;0,E348&gt;0,E349&gt;0,E350&gt;0,E351&gt;0,E352&gt;0,E359&gt;0,E360&gt;0,E361&gt;0),1,0)</f>
        <v>0</v>
      </c>
      <c r="Z341" s="3" t="s">
        <v>1802</v>
      </c>
      <c r="AA341" s="18"/>
      <c r="AB341" s="63"/>
      <c r="AC341" s="63"/>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4"/>
      <c r="BR341" s="14"/>
      <c r="BS341" s="14"/>
      <c r="BT341" s="14"/>
      <c r="BU341" s="14"/>
      <c r="BV341" s="14"/>
      <c r="BW341" s="14"/>
      <c r="BX341" s="14"/>
      <c r="BY341" s="14"/>
      <c r="BZ341" s="14"/>
      <c r="CA341" s="14"/>
      <c r="CB341" s="14"/>
      <c r="CC341" s="14"/>
      <c r="CD341" s="14"/>
      <c r="CE341" s="14"/>
      <c r="CF341" s="14"/>
      <c r="CG341" s="14"/>
      <c r="CH341" s="14"/>
      <c r="CI341" s="14"/>
      <c r="CJ341" s="14"/>
      <c r="CK341" s="14"/>
      <c r="CL341" s="14"/>
      <c r="CM341" s="14"/>
      <c r="CN341" s="14"/>
      <c r="CO341" s="14"/>
      <c r="CP341" s="14"/>
      <c r="CQ341" s="14"/>
      <c r="CR341" s="14"/>
      <c r="CS341" s="14"/>
      <c r="CT341" s="14"/>
      <c r="CU341" s="14"/>
      <c r="CV341" s="14"/>
      <c r="CW341" s="14"/>
      <c r="CX341" s="14"/>
      <c r="CY341" s="14"/>
      <c r="CZ341" s="14"/>
      <c r="DA341" s="14"/>
      <c r="DB341" s="14"/>
      <c r="DC341" s="14"/>
      <c r="DD341" s="14"/>
      <c r="DE341" s="14"/>
      <c r="DF341" s="14"/>
      <c r="DG341" s="14"/>
      <c r="DH341" s="14"/>
      <c r="DI341" s="14"/>
      <c r="DJ341" s="14"/>
      <c r="DK341" s="14"/>
      <c r="DL341" s="14"/>
      <c r="DM341" s="14"/>
      <c r="DN341" s="14"/>
      <c r="DO341" s="14"/>
      <c r="DP341" s="14"/>
      <c r="DQ341" s="14"/>
      <c r="DR341" s="14"/>
      <c r="DS341" s="14"/>
      <c r="DT341" s="14"/>
      <c r="DU341" s="14"/>
      <c r="DV341" s="14"/>
      <c r="DW341" s="14"/>
      <c r="DX341" s="14"/>
      <c r="DY341" s="14"/>
      <c r="DZ341" s="14"/>
      <c r="EA341" s="14"/>
      <c r="EB341" s="14"/>
      <c r="EC341" s="14"/>
      <c r="ED341" s="14"/>
      <c r="EE341" s="14"/>
      <c r="EF341" s="14"/>
      <c r="EG341" s="14"/>
      <c r="EH341" s="14"/>
      <c r="EI341" s="14"/>
      <c r="EJ341" s="14"/>
      <c r="EK341" s="14"/>
      <c r="EL341" s="14"/>
      <c r="EM341" s="14"/>
      <c r="EN341" s="14"/>
      <c r="EO341" s="14"/>
      <c r="EP341" s="14"/>
      <c r="EQ341" s="14"/>
      <c r="ER341" s="14"/>
      <c r="ES341" s="14"/>
      <c r="ET341" s="14"/>
      <c r="EU341" s="14"/>
      <c r="EV341" s="14"/>
      <c r="EW341" s="14"/>
      <c r="EX341" s="14"/>
      <c r="EY341" s="14"/>
      <c r="EZ341" s="14"/>
      <c r="FA341" s="14"/>
      <c r="FB341" s="14"/>
      <c r="FC341" s="14"/>
      <c r="FD341" s="14"/>
      <c r="FE341" s="14"/>
      <c r="FF341" s="14"/>
      <c r="FG341" s="14"/>
      <c r="FH341" s="14"/>
      <c r="FI341" s="14"/>
      <c r="FJ341" s="14"/>
      <c r="FK341" s="14"/>
      <c r="FL341" s="14"/>
      <c r="FM341" s="14"/>
      <c r="FN341" s="14"/>
      <c r="FO341" s="14"/>
      <c r="FP341" s="14"/>
      <c r="FQ341" s="14"/>
      <c r="FR341" s="14"/>
      <c r="FS341" s="14"/>
      <c r="FT341" s="14"/>
      <c r="FU341" s="14"/>
      <c r="FV341" s="14"/>
      <c r="FW341" s="14"/>
      <c r="FX341" s="14"/>
      <c r="FY341" s="14"/>
      <c r="FZ341" s="14"/>
      <c r="GA341" s="14"/>
      <c r="GB341" s="14"/>
      <c r="GC341" s="14"/>
      <c r="GD341" s="14"/>
      <c r="GE341" s="14"/>
      <c r="GF341" s="14"/>
      <c r="GG341" s="14"/>
      <c r="GH341" s="14"/>
      <c r="GI341" s="14"/>
      <c r="GJ341" s="14"/>
      <c r="GK341" s="14"/>
      <c r="GL341" s="14"/>
      <c r="GM341" s="14"/>
      <c r="GN341" s="14"/>
      <c r="GO341" s="14"/>
      <c r="GP341" s="14"/>
      <c r="GQ341" s="14"/>
      <c r="GR341" s="14"/>
      <c r="GS341" s="14"/>
      <c r="GT341" s="14"/>
      <c r="GU341" s="14"/>
      <c r="GV341" s="14"/>
      <c r="GW341" s="14"/>
      <c r="GX341" s="14"/>
      <c r="GY341" s="14"/>
      <c r="GZ341" s="14"/>
      <c r="HA341" s="14"/>
      <c r="HB341" s="14"/>
      <c r="HC341" s="14"/>
      <c r="HD341" s="14"/>
      <c r="HE341" s="14"/>
      <c r="HF341" s="14"/>
      <c r="HG341" s="14"/>
      <c r="HH341" s="14"/>
      <c r="HI341" s="14"/>
      <c r="HJ341" s="14"/>
      <c r="HK341" s="14"/>
      <c r="HL341" s="14"/>
      <c r="HM341" s="14"/>
      <c r="HN341" s="14"/>
      <c r="HO341" s="14"/>
      <c r="HP341" s="14"/>
      <c r="HQ341" s="14"/>
      <c r="HR341" s="14"/>
      <c r="HS341" s="14"/>
      <c r="HT341" s="14"/>
    </row>
    <row r="342" spans="2:228" ht="15" customHeight="1" x14ac:dyDescent="0.2">
      <c r="B342" s="1357" t="s">
        <v>861</v>
      </c>
      <c r="C342" s="1358"/>
      <c r="D342" s="1359"/>
      <c r="E342" s="1342">
        <f t="shared" ref="E342:E347" si="48">P207</f>
        <v>0</v>
      </c>
      <c r="F342" s="1344"/>
      <c r="G342" s="1702" t="s">
        <v>1942</v>
      </c>
      <c r="H342" s="1627"/>
      <c r="I342" s="1628"/>
      <c r="J342" s="1851"/>
      <c r="K342" s="2043"/>
      <c r="L342" s="1757"/>
      <c r="M342" s="1758"/>
      <c r="N342" s="1758"/>
      <c r="O342" s="1759"/>
      <c r="P342" s="1731"/>
      <c r="R342" s="18"/>
      <c r="S342" s="962">
        <f>E342</f>
        <v>0</v>
      </c>
      <c r="T342" s="960">
        <f>LARGE($S$342:$S$367,1)</f>
        <v>0</v>
      </c>
      <c r="U342" s="684">
        <f>T342+T343*(1-T342)</f>
        <v>0</v>
      </c>
      <c r="V342" s="962">
        <f>ROUND(U342,2)</f>
        <v>0</v>
      </c>
      <c r="W342" s="950">
        <f>IF(OR(P215&gt;0,P216&gt;0,P217&gt;0,P218&gt;0,P219&gt;0,P234&gt;0),1,0)</f>
        <v>0</v>
      </c>
      <c r="X342" s="18"/>
      <c r="Y342" s="954">
        <f>IF(P427&gt;0,0,IF(OR(AC223&gt;0,AC229&gt;0),1,0))</f>
        <v>0</v>
      </c>
      <c r="Z342" s="3" t="s">
        <v>1801</v>
      </c>
      <c r="AA342" s="18"/>
      <c r="AB342" s="63"/>
      <c r="AC342" s="63"/>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4"/>
      <c r="BR342" s="14"/>
      <c r="BS342" s="14"/>
      <c r="BT342" s="14"/>
      <c r="BU342" s="14"/>
      <c r="BV342" s="14"/>
      <c r="BW342" s="14"/>
      <c r="BX342" s="14"/>
      <c r="BY342" s="14"/>
      <c r="BZ342" s="14"/>
      <c r="CA342" s="14"/>
      <c r="CB342" s="14"/>
      <c r="CC342" s="14"/>
      <c r="CD342" s="14"/>
      <c r="CE342" s="14"/>
      <c r="CF342" s="14"/>
      <c r="CG342" s="14"/>
      <c r="CH342" s="14"/>
      <c r="CI342" s="14"/>
      <c r="CJ342" s="14"/>
      <c r="CK342" s="14"/>
      <c r="CL342" s="14"/>
      <c r="CM342" s="14"/>
      <c r="CN342" s="14"/>
      <c r="CO342" s="14"/>
      <c r="CP342" s="14"/>
      <c r="CQ342" s="14"/>
      <c r="CR342" s="14"/>
      <c r="CS342" s="14"/>
      <c r="CT342" s="14"/>
      <c r="CU342" s="14"/>
      <c r="CV342" s="14"/>
      <c r="CW342" s="14"/>
      <c r="CX342" s="14"/>
      <c r="CY342" s="14"/>
      <c r="CZ342" s="14"/>
      <c r="DA342" s="14"/>
      <c r="DB342" s="14"/>
      <c r="DC342" s="14"/>
      <c r="DD342" s="14"/>
      <c r="DE342" s="14"/>
      <c r="DF342" s="14"/>
      <c r="DG342" s="14"/>
      <c r="DH342" s="14"/>
      <c r="DI342" s="14"/>
      <c r="DJ342" s="14"/>
      <c r="DK342" s="14"/>
      <c r="DL342" s="14"/>
      <c r="DM342" s="14"/>
      <c r="DN342" s="14"/>
      <c r="DO342" s="14"/>
      <c r="DP342" s="14"/>
      <c r="DQ342" s="14"/>
      <c r="DR342" s="14"/>
      <c r="DS342" s="14"/>
      <c r="DT342" s="14"/>
      <c r="DU342" s="14"/>
      <c r="DV342" s="14"/>
      <c r="DW342" s="14"/>
      <c r="DX342" s="14"/>
      <c r="DY342" s="14"/>
      <c r="DZ342" s="14"/>
      <c r="EA342" s="14"/>
      <c r="EB342" s="14"/>
      <c r="EC342" s="14"/>
      <c r="ED342" s="14"/>
      <c r="EE342" s="14"/>
      <c r="EF342" s="14"/>
      <c r="EG342" s="14"/>
      <c r="EH342" s="14"/>
      <c r="EI342" s="14"/>
      <c r="EJ342" s="14"/>
      <c r="EK342" s="14"/>
      <c r="EL342" s="14"/>
      <c r="EM342" s="14"/>
      <c r="EN342" s="14"/>
      <c r="EO342" s="14"/>
      <c r="EP342" s="14"/>
      <c r="EQ342" s="14"/>
      <c r="ER342" s="14"/>
      <c r="ES342" s="14"/>
      <c r="ET342" s="14"/>
      <c r="EU342" s="14"/>
      <c r="EV342" s="14"/>
      <c r="EW342" s="14"/>
      <c r="EX342" s="14"/>
      <c r="EY342" s="14"/>
      <c r="EZ342" s="14"/>
      <c r="FA342" s="14"/>
      <c r="FB342" s="14"/>
      <c r="FC342" s="14"/>
      <c r="FD342" s="14"/>
      <c r="FE342" s="14"/>
      <c r="FF342" s="14"/>
      <c r="FG342" s="14"/>
      <c r="FH342" s="14"/>
      <c r="FI342" s="14"/>
      <c r="FJ342" s="14"/>
      <c r="FK342" s="14"/>
      <c r="FL342" s="14"/>
      <c r="FM342" s="14"/>
      <c r="FN342" s="14"/>
      <c r="FO342" s="14"/>
      <c r="FP342" s="14"/>
      <c r="FQ342" s="14"/>
      <c r="FR342" s="14"/>
      <c r="FS342" s="14"/>
      <c r="FT342" s="14"/>
      <c r="FU342" s="14"/>
      <c r="FV342" s="14"/>
      <c r="FW342" s="14"/>
      <c r="FX342" s="14"/>
      <c r="FY342" s="14"/>
      <c r="FZ342" s="14"/>
      <c r="GA342" s="14"/>
      <c r="GB342" s="14"/>
      <c r="GC342" s="14"/>
      <c r="GD342" s="14"/>
      <c r="GE342" s="14"/>
      <c r="GF342" s="14"/>
      <c r="GG342" s="14"/>
      <c r="GH342" s="14"/>
      <c r="GI342" s="14"/>
      <c r="GJ342" s="14"/>
      <c r="GK342" s="14"/>
      <c r="GL342" s="14"/>
      <c r="GM342" s="14"/>
      <c r="GN342" s="14"/>
      <c r="GO342" s="14"/>
      <c r="GP342" s="14"/>
      <c r="GQ342" s="14"/>
      <c r="GR342" s="14"/>
      <c r="GS342" s="14"/>
      <c r="GT342" s="14"/>
      <c r="GU342" s="14"/>
      <c r="GV342" s="14"/>
      <c r="GW342" s="14"/>
      <c r="GX342" s="14"/>
      <c r="GY342" s="14"/>
      <c r="GZ342" s="14"/>
      <c r="HA342" s="14"/>
      <c r="HB342" s="14"/>
      <c r="HC342" s="14"/>
      <c r="HD342" s="14"/>
      <c r="HE342" s="14"/>
      <c r="HF342" s="14"/>
      <c r="HG342" s="14"/>
      <c r="HH342" s="14"/>
      <c r="HI342" s="14"/>
      <c r="HJ342" s="14"/>
      <c r="HK342" s="14"/>
      <c r="HL342" s="14"/>
      <c r="HM342" s="14"/>
      <c r="HN342" s="14"/>
      <c r="HO342" s="14"/>
      <c r="HP342" s="14"/>
      <c r="HQ342" s="14"/>
      <c r="HR342" s="14"/>
      <c r="HS342" s="14"/>
      <c r="HT342" s="14"/>
    </row>
    <row r="343" spans="2:228" ht="15" customHeight="1" x14ac:dyDescent="0.2">
      <c r="B343" s="269" t="s">
        <v>1895</v>
      </c>
      <c r="C343" s="269"/>
      <c r="D343" s="269"/>
      <c r="E343" s="1342">
        <f t="shared" si="48"/>
        <v>0</v>
      </c>
      <c r="F343" s="1344"/>
      <c r="G343" s="1702" t="s">
        <v>1942</v>
      </c>
      <c r="H343" s="1627"/>
      <c r="I343" s="1628"/>
      <c r="J343" s="1851"/>
      <c r="K343" s="2043"/>
      <c r="L343" s="1760"/>
      <c r="M343" s="1761"/>
      <c r="N343" s="1761"/>
      <c r="O343" s="1762"/>
      <c r="P343" s="1731"/>
      <c r="R343" s="18"/>
      <c r="S343" s="962">
        <f t="shared" ref="S343:S352" si="49">E343</f>
        <v>0</v>
      </c>
      <c r="T343" s="960">
        <f>LARGE($S$342:$S$367,2)</f>
        <v>0</v>
      </c>
      <c r="U343" s="684">
        <f>V342+T344*(1-V342)</f>
        <v>0</v>
      </c>
      <c r="V343" s="962">
        <f>ROUND(U343,2)</f>
        <v>0</v>
      </c>
      <c r="W343" s="950" t="s">
        <v>1899</v>
      </c>
      <c r="X343" s="18"/>
      <c r="Y343" s="18"/>
      <c r="Z343" s="18"/>
      <c r="AA343" s="18"/>
      <c r="AB343" s="63"/>
      <c r="AC343" s="63"/>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4"/>
      <c r="BR343" s="14"/>
      <c r="BS343" s="14"/>
      <c r="BT343" s="14"/>
      <c r="BU343" s="14"/>
      <c r="BV343" s="14"/>
      <c r="BW343" s="14"/>
      <c r="BX343" s="14"/>
      <c r="BY343" s="14"/>
      <c r="BZ343" s="14"/>
      <c r="CA343" s="14"/>
      <c r="CB343" s="14"/>
      <c r="CC343" s="14"/>
      <c r="CD343" s="14"/>
      <c r="CE343" s="14"/>
      <c r="CF343" s="14"/>
      <c r="CG343" s="14"/>
      <c r="CH343" s="14"/>
      <c r="CI343" s="14"/>
      <c r="CJ343" s="14"/>
      <c r="CK343" s="14"/>
      <c r="CL343" s="14"/>
      <c r="CM343" s="14"/>
      <c r="CN343" s="14"/>
      <c r="CO343" s="14"/>
      <c r="CP343" s="14"/>
      <c r="CQ343" s="14"/>
      <c r="CR343" s="14"/>
      <c r="CS343" s="14"/>
      <c r="CT343" s="14"/>
      <c r="CU343" s="14"/>
      <c r="CV343" s="14"/>
      <c r="CW343" s="14"/>
      <c r="CX343" s="14"/>
      <c r="CY343" s="14"/>
      <c r="CZ343" s="14"/>
      <c r="DA343" s="14"/>
      <c r="DB343" s="14"/>
      <c r="DC343" s="14"/>
      <c r="DD343" s="14"/>
      <c r="DE343" s="14"/>
      <c r="DF343" s="14"/>
      <c r="DG343" s="14"/>
      <c r="DH343" s="14"/>
      <c r="DI343" s="14"/>
      <c r="DJ343" s="14"/>
      <c r="DK343" s="14"/>
      <c r="DL343" s="14"/>
      <c r="DM343" s="14"/>
      <c r="DN343" s="14"/>
      <c r="DO343" s="14"/>
      <c r="DP343" s="14"/>
      <c r="DQ343" s="14"/>
      <c r="DR343" s="14"/>
      <c r="DS343" s="14"/>
      <c r="DT343" s="14"/>
      <c r="DU343" s="14"/>
      <c r="DV343" s="14"/>
      <c r="DW343" s="14"/>
      <c r="DX343" s="14"/>
      <c r="DY343" s="14"/>
      <c r="DZ343" s="14"/>
      <c r="EA343" s="14"/>
      <c r="EB343" s="14"/>
      <c r="EC343" s="14"/>
      <c r="ED343" s="14"/>
      <c r="EE343" s="14"/>
      <c r="EF343" s="14"/>
      <c r="EG343" s="14"/>
      <c r="EH343" s="14"/>
      <c r="EI343" s="14"/>
      <c r="EJ343" s="14"/>
      <c r="EK343" s="14"/>
      <c r="EL343" s="14"/>
      <c r="EM343" s="14"/>
      <c r="EN343" s="14"/>
      <c r="EO343" s="14"/>
      <c r="EP343" s="14"/>
      <c r="EQ343" s="14"/>
      <c r="ER343" s="14"/>
      <c r="ES343" s="14"/>
      <c r="ET343" s="14"/>
      <c r="EU343" s="14"/>
      <c r="EV343" s="14"/>
      <c r="EW343" s="14"/>
      <c r="EX343" s="14"/>
      <c r="EY343" s="14"/>
      <c r="EZ343" s="14"/>
      <c r="FA343" s="14"/>
      <c r="FB343" s="14"/>
      <c r="FC343" s="14"/>
      <c r="FD343" s="14"/>
      <c r="FE343" s="14"/>
      <c r="FF343" s="14"/>
      <c r="FG343" s="14"/>
      <c r="FH343" s="14"/>
      <c r="FI343" s="14"/>
      <c r="FJ343" s="14"/>
      <c r="FK343" s="14"/>
      <c r="FL343" s="14"/>
      <c r="FM343" s="14"/>
      <c r="FN343" s="14"/>
      <c r="FO343" s="14"/>
      <c r="FP343" s="14"/>
      <c r="FQ343" s="14"/>
      <c r="FR343" s="14"/>
      <c r="FS343" s="14"/>
      <c r="FT343" s="14"/>
      <c r="FU343" s="14"/>
      <c r="FV343" s="14"/>
      <c r="FW343" s="14"/>
      <c r="FX343" s="14"/>
      <c r="FY343" s="14"/>
      <c r="FZ343" s="14"/>
      <c r="GA343" s="14"/>
      <c r="GB343" s="14"/>
      <c r="GC343" s="14"/>
      <c r="GD343" s="14"/>
      <c r="GE343" s="14"/>
      <c r="GF343" s="14"/>
      <c r="GG343" s="14"/>
      <c r="GH343" s="14"/>
      <c r="GI343" s="14"/>
      <c r="GJ343" s="14"/>
      <c r="GK343" s="14"/>
      <c r="GL343" s="14"/>
      <c r="GM343" s="14"/>
      <c r="GN343" s="14"/>
      <c r="GO343" s="14"/>
      <c r="GP343" s="14"/>
      <c r="GQ343" s="14"/>
      <c r="GR343" s="14"/>
      <c r="GS343" s="14"/>
      <c r="GT343" s="14"/>
      <c r="GU343" s="14"/>
      <c r="GV343" s="14"/>
      <c r="GW343" s="14"/>
      <c r="GX343" s="14"/>
      <c r="GY343" s="14"/>
      <c r="GZ343" s="14"/>
      <c r="HA343" s="14"/>
      <c r="HB343" s="14"/>
      <c r="HC343" s="14"/>
      <c r="HD343" s="14"/>
      <c r="HE343" s="14"/>
      <c r="HF343" s="14"/>
      <c r="HG343" s="14"/>
      <c r="HH343" s="14"/>
      <c r="HI343" s="14"/>
      <c r="HJ343" s="14"/>
      <c r="HK343" s="14"/>
      <c r="HL343" s="14"/>
      <c r="HM343" s="14"/>
      <c r="HN343" s="14"/>
      <c r="HO343" s="14"/>
      <c r="HP343" s="14"/>
      <c r="HQ343" s="14"/>
      <c r="HR343" s="14"/>
      <c r="HS343" s="14"/>
      <c r="HT343" s="14"/>
    </row>
    <row r="344" spans="2:228" ht="15" customHeight="1" x14ac:dyDescent="0.2">
      <c r="B344" s="269" t="s">
        <v>1897</v>
      </c>
      <c r="C344" s="269"/>
      <c r="D344" s="269"/>
      <c r="E344" s="1342">
        <f t="shared" si="48"/>
        <v>0</v>
      </c>
      <c r="F344" s="1344"/>
      <c r="G344" s="1702" t="s">
        <v>1942</v>
      </c>
      <c r="H344" s="1627"/>
      <c r="I344" s="1628"/>
      <c r="J344" s="1851"/>
      <c r="K344" s="2043"/>
      <c r="L344" s="1760"/>
      <c r="M344" s="1761"/>
      <c r="N344" s="1761"/>
      <c r="O344" s="1762"/>
      <c r="P344" s="1731"/>
      <c r="R344" s="18"/>
      <c r="S344" s="962">
        <f t="shared" si="49"/>
        <v>0</v>
      </c>
      <c r="T344" s="960">
        <f>LARGE($S$342:$S$367,3)</f>
        <v>0</v>
      </c>
      <c r="U344" s="684">
        <f t="shared" ref="U344:U366" si="50">V343+T345*(1-V343)</f>
        <v>0</v>
      </c>
      <c r="V344" s="962">
        <f t="shared" ref="V344:V366" si="51">ROUND(U344,2)</f>
        <v>0</v>
      </c>
      <c r="W344" s="950">
        <f>IF(P337&gt;0,5,0)</f>
        <v>0</v>
      </c>
      <c r="X344" s="18"/>
      <c r="Y344" s="1120"/>
      <c r="Z344" s="1120"/>
      <c r="AA344" s="1120"/>
      <c r="AB344" s="63"/>
      <c r="AC344" s="63"/>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4"/>
      <c r="BR344" s="14"/>
      <c r="BS344" s="14"/>
      <c r="BT344" s="14"/>
      <c r="BU344" s="14"/>
      <c r="BV344" s="14"/>
      <c r="BW344" s="14"/>
      <c r="BX344" s="14"/>
      <c r="BY344" s="14"/>
      <c r="BZ344" s="14"/>
      <c r="CA344" s="14"/>
      <c r="CB344" s="14"/>
      <c r="CC344" s="14"/>
      <c r="CD344" s="14"/>
      <c r="CE344" s="14"/>
      <c r="CF344" s="14"/>
      <c r="CG344" s="14"/>
      <c r="CH344" s="14"/>
      <c r="CI344" s="14"/>
      <c r="CJ344" s="14"/>
      <c r="CK344" s="14"/>
      <c r="CL344" s="14"/>
      <c r="CM344" s="14"/>
      <c r="CN344" s="14"/>
      <c r="CO344" s="14"/>
      <c r="CP344" s="14"/>
      <c r="CQ344" s="14"/>
      <c r="CR344" s="14"/>
      <c r="CS344" s="14"/>
      <c r="CT344" s="14"/>
      <c r="CU344" s="14"/>
      <c r="CV344" s="14"/>
      <c r="CW344" s="14"/>
      <c r="CX344" s="14"/>
      <c r="CY344" s="14"/>
      <c r="CZ344" s="14"/>
      <c r="DA344" s="14"/>
      <c r="DB344" s="14"/>
      <c r="DC344" s="14"/>
      <c r="DD344" s="14"/>
      <c r="DE344" s="14"/>
      <c r="DF344" s="14"/>
      <c r="DG344" s="14"/>
      <c r="DH344" s="14"/>
      <c r="DI344" s="14"/>
      <c r="DJ344" s="14"/>
      <c r="DK344" s="14"/>
      <c r="DL344" s="14"/>
      <c r="DM344" s="14"/>
      <c r="DN344" s="14"/>
      <c r="DO344" s="14"/>
      <c r="DP344" s="14"/>
      <c r="DQ344" s="14"/>
      <c r="DR344" s="14"/>
      <c r="DS344" s="14"/>
      <c r="DT344" s="14"/>
      <c r="DU344" s="14"/>
      <c r="DV344" s="14"/>
      <c r="DW344" s="14"/>
      <c r="DX344" s="14"/>
      <c r="DY344" s="14"/>
      <c r="DZ344" s="14"/>
      <c r="EA344" s="14"/>
      <c r="EB344" s="14"/>
      <c r="EC344" s="14"/>
      <c r="ED344" s="14"/>
      <c r="EE344" s="14"/>
      <c r="EF344" s="14"/>
      <c r="EG344" s="14"/>
      <c r="EH344" s="14"/>
      <c r="EI344" s="14"/>
      <c r="EJ344" s="14"/>
      <c r="EK344" s="14"/>
      <c r="EL344" s="14"/>
      <c r="EM344" s="14"/>
      <c r="EN344" s="14"/>
      <c r="EO344" s="14"/>
      <c r="EP344" s="14"/>
      <c r="EQ344" s="14"/>
      <c r="ER344" s="14"/>
      <c r="ES344" s="14"/>
      <c r="ET344" s="14"/>
      <c r="EU344" s="14"/>
      <c r="EV344" s="14"/>
      <c r="EW344" s="14"/>
      <c r="EX344" s="14"/>
      <c r="EY344" s="14"/>
      <c r="EZ344" s="14"/>
      <c r="FA344" s="14"/>
      <c r="FB344" s="14"/>
      <c r="FC344" s="14"/>
      <c r="FD344" s="14"/>
      <c r="FE344" s="14"/>
      <c r="FF344" s="14"/>
      <c r="FG344" s="14"/>
      <c r="FH344" s="14"/>
      <c r="FI344" s="14"/>
      <c r="FJ344" s="14"/>
      <c r="FK344" s="14"/>
      <c r="FL344" s="14"/>
      <c r="FM344" s="14"/>
      <c r="FN344" s="14"/>
      <c r="FO344" s="14"/>
      <c r="FP344" s="14"/>
      <c r="FQ344" s="14"/>
      <c r="FR344" s="14"/>
      <c r="FS344" s="14"/>
      <c r="FT344" s="14"/>
      <c r="FU344" s="14"/>
      <c r="FV344" s="14"/>
      <c r="FW344" s="14"/>
      <c r="FX344" s="14"/>
      <c r="FY344" s="14"/>
      <c r="FZ344" s="14"/>
      <c r="GA344" s="14"/>
      <c r="GB344" s="14"/>
      <c r="GC344" s="14"/>
      <c r="GD344" s="14"/>
      <c r="GE344" s="14"/>
      <c r="GF344" s="14"/>
      <c r="GG344" s="14"/>
      <c r="GH344" s="14"/>
      <c r="GI344" s="14"/>
      <c r="GJ344" s="14"/>
      <c r="GK344" s="14"/>
      <c r="GL344" s="14"/>
      <c r="GM344" s="14"/>
      <c r="GN344" s="14"/>
      <c r="GO344" s="14"/>
      <c r="GP344" s="14"/>
      <c r="GQ344" s="14"/>
      <c r="GR344" s="14"/>
      <c r="GS344" s="14"/>
      <c r="GT344" s="14"/>
      <c r="GU344" s="14"/>
      <c r="GV344" s="14"/>
      <c r="GW344" s="14"/>
      <c r="GX344" s="14"/>
      <c r="GY344" s="14"/>
      <c r="GZ344" s="14"/>
      <c r="HA344" s="14"/>
      <c r="HB344" s="14"/>
      <c r="HC344" s="14"/>
      <c r="HD344" s="14"/>
      <c r="HE344" s="14"/>
      <c r="HF344" s="14"/>
      <c r="HG344" s="14"/>
      <c r="HH344" s="14"/>
      <c r="HI344" s="14"/>
      <c r="HJ344" s="14"/>
      <c r="HK344" s="14"/>
      <c r="HL344" s="14"/>
      <c r="HM344" s="14"/>
      <c r="HN344" s="14"/>
      <c r="HO344" s="14"/>
      <c r="HP344" s="14"/>
      <c r="HQ344" s="14"/>
      <c r="HR344" s="14"/>
      <c r="HS344" s="14"/>
      <c r="HT344" s="14"/>
    </row>
    <row r="345" spans="2:228" ht="15" customHeight="1" x14ac:dyDescent="0.2">
      <c r="B345" s="269" t="s">
        <v>1898</v>
      </c>
      <c r="C345" s="269"/>
      <c r="D345" s="269"/>
      <c r="E345" s="1342">
        <f t="shared" si="48"/>
        <v>0</v>
      </c>
      <c r="F345" s="1344"/>
      <c r="G345" s="1702" t="s">
        <v>1942</v>
      </c>
      <c r="H345" s="1627"/>
      <c r="I345" s="1628"/>
      <c r="J345" s="1851"/>
      <c r="K345" s="2043"/>
      <c r="L345" s="1760"/>
      <c r="M345" s="1761"/>
      <c r="N345" s="1761"/>
      <c r="O345" s="1762"/>
      <c r="P345" s="1731"/>
      <c r="R345" s="18"/>
      <c r="S345" s="962">
        <f t="shared" si="49"/>
        <v>0</v>
      </c>
      <c r="T345" s="960">
        <f>LARGE($S$342:$S$367,4)</f>
        <v>0</v>
      </c>
      <c r="U345" s="684">
        <f t="shared" si="50"/>
        <v>0</v>
      </c>
      <c r="V345" s="962">
        <f t="shared" si="51"/>
        <v>0</v>
      </c>
      <c r="W345" s="963" t="s">
        <v>596</v>
      </c>
      <c r="X345" s="18"/>
      <c r="Y345" s="1120"/>
      <c r="Z345" s="1120"/>
      <c r="AA345" s="1120"/>
      <c r="AB345" s="63"/>
      <c r="AC345" s="63"/>
      <c r="AD345" s="63"/>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4"/>
      <c r="BR345" s="14"/>
      <c r="BS345" s="14"/>
      <c r="BT345" s="14"/>
      <c r="BU345" s="14"/>
      <c r="BV345" s="14"/>
      <c r="BW345" s="14"/>
      <c r="BX345" s="14"/>
      <c r="BY345" s="14"/>
      <c r="BZ345" s="14"/>
      <c r="CA345" s="14"/>
      <c r="CB345" s="14"/>
      <c r="CC345" s="14"/>
      <c r="CD345" s="14"/>
      <c r="CE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c r="EV345" s="14"/>
      <c r="EW345" s="14"/>
      <c r="EX345" s="14"/>
      <c r="EY345" s="14"/>
      <c r="EZ345" s="14"/>
      <c r="FA345" s="14"/>
      <c r="FB345" s="14"/>
      <c r="FC345" s="14"/>
      <c r="FD345" s="14"/>
      <c r="FE345" s="14"/>
      <c r="FF345" s="14"/>
      <c r="FG345" s="14"/>
      <c r="FH345" s="14"/>
      <c r="FI345" s="14"/>
      <c r="FJ345" s="14"/>
      <c r="FK345" s="14"/>
      <c r="FL345" s="14"/>
      <c r="FM345" s="14"/>
      <c r="FN345" s="14"/>
      <c r="FO345" s="14"/>
      <c r="FP345" s="14"/>
      <c r="FQ345" s="14"/>
      <c r="FR345" s="14"/>
      <c r="FS345" s="14"/>
      <c r="FT345" s="14"/>
      <c r="FU345" s="14"/>
      <c r="FV345" s="14"/>
      <c r="FW345" s="14"/>
      <c r="FX345" s="14"/>
      <c r="FY345" s="14"/>
      <c r="FZ345" s="14"/>
      <c r="GA345" s="14"/>
      <c r="GB345" s="14"/>
      <c r="GC345" s="14"/>
      <c r="GD345" s="14"/>
      <c r="GE345" s="14"/>
      <c r="GF345" s="14"/>
      <c r="GG345" s="14"/>
      <c r="GH345" s="14"/>
      <c r="GI345" s="14"/>
      <c r="GJ345" s="14"/>
      <c r="GK345" s="14"/>
      <c r="GL345" s="14"/>
      <c r="GM345" s="14"/>
      <c r="GN345" s="14"/>
      <c r="GO345" s="14"/>
      <c r="GP345" s="14"/>
      <c r="GQ345" s="14"/>
      <c r="GR345" s="14"/>
      <c r="GS345" s="14"/>
      <c r="GT345" s="14"/>
      <c r="GU345" s="14"/>
      <c r="GV345" s="14"/>
      <c r="GW345" s="14"/>
      <c r="GX345" s="14"/>
      <c r="GY345" s="14"/>
      <c r="GZ345" s="14"/>
      <c r="HA345" s="14"/>
      <c r="HB345" s="14"/>
      <c r="HC345" s="14"/>
      <c r="HD345" s="14"/>
      <c r="HE345" s="14"/>
      <c r="HF345" s="14"/>
      <c r="HG345" s="14"/>
      <c r="HH345" s="14"/>
      <c r="HI345" s="14"/>
      <c r="HJ345" s="14"/>
      <c r="HK345" s="14"/>
      <c r="HL345" s="14"/>
      <c r="HM345" s="14"/>
      <c r="HN345" s="14"/>
      <c r="HO345" s="14"/>
      <c r="HP345" s="14"/>
      <c r="HQ345" s="14"/>
      <c r="HR345" s="14"/>
      <c r="HS345" s="14"/>
      <c r="HT345" s="14"/>
    </row>
    <row r="346" spans="2:228" ht="15" customHeight="1" x14ac:dyDescent="0.2">
      <c r="B346" s="269" t="s">
        <v>1900</v>
      </c>
      <c r="C346" s="269"/>
      <c r="D346" s="269"/>
      <c r="E346" s="1342">
        <f t="shared" si="48"/>
        <v>0</v>
      </c>
      <c r="F346" s="1344"/>
      <c r="G346" s="1702" t="s">
        <v>1942</v>
      </c>
      <c r="H346" s="1627"/>
      <c r="I346" s="1628"/>
      <c r="J346" s="1851"/>
      <c r="K346" s="2043"/>
      <c r="L346" s="2018"/>
      <c r="M346" s="2019"/>
      <c r="N346" s="2019"/>
      <c r="O346" s="2020"/>
      <c r="P346" s="1731"/>
      <c r="R346" s="18"/>
      <c r="S346" s="962">
        <f t="shared" si="49"/>
        <v>0</v>
      </c>
      <c r="T346" s="960">
        <f>LARGE($S$342:$S$367,5)</f>
        <v>0</v>
      </c>
      <c r="U346" s="684">
        <f t="shared" si="50"/>
        <v>0</v>
      </c>
      <c r="V346" s="962">
        <f t="shared" si="51"/>
        <v>0</v>
      </c>
      <c r="W346" s="950">
        <f>IF(P267&gt;0,1,0)</f>
        <v>0</v>
      </c>
      <c r="X346" s="18"/>
      <c r="Y346" s="1120"/>
      <c r="Z346" s="1120"/>
      <c r="AA346" s="1120"/>
      <c r="AB346" s="63"/>
      <c r="AC346" s="63"/>
      <c r="AD346" s="63"/>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4"/>
      <c r="BR346" s="14"/>
      <c r="BS346" s="14"/>
      <c r="BT346" s="14"/>
      <c r="BU346" s="14"/>
      <c r="BV346" s="14"/>
      <c r="BW346" s="14"/>
      <c r="BX346" s="14"/>
      <c r="BY346" s="14"/>
      <c r="BZ346" s="14"/>
      <c r="CA346" s="14"/>
      <c r="CB346" s="14"/>
      <c r="CC346" s="14"/>
      <c r="CD346" s="14"/>
      <c r="CE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c r="EV346" s="14"/>
      <c r="EW346" s="14"/>
      <c r="EX346" s="14"/>
      <c r="EY346" s="14"/>
      <c r="EZ346" s="14"/>
      <c r="FA346" s="14"/>
      <c r="FB346" s="14"/>
      <c r="FC346" s="14"/>
      <c r="FD346" s="14"/>
      <c r="FE346" s="14"/>
      <c r="FF346" s="14"/>
      <c r="FG346" s="14"/>
      <c r="FH346" s="14"/>
      <c r="FI346" s="14"/>
      <c r="FJ346" s="14"/>
      <c r="FK346" s="14"/>
      <c r="FL346" s="14"/>
      <c r="FM346" s="14"/>
      <c r="FN346" s="14"/>
      <c r="FO346" s="14"/>
      <c r="FP346" s="14"/>
      <c r="FQ346" s="14"/>
      <c r="FR346" s="14"/>
      <c r="FS346" s="14"/>
      <c r="FT346" s="14"/>
      <c r="FU346" s="14"/>
      <c r="FV346" s="14"/>
      <c r="FW346" s="14"/>
      <c r="FX346" s="14"/>
      <c r="FY346" s="14"/>
      <c r="FZ346" s="14"/>
      <c r="GA346" s="14"/>
      <c r="GB346" s="14"/>
      <c r="GC346" s="14"/>
      <c r="GD346" s="14"/>
      <c r="GE346" s="14"/>
      <c r="GF346" s="14"/>
      <c r="GG346" s="14"/>
      <c r="GH346" s="14"/>
      <c r="GI346" s="14"/>
      <c r="GJ346" s="14"/>
      <c r="GK346" s="14"/>
      <c r="GL346" s="14"/>
      <c r="GM346" s="14"/>
      <c r="GN346" s="14"/>
      <c r="GO346" s="14"/>
      <c r="GP346" s="14"/>
      <c r="GQ346" s="14"/>
      <c r="GR346" s="14"/>
      <c r="GS346" s="14"/>
      <c r="GT346" s="14"/>
      <c r="GU346" s="14"/>
      <c r="GV346" s="14"/>
      <c r="GW346" s="14"/>
      <c r="GX346" s="14"/>
      <c r="GY346" s="14"/>
      <c r="GZ346" s="14"/>
      <c r="HA346" s="14"/>
      <c r="HB346" s="14"/>
      <c r="HC346" s="14"/>
      <c r="HD346" s="14"/>
      <c r="HE346" s="14"/>
      <c r="HF346" s="14"/>
      <c r="HG346" s="14"/>
      <c r="HH346" s="14"/>
      <c r="HI346" s="14"/>
      <c r="HJ346" s="14"/>
      <c r="HK346" s="14"/>
      <c r="HL346" s="14"/>
      <c r="HM346" s="14"/>
      <c r="HN346" s="14"/>
      <c r="HO346" s="14"/>
      <c r="HP346" s="14"/>
      <c r="HQ346" s="14"/>
      <c r="HR346" s="14"/>
      <c r="HS346" s="14"/>
      <c r="HT346" s="14"/>
    </row>
    <row r="347" spans="2:228" ht="15" customHeight="1" x14ac:dyDescent="0.2">
      <c r="B347" s="269" t="s">
        <v>1901</v>
      </c>
      <c r="C347" s="269"/>
      <c r="D347" s="269"/>
      <c r="E347" s="1342">
        <f t="shared" si="48"/>
        <v>0</v>
      </c>
      <c r="F347" s="1344"/>
      <c r="G347" s="1702" t="s">
        <v>1942</v>
      </c>
      <c r="H347" s="1627"/>
      <c r="I347" s="1628"/>
      <c r="J347" s="1851"/>
      <c r="K347" s="2043"/>
      <c r="L347" s="1760"/>
      <c r="M347" s="1761"/>
      <c r="N347" s="1761"/>
      <c r="O347" s="1762"/>
      <c r="P347" s="1731"/>
      <c r="R347" s="18"/>
      <c r="S347" s="962">
        <f t="shared" si="49"/>
        <v>0</v>
      </c>
      <c r="T347" s="960">
        <f>LARGE($S$342:$S$367,6)</f>
        <v>0</v>
      </c>
      <c r="U347" s="684">
        <f t="shared" si="50"/>
        <v>0</v>
      </c>
      <c r="V347" s="962">
        <f t="shared" si="51"/>
        <v>0</v>
      </c>
      <c r="W347" s="950" t="s">
        <v>1902</v>
      </c>
      <c r="X347" s="18"/>
      <c r="Y347" s="1120"/>
      <c r="Z347" s="1120"/>
      <c r="AA347" s="1120"/>
      <c r="AB347" s="63"/>
      <c r="AC347" s="63"/>
      <c r="AD347" s="63"/>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4"/>
      <c r="BR347" s="14"/>
      <c r="BS347" s="14"/>
      <c r="BT347" s="14"/>
      <c r="BU347" s="14"/>
      <c r="BV347" s="14"/>
      <c r="BW347" s="14"/>
      <c r="BX347" s="14"/>
      <c r="BY347" s="14"/>
      <c r="BZ347" s="14"/>
      <c r="CA347" s="14"/>
      <c r="CB347" s="14"/>
      <c r="CC347" s="14"/>
      <c r="CD347" s="14"/>
      <c r="CE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c r="EV347" s="14"/>
      <c r="EW347" s="14"/>
      <c r="EX347" s="14"/>
      <c r="EY347" s="14"/>
      <c r="EZ347" s="14"/>
      <c r="FA347" s="14"/>
      <c r="FB347" s="14"/>
      <c r="FC347" s="14"/>
      <c r="FD347" s="14"/>
      <c r="FE347" s="14"/>
      <c r="FF347" s="14"/>
      <c r="FG347" s="14"/>
      <c r="FH347" s="14"/>
      <c r="FI347" s="14"/>
      <c r="FJ347" s="14"/>
      <c r="FK347" s="14"/>
      <c r="FL347" s="14"/>
      <c r="FM347" s="14"/>
      <c r="FN347" s="14"/>
      <c r="FO347" s="14"/>
      <c r="FP347" s="14"/>
      <c r="FQ347" s="14"/>
      <c r="FR347" s="14"/>
      <c r="FS347" s="14"/>
      <c r="FT347" s="14"/>
      <c r="FU347" s="14"/>
      <c r="FV347" s="14"/>
      <c r="FW347" s="14"/>
      <c r="FX347" s="14"/>
      <c r="FY347" s="14"/>
      <c r="FZ347" s="14"/>
      <c r="GA347" s="14"/>
      <c r="GB347" s="14"/>
      <c r="GC347" s="14"/>
      <c r="GD347" s="14"/>
      <c r="GE347" s="14"/>
      <c r="GF347" s="14"/>
      <c r="GG347" s="14"/>
      <c r="GH347" s="14"/>
      <c r="GI347" s="14"/>
      <c r="GJ347" s="14"/>
      <c r="GK347" s="14"/>
      <c r="GL347" s="14"/>
      <c r="GM347" s="14"/>
      <c r="GN347" s="14"/>
      <c r="GO347" s="14"/>
      <c r="GP347" s="14"/>
      <c r="GQ347" s="14"/>
      <c r="GR347" s="14"/>
      <c r="GS347" s="14"/>
      <c r="GT347" s="14"/>
      <c r="GU347" s="14"/>
      <c r="GV347" s="14"/>
      <c r="GW347" s="14"/>
      <c r="GX347" s="14"/>
      <c r="GY347" s="14"/>
      <c r="GZ347" s="14"/>
      <c r="HA347" s="14"/>
      <c r="HB347" s="14"/>
      <c r="HC347" s="14"/>
      <c r="HD347" s="14"/>
      <c r="HE347" s="14"/>
      <c r="HF347" s="14"/>
      <c r="HG347" s="14"/>
      <c r="HH347" s="14"/>
      <c r="HI347" s="14"/>
      <c r="HJ347" s="14"/>
      <c r="HK347" s="14"/>
      <c r="HL347" s="14"/>
      <c r="HM347" s="14"/>
      <c r="HN347" s="14"/>
      <c r="HO347" s="14"/>
      <c r="HP347" s="14"/>
      <c r="HQ347" s="14"/>
      <c r="HR347" s="14"/>
      <c r="HS347" s="14"/>
      <c r="HT347" s="14"/>
    </row>
    <row r="348" spans="2:228" ht="15" customHeight="1" x14ac:dyDescent="0.2">
      <c r="B348" s="1843" t="s">
        <v>1903</v>
      </c>
      <c r="C348" s="1844"/>
      <c r="D348" s="1845"/>
      <c r="E348" s="1342">
        <f>IF(P427&gt;0,0,P215)</f>
        <v>0</v>
      </c>
      <c r="F348" s="1344"/>
      <c r="G348" s="1702" t="s">
        <v>1942</v>
      </c>
      <c r="H348" s="1627"/>
      <c r="I348" s="1628"/>
      <c r="J348" s="1851"/>
      <c r="K348" s="2043"/>
      <c r="L348" s="1760"/>
      <c r="M348" s="1761"/>
      <c r="N348" s="1761"/>
      <c r="O348" s="1762"/>
      <c r="P348" s="1731"/>
      <c r="R348" s="18"/>
      <c r="S348" s="962">
        <f t="shared" si="49"/>
        <v>0</v>
      </c>
      <c r="T348" s="960">
        <f>LARGE($S$342:$S$367,7)</f>
        <v>0</v>
      </c>
      <c r="U348" s="684">
        <f t="shared" si="50"/>
        <v>0</v>
      </c>
      <c r="V348" s="962">
        <f t="shared" si="51"/>
        <v>0</v>
      </c>
      <c r="W348" s="950">
        <f>SUM(W342,W344,W346)</f>
        <v>0</v>
      </c>
      <c r="X348" s="18"/>
      <c r="Y348" s="1120"/>
      <c r="Z348" s="1120"/>
      <c r="AA348" s="1120"/>
      <c r="AB348" s="63"/>
      <c r="AC348" s="63"/>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4"/>
      <c r="BR348" s="14"/>
      <c r="BS348" s="14"/>
      <c r="BT348" s="14"/>
      <c r="BU348" s="14"/>
      <c r="BV348" s="14"/>
      <c r="BW348" s="14"/>
      <c r="BX348" s="14"/>
      <c r="BY348" s="14"/>
      <c r="BZ348" s="14"/>
      <c r="CA348" s="14"/>
      <c r="CB348" s="14"/>
      <c r="CC348" s="14"/>
      <c r="CD348" s="14"/>
      <c r="CE348" s="14"/>
      <c r="CF348" s="14"/>
      <c r="CG348" s="14"/>
      <c r="CH348" s="14"/>
      <c r="CI348" s="14"/>
      <c r="CJ348" s="14"/>
      <c r="CK348" s="14"/>
      <c r="CL348" s="14"/>
      <c r="CM348" s="14"/>
      <c r="CN348" s="14"/>
      <c r="CO348" s="14"/>
      <c r="CP348" s="14"/>
      <c r="CQ348" s="14"/>
      <c r="CR348" s="14"/>
      <c r="CS348" s="14"/>
      <c r="CT348" s="14"/>
      <c r="CU348" s="14"/>
      <c r="CV348" s="14"/>
      <c r="CW348" s="14"/>
      <c r="CX348" s="14"/>
      <c r="CY348" s="14"/>
      <c r="CZ348" s="14"/>
      <c r="DA348" s="14"/>
      <c r="DB348" s="14"/>
      <c r="DC348" s="14"/>
      <c r="DD348" s="14"/>
      <c r="DE348" s="14"/>
      <c r="DF348" s="14"/>
      <c r="DG348" s="14"/>
      <c r="DH348" s="14"/>
      <c r="DI348" s="14"/>
      <c r="DJ348" s="14"/>
      <c r="DK348" s="14"/>
      <c r="DL348" s="14"/>
      <c r="DM348" s="14"/>
      <c r="DN348" s="14"/>
      <c r="DO348" s="14"/>
      <c r="DP348" s="14"/>
      <c r="DQ348" s="14"/>
      <c r="DR348" s="14"/>
      <c r="DS348" s="14"/>
      <c r="DT348" s="14"/>
      <c r="DU348" s="14"/>
      <c r="DV348" s="14"/>
      <c r="DW348" s="14"/>
      <c r="DX348" s="14"/>
      <c r="DY348" s="14"/>
      <c r="DZ348" s="14"/>
      <c r="EA348" s="14"/>
      <c r="EB348" s="14"/>
      <c r="EC348" s="14"/>
      <c r="ED348" s="14"/>
      <c r="EE348" s="14"/>
      <c r="EF348" s="14"/>
      <c r="EG348" s="14"/>
      <c r="EH348" s="14"/>
      <c r="EI348" s="14"/>
      <c r="EJ348" s="14"/>
      <c r="EK348" s="14"/>
      <c r="EL348" s="14"/>
      <c r="EM348" s="14"/>
      <c r="EN348" s="14"/>
      <c r="EO348" s="14"/>
      <c r="EP348" s="14"/>
      <c r="EQ348" s="14"/>
      <c r="ER348" s="14"/>
      <c r="ES348" s="14"/>
      <c r="ET348" s="14"/>
      <c r="EU348" s="14"/>
      <c r="EV348" s="14"/>
      <c r="EW348" s="14"/>
      <c r="EX348" s="14"/>
      <c r="EY348" s="14"/>
      <c r="EZ348" s="14"/>
      <c r="FA348" s="14"/>
      <c r="FB348" s="14"/>
      <c r="FC348" s="14"/>
      <c r="FD348" s="14"/>
      <c r="FE348" s="14"/>
      <c r="FF348" s="14"/>
      <c r="FG348" s="14"/>
      <c r="FH348" s="14"/>
      <c r="FI348" s="14"/>
      <c r="FJ348" s="14"/>
      <c r="FK348" s="14"/>
      <c r="FL348" s="14"/>
      <c r="FM348" s="14"/>
      <c r="FN348" s="14"/>
      <c r="FO348" s="14"/>
      <c r="FP348" s="14"/>
      <c r="FQ348" s="14"/>
      <c r="FR348" s="14"/>
      <c r="FS348" s="14"/>
      <c r="FT348" s="14"/>
      <c r="FU348" s="14"/>
      <c r="FV348" s="14"/>
      <c r="FW348" s="14"/>
      <c r="FX348" s="14"/>
      <c r="FY348" s="14"/>
      <c r="FZ348" s="14"/>
      <c r="GA348" s="14"/>
      <c r="GB348" s="14"/>
      <c r="GC348" s="14"/>
      <c r="GD348" s="14"/>
      <c r="GE348" s="14"/>
      <c r="GF348" s="14"/>
      <c r="GG348" s="14"/>
      <c r="GH348" s="14"/>
      <c r="GI348" s="14"/>
      <c r="GJ348" s="14"/>
      <c r="GK348" s="14"/>
      <c r="GL348" s="14"/>
      <c r="GM348" s="14"/>
      <c r="GN348" s="14"/>
      <c r="GO348" s="14"/>
      <c r="GP348" s="14"/>
      <c r="GQ348" s="14"/>
      <c r="GR348" s="14"/>
      <c r="GS348" s="14"/>
      <c r="GT348" s="14"/>
      <c r="GU348" s="14"/>
      <c r="GV348" s="14"/>
      <c r="GW348" s="14"/>
      <c r="GX348" s="14"/>
      <c r="GY348" s="14"/>
      <c r="GZ348" s="14"/>
      <c r="HA348" s="14"/>
      <c r="HB348" s="14"/>
      <c r="HC348" s="14"/>
      <c r="HD348" s="14"/>
      <c r="HE348" s="14"/>
      <c r="HF348" s="14"/>
      <c r="HG348" s="14"/>
      <c r="HH348" s="14"/>
      <c r="HI348" s="14"/>
      <c r="HJ348" s="14"/>
      <c r="HK348" s="14"/>
      <c r="HL348" s="14"/>
      <c r="HM348" s="14"/>
      <c r="HN348" s="14"/>
      <c r="HO348" s="14"/>
      <c r="HP348" s="14"/>
      <c r="HQ348" s="14"/>
      <c r="HR348" s="14"/>
      <c r="HS348" s="14"/>
      <c r="HT348" s="14"/>
    </row>
    <row r="349" spans="2:228" ht="15" customHeight="1" x14ac:dyDescent="0.2">
      <c r="B349" s="1843" t="s">
        <v>1440</v>
      </c>
      <c r="C349" s="1844"/>
      <c r="D349" s="1845"/>
      <c r="E349" s="1342">
        <f>IF(P427&gt;0,0,P216)</f>
        <v>0</v>
      </c>
      <c r="F349" s="1344"/>
      <c r="G349" s="1702" t="s">
        <v>1942</v>
      </c>
      <c r="H349" s="1627"/>
      <c r="I349" s="1628"/>
      <c r="J349" s="1851"/>
      <c r="K349" s="2043"/>
      <c r="L349" s="1760"/>
      <c r="M349" s="1761"/>
      <c r="N349" s="1761"/>
      <c r="O349" s="1762"/>
      <c r="P349" s="1731"/>
      <c r="R349" s="18"/>
      <c r="S349" s="962">
        <f t="shared" si="49"/>
        <v>0</v>
      </c>
      <c r="T349" s="960">
        <f>LARGE($S$342:$S$367,8)</f>
        <v>0</v>
      </c>
      <c r="U349" s="684">
        <f t="shared" si="50"/>
        <v>0</v>
      </c>
      <c r="V349" s="962">
        <f t="shared" si="51"/>
        <v>0</v>
      </c>
      <c r="W349" s="18"/>
      <c r="X349" s="18"/>
      <c r="Y349" s="1120"/>
      <c r="Z349" s="1120"/>
      <c r="AA349" s="1120"/>
      <c r="AB349" s="63"/>
      <c r="AC349" s="63"/>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4"/>
      <c r="BR349" s="14"/>
      <c r="BS349" s="14"/>
      <c r="BT349" s="14"/>
      <c r="BU349" s="14"/>
      <c r="BV349" s="14"/>
      <c r="BW349" s="14"/>
      <c r="BX349" s="14"/>
      <c r="BY349" s="14"/>
      <c r="BZ349" s="14"/>
      <c r="CA349" s="14"/>
      <c r="CB349" s="14"/>
      <c r="CC349" s="14"/>
      <c r="CD349" s="14"/>
      <c r="CE349" s="14"/>
      <c r="CF349" s="14"/>
      <c r="CG349" s="14"/>
      <c r="CH349" s="14"/>
      <c r="CI349" s="14"/>
      <c r="CJ349" s="14"/>
      <c r="CK349" s="14"/>
      <c r="CL349" s="14"/>
      <c r="CM349" s="14"/>
      <c r="CN349" s="14"/>
      <c r="CO349" s="14"/>
      <c r="CP349" s="14"/>
      <c r="CQ349" s="14"/>
      <c r="CR349" s="14"/>
      <c r="CS349" s="14"/>
      <c r="CT349" s="14"/>
      <c r="CU349" s="14"/>
      <c r="CV349" s="14"/>
      <c r="CW349" s="14"/>
      <c r="CX349" s="14"/>
      <c r="CY349" s="14"/>
      <c r="CZ349" s="14"/>
      <c r="DA349" s="14"/>
      <c r="DB349" s="14"/>
      <c r="DC349" s="14"/>
      <c r="DD349" s="14"/>
      <c r="DE349" s="14"/>
      <c r="DF349" s="14"/>
      <c r="DG349" s="14"/>
      <c r="DH349" s="14"/>
      <c r="DI349" s="14"/>
      <c r="DJ349" s="14"/>
      <c r="DK349" s="14"/>
      <c r="DL349" s="14"/>
      <c r="DM349" s="14"/>
      <c r="DN349" s="14"/>
      <c r="DO349" s="14"/>
      <c r="DP349" s="14"/>
      <c r="DQ349" s="14"/>
      <c r="DR349" s="14"/>
      <c r="DS349" s="14"/>
      <c r="DT349" s="14"/>
      <c r="DU349" s="14"/>
      <c r="DV349" s="14"/>
      <c r="DW349" s="14"/>
      <c r="DX349" s="14"/>
      <c r="DY349" s="14"/>
      <c r="DZ349" s="14"/>
      <c r="EA349" s="14"/>
      <c r="EB349" s="14"/>
      <c r="EC349" s="14"/>
      <c r="ED349" s="14"/>
      <c r="EE349" s="14"/>
      <c r="EF349" s="14"/>
      <c r="EG349" s="14"/>
      <c r="EH349" s="14"/>
      <c r="EI349" s="14"/>
      <c r="EJ349" s="14"/>
      <c r="EK349" s="14"/>
      <c r="EL349" s="14"/>
      <c r="EM349" s="14"/>
      <c r="EN349" s="14"/>
      <c r="EO349" s="14"/>
      <c r="EP349" s="14"/>
      <c r="EQ349" s="14"/>
      <c r="ER349" s="14"/>
      <c r="ES349" s="14"/>
      <c r="ET349" s="14"/>
      <c r="EU349" s="14"/>
      <c r="EV349" s="14"/>
      <c r="EW349" s="14"/>
      <c r="EX349" s="14"/>
      <c r="EY349" s="14"/>
      <c r="EZ349" s="14"/>
      <c r="FA349" s="14"/>
      <c r="FB349" s="14"/>
      <c r="FC349" s="14"/>
      <c r="FD349" s="14"/>
      <c r="FE349" s="14"/>
      <c r="FF349" s="14"/>
      <c r="FG349" s="14"/>
      <c r="FH349" s="14"/>
      <c r="FI349" s="14"/>
      <c r="FJ349" s="14"/>
      <c r="FK349" s="14"/>
      <c r="FL349" s="14"/>
      <c r="FM349" s="14"/>
      <c r="FN349" s="14"/>
      <c r="FO349" s="14"/>
      <c r="FP349" s="14"/>
      <c r="FQ349" s="14"/>
      <c r="FR349" s="14"/>
      <c r="FS349" s="14"/>
      <c r="FT349" s="14"/>
      <c r="FU349" s="14"/>
      <c r="FV349" s="14"/>
      <c r="FW349" s="14"/>
      <c r="FX349" s="14"/>
      <c r="FY349" s="14"/>
      <c r="FZ349" s="14"/>
      <c r="GA349" s="14"/>
      <c r="GB349" s="14"/>
      <c r="GC349" s="14"/>
      <c r="GD349" s="14"/>
      <c r="GE349" s="14"/>
      <c r="GF349" s="14"/>
      <c r="GG349" s="14"/>
      <c r="GH349" s="14"/>
      <c r="GI349" s="14"/>
      <c r="GJ349" s="14"/>
      <c r="GK349" s="14"/>
      <c r="GL349" s="14"/>
      <c r="GM349" s="14"/>
      <c r="GN349" s="14"/>
      <c r="GO349" s="14"/>
      <c r="GP349" s="14"/>
      <c r="GQ349" s="14"/>
      <c r="GR349" s="14"/>
      <c r="GS349" s="14"/>
      <c r="GT349" s="14"/>
      <c r="GU349" s="14"/>
      <c r="GV349" s="14"/>
      <c r="GW349" s="14"/>
      <c r="GX349" s="14"/>
      <c r="GY349" s="14"/>
      <c r="GZ349" s="14"/>
      <c r="HA349" s="14"/>
      <c r="HB349" s="14"/>
      <c r="HC349" s="14"/>
      <c r="HD349" s="14"/>
      <c r="HE349" s="14"/>
      <c r="HF349" s="14"/>
      <c r="HG349" s="14"/>
      <c r="HH349" s="14"/>
      <c r="HI349" s="14"/>
      <c r="HJ349" s="14"/>
      <c r="HK349" s="14"/>
      <c r="HL349" s="14"/>
      <c r="HM349" s="14"/>
      <c r="HN349" s="14"/>
      <c r="HO349" s="14"/>
      <c r="HP349" s="14"/>
      <c r="HQ349" s="14"/>
      <c r="HR349" s="14"/>
      <c r="HS349" s="14"/>
      <c r="HT349" s="14"/>
    </row>
    <row r="350" spans="2:228" ht="15" customHeight="1" x14ac:dyDescent="0.2">
      <c r="B350" s="1843" t="s">
        <v>1441</v>
      </c>
      <c r="C350" s="1844"/>
      <c r="D350" s="1845"/>
      <c r="E350" s="1342">
        <f>IF(P427&gt;0,0,P217)</f>
        <v>0</v>
      </c>
      <c r="F350" s="1344"/>
      <c r="G350" s="1702" t="s">
        <v>1942</v>
      </c>
      <c r="H350" s="1627"/>
      <c r="I350" s="1628"/>
      <c r="J350" s="1851"/>
      <c r="K350" s="2043"/>
      <c r="L350" s="1760"/>
      <c r="M350" s="1761"/>
      <c r="N350" s="1761"/>
      <c r="O350" s="1762"/>
      <c r="P350" s="1731"/>
      <c r="R350" s="18"/>
      <c r="S350" s="962">
        <f t="shared" si="49"/>
        <v>0</v>
      </c>
      <c r="T350" s="960">
        <f>LARGE($S$342:$S$367,9)</f>
        <v>0</v>
      </c>
      <c r="U350" s="684">
        <f t="shared" si="50"/>
        <v>0</v>
      </c>
      <c r="V350" s="962">
        <f t="shared" si="51"/>
        <v>0</v>
      </c>
      <c r="W350" s="1162"/>
      <c r="X350" s="18"/>
      <c r="Y350" s="1120"/>
      <c r="Z350" s="1120"/>
      <c r="AA350" s="1120"/>
      <c r="AB350" s="63"/>
      <c r="AC350" s="63"/>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4"/>
      <c r="BR350" s="14"/>
      <c r="BS350" s="14"/>
      <c r="BT350" s="14"/>
      <c r="BU350" s="14"/>
      <c r="BV350" s="14"/>
      <c r="BW350" s="14"/>
      <c r="BX350" s="14"/>
      <c r="BY350" s="14"/>
      <c r="BZ350" s="14"/>
      <c r="CA350" s="14"/>
      <c r="CB350" s="14"/>
      <c r="CC350" s="14"/>
      <c r="CD350" s="14"/>
      <c r="CE350" s="14"/>
      <c r="CF350" s="14"/>
      <c r="CG350" s="14"/>
      <c r="CH350" s="14"/>
      <c r="CI350" s="14"/>
      <c r="CJ350" s="14"/>
      <c r="CK350" s="14"/>
      <c r="CL350" s="14"/>
      <c r="CM350" s="14"/>
      <c r="CN350" s="14"/>
      <c r="CO350" s="14"/>
      <c r="CP350" s="14"/>
      <c r="CQ350" s="14"/>
      <c r="CR350" s="14"/>
      <c r="CS350" s="14"/>
      <c r="CT350" s="14"/>
      <c r="CU350" s="14"/>
      <c r="CV350" s="14"/>
      <c r="CW350" s="14"/>
      <c r="CX350" s="14"/>
      <c r="CY350" s="14"/>
      <c r="CZ350" s="14"/>
      <c r="DA350" s="14"/>
      <c r="DB350" s="14"/>
      <c r="DC350" s="14"/>
      <c r="DD350" s="14"/>
      <c r="DE350" s="14"/>
      <c r="DF350" s="14"/>
      <c r="DG350" s="14"/>
      <c r="DH350" s="14"/>
      <c r="DI350" s="14"/>
      <c r="DJ350" s="14"/>
      <c r="DK350" s="14"/>
      <c r="DL350" s="14"/>
      <c r="DM350" s="14"/>
      <c r="DN350" s="14"/>
      <c r="DO350" s="14"/>
      <c r="DP350" s="14"/>
      <c r="DQ350" s="14"/>
      <c r="DR350" s="14"/>
      <c r="DS350" s="14"/>
      <c r="DT350" s="14"/>
      <c r="DU350" s="14"/>
      <c r="DV350" s="14"/>
      <c r="DW350" s="14"/>
      <c r="DX350" s="14"/>
      <c r="DY350" s="14"/>
      <c r="DZ350" s="14"/>
      <c r="EA350" s="14"/>
      <c r="EB350" s="14"/>
      <c r="EC350" s="14"/>
      <c r="ED350" s="14"/>
      <c r="EE350" s="14"/>
      <c r="EF350" s="14"/>
      <c r="EG350" s="14"/>
      <c r="EH350" s="14"/>
      <c r="EI350" s="14"/>
      <c r="EJ350" s="14"/>
      <c r="EK350" s="14"/>
      <c r="EL350" s="14"/>
      <c r="EM350" s="14"/>
      <c r="EN350" s="14"/>
      <c r="EO350" s="14"/>
      <c r="EP350" s="14"/>
      <c r="EQ350" s="14"/>
      <c r="ER350" s="14"/>
      <c r="ES350" s="14"/>
      <c r="ET350" s="14"/>
      <c r="EU350" s="14"/>
      <c r="EV350" s="14"/>
      <c r="EW350" s="14"/>
      <c r="EX350" s="14"/>
      <c r="EY350" s="14"/>
      <c r="EZ350" s="14"/>
      <c r="FA350" s="14"/>
      <c r="FB350" s="14"/>
      <c r="FC350" s="14"/>
      <c r="FD350" s="14"/>
      <c r="FE350" s="14"/>
      <c r="FF350" s="14"/>
      <c r="FG350" s="14"/>
      <c r="FH350" s="14"/>
      <c r="FI350" s="14"/>
      <c r="FJ350" s="14"/>
      <c r="FK350" s="14"/>
      <c r="FL350" s="14"/>
      <c r="FM350" s="14"/>
      <c r="FN350" s="14"/>
      <c r="FO350" s="14"/>
      <c r="FP350" s="14"/>
      <c r="FQ350" s="14"/>
      <c r="FR350" s="14"/>
      <c r="FS350" s="14"/>
      <c r="FT350" s="14"/>
      <c r="FU350" s="14"/>
      <c r="FV350" s="14"/>
      <c r="FW350" s="14"/>
      <c r="FX350" s="14"/>
      <c r="FY350" s="14"/>
      <c r="FZ350" s="14"/>
      <c r="GA350" s="14"/>
      <c r="GB350" s="14"/>
      <c r="GC350" s="14"/>
      <c r="GD350" s="14"/>
      <c r="GE350" s="14"/>
      <c r="GF350" s="14"/>
      <c r="GG350" s="14"/>
      <c r="GH350" s="14"/>
      <c r="GI350" s="14"/>
      <c r="GJ350" s="14"/>
      <c r="GK350" s="14"/>
      <c r="GL350" s="14"/>
      <c r="GM350" s="14"/>
      <c r="GN350" s="14"/>
      <c r="GO350" s="14"/>
      <c r="GP350" s="14"/>
      <c r="GQ350" s="14"/>
      <c r="GR350" s="14"/>
      <c r="GS350" s="14"/>
      <c r="GT350" s="14"/>
      <c r="GU350" s="14"/>
      <c r="GV350" s="14"/>
      <c r="GW350" s="14"/>
      <c r="GX350" s="14"/>
      <c r="GY350" s="14"/>
      <c r="GZ350" s="14"/>
      <c r="HA350" s="14"/>
      <c r="HB350" s="14"/>
      <c r="HC350" s="14"/>
      <c r="HD350" s="14"/>
      <c r="HE350" s="14"/>
      <c r="HF350" s="14"/>
      <c r="HG350" s="14"/>
      <c r="HH350" s="14"/>
      <c r="HI350" s="14"/>
      <c r="HJ350" s="14"/>
      <c r="HK350" s="14"/>
      <c r="HL350" s="14"/>
      <c r="HM350" s="14"/>
      <c r="HN350" s="14"/>
      <c r="HO350" s="14"/>
      <c r="HP350" s="14"/>
      <c r="HQ350" s="14"/>
      <c r="HR350" s="14"/>
      <c r="HS350" s="14"/>
      <c r="HT350" s="14"/>
    </row>
    <row r="351" spans="2:228" ht="15" customHeight="1" x14ac:dyDescent="0.2">
      <c r="B351" s="1843" t="s">
        <v>1443</v>
      </c>
      <c r="C351" s="1844"/>
      <c r="D351" s="1845"/>
      <c r="E351" s="1342">
        <f>IF(P427&gt;0,0,P218)</f>
        <v>0</v>
      </c>
      <c r="F351" s="1344"/>
      <c r="G351" s="1702" t="s">
        <v>1942</v>
      </c>
      <c r="H351" s="1627"/>
      <c r="I351" s="1628"/>
      <c r="J351" s="1851"/>
      <c r="K351" s="2043"/>
      <c r="L351" s="1760"/>
      <c r="M351" s="1761"/>
      <c r="N351" s="1761"/>
      <c r="O351" s="1762"/>
      <c r="P351" s="1731"/>
      <c r="R351" s="18"/>
      <c r="S351" s="962">
        <f t="shared" si="49"/>
        <v>0</v>
      </c>
      <c r="T351" s="960">
        <f>LARGE($S$342:$S$367,10)</f>
        <v>0</v>
      </c>
      <c r="U351" s="684">
        <f t="shared" si="50"/>
        <v>0</v>
      </c>
      <c r="V351" s="962">
        <f t="shared" si="51"/>
        <v>0</v>
      </c>
      <c r="W351" s="1162"/>
      <c r="X351" s="18"/>
      <c r="Y351" s="18"/>
      <c r="Z351" s="18"/>
      <c r="AA351" s="18"/>
      <c r="AB351" s="63"/>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4"/>
      <c r="BR351" s="14"/>
      <c r="BS351" s="14"/>
      <c r="BT351" s="14"/>
      <c r="BU351" s="14"/>
      <c r="BV351" s="14"/>
      <c r="BW351" s="14"/>
      <c r="BX351" s="14"/>
      <c r="BY351" s="14"/>
      <c r="BZ351" s="14"/>
      <c r="CA351" s="14"/>
      <c r="CB351" s="14"/>
      <c r="CC351" s="14"/>
      <c r="CD351" s="14"/>
      <c r="CE351" s="14"/>
      <c r="CF351" s="14"/>
      <c r="CG351" s="14"/>
      <c r="CH351" s="14"/>
      <c r="CI351" s="14"/>
      <c r="CJ351" s="14"/>
      <c r="CK351" s="14"/>
      <c r="CL351" s="14"/>
      <c r="CM351" s="14"/>
      <c r="CN351" s="14"/>
      <c r="CO351" s="14"/>
      <c r="CP351" s="14"/>
      <c r="CQ351" s="14"/>
      <c r="CR351" s="14"/>
      <c r="CS351" s="14"/>
      <c r="CT351" s="14"/>
      <c r="CU351" s="14"/>
      <c r="CV351" s="14"/>
      <c r="CW351" s="14"/>
      <c r="CX351" s="14"/>
      <c r="CY351" s="14"/>
      <c r="CZ351" s="14"/>
      <c r="DA351" s="14"/>
      <c r="DB351" s="14"/>
      <c r="DC351" s="14"/>
      <c r="DD351" s="14"/>
      <c r="DE351" s="14"/>
      <c r="DF351" s="14"/>
      <c r="DG351" s="14"/>
      <c r="DH351" s="14"/>
      <c r="DI351" s="14"/>
      <c r="DJ351" s="14"/>
      <c r="DK351" s="14"/>
      <c r="DL351" s="14"/>
      <c r="DM351" s="14"/>
      <c r="DN351" s="14"/>
      <c r="DO351" s="14"/>
      <c r="DP351" s="14"/>
      <c r="DQ351" s="14"/>
      <c r="DR351" s="14"/>
      <c r="DS351" s="14"/>
      <c r="DT351" s="14"/>
      <c r="DU351" s="14"/>
      <c r="DV351" s="14"/>
      <c r="DW351" s="14"/>
      <c r="DX351" s="14"/>
      <c r="DY351" s="14"/>
      <c r="DZ351" s="14"/>
      <c r="EA351" s="14"/>
      <c r="EB351" s="14"/>
      <c r="EC351" s="14"/>
      <c r="ED351" s="14"/>
      <c r="EE351" s="14"/>
      <c r="EF351" s="14"/>
      <c r="EG351" s="14"/>
      <c r="EH351" s="14"/>
      <c r="EI351" s="14"/>
      <c r="EJ351" s="14"/>
      <c r="EK351" s="14"/>
      <c r="EL351" s="14"/>
      <c r="EM351" s="14"/>
      <c r="EN351" s="14"/>
      <c r="EO351" s="14"/>
      <c r="EP351" s="14"/>
      <c r="EQ351" s="14"/>
      <c r="ER351" s="14"/>
      <c r="ES351" s="14"/>
      <c r="ET351" s="14"/>
      <c r="EU351" s="14"/>
      <c r="EV351" s="14"/>
      <c r="EW351" s="14"/>
      <c r="EX351" s="14"/>
      <c r="EY351" s="14"/>
      <c r="EZ351" s="14"/>
      <c r="FA351" s="14"/>
      <c r="FB351" s="14"/>
      <c r="FC351" s="14"/>
      <c r="FD351" s="14"/>
      <c r="FE351" s="14"/>
      <c r="FF351" s="14"/>
      <c r="FG351" s="14"/>
      <c r="FH351" s="14"/>
      <c r="FI351" s="14"/>
      <c r="FJ351" s="14"/>
      <c r="FK351" s="14"/>
      <c r="FL351" s="14"/>
      <c r="FM351" s="14"/>
      <c r="FN351" s="14"/>
      <c r="FO351" s="14"/>
      <c r="FP351" s="14"/>
      <c r="FQ351" s="14"/>
      <c r="FR351" s="14"/>
      <c r="FS351" s="14"/>
      <c r="FT351" s="14"/>
      <c r="FU351" s="14"/>
      <c r="FV351" s="14"/>
      <c r="FW351" s="14"/>
      <c r="FX351" s="14"/>
      <c r="FY351" s="14"/>
      <c r="FZ351" s="14"/>
      <c r="GA351" s="14"/>
      <c r="GB351" s="14"/>
      <c r="GC351" s="14"/>
      <c r="GD351" s="14"/>
      <c r="GE351" s="14"/>
      <c r="GF351" s="14"/>
      <c r="GG351" s="14"/>
      <c r="GH351" s="14"/>
      <c r="GI351" s="14"/>
      <c r="GJ351" s="14"/>
      <c r="GK351" s="14"/>
      <c r="GL351" s="14"/>
      <c r="GM351" s="14"/>
      <c r="GN351" s="14"/>
      <c r="GO351" s="14"/>
      <c r="GP351" s="14"/>
      <c r="GQ351" s="14"/>
      <c r="GR351" s="14"/>
      <c r="GS351" s="14"/>
      <c r="GT351" s="14"/>
      <c r="GU351" s="14"/>
      <c r="GV351" s="14"/>
      <c r="GW351" s="14"/>
      <c r="GX351" s="14"/>
      <c r="GY351" s="14"/>
      <c r="GZ351" s="14"/>
      <c r="HA351" s="14"/>
      <c r="HB351" s="14"/>
      <c r="HC351" s="14"/>
      <c r="HD351" s="14"/>
      <c r="HE351" s="14"/>
      <c r="HF351" s="14"/>
      <c r="HG351" s="14"/>
      <c r="HH351" s="14"/>
      <c r="HI351" s="14"/>
      <c r="HJ351" s="14"/>
      <c r="HK351" s="14"/>
      <c r="HL351" s="14"/>
      <c r="HM351" s="14"/>
      <c r="HN351" s="14"/>
      <c r="HO351" s="14"/>
      <c r="HP351" s="14"/>
      <c r="HQ351" s="14"/>
      <c r="HR351" s="14"/>
      <c r="HS351" s="14"/>
      <c r="HT351" s="14"/>
    </row>
    <row r="352" spans="2:228" ht="15" customHeight="1" x14ac:dyDescent="0.2">
      <c r="B352" s="1843" t="s">
        <v>101</v>
      </c>
      <c r="C352" s="1844"/>
      <c r="D352" s="1845"/>
      <c r="E352" s="1342">
        <f>IF(P427&gt;0,0,P219)</f>
        <v>0</v>
      </c>
      <c r="F352" s="1344"/>
      <c r="G352" s="1702" t="s">
        <v>1942</v>
      </c>
      <c r="H352" s="1627"/>
      <c r="I352" s="1628"/>
      <c r="J352" s="1851"/>
      <c r="K352" s="2043"/>
      <c r="L352" s="1760"/>
      <c r="M352" s="1761"/>
      <c r="N352" s="1761"/>
      <c r="O352" s="1762"/>
      <c r="P352" s="1731"/>
      <c r="R352" s="18"/>
      <c r="S352" s="962">
        <f t="shared" si="49"/>
        <v>0</v>
      </c>
      <c r="T352" s="960">
        <f>LARGE($S$342:$S$367,11)</f>
        <v>0</v>
      </c>
      <c r="U352" s="684">
        <f t="shared" si="50"/>
        <v>0</v>
      </c>
      <c r="V352" s="962">
        <f t="shared" si="51"/>
        <v>0</v>
      </c>
      <c r="W352" s="1162"/>
      <c r="X352" s="18"/>
      <c r="Y352" s="18"/>
      <c r="Z352" s="18"/>
      <c r="AA352" s="18"/>
      <c r="AB352" s="63"/>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4"/>
      <c r="BR352" s="14"/>
      <c r="BS352" s="14"/>
      <c r="BT352" s="14"/>
      <c r="BU352" s="14"/>
      <c r="BV352" s="14"/>
      <c r="BW352" s="14"/>
      <c r="BX352" s="14"/>
      <c r="BY352" s="14"/>
      <c r="BZ352" s="14"/>
      <c r="CA352" s="14"/>
      <c r="CB352" s="14"/>
      <c r="CC352" s="14"/>
      <c r="CD352" s="14"/>
      <c r="CE352" s="14"/>
      <c r="CF352" s="14"/>
      <c r="CG352" s="14"/>
      <c r="CH352" s="14"/>
      <c r="CI352" s="14"/>
      <c r="CJ352" s="14"/>
      <c r="CK352" s="14"/>
      <c r="CL352" s="14"/>
      <c r="CM352" s="14"/>
      <c r="CN352" s="14"/>
      <c r="CO352" s="14"/>
      <c r="CP352" s="14"/>
      <c r="CQ352" s="14"/>
      <c r="CR352" s="14"/>
      <c r="CS352" s="14"/>
      <c r="CT352" s="14"/>
      <c r="CU352" s="14"/>
      <c r="CV352" s="14"/>
      <c r="CW352" s="14"/>
      <c r="CX352" s="14"/>
      <c r="CY352" s="14"/>
      <c r="CZ352" s="14"/>
      <c r="DA352" s="14"/>
      <c r="DB352" s="14"/>
      <c r="DC352" s="14"/>
      <c r="DD352" s="14"/>
      <c r="DE352" s="14"/>
      <c r="DF352" s="14"/>
      <c r="DG352" s="14"/>
      <c r="DH352" s="14"/>
      <c r="DI352" s="14"/>
      <c r="DJ352" s="14"/>
      <c r="DK352" s="14"/>
      <c r="DL352" s="14"/>
      <c r="DM352" s="14"/>
      <c r="DN352" s="14"/>
      <c r="DO352" s="14"/>
      <c r="DP352" s="14"/>
      <c r="DQ352" s="14"/>
      <c r="DR352" s="14"/>
      <c r="DS352" s="14"/>
      <c r="DT352" s="14"/>
      <c r="DU352" s="14"/>
      <c r="DV352" s="14"/>
      <c r="DW352" s="14"/>
      <c r="DX352" s="14"/>
      <c r="DY352" s="14"/>
      <c r="DZ352" s="14"/>
      <c r="EA352" s="14"/>
      <c r="EB352" s="14"/>
      <c r="EC352" s="14"/>
      <c r="ED352" s="14"/>
      <c r="EE352" s="14"/>
      <c r="EF352" s="14"/>
      <c r="EG352" s="14"/>
      <c r="EH352" s="14"/>
      <c r="EI352" s="14"/>
      <c r="EJ352" s="14"/>
      <c r="EK352" s="14"/>
      <c r="EL352" s="14"/>
      <c r="EM352" s="14"/>
      <c r="EN352" s="14"/>
      <c r="EO352" s="14"/>
      <c r="EP352" s="14"/>
      <c r="EQ352" s="14"/>
      <c r="ER352" s="14"/>
      <c r="ES352" s="14"/>
      <c r="ET352" s="14"/>
      <c r="EU352" s="14"/>
      <c r="EV352" s="14"/>
      <c r="EW352" s="14"/>
      <c r="EX352" s="14"/>
      <c r="EY352" s="14"/>
      <c r="EZ352" s="14"/>
      <c r="FA352" s="14"/>
      <c r="FB352" s="14"/>
      <c r="FC352" s="14"/>
      <c r="FD352" s="14"/>
      <c r="FE352" s="14"/>
      <c r="FF352" s="14"/>
      <c r="FG352" s="14"/>
      <c r="FH352" s="14"/>
      <c r="FI352" s="14"/>
      <c r="FJ352" s="14"/>
      <c r="FK352" s="14"/>
      <c r="FL352" s="14"/>
      <c r="FM352" s="14"/>
      <c r="FN352" s="14"/>
      <c r="FO352" s="14"/>
      <c r="FP352" s="14"/>
      <c r="FQ352" s="14"/>
      <c r="FR352" s="14"/>
      <c r="FS352" s="14"/>
      <c r="FT352" s="14"/>
      <c r="FU352" s="14"/>
      <c r="FV352" s="14"/>
      <c r="FW352" s="14"/>
      <c r="FX352" s="14"/>
      <c r="FY352" s="14"/>
      <c r="FZ352" s="14"/>
      <c r="GA352" s="14"/>
      <c r="GB352" s="14"/>
      <c r="GC352" s="14"/>
      <c r="GD352" s="14"/>
      <c r="GE352" s="14"/>
      <c r="GF352" s="14"/>
      <c r="GG352" s="14"/>
      <c r="GH352" s="14"/>
      <c r="GI352" s="14"/>
      <c r="GJ352" s="14"/>
      <c r="GK352" s="14"/>
      <c r="GL352" s="14"/>
      <c r="GM352" s="14"/>
      <c r="GN352" s="14"/>
      <c r="GO352" s="14"/>
      <c r="GP352" s="14"/>
      <c r="GQ352" s="14"/>
      <c r="GR352" s="14"/>
      <c r="GS352" s="14"/>
      <c r="GT352" s="14"/>
      <c r="GU352" s="14"/>
      <c r="GV352" s="14"/>
      <c r="GW352" s="14"/>
      <c r="GX352" s="14"/>
      <c r="GY352" s="14"/>
      <c r="GZ352" s="14"/>
      <c r="HA352" s="14"/>
      <c r="HB352" s="14"/>
      <c r="HC352" s="14"/>
      <c r="HD352" s="14"/>
      <c r="HE352" s="14"/>
      <c r="HF352" s="14"/>
      <c r="HG352" s="14"/>
      <c r="HH352" s="14"/>
      <c r="HI352" s="14"/>
      <c r="HJ352" s="14"/>
      <c r="HK352" s="14"/>
      <c r="HL352" s="14"/>
      <c r="HM352" s="14"/>
      <c r="HN352" s="14"/>
      <c r="HO352" s="14"/>
      <c r="HP352" s="14"/>
      <c r="HQ352" s="14"/>
      <c r="HR352" s="14"/>
      <c r="HS352" s="14"/>
      <c r="HT352" s="14"/>
    </row>
    <row r="353" spans="2:228" ht="15" customHeight="1" x14ac:dyDescent="0.2">
      <c r="B353" s="1843" t="s">
        <v>1107</v>
      </c>
      <c r="C353" s="1844"/>
      <c r="D353" s="1845"/>
      <c r="E353" s="1342">
        <f>IF(P427&gt;0,0,P234)</f>
        <v>0</v>
      </c>
      <c r="F353" s="1344"/>
      <c r="G353" s="1833" t="s">
        <v>2260</v>
      </c>
      <c r="H353" s="1834"/>
      <c r="I353" s="1835"/>
      <c r="J353" s="1838"/>
      <c r="K353" s="1838"/>
      <c r="L353" s="1619"/>
      <c r="M353" s="1620"/>
      <c r="N353" s="1620"/>
      <c r="O353" s="1621"/>
      <c r="P353" s="1731"/>
      <c r="R353" s="18"/>
      <c r="S353" s="960">
        <f t="shared" ref="S353:S358" si="52">IF(J353&gt;0,J353,E353)</f>
        <v>0</v>
      </c>
      <c r="T353" s="960">
        <f>LARGE($S$342:$S$367,12)</f>
        <v>0</v>
      </c>
      <c r="U353" s="684">
        <f t="shared" si="50"/>
        <v>0</v>
      </c>
      <c r="V353" s="962">
        <f t="shared" si="51"/>
        <v>0</v>
      </c>
      <c r="W353" s="1162"/>
      <c r="X353" s="18"/>
      <c r="Y353" s="1111"/>
      <c r="Z353" s="18"/>
      <c r="AA353" s="18"/>
      <c r="AB353" s="63"/>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4"/>
      <c r="BR353" s="14"/>
      <c r="BS353" s="14"/>
      <c r="BT353" s="14"/>
      <c r="BU353" s="14"/>
      <c r="BV353" s="14"/>
      <c r="BW353" s="14"/>
      <c r="BX353" s="14"/>
      <c r="BY353" s="14"/>
      <c r="BZ353" s="14"/>
      <c r="CA353" s="14"/>
      <c r="CB353" s="14"/>
      <c r="CC353" s="14"/>
      <c r="CD353" s="14"/>
      <c r="CE353" s="14"/>
      <c r="CF353" s="14"/>
      <c r="CG353" s="14"/>
      <c r="CH353" s="14"/>
      <c r="CI353" s="14"/>
      <c r="CJ353" s="14"/>
      <c r="CK353" s="14"/>
      <c r="CL353" s="14"/>
      <c r="CM353" s="14"/>
      <c r="CN353" s="14"/>
      <c r="CO353" s="14"/>
      <c r="CP353" s="14"/>
      <c r="CQ353" s="14"/>
      <c r="CR353" s="14"/>
      <c r="CS353" s="14"/>
      <c r="CT353" s="14"/>
      <c r="CU353" s="14"/>
      <c r="CV353" s="14"/>
      <c r="CW353" s="14"/>
      <c r="CX353" s="14"/>
      <c r="CY353" s="14"/>
      <c r="CZ353" s="14"/>
      <c r="DA353" s="14"/>
      <c r="DB353" s="14"/>
      <c r="DC353" s="14"/>
      <c r="DD353" s="14"/>
      <c r="DE353" s="14"/>
      <c r="DF353" s="14"/>
      <c r="DG353" s="14"/>
      <c r="DH353" s="14"/>
      <c r="DI353" s="14"/>
      <c r="DJ353" s="14"/>
      <c r="DK353" s="14"/>
      <c r="DL353" s="14"/>
      <c r="DM353" s="14"/>
      <c r="DN353" s="14"/>
      <c r="DO353" s="14"/>
      <c r="DP353" s="14"/>
      <c r="DQ353" s="14"/>
      <c r="DR353" s="14"/>
      <c r="DS353" s="14"/>
      <c r="DT353" s="14"/>
      <c r="DU353" s="14"/>
      <c r="DV353" s="14"/>
      <c r="DW353" s="14"/>
      <c r="DX353" s="14"/>
      <c r="DY353" s="14"/>
      <c r="DZ353" s="14"/>
      <c r="EA353" s="14"/>
      <c r="EB353" s="14"/>
      <c r="EC353" s="14"/>
      <c r="ED353" s="14"/>
      <c r="EE353" s="14"/>
      <c r="EF353" s="14"/>
      <c r="EG353" s="14"/>
      <c r="EH353" s="14"/>
      <c r="EI353" s="14"/>
      <c r="EJ353" s="14"/>
      <c r="EK353" s="14"/>
      <c r="EL353" s="14"/>
      <c r="EM353" s="14"/>
      <c r="EN353" s="14"/>
      <c r="EO353" s="14"/>
      <c r="EP353" s="14"/>
      <c r="EQ353" s="14"/>
      <c r="ER353" s="14"/>
      <c r="ES353" s="14"/>
      <c r="ET353" s="14"/>
      <c r="EU353" s="14"/>
      <c r="EV353" s="14"/>
      <c r="EW353" s="14"/>
      <c r="EX353" s="14"/>
      <c r="EY353" s="14"/>
      <c r="EZ353" s="14"/>
      <c r="FA353" s="14"/>
      <c r="FB353" s="14"/>
      <c r="FC353" s="14"/>
      <c r="FD353" s="14"/>
      <c r="FE353" s="14"/>
      <c r="FF353" s="14"/>
      <c r="FG353" s="14"/>
      <c r="FH353" s="14"/>
      <c r="FI353" s="14"/>
      <c r="FJ353" s="14"/>
      <c r="FK353" s="14"/>
      <c r="FL353" s="14"/>
      <c r="FM353" s="14"/>
      <c r="FN353" s="14"/>
      <c r="FO353" s="14"/>
      <c r="FP353" s="14"/>
      <c r="FQ353" s="14"/>
      <c r="FR353" s="14"/>
      <c r="FS353" s="14"/>
      <c r="FT353" s="14"/>
      <c r="FU353" s="14"/>
      <c r="FV353" s="14"/>
      <c r="FW353" s="14"/>
      <c r="FX353" s="14"/>
      <c r="FY353" s="14"/>
      <c r="FZ353" s="14"/>
      <c r="GA353" s="14"/>
      <c r="GB353" s="14"/>
      <c r="GC353" s="14"/>
      <c r="GD353" s="14"/>
      <c r="GE353" s="14"/>
      <c r="GF353" s="14"/>
      <c r="GG353" s="14"/>
      <c r="GH353" s="14"/>
      <c r="GI353" s="14"/>
      <c r="GJ353" s="14"/>
      <c r="GK353" s="14"/>
      <c r="GL353" s="14"/>
      <c r="GM353" s="14"/>
      <c r="GN353" s="14"/>
      <c r="GO353" s="14"/>
      <c r="GP353" s="14"/>
      <c r="GQ353" s="14"/>
      <c r="GR353" s="14"/>
      <c r="GS353" s="14"/>
      <c r="GT353" s="14"/>
      <c r="GU353" s="14"/>
      <c r="GV353" s="14"/>
      <c r="GW353" s="14"/>
      <c r="GX353" s="14"/>
      <c r="GY353" s="14"/>
      <c r="GZ353" s="14"/>
      <c r="HA353" s="14"/>
      <c r="HB353" s="14"/>
      <c r="HC353" s="14"/>
      <c r="HD353" s="14"/>
      <c r="HE353" s="14"/>
      <c r="HF353" s="14"/>
      <c r="HG353" s="14"/>
      <c r="HH353" s="14"/>
      <c r="HI353" s="14"/>
      <c r="HJ353" s="14"/>
      <c r="HK353" s="14"/>
      <c r="HL353" s="14"/>
      <c r="HM353" s="14"/>
      <c r="HN353" s="14"/>
      <c r="HO353" s="14"/>
      <c r="HP353" s="14"/>
      <c r="HQ353" s="14"/>
      <c r="HR353" s="14"/>
      <c r="HS353" s="14"/>
      <c r="HT353" s="14"/>
    </row>
    <row r="354" spans="2:228" ht="15" customHeight="1" x14ac:dyDescent="0.2">
      <c r="B354" s="1857" t="s">
        <v>2017</v>
      </c>
      <c r="C354" s="1858"/>
      <c r="D354" s="1859"/>
      <c r="E354" s="1342">
        <f>P238</f>
        <v>0</v>
      </c>
      <c r="F354" s="1344"/>
      <c r="G354" s="1577"/>
      <c r="H354" s="1841"/>
      <c r="I354" s="1842"/>
      <c r="J354" s="1847">
        <f t="shared" ref="J354:J358" si="53">IF(AND(Y354&lt;0.01,Y354&gt;0),0.01,ROUND(Y354,2))</f>
        <v>0</v>
      </c>
      <c r="K354" s="1852"/>
      <c r="L354" s="1619"/>
      <c r="M354" s="1620"/>
      <c r="N354" s="1620"/>
      <c r="O354" s="1621"/>
      <c r="P354" s="1731"/>
      <c r="R354" s="18"/>
      <c r="S354" s="960">
        <f t="shared" si="52"/>
        <v>0</v>
      </c>
      <c r="T354" s="960">
        <f>LARGE($S$342:$S$367,13)</f>
        <v>0</v>
      </c>
      <c r="U354" s="684">
        <f t="shared" si="50"/>
        <v>0</v>
      </c>
      <c r="V354" s="962">
        <f t="shared" si="51"/>
        <v>0</v>
      </c>
      <c r="W354" s="18"/>
      <c r="X354" s="18"/>
      <c r="Y354" s="26">
        <f>G354*E354</f>
        <v>0</v>
      </c>
      <c r="Z354" s="18"/>
      <c r="AA354" s="18"/>
      <c r="AB354" s="63"/>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4"/>
      <c r="BR354" s="14"/>
      <c r="BS354" s="14"/>
      <c r="BT354" s="14"/>
      <c r="BU354" s="14"/>
      <c r="BV354" s="14"/>
      <c r="BW354" s="14"/>
      <c r="BX354" s="14"/>
      <c r="BY354" s="14"/>
      <c r="BZ354" s="14"/>
      <c r="CA354" s="14"/>
      <c r="CB354" s="14"/>
      <c r="CC354" s="14"/>
      <c r="CD354" s="14"/>
      <c r="CE354" s="14"/>
      <c r="CF354" s="14"/>
      <c r="CG354" s="14"/>
      <c r="CH354" s="14"/>
      <c r="CI354" s="14"/>
      <c r="CJ354" s="14"/>
      <c r="CK354" s="14"/>
      <c r="CL354" s="14"/>
      <c r="CM354" s="14"/>
      <c r="CN354" s="14"/>
      <c r="CO354" s="14"/>
      <c r="CP354" s="14"/>
      <c r="CQ354" s="14"/>
      <c r="CR354" s="14"/>
      <c r="CS354" s="14"/>
      <c r="CT354" s="14"/>
      <c r="CU354" s="14"/>
      <c r="CV354" s="14"/>
      <c r="CW354" s="14"/>
      <c r="CX354" s="14"/>
      <c r="CY354" s="14"/>
      <c r="CZ354" s="14"/>
      <c r="DA354" s="14"/>
      <c r="DB354" s="14"/>
      <c r="DC354" s="14"/>
      <c r="DD354" s="14"/>
      <c r="DE354" s="14"/>
      <c r="DF354" s="14"/>
      <c r="DG354" s="14"/>
      <c r="DH354" s="14"/>
      <c r="DI354" s="14"/>
      <c r="DJ354" s="14"/>
      <c r="DK354" s="14"/>
      <c r="DL354" s="14"/>
      <c r="DM354" s="14"/>
      <c r="DN354" s="14"/>
      <c r="DO354" s="14"/>
      <c r="DP354" s="14"/>
      <c r="DQ354" s="14"/>
      <c r="DR354" s="14"/>
      <c r="DS354" s="14"/>
      <c r="DT354" s="14"/>
      <c r="DU354" s="14"/>
      <c r="DV354" s="14"/>
      <c r="DW354" s="14"/>
      <c r="DX354" s="14"/>
      <c r="DY354" s="14"/>
      <c r="DZ354" s="14"/>
      <c r="EA354" s="14"/>
      <c r="EB354" s="14"/>
      <c r="EC354" s="14"/>
      <c r="ED354" s="14"/>
      <c r="EE354" s="14"/>
      <c r="EF354" s="14"/>
      <c r="EG354" s="14"/>
      <c r="EH354" s="14"/>
      <c r="EI354" s="14"/>
      <c r="EJ354" s="14"/>
      <c r="EK354" s="14"/>
      <c r="EL354" s="14"/>
      <c r="EM354" s="14"/>
      <c r="EN354" s="14"/>
      <c r="EO354" s="14"/>
      <c r="EP354" s="14"/>
      <c r="EQ354" s="14"/>
      <c r="ER354" s="14"/>
      <c r="ES354" s="14"/>
      <c r="ET354" s="14"/>
      <c r="EU354" s="14"/>
      <c r="EV354" s="14"/>
      <c r="EW354" s="14"/>
      <c r="EX354" s="14"/>
      <c r="EY354" s="14"/>
      <c r="EZ354" s="14"/>
      <c r="FA354" s="14"/>
      <c r="FB354" s="14"/>
      <c r="FC354" s="14"/>
      <c r="FD354" s="14"/>
      <c r="FE354" s="14"/>
      <c r="FF354" s="14"/>
      <c r="FG354" s="14"/>
      <c r="FH354" s="14"/>
      <c r="FI354" s="14"/>
      <c r="FJ354" s="14"/>
      <c r="FK354" s="14"/>
      <c r="FL354" s="14"/>
      <c r="FM354" s="14"/>
      <c r="FN354" s="14"/>
      <c r="FO354" s="14"/>
      <c r="FP354" s="14"/>
      <c r="FQ354" s="14"/>
      <c r="FR354" s="14"/>
      <c r="FS354" s="14"/>
      <c r="FT354" s="14"/>
      <c r="FU354" s="14"/>
      <c r="FV354" s="14"/>
      <c r="FW354" s="14"/>
      <c r="FX354" s="14"/>
      <c r="FY354" s="14"/>
      <c r="FZ354" s="14"/>
      <c r="GA354" s="14"/>
      <c r="GB354" s="14"/>
      <c r="GC354" s="14"/>
      <c r="GD354" s="14"/>
      <c r="GE354" s="14"/>
      <c r="GF354" s="14"/>
      <c r="GG354" s="14"/>
      <c r="GH354" s="14"/>
      <c r="GI354" s="14"/>
      <c r="GJ354" s="14"/>
      <c r="GK354" s="14"/>
      <c r="GL354" s="14"/>
      <c r="GM354" s="14"/>
      <c r="GN354" s="14"/>
      <c r="GO354" s="14"/>
      <c r="GP354" s="14"/>
      <c r="GQ354" s="14"/>
      <c r="GR354" s="14"/>
      <c r="GS354" s="14"/>
      <c r="GT354" s="14"/>
      <c r="GU354" s="14"/>
      <c r="GV354" s="14"/>
      <c r="GW354" s="14"/>
      <c r="GX354" s="14"/>
      <c r="GY354" s="14"/>
      <c r="GZ354" s="14"/>
      <c r="HA354" s="14"/>
      <c r="HB354" s="14"/>
      <c r="HC354" s="14"/>
      <c r="HD354" s="14"/>
      <c r="HE354" s="14"/>
      <c r="HF354" s="14"/>
      <c r="HG354" s="14"/>
      <c r="HH354" s="14"/>
      <c r="HI354" s="14"/>
      <c r="HJ354" s="14"/>
      <c r="HK354" s="14"/>
      <c r="HL354" s="14"/>
      <c r="HM354" s="14"/>
      <c r="HN354" s="14"/>
      <c r="HO354" s="14"/>
      <c r="HP354" s="14"/>
      <c r="HQ354" s="14"/>
      <c r="HR354" s="14"/>
      <c r="HS354" s="14"/>
      <c r="HT354" s="14"/>
    </row>
    <row r="355" spans="2:228" ht="15" customHeight="1" x14ac:dyDescent="0.2">
      <c r="B355" s="1362" t="s">
        <v>1227</v>
      </c>
      <c r="C355" s="1363"/>
      <c r="D355" s="1364"/>
      <c r="E355" s="1342">
        <f>P239</f>
        <v>0</v>
      </c>
      <c r="F355" s="1344"/>
      <c r="G355" s="1577"/>
      <c r="H355" s="1841"/>
      <c r="I355" s="1842"/>
      <c r="J355" s="1847">
        <f t="shared" si="53"/>
        <v>0</v>
      </c>
      <c r="K355" s="1852"/>
      <c r="L355" s="1619"/>
      <c r="M355" s="1620"/>
      <c r="N355" s="1620"/>
      <c r="O355" s="1621"/>
      <c r="P355" s="1731"/>
      <c r="R355" s="18"/>
      <c r="S355" s="960">
        <f t="shared" si="52"/>
        <v>0</v>
      </c>
      <c r="T355" s="960">
        <f>LARGE($S$342:$S$367,14)</f>
        <v>0</v>
      </c>
      <c r="U355" s="684">
        <f t="shared" si="50"/>
        <v>0</v>
      </c>
      <c r="V355" s="962">
        <f t="shared" si="51"/>
        <v>0</v>
      </c>
      <c r="W355" s="18"/>
      <c r="X355" s="18"/>
      <c r="Y355" s="1110">
        <f t="shared" ref="Y355:Y358" si="54">G355*E355</f>
        <v>0</v>
      </c>
      <c r="Z355" s="18"/>
      <c r="AA355" s="18"/>
      <c r="AB355" s="63"/>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4"/>
      <c r="BR355" s="14"/>
      <c r="BS355" s="14"/>
      <c r="BT355" s="14"/>
      <c r="BU355" s="14"/>
      <c r="BV355" s="14"/>
      <c r="BW355" s="14"/>
      <c r="BX355" s="14"/>
      <c r="BY355" s="14"/>
      <c r="BZ355" s="14"/>
      <c r="CA355" s="14"/>
      <c r="CB355" s="14"/>
      <c r="CC355" s="14"/>
      <c r="CD355" s="14"/>
      <c r="CE355" s="14"/>
      <c r="CF355" s="14"/>
      <c r="CG355" s="14"/>
      <c r="CH355" s="14"/>
      <c r="CI355" s="14"/>
      <c r="CJ355" s="14"/>
      <c r="CK355" s="14"/>
      <c r="CL355" s="14"/>
      <c r="CM355" s="14"/>
      <c r="CN355" s="14"/>
      <c r="CO355" s="14"/>
      <c r="CP355" s="14"/>
      <c r="CQ355" s="14"/>
      <c r="CR355" s="14"/>
      <c r="CS355" s="14"/>
      <c r="CT355" s="14"/>
      <c r="CU355" s="14"/>
      <c r="CV355" s="14"/>
      <c r="CW355" s="14"/>
      <c r="CX355" s="14"/>
      <c r="CY355" s="14"/>
      <c r="CZ355" s="14"/>
      <c r="DA355" s="14"/>
      <c r="DB355" s="14"/>
      <c r="DC355" s="14"/>
      <c r="DD355" s="14"/>
      <c r="DE355" s="14"/>
      <c r="DF355" s="14"/>
      <c r="DG355" s="14"/>
      <c r="DH355" s="14"/>
      <c r="DI355" s="14"/>
      <c r="DJ355" s="14"/>
      <c r="DK355" s="14"/>
      <c r="DL355" s="14"/>
      <c r="DM355" s="14"/>
      <c r="DN355" s="14"/>
      <c r="DO355" s="14"/>
      <c r="DP355" s="14"/>
      <c r="DQ355" s="14"/>
      <c r="DR355" s="14"/>
      <c r="DS355" s="14"/>
      <c r="DT355" s="14"/>
      <c r="DU355" s="14"/>
      <c r="DV355" s="14"/>
      <c r="DW355" s="14"/>
      <c r="DX355" s="14"/>
      <c r="DY355" s="14"/>
      <c r="DZ355" s="14"/>
      <c r="EA355" s="14"/>
      <c r="EB355" s="14"/>
      <c r="EC355" s="14"/>
      <c r="ED355" s="14"/>
      <c r="EE355" s="14"/>
      <c r="EF355" s="14"/>
      <c r="EG355" s="14"/>
      <c r="EH355" s="14"/>
      <c r="EI355" s="14"/>
      <c r="EJ355" s="14"/>
      <c r="EK355" s="14"/>
      <c r="EL355" s="14"/>
      <c r="EM355" s="14"/>
      <c r="EN355" s="14"/>
      <c r="EO355" s="14"/>
      <c r="EP355" s="14"/>
      <c r="EQ355" s="14"/>
      <c r="ER355" s="14"/>
      <c r="ES355" s="14"/>
      <c r="ET355" s="14"/>
      <c r="EU355" s="14"/>
      <c r="EV355" s="14"/>
      <c r="EW355" s="14"/>
      <c r="EX355" s="14"/>
      <c r="EY355" s="14"/>
      <c r="EZ355" s="14"/>
      <c r="FA355" s="14"/>
      <c r="FB355" s="14"/>
      <c r="FC355" s="14"/>
      <c r="FD355" s="14"/>
      <c r="FE355" s="14"/>
      <c r="FF355" s="14"/>
      <c r="FG355" s="14"/>
      <c r="FH355" s="14"/>
      <c r="FI355" s="14"/>
      <c r="FJ355" s="14"/>
      <c r="FK355" s="14"/>
      <c r="FL355" s="14"/>
      <c r="FM355" s="14"/>
      <c r="FN355" s="14"/>
      <c r="FO355" s="14"/>
      <c r="FP355" s="14"/>
      <c r="FQ355" s="14"/>
      <c r="FR355" s="14"/>
      <c r="FS355" s="14"/>
      <c r="FT355" s="14"/>
      <c r="FU355" s="14"/>
      <c r="FV355" s="14"/>
      <c r="FW355" s="14"/>
      <c r="FX355" s="14"/>
      <c r="FY355" s="14"/>
      <c r="FZ355" s="14"/>
      <c r="GA355" s="14"/>
      <c r="GB355" s="14"/>
      <c r="GC355" s="14"/>
      <c r="GD355" s="14"/>
      <c r="GE355" s="14"/>
      <c r="GF355" s="14"/>
      <c r="GG355" s="14"/>
      <c r="GH355" s="14"/>
      <c r="GI355" s="14"/>
      <c r="GJ355" s="14"/>
      <c r="GK355" s="14"/>
      <c r="GL355" s="14"/>
      <c r="GM355" s="14"/>
      <c r="GN355" s="14"/>
      <c r="GO355" s="14"/>
      <c r="GP355" s="14"/>
      <c r="GQ355" s="14"/>
      <c r="GR355" s="14"/>
      <c r="GS355" s="14"/>
      <c r="GT355" s="14"/>
      <c r="GU355" s="14"/>
      <c r="GV355" s="14"/>
      <c r="GW355" s="14"/>
      <c r="GX355" s="14"/>
      <c r="GY355" s="14"/>
      <c r="GZ355" s="14"/>
      <c r="HA355" s="14"/>
      <c r="HB355" s="14"/>
      <c r="HC355" s="14"/>
      <c r="HD355" s="14"/>
      <c r="HE355" s="14"/>
      <c r="HF355" s="14"/>
      <c r="HG355" s="14"/>
      <c r="HH355" s="14"/>
      <c r="HI355" s="14"/>
      <c r="HJ355" s="14"/>
      <c r="HK355" s="14"/>
      <c r="HL355" s="14"/>
      <c r="HM355" s="14"/>
      <c r="HN355" s="14"/>
      <c r="HO355" s="14"/>
      <c r="HP355" s="14"/>
      <c r="HQ355" s="14"/>
      <c r="HR355" s="14"/>
      <c r="HS355" s="14"/>
      <c r="HT355" s="14"/>
    </row>
    <row r="356" spans="2:228" ht="15" customHeight="1" x14ac:dyDescent="0.2">
      <c r="B356" s="1843" t="s">
        <v>37</v>
      </c>
      <c r="C356" s="1844"/>
      <c r="D356" s="1845"/>
      <c r="E356" s="1342">
        <f>P242</f>
        <v>0</v>
      </c>
      <c r="F356" s="1344"/>
      <c r="G356" s="1577"/>
      <c r="H356" s="1841"/>
      <c r="I356" s="1842"/>
      <c r="J356" s="1847">
        <f t="shared" si="53"/>
        <v>0</v>
      </c>
      <c r="K356" s="1852"/>
      <c r="L356" s="1619"/>
      <c r="M356" s="1620"/>
      <c r="N356" s="1620"/>
      <c r="O356" s="1621"/>
      <c r="P356" s="1731"/>
      <c r="R356" s="18"/>
      <c r="S356" s="960">
        <f t="shared" si="52"/>
        <v>0</v>
      </c>
      <c r="T356" s="960">
        <f>LARGE($S$342:$S$367,15)</f>
        <v>0</v>
      </c>
      <c r="U356" s="684">
        <f t="shared" si="50"/>
        <v>0</v>
      </c>
      <c r="V356" s="962">
        <f t="shared" si="51"/>
        <v>0</v>
      </c>
      <c r="W356" s="18"/>
      <c r="X356" s="18"/>
      <c r="Y356" s="1110">
        <f t="shared" si="54"/>
        <v>0</v>
      </c>
      <c r="Z356" s="18"/>
      <c r="AA356" s="18"/>
      <c r="AB356" s="63"/>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4"/>
      <c r="BR356" s="14"/>
      <c r="BS356" s="14"/>
      <c r="BT356" s="14"/>
      <c r="BU356" s="14"/>
      <c r="BV356" s="14"/>
      <c r="BW356" s="14"/>
      <c r="BX356" s="14"/>
      <c r="BY356" s="14"/>
      <c r="BZ356" s="14"/>
      <c r="CA356" s="14"/>
      <c r="CB356" s="14"/>
      <c r="CC356" s="14"/>
      <c r="CD356" s="14"/>
      <c r="CE356" s="14"/>
      <c r="CF356" s="14"/>
      <c r="CG356" s="14"/>
      <c r="CH356" s="14"/>
      <c r="CI356" s="14"/>
      <c r="CJ356" s="14"/>
      <c r="CK356" s="14"/>
      <c r="CL356" s="14"/>
      <c r="CM356" s="14"/>
      <c r="CN356" s="14"/>
      <c r="CO356" s="14"/>
      <c r="CP356" s="14"/>
      <c r="CQ356" s="14"/>
      <c r="CR356" s="14"/>
      <c r="CS356" s="14"/>
      <c r="CT356" s="14"/>
      <c r="CU356" s="14"/>
      <c r="CV356" s="14"/>
      <c r="CW356" s="14"/>
      <c r="CX356" s="14"/>
      <c r="CY356" s="14"/>
      <c r="CZ356" s="14"/>
      <c r="DA356" s="14"/>
      <c r="DB356" s="14"/>
      <c r="DC356" s="14"/>
      <c r="DD356" s="14"/>
      <c r="DE356" s="14"/>
      <c r="DF356" s="14"/>
      <c r="DG356" s="14"/>
      <c r="DH356" s="14"/>
      <c r="DI356" s="14"/>
      <c r="DJ356" s="14"/>
      <c r="DK356" s="14"/>
      <c r="DL356" s="14"/>
      <c r="DM356" s="14"/>
      <c r="DN356" s="14"/>
      <c r="DO356" s="14"/>
      <c r="DP356" s="14"/>
      <c r="DQ356" s="14"/>
      <c r="DR356" s="14"/>
      <c r="DS356" s="14"/>
      <c r="DT356" s="14"/>
      <c r="DU356" s="14"/>
      <c r="DV356" s="14"/>
      <c r="DW356" s="14"/>
      <c r="DX356" s="14"/>
      <c r="DY356" s="14"/>
      <c r="DZ356" s="14"/>
      <c r="EA356" s="14"/>
      <c r="EB356" s="14"/>
      <c r="EC356" s="14"/>
      <c r="ED356" s="14"/>
      <c r="EE356" s="14"/>
      <c r="EF356" s="14"/>
      <c r="EG356" s="14"/>
      <c r="EH356" s="14"/>
      <c r="EI356" s="14"/>
      <c r="EJ356" s="14"/>
      <c r="EK356" s="14"/>
      <c r="EL356" s="14"/>
      <c r="EM356" s="14"/>
      <c r="EN356" s="14"/>
      <c r="EO356" s="14"/>
      <c r="EP356" s="14"/>
      <c r="EQ356" s="14"/>
      <c r="ER356" s="14"/>
      <c r="ES356" s="14"/>
      <c r="ET356" s="14"/>
      <c r="EU356" s="14"/>
      <c r="EV356" s="14"/>
      <c r="EW356" s="14"/>
      <c r="EX356" s="14"/>
      <c r="EY356" s="14"/>
      <c r="EZ356" s="14"/>
      <c r="FA356" s="14"/>
      <c r="FB356" s="14"/>
      <c r="FC356" s="14"/>
      <c r="FD356" s="14"/>
      <c r="FE356" s="14"/>
      <c r="FF356" s="14"/>
      <c r="FG356" s="14"/>
      <c r="FH356" s="14"/>
      <c r="FI356" s="14"/>
      <c r="FJ356" s="14"/>
      <c r="FK356" s="14"/>
      <c r="FL356" s="14"/>
      <c r="FM356" s="14"/>
      <c r="FN356" s="14"/>
      <c r="FO356" s="14"/>
      <c r="FP356" s="14"/>
      <c r="FQ356" s="14"/>
      <c r="FR356" s="14"/>
      <c r="FS356" s="14"/>
      <c r="FT356" s="14"/>
      <c r="FU356" s="14"/>
      <c r="FV356" s="14"/>
      <c r="FW356" s="14"/>
      <c r="FX356" s="14"/>
      <c r="FY356" s="14"/>
      <c r="FZ356" s="14"/>
      <c r="GA356" s="14"/>
      <c r="GB356" s="14"/>
      <c r="GC356" s="14"/>
      <c r="GD356" s="14"/>
      <c r="GE356" s="14"/>
      <c r="GF356" s="14"/>
      <c r="GG356" s="14"/>
      <c r="GH356" s="14"/>
      <c r="GI356" s="14"/>
      <c r="GJ356" s="14"/>
      <c r="GK356" s="14"/>
      <c r="GL356" s="14"/>
      <c r="GM356" s="14"/>
      <c r="GN356" s="14"/>
      <c r="GO356" s="14"/>
      <c r="GP356" s="14"/>
      <c r="GQ356" s="14"/>
      <c r="GR356" s="14"/>
      <c r="GS356" s="14"/>
      <c r="GT356" s="14"/>
      <c r="GU356" s="14"/>
      <c r="GV356" s="14"/>
      <c r="GW356" s="14"/>
      <c r="GX356" s="14"/>
      <c r="GY356" s="14"/>
      <c r="GZ356" s="14"/>
      <c r="HA356" s="14"/>
      <c r="HB356" s="14"/>
      <c r="HC356" s="14"/>
      <c r="HD356" s="14"/>
      <c r="HE356" s="14"/>
      <c r="HF356" s="14"/>
      <c r="HG356" s="14"/>
      <c r="HH356" s="14"/>
      <c r="HI356" s="14"/>
      <c r="HJ356" s="14"/>
      <c r="HK356" s="14"/>
      <c r="HL356" s="14"/>
      <c r="HM356" s="14"/>
      <c r="HN356" s="14"/>
      <c r="HO356" s="14"/>
      <c r="HP356" s="14"/>
      <c r="HQ356" s="14"/>
      <c r="HR356" s="14"/>
      <c r="HS356" s="14"/>
      <c r="HT356" s="14"/>
    </row>
    <row r="357" spans="2:228" ht="15" customHeight="1" x14ac:dyDescent="0.2">
      <c r="B357" s="1843" t="s">
        <v>1175</v>
      </c>
      <c r="C357" s="1844"/>
      <c r="D357" s="1845"/>
      <c r="E357" s="1342">
        <f>P243</f>
        <v>0</v>
      </c>
      <c r="F357" s="1344"/>
      <c r="G357" s="1577"/>
      <c r="H357" s="1841"/>
      <c r="I357" s="1842"/>
      <c r="J357" s="1847">
        <f t="shared" si="53"/>
        <v>0</v>
      </c>
      <c r="K357" s="1852"/>
      <c r="L357" s="1619"/>
      <c r="M357" s="1620"/>
      <c r="N357" s="1620"/>
      <c r="O357" s="1621"/>
      <c r="P357" s="1731"/>
      <c r="R357" s="18"/>
      <c r="S357" s="960">
        <f t="shared" si="52"/>
        <v>0</v>
      </c>
      <c r="T357" s="960">
        <f>LARGE($S$342:$S$367,16)</f>
        <v>0</v>
      </c>
      <c r="U357" s="684">
        <f t="shared" si="50"/>
        <v>0</v>
      </c>
      <c r="V357" s="962">
        <f t="shared" si="51"/>
        <v>0</v>
      </c>
      <c r="W357" s="18"/>
      <c r="X357" s="18"/>
      <c r="Y357" s="1110">
        <f t="shared" si="54"/>
        <v>0</v>
      </c>
      <c r="Z357" s="18"/>
      <c r="AA357" s="18"/>
      <c r="AB357" s="63"/>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4"/>
      <c r="BR357" s="14"/>
      <c r="BS357" s="14"/>
      <c r="BT357" s="14"/>
      <c r="BU357" s="14"/>
      <c r="BV357" s="14"/>
      <c r="BW357" s="14"/>
      <c r="BX357" s="14"/>
      <c r="BY357" s="14"/>
      <c r="BZ357" s="14"/>
      <c r="CA357" s="14"/>
      <c r="CB357" s="14"/>
      <c r="CC357" s="14"/>
      <c r="CD357" s="14"/>
      <c r="CE357" s="14"/>
      <c r="CF357" s="14"/>
      <c r="CG357" s="14"/>
      <c r="CH357" s="14"/>
      <c r="CI357" s="14"/>
      <c r="CJ357" s="14"/>
      <c r="CK357" s="14"/>
      <c r="CL357" s="14"/>
      <c r="CM357" s="14"/>
      <c r="CN357" s="14"/>
      <c r="CO357" s="14"/>
      <c r="CP357" s="14"/>
      <c r="CQ357" s="14"/>
      <c r="CR357" s="14"/>
      <c r="CS357" s="14"/>
      <c r="CT357" s="14"/>
      <c r="CU357" s="14"/>
      <c r="CV357" s="14"/>
      <c r="CW357" s="14"/>
      <c r="CX357" s="14"/>
      <c r="CY357" s="14"/>
      <c r="CZ357" s="14"/>
      <c r="DA357" s="14"/>
      <c r="DB357" s="14"/>
      <c r="DC357" s="14"/>
      <c r="DD357" s="14"/>
      <c r="DE357" s="14"/>
      <c r="DF357" s="14"/>
      <c r="DG357" s="14"/>
      <c r="DH357" s="14"/>
      <c r="DI357" s="14"/>
      <c r="DJ357" s="14"/>
      <c r="DK357" s="14"/>
      <c r="DL357" s="14"/>
      <c r="DM357" s="14"/>
      <c r="DN357" s="14"/>
      <c r="DO357" s="14"/>
      <c r="DP357" s="14"/>
      <c r="DQ357" s="14"/>
      <c r="DR357" s="14"/>
      <c r="DS357" s="14"/>
      <c r="DT357" s="14"/>
      <c r="DU357" s="14"/>
      <c r="DV357" s="14"/>
      <c r="DW357" s="14"/>
      <c r="DX357" s="14"/>
      <c r="DY357" s="14"/>
      <c r="DZ357" s="14"/>
      <c r="EA357" s="14"/>
      <c r="EB357" s="14"/>
      <c r="EC357" s="14"/>
      <c r="ED357" s="14"/>
      <c r="EE357" s="14"/>
      <c r="EF357" s="14"/>
      <c r="EG357" s="14"/>
      <c r="EH357" s="14"/>
      <c r="EI357" s="14"/>
      <c r="EJ357" s="14"/>
      <c r="EK357" s="14"/>
      <c r="EL357" s="14"/>
      <c r="EM357" s="14"/>
      <c r="EN357" s="14"/>
      <c r="EO357" s="14"/>
      <c r="EP357" s="14"/>
      <c r="EQ357" s="14"/>
      <c r="ER357" s="14"/>
      <c r="ES357" s="14"/>
      <c r="ET357" s="14"/>
      <c r="EU357" s="14"/>
      <c r="EV357" s="14"/>
      <c r="EW357" s="14"/>
      <c r="EX357" s="14"/>
      <c r="EY357" s="14"/>
      <c r="EZ357" s="14"/>
      <c r="FA357" s="14"/>
      <c r="FB357" s="14"/>
      <c r="FC357" s="14"/>
      <c r="FD357" s="14"/>
      <c r="FE357" s="14"/>
      <c r="FF357" s="14"/>
      <c r="FG357" s="14"/>
      <c r="FH357" s="14"/>
      <c r="FI357" s="14"/>
      <c r="FJ357" s="14"/>
      <c r="FK357" s="14"/>
      <c r="FL357" s="14"/>
      <c r="FM357" s="14"/>
      <c r="FN357" s="14"/>
      <c r="FO357" s="14"/>
      <c r="FP357" s="14"/>
      <c r="FQ357" s="14"/>
      <c r="FR357" s="14"/>
      <c r="FS357" s="14"/>
      <c r="FT357" s="14"/>
      <c r="FU357" s="14"/>
      <c r="FV357" s="14"/>
      <c r="FW357" s="14"/>
      <c r="FX357" s="14"/>
      <c r="FY357" s="14"/>
      <c r="FZ357" s="14"/>
      <c r="GA357" s="14"/>
      <c r="GB357" s="14"/>
      <c r="GC357" s="14"/>
      <c r="GD357" s="14"/>
      <c r="GE357" s="14"/>
      <c r="GF357" s="14"/>
      <c r="GG357" s="14"/>
      <c r="GH357" s="14"/>
      <c r="GI357" s="14"/>
      <c r="GJ357" s="14"/>
      <c r="GK357" s="14"/>
      <c r="GL357" s="14"/>
      <c r="GM357" s="14"/>
      <c r="GN357" s="14"/>
      <c r="GO357" s="14"/>
      <c r="GP357" s="14"/>
      <c r="GQ357" s="14"/>
      <c r="GR357" s="14"/>
      <c r="GS357" s="14"/>
      <c r="GT357" s="14"/>
      <c r="GU357" s="14"/>
      <c r="GV357" s="14"/>
      <c r="GW357" s="14"/>
      <c r="GX357" s="14"/>
      <c r="GY357" s="14"/>
      <c r="GZ357" s="14"/>
      <c r="HA357" s="14"/>
      <c r="HB357" s="14"/>
      <c r="HC357" s="14"/>
      <c r="HD357" s="14"/>
      <c r="HE357" s="14"/>
      <c r="HF357" s="14"/>
      <c r="HG357" s="14"/>
      <c r="HH357" s="14"/>
      <c r="HI357" s="14"/>
      <c r="HJ357" s="14"/>
      <c r="HK357" s="14"/>
      <c r="HL357" s="14"/>
      <c r="HM357" s="14"/>
      <c r="HN357" s="14"/>
      <c r="HO357" s="14"/>
      <c r="HP357" s="14"/>
      <c r="HQ357" s="14"/>
      <c r="HR357" s="14"/>
      <c r="HS357" s="14"/>
      <c r="HT357" s="14"/>
    </row>
    <row r="358" spans="2:228" ht="15" customHeight="1" x14ac:dyDescent="0.2">
      <c r="B358" s="1843" t="s">
        <v>1444</v>
      </c>
      <c r="C358" s="1844"/>
      <c r="D358" s="1845"/>
      <c r="E358" s="1342">
        <f>P244</f>
        <v>0</v>
      </c>
      <c r="F358" s="1344"/>
      <c r="G358" s="1577"/>
      <c r="H358" s="1841"/>
      <c r="I358" s="1842"/>
      <c r="J358" s="1847">
        <f t="shared" si="53"/>
        <v>0</v>
      </c>
      <c r="K358" s="1852"/>
      <c r="L358" s="1619"/>
      <c r="M358" s="1620"/>
      <c r="N358" s="1620"/>
      <c r="O358" s="1621"/>
      <c r="P358" s="1731"/>
      <c r="R358" s="18"/>
      <c r="S358" s="960">
        <f t="shared" si="52"/>
        <v>0</v>
      </c>
      <c r="T358" s="960">
        <f>LARGE($S$342:$S$367,17)</f>
        <v>0</v>
      </c>
      <c r="U358" s="684">
        <f t="shared" si="50"/>
        <v>0</v>
      </c>
      <c r="V358" s="962">
        <f t="shared" si="51"/>
        <v>0</v>
      </c>
      <c r="W358" s="18"/>
      <c r="X358" s="18"/>
      <c r="Y358" s="1110">
        <f t="shared" si="54"/>
        <v>0</v>
      </c>
      <c r="Z358" s="18"/>
      <c r="AA358" s="18"/>
      <c r="AB358" s="63"/>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4"/>
      <c r="BR358" s="14"/>
      <c r="BS358" s="14"/>
      <c r="BT358" s="14"/>
      <c r="BU358" s="14"/>
      <c r="BV358" s="14"/>
      <c r="BW358" s="14"/>
      <c r="BX358" s="14"/>
      <c r="BY358" s="14"/>
      <c r="BZ358" s="14"/>
      <c r="CA358" s="14"/>
      <c r="CB358" s="14"/>
      <c r="CC358" s="14"/>
      <c r="CD358" s="14"/>
      <c r="CE358" s="14"/>
      <c r="CF358" s="14"/>
      <c r="CG358" s="14"/>
      <c r="CH358" s="14"/>
      <c r="CI358" s="14"/>
      <c r="CJ358" s="14"/>
      <c r="CK358" s="14"/>
      <c r="CL358" s="14"/>
      <c r="CM358" s="14"/>
      <c r="CN358" s="14"/>
      <c r="CO358" s="14"/>
      <c r="CP358" s="14"/>
      <c r="CQ358" s="14"/>
      <c r="CR358" s="14"/>
      <c r="CS358" s="14"/>
      <c r="CT358" s="14"/>
      <c r="CU358" s="14"/>
      <c r="CV358" s="14"/>
      <c r="CW358" s="14"/>
      <c r="CX358" s="14"/>
      <c r="CY358" s="14"/>
      <c r="CZ358" s="14"/>
      <c r="DA358" s="14"/>
      <c r="DB358" s="14"/>
      <c r="DC358" s="14"/>
      <c r="DD358" s="14"/>
      <c r="DE358" s="14"/>
      <c r="DF358" s="14"/>
      <c r="DG358" s="14"/>
      <c r="DH358" s="14"/>
      <c r="DI358" s="14"/>
      <c r="DJ358" s="14"/>
      <c r="DK358" s="14"/>
      <c r="DL358" s="14"/>
      <c r="DM358" s="14"/>
      <c r="DN358" s="14"/>
      <c r="DO358" s="14"/>
      <c r="DP358" s="14"/>
      <c r="DQ358" s="14"/>
      <c r="DR358" s="14"/>
      <c r="DS358" s="14"/>
      <c r="DT358" s="14"/>
      <c r="DU358" s="14"/>
      <c r="DV358" s="14"/>
      <c r="DW358" s="14"/>
      <c r="DX358" s="14"/>
      <c r="DY358" s="14"/>
      <c r="DZ358" s="14"/>
      <c r="EA358" s="14"/>
      <c r="EB358" s="14"/>
      <c r="EC358" s="14"/>
      <c r="ED358" s="14"/>
      <c r="EE358" s="14"/>
      <c r="EF358" s="14"/>
      <c r="EG358" s="14"/>
      <c r="EH358" s="14"/>
      <c r="EI358" s="14"/>
      <c r="EJ358" s="14"/>
      <c r="EK358" s="14"/>
      <c r="EL358" s="14"/>
      <c r="EM358" s="14"/>
      <c r="EN358" s="14"/>
      <c r="EO358" s="14"/>
      <c r="EP358" s="14"/>
      <c r="EQ358" s="14"/>
      <c r="ER358" s="14"/>
      <c r="ES358" s="14"/>
      <c r="ET358" s="14"/>
      <c r="EU358" s="14"/>
      <c r="EV358" s="14"/>
      <c r="EW358" s="14"/>
      <c r="EX358" s="14"/>
      <c r="EY358" s="14"/>
      <c r="EZ358" s="14"/>
      <c r="FA358" s="14"/>
      <c r="FB358" s="14"/>
      <c r="FC358" s="14"/>
      <c r="FD358" s="14"/>
      <c r="FE358" s="14"/>
      <c r="FF358" s="14"/>
      <c r="FG358" s="14"/>
      <c r="FH358" s="14"/>
      <c r="FI358" s="14"/>
      <c r="FJ358" s="14"/>
      <c r="FK358" s="14"/>
      <c r="FL358" s="14"/>
      <c r="FM358" s="14"/>
      <c r="FN358" s="14"/>
      <c r="FO358" s="14"/>
      <c r="FP358" s="14"/>
      <c r="FQ358" s="14"/>
      <c r="FR358" s="14"/>
      <c r="FS358" s="14"/>
      <c r="FT358" s="14"/>
      <c r="FU358" s="14"/>
      <c r="FV358" s="14"/>
      <c r="FW358" s="14"/>
      <c r="FX358" s="14"/>
      <c r="FY358" s="14"/>
      <c r="FZ358" s="14"/>
      <c r="GA358" s="14"/>
      <c r="GB358" s="14"/>
      <c r="GC358" s="14"/>
      <c r="GD358" s="14"/>
      <c r="GE358" s="14"/>
      <c r="GF358" s="14"/>
      <c r="GG358" s="14"/>
      <c r="GH358" s="14"/>
      <c r="GI358" s="14"/>
      <c r="GJ358" s="14"/>
      <c r="GK358" s="14"/>
      <c r="GL358" s="14"/>
      <c r="GM358" s="14"/>
      <c r="GN358" s="14"/>
      <c r="GO358" s="14"/>
      <c r="GP358" s="14"/>
      <c r="GQ358" s="14"/>
      <c r="GR358" s="14"/>
      <c r="GS358" s="14"/>
      <c r="GT358" s="14"/>
      <c r="GU358" s="14"/>
      <c r="GV358" s="14"/>
      <c r="GW358" s="14"/>
      <c r="GX358" s="14"/>
      <c r="GY358" s="14"/>
      <c r="GZ358" s="14"/>
      <c r="HA358" s="14"/>
      <c r="HB358" s="14"/>
      <c r="HC358" s="14"/>
      <c r="HD358" s="14"/>
      <c r="HE358" s="14"/>
      <c r="HF358" s="14"/>
      <c r="HG358" s="14"/>
      <c r="HH358" s="14"/>
      <c r="HI358" s="14"/>
      <c r="HJ358" s="14"/>
      <c r="HK358" s="14"/>
      <c r="HL358" s="14"/>
      <c r="HM358" s="14"/>
      <c r="HN358" s="14"/>
      <c r="HO358" s="14"/>
      <c r="HP358" s="14"/>
      <c r="HQ358" s="14"/>
      <c r="HR358" s="14"/>
      <c r="HS358" s="14"/>
      <c r="HT358" s="14"/>
    </row>
    <row r="359" spans="2:228" ht="15" customHeight="1" x14ac:dyDescent="0.2">
      <c r="B359" s="1843" t="s">
        <v>1445</v>
      </c>
      <c r="C359" s="1844"/>
      <c r="D359" s="1845"/>
      <c r="E359" s="1342">
        <f>P247</f>
        <v>0</v>
      </c>
      <c r="F359" s="1344"/>
      <c r="G359" s="1702" t="s">
        <v>1942</v>
      </c>
      <c r="H359" s="1627"/>
      <c r="I359" s="1628"/>
      <c r="J359" s="1851"/>
      <c r="K359" s="2043"/>
      <c r="L359" s="1098"/>
      <c r="M359" s="1099"/>
      <c r="N359" s="1099"/>
      <c r="O359" s="1100"/>
      <c r="P359" s="1731"/>
      <c r="R359" s="18"/>
      <c r="S359" s="962">
        <f>E359</f>
        <v>0</v>
      </c>
      <c r="T359" s="960">
        <f>LARGE($S$342:$S$367,18)</f>
        <v>0</v>
      </c>
      <c r="U359" s="684">
        <f t="shared" si="50"/>
        <v>0</v>
      </c>
      <c r="V359" s="962">
        <f t="shared" si="51"/>
        <v>0</v>
      </c>
      <c r="W359" s="18"/>
      <c r="X359" s="18"/>
      <c r="Y359" s="246"/>
      <c r="Z359" s="18"/>
      <c r="AA359" s="18"/>
      <c r="AB359" s="63"/>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4"/>
      <c r="BR359" s="14"/>
      <c r="BS359" s="14"/>
      <c r="BT359" s="14"/>
      <c r="BU359" s="14"/>
      <c r="BV359" s="14"/>
      <c r="BW359" s="14"/>
      <c r="BX359" s="14"/>
      <c r="BY359" s="14"/>
      <c r="BZ359" s="14"/>
      <c r="CA359" s="14"/>
      <c r="CB359" s="14"/>
      <c r="CC359" s="14"/>
      <c r="CD359" s="14"/>
      <c r="CE359" s="14"/>
      <c r="CF359" s="14"/>
      <c r="CG359" s="14"/>
      <c r="CH359" s="14"/>
      <c r="CI359" s="14"/>
      <c r="CJ359" s="14"/>
      <c r="CK359" s="14"/>
      <c r="CL359" s="14"/>
      <c r="CM359" s="14"/>
      <c r="CN359" s="14"/>
      <c r="CO359" s="14"/>
      <c r="CP359" s="14"/>
      <c r="CQ359" s="14"/>
      <c r="CR359" s="14"/>
      <c r="CS359" s="14"/>
      <c r="CT359" s="14"/>
      <c r="CU359" s="14"/>
      <c r="CV359" s="14"/>
      <c r="CW359" s="14"/>
      <c r="CX359" s="14"/>
      <c r="CY359" s="14"/>
      <c r="CZ359" s="14"/>
      <c r="DA359" s="14"/>
      <c r="DB359" s="14"/>
      <c r="DC359" s="14"/>
      <c r="DD359" s="14"/>
      <c r="DE359" s="14"/>
      <c r="DF359" s="14"/>
      <c r="DG359" s="14"/>
      <c r="DH359" s="14"/>
      <c r="DI359" s="14"/>
      <c r="DJ359" s="14"/>
      <c r="DK359" s="14"/>
      <c r="DL359" s="14"/>
      <c r="DM359" s="14"/>
      <c r="DN359" s="14"/>
      <c r="DO359" s="14"/>
      <c r="DP359" s="14"/>
      <c r="DQ359" s="14"/>
      <c r="DR359" s="14"/>
      <c r="DS359" s="14"/>
      <c r="DT359" s="14"/>
      <c r="DU359" s="14"/>
      <c r="DV359" s="14"/>
      <c r="DW359" s="14"/>
      <c r="DX359" s="14"/>
      <c r="DY359" s="14"/>
      <c r="DZ359" s="14"/>
      <c r="EA359" s="14"/>
      <c r="EB359" s="14"/>
      <c r="EC359" s="14"/>
      <c r="ED359" s="14"/>
      <c r="EE359" s="14"/>
      <c r="EF359" s="14"/>
      <c r="EG359" s="14"/>
      <c r="EH359" s="14"/>
      <c r="EI359" s="14"/>
      <c r="EJ359" s="14"/>
      <c r="EK359" s="14"/>
      <c r="EL359" s="14"/>
      <c r="EM359" s="14"/>
      <c r="EN359" s="14"/>
      <c r="EO359" s="14"/>
      <c r="EP359" s="14"/>
      <c r="EQ359" s="14"/>
      <c r="ER359" s="14"/>
      <c r="ES359" s="14"/>
      <c r="ET359" s="14"/>
      <c r="EU359" s="14"/>
      <c r="EV359" s="14"/>
      <c r="EW359" s="14"/>
      <c r="EX359" s="14"/>
      <c r="EY359" s="14"/>
      <c r="EZ359" s="14"/>
      <c r="FA359" s="14"/>
      <c r="FB359" s="14"/>
      <c r="FC359" s="14"/>
      <c r="FD359" s="14"/>
      <c r="FE359" s="14"/>
      <c r="FF359" s="14"/>
      <c r="FG359" s="14"/>
      <c r="FH359" s="14"/>
      <c r="FI359" s="14"/>
      <c r="FJ359" s="14"/>
      <c r="FK359" s="14"/>
      <c r="FL359" s="14"/>
      <c r="FM359" s="14"/>
      <c r="FN359" s="14"/>
      <c r="FO359" s="14"/>
      <c r="FP359" s="14"/>
      <c r="FQ359" s="14"/>
      <c r="FR359" s="14"/>
      <c r="FS359" s="14"/>
      <c r="FT359" s="14"/>
      <c r="FU359" s="14"/>
      <c r="FV359" s="14"/>
      <c r="FW359" s="14"/>
      <c r="FX359" s="14"/>
      <c r="FY359" s="14"/>
      <c r="FZ359" s="14"/>
      <c r="GA359" s="14"/>
      <c r="GB359" s="14"/>
      <c r="GC359" s="14"/>
      <c r="GD359" s="14"/>
      <c r="GE359" s="14"/>
      <c r="GF359" s="14"/>
      <c r="GG359" s="14"/>
      <c r="GH359" s="14"/>
      <c r="GI359" s="14"/>
      <c r="GJ359" s="14"/>
      <c r="GK359" s="14"/>
      <c r="GL359" s="14"/>
      <c r="GM359" s="14"/>
      <c r="GN359" s="14"/>
      <c r="GO359" s="14"/>
      <c r="GP359" s="14"/>
      <c r="GQ359" s="14"/>
      <c r="GR359" s="14"/>
      <c r="GS359" s="14"/>
      <c r="GT359" s="14"/>
      <c r="GU359" s="14"/>
      <c r="GV359" s="14"/>
      <c r="GW359" s="14"/>
      <c r="GX359" s="14"/>
      <c r="GY359" s="14"/>
      <c r="GZ359" s="14"/>
      <c r="HA359" s="14"/>
      <c r="HB359" s="14"/>
      <c r="HC359" s="14"/>
      <c r="HD359" s="14"/>
      <c r="HE359" s="14"/>
      <c r="HF359" s="14"/>
      <c r="HG359" s="14"/>
      <c r="HH359" s="14"/>
      <c r="HI359" s="14"/>
      <c r="HJ359" s="14"/>
      <c r="HK359" s="14"/>
      <c r="HL359" s="14"/>
      <c r="HM359" s="14"/>
      <c r="HN359" s="14"/>
      <c r="HO359" s="14"/>
      <c r="HP359" s="14"/>
      <c r="HQ359" s="14"/>
      <c r="HR359" s="14"/>
      <c r="HS359" s="14"/>
      <c r="HT359" s="14"/>
    </row>
    <row r="360" spans="2:228" ht="15" customHeight="1" x14ac:dyDescent="0.2">
      <c r="B360" s="269" t="s">
        <v>1870</v>
      </c>
      <c r="C360" s="269"/>
      <c r="D360" s="269"/>
      <c r="E360" s="1342">
        <f>P248</f>
        <v>0</v>
      </c>
      <c r="F360" s="1344"/>
      <c r="G360" s="1702" t="s">
        <v>1942</v>
      </c>
      <c r="H360" s="1627"/>
      <c r="I360" s="1628"/>
      <c r="J360" s="1851"/>
      <c r="K360" s="2043"/>
      <c r="L360" s="1098"/>
      <c r="M360" s="1099"/>
      <c r="N360" s="1099"/>
      <c r="O360" s="1100"/>
      <c r="P360" s="1731"/>
      <c r="R360" s="18"/>
      <c r="S360" s="962">
        <f>E360</f>
        <v>0</v>
      </c>
      <c r="T360" s="960">
        <f>LARGE($S$342:$S$367,19)</f>
        <v>0</v>
      </c>
      <c r="U360" s="684">
        <f t="shared" si="50"/>
        <v>0</v>
      </c>
      <c r="V360" s="962">
        <f t="shared" si="51"/>
        <v>0</v>
      </c>
      <c r="W360" s="18"/>
      <c r="X360" s="18"/>
      <c r="Y360" s="247"/>
      <c r="Z360" s="18"/>
      <c r="AA360" s="18"/>
      <c r="AB360" s="63"/>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4"/>
      <c r="BR360" s="14"/>
      <c r="BS360" s="14"/>
      <c r="BT360" s="14"/>
      <c r="BU360" s="14"/>
      <c r="BV360" s="14"/>
      <c r="BW360" s="14"/>
      <c r="BX360" s="14"/>
      <c r="BY360" s="14"/>
      <c r="BZ360" s="14"/>
      <c r="CA360" s="14"/>
      <c r="CB360" s="14"/>
      <c r="CC360" s="14"/>
      <c r="CD360" s="14"/>
      <c r="CE360" s="14"/>
      <c r="CF360" s="14"/>
      <c r="CG360" s="14"/>
      <c r="CH360" s="14"/>
      <c r="CI360" s="14"/>
      <c r="CJ360" s="14"/>
      <c r="CK360" s="14"/>
      <c r="CL360" s="14"/>
      <c r="CM360" s="14"/>
      <c r="CN360" s="14"/>
      <c r="CO360" s="14"/>
      <c r="CP360" s="14"/>
      <c r="CQ360" s="14"/>
      <c r="CR360" s="14"/>
      <c r="CS360" s="14"/>
      <c r="CT360" s="14"/>
      <c r="CU360" s="14"/>
      <c r="CV360" s="14"/>
      <c r="CW360" s="14"/>
      <c r="CX360" s="14"/>
      <c r="CY360" s="14"/>
      <c r="CZ360" s="14"/>
      <c r="DA360" s="14"/>
      <c r="DB360" s="14"/>
      <c r="DC360" s="14"/>
      <c r="DD360" s="14"/>
      <c r="DE360" s="14"/>
      <c r="DF360" s="14"/>
      <c r="DG360" s="14"/>
      <c r="DH360" s="14"/>
      <c r="DI360" s="14"/>
      <c r="DJ360" s="14"/>
      <c r="DK360" s="14"/>
      <c r="DL360" s="14"/>
      <c r="DM360" s="14"/>
      <c r="DN360" s="14"/>
      <c r="DO360" s="14"/>
      <c r="DP360" s="14"/>
      <c r="DQ360" s="14"/>
      <c r="DR360" s="14"/>
      <c r="DS360" s="14"/>
      <c r="DT360" s="14"/>
      <c r="DU360" s="14"/>
      <c r="DV360" s="14"/>
      <c r="DW360" s="14"/>
      <c r="DX360" s="14"/>
      <c r="DY360" s="14"/>
      <c r="DZ360" s="14"/>
      <c r="EA360" s="14"/>
      <c r="EB360" s="14"/>
      <c r="EC360" s="14"/>
      <c r="ED360" s="14"/>
      <c r="EE360" s="14"/>
      <c r="EF360" s="14"/>
      <c r="EG360" s="14"/>
      <c r="EH360" s="14"/>
      <c r="EI360" s="14"/>
      <c r="EJ360" s="14"/>
      <c r="EK360" s="14"/>
      <c r="EL360" s="14"/>
      <c r="EM360" s="14"/>
      <c r="EN360" s="14"/>
      <c r="EO360" s="14"/>
      <c r="EP360" s="14"/>
      <c r="EQ360" s="14"/>
      <c r="ER360" s="14"/>
      <c r="ES360" s="14"/>
      <c r="ET360" s="14"/>
      <c r="EU360" s="14"/>
      <c r="EV360" s="14"/>
      <c r="EW360" s="14"/>
      <c r="EX360" s="14"/>
      <c r="EY360" s="14"/>
      <c r="EZ360" s="14"/>
      <c r="FA360" s="14"/>
      <c r="FB360" s="14"/>
      <c r="FC360" s="14"/>
      <c r="FD360" s="14"/>
      <c r="FE360" s="14"/>
      <c r="FF360" s="14"/>
      <c r="FG360" s="14"/>
      <c r="FH360" s="14"/>
      <c r="FI360" s="14"/>
      <c r="FJ360" s="14"/>
      <c r="FK360" s="14"/>
      <c r="FL360" s="14"/>
      <c r="FM360" s="14"/>
      <c r="FN360" s="14"/>
      <c r="FO360" s="14"/>
      <c r="FP360" s="14"/>
      <c r="FQ360" s="14"/>
      <c r="FR360" s="14"/>
      <c r="FS360" s="14"/>
      <c r="FT360" s="14"/>
      <c r="FU360" s="14"/>
      <c r="FV360" s="14"/>
      <c r="FW360" s="14"/>
      <c r="FX360" s="14"/>
      <c r="FY360" s="14"/>
      <c r="FZ360" s="14"/>
      <c r="GA360" s="14"/>
      <c r="GB360" s="14"/>
      <c r="GC360" s="14"/>
      <c r="GD360" s="14"/>
      <c r="GE360" s="14"/>
      <c r="GF360" s="14"/>
      <c r="GG360" s="14"/>
      <c r="GH360" s="14"/>
      <c r="GI360" s="14"/>
      <c r="GJ360" s="14"/>
      <c r="GK360" s="14"/>
      <c r="GL360" s="14"/>
      <c r="GM360" s="14"/>
      <c r="GN360" s="14"/>
      <c r="GO360" s="14"/>
      <c r="GP360" s="14"/>
      <c r="GQ360" s="14"/>
      <c r="GR360" s="14"/>
      <c r="GS360" s="14"/>
      <c r="GT360" s="14"/>
      <c r="GU360" s="14"/>
      <c r="GV360" s="14"/>
      <c r="GW360" s="14"/>
      <c r="GX360" s="14"/>
      <c r="GY360" s="14"/>
      <c r="GZ360" s="14"/>
      <c r="HA360" s="14"/>
      <c r="HB360" s="14"/>
      <c r="HC360" s="14"/>
      <c r="HD360" s="14"/>
      <c r="HE360" s="14"/>
      <c r="HF360" s="14"/>
      <c r="HG360" s="14"/>
      <c r="HH360" s="14"/>
      <c r="HI360" s="14"/>
      <c r="HJ360" s="14"/>
      <c r="HK360" s="14"/>
      <c r="HL360" s="14"/>
      <c r="HM360" s="14"/>
      <c r="HN360" s="14"/>
      <c r="HO360" s="14"/>
      <c r="HP360" s="14"/>
      <c r="HQ360" s="14"/>
      <c r="HR360" s="14"/>
      <c r="HS360" s="14"/>
      <c r="HT360" s="14"/>
    </row>
    <row r="361" spans="2:228" ht="15" customHeight="1" x14ac:dyDescent="0.2">
      <c r="B361" s="1843" t="s">
        <v>1446</v>
      </c>
      <c r="C361" s="1844"/>
      <c r="D361" s="1845"/>
      <c r="E361" s="1342">
        <f>P250</f>
        <v>0</v>
      </c>
      <c r="F361" s="1344"/>
      <c r="G361" s="1702" t="s">
        <v>1942</v>
      </c>
      <c r="H361" s="1627"/>
      <c r="I361" s="1628"/>
      <c r="J361" s="1851"/>
      <c r="K361" s="2043"/>
      <c r="L361" s="1098"/>
      <c r="M361" s="1099"/>
      <c r="N361" s="1099"/>
      <c r="O361" s="1100"/>
      <c r="P361" s="1731"/>
      <c r="R361" s="18"/>
      <c r="S361" s="962">
        <f>E361</f>
        <v>0</v>
      </c>
      <c r="T361" s="960">
        <f>LARGE($S$342:$S$367,20)</f>
        <v>0</v>
      </c>
      <c r="U361" s="684">
        <f t="shared" si="50"/>
        <v>0</v>
      </c>
      <c r="V361" s="962">
        <f t="shared" si="51"/>
        <v>0</v>
      </c>
      <c r="W361" s="18"/>
      <c r="X361" s="18"/>
      <c r="Y361" s="247"/>
      <c r="Z361" s="18"/>
      <c r="AA361" s="18"/>
      <c r="AB361" s="63"/>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4"/>
      <c r="BR361" s="14"/>
      <c r="BS361" s="14"/>
      <c r="BT361" s="14"/>
      <c r="BU361" s="14"/>
      <c r="BV361" s="14"/>
      <c r="BW361" s="14"/>
      <c r="BX361" s="14"/>
      <c r="BY361" s="14"/>
      <c r="BZ361" s="14"/>
      <c r="CA361" s="14"/>
      <c r="CB361" s="14"/>
      <c r="CC361" s="14"/>
      <c r="CD361" s="14"/>
      <c r="CE361" s="14"/>
      <c r="CF361" s="14"/>
      <c r="CG361" s="14"/>
      <c r="CH361" s="14"/>
      <c r="CI361" s="14"/>
      <c r="CJ361" s="14"/>
      <c r="CK361" s="14"/>
      <c r="CL361" s="14"/>
      <c r="CM361" s="14"/>
      <c r="CN361" s="14"/>
      <c r="CO361" s="14"/>
      <c r="CP361" s="14"/>
      <c r="CQ361" s="14"/>
      <c r="CR361" s="14"/>
      <c r="CS361" s="14"/>
      <c r="CT361" s="14"/>
      <c r="CU361" s="14"/>
      <c r="CV361" s="14"/>
      <c r="CW361" s="14"/>
      <c r="CX361" s="14"/>
      <c r="CY361" s="14"/>
      <c r="CZ361" s="14"/>
      <c r="DA361" s="14"/>
      <c r="DB361" s="14"/>
      <c r="DC361" s="14"/>
      <c r="DD361" s="14"/>
      <c r="DE361" s="14"/>
      <c r="DF361" s="14"/>
      <c r="DG361" s="14"/>
      <c r="DH361" s="14"/>
      <c r="DI361" s="14"/>
      <c r="DJ361" s="14"/>
      <c r="DK361" s="14"/>
      <c r="DL361" s="14"/>
      <c r="DM361" s="14"/>
      <c r="DN361" s="14"/>
      <c r="DO361" s="14"/>
      <c r="DP361" s="14"/>
      <c r="DQ361" s="14"/>
      <c r="DR361" s="14"/>
      <c r="DS361" s="14"/>
      <c r="DT361" s="14"/>
      <c r="DU361" s="14"/>
      <c r="DV361" s="14"/>
      <c r="DW361" s="14"/>
      <c r="DX361" s="14"/>
      <c r="DY361" s="14"/>
      <c r="DZ361" s="14"/>
      <c r="EA361" s="14"/>
      <c r="EB361" s="14"/>
      <c r="EC361" s="14"/>
      <c r="ED361" s="14"/>
      <c r="EE361" s="14"/>
      <c r="EF361" s="14"/>
      <c r="EG361" s="14"/>
      <c r="EH361" s="14"/>
      <c r="EI361" s="14"/>
      <c r="EJ361" s="14"/>
      <c r="EK361" s="14"/>
      <c r="EL361" s="14"/>
      <c r="EM361" s="14"/>
      <c r="EN361" s="14"/>
      <c r="EO361" s="14"/>
      <c r="EP361" s="14"/>
      <c r="EQ361" s="14"/>
      <c r="ER361" s="14"/>
      <c r="ES361" s="14"/>
      <c r="ET361" s="14"/>
      <c r="EU361" s="14"/>
      <c r="EV361" s="14"/>
      <c r="EW361" s="14"/>
      <c r="EX361" s="14"/>
      <c r="EY361" s="14"/>
      <c r="EZ361" s="14"/>
      <c r="FA361" s="14"/>
      <c r="FB361" s="14"/>
      <c r="FC361" s="14"/>
      <c r="FD361" s="14"/>
      <c r="FE361" s="14"/>
      <c r="FF361" s="14"/>
      <c r="FG361" s="14"/>
      <c r="FH361" s="14"/>
      <c r="FI361" s="14"/>
      <c r="FJ361" s="14"/>
      <c r="FK361" s="14"/>
      <c r="FL361" s="14"/>
      <c r="FM361" s="14"/>
      <c r="FN361" s="14"/>
      <c r="FO361" s="14"/>
      <c r="FP361" s="14"/>
      <c r="FQ361" s="14"/>
      <c r="FR361" s="14"/>
      <c r="FS361" s="14"/>
      <c r="FT361" s="14"/>
      <c r="FU361" s="14"/>
      <c r="FV361" s="14"/>
      <c r="FW361" s="14"/>
      <c r="FX361" s="14"/>
      <c r="FY361" s="14"/>
      <c r="FZ361" s="14"/>
      <c r="GA361" s="14"/>
      <c r="GB361" s="14"/>
      <c r="GC361" s="14"/>
      <c r="GD361" s="14"/>
      <c r="GE361" s="14"/>
      <c r="GF361" s="14"/>
      <c r="GG361" s="14"/>
      <c r="GH361" s="14"/>
      <c r="GI361" s="14"/>
      <c r="GJ361" s="14"/>
      <c r="GK361" s="14"/>
      <c r="GL361" s="14"/>
      <c r="GM361" s="14"/>
      <c r="GN361" s="14"/>
      <c r="GO361" s="14"/>
      <c r="GP361" s="14"/>
      <c r="GQ361" s="14"/>
      <c r="GR361" s="14"/>
      <c r="GS361" s="14"/>
      <c r="GT361" s="14"/>
      <c r="GU361" s="14"/>
      <c r="GV361" s="14"/>
      <c r="GW361" s="14"/>
      <c r="GX361" s="14"/>
      <c r="GY361" s="14"/>
      <c r="GZ361" s="14"/>
      <c r="HA361" s="14"/>
      <c r="HB361" s="14"/>
      <c r="HC361" s="14"/>
      <c r="HD361" s="14"/>
      <c r="HE361" s="14"/>
      <c r="HF361" s="14"/>
      <c r="HG361" s="14"/>
      <c r="HH361" s="14"/>
      <c r="HI361" s="14"/>
      <c r="HJ361" s="14"/>
      <c r="HK361" s="14"/>
      <c r="HL361" s="14"/>
      <c r="HM361" s="14"/>
      <c r="HN361" s="14"/>
      <c r="HO361" s="14"/>
      <c r="HP361" s="14"/>
      <c r="HQ361" s="14"/>
      <c r="HR361" s="14"/>
      <c r="HS361" s="14"/>
      <c r="HT361" s="14"/>
    </row>
    <row r="362" spans="2:228" ht="15" customHeight="1" x14ac:dyDescent="0.2">
      <c r="B362" s="1843" t="s">
        <v>1447</v>
      </c>
      <c r="C362" s="1844"/>
      <c r="D362" s="1845"/>
      <c r="E362" s="1342">
        <f>P253</f>
        <v>0</v>
      </c>
      <c r="F362" s="1344"/>
      <c r="G362" s="1577"/>
      <c r="H362" s="1841"/>
      <c r="I362" s="1842"/>
      <c r="J362" s="1847">
        <f t="shared" ref="J362:J366" si="55">IF(AND(Y362&lt;0.01,Y362&gt;0),0.01,ROUND(Y362,2))</f>
        <v>0</v>
      </c>
      <c r="K362" s="1847"/>
      <c r="L362" s="1913" t="str">
        <f>IF(AND(P427&gt;0,W348&gt;0),"The worker has motor loss impairment. Additional impairment values are not allowed for chronic condition, reduced range of motion, or strength loss.","")</f>
        <v/>
      </c>
      <c r="M362" s="1913"/>
      <c r="N362" s="1913"/>
      <c r="O362" s="1914"/>
      <c r="P362" s="1731"/>
      <c r="R362" s="18"/>
      <c r="S362" s="960">
        <f t="shared" ref="S362:S367" si="56">IF(J362&gt;0,J362,E362)</f>
        <v>0</v>
      </c>
      <c r="T362" s="960">
        <f>LARGE($S$342:$S$367,21)</f>
        <v>0</v>
      </c>
      <c r="U362" s="684">
        <f t="shared" si="50"/>
        <v>0</v>
      </c>
      <c r="V362" s="962">
        <f t="shared" si="51"/>
        <v>0</v>
      </c>
      <c r="W362" s="18"/>
      <c r="X362" s="18"/>
      <c r="Y362" s="1110">
        <f t="shared" ref="Y362:Y366" si="57">G362*E362</f>
        <v>0</v>
      </c>
      <c r="Z362" s="18"/>
      <c r="AA362" s="18"/>
      <c r="AB362" s="63"/>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4"/>
      <c r="BR362" s="14"/>
      <c r="BS362" s="14"/>
      <c r="BT362" s="14"/>
      <c r="BU362" s="14"/>
      <c r="BV362" s="14"/>
      <c r="BW362" s="14"/>
      <c r="BX362" s="14"/>
      <c r="BY362" s="14"/>
      <c r="BZ362" s="14"/>
      <c r="CA362" s="14"/>
      <c r="CB362" s="14"/>
      <c r="CC362" s="14"/>
      <c r="CD362" s="14"/>
      <c r="CE362" s="14"/>
      <c r="CF362" s="14"/>
      <c r="CG362" s="14"/>
      <c r="CH362" s="14"/>
      <c r="CI362" s="14"/>
      <c r="CJ362" s="14"/>
      <c r="CK362" s="14"/>
      <c r="CL362" s="14"/>
      <c r="CM362" s="14"/>
      <c r="CN362" s="14"/>
      <c r="CO362" s="14"/>
      <c r="CP362" s="14"/>
      <c r="CQ362" s="14"/>
      <c r="CR362" s="14"/>
      <c r="CS362" s="14"/>
      <c r="CT362" s="14"/>
      <c r="CU362" s="14"/>
      <c r="CV362" s="14"/>
      <c r="CW362" s="14"/>
      <c r="CX362" s="14"/>
      <c r="CY362" s="14"/>
      <c r="CZ362" s="14"/>
      <c r="DA362" s="14"/>
      <c r="DB362" s="14"/>
      <c r="DC362" s="14"/>
      <c r="DD362" s="14"/>
      <c r="DE362" s="14"/>
      <c r="DF362" s="14"/>
      <c r="DG362" s="14"/>
      <c r="DH362" s="14"/>
      <c r="DI362" s="14"/>
      <c r="DJ362" s="14"/>
      <c r="DK362" s="14"/>
      <c r="DL362" s="14"/>
      <c r="DM362" s="14"/>
      <c r="DN362" s="14"/>
      <c r="DO362" s="14"/>
      <c r="DP362" s="14"/>
      <c r="DQ362" s="14"/>
      <c r="DR362" s="14"/>
      <c r="DS362" s="14"/>
      <c r="DT362" s="14"/>
      <c r="DU362" s="14"/>
      <c r="DV362" s="14"/>
      <c r="DW362" s="14"/>
      <c r="DX362" s="14"/>
      <c r="DY362" s="14"/>
      <c r="DZ362" s="14"/>
      <c r="EA362" s="14"/>
      <c r="EB362" s="14"/>
      <c r="EC362" s="14"/>
      <c r="ED362" s="14"/>
      <c r="EE362" s="14"/>
      <c r="EF362" s="14"/>
      <c r="EG362" s="14"/>
      <c r="EH362" s="14"/>
      <c r="EI362" s="14"/>
      <c r="EJ362" s="14"/>
      <c r="EK362" s="14"/>
      <c r="EL362" s="14"/>
      <c r="EM362" s="14"/>
      <c r="EN362" s="14"/>
      <c r="EO362" s="14"/>
      <c r="EP362" s="14"/>
      <c r="EQ362" s="14"/>
      <c r="ER362" s="14"/>
      <c r="ES362" s="14"/>
      <c r="ET362" s="14"/>
      <c r="EU362" s="14"/>
      <c r="EV362" s="14"/>
      <c r="EW362" s="14"/>
      <c r="EX362" s="14"/>
      <c r="EY362" s="14"/>
      <c r="EZ362" s="14"/>
      <c r="FA362" s="14"/>
      <c r="FB362" s="14"/>
      <c r="FC362" s="14"/>
      <c r="FD362" s="14"/>
      <c r="FE362" s="14"/>
      <c r="FF362" s="14"/>
      <c r="FG362" s="14"/>
      <c r="FH362" s="14"/>
      <c r="FI362" s="14"/>
      <c r="FJ362" s="14"/>
      <c r="FK362" s="14"/>
      <c r="FL362" s="14"/>
      <c r="FM362" s="14"/>
      <c r="FN362" s="14"/>
      <c r="FO362" s="14"/>
      <c r="FP362" s="14"/>
      <c r="FQ362" s="14"/>
      <c r="FR362" s="14"/>
      <c r="FS362" s="14"/>
      <c r="FT362" s="14"/>
      <c r="FU362" s="14"/>
      <c r="FV362" s="14"/>
      <c r="FW362" s="14"/>
      <c r="FX362" s="14"/>
      <c r="FY362" s="14"/>
      <c r="FZ362" s="14"/>
      <c r="GA362" s="14"/>
      <c r="GB362" s="14"/>
      <c r="GC362" s="14"/>
      <c r="GD362" s="14"/>
      <c r="GE362" s="14"/>
      <c r="GF362" s="14"/>
      <c r="GG362" s="14"/>
      <c r="GH362" s="14"/>
      <c r="GI362" s="14"/>
      <c r="GJ362" s="14"/>
      <c r="GK362" s="14"/>
      <c r="GL362" s="14"/>
      <c r="GM362" s="14"/>
      <c r="GN362" s="14"/>
      <c r="GO362" s="14"/>
      <c r="GP362" s="14"/>
      <c r="GQ362" s="14"/>
      <c r="GR362" s="14"/>
      <c r="GS362" s="14"/>
      <c r="GT362" s="14"/>
      <c r="GU362" s="14"/>
      <c r="GV362" s="14"/>
      <c r="GW362" s="14"/>
      <c r="GX362" s="14"/>
      <c r="GY362" s="14"/>
      <c r="GZ362" s="14"/>
      <c r="HA362" s="14"/>
      <c r="HB362" s="14"/>
      <c r="HC362" s="14"/>
      <c r="HD362" s="14"/>
      <c r="HE362" s="14"/>
      <c r="HF362" s="14"/>
      <c r="HG362" s="14"/>
      <c r="HH362" s="14"/>
      <c r="HI362" s="14"/>
      <c r="HJ362" s="14"/>
      <c r="HK362" s="14"/>
      <c r="HL362" s="14"/>
      <c r="HM362" s="14"/>
      <c r="HN362" s="14"/>
      <c r="HO362" s="14"/>
      <c r="HP362" s="14"/>
      <c r="HQ362" s="14"/>
      <c r="HR362" s="14"/>
      <c r="HS362" s="14"/>
      <c r="HT362" s="14"/>
    </row>
    <row r="363" spans="2:228" ht="15" customHeight="1" x14ac:dyDescent="0.2">
      <c r="B363" s="1843" t="s">
        <v>1448</v>
      </c>
      <c r="C363" s="1844"/>
      <c r="D363" s="1845"/>
      <c r="E363" s="1342">
        <f>P254</f>
        <v>0</v>
      </c>
      <c r="F363" s="1344"/>
      <c r="G363" s="1577"/>
      <c r="H363" s="1841"/>
      <c r="I363" s="1842"/>
      <c r="J363" s="1847">
        <f t="shared" si="55"/>
        <v>0</v>
      </c>
      <c r="K363" s="1847"/>
      <c r="L363" s="1913"/>
      <c r="M363" s="1913"/>
      <c r="N363" s="1913"/>
      <c r="O363" s="1914"/>
      <c r="P363" s="1731"/>
      <c r="R363" s="18"/>
      <c r="S363" s="960">
        <f t="shared" si="56"/>
        <v>0</v>
      </c>
      <c r="T363" s="960">
        <f>LARGE($S$342:$S$367,22)</f>
        <v>0</v>
      </c>
      <c r="U363" s="684">
        <f t="shared" si="50"/>
        <v>0</v>
      </c>
      <c r="V363" s="962">
        <f t="shared" si="51"/>
        <v>0</v>
      </c>
      <c r="W363" s="18"/>
      <c r="X363" s="18"/>
      <c r="Y363" s="1110">
        <f t="shared" si="57"/>
        <v>0</v>
      </c>
      <c r="Z363" s="18"/>
      <c r="AA363" s="18"/>
      <c r="AB363" s="63"/>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4"/>
      <c r="BR363" s="14"/>
      <c r="BS363" s="14"/>
      <c r="BT363" s="14"/>
      <c r="BU363" s="14"/>
      <c r="BV363" s="14"/>
      <c r="BW363" s="14"/>
      <c r="BX363" s="14"/>
      <c r="BY363" s="14"/>
      <c r="BZ363" s="14"/>
      <c r="CA363" s="14"/>
      <c r="CB363" s="14"/>
      <c r="CC363" s="14"/>
      <c r="CD363" s="14"/>
      <c r="CE363" s="14"/>
      <c r="CF363" s="14"/>
      <c r="CG363" s="14"/>
      <c r="CH363" s="14"/>
      <c r="CI363" s="14"/>
      <c r="CJ363" s="14"/>
      <c r="CK363" s="14"/>
      <c r="CL363" s="14"/>
      <c r="CM363" s="14"/>
      <c r="CN363" s="14"/>
      <c r="CO363" s="14"/>
      <c r="CP363" s="14"/>
      <c r="CQ363" s="14"/>
      <c r="CR363" s="14"/>
      <c r="CS363" s="14"/>
      <c r="CT363" s="14"/>
      <c r="CU363" s="14"/>
      <c r="CV363" s="14"/>
      <c r="CW363" s="14"/>
      <c r="CX363" s="14"/>
      <c r="CY363" s="14"/>
      <c r="CZ363" s="14"/>
      <c r="DA363" s="14"/>
      <c r="DB363" s="14"/>
      <c r="DC363" s="14"/>
      <c r="DD363" s="14"/>
      <c r="DE363" s="14"/>
      <c r="DF363" s="14"/>
      <c r="DG363" s="14"/>
      <c r="DH363" s="14"/>
      <c r="DI363" s="14"/>
      <c r="DJ363" s="14"/>
      <c r="DK363" s="14"/>
      <c r="DL363" s="14"/>
      <c r="DM363" s="14"/>
      <c r="DN363" s="14"/>
      <c r="DO363" s="14"/>
      <c r="DP363" s="14"/>
      <c r="DQ363" s="14"/>
      <c r="DR363" s="14"/>
      <c r="DS363" s="14"/>
      <c r="DT363" s="14"/>
      <c r="DU363" s="14"/>
      <c r="DV363" s="14"/>
      <c r="DW363" s="14"/>
      <c r="DX363" s="14"/>
      <c r="DY363" s="14"/>
      <c r="DZ363" s="14"/>
      <c r="EA363" s="14"/>
      <c r="EB363" s="14"/>
      <c r="EC363" s="14"/>
      <c r="ED363" s="14"/>
      <c r="EE363" s="14"/>
      <c r="EF363" s="14"/>
      <c r="EG363" s="14"/>
      <c r="EH363" s="14"/>
      <c r="EI363" s="14"/>
      <c r="EJ363" s="14"/>
      <c r="EK363" s="14"/>
      <c r="EL363" s="14"/>
      <c r="EM363" s="14"/>
      <c r="EN363" s="14"/>
      <c r="EO363" s="14"/>
      <c r="EP363" s="14"/>
      <c r="EQ363" s="14"/>
      <c r="ER363" s="14"/>
      <c r="ES363" s="14"/>
      <c r="ET363" s="14"/>
      <c r="EU363" s="14"/>
      <c r="EV363" s="14"/>
      <c r="EW363" s="14"/>
      <c r="EX363" s="14"/>
      <c r="EY363" s="14"/>
      <c r="EZ363" s="14"/>
      <c r="FA363" s="14"/>
      <c r="FB363" s="14"/>
      <c r="FC363" s="14"/>
      <c r="FD363" s="14"/>
      <c r="FE363" s="14"/>
      <c r="FF363" s="14"/>
      <c r="FG363" s="14"/>
      <c r="FH363" s="14"/>
      <c r="FI363" s="14"/>
      <c r="FJ363" s="14"/>
      <c r="FK363" s="14"/>
      <c r="FL363" s="14"/>
      <c r="FM363" s="14"/>
      <c r="FN363" s="14"/>
      <c r="FO363" s="14"/>
      <c r="FP363" s="14"/>
      <c r="FQ363" s="14"/>
      <c r="FR363" s="14"/>
      <c r="FS363" s="14"/>
      <c r="FT363" s="14"/>
      <c r="FU363" s="14"/>
      <c r="FV363" s="14"/>
      <c r="FW363" s="14"/>
      <c r="FX363" s="14"/>
      <c r="FY363" s="14"/>
      <c r="FZ363" s="14"/>
      <c r="GA363" s="14"/>
      <c r="GB363" s="14"/>
      <c r="GC363" s="14"/>
      <c r="GD363" s="14"/>
      <c r="GE363" s="14"/>
      <c r="GF363" s="14"/>
      <c r="GG363" s="14"/>
      <c r="GH363" s="14"/>
      <c r="GI363" s="14"/>
      <c r="GJ363" s="14"/>
      <c r="GK363" s="14"/>
      <c r="GL363" s="14"/>
      <c r="GM363" s="14"/>
      <c r="GN363" s="14"/>
      <c r="GO363" s="14"/>
      <c r="GP363" s="14"/>
      <c r="GQ363" s="14"/>
      <c r="GR363" s="14"/>
      <c r="GS363" s="14"/>
      <c r="GT363" s="14"/>
      <c r="GU363" s="14"/>
      <c r="GV363" s="14"/>
      <c r="GW363" s="14"/>
      <c r="GX363" s="14"/>
      <c r="GY363" s="14"/>
      <c r="GZ363" s="14"/>
      <c r="HA363" s="14"/>
      <c r="HB363" s="14"/>
      <c r="HC363" s="14"/>
      <c r="HD363" s="14"/>
      <c r="HE363" s="14"/>
      <c r="HF363" s="14"/>
      <c r="HG363" s="14"/>
      <c r="HH363" s="14"/>
      <c r="HI363" s="14"/>
      <c r="HJ363" s="14"/>
      <c r="HK363" s="14"/>
      <c r="HL363" s="14"/>
      <c r="HM363" s="14"/>
      <c r="HN363" s="14"/>
      <c r="HO363" s="14"/>
      <c r="HP363" s="14"/>
      <c r="HQ363" s="14"/>
      <c r="HR363" s="14"/>
      <c r="HS363" s="14"/>
      <c r="HT363" s="14"/>
    </row>
    <row r="364" spans="2:228" ht="15" customHeight="1" x14ac:dyDescent="0.2">
      <c r="B364" s="1843" t="s">
        <v>1449</v>
      </c>
      <c r="C364" s="1844"/>
      <c r="D364" s="1845"/>
      <c r="E364" s="1342">
        <f>P257</f>
        <v>0</v>
      </c>
      <c r="F364" s="1344"/>
      <c r="G364" s="1577"/>
      <c r="H364" s="1841"/>
      <c r="I364" s="1842"/>
      <c r="J364" s="1847">
        <f t="shared" si="55"/>
        <v>0</v>
      </c>
      <c r="K364" s="1847"/>
      <c r="L364" s="1913"/>
      <c r="M364" s="1913"/>
      <c r="N364" s="1913"/>
      <c r="O364" s="1914"/>
      <c r="P364" s="1731"/>
      <c r="R364" s="18"/>
      <c r="S364" s="960">
        <f t="shared" si="56"/>
        <v>0</v>
      </c>
      <c r="T364" s="960">
        <f>LARGE($S$342:$S$367,23)</f>
        <v>0</v>
      </c>
      <c r="U364" s="684">
        <f t="shared" si="50"/>
        <v>0</v>
      </c>
      <c r="V364" s="962">
        <f t="shared" si="51"/>
        <v>0</v>
      </c>
      <c r="W364" s="18"/>
      <c r="X364" s="18"/>
      <c r="Y364" s="1110">
        <f t="shared" si="57"/>
        <v>0</v>
      </c>
      <c r="Z364" s="18"/>
      <c r="AA364" s="18"/>
      <c r="AB364" s="63"/>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4"/>
      <c r="BR364" s="14"/>
      <c r="BS364" s="14"/>
      <c r="BT364" s="14"/>
      <c r="BU364" s="14"/>
      <c r="BV364" s="14"/>
      <c r="BW364" s="14"/>
      <c r="BX364" s="14"/>
      <c r="BY364" s="14"/>
      <c r="BZ364" s="14"/>
      <c r="CA364" s="14"/>
      <c r="CB364" s="14"/>
      <c r="CC364" s="14"/>
      <c r="CD364" s="14"/>
      <c r="CE364" s="14"/>
      <c r="CF364" s="14"/>
      <c r="CG364" s="14"/>
      <c r="CH364" s="14"/>
      <c r="CI364" s="14"/>
      <c r="CJ364" s="14"/>
      <c r="CK364" s="14"/>
      <c r="CL364" s="14"/>
      <c r="CM364" s="14"/>
      <c r="CN364" s="14"/>
      <c r="CO364" s="14"/>
      <c r="CP364" s="14"/>
      <c r="CQ364" s="14"/>
      <c r="CR364" s="14"/>
      <c r="CS364" s="14"/>
      <c r="CT364" s="14"/>
      <c r="CU364" s="14"/>
      <c r="CV364" s="14"/>
      <c r="CW364" s="14"/>
      <c r="CX364" s="14"/>
      <c r="CY364" s="14"/>
      <c r="CZ364" s="14"/>
      <c r="DA364" s="14"/>
      <c r="DB364" s="14"/>
      <c r="DC364" s="14"/>
      <c r="DD364" s="14"/>
      <c r="DE364" s="14"/>
      <c r="DF364" s="14"/>
      <c r="DG364" s="14"/>
      <c r="DH364" s="14"/>
      <c r="DI364" s="14"/>
      <c r="DJ364" s="14"/>
      <c r="DK364" s="14"/>
      <c r="DL364" s="14"/>
      <c r="DM364" s="14"/>
      <c r="DN364" s="14"/>
      <c r="DO364" s="14"/>
      <c r="DP364" s="14"/>
      <c r="DQ364" s="14"/>
      <c r="DR364" s="14"/>
      <c r="DS364" s="14"/>
      <c r="DT364" s="14"/>
      <c r="DU364" s="14"/>
      <c r="DV364" s="14"/>
      <c r="DW364" s="14"/>
      <c r="DX364" s="14"/>
      <c r="DY364" s="14"/>
      <c r="DZ364" s="14"/>
      <c r="EA364" s="14"/>
      <c r="EB364" s="14"/>
      <c r="EC364" s="14"/>
      <c r="ED364" s="14"/>
      <c r="EE364" s="14"/>
      <c r="EF364" s="14"/>
      <c r="EG364" s="14"/>
      <c r="EH364" s="14"/>
      <c r="EI364" s="14"/>
      <c r="EJ364" s="14"/>
      <c r="EK364" s="14"/>
      <c r="EL364" s="14"/>
      <c r="EM364" s="14"/>
      <c r="EN364" s="14"/>
      <c r="EO364" s="14"/>
      <c r="EP364" s="14"/>
      <c r="EQ364" s="14"/>
      <c r="ER364" s="14"/>
      <c r="ES364" s="14"/>
      <c r="ET364" s="14"/>
      <c r="EU364" s="14"/>
      <c r="EV364" s="14"/>
      <c r="EW364" s="14"/>
      <c r="EX364" s="14"/>
      <c r="EY364" s="14"/>
      <c r="EZ364" s="14"/>
      <c r="FA364" s="14"/>
      <c r="FB364" s="14"/>
      <c r="FC364" s="14"/>
      <c r="FD364" s="14"/>
      <c r="FE364" s="14"/>
      <c r="FF364" s="14"/>
      <c r="FG364" s="14"/>
      <c r="FH364" s="14"/>
      <c r="FI364" s="14"/>
      <c r="FJ364" s="14"/>
      <c r="FK364" s="14"/>
      <c r="FL364" s="14"/>
      <c r="FM364" s="14"/>
      <c r="FN364" s="14"/>
      <c r="FO364" s="14"/>
      <c r="FP364" s="14"/>
      <c r="FQ364" s="14"/>
      <c r="FR364" s="14"/>
      <c r="FS364" s="14"/>
      <c r="FT364" s="14"/>
      <c r="FU364" s="14"/>
      <c r="FV364" s="14"/>
      <c r="FW364" s="14"/>
      <c r="FX364" s="14"/>
      <c r="FY364" s="14"/>
      <c r="FZ364" s="14"/>
      <c r="GA364" s="14"/>
      <c r="GB364" s="14"/>
      <c r="GC364" s="14"/>
      <c r="GD364" s="14"/>
      <c r="GE364" s="14"/>
      <c r="GF364" s="14"/>
      <c r="GG364" s="14"/>
      <c r="GH364" s="14"/>
      <c r="GI364" s="14"/>
      <c r="GJ364" s="14"/>
      <c r="GK364" s="14"/>
      <c r="GL364" s="14"/>
      <c r="GM364" s="14"/>
      <c r="GN364" s="14"/>
      <c r="GO364" s="14"/>
      <c r="GP364" s="14"/>
      <c r="GQ364" s="14"/>
      <c r="GR364" s="14"/>
      <c r="GS364" s="14"/>
      <c r="GT364" s="14"/>
      <c r="GU364" s="14"/>
      <c r="GV364" s="14"/>
      <c r="GW364" s="14"/>
      <c r="GX364" s="14"/>
      <c r="GY364" s="14"/>
      <c r="GZ364" s="14"/>
      <c r="HA364" s="14"/>
      <c r="HB364" s="14"/>
      <c r="HC364" s="14"/>
      <c r="HD364" s="14"/>
      <c r="HE364" s="14"/>
      <c r="HF364" s="14"/>
      <c r="HG364" s="14"/>
      <c r="HH364" s="14"/>
      <c r="HI364" s="14"/>
      <c r="HJ364" s="14"/>
      <c r="HK364" s="14"/>
      <c r="HL364" s="14"/>
      <c r="HM364" s="14"/>
      <c r="HN364" s="14"/>
      <c r="HO364" s="14"/>
      <c r="HP364" s="14"/>
      <c r="HQ364" s="14"/>
      <c r="HR364" s="14"/>
      <c r="HS364" s="14"/>
      <c r="HT364" s="14"/>
    </row>
    <row r="365" spans="2:228" ht="15" customHeight="1" x14ac:dyDescent="0.2">
      <c r="B365" s="1843" t="s">
        <v>596</v>
      </c>
      <c r="C365" s="1844"/>
      <c r="D365" s="1845"/>
      <c r="E365" s="1342">
        <f>IF(P427&gt;0,0,P267)</f>
        <v>0</v>
      </c>
      <c r="F365" s="1344"/>
      <c r="G365" s="1577"/>
      <c r="H365" s="1841"/>
      <c r="I365" s="1842"/>
      <c r="J365" s="1847">
        <f t="shared" si="55"/>
        <v>0</v>
      </c>
      <c r="K365" s="1847"/>
      <c r="L365" s="1913"/>
      <c r="M365" s="1913"/>
      <c r="N365" s="1913"/>
      <c r="O365" s="1914"/>
      <c r="P365" s="1731"/>
      <c r="R365" s="18"/>
      <c r="S365" s="960">
        <f t="shared" si="56"/>
        <v>0</v>
      </c>
      <c r="T365" s="960">
        <f>LARGE($S$342:$S$367,24)</f>
        <v>0</v>
      </c>
      <c r="U365" s="684">
        <f t="shared" si="50"/>
        <v>0</v>
      </c>
      <c r="V365" s="962">
        <f t="shared" si="51"/>
        <v>0</v>
      </c>
      <c r="W365" s="18"/>
      <c r="X365" s="18"/>
      <c r="Y365" s="1110">
        <f t="shared" si="57"/>
        <v>0</v>
      </c>
      <c r="Z365" s="18"/>
      <c r="AA365" s="18"/>
      <c r="AB365" s="63"/>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4"/>
      <c r="BR365" s="14"/>
      <c r="BS365" s="14"/>
      <c r="BT365" s="14"/>
      <c r="BU365" s="14"/>
      <c r="BV365" s="14"/>
      <c r="BW365" s="14"/>
      <c r="BX365" s="14"/>
      <c r="BY365" s="14"/>
      <c r="BZ365" s="14"/>
      <c r="CA365" s="14"/>
      <c r="CB365" s="14"/>
      <c r="CC365" s="14"/>
      <c r="CD365" s="14"/>
      <c r="CE365" s="14"/>
      <c r="CF365" s="14"/>
      <c r="CG365" s="14"/>
      <c r="CH365" s="14"/>
      <c r="CI365" s="14"/>
      <c r="CJ365" s="14"/>
      <c r="CK365" s="14"/>
      <c r="CL365" s="14"/>
      <c r="CM365" s="14"/>
      <c r="CN365" s="14"/>
      <c r="CO365" s="14"/>
      <c r="CP365" s="14"/>
      <c r="CQ365" s="14"/>
      <c r="CR365" s="14"/>
      <c r="CS365" s="14"/>
      <c r="CT365" s="14"/>
      <c r="CU365" s="14"/>
      <c r="CV365" s="14"/>
      <c r="CW365" s="14"/>
      <c r="CX365" s="14"/>
      <c r="CY365" s="14"/>
      <c r="CZ365" s="14"/>
      <c r="DA365" s="14"/>
      <c r="DB365" s="14"/>
      <c r="DC365" s="14"/>
      <c r="DD365" s="14"/>
      <c r="DE365" s="14"/>
      <c r="DF365" s="14"/>
      <c r="DG365" s="14"/>
      <c r="DH365" s="14"/>
      <c r="DI365" s="14"/>
      <c r="DJ365" s="14"/>
      <c r="DK365" s="14"/>
      <c r="DL365" s="14"/>
      <c r="DM365" s="14"/>
      <c r="DN365" s="14"/>
      <c r="DO365" s="14"/>
      <c r="DP365" s="14"/>
      <c r="DQ365" s="14"/>
      <c r="DR365" s="14"/>
      <c r="DS365" s="14"/>
      <c r="DT365" s="14"/>
      <c r="DU365" s="14"/>
      <c r="DV365" s="14"/>
      <c r="DW365" s="14"/>
      <c r="DX365" s="14"/>
      <c r="DY365" s="14"/>
      <c r="DZ365" s="14"/>
      <c r="EA365" s="14"/>
      <c r="EB365" s="14"/>
      <c r="EC365" s="14"/>
      <c r="ED365" s="14"/>
      <c r="EE365" s="14"/>
      <c r="EF365" s="14"/>
      <c r="EG365" s="14"/>
      <c r="EH365" s="14"/>
      <c r="EI365" s="14"/>
      <c r="EJ365" s="14"/>
      <c r="EK365" s="14"/>
      <c r="EL365" s="14"/>
      <c r="EM365" s="14"/>
      <c r="EN365" s="14"/>
      <c r="EO365" s="14"/>
      <c r="EP365" s="14"/>
      <c r="EQ365" s="14"/>
      <c r="ER365" s="14"/>
      <c r="ES365" s="14"/>
      <c r="ET365" s="14"/>
      <c r="EU365" s="14"/>
      <c r="EV365" s="14"/>
      <c r="EW365" s="14"/>
      <c r="EX365" s="14"/>
      <c r="EY365" s="14"/>
      <c r="EZ365" s="14"/>
      <c r="FA365" s="14"/>
      <c r="FB365" s="14"/>
      <c r="FC365" s="14"/>
      <c r="FD365" s="14"/>
      <c r="FE365" s="14"/>
      <c r="FF365" s="14"/>
      <c r="FG365" s="14"/>
      <c r="FH365" s="14"/>
      <c r="FI365" s="14"/>
      <c r="FJ365" s="14"/>
      <c r="FK365" s="14"/>
      <c r="FL365" s="14"/>
      <c r="FM365" s="14"/>
      <c r="FN365" s="14"/>
      <c r="FO365" s="14"/>
      <c r="FP365" s="14"/>
      <c r="FQ365" s="14"/>
      <c r="FR365" s="14"/>
      <c r="FS365" s="14"/>
      <c r="FT365" s="14"/>
      <c r="FU365" s="14"/>
      <c r="FV365" s="14"/>
      <c r="FW365" s="14"/>
      <c r="FX365" s="14"/>
      <c r="FY365" s="14"/>
      <c r="FZ365" s="14"/>
      <c r="GA365" s="14"/>
      <c r="GB365" s="14"/>
      <c r="GC365" s="14"/>
      <c r="GD365" s="14"/>
      <c r="GE365" s="14"/>
      <c r="GF365" s="14"/>
      <c r="GG365" s="14"/>
      <c r="GH365" s="14"/>
      <c r="GI365" s="14"/>
      <c r="GJ365" s="14"/>
      <c r="GK365" s="14"/>
      <c r="GL365" s="14"/>
      <c r="GM365" s="14"/>
      <c r="GN365" s="14"/>
      <c r="GO365" s="14"/>
      <c r="GP365" s="14"/>
      <c r="GQ365" s="14"/>
      <c r="GR365" s="14"/>
      <c r="GS365" s="14"/>
      <c r="GT365" s="14"/>
      <c r="GU365" s="14"/>
      <c r="GV365" s="14"/>
      <c r="GW365" s="14"/>
      <c r="GX365" s="14"/>
      <c r="GY365" s="14"/>
      <c r="GZ365" s="14"/>
      <c r="HA365" s="14"/>
      <c r="HB365" s="14"/>
      <c r="HC365" s="14"/>
      <c r="HD365" s="14"/>
      <c r="HE365" s="14"/>
      <c r="HF365" s="14"/>
      <c r="HG365" s="14"/>
      <c r="HH365" s="14"/>
      <c r="HI365" s="14"/>
      <c r="HJ365" s="14"/>
      <c r="HK365" s="14"/>
      <c r="HL365" s="14"/>
      <c r="HM365" s="14"/>
      <c r="HN365" s="14"/>
      <c r="HO365" s="14"/>
      <c r="HP365" s="14"/>
      <c r="HQ365" s="14"/>
      <c r="HR365" s="14"/>
      <c r="HS365" s="14"/>
      <c r="HT365" s="14"/>
    </row>
    <row r="366" spans="2:228" ht="15" customHeight="1" x14ac:dyDescent="0.2">
      <c r="B366" s="1843" t="s">
        <v>1639</v>
      </c>
      <c r="C366" s="1844"/>
      <c r="D366" s="1845"/>
      <c r="E366" s="1342">
        <f>IF(P427&gt;0,0,P337)</f>
        <v>0</v>
      </c>
      <c r="F366" s="1344"/>
      <c r="G366" s="1577"/>
      <c r="H366" s="1841"/>
      <c r="I366" s="1842"/>
      <c r="J366" s="1847">
        <f t="shared" si="55"/>
        <v>0</v>
      </c>
      <c r="K366" s="1847"/>
      <c r="L366" s="1913"/>
      <c r="M366" s="1913"/>
      <c r="N366" s="1913"/>
      <c r="O366" s="1914"/>
      <c r="P366" s="1731"/>
      <c r="R366" s="18"/>
      <c r="S366" s="960">
        <f t="shared" si="56"/>
        <v>0</v>
      </c>
      <c r="T366" s="960">
        <f>LARGE($S$342:$S$367,25)</f>
        <v>0</v>
      </c>
      <c r="U366" s="684">
        <f t="shared" si="50"/>
        <v>0</v>
      </c>
      <c r="V366" s="962">
        <f t="shared" si="51"/>
        <v>0</v>
      </c>
      <c r="W366" s="18"/>
      <c r="X366" s="18"/>
      <c r="Y366" s="1110">
        <f t="shared" si="57"/>
        <v>0</v>
      </c>
      <c r="Z366" s="18"/>
      <c r="AA366" s="18"/>
      <c r="AB366" s="63"/>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4"/>
      <c r="BR366" s="14"/>
      <c r="BS366" s="14"/>
      <c r="BT366" s="14"/>
      <c r="BU366" s="14"/>
      <c r="BV366" s="14"/>
      <c r="BW366" s="14"/>
      <c r="BX366" s="14"/>
      <c r="BY366" s="14"/>
      <c r="BZ366" s="14"/>
      <c r="CA366" s="14"/>
      <c r="CB366" s="14"/>
      <c r="CC366" s="14"/>
      <c r="CD366" s="14"/>
      <c r="CE366" s="14"/>
      <c r="CF366" s="14"/>
      <c r="CG366" s="14"/>
      <c r="CH366" s="14"/>
      <c r="CI366" s="14"/>
      <c r="CJ366" s="14"/>
      <c r="CK366" s="14"/>
      <c r="CL366" s="14"/>
      <c r="CM366" s="14"/>
      <c r="CN366" s="14"/>
      <c r="CO366" s="14"/>
      <c r="CP366" s="14"/>
      <c r="CQ366" s="14"/>
      <c r="CR366" s="14"/>
      <c r="CS366" s="14"/>
      <c r="CT366" s="14"/>
      <c r="CU366" s="14"/>
      <c r="CV366" s="14"/>
      <c r="CW366" s="14"/>
      <c r="CX366" s="14"/>
      <c r="CY366" s="14"/>
      <c r="CZ366" s="14"/>
      <c r="DA366" s="14"/>
      <c r="DB366" s="14"/>
      <c r="DC366" s="14"/>
      <c r="DD366" s="14"/>
      <c r="DE366" s="14"/>
      <c r="DF366" s="14"/>
      <c r="DG366" s="14"/>
      <c r="DH366" s="14"/>
      <c r="DI366" s="14"/>
      <c r="DJ366" s="14"/>
      <c r="DK366" s="14"/>
      <c r="DL366" s="14"/>
      <c r="DM366" s="14"/>
      <c r="DN366" s="14"/>
      <c r="DO366" s="14"/>
      <c r="DP366" s="14"/>
      <c r="DQ366" s="14"/>
      <c r="DR366" s="14"/>
      <c r="DS366" s="14"/>
      <c r="DT366" s="14"/>
      <c r="DU366" s="14"/>
      <c r="DV366" s="14"/>
      <c r="DW366" s="14"/>
      <c r="DX366" s="14"/>
      <c r="DY366" s="14"/>
      <c r="DZ366" s="14"/>
      <c r="EA366" s="14"/>
      <c r="EB366" s="14"/>
      <c r="EC366" s="14"/>
      <c r="ED366" s="14"/>
      <c r="EE366" s="14"/>
      <c r="EF366" s="14"/>
      <c r="EG366" s="14"/>
      <c r="EH366" s="14"/>
      <c r="EI366" s="14"/>
      <c r="EJ366" s="14"/>
      <c r="EK366" s="14"/>
      <c r="EL366" s="14"/>
      <c r="EM366" s="14"/>
      <c r="EN366" s="14"/>
      <c r="EO366" s="14"/>
      <c r="EP366" s="14"/>
      <c r="EQ366" s="14"/>
      <c r="ER366" s="14"/>
      <c r="ES366" s="14"/>
      <c r="ET366" s="14"/>
      <c r="EU366" s="14"/>
      <c r="EV366" s="14"/>
      <c r="EW366" s="14"/>
      <c r="EX366" s="14"/>
      <c r="EY366" s="14"/>
      <c r="EZ366" s="14"/>
      <c r="FA366" s="14"/>
      <c r="FB366" s="14"/>
      <c r="FC366" s="14"/>
      <c r="FD366" s="14"/>
      <c r="FE366" s="14"/>
      <c r="FF366" s="14"/>
      <c r="FG366" s="14"/>
      <c r="FH366" s="14"/>
      <c r="FI366" s="14"/>
      <c r="FJ366" s="14"/>
      <c r="FK366" s="14"/>
      <c r="FL366" s="14"/>
      <c r="FM366" s="14"/>
      <c r="FN366" s="14"/>
      <c r="FO366" s="14"/>
      <c r="FP366" s="14"/>
      <c r="FQ366" s="14"/>
      <c r="FR366" s="14"/>
      <c r="FS366" s="14"/>
      <c r="FT366" s="14"/>
      <c r="FU366" s="14"/>
      <c r="FV366" s="14"/>
      <c r="FW366" s="14"/>
      <c r="FX366" s="14"/>
      <c r="FY366" s="14"/>
      <c r="FZ366" s="14"/>
      <c r="GA366" s="14"/>
      <c r="GB366" s="14"/>
      <c r="GC366" s="14"/>
      <c r="GD366" s="14"/>
      <c r="GE366" s="14"/>
      <c r="GF366" s="14"/>
      <c r="GG366" s="14"/>
      <c r="GH366" s="14"/>
      <c r="GI366" s="14"/>
      <c r="GJ366" s="14"/>
      <c r="GK366" s="14"/>
      <c r="GL366" s="14"/>
      <c r="GM366" s="14"/>
      <c r="GN366" s="14"/>
      <c r="GO366" s="14"/>
      <c r="GP366" s="14"/>
      <c r="GQ366" s="14"/>
      <c r="GR366" s="14"/>
      <c r="GS366" s="14"/>
      <c r="GT366" s="14"/>
      <c r="GU366" s="14"/>
      <c r="GV366" s="14"/>
      <c r="GW366" s="14"/>
      <c r="GX366" s="14"/>
      <c r="GY366" s="14"/>
      <c r="GZ366" s="14"/>
      <c r="HA366" s="14"/>
      <c r="HB366" s="14"/>
      <c r="HC366" s="14"/>
      <c r="HD366" s="14"/>
      <c r="HE366" s="14"/>
      <c r="HF366" s="14"/>
      <c r="HG366" s="14"/>
      <c r="HH366" s="14"/>
      <c r="HI366" s="14"/>
      <c r="HJ366" s="14"/>
      <c r="HK366" s="14"/>
      <c r="HL366" s="14"/>
      <c r="HM366" s="14"/>
      <c r="HN366" s="14"/>
      <c r="HO366" s="14"/>
      <c r="HP366" s="14"/>
      <c r="HQ366" s="14"/>
      <c r="HR366" s="14"/>
      <c r="HS366" s="14"/>
      <c r="HT366" s="14"/>
    </row>
    <row r="367" spans="2:228" ht="15" customHeight="1" x14ac:dyDescent="0.2">
      <c r="B367" s="1891" t="s">
        <v>1451</v>
      </c>
      <c r="C367" s="1892"/>
      <c r="D367" s="1893"/>
      <c r="E367" s="1728">
        <f>P270</f>
        <v>0</v>
      </c>
      <c r="F367" s="1846"/>
      <c r="G367" s="1702" t="s">
        <v>1942</v>
      </c>
      <c r="H367" s="1627"/>
      <c r="I367" s="1628"/>
      <c r="J367" s="1838"/>
      <c r="K367" s="1838"/>
      <c r="L367" s="1913"/>
      <c r="M367" s="1913"/>
      <c r="N367" s="1913"/>
      <c r="O367" s="1914"/>
      <c r="P367" s="1731"/>
      <c r="R367" s="18"/>
      <c r="S367" s="960">
        <f t="shared" si="56"/>
        <v>0</v>
      </c>
      <c r="T367" s="960">
        <f>LARGE($S$342:$S$367,26)</f>
        <v>0</v>
      </c>
      <c r="U367" s="18"/>
      <c r="V367" s="18"/>
      <c r="W367" s="18"/>
      <c r="X367" s="18"/>
      <c r="Y367" s="1111"/>
      <c r="Z367" s="18"/>
      <c r="AA367" s="18"/>
      <c r="AB367" s="63"/>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4"/>
      <c r="BR367" s="14"/>
      <c r="BS367" s="14"/>
      <c r="BT367" s="14"/>
      <c r="BU367" s="14"/>
      <c r="BV367" s="14"/>
      <c r="BW367" s="14"/>
      <c r="BX367" s="14"/>
      <c r="BY367" s="14"/>
      <c r="BZ367" s="14"/>
      <c r="CA367" s="14"/>
      <c r="CB367" s="14"/>
      <c r="CC367" s="14"/>
      <c r="CD367" s="14"/>
      <c r="CE367" s="14"/>
      <c r="CF367" s="14"/>
      <c r="CG367" s="14"/>
      <c r="CH367" s="14"/>
      <c r="CI367" s="14"/>
      <c r="CJ367" s="14"/>
      <c r="CK367" s="14"/>
      <c r="CL367" s="14"/>
      <c r="CM367" s="14"/>
      <c r="CN367" s="14"/>
      <c r="CO367" s="14"/>
      <c r="CP367" s="14"/>
      <c r="CQ367" s="14"/>
      <c r="CR367" s="14"/>
      <c r="CS367" s="14"/>
      <c r="CT367" s="14"/>
      <c r="CU367" s="14"/>
      <c r="CV367" s="14"/>
      <c r="CW367" s="14"/>
      <c r="CX367" s="14"/>
      <c r="CY367" s="14"/>
      <c r="CZ367" s="14"/>
      <c r="DA367" s="14"/>
      <c r="DB367" s="14"/>
      <c r="DC367" s="14"/>
      <c r="DD367" s="14"/>
      <c r="DE367" s="14"/>
      <c r="DF367" s="14"/>
      <c r="DG367" s="14"/>
      <c r="DH367" s="14"/>
      <c r="DI367" s="14"/>
      <c r="DJ367" s="14"/>
      <c r="DK367" s="14"/>
      <c r="DL367" s="14"/>
      <c r="DM367" s="14"/>
      <c r="DN367" s="14"/>
      <c r="DO367" s="14"/>
      <c r="DP367" s="14"/>
      <c r="DQ367" s="14"/>
      <c r="DR367" s="14"/>
      <c r="DS367" s="14"/>
      <c r="DT367" s="14"/>
      <c r="DU367" s="14"/>
      <c r="DV367" s="14"/>
      <c r="DW367" s="14"/>
      <c r="DX367" s="14"/>
      <c r="DY367" s="14"/>
      <c r="DZ367" s="14"/>
      <c r="EA367" s="14"/>
      <c r="EB367" s="14"/>
      <c r="EC367" s="14"/>
      <c r="ED367" s="14"/>
      <c r="EE367" s="14"/>
      <c r="EF367" s="14"/>
      <c r="EG367" s="14"/>
      <c r="EH367" s="14"/>
      <c r="EI367" s="14"/>
      <c r="EJ367" s="14"/>
      <c r="EK367" s="14"/>
      <c r="EL367" s="14"/>
      <c r="EM367" s="14"/>
      <c r="EN367" s="14"/>
      <c r="EO367" s="14"/>
      <c r="EP367" s="14"/>
      <c r="EQ367" s="14"/>
      <c r="ER367" s="14"/>
      <c r="ES367" s="14"/>
      <c r="ET367" s="14"/>
      <c r="EU367" s="14"/>
      <c r="EV367" s="14"/>
      <c r="EW367" s="14"/>
      <c r="EX367" s="14"/>
      <c r="EY367" s="14"/>
      <c r="EZ367" s="14"/>
      <c r="FA367" s="14"/>
      <c r="FB367" s="14"/>
      <c r="FC367" s="14"/>
      <c r="FD367" s="14"/>
      <c r="FE367" s="14"/>
      <c r="FF367" s="14"/>
      <c r="FG367" s="14"/>
      <c r="FH367" s="14"/>
      <c r="FI367" s="14"/>
      <c r="FJ367" s="14"/>
      <c r="FK367" s="14"/>
      <c r="FL367" s="14"/>
      <c r="FM367" s="14"/>
      <c r="FN367" s="14"/>
      <c r="FO367" s="14"/>
      <c r="FP367" s="14"/>
      <c r="FQ367" s="14"/>
      <c r="FR367" s="14"/>
      <c r="FS367" s="14"/>
      <c r="FT367" s="14"/>
      <c r="FU367" s="14"/>
      <c r="FV367" s="14"/>
      <c r="FW367" s="14"/>
      <c r="FX367" s="14"/>
      <c r="FY367" s="14"/>
      <c r="FZ367" s="14"/>
      <c r="GA367" s="14"/>
      <c r="GB367" s="14"/>
      <c r="GC367" s="14"/>
      <c r="GD367" s="14"/>
      <c r="GE367" s="14"/>
      <c r="GF367" s="14"/>
      <c r="GG367" s="14"/>
      <c r="GH367" s="14"/>
      <c r="GI367" s="14"/>
      <c r="GJ367" s="14"/>
      <c r="GK367" s="14"/>
      <c r="GL367" s="14"/>
      <c r="GM367" s="14"/>
      <c r="GN367" s="14"/>
      <c r="GO367" s="14"/>
      <c r="GP367" s="14"/>
      <c r="GQ367" s="14"/>
      <c r="GR367" s="14"/>
      <c r="GS367" s="14"/>
      <c r="GT367" s="14"/>
      <c r="GU367" s="14"/>
      <c r="GV367" s="14"/>
      <c r="GW367" s="14"/>
      <c r="GX367" s="14"/>
      <c r="GY367" s="14"/>
      <c r="GZ367" s="14"/>
      <c r="HA367" s="14"/>
      <c r="HB367" s="14"/>
      <c r="HC367" s="14"/>
      <c r="HD367" s="14"/>
      <c r="HE367" s="14"/>
      <c r="HF367" s="14"/>
      <c r="HG367" s="14"/>
      <c r="HH367" s="14"/>
      <c r="HI367" s="14"/>
      <c r="HJ367" s="14"/>
      <c r="HK367" s="14"/>
      <c r="HL367" s="14"/>
      <c r="HM367" s="14"/>
      <c r="HN367" s="14"/>
      <c r="HO367" s="14"/>
      <c r="HP367" s="14"/>
      <c r="HQ367" s="14"/>
      <c r="HR367" s="14"/>
      <c r="HS367" s="14"/>
      <c r="HT367" s="14"/>
    </row>
    <row r="368" spans="2:228" ht="15" customHeight="1" x14ac:dyDescent="0.2">
      <c r="B368" s="1681" t="s">
        <v>1199</v>
      </c>
      <c r="C368" s="1681"/>
      <c r="D368" s="1681"/>
      <c r="E368" s="1681"/>
      <c r="F368" s="1681"/>
      <c r="G368" s="1681"/>
      <c r="H368" s="1681"/>
      <c r="I368" s="1681"/>
      <c r="J368" s="1681"/>
      <c r="K368" s="1681"/>
      <c r="L368" s="1681"/>
      <c r="M368" s="1681"/>
      <c r="N368" s="1681"/>
      <c r="O368" s="1681"/>
      <c r="P368" s="2074"/>
      <c r="R368" s="18"/>
      <c r="S368" s="18"/>
      <c r="T368" s="18"/>
      <c r="U368" s="18"/>
      <c r="V368" s="18"/>
      <c r="W368" s="18"/>
      <c r="X368" s="18"/>
      <c r="Y368" s="1111"/>
      <c r="Z368" s="1120"/>
      <c r="AA368" s="1120"/>
      <c r="AB368" s="1120"/>
      <c r="AC368" s="1120"/>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4"/>
      <c r="BR368" s="14"/>
      <c r="BS368" s="14"/>
      <c r="BT368" s="14"/>
      <c r="BU368" s="14"/>
      <c r="BV368" s="14"/>
      <c r="BW368" s="14"/>
      <c r="BX368" s="14"/>
      <c r="BY368" s="14"/>
      <c r="BZ368" s="14"/>
      <c r="CA368" s="14"/>
      <c r="CB368" s="14"/>
      <c r="CC368" s="14"/>
      <c r="CD368" s="14"/>
      <c r="CE368" s="14"/>
      <c r="CF368" s="14"/>
      <c r="CG368" s="14"/>
      <c r="CH368" s="14"/>
      <c r="CI368" s="14"/>
      <c r="CJ368" s="14"/>
      <c r="CK368" s="14"/>
      <c r="CL368" s="14"/>
      <c r="CM368" s="14"/>
      <c r="CN368" s="14"/>
      <c r="CO368" s="14"/>
      <c r="CP368" s="14"/>
      <c r="CQ368" s="14"/>
      <c r="CR368" s="14"/>
      <c r="CS368" s="14"/>
      <c r="CT368" s="14"/>
      <c r="CU368" s="14"/>
      <c r="CV368" s="14"/>
      <c r="CW368" s="14"/>
      <c r="CX368" s="14"/>
      <c r="CY368" s="14"/>
      <c r="CZ368" s="14"/>
      <c r="DA368" s="14"/>
      <c r="DB368" s="14"/>
      <c r="DC368" s="14"/>
      <c r="DD368" s="14"/>
      <c r="DE368" s="14"/>
      <c r="DF368" s="14"/>
      <c r="DG368" s="14"/>
      <c r="DH368" s="14"/>
      <c r="DI368" s="14"/>
      <c r="DJ368" s="14"/>
      <c r="DK368" s="14"/>
      <c r="DL368" s="14"/>
      <c r="DM368" s="14"/>
      <c r="DN368" s="14"/>
      <c r="DO368" s="14"/>
      <c r="DP368" s="14"/>
      <c r="DQ368" s="14"/>
      <c r="DR368" s="14"/>
      <c r="DS368" s="14"/>
      <c r="DT368" s="14"/>
      <c r="DU368" s="14"/>
      <c r="DV368" s="14"/>
      <c r="DW368" s="14"/>
      <c r="DX368" s="14"/>
      <c r="DY368" s="14"/>
      <c r="DZ368" s="14"/>
      <c r="EA368" s="14"/>
      <c r="EB368" s="14"/>
      <c r="EC368" s="14"/>
      <c r="ED368" s="14"/>
      <c r="EE368" s="14"/>
      <c r="EF368" s="14"/>
      <c r="EG368" s="14"/>
      <c r="EH368" s="14"/>
      <c r="EI368" s="14"/>
      <c r="EJ368" s="14"/>
      <c r="EK368" s="14"/>
      <c r="EL368" s="14"/>
      <c r="EM368" s="14"/>
      <c r="EN368" s="14"/>
      <c r="EO368" s="14"/>
      <c r="EP368" s="14"/>
      <c r="EQ368" s="14"/>
      <c r="ER368" s="14"/>
      <c r="ES368" s="14"/>
      <c r="ET368" s="14"/>
      <c r="EU368" s="14"/>
      <c r="EV368" s="14"/>
      <c r="EW368" s="14"/>
      <c r="EX368" s="14"/>
      <c r="EY368" s="14"/>
      <c r="EZ368" s="14"/>
      <c r="FA368" s="14"/>
      <c r="FB368" s="14"/>
      <c r="FC368" s="14"/>
      <c r="FD368" s="14"/>
      <c r="FE368" s="14"/>
      <c r="FF368" s="14"/>
      <c r="FG368" s="14"/>
      <c r="FH368" s="14"/>
      <c r="FI368" s="14"/>
      <c r="FJ368" s="14"/>
      <c r="FK368" s="14"/>
      <c r="FL368" s="14"/>
      <c r="FM368" s="14"/>
      <c r="FN368" s="14"/>
      <c r="FO368" s="14"/>
      <c r="FP368" s="14"/>
      <c r="FQ368" s="14"/>
      <c r="FR368" s="14"/>
      <c r="FS368" s="14"/>
      <c r="FT368" s="14"/>
      <c r="FU368" s="14"/>
      <c r="FV368" s="14"/>
      <c r="FW368" s="14"/>
      <c r="FX368" s="14"/>
      <c r="FY368" s="14"/>
      <c r="FZ368" s="14"/>
      <c r="GA368" s="14"/>
      <c r="GB368" s="14"/>
      <c r="GC368" s="14"/>
      <c r="GD368" s="14"/>
      <c r="GE368" s="14"/>
      <c r="GF368" s="14"/>
      <c r="GG368" s="14"/>
      <c r="GH368" s="14"/>
      <c r="GI368" s="14"/>
      <c r="GJ368" s="14"/>
      <c r="GK368" s="14"/>
      <c r="GL368" s="14"/>
      <c r="GM368" s="14"/>
      <c r="GN368" s="14"/>
      <c r="GO368" s="14"/>
      <c r="GP368" s="14"/>
      <c r="GQ368" s="14"/>
      <c r="GR368" s="14"/>
      <c r="GS368" s="14"/>
      <c r="GT368" s="14"/>
      <c r="GU368" s="14"/>
      <c r="GV368" s="14"/>
      <c r="GW368" s="14"/>
      <c r="GX368" s="14"/>
      <c r="GY368" s="14"/>
      <c r="GZ368" s="14"/>
      <c r="HA368" s="14"/>
      <c r="HB368" s="14"/>
      <c r="HC368" s="14"/>
      <c r="HD368" s="14"/>
      <c r="HE368" s="14"/>
      <c r="HF368" s="14"/>
      <c r="HG368" s="14"/>
      <c r="HH368" s="14"/>
      <c r="HI368" s="14"/>
      <c r="HJ368" s="14"/>
      <c r="HK368" s="14"/>
      <c r="HL368" s="14"/>
      <c r="HM368" s="14"/>
      <c r="HN368" s="14"/>
      <c r="HO368" s="14"/>
      <c r="HP368" s="14"/>
      <c r="HQ368" s="14"/>
      <c r="HR368" s="14"/>
      <c r="HS368" s="14"/>
      <c r="HT368" s="14"/>
    </row>
    <row r="369" spans="1:228" ht="10.9" customHeight="1" x14ac:dyDescent="0.2">
      <c r="B369" s="1469"/>
      <c r="C369" s="1469"/>
      <c r="D369" s="1469"/>
      <c r="E369" s="1469"/>
      <c r="F369" s="1469"/>
      <c r="G369" s="1469"/>
      <c r="H369" s="1469"/>
      <c r="I369" s="1469"/>
      <c r="J369" s="1469"/>
      <c r="K369" s="1469"/>
      <c r="L369" s="1469"/>
      <c r="M369" s="1469"/>
      <c r="N369" s="1469"/>
      <c r="O369" s="1469"/>
      <c r="P369" s="1469"/>
      <c r="R369" s="18"/>
      <c r="S369" s="18"/>
      <c r="T369" s="18"/>
      <c r="U369" s="18"/>
      <c r="V369" s="18"/>
      <c r="W369" s="18"/>
      <c r="X369" s="18"/>
      <c r="Y369" s="1111"/>
      <c r="Z369" s="1111"/>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4"/>
      <c r="BR369" s="14"/>
      <c r="BS369" s="14"/>
      <c r="BT369" s="14"/>
      <c r="BU369" s="14"/>
      <c r="BV369" s="14"/>
      <c r="BW369" s="14"/>
      <c r="BX369" s="14"/>
      <c r="BY369" s="14"/>
      <c r="BZ369" s="14"/>
      <c r="CA369" s="14"/>
      <c r="CB369" s="14"/>
      <c r="CC369" s="14"/>
      <c r="CD369" s="14"/>
      <c r="CE369" s="14"/>
      <c r="CF369" s="14"/>
      <c r="CG369" s="14"/>
      <c r="CH369" s="14"/>
      <c r="CI369" s="14"/>
      <c r="CJ369" s="14"/>
      <c r="CK369" s="14"/>
      <c r="CL369" s="14"/>
      <c r="CM369" s="14"/>
      <c r="CN369" s="14"/>
      <c r="CO369" s="14"/>
      <c r="CP369" s="14"/>
      <c r="CQ369" s="14"/>
      <c r="CR369" s="14"/>
      <c r="CS369" s="14"/>
      <c r="CT369" s="14"/>
      <c r="CU369" s="14"/>
      <c r="CV369" s="14"/>
      <c r="CW369" s="14"/>
      <c r="CX369" s="14"/>
      <c r="CY369" s="14"/>
      <c r="CZ369" s="14"/>
      <c r="DA369" s="14"/>
      <c r="DB369" s="14"/>
      <c r="DC369" s="14"/>
      <c r="DD369" s="14"/>
      <c r="DE369" s="14"/>
      <c r="DF369" s="14"/>
      <c r="DG369" s="14"/>
      <c r="DH369" s="14"/>
      <c r="DI369" s="14"/>
      <c r="DJ369" s="14"/>
      <c r="DK369" s="14"/>
      <c r="DL369" s="14"/>
      <c r="DM369" s="14"/>
      <c r="DN369" s="14"/>
      <c r="DO369" s="14"/>
      <c r="DP369" s="14"/>
      <c r="DQ369" s="14"/>
      <c r="DR369" s="14"/>
      <c r="DS369" s="14"/>
      <c r="DT369" s="14"/>
      <c r="DU369" s="14"/>
      <c r="DV369" s="14"/>
      <c r="DW369" s="14"/>
      <c r="DX369" s="14"/>
      <c r="DY369" s="14"/>
      <c r="DZ369" s="14"/>
      <c r="EA369" s="14"/>
      <c r="EB369" s="14"/>
      <c r="EC369" s="14"/>
      <c r="ED369" s="14"/>
      <c r="EE369" s="14"/>
      <c r="EF369" s="14"/>
      <c r="EG369" s="14"/>
      <c r="EH369" s="14"/>
      <c r="EI369" s="14"/>
      <c r="EJ369" s="14"/>
      <c r="EK369" s="14"/>
      <c r="EL369" s="14"/>
      <c r="EM369" s="14"/>
      <c r="EN369" s="14"/>
      <c r="EO369" s="14"/>
      <c r="EP369" s="14"/>
      <c r="EQ369" s="14"/>
      <c r="ER369" s="14"/>
      <c r="ES369" s="14"/>
      <c r="ET369" s="14"/>
      <c r="EU369" s="14"/>
      <c r="EV369" s="14"/>
      <c r="EW369" s="14"/>
      <c r="EX369" s="14"/>
      <c r="EY369" s="14"/>
      <c r="EZ369" s="14"/>
      <c r="FA369" s="14"/>
      <c r="FB369" s="14"/>
      <c r="FC369" s="14"/>
      <c r="FD369" s="14"/>
      <c r="FE369" s="14"/>
      <c r="FF369" s="14"/>
      <c r="FG369" s="14"/>
      <c r="FH369" s="14"/>
      <c r="FI369" s="14"/>
      <c r="FJ369" s="14"/>
      <c r="FK369" s="14"/>
      <c r="FL369" s="14"/>
      <c r="FM369" s="14"/>
      <c r="FN369" s="14"/>
      <c r="FO369" s="14"/>
      <c r="FP369" s="14"/>
      <c r="FQ369" s="14"/>
      <c r="FR369" s="14"/>
      <c r="FS369" s="14"/>
      <c r="FT369" s="14"/>
      <c r="FU369" s="14"/>
      <c r="FV369" s="14"/>
      <c r="FW369" s="14"/>
      <c r="FX369" s="14"/>
      <c r="FY369" s="14"/>
      <c r="FZ369" s="14"/>
      <c r="GA369" s="14"/>
      <c r="GB369" s="14"/>
      <c r="GC369" s="14"/>
      <c r="GD369" s="14"/>
      <c r="GE369" s="14"/>
      <c r="GF369" s="14"/>
      <c r="GG369" s="14"/>
      <c r="GH369" s="14"/>
      <c r="GI369" s="14"/>
      <c r="GJ369" s="14"/>
      <c r="GK369" s="14"/>
      <c r="GL369" s="14"/>
      <c r="GM369" s="14"/>
      <c r="GN369" s="14"/>
      <c r="GO369" s="14"/>
      <c r="GP369" s="14"/>
      <c r="GQ369" s="14"/>
      <c r="GR369" s="14"/>
      <c r="GS369" s="14"/>
      <c r="GT369" s="14"/>
      <c r="GU369" s="14"/>
      <c r="GV369" s="14"/>
      <c r="GW369" s="14"/>
      <c r="GX369" s="14"/>
      <c r="GY369" s="14"/>
      <c r="GZ369" s="14"/>
      <c r="HA369" s="14"/>
      <c r="HB369" s="14"/>
      <c r="HC369" s="14"/>
      <c r="HD369" s="14"/>
      <c r="HE369" s="14"/>
      <c r="HF369" s="14"/>
      <c r="HG369" s="14"/>
      <c r="HH369" s="14"/>
      <c r="HI369" s="14"/>
      <c r="HJ369" s="14"/>
      <c r="HK369" s="14"/>
      <c r="HL369" s="14"/>
      <c r="HM369" s="14"/>
      <c r="HN369" s="14"/>
      <c r="HO369" s="14"/>
      <c r="HP369" s="14"/>
      <c r="HQ369" s="14"/>
      <c r="HR369" s="14"/>
      <c r="HS369" s="14"/>
      <c r="HT369" s="14"/>
    </row>
    <row r="370" spans="1:228" ht="9" customHeight="1" x14ac:dyDescent="0.25">
      <c r="A370" s="8"/>
      <c r="B370" s="1903"/>
      <c r="C370" s="1903"/>
      <c r="D370" s="1903"/>
      <c r="E370" s="1903"/>
      <c r="F370" s="1903"/>
      <c r="G370" s="1903"/>
      <c r="H370" s="1903"/>
      <c r="I370" s="1903"/>
      <c r="J370" s="1903"/>
      <c r="K370" s="1903"/>
      <c r="L370" s="1903"/>
      <c r="M370" s="1903"/>
      <c r="N370" s="1903"/>
      <c r="O370" s="1903"/>
      <c r="P370" s="1903"/>
      <c r="R370" s="18"/>
      <c r="S370" s="19"/>
      <c r="T370" s="114"/>
      <c r="U370" s="157"/>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4"/>
      <c r="BR370" s="14"/>
      <c r="BS370" s="14"/>
      <c r="BT370" s="14"/>
      <c r="BU370" s="14"/>
      <c r="BV370" s="14"/>
      <c r="BW370" s="14"/>
      <c r="BX370" s="14"/>
      <c r="BY370" s="14"/>
      <c r="BZ370" s="14"/>
      <c r="CA370" s="14"/>
      <c r="CB370" s="14"/>
      <c r="CC370" s="14"/>
      <c r="CD370" s="14"/>
      <c r="CE370" s="14"/>
      <c r="CF370" s="14"/>
      <c r="CG370" s="14"/>
      <c r="CH370" s="14"/>
      <c r="CI370" s="14"/>
      <c r="CJ370" s="14"/>
      <c r="CK370" s="14"/>
      <c r="CL370" s="14"/>
      <c r="CM370" s="14"/>
      <c r="CN370" s="14"/>
      <c r="CO370" s="14"/>
      <c r="CP370" s="14"/>
      <c r="CQ370" s="14"/>
      <c r="CR370" s="14"/>
      <c r="CS370" s="14"/>
      <c r="CT370" s="14"/>
      <c r="CU370" s="14"/>
      <c r="CV370" s="14"/>
      <c r="CW370" s="14"/>
      <c r="CX370" s="14"/>
      <c r="CY370" s="14"/>
      <c r="CZ370" s="14"/>
      <c r="DA370" s="14"/>
      <c r="DB370" s="14"/>
      <c r="DC370" s="14"/>
      <c r="DD370" s="14"/>
      <c r="DE370" s="14"/>
      <c r="DF370" s="14"/>
      <c r="DG370" s="14"/>
      <c r="DH370" s="14"/>
      <c r="DI370" s="14"/>
      <c r="DJ370" s="14"/>
      <c r="DK370" s="14"/>
      <c r="DL370" s="14"/>
      <c r="DM370" s="14"/>
      <c r="DN370" s="14"/>
      <c r="DO370" s="14"/>
      <c r="DP370" s="14"/>
      <c r="DQ370" s="14"/>
      <c r="DR370" s="14"/>
      <c r="DS370" s="14"/>
      <c r="DT370" s="14"/>
      <c r="DU370" s="14"/>
      <c r="DV370" s="14"/>
      <c r="DW370" s="14"/>
      <c r="DX370" s="14"/>
      <c r="DY370" s="14"/>
      <c r="DZ370" s="14"/>
      <c r="EA370" s="14"/>
      <c r="EB370" s="14"/>
      <c r="EC370" s="14"/>
      <c r="ED370" s="14"/>
      <c r="EE370" s="14"/>
      <c r="EF370" s="14"/>
      <c r="EG370" s="14"/>
      <c r="EH370" s="14"/>
      <c r="EI370" s="14"/>
      <c r="EJ370" s="14"/>
      <c r="EK370" s="14"/>
      <c r="EL370" s="14"/>
      <c r="EM370" s="14"/>
      <c r="EN370" s="14"/>
      <c r="EO370" s="14"/>
      <c r="EP370" s="14"/>
      <c r="EQ370" s="14"/>
      <c r="ER370" s="14"/>
      <c r="ES370" s="14"/>
      <c r="ET370" s="14"/>
      <c r="EU370" s="14"/>
      <c r="EV370" s="14"/>
      <c r="EW370" s="14"/>
      <c r="EX370" s="14"/>
      <c r="EY370" s="14"/>
      <c r="EZ370" s="14"/>
      <c r="FA370" s="14"/>
      <c r="FB370" s="14"/>
      <c r="FC370" s="14"/>
      <c r="FD370" s="14"/>
      <c r="FE370" s="14"/>
      <c r="FF370" s="14"/>
      <c r="FG370" s="14"/>
      <c r="FH370" s="14"/>
      <c r="FI370" s="14"/>
      <c r="FJ370" s="14"/>
      <c r="FK370" s="14"/>
      <c r="FL370" s="14"/>
      <c r="FM370" s="14"/>
      <c r="FN370" s="14"/>
      <c r="FO370" s="14"/>
      <c r="FP370" s="14"/>
      <c r="FQ370" s="14"/>
      <c r="FR370" s="14"/>
      <c r="FS370" s="14"/>
      <c r="FT370" s="14"/>
      <c r="FU370" s="14"/>
      <c r="FV370" s="14"/>
      <c r="FW370" s="14"/>
      <c r="FX370" s="14"/>
      <c r="FY370" s="14"/>
      <c r="FZ370" s="14"/>
      <c r="GA370" s="14"/>
      <c r="GB370" s="14"/>
      <c r="GC370" s="14"/>
      <c r="GD370" s="14"/>
      <c r="GE370" s="14"/>
      <c r="GF370" s="14"/>
      <c r="GG370" s="14"/>
      <c r="GH370" s="14"/>
      <c r="GI370" s="14"/>
      <c r="GJ370" s="14"/>
      <c r="GK370" s="14"/>
      <c r="GL370" s="14"/>
      <c r="GM370" s="14"/>
      <c r="GN370" s="14"/>
      <c r="GO370" s="14"/>
      <c r="GP370" s="14"/>
      <c r="GQ370" s="14"/>
      <c r="GR370" s="14"/>
      <c r="GS370" s="14"/>
      <c r="GT370" s="14"/>
      <c r="GU370" s="14"/>
      <c r="GV370" s="14"/>
      <c r="GW370" s="14"/>
      <c r="GX370" s="14"/>
      <c r="GY370" s="14"/>
      <c r="GZ370" s="14"/>
      <c r="HA370" s="14"/>
      <c r="HB370" s="14"/>
      <c r="HC370" s="14"/>
      <c r="HD370" s="14"/>
      <c r="HE370" s="14"/>
      <c r="HF370" s="14"/>
      <c r="HG370" s="14"/>
      <c r="HH370" s="14"/>
      <c r="HI370" s="14"/>
      <c r="HJ370" s="14"/>
      <c r="HK370" s="14"/>
      <c r="HL370" s="14"/>
      <c r="HM370" s="14"/>
      <c r="HN370" s="14"/>
      <c r="HO370" s="14"/>
      <c r="HP370" s="14"/>
      <c r="HQ370" s="14"/>
      <c r="HR370" s="14"/>
      <c r="HS370" s="14"/>
      <c r="HT370" s="14"/>
    </row>
    <row r="371" spans="1:228" ht="30" customHeight="1" x14ac:dyDescent="0.2">
      <c r="A371" s="8"/>
      <c r="B371" s="1679" t="s">
        <v>1910</v>
      </c>
      <c r="C371" s="1680"/>
      <c r="D371" s="1680"/>
      <c r="E371" s="1680"/>
      <c r="F371" s="1680"/>
      <c r="G371" s="1680"/>
      <c r="H371" s="1680"/>
      <c r="I371" s="1680"/>
      <c r="J371" s="1680"/>
      <c r="K371" s="1680"/>
      <c r="L371" s="1680"/>
      <c r="M371" s="1680"/>
      <c r="N371" s="1680"/>
      <c r="O371" s="1680"/>
      <c r="P371" s="481" t="s">
        <v>713</v>
      </c>
      <c r="R371" s="18"/>
      <c r="S371" s="116"/>
      <c r="T371" s="114"/>
      <c r="U371" s="157"/>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4"/>
      <c r="BR371" s="14"/>
      <c r="BS371" s="14"/>
      <c r="BT371" s="14"/>
      <c r="BU371" s="14"/>
      <c r="BV371" s="14"/>
      <c r="BW371" s="14"/>
      <c r="BX371" s="14"/>
      <c r="BY371" s="14"/>
      <c r="BZ371" s="14"/>
      <c r="CA371" s="14"/>
      <c r="CB371" s="14"/>
      <c r="CC371" s="14"/>
      <c r="CD371" s="14"/>
      <c r="CE371" s="14"/>
      <c r="CF371" s="14"/>
      <c r="CG371" s="14"/>
      <c r="CH371" s="14"/>
      <c r="CI371" s="14"/>
      <c r="CJ371" s="14"/>
      <c r="CK371" s="14"/>
      <c r="CL371" s="14"/>
      <c r="CM371" s="14"/>
      <c r="CN371" s="14"/>
      <c r="CO371" s="14"/>
      <c r="CP371" s="14"/>
      <c r="CQ371" s="14"/>
      <c r="CR371" s="14"/>
      <c r="CS371" s="14"/>
      <c r="CT371" s="14"/>
      <c r="CU371" s="14"/>
      <c r="CV371" s="14"/>
      <c r="CW371" s="14"/>
      <c r="CX371" s="14"/>
      <c r="CY371" s="14"/>
      <c r="CZ371" s="14"/>
      <c r="DA371" s="14"/>
      <c r="DB371" s="14"/>
      <c r="DC371" s="14"/>
      <c r="DD371" s="14"/>
      <c r="DE371" s="14"/>
      <c r="DF371" s="14"/>
      <c r="DG371" s="14"/>
      <c r="DH371" s="14"/>
      <c r="DI371" s="14"/>
      <c r="DJ371" s="14"/>
      <c r="DK371" s="14"/>
      <c r="DL371" s="14"/>
      <c r="DM371" s="14"/>
      <c r="DN371" s="14"/>
      <c r="DO371" s="14"/>
      <c r="DP371" s="14"/>
      <c r="DQ371" s="14"/>
      <c r="DR371" s="14"/>
      <c r="DS371" s="14"/>
      <c r="DT371" s="14"/>
      <c r="DU371" s="14"/>
      <c r="DV371" s="14"/>
      <c r="DW371" s="14"/>
      <c r="DX371" s="14"/>
      <c r="DY371" s="14"/>
      <c r="DZ371" s="14"/>
      <c r="EA371" s="14"/>
      <c r="EB371" s="14"/>
      <c r="EC371" s="14"/>
      <c r="ED371" s="14"/>
      <c r="EE371" s="14"/>
      <c r="EF371" s="14"/>
      <c r="EG371" s="14"/>
      <c r="EH371" s="14"/>
      <c r="EI371" s="14"/>
      <c r="EJ371" s="14"/>
      <c r="EK371" s="14"/>
      <c r="EL371" s="14"/>
      <c r="EM371" s="14"/>
      <c r="EN371" s="14"/>
      <c r="EO371" s="14"/>
      <c r="EP371" s="14"/>
      <c r="EQ371" s="14"/>
      <c r="ER371" s="14"/>
      <c r="ES371" s="14"/>
      <c r="ET371" s="14"/>
      <c r="EU371" s="14"/>
      <c r="EV371" s="14"/>
      <c r="EW371" s="14"/>
      <c r="EX371" s="14"/>
      <c r="EY371" s="14"/>
      <c r="EZ371" s="14"/>
      <c r="FA371" s="14"/>
      <c r="FB371" s="14"/>
      <c r="FC371" s="14"/>
      <c r="FD371" s="14"/>
      <c r="FE371" s="14"/>
      <c r="FF371" s="14"/>
      <c r="FG371" s="14"/>
      <c r="FH371" s="14"/>
      <c r="FI371" s="14"/>
      <c r="FJ371" s="14"/>
      <c r="FK371" s="14"/>
      <c r="FL371" s="14"/>
      <c r="FM371" s="14"/>
      <c r="FN371" s="14"/>
      <c r="FO371" s="14"/>
      <c r="FP371" s="14"/>
      <c r="FQ371" s="14"/>
      <c r="FR371" s="14"/>
      <c r="FS371" s="14"/>
      <c r="FT371" s="14"/>
      <c r="FU371" s="14"/>
      <c r="FV371" s="14"/>
      <c r="FW371" s="14"/>
      <c r="FX371" s="14"/>
      <c r="FY371" s="14"/>
      <c r="FZ371" s="14"/>
      <c r="GA371" s="14"/>
      <c r="GB371" s="14"/>
      <c r="GC371" s="14"/>
      <c r="GD371" s="14"/>
      <c r="GE371" s="14"/>
      <c r="GF371" s="14"/>
      <c r="GG371" s="14"/>
      <c r="GH371" s="14"/>
      <c r="GI371" s="14"/>
      <c r="GJ371" s="14"/>
      <c r="GK371" s="14"/>
      <c r="GL371" s="14"/>
      <c r="GM371" s="14"/>
      <c r="GN371" s="14"/>
      <c r="GO371" s="14"/>
      <c r="GP371" s="14"/>
      <c r="GQ371" s="14"/>
      <c r="GR371" s="14"/>
      <c r="GS371" s="14"/>
      <c r="GT371" s="14"/>
      <c r="GU371" s="14"/>
      <c r="GV371" s="14"/>
      <c r="GW371" s="14"/>
      <c r="GX371" s="14"/>
      <c r="GY371" s="14"/>
      <c r="GZ371" s="14"/>
      <c r="HA371" s="14"/>
      <c r="HB371" s="14"/>
      <c r="HC371" s="14"/>
      <c r="HD371" s="14"/>
      <c r="HE371" s="14"/>
      <c r="HF371" s="14"/>
      <c r="HG371" s="14"/>
      <c r="HH371" s="14"/>
      <c r="HI371" s="14"/>
      <c r="HJ371" s="14"/>
      <c r="HK371" s="14"/>
      <c r="HL371" s="14"/>
      <c r="HM371" s="14"/>
      <c r="HN371" s="14"/>
      <c r="HO371" s="14"/>
      <c r="HP371" s="14"/>
      <c r="HQ371" s="14"/>
      <c r="HR371" s="14"/>
      <c r="HS371" s="14"/>
      <c r="HT371" s="14"/>
    </row>
    <row r="372" spans="1:228" ht="9" customHeight="1" x14ac:dyDescent="0.3">
      <c r="A372" s="8"/>
      <c r="B372" s="1922"/>
      <c r="C372" s="1922"/>
      <c r="D372" s="1922"/>
      <c r="E372" s="1922"/>
      <c r="F372" s="1922"/>
      <c r="G372" s="1922"/>
      <c r="H372" s="1922"/>
      <c r="I372" s="1922"/>
      <c r="J372" s="1922"/>
      <c r="K372" s="1922"/>
      <c r="L372" s="1922"/>
      <c r="M372" s="1922"/>
      <c r="N372" s="1922"/>
      <c r="O372" s="1922"/>
      <c r="P372" s="472"/>
      <c r="R372" s="18"/>
      <c r="S372" s="19"/>
      <c r="T372" s="114"/>
      <c r="U372" s="157"/>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4"/>
      <c r="BR372" s="14"/>
      <c r="BS372" s="14"/>
      <c r="BT372" s="14"/>
      <c r="BU372" s="14"/>
      <c r="BV372" s="14"/>
      <c r="BW372" s="14"/>
      <c r="BX372" s="14"/>
      <c r="BY372" s="14"/>
      <c r="BZ372" s="14"/>
      <c r="CA372" s="14"/>
      <c r="CB372" s="14"/>
      <c r="CC372" s="14"/>
      <c r="CD372" s="14"/>
      <c r="CE372" s="14"/>
      <c r="CF372" s="14"/>
      <c r="CG372" s="14"/>
      <c r="CH372" s="14"/>
      <c r="CI372" s="14"/>
      <c r="CJ372" s="14"/>
      <c r="CK372" s="14"/>
      <c r="CL372" s="14"/>
      <c r="CM372" s="14"/>
      <c r="CN372" s="14"/>
      <c r="CO372" s="14"/>
      <c r="CP372" s="14"/>
      <c r="CQ372" s="14"/>
      <c r="CR372" s="14"/>
      <c r="CS372" s="14"/>
      <c r="CT372" s="14"/>
      <c r="CU372" s="14"/>
      <c r="CV372" s="14"/>
      <c r="CW372" s="14"/>
      <c r="CX372" s="14"/>
      <c r="CY372" s="14"/>
      <c r="CZ372" s="14"/>
      <c r="DA372" s="14"/>
      <c r="DB372" s="14"/>
      <c r="DC372" s="14"/>
      <c r="DD372" s="14"/>
      <c r="DE372" s="14"/>
      <c r="DF372" s="14"/>
      <c r="DG372" s="14"/>
      <c r="DH372" s="14"/>
      <c r="DI372" s="14"/>
      <c r="DJ372" s="14"/>
      <c r="DK372" s="14"/>
      <c r="DL372" s="14"/>
      <c r="DM372" s="14"/>
      <c r="DN372" s="14"/>
      <c r="DO372" s="14"/>
      <c r="DP372" s="14"/>
      <c r="DQ372" s="14"/>
      <c r="DR372" s="14"/>
      <c r="DS372" s="14"/>
      <c r="DT372" s="14"/>
      <c r="DU372" s="14"/>
      <c r="DV372" s="14"/>
      <c r="DW372" s="14"/>
      <c r="DX372" s="14"/>
      <c r="DY372" s="14"/>
      <c r="DZ372" s="14"/>
      <c r="EA372" s="14"/>
      <c r="EB372" s="14"/>
      <c r="EC372" s="14"/>
      <c r="ED372" s="14"/>
      <c r="EE372" s="14"/>
      <c r="EF372" s="14"/>
      <c r="EG372" s="14"/>
      <c r="EH372" s="14"/>
      <c r="EI372" s="14"/>
      <c r="EJ372" s="14"/>
      <c r="EK372" s="14"/>
      <c r="EL372" s="14"/>
      <c r="EM372" s="14"/>
      <c r="EN372" s="14"/>
      <c r="EO372" s="14"/>
      <c r="EP372" s="14"/>
      <c r="EQ372" s="14"/>
      <c r="ER372" s="14"/>
      <c r="ES372" s="14"/>
      <c r="ET372" s="14"/>
      <c r="EU372" s="14"/>
      <c r="EV372" s="14"/>
      <c r="EW372" s="14"/>
      <c r="EX372" s="14"/>
      <c r="EY372" s="14"/>
      <c r="EZ372" s="14"/>
      <c r="FA372" s="14"/>
      <c r="FB372" s="14"/>
      <c r="FC372" s="14"/>
      <c r="FD372" s="14"/>
      <c r="FE372" s="14"/>
      <c r="FF372" s="14"/>
      <c r="FG372" s="14"/>
      <c r="FH372" s="14"/>
      <c r="FI372" s="14"/>
      <c r="FJ372" s="14"/>
      <c r="FK372" s="14"/>
      <c r="FL372" s="14"/>
      <c r="FM372" s="14"/>
      <c r="FN372" s="14"/>
      <c r="FO372" s="14"/>
      <c r="FP372" s="14"/>
      <c r="FQ372" s="14"/>
      <c r="FR372" s="14"/>
      <c r="FS372" s="14"/>
      <c r="FT372" s="14"/>
      <c r="FU372" s="14"/>
      <c r="FV372" s="14"/>
      <c r="FW372" s="14"/>
      <c r="FX372" s="14"/>
      <c r="FY372" s="14"/>
      <c r="FZ372" s="14"/>
      <c r="GA372" s="14"/>
      <c r="GB372" s="14"/>
      <c r="GC372" s="14"/>
      <c r="GD372" s="14"/>
      <c r="GE372" s="14"/>
      <c r="GF372" s="14"/>
      <c r="GG372" s="14"/>
      <c r="GH372" s="14"/>
      <c r="GI372" s="14"/>
      <c r="GJ372" s="14"/>
      <c r="GK372" s="14"/>
      <c r="GL372" s="14"/>
      <c r="GM372" s="14"/>
      <c r="GN372" s="14"/>
      <c r="GO372" s="14"/>
      <c r="GP372" s="14"/>
      <c r="GQ372" s="14"/>
      <c r="GR372" s="14"/>
      <c r="GS372" s="14"/>
      <c r="GT372" s="14"/>
      <c r="GU372" s="14"/>
      <c r="GV372" s="14"/>
      <c r="GW372" s="14"/>
      <c r="GX372" s="14"/>
      <c r="GY372" s="14"/>
      <c r="GZ372" s="14"/>
      <c r="HA372" s="14"/>
      <c r="HB372" s="14"/>
      <c r="HC372" s="14"/>
      <c r="HD372" s="14"/>
      <c r="HE372" s="14"/>
      <c r="HF372" s="14"/>
      <c r="HG372" s="14"/>
      <c r="HH372" s="14"/>
      <c r="HI372" s="14"/>
      <c r="HJ372" s="14"/>
      <c r="HK372" s="14"/>
      <c r="HL372" s="14"/>
      <c r="HM372" s="14"/>
      <c r="HN372" s="14"/>
      <c r="HO372" s="14"/>
      <c r="HP372" s="14"/>
      <c r="HQ372" s="14"/>
      <c r="HR372" s="14"/>
      <c r="HS372" s="14"/>
      <c r="HT372" s="14"/>
    </row>
    <row r="373" spans="1:228" ht="21" customHeight="1" x14ac:dyDescent="0.2">
      <c r="A373" s="20"/>
      <c r="B373" s="1921" t="s">
        <v>1200</v>
      </c>
      <c r="C373" s="1921"/>
      <c r="D373" s="1921"/>
      <c r="E373" s="1921"/>
      <c r="F373" s="1921"/>
      <c r="G373" s="1921"/>
      <c r="H373" s="1921"/>
      <c r="I373" s="1921"/>
      <c r="J373" s="1921"/>
      <c r="K373" s="1921"/>
      <c r="L373" s="1921"/>
      <c r="M373" s="1921"/>
      <c r="N373" s="1921"/>
      <c r="O373" s="1921"/>
      <c r="P373" s="26">
        <f>IF(R373=2,1,0)</f>
        <v>0</v>
      </c>
      <c r="R373" s="686">
        <v>1</v>
      </c>
      <c r="S373" s="19"/>
      <c r="T373" s="114"/>
      <c r="U373" s="157"/>
      <c r="V373" s="18"/>
      <c r="W373" s="18">
        <v>1E-4</v>
      </c>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4"/>
      <c r="BR373" s="14"/>
      <c r="BS373" s="14"/>
      <c r="BT373" s="14"/>
      <c r="BU373" s="14"/>
      <c r="BV373" s="14"/>
      <c r="BW373" s="14"/>
      <c r="BX373" s="14"/>
      <c r="BY373" s="14"/>
      <c r="BZ373" s="14"/>
      <c r="CA373" s="14"/>
      <c r="CB373" s="14"/>
      <c r="CC373" s="14"/>
      <c r="CD373" s="14"/>
      <c r="CE373" s="14"/>
      <c r="CF373" s="14"/>
      <c r="CG373" s="14"/>
      <c r="CH373" s="14"/>
      <c r="CI373" s="14"/>
      <c r="CJ373" s="14"/>
      <c r="CK373" s="14"/>
      <c r="CL373" s="14"/>
      <c r="CM373" s="14"/>
      <c r="CN373" s="14"/>
      <c r="CO373" s="14"/>
      <c r="CP373" s="14"/>
      <c r="CQ373" s="14"/>
      <c r="CR373" s="14"/>
      <c r="CS373" s="14"/>
      <c r="CT373" s="14"/>
      <c r="CU373" s="14"/>
      <c r="CV373" s="14"/>
      <c r="CW373" s="14"/>
      <c r="CX373" s="14"/>
      <c r="CY373" s="14"/>
      <c r="CZ373" s="14"/>
      <c r="DA373" s="14"/>
      <c r="DB373" s="14"/>
      <c r="DC373" s="14"/>
      <c r="DD373" s="14"/>
      <c r="DE373" s="14"/>
      <c r="DF373" s="14"/>
      <c r="DG373" s="14"/>
      <c r="DH373" s="14"/>
      <c r="DI373" s="14"/>
      <c r="DJ373" s="14"/>
      <c r="DK373" s="14"/>
      <c r="DL373" s="14"/>
      <c r="DM373" s="14"/>
      <c r="DN373" s="14"/>
      <c r="DO373" s="14"/>
      <c r="DP373" s="14"/>
      <c r="DQ373" s="14"/>
      <c r="DR373" s="14"/>
      <c r="DS373" s="14"/>
      <c r="DT373" s="14"/>
      <c r="DU373" s="14"/>
      <c r="DV373" s="14"/>
      <c r="DW373" s="14"/>
      <c r="DX373" s="14"/>
      <c r="DY373" s="14"/>
      <c r="DZ373" s="14"/>
      <c r="EA373" s="14"/>
      <c r="EB373" s="14"/>
      <c r="EC373" s="14"/>
      <c r="ED373" s="14"/>
      <c r="EE373" s="14"/>
      <c r="EF373" s="14"/>
      <c r="EG373" s="14"/>
      <c r="EH373" s="14"/>
      <c r="EI373" s="14"/>
      <c r="EJ373" s="14"/>
      <c r="EK373" s="14"/>
      <c r="EL373" s="14"/>
      <c r="EM373" s="14"/>
      <c r="EN373" s="14"/>
      <c r="EO373" s="14"/>
      <c r="EP373" s="14"/>
      <c r="EQ373" s="14"/>
      <c r="ER373" s="14"/>
      <c r="ES373" s="14"/>
      <c r="ET373" s="14"/>
      <c r="EU373" s="14"/>
      <c r="EV373" s="14"/>
      <c r="EW373" s="14"/>
      <c r="EX373" s="14"/>
      <c r="EY373" s="14"/>
      <c r="EZ373" s="14"/>
      <c r="FA373" s="14"/>
      <c r="FB373" s="14"/>
      <c r="FC373" s="14"/>
      <c r="FD373" s="14"/>
      <c r="FE373" s="14"/>
      <c r="FF373" s="14"/>
      <c r="FG373" s="14"/>
      <c r="FH373" s="14"/>
      <c r="FI373" s="14"/>
      <c r="FJ373" s="14"/>
      <c r="FK373" s="14"/>
      <c r="FL373" s="14"/>
      <c r="FM373" s="14"/>
      <c r="FN373" s="14"/>
      <c r="FO373" s="14"/>
      <c r="FP373" s="14"/>
      <c r="FQ373" s="14"/>
      <c r="FR373" s="14"/>
      <c r="FS373" s="14"/>
      <c r="FT373" s="14"/>
      <c r="FU373" s="14"/>
      <c r="FV373" s="14"/>
      <c r="FW373" s="14"/>
      <c r="FX373" s="14"/>
      <c r="FY373" s="14"/>
      <c r="FZ373" s="14"/>
      <c r="GA373" s="14"/>
      <c r="GB373" s="14"/>
      <c r="GC373" s="14"/>
      <c r="GD373" s="14"/>
      <c r="GE373" s="14"/>
      <c r="GF373" s="14"/>
      <c r="GG373" s="14"/>
      <c r="GH373" s="14"/>
      <c r="GI373" s="14"/>
      <c r="GJ373" s="14"/>
      <c r="GK373" s="14"/>
      <c r="GL373" s="14"/>
      <c r="GM373" s="14"/>
      <c r="GN373" s="14"/>
      <c r="GO373" s="14"/>
      <c r="GP373" s="14"/>
      <c r="GQ373" s="14"/>
      <c r="GR373" s="14"/>
      <c r="GS373" s="14"/>
      <c r="GT373" s="14"/>
      <c r="GU373" s="14"/>
      <c r="GV373" s="14"/>
      <c r="GW373" s="14"/>
      <c r="GX373" s="14"/>
      <c r="GY373" s="14"/>
      <c r="GZ373" s="14"/>
      <c r="HA373" s="14"/>
      <c r="HB373" s="14"/>
      <c r="HC373" s="14"/>
      <c r="HD373" s="14"/>
      <c r="HE373" s="14"/>
      <c r="HF373" s="14"/>
      <c r="HG373" s="14"/>
      <c r="HH373" s="14"/>
      <c r="HI373" s="14"/>
      <c r="HJ373" s="14"/>
      <c r="HK373" s="14"/>
      <c r="HL373" s="14"/>
      <c r="HM373" s="14"/>
      <c r="HN373" s="14"/>
      <c r="HO373" s="14"/>
      <c r="HP373" s="14"/>
      <c r="HQ373" s="14"/>
      <c r="HR373" s="14"/>
      <c r="HS373" s="14"/>
      <c r="HT373" s="14"/>
    </row>
    <row r="374" spans="1:228" ht="9" customHeight="1" x14ac:dyDescent="0.25">
      <c r="A374" s="8"/>
      <c r="B374" s="1903"/>
      <c r="C374" s="1903"/>
      <c r="D374" s="1903"/>
      <c r="E374" s="1903"/>
      <c r="F374" s="1903"/>
      <c r="G374" s="1903"/>
      <c r="H374" s="1903"/>
      <c r="I374" s="1903"/>
      <c r="J374" s="1903"/>
      <c r="K374" s="1903"/>
      <c r="L374" s="1903"/>
      <c r="M374" s="1903"/>
      <c r="N374" s="1903"/>
      <c r="O374" s="1903"/>
      <c r="P374" s="94"/>
      <c r="R374" s="18"/>
      <c r="S374" s="19"/>
      <c r="T374" s="114"/>
      <c r="U374" s="157"/>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4"/>
      <c r="BR374" s="14"/>
      <c r="BS374" s="14"/>
      <c r="BT374" s="14"/>
      <c r="BU374" s="14"/>
      <c r="BV374" s="14"/>
      <c r="BW374" s="14"/>
      <c r="BX374" s="14"/>
      <c r="BY374" s="14"/>
      <c r="BZ374" s="14"/>
      <c r="CA374" s="14"/>
      <c r="CB374" s="14"/>
      <c r="CC374" s="14"/>
      <c r="CD374" s="14"/>
      <c r="CE374" s="14"/>
      <c r="CF374" s="14"/>
      <c r="CG374" s="14"/>
      <c r="CH374" s="14"/>
      <c r="CI374" s="14"/>
      <c r="CJ374" s="14"/>
      <c r="CK374" s="14"/>
      <c r="CL374" s="14"/>
      <c r="CM374" s="14"/>
      <c r="CN374" s="14"/>
      <c r="CO374" s="14"/>
      <c r="CP374" s="14"/>
      <c r="CQ374" s="14"/>
      <c r="CR374" s="14"/>
      <c r="CS374" s="14"/>
      <c r="CT374" s="14"/>
      <c r="CU374" s="14"/>
      <c r="CV374" s="14"/>
      <c r="CW374" s="14"/>
      <c r="CX374" s="14"/>
      <c r="CY374" s="14"/>
      <c r="CZ374" s="14"/>
      <c r="DA374" s="14"/>
      <c r="DB374" s="14"/>
      <c r="DC374" s="14"/>
      <c r="DD374" s="14"/>
      <c r="DE374" s="14"/>
      <c r="DF374" s="14"/>
      <c r="DG374" s="14"/>
      <c r="DH374" s="14"/>
      <c r="DI374" s="14"/>
      <c r="DJ374" s="14"/>
      <c r="DK374" s="14"/>
      <c r="DL374" s="14"/>
      <c r="DM374" s="14"/>
      <c r="DN374" s="14"/>
      <c r="DO374" s="14"/>
      <c r="DP374" s="14"/>
      <c r="DQ374" s="14"/>
      <c r="DR374" s="14"/>
      <c r="DS374" s="14"/>
      <c r="DT374" s="14"/>
      <c r="DU374" s="14"/>
      <c r="DV374" s="14"/>
      <c r="DW374" s="14"/>
      <c r="DX374" s="14"/>
      <c r="DY374" s="14"/>
      <c r="DZ374" s="14"/>
      <c r="EA374" s="14"/>
      <c r="EB374" s="14"/>
      <c r="EC374" s="14"/>
      <c r="ED374" s="14"/>
      <c r="EE374" s="14"/>
      <c r="EF374" s="14"/>
      <c r="EG374" s="14"/>
      <c r="EH374" s="14"/>
      <c r="EI374" s="14"/>
      <c r="EJ374" s="14"/>
      <c r="EK374" s="14"/>
      <c r="EL374" s="14"/>
      <c r="EM374" s="14"/>
      <c r="EN374" s="14"/>
      <c r="EO374" s="14"/>
      <c r="EP374" s="14"/>
      <c r="EQ374" s="14"/>
      <c r="ER374" s="14"/>
      <c r="ES374" s="14"/>
      <c r="ET374" s="14"/>
      <c r="EU374" s="14"/>
      <c r="EV374" s="14"/>
      <c r="EW374" s="14"/>
      <c r="EX374" s="14"/>
      <c r="EY374" s="14"/>
      <c r="EZ374" s="14"/>
      <c r="FA374" s="14"/>
      <c r="FB374" s="14"/>
      <c r="FC374" s="14"/>
      <c r="FD374" s="14"/>
      <c r="FE374" s="14"/>
      <c r="FF374" s="14"/>
      <c r="FG374" s="14"/>
      <c r="FH374" s="14"/>
      <c r="FI374" s="14"/>
      <c r="FJ374" s="14"/>
      <c r="FK374" s="14"/>
      <c r="FL374" s="14"/>
      <c r="FM374" s="14"/>
      <c r="FN374" s="14"/>
      <c r="FO374" s="14"/>
      <c r="FP374" s="14"/>
      <c r="FQ374" s="14"/>
      <c r="FR374" s="14"/>
      <c r="FS374" s="14"/>
      <c r="FT374" s="14"/>
      <c r="FU374" s="14"/>
      <c r="FV374" s="14"/>
      <c r="FW374" s="14"/>
      <c r="FX374" s="14"/>
      <c r="FY374" s="14"/>
      <c r="FZ374" s="14"/>
      <c r="GA374" s="14"/>
      <c r="GB374" s="14"/>
      <c r="GC374" s="14"/>
      <c r="GD374" s="14"/>
      <c r="GE374" s="14"/>
      <c r="GF374" s="14"/>
      <c r="GG374" s="14"/>
      <c r="GH374" s="14"/>
      <c r="GI374" s="14"/>
      <c r="GJ374" s="14"/>
      <c r="GK374" s="14"/>
      <c r="GL374" s="14"/>
      <c r="GM374" s="14"/>
      <c r="GN374" s="14"/>
      <c r="GO374" s="14"/>
      <c r="GP374" s="14"/>
      <c r="GQ374" s="14"/>
      <c r="GR374" s="14"/>
      <c r="GS374" s="14"/>
      <c r="GT374" s="14"/>
      <c r="GU374" s="14"/>
      <c r="GV374" s="14"/>
      <c r="GW374" s="14"/>
      <c r="GX374" s="14"/>
      <c r="GY374" s="14"/>
      <c r="GZ374" s="14"/>
      <c r="HA374" s="14"/>
      <c r="HB374" s="14"/>
      <c r="HC374" s="14"/>
      <c r="HD374" s="14"/>
      <c r="HE374" s="14"/>
      <c r="HF374" s="14"/>
      <c r="HG374" s="14"/>
      <c r="HH374" s="14"/>
      <c r="HI374" s="14"/>
      <c r="HJ374" s="14"/>
      <c r="HK374" s="14"/>
      <c r="HL374" s="14"/>
      <c r="HM374" s="14"/>
      <c r="HN374" s="14"/>
      <c r="HO374" s="14"/>
      <c r="HP374" s="14"/>
      <c r="HQ374" s="14"/>
      <c r="HR374" s="14"/>
      <c r="HS374" s="14"/>
      <c r="HT374" s="14"/>
    </row>
    <row r="375" spans="1:228" ht="18" customHeight="1" x14ac:dyDescent="0.2">
      <c r="B375" s="1555" t="s">
        <v>1595</v>
      </c>
      <c r="C375" s="1555"/>
      <c r="D375" s="1555"/>
      <c r="E375" s="1555"/>
      <c r="F375" s="1555"/>
      <c r="G375" s="1555"/>
      <c r="H375" s="1555"/>
      <c r="I375" s="1555"/>
      <c r="J375" s="1555"/>
      <c r="K375" s="1555"/>
      <c r="L375" s="1555"/>
      <c r="M375" s="1555"/>
      <c r="N375" s="1555"/>
      <c r="O375" s="1555"/>
      <c r="P375" s="1534"/>
      <c r="Q375" s="1108"/>
      <c r="R375" s="1111"/>
      <c r="S375" s="18"/>
      <c r="T375" s="47"/>
      <c r="X375" s="47"/>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4"/>
      <c r="BR375" s="14"/>
      <c r="BS375" s="14"/>
      <c r="BT375" s="14"/>
      <c r="BU375" s="14"/>
      <c r="BV375" s="14"/>
      <c r="BW375" s="14"/>
      <c r="BX375" s="14"/>
      <c r="BY375" s="14"/>
      <c r="BZ375" s="14"/>
      <c r="CA375" s="14"/>
      <c r="CB375" s="14"/>
      <c r="CC375" s="14"/>
      <c r="CD375" s="14"/>
      <c r="CE375" s="14"/>
      <c r="CF375" s="14"/>
      <c r="CG375" s="14"/>
      <c r="CH375" s="14"/>
      <c r="CI375" s="14"/>
      <c r="CJ375" s="14"/>
      <c r="CK375" s="14"/>
      <c r="CL375" s="14"/>
      <c r="CM375" s="14"/>
      <c r="CN375" s="14"/>
      <c r="CO375" s="14"/>
      <c r="CP375" s="14"/>
      <c r="CQ375" s="14"/>
      <c r="CR375" s="14"/>
      <c r="CS375" s="14"/>
      <c r="CT375" s="14"/>
      <c r="CU375" s="14"/>
      <c r="CV375" s="14"/>
      <c r="CW375" s="14"/>
      <c r="CX375" s="14"/>
      <c r="CY375" s="14"/>
      <c r="CZ375" s="14"/>
      <c r="DA375" s="14"/>
      <c r="DB375" s="14"/>
      <c r="DC375" s="14"/>
      <c r="DD375" s="14"/>
      <c r="DE375" s="14"/>
      <c r="DF375" s="14"/>
      <c r="DG375" s="14"/>
      <c r="DH375" s="14"/>
      <c r="DI375" s="14"/>
      <c r="DJ375" s="14"/>
      <c r="DK375" s="14"/>
      <c r="DL375" s="14"/>
      <c r="DM375" s="14"/>
      <c r="DN375" s="14"/>
      <c r="DO375" s="14"/>
      <c r="DP375" s="14"/>
      <c r="DQ375" s="14"/>
      <c r="DR375" s="14"/>
      <c r="DS375" s="14"/>
      <c r="DT375" s="14"/>
      <c r="DU375" s="14"/>
      <c r="DV375" s="14"/>
      <c r="DW375" s="14"/>
      <c r="DX375" s="14"/>
      <c r="DY375" s="14"/>
      <c r="DZ375" s="14"/>
      <c r="EA375" s="14"/>
      <c r="EB375" s="14"/>
      <c r="EC375" s="14"/>
      <c r="ED375" s="14"/>
      <c r="EE375" s="14"/>
      <c r="EF375" s="14"/>
      <c r="EG375" s="14"/>
      <c r="EH375" s="14"/>
      <c r="EI375" s="14"/>
      <c r="EJ375" s="14"/>
      <c r="EK375" s="14"/>
      <c r="EL375" s="14"/>
      <c r="EM375" s="14"/>
      <c r="EN375" s="14"/>
      <c r="EO375" s="14"/>
      <c r="EP375" s="14"/>
      <c r="EQ375" s="14"/>
      <c r="ER375" s="14"/>
      <c r="ES375" s="14"/>
      <c r="ET375" s="14"/>
      <c r="EU375" s="14"/>
      <c r="EV375" s="14"/>
      <c r="EW375" s="14"/>
      <c r="EX375" s="14"/>
      <c r="EY375" s="14"/>
      <c r="EZ375" s="14"/>
      <c r="FA375" s="14"/>
      <c r="FB375" s="14"/>
      <c r="FC375" s="14"/>
      <c r="FD375" s="14"/>
      <c r="FE375" s="14"/>
      <c r="FF375" s="14"/>
      <c r="FG375" s="14"/>
      <c r="FH375" s="14"/>
      <c r="FI375" s="14"/>
      <c r="FJ375" s="14"/>
      <c r="FK375" s="14"/>
      <c r="FL375" s="14"/>
      <c r="FM375" s="14"/>
      <c r="FN375" s="14"/>
      <c r="FO375" s="14"/>
      <c r="FP375" s="14"/>
      <c r="FQ375" s="14"/>
      <c r="FR375" s="14"/>
      <c r="FS375" s="14"/>
      <c r="FT375" s="14"/>
      <c r="FU375" s="14"/>
      <c r="FV375" s="14"/>
      <c r="FW375" s="14"/>
      <c r="FX375" s="14"/>
      <c r="FY375" s="14"/>
      <c r="FZ375" s="14"/>
      <c r="GA375" s="14"/>
      <c r="GB375" s="14"/>
      <c r="GC375" s="14"/>
      <c r="GD375" s="14"/>
      <c r="GE375" s="14"/>
      <c r="GF375" s="14"/>
      <c r="GG375" s="14"/>
      <c r="GH375" s="14"/>
      <c r="GI375" s="14"/>
      <c r="GJ375" s="14"/>
      <c r="GK375" s="14"/>
      <c r="GL375" s="14"/>
      <c r="GM375" s="14"/>
      <c r="GN375" s="14"/>
      <c r="GO375" s="14"/>
      <c r="GP375" s="14"/>
      <c r="GQ375" s="14"/>
      <c r="GR375" s="14"/>
      <c r="GS375" s="14"/>
      <c r="GT375" s="14"/>
      <c r="GU375" s="14"/>
      <c r="GV375" s="14"/>
      <c r="GW375" s="14"/>
      <c r="GX375" s="14"/>
      <c r="GY375" s="14"/>
      <c r="GZ375" s="14"/>
      <c r="HA375" s="14"/>
      <c r="HB375" s="14"/>
      <c r="HC375" s="14"/>
      <c r="HD375" s="14"/>
      <c r="HE375" s="14"/>
      <c r="HF375" s="14"/>
      <c r="HG375" s="14"/>
      <c r="HH375" s="14"/>
      <c r="HI375" s="14"/>
      <c r="HJ375" s="14"/>
      <c r="HK375" s="14"/>
      <c r="HL375" s="14"/>
      <c r="HM375" s="14"/>
      <c r="HN375" s="14"/>
      <c r="HO375" s="14"/>
      <c r="HP375" s="14"/>
      <c r="HQ375" s="14"/>
      <c r="HR375" s="14"/>
      <c r="HS375" s="14"/>
      <c r="HT375" s="14"/>
    </row>
    <row r="376" spans="1:228" ht="27" customHeight="1" x14ac:dyDescent="0.25">
      <c r="B376" s="336"/>
      <c r="C376" s="1555" t="s">
        <v>1596</v>
      </c>
      <c r="D376" s="1555"/>
      <c r="E376" s="1555"/>
      <c r="F376" s="1555"/>
      <c r="G376" s="1536" t="s">
        <v>1081</v>
      </c>
      <c r="H376" s="1536"/>
      <c r="I376" s="1536"/>
      <c r="J376" s="1536"/>
      <c r="K376" s="1536"/>
      <c r="L376" s="1896"/>
      <c r="M376" s="1897"/>
      <c r="N376" s="1897"/>
      <c r="O376" s="1898"/>
      <c r="P376" s="1534"/>
      <c r="Q376" s="1108"/>
      <c r="R376" s="1111"/>
      <c r="S376" s="950" t="s">
        <v>1573</v>
      </c>
      <c r="T376" s="947" t="s">
        <v>1596</v>
      </c>
      <c r="U376" s="947" t="s">
        <v>1597</v>
      </c>
      <c r="V376" s="1555" t="s">
        <v>1083</v>
      </c>
      <c r="W376" s="1555"/>
      <c r="X376" s="1555"/>
      <c r="Y376" s="1555"/>
      <c r="Z376" s="947" t="s">
        <v>2229</v>
      </c>
      <c r="AA376" s="947" t="s">
        <v>2230</v>
      </c>
      <c r="AB376" s="961" t="s">
        <v>1207</v>
      </c>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4"/>
      <c r="BR376" s="14"/>
      <c r="BS376" s="14"/>
      <c r="BT376" s="14"/>
      <c r="BU376" s="14"/>
      <c r="BV376" s="14"/>
      <c r="BW376" s="14"/>
      <c r="BX376" s="14"/>
      <c r="BY376" s="14"/>
      <c r="BZ376" s="14"/>
      <c r="CA376" s="14"/>
      <c r="CB376" s="14"/>
      <c r="CC376" s="14"/>
      <c r="CD376" s="14"/>
      <c r="CE376" s="14"/>
      <c r="CF376" s="14"/>
      <c r="CG376" s="14"/>
      <c r="CH376" s="14"/>
      <c r="CI376" s="14"/>
      <c r="CJ376" s="14"/>
      <c r="CK376" s="14"/>
      <c r="CL376" s="14"/>
      <c r="CM376" s="14"/>
      <c r="CN376" s="14"/>
      <c r="CO376" s="14"/>
      <c r="CP376" s="14"/>
      <c r="CQ376" s="14"/>
      <c r="CR376" s="14"/>
      <c r="CS376" s="14"/>
      <c r="CT376" s="14"/>
      <c r="CU376" s="14"/>
      <c r="CV376" s="14"/>
      <c r="CW376" s="14"/>
      <c r="CX376" s="14"/>
      <c r="CY376" s="14"/>
      <c r="CZ376" s="14"/>
      <c r="DA376" s="14"/>
      <c r="DB376" s="14"/>
      <c r="DC376" s="14"/>
      <c r="DD376" s="14"/>
      <c r="DE376" s="14"/>
      <c r="DF376" s="14"/>
      <c r="DG376" s="14"/>
      <c r="DH376" s="14"/>
      <c r="DI376" s="14"/>
      <c r="DJ376" s="14"/>
      <c r="DK376" s="14"/>
      <c r="DL376" s="14"/>
      <c r="DM376" s="14"/>
      <c r="DN376" s="14"/>
      <c r="DO376" s="14"/>
      <c r="DP376" s="14"/>
      <c r="DQ376" s="14"/>
      <c r="DR376" s="14"/>
      <c r="DS376" s="14"/>
      <c r="DT376" s="14"/>
      <c r="DU376" s="14"/>
      <c r="DV376" s="14"/>
      <c r="DW376" s="14"/>
      <c r="DX376" s="14"/>
      <c r="DY376" s="14"/>
      <c r="DZ376" s="14"/>
      <c r="EA376" s="14"/>
      <c r="EB376" s="14"/>
      <c r="EC376" s="14"/>
      <c r="ED376" s="14"/>
      <c r="EE376" s="14"/>
      <c r="EF376" s="14"/>
      <c r="EG376" s="14"/>
      <c r="EH376" s="14"/>
      <c r="EI376" s="14"/>
      <c r="EJ376" s="14"/>
      <c r="EK376" s="14"/>
      <c r="EL376" s="14"/>
      <c r="EM376" s="14"/>
      <c r="EN376" s="14"/>
      <c r="EO376" s="14"/>
      <c r="EP376" s="14"/>
      <c r="EQ376" s="14"/>
      <c r="ER376" s="14"/>
      <c r="ES376" s="14"/>
      <c r="ET376" s="14"/>
      <c r="EU376" s="14"/>
      <c r="EV376" s="14"/>
      <c r="EW376" s="14"/>
      <c r="EX376" s="14"/>
      <c r="EY376" s="14"/>
      <c r="EZ376" s="14"/>
      <c r="FA376" s="14"/>
      <c r="FB376" s="14"/>
      <c r="FC376" s="14"/>
      <c r="FD376" s="14"/>
      <c r="FE376" s="14"/>
      <c r="FF376" s="14"/>
      <c r="FG376" s="14"/>
      <c r="FH376" s="14"/>
      <c r="FI376" s="14"/>
      <c r="FJ376" s="14"/>
      <c r="FK376" s="14"/>
      <c r="FL376" s="14"/>
      <c r="FM376" s="14"/>
      <c r="FN376" s="14"/>
      <c r="FO376" s="14"/>
      <c r="FP376" s="14"/>
      <c r="FQ376" s="14"/>
      <c r="FR376" s="14"/>
      <c r="FS376" s="14"/>
      <c r="FT376" s="14"/>
      <c r="FU376" s="14"/>
      <c r="FV376" s="14"/>
      <c r="FW376" s="14"/>
      <c r="FX376" s="14"/>
      <c r="FY376" s="14"/>
      <c r="FZ376" s="14"/>
      <c r="GA376" s="14"/>
      <c r="GB376" s="14"/>
      <c r="GC376" s="14"/>
      <c r="GD376" s="14"/>
      <c r="GE376" s="14"/>
      <c r="GF376" s="14"/>
      <c r="GG376" s="14"/>
      <c r="GH376" s="14"/>
      <c r="GI376" s="14"/>
      <c r="GJ376" s="14"/>
      <c r="GK376" s="14"/>
      <c r="GL376" s="14"/>
      <c r="GM376" s="14"/>
      <c r="GN376" s="14"/>
      <c r="GO376" s="14"/>
      <c r="GP376" s="14"/>
      <c r="GQ376" s="14"/>
      <c r="GR376" s="14"/>
      <c r="GS376" s="14"/>
      <c r="GT376" s="14"/>
      <c r="GU376" s="14"/>
      <c r="GV376" s="14"/>
      <c r="GW376" s="14"/>
      <c r="GX376" s="14"/>
      <c r="GY376" s="14"/>
      <c r="GZ376" s="14"/>
      <c r="HA376" s="14"/>
      <c r="HB376" s="14"/>
      <c r="HC376" s="14"/>
      <c r="HD376" s="14"/>
      <c r="HE376" s="14"/>
      <c r="HF376" s="14"/>
      <c r="HG376" s="14"/>
      <c r="HH376" s="14"/>
      <c r="HI376" s="14"/>
      <c r="HJ376" s="14"/>
      <c r="HK376" s="14"/>
      <c r="HL376" s="14"/>
      <c r="HM376" s="14"/>
      <c r="HN376" s="14"/>
      <c r="HO376" s="14"/>
      <c r="HP376" s="14"/>
      <c r="HQ376" s="14"/>
      <c r="HR376" s="14"/>
      <c r="HS376" s="14"/>
      <c r="HT376" s="14"/>
    </row>
    <row r="377" spans="1:228" ht="13.5" customHeight="1" x14ac:dyDescent="0.2">
      <c r="B377" s="186" t="s">
        <v>1201</v>
      </c>
      <c r="C377" s="1308"/>
      <c r="D377" s="1308"/>
      <c r="E377" s="1558">
        <f>LETable!AT55</f>
        <v>0</v>
      </c>
      <c r="F377" s="1558"/>
      <c r="G377" s="1308"/>
      <c r="H377" s="1308"/>
      <c r="I377" s="1308"/>
      <c r="J377" s="1538">
        <f>IF(C377="",0,IF(OR(C377&lt;=0,G377&lt;=0),E377,IF(G377&lt;C377,0,LETable!AY55)))</f>
        <v>0</v>
      </c>
      <c r="K377" s="1538"/>
      <c r="L377" s="1556" t="str">
        <f>IF(OR(C377="NA",G377="NA"),"",IF(AND(C377&lt;&gt;"",G377=""),"Enter contralateral or NA.",IF(AND(C377="",G377&lt;&gt;""),"Need data","")))</f>
        <v/>
      </c>
      <c r="M377" s="1556"/>
      <c r="N377" s="1556"/>
      <c r="O377" s="1556"/>
      <c r="P377" s="1534"/>
      <c r="Q377" s="1108"/>
      <c r="R377" s="1103" t="s">
        <v>1202</v>
      </c>
      <c r="S377" s="950">
        <v>150</v>
      </c>
      <c r="T377" s="950" t="str">
        <f>IF(OR(C377="",C377="NA"),"",IF(C377&gt;S377,S377,IF(C377&lt;0,0,C377)))</f>
        <v/>
      </c>
      <c r="U377" s="950" t="str">
        <f>IF(OR(G377="",G377="NA"),"",IF(G377&gt;S377,S377,IF(G377&lt;0,0,G377)))</f>
        <v/>
      </c>
      <c r="V377" s="696" t="str">
        <f>IF(Y377="","",ROUND(Y377,0))</f>
        <v/>
      </c>
      <c r="W377" s="1555" t="s">
        <v>1203</v>
      </c>
      <c r="X377" s="1555"/>
      <c r="Y377" s="968" t="str">
        <f>IF(T377="","",IF(OR(U377="",U377=0,U377&lt;T377),T377,(T377*S377)/U377))</f>
        <v/>
      </c>
      <c r="Z377" s="950">
        <f>IF(AND(C378&lt;&gt;"",C378&lt;&gt;"NA"),1,0)</f>
        <v>0</v>
      </c>
      <c r="AA377" s="950">
        <f>IF(AND(C377&lt;&gt;"",C377&lt;&gt;"NA"),1,0)</f>
        <v>0</v>
      </c>
      <c r="AB377" s="242">
        <f>MAX(E378,E380)</f>
        <v>0</v>
      </c>
      <c r="AC377" s="18"/>
      <c r="AD377" s="18"/>
      <c r="AE377" s="18"/>
      <c r="AF377" s="18"/>
      <c r="AG377" s="18"/>
      <c r="AH377" s="18"/>
      <c r="AI377" s="111"/>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4"/>
      <c r="BR377" s="14"/>
      <c r="BS377" s="14"/>
      <c r="BT377" s="14"/>
      <c r="BU377" s="14"/>
      <c r="BV377" s="14"/>
      <c r="BW377" s="14"/>
      <c r="BX377" s="14"/>
      <c r="BY377" s="14"/>
      <c r="BZ377" s="14"/>
      <c r="CA377" s="14"/>
      <c r="CB377" s="14"/>
      <c r="CC377" s="14"/>
      <c r="CD377" s="14"/>
      <c r="CE377" s="14"/>
      <c r="CF377" s="14"/>
      <c r="CG377" s="14"/>
      <c r="CH377" s="14"/>
      <c r="CI377" s="14"/>
      <c r="CJ377" s="14"/>
      <c r="CK377" s="14"/>
      <c r="CL377" s="14"/>
      <c r="CM377" s="14"/>
      <c r="CN377" s="14"/>
      <c r="CO377" s="14"/>
      <c r="CP377" s="14"/>
      <c r="CQ377" s="14"/>
      <c r="CR377" s="14"/>
      <c r="CS377" s="14"/>
      <c r="CT377" s="14"/>
      <c r="CU377" s="14"/>
      <c r="CV377" s="14"/>
      <c r="CW377" s="14"/>
      <c r="CX377" s="14"/>
      <c r="CY377" s="14"/>
      <c r="CZ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c r="EX377" s="14"/>
      <c r="EY377" s="14"/>
      <c r="EZ377" s="14"/>
      <c r="FA377" s="14"/>
      <c r="FB377" s="14"/>
      <c r="FC377" s="14"/>
      <c r="FD377" s="14"/>
      <c r="FE377" s="14"/>
      <c r="FF377" s="14"/>
      <c r="FG377" s="14"/>
      <c r="FH377" s="14"/>
      <c r="FI377" s="14"/>
      <c r="FJ377" s="14"/>
      <c r="FK377" s="14"/>
      <c r="FL377" s="14"/>
      <c r="FM377" s="14"/>
      <c r="FN377" s="14"/>
      <c r="FO377" s="14"/>
      <c r="FP377" s="14"/>
      <c r="FQ377" s="14"/>
      <c r="FR377" s="14"/>
      <c r="FS377" s="14"/>
      <c r="FT377" s="14"/>
      <c r="FU377" s="14"/>
      <c r="FV377" s="14"/>
      <c r="FW377" s="14"/>
      <c r="FX377" s="14"/>
      <c r="FY377" s="14"/>
      <c r="FZ377" s="14"/>
      <c r="GA377" s="14"/>
      <c r="GB377" s="14"/>
      <c r="GC377" s="14"/>
      <c r="GD377" s="14"/>
      <c r="GE377" s="14"/>
      <c r="GF377" s="14"/>
      <c r="GG377" s="14"/>
      <c r="GH377" s="14"/>
      <c r="GI377" s="14"/>
      <c r="GJ377" s="14"/>
      <c r="GK377" s="14"/>
      <c r="GL377" s="14"/>
      <c r="GM377" s="14"/>
      <c r="GN377" s="14"/>
      <c r="GO377" s="14"/>
      <c r="GP377" s="14"/>
      <c r="GQ377" s="14"/>
      <c r="GR377" s="14"/>
      <c r="GS377" s="14"/>
      <c r="GT377" s="14"/>
      <c r="GU377" s="14"/>
      <c r="GV377" s="14"/>
      <c r="GW377" s="14"/>
      <c r="GX377" s="14"/>
      <c r="GY377" s="14"/>
      <c r="GZ377" s="14"/>
      <c r="HA377" s="14"/>
      <c r="HB377" s="14"/>
      <c r="HC377" s="14"/>
      <c r="HD377" s="14"/>
      <c r="HE377" s="14"/>
      <c r="HF377" s="14"/>
      <c r="HG377" s="14"/>
      <c r="HH377" s="14"/>
      <c r="HI377" s="14"/>
      <c r="HJ377" s="14"/>
      <c r="HK377" s="14"/>
      <c r="HL377" s="14"/>
      <c r="HM377" s="14"/>
      <c r="HN377" s="14"/>
      <c r="HO377" s="14"/>
      <c r="HP377" s="14"/>
      <c r="HQ377" s="14"/>
      <c r="HR377" s="14"/>
      <c r="HS377" s="14"/>
      <c r="HT377" s="14"/>
    </row>
    <row r="378" spans="1:228" ht="13.5" customHeight="1" x14ac:dyDescent="0.2">
      <c r="B378" s="186" t="s">
        <v>1204</v>
      </c>
      <c r="C378" s="1308"/>
      <c r="D378" s="1308"/>
      <c r="E378" s="1558">
        <f>IF(AND($Z$379&gt;0,$AA$379&gt;0),"ERROR",LETable!AT56)</f>
        <v>0</v>
      </c>
      <c r="F378" s="1558"/>
      <c r="G378" s="1918" t="str">
        <f>IF(E378="ERROR","Cannot rate ROM and ankylosis.","")</f>
        <v/>
      </c>
      <c r="H378" s="1919"/>
      <c r="I378" s="1919"/>
      <c r="J378" s="1919"/>
      <c r="K378" s="1919"/>
      <c r="L378" s="1919"/>
      <c r="M378" s="1919"/>
      <c r="N378" s="1919"/>
      <c r="O378" s="1920"/>
      <c r="P378" s="1534"/>
      <c r="Q378" s="1108"/>
      <c r="R378" s="1103">
        <f>IF(R379="ERROR",1,0)</f>
        <v>0</v>
      </c>
      <c r="S378" s="950">
        <v>150</v>
      </c>
      <c r="T378" s="950" t="str">
        <f>IF(OR(C378="",C378="NA"),"",IF(C378&gt;S378,S378,IF(C378&lt;0,0,C378)))</f>
        <v/>
      </c>
      <c r="U378" s="18"/>
      <c r="V378" s="73"/>
      <c r="W378" s="18"/>
      <c r="X378" s="18"/>
      <c r="Y378" s="159"/>
      <c r="Z378" s="950">
        <f>IF(AND(C380&lt;&gt;"",C380&lt;&gt;"NA"),1,0)</f>
        <v>0</v>
      </c>
      <c r="AA378" s="950">
        <f>IF(AND(C379&lt;&gt;"",C379&lt;&gt;"NA"),1,0)</f>
        <v>0</v>
      </c>
      <c r="AB378" s="73"/>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4"/>
      <c r="BR378" s="14"/>
      <c r="BS378" s="14"/>
      <c r="BT378" s="14"/>
      <c r="BU378" s="14"/>
      <c r="BV378" s="14"/>
      <c r="BW378" s="14"/>
      <c r="BX378" s="14"/>
      <c r="BY378" s="14"/>
      <c r="BZ378" s="14"/>
      <c r="CA378" s="14"/>
      <c r="CB378" s="14"/>
      <c r="CC378" s="14"/>
      <c r="CD378" s="14"/>
      <c r="CE378" s="14"/>
      <c r="CF378" s="14"/>
      <c r="CG378" s="14"/>
      <c r="CH378" s="14"/>
      <c r="CI378" s="14"/>
      <c r="CJ378" s="14"/>
      <c r="CK378" s="14"/>
      <c r="CL378" s="14"/>
      <c r="CM378" s="14"/>
      <c r="CN378" s="14"/>
      <c r="CO378" s="14"/>
      <c r="CP378" s="14"/>
      <c r="CQ378" s="14"/>
      <c r="CR378" s="14"/>
      <c r="CS378" s="14"/>
      <c r="CT378" s="14"/>
      <c r="CU378" s="14"/>
      <c r="CV378" s="14"/>
      <c r="CW378" s="14"/>
      <c r="CX378" s="14"/>
      <c r="CY378" s="14"/>
      <c r="CZ378" s="14"/>
      <c r="DA378" s="14"/>
      <c r="DB378" s="14"/>
      <c r="DC378" s="14"/>
      <c r="DD378" s="14"/>
      <c r="DE378" s="14"/>
      <c r="DF378" s="14"/>
      <c r="DG378" s="14"/>
      <c r="DH378" s="14"/>
      <c r="DI378" s="14"/>
      <c r="DJ378" s="14"/>
      <c r="DK378" s="14"/>
      <c r="DL378" s="14"/>
      <c r="DM378" s="14"/>
      <c r="DN378" s="14"/>
      <c r="DO378" s="14"/>
      <c r="DP378" s="14"/>
      <c r="DQ378" s="14"/>
      <c r="DR378" s="14"/>
      <c r="DS378" s="14"/>
      <c r="DT378" s="14"/>
      <c r="DU378" s="14"/>
      <c r="DV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c r="EX378" s="14"/>
      <c r="EY378" s="14"/>
      <c r="EZ378" s="14"/>
      <c r="FA378" s="14"/>
      <c r="FB378" s="14"/>
      <c r="FC378" s="14"/>
      <c r="FD378" s="14"/>
      <c r="FE378" s="14"/>
      <c r="FF378" s="14"/>
      <c r="FG378" s="14"/>
      <c r="FH378" s="14"/>
      <c r="FI378" s="14"/>
      <c r="FJ378" s="14"/>
      <c r="FK378" s="14"/>
      <c r="FL378" s="14"/>
      <c r="FM378" s="14"/>
      <c r="FN378" s="14"/>
      <c r="FO378" s="14"/>
      <c r="FP378" s="14"/>
      <c r="FQ378" s="14"/>
      <c r="FR378" s="14"/>
      <c r="FS378" s="14"/>
      <c r="FT378" s="14"/>
      <c r="FU378" s="14"/>
      <c r="FV378" s="14"/>
      <c r="FW378" s="14"/>
      <c r="FX378" s="14"/>
      <c r="FY378" s="14"/>
      <c r="FZ378" s="14"/>
      <c r="GA378" s="14"/>
      <c r="GB378" s="14"/>
      <c r="GC378" s="14"/>
      <c r="GD378" s="14"/>
      <c r="GE378" s="14"/>
      <c r="GF378" s="14"/>
      <c r="GG378" s="14"/>
      <c r="GH378" s="14"/>
      <c r="GI378" s="14"/>
      <c r="GJ378" s="14"/>
      <c r="GK378" s="14"/>
      <c r="GL378" s="14"/>
      <c r="GM378" s="14"/>
      <c r="GN378" s="14"/>
      <c r="GO378" s="14"/>
      <c r="GP378" s="14"/>
      <c r="GQ378" s="14"/>
      <c r="GR378" s="14"/>
      <c r="GS378" s="14"/>
      <c r="GT378" s="14"/>
      <c r="GU378" s="14"/>
      <c r="GV378" s="14"/>
      <c r="GW378" s="14"/>
      <c r="GX378" s="14"/>
      <c r="GY378" s="14"/>
      <c r="GZ378" s="14"/>
      <c r="HA378" s="14"/>
      <c r="HB378" s="14"/>
      <c r="HC378" s="14"/>
      <c r="HD378" s="14"/>
      <c r="HE378" s="14"/>
      <c r="HF378" s="14"/>
      <c r="HG378" s="14"/>
      <c r="HH378" s="14"/>
      <c r="HI378" s="14"/>
      <c r="HJ378" s="14"/>
      <c r="HK378" s="14"/>
      <c r="HL378" s="14"/>
      <c r="HM378" s="14"/>
      <c r="HN378" s="14"/>
      <c r="HO378" s="14"/>
      <c r="HP378" s="14"/>
      <c r="HQ378" s="14"/>
      <c r="HR378" s="14"/>
      <c r="HS378" s="14"/>
      <c r="HT378" s="14"/>
    </row>
    <row r="379" spans="1:228" ht="13.5" customHeight="1" x14ac:dyDescent="0.2">
      <c r="B379" s="186" t="s">
        <v>1205</v>
      </c>
      <c r="C379" s="1308"/>
      <c r="D379" s="1308"/>
      <c r="E379" s="1558">
        <f>LETable!AT57</f>
        <v>0</v>
      </c>
      <c r="F379" s="1558"/>
      <c r="G379" s="1308"/>
      <c r="H379" s="1308"/>
      <c r="I379" s="1308"/>
      <c r="J379" s="1538">
        <f>IF(C379="",0,IF(OR(C379&gt;=150,G379&gt;=150),E379,IF(G379&gt;C379,0,LETable!AY57)))</f>
        <v>0</v>
      </c>
      <c r="K379" s="1538"/>
      <c r="L379" s="1556" t="str">
        <f>IF(OR(C379="NA",G379="NA"),"",IF(AND(C379&lt;&gt;"",G379=""),"Enter contralateral or NA.",IF(AND(C379="",G379&lt;&gt;""),"Need data","")))</f>
        <v/>
      </c>
      <c r="M379" s="1556"/>
      <c r="N379" s="1556"/>
      <c r="O379" s="1556"/>
      <c r="P379" s="1534"/>
      <c r="Q379" s="1108"/>
      <c r="R379" s="892">
        <f>IF(OR(E378="ERROR",E380="ERROR"),"ERROR",J377+J379+AB377)</f>
        <v>0</v>
      </c>
      <c r="S379" s="950">
        <v>150</v>
      </c>
      <c r="T379" s="950" t="str">
        <f>IF(OR(C379="",C379="NA"),"",IF(C379&gt;S379,S379,IF(C379&lt;0,0,C379)))</f>
        <v/>
      </c>
      <c r="U379" s="950" t="str">
        <f>IF(OR(G379="",G379="NA"),"",IF(G379&gt;S379,S379,IF(G379&lt;0,0,G379)))</f>
        <v/>
      </c>
      <c r="V379" s="696" t="str">
        <f>IF(Y379="","",ROUND(Y379,0))</f>
        <v/>
      </c>
      <c r="W379" s="950">
        <f>IF(T379="",0,S379-T379)</f>
        <v>0</v>
      </c>
      <c r="X379" s="950">
        <f>IF(U379="",0,S379-U379)</f>
        <v>0</v>
      </c>
      <c r="Y379" s="968" t="str">
        <f>IF(T379="","",IF(OR(U379="",U379=0,U379&gt;T379),T379,S379-(W379*S379)/X379))</f>
        <v/>
      </c>
      <c r="Z379" s="950">
        <f>Z377+Z378</f>
        <v>0</v>
      </c>
      <c r="AA379" s="950">
        <f>AA377+AA378</f>
        <v>0</v>
      </c>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4"/>
      <c r="BR379" s="14"/>
      <c r="BS379" s="14"/>
      <c r="BT379" s="14"/>
      <c r="BU379" s="14"/>
      <c r="BV379" s="14"/>
      <c r="BW379" s="14"/>
      <c r="BX379" s="14"/>
      <c r="BY379" s="14"/>
      <c r="BZ379" s="14"/>
      <c r="CA379" s="14"/>
      <c r="CB379" s="14"/>
      <c r="CC379" s="14"/>
      <c r="CD379" s="14"/>
      <c r="CE379" s="14"/>
      <c r="CF379" s="14"/>
      <c r="CG379" s="14"/>
      <c r="CH379" s="14"/>
      <c r="CI379" s="14"/>
      <c r="CJ379" s="14"/>
      <c r="CK379" s="14"/>
      <c r="CL379" s="14"/>
      <c r="CM379" s="14"/>
      <c r="CN379" s="14"/>
      <c r="CO379" s="14"/>
      <c r="CP379" s="14"/>
      <c r="CQ379" s="14"/>
      <c r="CR379" s="14"/>
      <c r="CS379" s="14"/>
      <c r="CT379" s="14"/>
      <c r="CU379" s="14"/>
      <c r="CV379" s="14"/>
      <c r="CW379" s="14"/>
      <c r="CX379" s="14"/>
      <c r="CY379" s="14"/>
      <c r="CZ379" s="14"/>
      <c r="DA379" s="14"/>
      <c r="DB379" s="14"/>
      <c r="DC379" s="14"/>
      <c r="DD379" s="14"/>
      <c r="DE379" s="14"/>
      <c r="DF379" s="14"/>
      <c r="DG379" s="14"/>
      <c r="DH379" s="14"/>
      <c r="DI379" s="14"/>
      <c r="DJ379" s="14"/>
      <c r="DK379" s="14"/>
      <c r="DL379" s="14"/>
      <c r="DM379" s="14"/>
      <c r="DN379" s="14"/>
      <c r="DO379" s="14"/>
      <c r="DP379" s="14"/>
      <c r="DQ379" s="14"/>
      <c r="DR379" s="14"/>
      <c r="DS379" s="14"/>
      <c r="DT379" s="14"/>
      <c r="DU379" s="14"/>
      <c r="DV379" s="14"/>
      <c r="DW379" s="14"/>
      <c r="DX379" s="14"/>
      <c r="DY379" s="14"/>
      <c r="DZ379" s="14"/>
      <c r="EA379" s="14"/>
      <c r="EB379" s="14"/>
      <c r="EC379" s="14"/>
      <c r="ED379" s="14"/>
      <c r="EE379" s="14"/>
      <c r="EF379" s="14"/>
      <c r="EG379" s="14"/>
      <c r="EH379" s="14"/>
      <c r="EI379" s="14"/>
      <c r="EJ379" s="14"/>
      <c r="EK379" s="14"/>
      <c r="EL379" s="14"/>
      <c r="EM379" s="14"/>
      <c r="EN379" s="14"/>
      <c r="EO379" s="14"/>
      <c r="EP379" s="14"/>
      <c r="EQ379" s="14"/>
      <c r="ER379" s="14"/>
      <c r="ES379" s="14"/>
      <c r="ET379" s="14"/>
      <c r="EU379" s="14"/>
      <c r="EV379" s="14"/>
      <c r="EW379" s="14"/>
      <c r="EX379" s="14"/>
      <c r="EY379" s="14"/>
      <c r="EZ379" s="14"/>
      <c r="FA379" s="14"/>
      <c r="FB379" s="14"/>
      <c r="FC379" s="14"/>
      <c r="FD379" s="14"/>
      <c r="FE379" s="14"/>
      <c r="FF379" s="14"/>
      <c r="FG379" s="14"/>
      <c r="FH379" s="14"/>
      <c r="FI379" s="14"/>
      <c r="FJ379" s="14"/>
      <c r="FK379" s="14"/>
      <c r="FL379" s="14"/>
      <c r="FM379" s="14"/>
      <c r="FN379" s="14"/>
      <c r="FO379" s="14"/>
      <c r="FP379" s="14"/>
      <c r="FQ379" s="14"/>
      <c r="FR379" s="14"/>
      <c r="FS379" s="14"/>
      <c r="FT379" s="14"/>
      <c r="FU379" s="14"/>
      <c r="FV379" s="14"/>
      <c r="FW379" s="14"/>
      <c r="FX379" s="14"/>
      <c r="FY379" s="14"/>
      <c r="FZ379" s="14"/>
      <c r="GA379" s="14"/>
      <c r="GB379" s="14"/>
      <c r="GC379" s="14"/>
      <c r="GD379" s="14"/>
      <c r="GE379" s="14"/>
      <c r="GF379" s="14"/>
      <c r="GG379" s="14"/>
      <c r="GH379" s="14"/>
      <c r="GI379" s="14"/>
      <c r="GJ379" s="14"/>
      <c r="GK379" s="14"/>
      <c r="GL379" s="14"/>
      <c r="GM379" s="14"/>
      <c r="GN379" s="14"/>
      <c r="GO379" s="14"/>
      <c r="GP379" s="14"/>
      <c r="GQ379" s="14"/>
      <c r="GR379" s="14"/>
      <c r="GS379" s="14"/>
      <c r="GT379" s="14"/>
      <c r="GU379" s="14"/>
      <c r="GV379" s="14"/>
      <c r="GW379" s="14"/>
      <c r="GX379" s="14"/>
      <c r="GY379" s="14"/>
      <c r="GZ379" s="14"/>
      <c r="HA379" s="14"/>
      <c r="HB379" s="14"/>
      <c r="HC379" s="14"/>
      <c r="HD379" s="14"/>
      <c r="HE379" s="14"/>
      <c r="HF379" s="14"/>
      <c r="HG379" s="14"/>
      <c r="HH379" s="14"/>
      <c r="HI379" s="14"/>
      <c r="HJ379" s="14"/>
      <c r="HK379" s="14"/>
      <c r="HL379" s="14"/>
      <c r="HM379" s="14"/>
      <c r="HN379" s="14"/>
      <c r="HO379" s="14"/>
      <c r="HP379" s="14"/>
      <c r="HQ379" s="14"/>
      <c r="HR379" s="14"/>
      <c r="HS379" s="14"/>
      <c r="HT379" s="14"/>
    </row>
    <row r="380" spans="1:228" ht="15" customHeight="1" x14ac:dyDescent="0.2">
      <c r="B380" s="186" t="s">
        <v>1206</v>
      </c>
      <c r="C380" s="1308"/>
      <c r="D380" s="1308"/>
      <c r="E380" s="1558">
        <f>IF(AND($Z$379&gt;0,$AA$379&gt;0),"ERROR",LETable!AT58)</f>
        <v>0</v>
      </c>
      <c r="F380" s="1558"/>
      <c r="G380" s="1866" t="str">
        <f>IF(E380="ERROR","Cannot rate ROM and ankylosis.",IF(AND(C378&lt;&gt;"",C378&lt;&gt;"NA",C380&lt;&gt;"",C380&lt;&gt;"NA"),"Multiple ankylosis values; use higher value only.",""))</f>
        <v/>
      </c>
      <c r="H380" s="1867"/>
      <c r="I380" s="1867"/>
      <c r="J380" s="1867"/>
      <c r="K380" s="1867"/>
      <c r="L380" s="1867"/>
      <c r="M380" s="1867"/>
      <c r="N380" s="1867"/>
      <c r="O380" s="1868"/>
      <c r="P380" s="1534"/>
      <c r="Q380" s="1108"/>
      <c r="R380" s="749">
        <f>IF(R378=1,"ERROR",IF(AND(R379&gt;0,R379&lt;0.01),0.01,ROUND(R379,2)))</f>
        <v>0</v>
      </c>
      <c r="S380" s="950">
        <v>150</v>
      </c>
      <c r="T380" s="950" t="str">
        <f>IF(OR(C380="",C380="NA"),"",IF(C380&gt;S380,S380,IF(C380&lt;0,0,C380)))</f>
        <v/>
      </c>
      <c r="U380" s="698"/>
      <c r="V380" s="698"/>
      <c r="W380" s="698"/>
      <c r="Y380" s="18"/>
      <c r="Z380" s="18"/>
      <c r="AA380" s="18"/>
      <c r="AB380" s="18"/>
      <c r="AC380" s="18"/>
      <c r="AD380" s="18"/>
      <c r="AE380" s="18"/>
      <c r="AF380" s="18"/>
      <c r="AG380" s="18"/>
      <c r="AH380" s="18"/>
      <c r="AI380" s="18"/>
      <c r="AJ380" s="47"/>
      <c r="AK380" s="47"/>
      <c r="AL380" s="47"/>
      <c r="AM380" s="47"/>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4"/>
      <c r="BR380" s="14"/>
      <c r="BS380" s="14"/>
      <c r="BT380" s="14"/>
      <c r="BU380" s="14"/>
      <c r="BV380" s="14"/>
      <c r="BW380" s="14"/>
      <c r="BX380" s="14"/>
      <c r="BY380" s="14"/>
      <c r="BZ380" s="14"/>
      <c r="CA380" s="14"/>
      <c r="CB380" s="14"/>
      <c r="CC380" s="14"/>
      <c r="CD380" s="14"/>
      <c r="CE380" s="14"/>
      <c r="CF380" s="14"/>
      <c r="CG380" s="14"/>
      <c r="CH380" s="14"/>
      <c r="CI380" s="14"/>
      <c r="CJ380" s="14"/>
      <c r="CK380" s="14"/>
      <c r="CL380" s="14"/>
      <c r="CM380" s="14"/>
      <c r="CN380" s="14"/>
      <c r="CO380" s="14"/>
      <c r="CP380" s="14"/>
      <c r="CQ380" s="14"/>
      <c r="CR380" s="14"/>
      <c r="CS380" s="14"/>
      <c r="CT380" s="14"/>
      <c r="CU380" s="14"/>
      <c r="CV380" s="14"/>
      <c r="CW380" s="14"/>
      <c r="CX380" s="14"/>
      <c r="CY380" s="14"/>
      <c r="CZ380" s="14"/>
      <c r="DA380" s="14"/>
      <c r="DB380" s="14"/>
      <c r="DC380" s="14"/>
      <c r="DD380" s="14"/>
      <c r="DE380" s="14"/>
      <c r="DF380" s="14"/>
      <c r="DG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c r="EX380" s="14"/>
      <c r="EY380" s="14"/>
      <c r="EZ380" s="14"/>
      <c r="FA380" s="14"/>
      <c r="FB380" s="14"/>
      <c r="FC380" s="14"/>
      <c r="FD380" s="14"/>
      <c r="FE380" s="14"/>
      <c r="FF380" s="14"/>
      <c r="FG380" s="14"/>
      <c r="FH380" s="14"/>
      <c r="FI380" s="14"/>
      <c r="FJ380" s="14"/>
      <c r="FK380" s="14"/>
      <c r="FL380" s="14"/>
      <c r="FM380" s="14"/>
      <c r="FN380" s="14"/>
      <c r="FO380" s="14"/>
      <c r="FP380" s="14"/>
      <c r="FQ380" s="14"/>
      <c r="FR380" s="14"/>
      <c r="FS380" s="14"/>
      <c r="FT380" s="14"/>
      <c r="FU380" s="14"/>
      <c r="FV380" s="14"/>
      <c r="FW380" s="14"/>
      <c r="FX380" s="14"/>
      <c r="FY380" s="14"/>
      <c r="FZ380" s="14"/>
      <c r="GA380" s="14"/>
      <c r="GB380" s="14"/>
      <c r="GC380" s="14"/>
      <c r="GD380" s="14"/>
      <c r="GE380" s="14"/>
      <c r="GF380" s="14"/>
      <c r="GG380" s="14"/>
      <c r="GH380" s="14"/>
      <c r="GI380" s="14"/>
      <c r="GJ380" s="14"/>
      <c r="GK380" s="14"/>
      <c r="GL380" s="14"/>
      <c r="GM380" s="14"/>
      <c r="GN380" s="14"/>
      <c r="GO380" s="14"/>
      <c r="GP380" s="14"/>
      <c r="GQ380" s="14"/>
      <c r="GR380" s="14"/>
      <c r="GS380" s="14"/>
      <c r="GT380" s="14"/>
      <c r="GU380" s="14"/>
      <c r="GV380" s="14"/>
      <c r="GW380" s="14"/>
      <c r="GX380" s="14"/>
      <c r="GY380" s="14"/>
      <c r="GZ380" s="14"/>
      <c r="HA380" s="14"/>
      <c r="HB380" s="14"/>
      <c r="HC380" s="14"/>
      <c r="HD380" s="14"/>
      <c r="HE380" s="14"/>
      <c r="HF380" s="14"/>
      <c r="HG380" s="14"/>
      <c r="HH380" s="14"/>
      <c r="HI380" s="14"/>
      <c r="HJ380" s="14"/>
      <c r="HK380" s="14"/>
      <c r="HL380" s="14"/>
      <c r="HM380" s="14"/>
      <c r="HN380" s="14"/>
      <c r="HO380" s="14"/>
      <c r="HP380" s="14"/>
      <c r="HQ380" s="14"/>
      <c r="HR380" s="14"/>
      <c r="HS380" s="14"/>
      <c r="HT380" s="14"/>
    </row>
    <row r="381" spans="1:228" ht="13.5" customHeight="1" x14ac:dyDescent="0.25">
      <c r="B381" s="1899"/>
      <c r="C381" s="1899"/>
      <c r="D381" s="1899"/>
      <c r="E381" s="1899"/>
      <c r="F381" s="1899"/>
      <c r="G381" s="1899"/>
      <c r="H381" s="1740" t="s">
        <v>1208</v>
      </c>
      <c r="I381" s="1741"/>
      <c r="J381" s="1741"/>
      <c r="K381" s="1741"/>
      <c r="L381" s="1741"/>
      <c r="M381" s="1741"/>
      <c r="N381" s="1741"/>
      <c r="O381" s="1742"/>
      <c r="P381" s="1115">
        <f>IF(R380="ERROR","ERROR",IF(R380&gt;1,1,R380))</f>
        <v>0</v>
      </c>
      <c r="Q381" s="1108"/>
      <c r="R381" s="1111"/>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4"/>
      <c r="BR381" s="14"/>
      <c r="BS381" s="14"/>
      <c r="BT381" s="14"/>
      <c r="BU381" s="14"/>
      <c r="BV381" s="14"/>
      <c r="BW381" s="14"/>
      <c r="BX381" s="14"/>
      <c r="BY381" s="14"/>
      <c r="BZ381" s="14"/>
      <c r="CA381" s="14"/>
      <c r="CB381" s="14"/>
      <c r="CC381" s="14"/>
      <c r="CD381" s="14"/>
      <c r="CE381" s="14"/>
      <c r="CF381" s="14"/>
      <c r="CG381" s="14"/>
      <c r="CH381" s="14"/>
      <c r="CI381" s="14"/>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DP381" s="14"/>
      <c r="DQ381" s="14"/>
      <c r="DR381" s="14"/>
      <c r="DS381" s="14"/>
      <c r="DT381" s="14"/>
      <c r="DU381" s="14"/>
      <c r="DV381" s="14"/>
      <c r="DW381" s="14"/>
      <c r="DX381" s="14"/>
      <c r="DY381" s="14"/>
      <c r="DZ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c r="EX381" s="14"/>
      <c r="EY381" s="14"/>
      <c r="EZ381" s="14"/>
      <c r="FA381" s="14"/>
      <c r="FB381" s="14"/>
      <c r="FC381" s="14"/>
      <c r="FD381" s="14"/>
      <c r="FE381" s="14"/>
      <c r="FF381" s="14"/>
      <c r="FG381" s="14"/>
      <c r="FH381" s="14"/>
      <c r="FI381" s="14"/>
      <c r="FJ381" s="14"/>
      <c r="FK381" s="14"/>
      <c r="FL381" s="14"/>
      <c r="FM381" s="14"/>
      <c r="FN381" s="14"/>
      <c r="FO381" s="14"/>
      <c r="FP381" s="14"/>
      <c r="FQ381" s="14"/>
      <c r="FR381" s="14"/>
      <c r="FS381" s="14"/>
      <c r="FT381" s="14"/>
      <c r="FU381" s="14"/>
      <c r="FV381" s="14"/>
      <c r="FW381" s="14"/>
      <c r="FX381" s="14"/>
      <c r="FY381" s="14"/>
      <c r="FZ381" s="14"/>
      <c r="GA381" s="14"/>
      <c r="GB381" s="14"/>
      <c r="GC381" s="14"/>
      <c r="GD381" s="14"/>
      <c r="GE381" s="14"/>
      <c r="GF381" s="14"/>
      <c r="GG381" s="14"/>
      <c r="GH381" s="14"/>
      <c r="GI381" s="14"/>
      <c r="GJ381" s="14"/>
      <c r="GK381" s="14"/>
      <c r="GL381" s="14"/>
      <c r="GM381" s="14"/>
      <c r="GN381" s="14"/>
      <c r="GO381" s="14"/>
      <c r="GP381" s="14"/>
      <c r="GQ381" s="14"/>
      <c r="GR381" s="14"/>
      <c r="GS381" s="14"/>
      <c r="GT381" s="14"/>
      <c r="GU381" s="14"/>
      <c r="GV381" s="14"/>
      <c r="GW381" s="14"/>
      <c r="GX381" s="14"/>
      <c r="GY381" s="14"/>
      <c r="GZ381" s="14"/>
      <c r="HA381" s="14"/>
      <c r="HB381" s="14"/>
      <c r="HC381" s="14"/>
      <c r="HD381" s="14"/>
      <c r="HE381" s="14"/>
      <c r="HF381" s="14"/>
      <c r="HG381" s="14"/>
      <c r="HH381" s="14"/>
      <c r="HI381" s="14"/>
      <c r="HJ381" s="14"/>
      <c r="HK381" s="14"/>
      <c r="HL381" s="14"/>
      <c r="HM381" s="14"/>
      <c r="HN381" s="14"/>
      <c r="HO381" s="14"/>
      <c r="HP381" s="14"/>
      <c r="HQ381" s="14"/>
      <c r="HR381" s="14"/>
      <c r="HS381" s="14"/>
      <c r="HT381" s="14"/>
    </row>
    <row r="382" spans="1:228" ht="15" customHeight="1" x14ac:dyDescent="0.2">
      <c r="B382" s="186" t="s">
        <v>172</v>
      </c>
      <c r="C382" s="1308"/>
      <c r="D382" s="1308"/>
      <c r="E382" s="1558">
        <f>LETable!AT61</f>
        <v>0</v>
      </c>
      <c r="F382" s="1558"/>
      <c r="G382" s="1308"/>
      <c r="H382" s="1308"/>
      <c r="I382" s="1308"/>
      <c r="J382" s="1538">
        <f>IF(C382="",0,IF(OR(C382&lt;=0,G382&lt;=0),E382,IF(G382&lt;C382,0,LETable!AY61)))</f>
        <v>0</v>
      </c>
      <c r="K382" s="1538"/>
      <c r="L382" s="1829" t="str">
        <f t="shared" ref="L382:L387" si="58">IF(OR(C382="NA",G382="NA"),"",IF(AND(C382&lt;&gt;"",G382=""),"Enter contralateral or NA.",IF(AND(C382="",G382&lt;&gt;""),"Need data","")))</f>
        <v/>
      </c>
      <c r="M382" s="1829"/>
      <c r="N382" s="1829"/>
      <c r="O382" s="1829"/>
      <c r="P382" s="1911"/>
      <c r="Q382" s="1108"/>
      <c r="R382" s="1111"/>
      <c r="S382" s="950">
        <v>100</v>
      </c>
      <c r="T382" s="950" t="str">
        <f t="shared" ref="T382:T387" si="59">IF(OR(C382="",C382="NA"),"",IF(C382&gt;S382,S382,IF(C382&lt;0,0,C382)))</f>
        <v/>
      </c>
      <c r="U382" s="950" t="str">
        <f t="shared" ref="U382:U387" si="60">IF(OR(G382="",G382="NA"),"",IF(G382&gt;S382,S382,IF(G382&lt;0,0,G382)))</f>
        <v/>
      </c>
      <c r="V382" s="696" t="str">
        <f t="shared" ref="V382:V387" si="61">IF(Y382="","",ROUND(Y382,0))</f>
        <v/>
      </c>
      <c r="W382" s="951"/>
      <c r="X382" s="952"/>
      <c r="Y382" s="697" t="str">
        <f t="shared" ref="Y382:Y387" si="62">IF(T382="","",IF(OR(U382="",U382=0,U382&lt;T382),T382,(T382*S382)/U382))</f>
        <v/>
      </c>
      <c r="Z382" s="18"/>
      <c r="AA382" s="18"/>
      <c r="AB382" s="18"/>
      <c r="AC382" s="18"/>
      <c r="AD382" s="18"/>
      <c r="AE382" s="18"/>
      <c r="AF382" s="18"/>
      <c r="AG382" s="18"/>
      <c r="AH382" s="18"/>
      <c r="AI382" s="111"/>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4"/>
      <c r="BR382" s="14"/>
      <c r="BS382" s="14"/>
      <c r="BT382" s="14"/>
      <c r="BU382" s="14"/>
      <c r="BV382" s="14"/>
      <c r="BW382" s="14"/>
      <c r="BX382" s="14"/>
      <c r="BY382" s="14"/>
      <c r="BZ382" s="14"/>
      <c r="CA382" s="14"/>
      <c r="CB382" s="14"/>
      <c r="CC382" s="14"/>
      <c r="CD382" s="14"/>
      <c r="CE382" s="14"/>
      <c r="CF382" s="14"/>
      <c r="CG382" s="14"/>
      <c r="CH382" s="14"/>
      <c r="CI382" s="14"/>
      <c r="CJ382" s="14"/>
      <c r="CK382" s="14"/>
      <c r="CL382" s="14"/>
      <c r="CM382" s="14"/>
      <c r="CN382" s="14"/>
      <c r="CO382" s="14"/>
      <c r="CP382" s="14"/>
      <c r="CQ382" s="14"/>
      <c r="CR382" s="14"/>
      <c r="CS382" s="14"/>
      <c r="CT382" s="14"/>
      <c r="CU382" s="14"/>
      <c r="CV382" s="14"/>
      <c r="CW382" s="14"/>
      <c r="CX382" s="14"/>
      <c r="CY382" s="14"/>
      <c r="CZ382" s="14"/>
      <c r="DA382" s="14"/>
      <c r="DB382" s="14"/>
      <c r="DC382" s="14"/>
      <c r="DD382" s="14"/>
      <c r="DE382" s="14"/>
      <c r="DF382" s="14"/>
      <c r="DG382" s="14"/>
      <c r="DH382" s="14"/>
      <c r="DI382" s="14"/>
      <c r="DJ382" s="14"/>
      <c r="DK382" s="14"/>
      <c r="DL382" s="14"/>
      <c r="DM382" s="14"/>
      <c r="DN382" s="14"/>
      <c r="DO382" s="14"/>
      <c r="DP382" s="14"/>
      <c r="DQ382" s="14"/>
      <c r="DR382" s="14"/>
      <c r="DS382" s="14"/>
      <c r="DT382" s="14"/>
      <c r="DU382" s="14"/>
      <c r="DV382" s="14"/>
      <c r="DW382" s="14"/>
      <c r="DX382" s="14"/>
      <c r="DY382" s="14"/>
      <c r="DZ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c r="EX382" s="14"/>
      <c r="EY382" s="14"/>
      <c r="EZ382" s="14"/>
      <c r="FA382" s="14"/>
      <c r="FB382" s="14"/>
      <c r="FC382" s="14"/>
      <c r="FD382" s="14"/>
      <c r="FE382" s="14"/>
      <c r="FF382" s="14"/>
      <c r="FG382" s="14"/>
      <c r="FH382" s="14"/>
      <c r="FI382" s="14"/>
      <c r="FJ382" s="14"/>
      <c r="FK382" s="14"/>
      <c r="FL382" s="14"/>
      <c r="FM382" s="14"/>
      <c r="FN382" s="14"/>
      <c r="FO382" s="14"/>
      <c r="FP382" s="14"/>
      <c r="FQ382" s="14"/>
      <c r="FR382" s="14"/>
      <c r="FS382" s="14"/>
      <c r="FT382" s="14"/>
      <c r="FU382" s="14"/>
      <c r="FV382" s="14"/>
      <c r="FW382" s="14"/>
      <c r="FX382" s="14"/>
      <c r="FY382" s="14"/>
      <c r="FZ382" s="14"/>
      <c r="GA382" s="14"/>
      <c r="GB382" s="14"/>
      <c r="GC382" s="14"/>
      <c r="GD382" s="14"/>
      <c r="GE382" s="14"/>
      <c r="GF382" s="14"/>
      <c r="GG382" s="14"/>
      <c r="GH382" s="14"/>
      <c r="GI382" s="14"/>
      <c r="GJ382" s="14"/>
      <c r="GK382" s="14"/>
      <c r="GL382" s="14"/>
      <c r="GM382" s="14"/>
      <c r="GN382" s="14"/>
      <c r="GO382" s="14"/>
      <c r="GP382" s="14"/>
      <c r="GQ382" s="14"/>
      <c r="GR382" s="14"/>
      <c r="GS382" s="14"/>
      <c r="GT382" s="14"/>
      <c r="GU382" s="14"/>
      <c r="GV382" s="14"/>
      <c r="GW382" s="14"/>
      <c r="GX382" s="14"/>
      <c r="GY382" s="14"/>
      <c r="GZ382" s="14"/>
      <c r="HA382" s="14"/>
      <c r="HB382" s="14"/>
      <c r="HC382" s="14"/>
      <c r="HD382" s="14"/>
      <c r="HE382" s="14"/>
      <c r="HF382" s="14"/>
      <c r="HG382" s="14"/>
      <c r="HH382" s="14"/>
      <c r="HI382" s="14"/>
      <c r="HJ382" s="14"/>
      <c r="HK382" s="14"/>
      <c r="HL382" s="14"/>
      <c r="HM382" s="14"/>
      <c r="HN382" s="14"/>
      <c r="HO382" s="14"/>
      <c r="HP382" s="14"/>
      <c r="HQ382" s="14"/>
      <c r="HR382" s="14"/>
      <c r="HS382" s="14"/>
      <c r="HT382" s="14"/>
    </row>
    <row r="383" spans="1:228" ht="15" customHeight="1" x14ac:dyDescent="0.2">
      <c r="B383" s="186" t="s">
        <v>1020</v>
      </c>
      <c r="C383" s="1308"/>
      <c r="D383" s="1308"/>
      <c r="E383" s="1558">
        <f>LETable!AT62</f>
        <v>0</v>
      </c>
      <c r="F383" s="1558"/>
      <c r="G383" s="1308"/>
      <c r="H383" s="1308"/>
      <c r="I383" s="1308"/>
      <c r="J383" s="1538">
        <f>IF(C383="",0,IF(OR(C383&lt;=0,G383&lt;=0),E383,IF(G383&lt;C383,0,LETable!AY62)))</f>
        <v>0</v>
      </c>
      <c r="K383" s="1538"/>
      <c r="L383" s="1829" t="str">
        <f t="shared" si="58"/>
        <v/>
      </c>
      <c r="M383" s="1829"/>
      <c r="N383" s="1829"/>
      <c r="O383" s="1829"/>
      <c r="P383" s="1911"/>
      <c r="Q383" s="1108"/>
      <c r="R383" s="1111"/>
      <c r="S383" s="950">
        <v>30</v>
      </c>
      <c r="T383" s="950" t="str">
        <f t="shared" si="59"/>
        <v/>
      </c>
      <c r="U383" s="950" t="str">
        <f t="shared" si="60"/>
        <v/>
      </c>
      <c r="V383" s="696" t="str">
        <f t="shared" si="61"/>
        <v/>
      </c>
      <c r="W383" s="959"/>
      <c r="X383" s="948"/>
      <c r="Y383" s="697" t="str">
        <f t="shared" si="62"/>
        <v/>
      </c>
      <c r="Z383" s="18"/>
      <c r="AA383" s="18"/>
      <c r="AB383" s="18"/>
      <c r="AC383" s="18"/>
      <c r="AD383" s="18"/>
      <c r="AE383" s="18"/>
      <c r="AF383" s="18"/>
      <c r="AG383" s="18"/>
      <c r="AH383" s="18"/>
      <c r="AI383" s="111"/>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4"/>
      <c r="BR383" s="14"/>
      <c r="BS383" s="14"/>
      <c r="BT383" s="14"/>
      <c r="BU383" s="14"/>
      <c r="BV383" s="14"/>
      <c r="BW383" s="14"/>
      <c r="BX383" s="14"/>
      <c r="BY383" s="14"/>
      <c r="BZ383" s="14"/>
      <c r="CA383" s="14"/>
      <c r="CB383" s="14"/>
      <c r="CC383" s="14"/>
      <c r="CD383" s="14"/>
      <c r="CE383" s="14"/>
      <c r="CF383" s="14"/>
      <c r="CG383" s="14"/>
      <c r="CH383" s="14"/>
      <c r="CI383" s="14"/>
      <c r="CJ383" s="14"/>
      <c r="CK383" s="14"/>
      <c r="CL383" s="14"/>
      <c r="CM383" s="14"/>
      <c r="CN383" s="14"/>
      <c r="CO383" s="14"/>
      <c r="CP383" s="14"/>
      <c r="CQ383" s="14"/>
      <c r="CR383" s="14"/>
      <c r="CS383" s="14"/>
      <c r="CT383" s="14"/>
      <c r="CU383" s="14"/>
      <c r="CV383" s="14"/>
      <c r="CW383" s="14"/>
      <c r="CX383" s="14"/>
      <c r="CY383" s="14"/>
      <c r="CZ383" s="14"/>
      <c r="DA383" s="14"/>
      <c r="DB383" s="14"/>
      <c r="DC383" s="14"/>
      <c r="DD383" s="14"/>
      <c r="DE383" s="14"/>
      <c r="DF383" s="14"/>
      <c r="DG383" s="14"/>
      <c r="DH383" s="14"/>
      <c r="DI383" s="14"/>
      <c r="DJ383" s="14"/>
      <c r="DK383" s="14"/>
      <c r="DL383" s="14"/>
      <c r="DM383" s="14"/>
      <c r="DN383" s="14"/>
      <c r="DO383" s="14"/>
      <c r="DP383" s="14"/>
      <c r="DQ383" s="14"/>
      <c r="DR383" s="14"/>
      <c r="DS383" s="14"/>
      <c r="DT383" s="14"/>
      <c r="DU383" s="14"/>
      <c r="DV383" s="14"/>
      <c r="DW383" s="14"/>
      <c r="DX383" s="14"/>
      <c r="DY383" s="14"/>
      <c r="DZ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c r="EX383" s="14"/>
      <c r="EY383" s="14"/>
      <c r="EZ383" s="14"/>
      <c r="FA383" s="14"/>
      <c r="FB383" s="14"/>
      <c r="FC383" s="14"/>
      <c r="FD383" s="14"/>
      <c r="FE383" s="14"/>
      <c r="FF383" s="14"/>
      <c r="FG383" s="14"/>
      <c r="FH383" s="14"/>
      <c r="FI383" s="14"/>
      <c r="FJ383" s="14"/>
      <c r="FK383" s="14"/>
      <c r="FL383" s="14"/>
      <c r="FM383" s="14"/>
      <c r="FN383" s="14"/>
      <c r="FO383" s="14"/>
      <c r="FP383" s="14"/>
      <c r="FQ383" s="14"/>
      <c r="FR383" s="14"/>
      <c r="FS383" s="14"/>
      <c r="FT383" s="14"/>
      <c r="FU383" s="14"/>
      <c r="FV383" s="14"/>
      <c r="FW383" s="14"/>
      <c r="FX383" s="14"/>
      <c r="FY383" s="14"/>
      <c r="FZ383" s="14"/>
      <c r="GA383" s="14"/>
      <c r="GB383" s="14"/>
      <c r="GC383" s="14"/>
      <c r="GD383" s="14"/>
      <c r="GE383" s="14"/>
      <c r="GF383" s="14"/>
      <c r="GG383" s="14"/>
      <c r="GH383" s="14"/>
      <c r="GI383" s="14"/>
      <c r="GJ383" s="14"/>
      <c r="GK383" s="14"/>
      <c r="GL383" s="14"/>
      <c r="GM383" s="14"/>
      <c r="GN383" s="14"/>
      <c r="GO383" s="14"/>
      <c r="GP383" s="14"/>
      <c r="GQ383" s="14"/>
      <c r="GR383" s="14"/>
      <c r="GS383" s="14"/>
      <c r="GT383" s="14"/>
      <c r="GU383" s="14"/>
      <c r="GV383" s="14"/>
      <c r="GW383" s="14"/>
      <c r="GX383" s="14"/>
      <c r="GY383" s="14"/>
      <c r="GZ383" s="14"/>
      <c r="HA383" s="14"/>
      <c r="HB383" s="14"/>
      <c r="HC383" s="14"/>
      <c r="HD383" s="14"/>
      <c r="HE383" s="14"/>
      <c r="HF383" s="14"/>
      <c r="HG383" s="14"/>
      <c r="HH383" s="14"/>
      <c r="HI383" s="14"/>
      <c r="HJ383" s="14"/>
      <c r="HK383" s="14"/>
      <c r="HL383" s="14"/>
      <c r="HM383" s="14"/>
      <c r="HN383" s="14"/>
      <c r="HO383" s="14"/>
      <c r="HP383" s="14"/>
      <c r="HQ383" s="14"/>
      <c r="HR383" s="14"/>
      <c r="HS383" s="14"/>
      <c r="HT383" s="14"/>
    </row>
    <row r="384" spans="1:228" ht="15" customHeight="1" x14ac:dyDescent="0.2">
      <c r="B384" s="186" t="s">
        <v>1021</v>
      </c>
      <c r="C384" s="1308"/>
      <c r="D384" s="1308"/>
      <c r="E384" s="1558">
        <f>LETable!AT63</f>
        <v>0</v>
      </c>
      <c r="F384" s="1558"/>
      <c r="G384" s="1308"/>
      <c r="H384" s="1308"/>
      <c r="I384" s="1308"/>
      <c r="J384" s="1538">
        <f>IF(C384="",0,IF(OR(C384&lt;=0,G384&lt;=0),E384,IF(G384&lt;C384,0,LETable!AY63)))</f>
        <v>0</v>
      </c>
      <c r="K384" s="1538"/>
      <c r="L384" s="1829" t="str">
        <f t="shared" si="58"/>
        <v/>
      </c>
      <c r="M384" s="1829"/>
      <c r="N384" s="1829"/>
      <c r="O384" s="1829"/>
      <c r="P384" s="1911"/>
      <c r="Q384" s="1108"/>
      <c r="R384" s="1111"/>
      <c r="S384" s="950">
        <v>40</v>
      </c>
      <c r="T384" s="950" t="str">
        <f t="shared" si="59"/>
        <v/>
      </c>
      <c r="U384" s="950" t="str">
        <f t="shared" si="60"/>
        <v/>
      </c>
      <c r="V384" s="696" t="str">
        <f t="shared" si="61"/>
        <v/>
      </c>
      <c r="W384" s="959"/>
      <c r="X384" s="948"/>
      <c r="Y384" s="697" t="str">
        <f t="shared" si="62"/>
        <v/>
      </c>
      <c r="Z384" s="18"/>
      <c r="AA384" s="18"/>
      <c r="AB384" s="18"/>
      <c r="AC384" s="18"/>
      <c r="AD384" s="18"/>
      <c r="AE384" s="18"/>
      <c r="AF384" s="18"/>
      <c r="AG384" s="18"/>
      <c r="AH384" s="18"/>
      <c r="AI384" s="111"/>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4"/>
      <c r="BR384" s="14"/>
      <c r="BS384" s="14"/>
      <c r="BT384" s="14"/>
      <c r="BU384" s="14"/>
      <c r="BV384" s="14"/>
      <c r="BW384" s="14"/>
      <c r="BX384" s="14"/>
      <c r="BY384" s="14"/>
      <c r="BZ384" s="14"/>
      <c r="CA384" s="14"/>
      <c r="CB384" s="14"/>
      <c r="CC384" s="14"/>
      <c r="CD384" s="14"/>
      <c r="CE384" s="14"/>
      <c r="CF384" s="14"/>
      <c r="CG384" s="14"/>
      <c r="CH384" s="14"/>
      <c r="CI384" s="14"/>
      <c r="CJ384" s="14"/>
      <c r="CK384" s="14"/>
      <c r="CL384" s="14"/>
      <c r="CM384" s="14"/>
      <c r="CN384" s="14"/>
      <c r="CO384" s="14"/>
      <c r="CP384" s="14"/>
      <c r="CQ384" s="14"/>
      <c r="CR384" s="14"/>
      <c r="CS384" s="14"/>
      <c r="CT384" s="14"/>
      <c r="CU384" s="14"/>
      <c r="CV384" s="14"/>
      <c r="CW384" s="14"/>
      <c r="CX384" s="14"/>
      <c r="CY384" s="14"/>
      <c r="CZ384" s="14"/>
      <c r="DA384" s="14"/>
      <c r="DB384" s="14"/>
      <c r="DC384" s="14"/>
      <c r="DD384" s="14"/>
      <c r="DE384" s="14"/>
      <c r="DF384" s="14"/>
      <c r="DG384" s="14"/>
      <c r="DH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c r="EX384" s="14"/>
      <c r="EY384" s="14"/>
      <c r="EZ384" s="14"/>
      <c r="FA384" s="14"/>
      <c r="FB384" s="14"/>
      <c r="FC384" s="14"/>
      <c r="FD384" s="14"/>
      <c r="FE384" s="14"/>
      <c r="FF384" s="14"/>
      <c r="FG384" s="14"/>
      <c r="FH384" s="14"/>
      <c r="FI384" s="14"/>
      <c r="FJ384" s="14"/>
      <c r="FK384" s="14"/>
      <c r="FL384" s="14"/>
      <c r="FM384" s="14"/>
      <c r="FN384" s="14"/>
      <c r="FO384" s="14"/>
      <c r="FP384" s="14"/>
      <c r="FQ384" s="14"/>
      <c r="FR384" s="14"/>
      <c r="FS384" s="14"/>
      <c r="FT384" s="14"/>
      <c r="FU384" s="14"/>
      <c r="FV384" s="14"/>
      <c r="FW384" s="14"/>
      <c r="FX384" s="14"/>
      <c r="FY384" s="14"/>
      <c r="FZ384" s="14"/>
      <c r="GA384" s="14"/>
      <c r="GB384" s="14"/>
      <c r="GC384" s="14"/>
      <c r="GD384" s="14"/>
      <c r="GE384" s="14"/>
      <c r="GF384" s="14"/>
      <c r="GG384" s="14"/>
      <c r="GH384" s="14"/>
      <c r="GI384" s="14"/>
      <c r="GJ384" s="14"/>
      <c r="GK384" s="14"/>
      <c r="GL384" s="14"/>
      <c r="GM384" s="14"/>
      <c r="GN384" s="14"/>
      <c r="GO384" s="14"/>
      <c r="GP384" s="14"/>
      <c r="GQ384" s="14"/>
      <c r="GR384" s="14"/>
      <c r="GS384" s="14"/>
      <c r="GT384" s="14"/>
      <c r="GU384" s="14"/>
      <c r="GV384" s="14"/>
      <c r="GW384" s="14"/>
      <c r="GX384" s="14"/>
      <c r="GY384" s="14"/>
      <c r="GZ384" s="14"/>
      <c r="HA384" s="14"/>
      <c r="HB384" s="14"/>
      <c r="HC384" s="14"/>
      <c r="HD384" s="14"/>
      <c r="HE384" s="14"/>
      <c r="HF384" s="14"/>
      <c r="HG384" s="14"/>
      <c r="HH384" s="14"/>
      <c r="HI384" s="14"/>
      <c r="HJ384" s="14"/>
      <c r="HK384" s="14"/>
      <c r="HL384" s="14"/>
      <c r="HM384" s="14"/>
      <c r="HN384" s="14"/>
      <c r="HO384" s="14"/>
      <c r="HP384" s="14"/>
      <c r="HQ384" s="14"/>
      <c r="HR384" s="14"/>
      <c r="HS384" s="14"/>
      <c r="HT384" s="14"/>
    </row>
    <row r="385" spans="1:228" ht="15" customHeight="1" x14ac:dyDescent="0.2">
      <c r="B385" s="186" t="s">
        <v>1022</v>
      </c>
      <c r="C385" s="1308"/>
      <c r="D385" s="1308"/>
      <c r="E385" s="1558">
        <f>LETable!AT64</f>
        <v>0</v>
      </c>
      <c r="F385" s="1558"/>
      <c r="G385" s="1308"/>
      <c r="H385" s="1308"/>
      <c r="I385" s="1308"/>
      <c r="J385" s="1538">
        <f>IF(C385="",0,IF(OR(C385&lt;=0,G385&lt;=0),E385,IF(G385&lt;C385,0,LETable!AY64)))</f>
        <v>0</v>
      </c>
      <c r="K385" s="1538"/>
      <c r="L385" s="1829" t="str">
        <f t="shared" si="58"/>
        <v/>
      </c>
      <c r="M385" s="1829"/>
      <c r="N385" s="1829"/>
      <c r="O385" s="1829"/>
      <c r="P385" s="1911"/>
      <c r="Q385" s="1108"/>
      <c r="R385" s="1111"/>
      <c r="S385" s="950">
        <v>20</v>
      </c>
      <c r="T385" s="950" t="str">
        <f t="shared" si="59"/>
        <v/>
      </c>
      <c r="U385" s="950" t="str">
        <f t="shared" si="60"/>
        <v/>
      </c>
      <c r="V385" s="696" t="str">
        <f t="shared" si="61"/>
        <v/>
      </c>
      <c r="W385" s="959"/>
      <c r="X385" s="948"/>
      <c r="Y385" s="697" t="str">
        <f t="shared" si="62"/>
        <v/>
      </c>
      <c r="Z385" s="18"/>
      <c r="AA385" s="18"/>
      <c r="AB385" s="18"/>
      <c r="AC385" s="18"/>
      <c r="AD385" s="18"/>
      <c r="AE385" s="18"/>
      <c r="AF385" s="18"/>
      <c r="AG385" s="18"/>
      <c r="AH385" s="18"/>
      <c r="AI385" s="111"/>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4"/>
      <c r="BR385" s="14"/>
      <c r="BS385" s="14"/>
      <c r="BT385" s="14"/>
      <c r="BU385" s="14"/>
      <c r="BV385" s="14"/>
      <c r="BW385" s="14"/>
      <c r="BX385" s="14"/>
      <c r="BY385" s="14"/>
      <c r="BZ385" s="14"/>
      <c r="CA385" s="14"/>
      <c r="CB385" s="14"/>
      <c r="CC385" s="14"/>
      <c r="CD385" s="14"/>
      <c r="CE385" s="14"/>
      <c r="CF385" s="14"/>
      <c r="CG385" s="14"/>
      <c r="CH385" s="14"/>
      <c r="CI385" s="14"/>
      <c r="CJ385" s="14"/>
      <c r="CK385" s="14"/>
      <c r="CL385" s="14"/>
      <c r="CM385" s="14"/>
      <c r="CN385" s="14"/>
      <c r="CO385" s="14"/>
      <c r="CP385" s="14"/>
      <c r="CQ385" s="14"/>
      <c r="CR385" s="14"/>
      <c r="CS385" s="14"/>
      <c r="CT385" s="14"/>
      <c r="CU385" s="14"/>
      <c r="CV385" s="14"/>
      <c r="CW385" s="14"/>
      <c r="CX385" s="14"/>
      <c r="CY385" s="14"/>
      <c r="CZ385" s="14"/>
      <c r="DA385" s="14"/>
      <c r="DB385" s="14"/>
      <c r="DC385" s="14"/>
      <c r="DD385" s="14"/>
      <c r="DE385" s="14"/>
      <c r="DF385" s="14"/>
      <c r="DG385" s="14"/>
      <c r="DH385" s="14"/>
      <c r="DI385" s="14"/>
      <c r="DJ385" s="14"/>
      <c r="DK385" s="14"/>
      <c r="DL385" s="14"/>
      <c r="DM385" s="14"/>
      <c r="DN385" s="14"/>
      <c r="DO385" s="14"/>
      <c r="DP385" s="14"/>
      <c r="DQ385" s="14"/>
      <c r="DR385" s="14"/>
      <c r="DS385" s="14"/>
      <c r="DT385" s="14"/>
      <c r="DU385" s="14"/>
      <c r="DV385" s="14"/>
      <c r="DW385" s="14"/>
      <c r="DX385" s="14"/>
      <c r="DY385" s="14"/>
      <c r="DZ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c r="EX385" s="14"/>
      <c r="EY385" s="14"/>
      <c r="EZ385" s="14"/>
      <c r="FA385" s="14"/>
      <c r="FB385" s="14"/>
      <c r="FC385" s="14"/>
      <c r="FD385" s="14"/>
      <c r="FE385" s="14"/>
      <c r="FF385" s="14"/>
      <c r="FG385" s="14"/>
      <c r="FH385" s="14"/>
      <c r="FI385" s="14"/>
      <c r="FJ385" s="14"/>
      <c r="FK385" s="14"/>
      <c r="FL385" s="14"/>
      <c r="FM385" s="14"/>
      <c r="FN385" s="14"/>
      <c r="FO385" s="14"/>
      <c r="FP385" s="14"/>
      <c r="FQ385" s="14"/>
      <c r="FR385" s="14"/>
      <c r="FS385" s="14"/>
      <c r="FT385" s="14"/>
      <c r="FU385" s="14"/>
      <c r="FV385" s="14"/>
      <c r="FW385" s="14"/>
      <c r="FX385" s="14"/>
      <c r="FY385" s="14"/>
      <c r="FZ385" s="14"/>
      <c r="GA385" s="14"/>
      <c r="GB385" s="14"/>
      <c r="GC385" s="14"/>
      <c r="GD385" s="14"/>
      <c r="GE385" s="14"/>
      <c r="GF385" s="14"/>
      <c r="GG385" s="14"/>
      <c r="GH385" s="14"/>
      <c r="GI385" s="14"/>
      <c r="GJ385" s="14"/>
      <c r="GK385" s="14"/>
      <c r="GL385" s="14"/>
      <c r="GM385" s="14"/>
      <c r="GN385" s="14"/>
      <c r="GO385" s="14"/>
      <c r="GP385" s="14"/>
      <c r="GQ385" s="14"/>
      <c r="GR385" s="14"/>
      <c r="GS385" s="14"/>
      <c r="GT385" s="14"/>
      <c r="GU385" s="14"/>
      <c r="GV385" s="14"/>
      <c r="GW385" s="14"/>
      <c r="GX385" s="14"/>
      <c r="GY385" s="14"/>
      <c r="GZ385" s="14"/>
      <c r="HA385" s="14"/>
      <c r="HB385" s="14"/>
      <c r="HC385" s="14"/>
      <c r="HD385" s="14"/>
      <c r="HE385" s="14"/>
      <c r="HF385" s="14"/>
      <c r="HG385" s="14"/>
      <c r="HH385" s="14"/>
      <c r="HI385" s="14"/>
      <c r="HJ385" s="14"/>
      <c r="HK385" s="14"/>
      <c r="HL385" s="14"/>
      <c r="HM385" s="14"/>
      <c r="HN385" s="14"/>
      <c r="HO385" s="14"/>
      <c r="HP385" s="14"/>
      <c r="HQ385" s="14"/>
      <c r="HR385" s="14"/>
      <c r="HS385" s="14"/>
      <c r="HT385" s="14"/>
    </row>
    <row r="386" spans="1:228" ht="15" customHeight="1" x14ac:dyDescent="0.2">
      <c r="B386" s="186" t="s">
        <v>629</v>
      </c>
      <c r="C386" s="1308"/>
      <c r="D386" s="1308"/>
      <c r="E386" s="1558">
        <f>LETable!AT65</f>
        <v>0</v>
      </c>
      <c r="F386" s="1558"/>
      <c r="G386" s="1308"/>
      <c r="H386" s="1308"/>
      <c r="I386" s="1308"/>
      <c r="J386" s="1538">
        <f>IF(C386="",0,IF(OR(C386&lt;=0,G386&lt;=0),E386,IF(G386&lt;C386,0,LETable!AY65)))</f>
        <v>0</v>
      </c>
      <c r="K386" s="1538"/>
      <c r="L386" s="1829" t="str">
        <f t="shared" si="58"/>
        <v/>
      </c>
      <c r="M386" s="1829"/>
      <c r="N386" s="1829"/>
      <c r="O386" s="1829"/>
      <c r="P386" s="1911"/>
      <c r="Q386" s="1108"/>
      <c r="R386" s="684">
        <f>SUM(J382:K387)</f>
        <v>0</v>
      </c>
      <c r="S386" s="950">
        <v>40</v>
      </c>
      <c r="T386" s="950" t="str">
        <f t="shared" si="59"/>
        <v/>
      </c>
      <c r="U386" s="950" t="str">
        <f t="shared" si="60"/>
        <v/>
      </c>
      <c r="V386" s="696" t="str">
        <f t="shared" si="61"/>
        <v/>
      </c>
      <c r="W386" s="959"/>
      <c r="X386" s="948"/>
      <c r="Y386" s="697" t="str">
        <f t="shared" si="62"/>
        <v/>
      </c>
      <c r="Z386" s="18"/>
      <c r="AA386" s="18"/>
      <c r="AB386" s="18"/>
      <c r="AC386" s="18"/>
      <c r="AD386" s="18"/>
      <c r="AE386" s="18"/>
      <c r="AF386" s="18"/>
      <c r="AG386" s="18"/>
      <c r="AH386" s="18"/>
      <c r="AI386" s="111"/>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4"/>
      <c r="BR386" s="14"/>
      <c r="BS386" s="14"/>
      <c r="BT386" s="14"/>
      <c r="BU386" s="14"/>
      <c r="BV386" s="14"/>
      <c r="BW386" s="14"/>
      <c r="BX386" s="14"/>
      <c r="BY386" s="14"/>
      <c r="BZ386" s="14"/>
      <c r="CA386" s="14"/>
      <c r="CB386" s="14"/>
      <c r="CC386" s="14"/>
      <c r="CD386" s="14"/>
      <c r="CE386" s="14"/>
      <c r="CF386" s="14"/>
      <c r="CG386" s="14"/>
      <c r="CH386" s="14"/>
      <c r="CI386" s="14"/>
      <c r="CJ386" s="14"/>
      <c r="CK386" s="14"/>
      <c r="CL386" s="14"/>
      <c r="CM386" s="14"/>
      <c r="CN386" s="14"/>
      <c r="CO386" s="14"/>
      <c r="CP386" s="14"/>
      <c r="CQ386" s="14"/>
      <c r="CR386" s="14"/>
      <c r="CS386" s="14"/>
      <c r="CT386" s="14"/>
      <c r="CU386" s="14"/>
      <c r="CV386" s="14"/>
      <c r="CW386" s="14"/>
      <c r="CX386" s="14"/>
      <c r="CY386" s="14"/>
      <c r="CZ386" s="14"/>
      <c r="DA386" s="14"/>
      <c r="DB386" s="14"/>
      <c r="DC386" s="14"/>
      <c r="DD386" s="14"/>
      <c r="DE386" s="14"/>
      <c r="DF386" s="14"/>
      <c r="DG386" s="14"/>
      <c r="DH386" s="14"/>
      <c r="DI386" s="14"/>
      <c r="DJ386" s="14"/>
      <c r="DK386" s="14"/>
      <c r="DL386" s="14"/>
      <c r="DM386" s="14"/>
      <c r="DN386" s="14"/>
      <c r="DO386" s="14"/>
      <c r="DP386" s="14"/>
      <c r="DQ386" s="14"/>
      <c r="DR386" s="14"/>
      <c r="DS386" s="14"/>
      <c r="DT386" s="14"/>
      <c r="DU386" s="14"/>
      <c r="DV386" s="14"/>
      <c r="DW386" s="14"/>
      <c r="DX386" s="14"/>
      <c r="DY386" s="14"/>
      <c r="DZ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c r="EX386" s="14"/>
      <c r="EY386" s="14"/>
      <c r="EZ386" s="14"/>
      <c r="FA386" s="14"/>
      <c r="FB386" s="14"/>
      <c r="FC386" s="14"/>
      <c r="FD386" s="14"/>
      <c r="FE386" s="14"/>
      <c r="FF386" s="14"/>
      <c r="FG386" s="14"/>
      <c r="FH386" s="14"/>
      <c r="FI386" s="14"/>
      <c r="FJ386" s="14"/>
      <c r="FK386" s="14"/>
      <c r="FL386" s="14"/>
      <c r="FM386" s="14"/>
      <c r="FN386" s="14"/>
      <c r="FO386" s="14"/>
      <c r="FP386" s="14"/>
      <c r="FQ386" s="14"/>
      <c r="FR386" s="14"/>
      <c r="FS386" s="14"/>
      <c r="FT386" s="14"/>
      <c r="FU386" s="14"/>
      <c r="FV386" s="14"/>
      <c r="FW386" s="14"/>
      <c r="FX386" s="14"/>
      <c r="FY386" s="14"/>
      <c r="FZ386" s="14"/>
      <c r="GA386" s="14"/>
      <c r="GB386" s="14"/>
      <c r="GC386" s="14"/>
      <c r="GD386" s="14"/>
      <c r="GE386" s="14"/>
      <c r="GF386" s="14"/>
      <c r="GG386" s="14"/>
      <c r="GH386" s="14"/>
      <c r="GI386" s="14"/>
      <c r="GJ386" s="14"/>
      <c r="GK386" s="14"/>
      <c r="GL386" s="14"/>
      <c r="GM386" s="14"/>
      <c r="GN386" s="14"/>
      <c r="GO386" s="14"/>
      <c r="GP386" s="14"/>
      <c r="GQ386" s="14"/>
      <c r="GR386" s="14"/>
      <c r="GS386" s="14"/>
      <c r="GT386" s="14"/>
      <c r="GU386" s="14"/>
      <c r="GV386" s="14"/>
      <c r="GW386" s="14"/>
      <c r="GX386" s="14"/>
      <c r="GY386" s="14"/>
      <c r="GZ386" s="14"/>
      <c r="HA386" s="14"/>
      <c r="HB386" s="14"/>
      <c r="HC386" s="14"/>
      <c r="HD386" s="14"/>
      <c r="HE386" s="14"/>
      <c r="HF386" s="14"/>
      <c r="HG386" s="14"/>
      <c r="HH386" s="14"/>
      <c r="HI386" s="14"/>
      <c r="HJ386" s="14"/>
      <c r="HK386" s="14"/>
      <c r="HL386" s="14"/>
      <c r="HM386" s="14"/>
      <c r="HN386" s="14"/>
      <c r="HO386" s="14"/>
      <c r="HP386" s="14"/>
      <c r="HQ386" s="14"/>
      <c r="HR386" s="14"/>
      <c r="HS386" s="14"/>
      <c r="HT386" s="14"/>
    </row>
    <row r="387" spans="1:228" ht="15" customHeight="1" x14ac:dyDescent="0.2">
      <c r="B387" s="186" t="s">
        <v>630</v>
      </c>
      <c r="C387" s="1308"/>
      <c r="D387" s="1308"/>
      <c r="E387" s="1558">
        <f>LETable!AT66</f>
        <v>0</v>
      </c>
      <c r="F387" s="1558"/>
      <c r="G387" s="1308"/>
      <c r="H387" s="1308"/>
      <c r="I387" s="1308"/>
      <c r="J387" s="1538">
        <f>IF(C387="",0,IF(OR(C387&lt;=0,G387&lt;=0),E387,IF(G387&lt;C387,0,LETable!AY66)))</f>
        <v>0</v>
      </c>
      <c r="K387" s="1538"/>
      <c r="L387" s="1829" t="str">
        <f t="shared" si="58"/>
        <v/>
      </c>
      <c r="M387" s="1829"/>
      <c r="N387" s="1829"/>
      <c r="O387" s="1829"/>
      <c r="P387" s="1911"/>
      <c r="Q387" s="1108"/>
      <c r="R387" s="749">
        <f>IF(AND(R386&gt;0,R386&lt;0.01),0.01,ROUND(R386,2))</f>
        <v>0</v>
      </c>
      <c r="S387" s="950">
        <v>50</v>
      </c>
      <c r="T387" s="950" t="str">
        <f t="shared" si="59"/>
        <v/>
      </c>
      <c r="U387" s="950" t="str">
        <f t="shared" si="60"/>
        <v/>
      </c>
      <c r="V387" s="696" t="str">
        <f t="shared" si="61"/>
        <v/>
      </c>
      <c r="W387" s="955"/>
      <c r="X387" s="956"/>
      <c r="Y387" s="697" t="str">
        <f t="shared" si="62"/>
        <v/>
      </c>
      <c r="Z387" s="18"/>
      <c r="AA387" s="18"/>
      <c r="AB387" s="18"/>
      <c r="AC387" s="18"/>
      <c r="AD387" s="18"/>
      <c r="AE387" s="18"/>
      <c r="AF387" s="18"/>
      <c r="AG387" s="18"/>
      <c r="AH387" s="18"/>
      <c r="AI387" s="111"/>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4"/>
      <c r="BR387" s="14"/>
      <c r="BS387" s="14"/>
      <c r="BT387" s="14"/>
      <c r="BU387" s="14"/>
      <c r="BV387" s="14"/>
      <c r="BW387" s="14"/>
      <c r="BX387" s="14"/>
      <c r="BY387" s="14"/>
      <c r="BZ387" s="14"/>
      <c r="CA387" s="14"/>
      <c r="CB387" s="14"/>
      <c r="CC387" s="14"/>
      <c r="CD387" s="14"/>
      <c r="CE387" s="14"/>
      <c r="CF387" s="14"/>
      <c r="CG387" s="14"/>
      <c r="CH387" s="14"/>
      <c r="CI387" s="14"/>
      <c r="CJ387" s="14"/>
      <c r="CK387" s="14"/>
      <c r="CL387" s="14"/>
      <c r="CM387" s="14"/>
      <c r="CN387" s="14"/>
      <c r="CO387" s="14"/>
      <c r="CP387" s="14"/>
      <c r="CQ387" s="14"/>
      <c r="CR387" s="14"/>
      <c r="CS387" s="14"/>
      <c r="CT387" s="14"/>
      <c r="CU387" s="14"/>
      <c r="CV387" s="14"/>
      <c r="CW387" s="14"/>
      <c r="CX387" s="14"/>
      <c r="CY387" s="14"/>
      <c r="CZ387" s="14"/>
      <c r="DA387" s="14"/>
      <c r="DB387" s="14"/>
      <c r="DC387" s="14"/>
      <c r="DD387" s="14"/>
      <c r="DE387" s="14"/>
      <c r="DF387" s="14"/>
      <c r="DG387" s="14"/>
      <c r="DH387" s="14"/>
      <c r="DI387" s="14"/>
      <c r="DJ387" s="14"/>
      <c r="DK387" s="14"/>
      <c r="DL387" s="14"/>
      <c r="DM387" s="14"/>
      <c r="DN387" s="14"/>
      <c r="DO387" s="14"/>
      <c r="DP387" s="14"/>
      <c r="DQ387" s="14"/>
      <c r="DR387" s="14"/>
      <c r="DS387" s="14"/>
      <c r="DT387" s="14"/>
      <c r="DU387" s="14"/>
      <c r="DV387" s="14"/>
      <c r="DW387" s="14"/>
      <c r="DX387" s="14"/>
      <c r="DY387" s="14"/>
      <c r="DZ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c r="EX387" s="14"/>
      <c r="EY387" s="14"/>
      <c r="EZ387" s="14"/>
      <c r="FA387" s="14"/>
      <c r="FB387" s="14"/>
      <c r="FC387" s="14"/>
      <c r="FD387" s="14"/>
      <c r="FE387" s="14"/>
      <c r="FF387" s="14"/>
      <c r="FG387" s="14"/>
      <c r="FH387" s="14"/>
      <c r="FI387" s="14"/>
      <c r="FJ387" s="14"/>
      <c r="FK387" s="14"/>
      <c r="FL387" s="14"/>
      <c r="FM387" s="14"/>
      <c r="FN387" s="14"/>
      <c r="FO387" s="14"/>
      <c r="FP387" s="14"/>
      <c r="FQ387" s="14"/>
      <c r="FR387" s="14"/>
      <c r="FS387" s="14"/>
      <c r="FT387" s="14"/>
      <c r="FU387" s="14"/>
      <c r="FV387" s="14"/>
      <c r="FW387" s="14"/>
      <c r="FX387" s="14"/>
      <c r="FY387" s="14"/>
      <c r="FZ387" s="14"/>
      <c r="GA387" s="14"/>
      <c r="GB387" s="14"/>
      <c r="GC387" s="14"/>
      <c r="GD387" s="14"/>
      <c r="GE387" s="14"/>
      <c r="GF387" s="14"/>
      <c r="GG387" s="14"/>
      <c r="GH387" s="14"/>
      <c r="GI387" s="14"/>
      <c r="GJ387" s="14"/>
      <c r="GK387" s="14"/>
      <c r="GL387" s="14"/>
      <c r="GM387" s="14"/>
      <c r="GN387" s="14"/>
      <c r="GO387" s="14"/>
      <c r="GP387" s="14"/>
      <c r="GQ387" s="14"/>
      <c r="GR387" s="14"/>
      <c r="GS387" s="14"/>
      <c r="GT387" s="14"/>
      <c r="GU387" s="14"/>
      <c r="GV387" s="14"/>
      <c r="GW387" s="14"/>
      <c r="GX387" s="14"/>
      <c r="GY387" s="14"/>
      <c r="GZ387" s="14"/>
      <c r="HA387" s="14"/>
      <c r="HB387" s="14"/>
      <c r="HC387" s="14"/>
      <c r="HD387" s="14"/>
      <c r="HE387" s="14"/>
      <c r="HF387" s="14"/>
      <c r="HG387" s="14"/>
      <c r="HH387" s="14"/>
      <c r="HI387" s="14"/>
      <c r="HJ387" s="14"/>
      <c r="HK387" s="14"/>
      <c r="HL387" s="14"/>
      <c r="HM387" s="14"/>
      <c r="HN387" s="14"/>
      <c r="HO387" s="14"/>
      <c r="HP387" s="14"/>
      <c r="HQ387" s="14"/>
      <c r="HR387" s="14"/>
      <c r="HS387" s="14"/>
      <c r="HT387" s="14"/>
    </row>
    <row r="388" spans="1:228" ht="15" customHeight="1" x14ac:dyDescent="0.2">
      <c r="B388" s="1740" t="s">
        <v>161</v>
      </c>
      <c r="C388" s="1741"/>
      <c r="D388" s="1741"/>
      <c r="E388" s="1741"/>
      <c r="F388" s="1741"/>
      <c r="G388" s="1741"/>
      <c r="H388" s="1741"/>
      <c r="I388" s="1741"/>
      <c r="J388" s="1741"/>
      <c r="K388" s="1741"/>
      <c r="L388" s="1741"/>
      <c r="M388" s="1741"/>
      <c r="N388" s="1741"/>
      <c r="O388" s="1742"/>
      <c r="P388" s="1115">
        <f>IF(R387&gt;1,1,R387)</f>
        <v>0</v>
      </c>
      <c r="Q388" s="1108"/>
      <c r="R388" s="60"/>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4"/>
      <c r="BR388" s="14"/>
      <c r="BS388" s="14"/>
      <c r="BT388" s="14"/>
      <c r="BU388" s="14"/>
      <c r="BV388" s="14"/>
      <c r="BW388" s="14"/>
      <c r="BX388" s="14"/>
      <c r="BY388" s="14"/>
      <c r="BZ388" s="14"/>
      <c r="CA388" s="14"/>
      <c r="CB388" s="14"/>
      <c r="CC388" s="14"/>
      <c r="CD388" s="14"/>
      <c r="CE388" s="14"/>
      <c r="CF388" s="14"/>
      <c r="CG388" s="14"/>
      <c r="CH388" s="14"/>
      <c r="CI388" s="14"/>
      <c r="CJ388" s="14"/>
      <c r="CK388" s="14"/>
      <c r="CL388" s="14"/>
      <c r="CM388" s="14"/>
      <c r="CN388" s="14"/>
      <c r="CO388" s="14"/>
      <c r="CP388" s="14"/>
      <c r="CQ388" s="14"/>
      <c r="CR388" s="14"/>
      <c r="CS388" s="14"/>
      <c r="CT388" s="14"/>
      <c r="CU388" s="14"/>
      <c r="CV388" s="14"/>
      <c r="CW388" s="14"/>
      <c r="CX388" s="14"/>
      <c r="CY388" s="14"/>
      <c r="CZ388" s="14"/>
      <c r="DA388" s="14"/>
      <c r="DB388" s="14"/>
      <c r="DC388" s="14"/>
      <c r="DD388" s="14"/>
      <c r="DE388" s="14"/>
      <c r="DF388" s="14"/>
      <c r="DG388" s="14"/>
      <c r="DH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c r="EX388" s="14"/>
      <c r="EY388" s="14"/>
      <c r="EZ388" s="14"/>
      <c r="FA388" s="14"/>
      <c r="FB388" s="14"/>
      <c r="FC388" s="14"/>
      <c r="FD388" s="14"/>
      <c r="FE388" s="14"/>
      <c r="FF388" s="14"/>
      <c r="FG388" s="14"/>
      <c r="FH388" s="14"/>
      <c r="FI388" s="14"/>
      <c r="FJ388" s="14"/>
      <c r="FK388" s="14"/>
      <c r="FL388" s="14"/>
      <c r="FM388" s="14"/>
      <c r="FN388" s="14"/>
      <c r="FO388" s="14"/>
      <c r="FP388" s="14"/>
      <c r="FQ388" s="14"/>
      <c r="FR388" s="14"/>
      <c r="FS388" s="14"/>
      <c r="FT388" s="14"/>
      <c r="FU388" s="14"/>
      <c r="FV388" s="14"/>
      <c r="FW388" s="14"/>
      <c r="FX388" s="14"/>
      <c r="FY388" s="14"/>
      <c r="FZ388" s="14"/>
      <c r="GA388" s="14"/>
      <c r="GB388" s="14"/>
      <c r="GC388" s="14"/>
      <c r="GD388" s="14"/>
      <c r="GE388" s="14"/>
      <c r="GF388" s="14"/>
      <c r="GG388" s="14"/>
      <c r="GH388" s="14"/>
      <c r="GI388" s="14"/>
      <c r="GJ388" s="14"/>
      <c r="GK388" s="14"/>
      <c r="GL388" s="14"/>
      <c r="GM388" s="14"/>
      <c r="GN388" s="14"/>
      <c r="GO388" s="14"/>
      <c r="GP388" s="14"/>
      <c r="GQ388" s="14"/>
      <c r="GR388" s="14"/>
      <c r="GS388" s="14"/>
      <c r="GT388" s="14"/>
      <c r="GU388" s="14"/>
      <c r="GV388" s="14"/>
      <c r="GW388" s="14"/>
      <c r="GX388" s="14"/>
      <c r="GY388" s="14"/>
      <c r="GZ388" s="14"/>
      <c r="HA388" s="14"/>
      <c r="HB388" s="14"/>
      <c r="HC388" s="14"/>
      <c r="HD388" s="14"/>
      <c r="HE388" s="14"/>
      <c r="HF388" s="14"/>
      <c r="HG388" s="14"/>
      <c r="HH388" s="14"/>
      <c r="HI388" s="14"/>
      <c r="HJ388" s="14"/>
      <c r="HK388" s="14"/>
      <c r="HL388" s="14"/>
      <c r="HM388" s="14"/>
      <c r="HN388" s="14"/>
      <c r="HO388" s="14"/>
      <c r="HP388" s="14"/>
      <c r="HQ388" s="14"/>
      <c r="HR388" s="14"/>
      <c r="HS388" s="14"/>
      <c r="HT388" s="14"/>
    </row>
    <row r="389" spans="1:228" ht="12" customHeight="1" x14ac:dyDescent="0.25">
      <c r="A389" s="8"/>
      <c r="B389" s="1825"/>
      <c r="C389" s="1825"/>
      <c r="D389" s="1825"/>
      <c r="E389" s="1825"/>
      <c r="F389" s="1825"/>
      <c r="G389" s="1825"/>
      <c r="H389" s="1825"/>
      <c r="I389" s="1825"/>
      <c r="J389" s="1825"/>
      <c r="K389" s="1825"/>
      <c r="L389" s="1825"/>
      <c r="M389" s="1825"/>
      <c r="N389" s="1825"/>
      <c r="O389" s="1825"/>
      <c r="P389" s="75"/>
      <c r="Q389" s="8"/>
      <c r="R389" s="60"/>
      <c r="S389" s="60"/>
      <c r="T389" s="60"/>
      <c r="U389" s="60"/>
      <c r="V389" s="60"/>
      <c r="W389" s="60"/>
      <c r="X389" s="60"/>
      <c r="Y389" s="60"/>
      <c r="Z389" s="60"/>
      <c r="AA389" s="60"/>
      <c r="AB389" s="60"/>
      <c r="AC389" s="60"/>
      <c r="AD389" s="60"/>
      <c r="AE389" s="60"/>
      <c r="AF389" s="60"/>
      <c r="AG389" s="60"/>
      <c r="AH389" s="60"/>
      <c r="AI389" s="60"/>
      <c r="AJ389" s="60"/>
      <c r="AK389" s="60"/>
      <c r="AL389" s="60"/>
      <c r="AM389" s="60"/>
      <c r="AN389" s="60"/>
      <c r="AO389" s="60"/>
      <c r="AP389" s="60"/>
      <c r="AQ389" s="60"/>
      <c r="AR389" s="60"/>
      <c r="AS389" s="60"/>
      <c r="AT389" s="60"/>
      <c r="AU389" s="60"/>
      <c r="AV389" s="60"/>
      <c r="AW389" s="60"/>
      <c r="AX389" s="60"/>
      <c r="AY389" s="60"/>
      <c r="AZ389" s="60"/>
      <c r="BA389" s="60"/>
      <c r="BB389" s="60"/>
      <c r="BC389" s="60"/>
      <c r="BD389" s="60"/>
      <c r="BE389" s="60"/>
      <c r="BF389" s="18"/>
      <c r="BG389" s="18"/>
      <c r="BH389" s="18"/>
      <c r="BI389" s="18"/>
      <c r="BJ389" s="18"/>
      <c r="BK389" s="18"/>
      <c r="BL389" s="18"/>
      <c r="BM389" s="18"/>
      <c r="BN389" s="18"/>
      <c r="BO389" s="18"/>
      <c r="BP389" s="18"/>
      <c r="BQ389" s="14"/>
      <c r="BR389" s="14"/>
      <c r="BS389" s="14"/>
      <c r="BT389" s="14"/>
      <c r="BU389" s="14"/>
      <c r="BV389" s="14"/>
      <c r="BW389" s="14"/>
      <c r="BX389" s="14"/>
      <c r="BY389" s="14"/>
      <c r="BZ389" s="14"/>
      <c r="CA389" s="14"/>
      <c r="CB389" s="14"/>
      <c r="CC389" s="14"/>
      <c r="CD389" s="14"/>
      <c r="CE389" s="14"/>
      <c r="CF389" s="14"/>
      <c r="CG389" s="14"/>
      <c r="CH389" s="14"/>
      <c r="CI389" s="14"/>
      <c r="CJ389" s="14"/>
      <c r="CK389" s="14"/>
      <c r="CL389" s="14"/>
      <c r="CM389" s="14"/>
      <c r="CN389" s="14"/>
      <c r="CO389" s="14"/>
      <c r="CP389" s="14"/>
      <c r="CQ389" s="14"/>
      <c r="CR389" s="14"/>
      <c r="CS389" s="14"/>
      <c r="CT389" s="14"/>
      <c r="CU389" s="14"/>
      <c r="CV389" s="14"/>
      <c r="CW389" s="14"/>
      <c r="CX389" s="14"/>
      <c r="CY389" s="14"/>
      <c r="CZ389" s="14"/>
      <c r="DA389" s="14"/>
      <c r="DB389" s="14"/>
      <c r="DC389" s="14"/>
      <c r="DD389" s="14"/>
      <c r="DE389" s="14"/>
      <c r="DF389" s="14"/>
      <c r="DG389" s="14"/>
      <c r="DH389" s="14"/>
      <c r="DI389" s="14"/>
      <c r="DJ389" s="14"/>
      <c r="DK389" s="14"/>
      <c r="DL389" s="14"/>
      <c r="DM389" s="14"/>
      <c r="DN389" s="14"/>
      <c r="DO389" s="14"/>
      <c r="DP389" s="14"/>
      <c r="DQ389" s="14"/>
      <c r="DR389" s="14"/>
      <c r="DS389" s="14"/>
      <c r="DT389" s="14"/>
      <c r="DU389" s="14"/>
      <c r="DV389" s="14"/>
      <c r="DW389" s="14"/>
      <c r="DX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c r="EX389" s="14"/>
      <c r="EY389" s="14"/>
      <c r="EZ389" s="14"/>
      <c r="FA389" s="14"/>
      <c r="FB389" s="14"/>
      <c r="FC389" s="14"/>
      <c r="FD389" s="14"/>
      <c r="FE389" s="14"/>
      <c r="FF389" s="14"/>
      <c r="FG389" s="14"/>
      <c r="FH389" s="14"/>
      <c r="FI389" s="14"/>
      <c r="FJ389" s="14"/>
      <c r="FK389" s="14"/>
      <c r="FL389" s="14"/>
      <c r="FM389" s="14"/>
      <c r="FN389" s="14"/>
      <c r="FO389" s="14"/>
      <c r="FP389" s="14"/>
      <c r="FQ389" s="14"/>
      <c r="FR389" s="14"/>
      <c r="FS389" s="14"/>
      <c r="FT389" s="14"/>
      <c r="FU389" s="14"/>
      <c r="FV389" s="14"/>
      <c r="FW389" s="14"/>
      <c r="FX389" s="14"/>
      <c r="FY389" s="14"/>
      <c r="FZ389" s="14"/>
      <c r="GA389" s="14"/>
      <c r="GB389" s="14"/>
      <c r="GC389" s="14"/>
      <c r="GD389" s="14"/>
      <c r="GE389" s="14"/>
      <c r="GF389" s="14"/>
      <c r="GG389" s="14"/>
      <c r="GH389" s="14"/>
      <c r="GI389" s="14"/>
      <c r="GJ389" s="14"/>
      <c r="GK389" s="14"/>
      <c r="GL389" s="14"/>
      <c r="GM389" s="14"/>
      <c r="GN389" s="14"/>
      <c r="GO389" s="14"/>
      <c r="GP389" s="14"/>
      <c r="GQ389" s="14"/>
      <c r="GR389" s="14"/>
      <c r="GS389" s="14"/>
      <c r="GT389" s="14"/>
      <c r="GU389" s="14"/>
      <c r="GV389" s="14"/>
      <c r="GW389" s="14"/>
      <c r="GX389" s="14"/>
      <c r="GY389" s="14"/>
      <c r="GZ389" s="14"/>
      <c r="HA389" s="14"/>
      <c r="HB389" s="14"/>
      <c r="HC389" s="14"/>
      <c r="HD389" s="14"/>
      <c r="HE389" s="14"/>
      <c r="HF389" s="14"/>
      <c r="HG389" s="14"/>
      <c r="HH389" s="14"/>
      <c r="HI389" s="14"/>
      <c r="HJ389" s="14"/>
      <c r="HK389" s="14"/>
      <c r="HL389" s="14"/>
      <c r="HM389" s="14"/>
      <c r="HN389" s="14"/>
      <c r="HO389" s="14"/>
      <c r="HP389" s="14"/>
      <c r="HQ389" s="14"/>
      <c r="HR389" s="14"/>
      <c r="HS389" s="14"/>
      <c r="HT389" s="14"/>
    </row>
    <row r="390" spans="1:228" ht="18" customHeight="1" x14ac:dyDescent="0.2">
      <c r="A390" s="8"/>
      <c r="B390" s="1848" t="s">
        <v>631</v>
      </c>
      <c r="C390" s="1848"/>
      <c r="D390" s="1848"/>
      <c r="E390" s="1848"/>
      <c r="F390" s="1848"/>
      <c r="G390" s="1848"/>
      <c r="H390" s="1848"/>
      <c r="I390" s="1848"/>
      <c r="J390" s="1848"/>
      <c r="K390" s="1848"/>
      <c r="L390" s="1848"/>
      <c r="M390" s="1848"/>
      <c r="N390" s="1848"/>
      <c r="O390" s="1848"/>
      <c r="P390" s="1905"/>
      <c r="Q390" s="8"/>
      <c r="R390" s="60"/>
      <c r="S390" s="60"/>
      <c r="T390" s="60"/>
      <c r="U390" s="60"/>
      <c r="V390" s="60"/>
      <c r="W390" s="60"/>
      <c r="X390" s="60"/>
      <c r="Y390" s="60"/>
      <c r="Z390" s="60"/>
      <c r="AA390" s="60"/>
      <c r="AB390" s="60"/>
      <c r="AC390" s="60"/>
      <c r="AD390" s="60"/>
      <c r="AE390" s="60"/>
      <c r="AF390" s="60"/>
      <c r="AG390" s="60"/>
      <c r="AH390" s="60"/>
      <c r="AI390" s="60"/>
      <c r="AJ390" s="60"/>
      <c r="AK390" s="60"/>
      <c r="AL390" s="60"/>
      <c r="AM390" s="60"/>
      <c r="AN390" s="60"/>
      <c r="AO390" s="60"/>
      <c r="AP390" s="60"/>
      <c r="AQ390" s="60"/>
      <c r="AR390" s="60"/>
      <c r="AS390" s="60"/>
      <c r="AT390" s="60"/>
      <c r="AU390" s="60"/>
      <c r="AV390" s="60"/>
      <c r="AW390" s="60"/>
      <c r="AX390" s="60"/>
      <c r="AY390" s="60"/>
      <c r="AZ390" s="60"/>
      <c r="BA390" s="60"/>
      <c r="BB390" s="60"/>
      <c r="BC390" s="60"/>
      <c r="BD390" s="60"/>
      <c r="BE390" s="60"/>
      <c r="BF390" s="18"/>
      <c r="BG390" s="18"/>
      <c r="BH390" s="18"/>
      <c r="BI390" s="18"/>
      <c r="BJ390" s="18"/>
      <c r="BK390" s="18"/>
      <c r="BL390" s="18"/>
      <c r="BM390" s="18"/>
      <c r="BN390" s="18"/>
      <c r="BO390" s="18"/>
      <c r="BP390" s="18"/>
      <c r="BQ390" s="14"/>
      <c r="BR390" s="14"/>
      <c r="BS390" s="14"/>
      <c r="BT390" s="14"/>
      <c r="BU390" s="14"/>
      <c r="BV390" s="14"/>
      <c r="BW390" s="14"/>
      <c r="BX390" s="14"/>
      <c r="BY390" s="14"/>
      <c r="BZ390" s="14"/>
      <c r="CA390" s="14"/>
      <c r="CB390" s="14"/>
      <c r="CC390" s="14"/>
      <c r="CD390" s="14"/>
      <c r="CE390" s="14"/>
      <c r="CF390" s="14"/>
      <c r="CG390" s="14"/>
      <c r="CH390" s="14"/>
      <c r="CI390" s="14"/>
      <c r="CJ390" s="14"/>
      <c r="CK390" s="14"/>
      <c r="CL390" s="14"/>
      <c r="CM390" s="14"/>
      <c r="CN390" s="14"/>
      <c r="CO390" s="14"/>
      <c r="CP390" s="14"/>
      <c r="CQ390" s="14"/>
      <c r="CR390" s="14"/>
      <c r="CS390" s="14"/>
      <c r="CT390" s="14"/>
      <c r="CU390" s="14"/>
      <c r="CV390" s="14"/>
      <c r="CW390" s="14"/>
      <c r="CX390" s="14"/>
      <c r="CY390" s="14"/>
      <c r="CZ390" s="14"/>
      <c r="DA390" s="14"/>
      <c r="DB390" s="14"/>
      <c r="DC390" s="14"/>
      <c r="DD390" s="14"/>
      <c r="DE390" s="14"/>
      <c r="DF390" s="14"/>
      <c r="DG390" s="14"/>
      <c r="DH390" s="14"/>
      <c r="DI390" s="14"/>
      <c r="DJ390" s="14"/>
      <c r="DK390" s="14"/>
      <c r="DL390" s="14"/>
      <c r="DM390" s="14"/>
      <c r="DN390" s="14"/>
      <c r="DO390" s="14"/>
      <c r="DP390" s="14"/>
      <c r="DQ390" s="14"/>
      <c r="DR390" s="14"/>
      <c r="DS390" s="14"/>
      <c r="DT390" s="14"/>
      <c r="DU390" s="14"/>
      <c r="DV390" s="14"/>
      <c r="DW390" s="14"/>
      <c r="DX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c r="EX390" s="14"/>
      <c r="EY390" s="14"/>
      <c r="EZ390" s="14"/>
      <c r="FA390" s="14"/>
      <c r="FB390" s="14"/>
      <c r="FC390" s="14"/>
      <c r="FD390" s="14"/>
      <c r="FE390" s="14"/>
      <c r="FF390" s="14"/>
      <c r="FG390" s="14"/>
      <c r="FH390" s="14"/>
      <c r="FI390" s="14"/>
      <c r="FJ390" s="14"/>
      <c r="FK390" s="14"/>
      <c r="FL390" s="14"/>
      <c r="FM390" s="14"/>
      <c r="FN390" s="14"/>
      <c r="FO390" s="14"/>
      <c r="FP390" s="14"/>
      <c r="FQ390" s="14"/>
      <c r="FR390" s="14"/>
      <c r="FS390" s="14"/>
      <c r="FT390" s="14"/>
      <c r="FU390" s="14"/>
      <c r="FV390" s="14"/>
      <c r="FW390" s="14"/>
      <c r="FX390" s="14"/>
      <c r="FY390" s="14"/>
      <c r="FZ390" s="14"/>
      <c r="GA390" s="14"/>
      <c r="GB390" s="14"/>
      <c r="GC390" s="14"/>
      <c r="GD390" s="14"/>
      <c r="GE390" s="14"/>
      <c r="GF390" s="14"/>
      <c r="GG390" s="14"/>
      <c r="GH390" s="14"/>
      <c r="GI390" s="14"/>
      <c r="GJ390" s="14"/>
      <c r="GK390" s="14"/>
      <c r="GL390" s="14"/>
      <c r="GM390" s="14"/>
      <c r="GN390" s="14"/>
      <c r="GO390" s="14"/>
      <c r="GP390" s="14"/>
      <c r="GQ390" s="14"/>
      <c r="GR390" s="14"/>
      <c r="GS390" s="14"/>
      <c r="GT390" s="14"/>
      <c r="GU390" s="14"/>
      <c r="GV390" s="14"/>
      <c r="GW390" s="14"/>
      <c r="GX390" s="14"/>
      <c r="GY390" s="14"/>
      <c r="GZ390" s="14"/>
      <c r="HA390" s="14"/>
      <c r="HB390" s="14"/>
      <c r="HC390" s="14"/>
      <c r="HD390" s="14"/>
      <c r="HE390" s="14"/>
      <c r="HF390" s="14"/>
      <c r="HG390" s="14"/>
      <c r="HH390" s="14"/>
      <c r="HI390" s="14"/>
      <c r="HJ390" s="14"/>
      <c r="HK390" s="14"/>
      <c r="HL390" s="14"/>
      <c r="HM390" s="14"/>
      <c r="HN390" s="14"/>
      <c r="HO390" s="14"/>
      <c r="HP390" s="14"/>
      <c r="HQ390" s="14"/>
      <c r="HR390" s="14"/>
      <c r="HS390" s="14"/>
      <c r="HT390" s="14"/>
    </row>
    <row r="391" spans="1:228" ht="27" customHeight="1" x14ac:dyDescent="0.2">
      <c r="A391" s="8"/>
      <c r="B391" s="1379" t="s">
        <v>608</v>
      </c>
      <c r="C391" s="1379"/>
      <c r="D391" s="1379"/>
      <c r="E391" s="1379"/>
      <c r="F391" s="1379"/>
      <c r="G391" s="1379"/>
      <c r="H391" s="1379"/>
      <c r="I391" s="1379"/>
      <c r="J391" s="1379"/>
      <c r="K391" s="1379"/>
      <c r="L391" s="1379"/>
      <c r="M391" s="1379"/>
      <c r="N391" s="1379"/>
      <c r="O391" s="1379"/>
      <c r="P391" s="1905"/>
      <c r="Q391" s="8"/>
      <c r="R391" s="60"/>
      <c r="X391" s="60"/>
      <c r="Y391" s="60"/>
      <c r="Z391" s="60"/>
      <c r="AA391" s="60"/>
      <c r="AB391" s="60"/>
      <c r="AC391" s="60"/>
      <c r="AD391" s="60"/>
      <c r="AE391" s="60"/>
      <c r="AF391" s="60"/>
      <c r="AG391" s="60"/>
      <c r="AH391" s="60"/>
      <c r="AI391" s="60"/>
      <c r="AJ391" s="60"/>
      <c r="AK391" s="60"/>
      <c r="AL391" s="60"/>
      <c r="AM391" s="60"/>
      <c r="AN391" s="60"/>
      <c r="AO391" s="60"/>
      <c r="AP391" s="60"/>
      <c r="AQ391" s="60"/>
      <c r="AR391" s="60"/>
      <c r="AS391" s="60"/>
      <c r="AT391" s="60"/>
      <c r="AU391" s="60"/>
      <c r="AV391" s="60"/>
      <c r="AW391" s="60"/>
      <c r="AX391" s="60"/>
      <c r="AY391" s="60"/>
      <c r="AZ391" s="60"/>
      <c r="BA391" s="60"/>
      <c r="BB391" s="60"/>
      <c r="BC391" s="60"/>
      <c r="BD391" s="60"/>
      <c r="BE391" s="60"/>
      <c r="BF391" s="18"/>
      <c r="BG391" s="18"/>
      <c r="BH391" s="18"/>
      <c r="BI391" s="18"/>
      <c r="BJ391" s="18"/>
      <c r="BK391" s="18"/>
      <c r="BL391" s="18"/>
      <c r="BM391" s="18"/>
      <c r="BN391" s="18"/>
      <c r="BO391" s="18"/>
      <c r="BP391" s="18"/>
      <c r="BQ391" s="14"/>
      <c r="BR391" s="14"/>
      <c r="BS391" s="14"/>
      <c r="BT391" s="14"/>
      <c r="BU391" s="14"/>
      <c r="BV391" s="14"/>
      <c r="BW391" s="14"/>
      <c r="BX391" s="14"/>
      <c r="BY391" s="14"/>
      <c r="BZ391" s="14"/>
      <c r="CA391" s="14"/>
      <c r="CB391" s="14"/>
      <c r="CC391" s="14"/>
      <c r="CD391" s="14"/>
      <c r="CE391" s="14"/>
      <c r="CF391" s="14"/>
      <c r="CG391" s="14"/>
      <c r="CH391" s="14"/>
      <c r="CI391" s="14"/>
      <c r="CJ391" s="14"/>
      <c r="CK391" s="14"/>
      <c r="CL391" s="14"/>
      <c r="CM391" s="14"/>
      <c r="CN391" s="14"/>
      <c r="CO391" s="14"/>
      <c r="CP391" s="14"/>
      <c r="CQ391" s="14"/>
      <c r="CR391" s="14"/>
      <c r="CS391" s="14"/>
      <c r="CT391" s="14"/>
      <c r="CU391" s="14"/>
      <c r="CV391" s="14"/>
      <c r="CW391" s="14"/>
      <c r="CX391" s="14"/>
      <c r="CY391" s="14"/>
      <c r="CZ391" s="14"/>
      <c r="DA391" s="14"/>
      <c r="DB391" s="14"/>
      <c r="DC391" s="14"/>
      <c r="DD391" s="14"/>
      <c r="DE391" s="14"/>
      <c r="DF391" s="14"/>
      <c r="DG391" s="14"/>
      <c r="DH391" s="14"/>
      <c r="DI391" s="14"/>
      <c r="DJ391" s="14"/>
      <c r="DK391" s="14"/>
      <c r="DL391" s="14"/>
      <c r="DM391" s="14"/>
      <c r="DN391" s="14"/>
      <c r="DO391" s="14"/>
      <c r="DP391" s="14"/>
      <c r="DQ391" s="14"/>
      <c r="DR391" s="14"/>
      <c r="DS391" s="14"/>
      <c r="DT391" s="14"/>
      <c r="DU391" s="14"/>
      <c r="DV391" s="14"/>
      <c r="DW391" s="14"/>
      <c r="DX391" s="14"/>
      <c r="DY391" s="14"/>
      <c r="DZ391" s="14"/>
      <c r="EA391" s="14"/>
      <c r="EB391" s="14"/>
      <c r="EC391" s="14"/>
      <c r="ED391" s="14"/>
      <c r="EE391" s="14"/>
      <c r="EF391" s="14"/>
      <c r="EG391" s="14"/>
      <c r="EH391" s="14"/>
      <c r="EI391" s="14"/>
      <c r="EJ391" s="14"/>
      <c r="EK391" s="14"/>
      <c r="EL391" s="14"/>
      <c r="EM391" s="14"/>
      <c r="EN391" s="14"/>
      <c r="EO391" s="14"/>
      <c r="EP391" s="14"/>
      <c r="EQ391" s="14"/>
      <c r="ER391" s="14"/>
      <c r="ES391" s="14"/>
      <c r="ET391" s="14"/>
      <c r="EU391" s="14"/>
      <c r="EV391" s="14"/>
      <c r="EW391" s="14"/>
      <c r="EX391" s="14"/>
      <c r="EY391" s="14"/>
      <c r="EZ391" s="14"/>
      <c r="FA391" s="14"/>
      <c r="FB391" s="14"/>
      <c r="FC391" s="14"/>
      <c r="FD391" s="14"/>
      <c r="FE391" s="14"/>
      <c r="FF391" s="14"/>
      <c r="FG391" s="14"/>
      <c r="FH391" s="14"/>
      <c r="FI391" s="14"/>
      <c r="FJ391" s="14"/>
      <c r="FK391" s="14"/>
      <c r="FL391" s="14"/>
      <c r="FM391" s="14"/>
      <c r="FN391" s="14"/>
      <c r="FO391" s="14"/>
      <c r="FP391" s="14"/>
      <c r="FQ391" s="14"/>
      <c r="FR391" s="14"/>
      <c r="FS391" s="14"/>
      <c r="FT391" s="14"/>
      <c r="FU391" s="14"/>
      <c r="FV391" s="14"/>
      <c r="FW391" s="14"/>
      <c r="FX391" s="14"/>
      <c r="FY391" s="14"/>
      <c r="FZ391" s="14"/>
      <c r="GA391" s="14"/>
      <c r="GB391" s="14"/>
      <c r="GC391" s="14"/>
      <c r="GD391" s="14"/>
      <c r="GE391" s="14"/>
      <c r="GF391" s="14"/>
      <c r="GG391" s="14"/>
      <c r="GH391" s="14"/>
      <c r="GI391" s="14"/>
      <c r="GJ391" s="14"/>
      <c r="GK391" s="14"/>
      <c r="GL391" s="14"/>
      <c r="GM391" s="14"/>
      <c r="GN391" s="14"/>
      <c r="GO391" s="14"/>
      <c r="GP391" s="14"/>
      <c r="GQ391" s="14"/>
      <c r="GR391" s="14"/>
      <c r="GS391" s="14"/>
      <c r="GT391" s="14"/>
      <c r="GU391" s="14"/>
      <c r="GV391" s="14"/>
      <c r="GW391" s="14"/>
      <c r="GX391" s="14"/>
      <c r="GY391" s="14"/>
      <c r="GZ391" s="14"/>
      <c r="HA391" s="14"/>
      <c r="HB391" s="14"/>
      <c r="HC391" s="14"/>
      <c r="HD391" s="14"/>
      <c r="HE391" s="14"/>
      <c r="HF391" s="14"/>
      <c r="HG391" s="14"/>
      <c r="HH391" s="14"/>
      <c r="HI391" s="14"/>
      <c r="HJ391" s="14"/>
      <c r="HK391" s="14"/>
      <c r="HL391" s="14"/>
      <c r="HM391" s="14"/>
      <c r="HN391" s="14"/>
      <c r="HO391" s="14"/>
      <c r="HP391" s="14"/>
      <c r="HQ391" s="14"/>
      <c r="HR391" s="14"/>
      <c r="HS391" s="14"/>
      <c r="HT391" s="14"/>
    </row>
    <row r="392" spans="1:228" ht="18" customHeight="1" x14ac:dyDescent="0.2">
      <c r="A392" s="8"/>
      <c r="B392" s="353" t="s">
        <v>154</v>
      </c>
      <c r="C392" s="1652"/>
      <c r="D392" s="1904"/>
      <c r="E392" s="1904"/>
      <c r="F392" s="1904"/>
      <c r="G392" s="1904"/>
      <c r="H392" s="1904"/>
      <c r="I392" s="1904"/>
      <c r="J392" s="1904"/>
      <c r="K392" s="1904"/>
      <c r="L392" s="1904"/>
      <c r="M392" s="1904"/>
      <c r="N392" s="1904"/>
      <c r="O392" s="1904"/>
      <c r="P392" s="95">
        <f>IF(C392=S392,0,IF(C392=T392,0.05,IF(C392=U392,0.1,IF(C392=V392,0.15,IF(C392=W392,0.2,0)))))</f>
        <v>0</v>
      </c>
      <c r="Q392" s="8"/>
      <c r="R392" s="416" t="s">
        <v>2197</v>
      </c>
      <c r="S392" s="958" t="s">
        <v>1942</v>
      </c>
      <c r="T392" s="958" t="s">
        <v>609</v>
      </c>
      <c r="U392" s="958" t="s">
        <v>610</v>
      </c>
      <c r="V392" s="958" t="s">
        <v>152</v>
      </c>
      <c r="W392" s="958" t="s">
        <v>153</v>
      </c>
      <c r="X392" s="60"/>
      <c r="Y392" s="60"/>
      <c r="Z392" s="60"/>
      <c r="AA392" s="60"/>
      <c r="AB392" s="60"/>
      <c r="AC392" s="60"/>
      <c r="AD392" s="60"/>
      <c r="AE392" s="60"/>
      <c r="AF392" s="60"/>
      <c r="AG392" s="60"/>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18"/>
      <c r="BG392" s="18"/>
      <c r="BH392" s="18"/>
      <c r="BI392" s="18"/>
      <c r="BJ392" s="18"/>
      <c r="BK392" s="18"/>
      <c r="BL392" s="18"/>
      <c r="BM392" s="18"/>
      <c r="BN392" s="18"/>
      <c r="BO392" s="18"/>
      <c r="BP392" s="18"/>
      <c r="BQ392" s="14"/>
      <c r="BR392" s="14"/>
      <c r="BS392" s="14"/>
      <c r="BT392" s="14"/>
      <c r="BU392" s="14"/>
      <c r="BV392" s="14"/>
      <c r="BW392" s="14"/>
      <c r="BX392" s="14"/>
      <c r="BY392" s="14"/>
      <c r="BZ392" s="14"/>
      <c r="CA392" s="14"/>
      <c r="CB392" s="14"/>
      <c r="CC392" s="14"/>
      <c r="CD392" s="14"/>
      <c r="CE392" s="14"/>
      <c r="CF392" s="14"/>
      <c r="CG392" s="14"/>
      <c r="CH392" s="14"/>
      <c r="CI392" s="14"/>
      <c r="CJ392" s="14"/>
      <c r="CK392" s="14"/>
      <c r="CL392" s="14"/>
      <c r="CM392" s="14"/>
      <c r="CN392" s="14"/>
      <c r="CO392" s="14"/>
      <c r="CP392" s="14"/>
      <c r="CQ392" s="14"/>
      <c r="CR392" s="14"/>
      <c r="CS392" s="14"/>
      <c r="CT392" s="14"/>
      <c r="CU392" s="14"/>
      <c r="CV392" s="14"/>
      <c r="CW392" s="14"/>
      <c r="CX392" s="14"/>
      <c r="CY392" s="14"/>
      <c r="CZ392" s="14"/>
      <c r="DA392" s="14"/>
      <c r="DB392" s="14"/>
      <c r="DC392" s="14"/>
      <c r="DD392" s="14"/>
      <c r="DE392" s="14"/>
      <c r="DF392" s="14"/>
      <c r="DG392" s="14"/>
      <c r="DH392" s="14"/>
      <c r="DI392" s="14"/>
      <c r="DJ392" s="14"/>
      <c r="DK392" s="14"/>
      <c r="DL392" s="14"/>
      <c r="DM392" s="14"/>
      <c r="DN392" s="14"/>
      <c r="DO392" s="14"/>
      <c r="DP392" s="14"/>
      <c r="DQ392" s="14"/>
      <c r="DR392" s="14"/>
      <c r="DS392" s="14"/>
      <c r="DT392" s="14"/>
      <c r="DU392" s="14"/>
      <c r="DV392" s="14"/>
      <c r="DW392" s="14"/>
      <c r="DX392" s="14"/>
      <c r="DY392" s="14"/>
      <c r="DZ392" s="14"/>
      <c r="EA392" s="14"/>
      <c r="EB392" s="14"/>
      <c r="EC392" s="14"/>
      <c r="ED392" s="14"/>
      <c r="EE392" s="14"/>
      <c r="EF392" s="14"/>
      <c r="EG392" s="14"/>
      <c r="EH392" s="14"/>
      <c r="EI392" s="14"/>
      <c r="EJ392" s="14"/>
      <c r="EK392" s="14"/>
      <c r="EL392" s="14"/>
      <c r="EM392" s="14"/>
      <c r="EN392" s="14"/>
      <c r="EO392" s="14"/>
      <c r="EP392" s="14"/>
      <c r="EQ392" s="14"/>
      <c r="ER392" s="14"/>
      <c r="ES392" s="14"/>
      <c r="ET392" s="14"/>
      <c r="EU392" s="14"/>
      <c r="EV392" s="14"/>
      <c r="EW392" s="14"/>
      <c r="EX392" s="14"/>
      <c r="EY392" s="14"/>
      <c r="EZ392" s="14"/>
      <c r="FA392" s="14"/>
      <c r="FB392" s="14"/>
      <c r="FC392" s="14"/>
      <c r="FD392" s="14"/>
      <c r="FE392" s="14"/>
      <c r="FF392" s="14"/>
      <c r="FG392" s="14"/>
      <c r="FH392" s="14"/>
      <c r="FI392" s="14"/>
      <c r="FJ392" s="14"/>
      <c r="FK392" s="14"/>
      <c r="FL392" s="14"/>
      <c r="FM392" s="14"/>
      <c r="FN392" s="14"/>
      <c r="FO392" s="14"/>
      <c r="FP392" s="14"/>
      <c r="FQ392" s="14"/>
      <c r="FR392" s="14"/>
      <c r="FS392" s="14"/>
      <c r="FT392" s="14"/>
      <c r="FU392" s="14"/>
      <c r="FV392" s="14"/>
      <c r="FW392" s="14"/>
      <c r="FX392" s="14"/>
      <c r="FY392" s="14"/>
      <c r="FZ392" s="14"/>
      <c r="GA392" s="14"/>
      <c r="GB392" s="14"/>
      <c r="GC392" s="14"/>
      <c r="GD392" s="14"/>
      <c r="GE392" s="14"/>
      <c r="GF392" s="14"/>
      <c r="GG392" s="14"/>
      <c r="GH392" s="14"/>
      <c r="GI392" s="14"/>
      <c r="GJ392" s="14"/>
      <c r="GK392" s="14"/>
      <c r="GL392" s="14"/>
      <c r="GM392" s="14"/>
      <c r="GN392" s="14"/>
      <c r="GO392" s="14"/>
      <c r="GP392" s="14"/>
      <c r="GQ392" s="14"/>
      <c r="GR392" s="14"/>
      <c r="GS392" s="14"/>
      <c r="GT392" s="14"/>
      <c r="GU392" s="14"/>
      <c r="GV392" s="14"/>
      <c r="GW392" s="14"/>
      <c r="GX392" s="14"/>
      <c r="GY392" s="14"/>
      <c r="GZ392" s="14"/>
      <c r="HA392" s="14"/>
      <c r="HB392" s="14"/>
      <c r="HC392" s="14"/>
      <c r="HD392" s="14"/>
      <c r="HE392" s="14"/>
      <c r="HF392" s="14"/>
      <c r="HG392" s="14"/>
      <c r="HH392" s="14"/>
      <c r="HI392" s="14"/>
      <c r="HJ392" s="14"/>
      <c r="HK392" s="14"/>
      <c r="HL392" s="14"/>
      <c r="HM392" s="14"/>
      <c r="HN392" s="14"/>
      <c r="HO392" s="14"/>
      <c r="HP392" s="14"/>
      <c r="HQ392" s="14"/>
      <c r="HR392" s="14"/>
      <c r="HS392" s="14"/>
      <c r="HT392" s="14"/>
    </row>
    <row r="393" spans="1:228" ht="12" customHeight="1" x14ac:dyDescent="0.25">
      <c r="A393" s="8"/>
      <c r="B393" s="1825"/>
      <c r="C393" s="1825"/>
      <c r="D393" s="1825"/>
      <c r="E393" s="1825"/>
      <c r="F393" s="1825"/>
      <c r="G393" s="1825"/>
      <c r="H393" s="1825"/>
      <c r="I393" s="1825"/>
      <c r="J393" s="1825"/>
      <c r="K393" s="1825"/>
      <c r="L393" s="1825"/>
      <c r="M393" s="1825"/>
      <c r="N393" s="1825"/>
      <c r="O393" s="1825"/>
      <c r="P393" s="75"/>
      <c r="Q393" s="8"/>
      <c r="R393" s="60"/>
      <c r="S393" s="19"/>
      <c r="T393" s="19"/>
      <c r="U393" s="19"/>
      <c r="V393" s="19"/>
      <c r="W393" s="19"/>
      <c r="X393" s="60"/>
      <c r="Y393" s="60"/>
      <c r="Z393" s="60"/>
      <c r="AA393" s="60"/>
      <c r="AB393" s="60"/>
      <c r="AC393" s="60"/>
      <c r="AD393" s="60"/>
      <c r="AE393" s="60"/>
      <c r="AF393" s="60"/>
      <c r="AG393" s="60"/>
      <c r="AH393" s="60"/>
      <c r="AI393" s="60"/>
      <c r="AJ393" s="60"/>
      <c r="AK393" s="60"/>
      <c r="AL393" s="60"/>
      <c r="AM393" s="60"/>
      <c r="AN393" s="60"/>
      <c r="AO393" s="60"/>
      <c r="AP393" s="60"/>
      <c r="AQ393" s="60"/>
      <c r="AR393" s="60"/>
      <c r="AS393" s="60"/>
      <c r="AT393" s="60"/>
      <c r="AU393" s="60"/>
      <c r="AV393" s="60"/>
      <c r="AW393" s="60"/>
      <c r="AX393" s="60"/>
      <c r="AY393" s="60"/>
      <c r="AZ393" s="60"/>
      <c r="BA393" s="60"/>
      <c r="BB393" s="60"/>
      <c r="BC393" s="60"/>
      <c r="BD393" s="60"/>
      <c r="BE393" s="60"/>
      <c r="BF393" s="18"/>
      <c r="BG393" s="18"/>
      <c r="BH393" s="18"/>
      <c r="BI393" s="18"/>
      <c r="BJ393" s="18"/>
      <c r="BK393" s="18"/>
      <c r="BL393" s="18"/>
      <c r="BM393" s="18"/>
      <c r="BN393" s="18"/>
      <c r="BO393" s="18"/>
      <c r="BP393" s="18"/>
      <c r="BQ393" s="14"/>
      <c r="BR393" s="14"/>
      <c r="BS393" s="14"/>
      <c r="BT393" s="14"/>
      <c r="BU393" s="14"/>
      <c r="BV393" s="14"/>
      <c r="BW393" s="14"/>
      <c r="BX393" s="14"/>
      <c r="BY393" s="14"/>
      <c r="BZ393" s="14"/>
      <c r="CA393" s="14"/>
      <c r="CB393" s="14"/>
      <c r="CC393" s="14"/>
      <c r="CD393" s="14"/>
      <c r="CE393" s="14"/>
      <c r="CF393" s="14"/>
      <c r="CG393" s="14"/>
      <c r="CH393" s="14"/>
      <c r="CI393" s="14"/>
      <c r="CJ393" s="14"/>
      <c r="CK393" s="14"/>
      <c r="CL393" s="14"/>
      <c r="CM393" s="14"/>
      <c r="CN393" s="14"/>
      <c r="CO393" s="14"/>
      <c r="CP393" s="14"/>
      <c r="CQ393" s="14"/>
      <c r="CR393" s="14"/>
      <c r="CS393" s="14"/>
      <c r="CT393" s="14"/>
      <c r="CU393" s="14"/>
      <c r="CV393" s="14"/>
      <c r="CW393" s="14"/>
      <c r="CX393" s="14"/>
      <c r="CY393" s="14"/>
      <c r="CZ393" s="14"/>
      <c r="DA393" s="14"/>
      <c r="DB393" s="14"/>
      <c r="DC393" s="14"/>
      <c r="DD393" s="14"/>
      <c r="DE393" s="14"/>
      <c r="DF393" s="14"/>
      <c r="DG393" s="14"/>
      <c r="DH393" s="14"/>
      <c r="DI393" s="14"/>
      <c r="DJ393" s="14"/>
      <c r="DK393" s="14"/>
      <c r="DL393" s="14"/>
      <c r="DM393" s="14"/>
      <c r="DN393" s="14"/>
      <c r="DO393" s="14"/>
      <c r="DP393" s="14"/>
      <c r="DQ393" s="14"/>
      <c r="DR393" s="14"/>
      <c r="DS393" s="14"/>
      <c r="DT393" s="14"/>
      <c r="DU393" s="14"/>
      <c r="DV393" s="14"/>
      <c r="DW393" s="14"/>
      <c r="DX393" s="14"/>
      <c r="DY393" s="14"/>
      <c r="DZ393" s="14"/>
      <c r="EA393" s="14"/>
      <c r="EB393" s="14"/>
      <c r="EC393" s="14"/>
      <c r="ED393" s="14"/>
      <c r="EE393" s="14"/>
      <c r="EF393" s="14"/>
      <c r="EG393" s="14"/>
      <c r="EH393" s="14"/>
      <c r="EI393" s="14"/>
      <c r="EJ393" s="14"/>
      <c r="EK393" s="14"/>
      <c r="EL393" s="14"/>
      <c r="EM393" s="14"/>
      <c r="EN393" s="14"/>
      <c r="EO393" s="14"/>
      <c r="EP393" s="14"/>
      <c r="EQ393" s="14"/>
      <c r="ER393" s="14"/>
      <c r="ES393" s="14"/>
      <c r="ET393" s="14"/>
      <c r="EU393" s="14"/>
      <c r="EV393" s="14"/>
      <c r="EW393" s="14"/>
      <c r="EX393" s="14"/>
      <c r="EY393" s="14"/>
      <c r="EZ393" s="14"/>
      <c r="FA393" s="14"/>
      <c r="FB393" s="14"/>
      <c r="FC393" s="14"/>
      <c r="FD393" s="14"/>
      <c r="FE393" s="14"/>
      <c r="FF393" s="14"/>
      <c r="FG393" s="14"/>
      <c r="FH393" s="14"/>
      <c r="FI393" s="14"/>
      <c r="FJ393" s="14"/>
      <c r="FK393" s="14"/>
      <c r="FL393" s="14"/>
      <c r="FM393" s="14"/>
      <c r="FN393" s="14"/>
      <c r="FO393" s="14"/>
      <c r="FP393" s="14"/>
      <c r="FQ393" s="14"/>
      <c r="FR393" s="14"/>
      <c r="FS393" s="14"/>
      <c r="FT393" s="14"/>
      <c r="FU393" s="14"/>
      <c r="FV393" s="14"/>
      <c r="FW393" s="14"/>
      <c r="FX393" s="14"/>
      <c r="FY393" s="14"/>
      <c r="FZ393" s="14"/>
      <c r="GA393" s="14"/>
      <c r="GB393" s="14"/>
      <c r="GC393" s="14"/>
      <c r="GD393" s="14"/>
      <c r="GE393" s="14"/>
      <c r="GF393" s="14"/>
      <c r="GG393" s="14"/>
      <c r="GH393" s="14"/>
      <c r="GI393" s="14"/>
      <c r="GJ393" s="14"/>
      <c r="GK393" s="14"/>
      <c r="GL393" s="14"/>
      <c r="GM393" s="14"/>
      <c r="GN393" s="14"/>
      <c r="GO393" s="14"/>
      <c r="GP393" s="14"/>
      <c r="GQ393" s="14"/>
      <c r="GR393" s="14"/>
      <c r="GS393" s="14"/>
      <c r="GT393" s="14"/>
      <c r="GU393" s="14"/>
      <c r="GV393" s="14"/>
      <c r="GW393" s="14"/>
      <c r="GX393" s="14"/>
      <c r="GY393" s="14"/>
      <c r="GZ393" s="14"/>
      <c r="HA393" s="14"/>
      <c r="HB393" s="14"/>
      <c r="HC393" s="14"/>
      <c r="HD393" s="14"/>
      <c r="HE393" s="14"/>
      <c r="HF393" s="14"/>
      <c r="HG393" s="14"/>
      <c r="HH393" s="14"/>
      <c r="HI393" s="14"/>
      <c r="HJ393" s="14"/>
      <c r="HK393" s="14"/>
      <c r="HL393" s="14"/>
      <c r="HM393" s="14"/>
      <c r="HN393" s="14"/>
      <c r="HO393" s="14"/>
      <c r="HP393" s="14"/>
      <c r="HQ393" s="14"/>
      <c r="HR393" s="14"/>
      <c r="HS393" s="14"/>
      <c r="HT393" s="14"/>
    </row>
    <row r="394" spans="1:228" ht="18" customHeight="1" x14ac:dyDescent="0.2">
      <c r="A394" s="8"/>
      <c r="B394" s="1848" t="s">
        <v>155</v>
      </c>
      <c r="C394" s="1848"/>
      <c r="D394" s="1848"/>
      <c r="E394" s="1848"/>
      <c r="F394" s="1848"/>
      <c r="G394" s="1848"/>
      <c r="H394" s="1848"/>
      <c r="I394" s="1848"/>
      <c r="J394" s="1848"/>
      <c r="K394" s="1848"/>
      <c r="L394" s="1848"/>
      <c r="M394" s="1848"/>
      <c r="N394" s="1848"/>
      <c r="O394" s="1848"/>
      <c r="P394" s="1905"/>
      <c r="Q394" s="8"/>
      <c r="R394" s="60"/>
      <c r="S394" s="60"/>
      <c r="T394" s="60"/>
      <c r="U394" s="60"/>
      <c r="V394" s="60"/>
      <c r="W394" s="60"/>
      <c r="X394" s="60"/>
      <c r="Y394" s="60"/>
      <c r="Z394" s="60"/>
      <c r="AA394" s="60"/>
      <c r="AB394" s="60"/>
      <c r="AC394" s="60"/>
      <c r="AD394" s="60"/>
      <c r="AE394" s="60"/>
      <c r="AF394" s="60"/>
      <c r="AG394" s="60"/>
      <c r="AH394" s="60"/>
      <c r="AI394" s="60"/>
      <c r="AJ394" s="60"/>
      <c r="AK394" s="60"/>
      <c r="AL394" s="60"/>
      <c r="AM394" s="60"/>
      <c r="AN394" s="60"/>
      <c r="AO394" s="60"/>
      <c r="AP394" s="60"/>
      <c r="AQ394" s="60"/>
      <c r="AR394" s="60"/>
      <c r="AS394" s="60"/>
      <c r="AT394" s="60"/>
      <c r="AU394" s="60"/>
      <c r="AV394" s="60"/>
      <c r="AW394" s="60"/>
      <c r="AX394" s="60"/>
      <c r="AY394" s="60"/>
      <c r="AZ394" s="60"/>
      <c r="BA394" s="60"/>
      <c r="BB394" s="60"/>
      <c r="BC394" s="60"/>
      <c r="BD394" s="60"/>
      <c r="BE394" s="60"/>
      <c r="BF394" s="18"/>
      <c r="BG394" s="18"/>
      <c r="BH394" s="18"/>
      <c r="BI394" s="18"/>
      <c r="BJ394" s="18"/>
      <c r="BK394" s="18"/>
      <c r="BL394" s="18"/>
      <c r="BM394" s="18"/>
      <c r="BN394" s="18"/>
      <c r="BO394" s="18"/>
      <c r="BP394" s="18"/>
      <c r="BQ394" s="14"/>
      <c r="BR394" s="14"/>
      <c r="BS394" s="14"/>
      <c r="BT394" s="14"/>
      <c r="BU394" s="14"/>
      <c r="BV394" s="14"/>
      <c r="BW394" s="14"/>
      <c r="BX394" s="14"/>
      <c r="BY394" s="14"/>
      <c r="BZ394" s="14"/>
      <c r="CA394" s="14"/>
      <c r="CB394" s="14"/>
      <c r="CC394" s="14"/>
      <c r="CD394" s="14"/>
      <c r="CE394" s="14"/>
      <c r="CF394" s="14"/>
      <c r="CG394" s="14"/>
      <c r="CH394" s="14"/>
      <c r="CI394" s="14"/>
      <c r="CJ394" s="14"/>
      <c r="CK394" s="14"/>
      <c r="CL394" s="14"/>
      <c r="CM394" s="14"/>
      <c r="CN394" s="14"/>
      <c r="CO394" s="14"/>
      <c r="CP394" s="14"/>
      <c r="CQ394" s="14"/>
      <c r="CR394" s="14"/>
      <c r="CS394" s="14"/>
      <c r="CT394" s="14"/>
      <c r="CU394" s="14"/>
      <c r="CV394" s="14"/>
      <c r="CW394" s="14"/>
      <c r="CX394" s="14"/>
      <c r="CY394" s="14"/>
      <c r="CZ394" s="14"/>
      <c r="DA394" s="14"/>
      <c r="DB394" s="14"/>
      <c r="DC394" s="14"/>
      <c r="DD394" s="14"/>
      <c r="DE394" s="14"/>
      <c r="DF394" s="14"/>
      <c r="DG394" s="14"/>
      <c r="DH394" s="14"/>
      <c r="DI394" s="14"/>
      <c r="DJ394" s="14"/>
      <c r="DK394" s="14"/>
      <c r="DL394" s="14"/>
      <c r="DM394" s="14"/>
      <c r="DN394" s="14"/>
      <c r="DO394" s="14"/>
      <c r="DP394" s="14"/>
      <c r="DQ394" s="14"/>
      <c r="DR394" s="14"/>
      <c r="DS394" s="14"/>
      <c r="DT394" s="14"/>
      <c r="DU394" s="14"/>
      <c r="DV394" s="14"/>
      <c r="DW394" s="14"/>
      <c r="DX394" s="14"/>
      <c r="DY394" s="14"/>
      <c r="DZ394" s="14"/>
      <c r="EA394" s="14"/>
      <c r="EB394" s="14"/>
      <c r="EC394" s="14"/>
      <c r="ED394" s="14"/>
      <c r="EE394" s="14"/>
      <c r="EF394" s="14"/>
      <c r="EG394" s="14"/>
      <c r="EH394" s="14"/>
      <c r="EI394" s="14"/>
      <c r="EJ394" s="14"/>
      <c r="EK394" s="14"/>
      <c r="EL394" s="14"/>
      <c r="EM394" s="14"/>
      <c r="EN394" s="14"/>
      <c r="EO394" s="14"/>
      <c r="EP394" s="14"/>
      <c r="EQ394" s="14"/>
      <c r="ER394" s="14"/>
      <c r="ES394" s="14"/>
      <c r="ET394" s="14"/>
      <c r="EU394" s="14"/>
      <c r="EV394" s="14"/>
      <c r="EW394" s="14"/>
      <c r="EX394" s="14"/>
      <c r="EY394" s="14"/>
      <c r="EZ394" s="14"/>
      <c r="FA394" s="14"/>
      <c r="FB394" s="14"/>
      <c r="FC394" s="14"/>
      <c r="FD394" s="14"/>
      <c r="FE394" s="14"/>
      <c r="FF394" s="14"/>
      <c r="FG394" s="14"/>
      <c r="FH394" s="14"/>
      <c r="FI394" s="14"/>
      <c r="FJ394" s="14"/>
      <c r="FK394" s="14"/>
      <c r="FL394" s="14"/>
      <c r="FM394" s="14"/>
      <c r="FN394" s="14"/>
      <c r="FO394" s="14"/>
      <c r="FP394" s="14"/>
      <c r="FQ394" s="14"/>
      <c r="FR394" s="14"/>
      <c r="FS394" s="14"/>
      <c r="FT394" s="14"/>
      <c r="FU394" s="14"/>
      <c r="FV394" s="14"/>
      <c r="FW394" s="14"/>
      <c r="FX394" s="14"/>
      <c r="FY394" s="14"/>
      <c r="FZ394" s="14"/>
      <c r="GA394" s="14"/>
      <c r="GB394" s="14"/>
      <c r="GC394" s="14"/>
      <c r="GD394" s="14"/>
      <c r="GE394" s="14"/>
      <c r="GF394" s="14"/>
      <c r="GG394" s="14"/>
      <c r="GH394" s="14"/>
      <c r="GI394" s="14"/>
      <c r="GJ394" s="14"/>
      <c r="GK394" s="14"/>
      <c r="GL394" s="14"/>
      <c r="GM394" s="14"/>
      <c r="GN394" s="14"/>
      <c r="GO394" s="14"/>
      <c r="GP394" s="14"/>
      <c r="GQ394" s="14"/>
      <c r="GR394" s="14"/>
      <c r="GS394" s="14"/>
      <c r="GT394" s="14"/>
      <c r="GU394" s="14"/>
      <c r="GV394" s="14"/>
      <c r="GW394" s="14"/>
      <c r="GX394" s="14"/>
      <c r="GY394" s="14"/>
      <c r="GZ394" s="14"/>
      <c r="HA394" s="14"/>
      <c r="HB394" s="14"/>
      <c r="HC394" s="14"/>
      <c r="HD394" s="14"/>
      <c r="HE394" s="14"/>
      <c r="HF394" s="14"/>
      <c r="HG394" s="14"/>
      <c r="HH394" s="14"/>
      <c r="HI394" s="14"/>
      <c r="HJ394" s="14"/>
      <c r="HK394" s="14"/>
      <c r="HL394" s="14"/>
      <c r="HM394" s="14"/>
      <c r="HN394" s="14"/>
      <c r="HO394" s="14"/>
      <c r="HP394" s="14"/>
      <c r="HQ394" s="14"/>
      <c r="HR394" s="14"/>
      <c r="HS394" s="14"/>
      <c r="HT394" s="14"/>
    </row>
    <row r="395" spans="1:228" ht="40.5" customHeight="1" x14ac:dyDescent="0.2">
      <c r="A395" s="8"/>
      <c r="B395" s="1379" t="s">
        <v>343</v>
      </c>
      <c r="C395" s="1379"/>
      <c r="D395" s="1379"/>
      <c r="E395" s="1379"/>
      <c r="F395" s="1379"/>
      <c r="G395" s="1379"/>
      <c r="H395" s="1379"/>
      <c r="I395" s="1379"/>
      <c r="J395" s="1379"/>
      <c r="K395" s="1379"/>
      <c r="L395" s="1379"/>
      <c r="M395" s="1379"/>
      <c r="N395" s="1379"/>
      <c r="O395" s="1379"/>
      <c r="P395" s="1905"/>
      <c r="Q395" s="8"/>
      <c r="R395" s="60"/>
      <c r="S395" s="958" t="s">
        <v>1942</v>
      </c>
      <c r="T395" s="957" t="s">
        <v>156</v>
      </c>
      <c r="U395" s="957" t="s">
        <v>157</v>
      </c>
      <c r="V395" s="957" t="s">
        <v>1308</v>
      </c>
      <c r="W395" s="60"/>
      <c r="X395" s="60"/>
      <c r="Y395" s="950" t="s">
        <v>1305</v>
      </c>
      <c r="Z395" s="950" t="s">
        <v>1306</v>
      </c>
      <c r="AA395" s="950" t="s">
        <v>1307</v>
      </c>
      <c r="AB395" s="60"/>
      <c r="AC395" s="60"/>
      <c r="AD395" s="60"/>
      <c r="AE395" s="60"/>
      <c r="AF395" s="60"/>
      <c r="AG395" s="60"/>
      <c r="AH395" s="60"/>
      <c r="AI395" s="60"/>
      <c r="AJ395" s="60"/>
      <c r="AK395" s="60"/>
      <c r="AL395" s="60"/>
      <c r="AM395" s="60"/>
      <c r="AN395" s="60"/>
      <c r="AO395" s="60"/>
      <c r="AP395" s="60"/>
      <c r="AQ395" s="60"/>
      <c r="AR395" s="60"/>
      <c r="AS395" s="60"/>
      <c r="AT395" s="60"/>
      <c r="AU395" s="60"/>
      <c r="AV395" s="60"/>
      <c r="AW395" s="60"/>
      <c r="AX395" s="60"/>
      <c r="AY395" s="60"/>
      <c r="AZ395" s="60"/>
      <c r="BA395" s="60"/>
      <c r="BB395" s="60"/>
      <c r="BC395" s="60"/>
      <c r="BD395" s="60"/>
      <c r="BE395" s="60"/>
      <c r="BF395" s="18"/>
      <c r="BG395" s="18"/>
      <c r="BH395" s="18"/>
      <c r="BI395" s="18"/>
      <c r="BJ395" s="18"/>
      <c r="BK395" s="18"/>
      <c r="BL395" s="18"/>
      <c r="BM395" s="18"/>
      <c r="BN395" s="18"/>
      <c r="BO395" s="18"/>
      <c r="BP395" s="18"/>
      <c r="BQ395" s="14"/>
      <c r="BR395" s="14"/>
      <c r="BS395" s="14"/>
      <c r="BT395" s="14"/>
      <c r="BU395" s="14"/>
      <c r="BV395" s="14"/>
      <c r="BW395" s="14"/>
      <c r="BX395" s="14"/>
      <c r="BY395" s="14"/>
      <c r="BZ395" s="14"/>
      <c r="CA395" s="14"/>
      <c r="CB395" s="14"/>
      <c r="CC395" s="14"/>
      <c r="CD395" s="14"/>
      <c r="CE395" s="14"/>
      <c r="CF395" s="14"/>
      <c r="CG395" s="14"/>
      <c r="CH395" s="14"/>
      <c r="CI395" s="14"/>
      <c r="CJ395" s="14"/>
      <c r="CK395" s="14"/>
      <c r="CL395" s="14"/>
      <c r="CM395" s="14"/>
      <c r="CN395" s="14"/>
      <c r="CO395" s="14"/>
      <c r="CP395" s="14"/>
      <c r="CQ395" s="14"/>
      <c r="CR395" s="14"/>
      <c r="CS395" s="14"/>
      <c r="CT395" s="14"/>
      <c r="CU395" s="14"/>
      <c r="CV395" s="14"/>
      <c r="CW395" s="14"/>
      <c r="CX395" s="14"/>
      <c r="CY395" s="14"/>
      <c r="CZ395" s="14"/>
      <c r="DA395" s="14"/>
      <c r="DB395" s="14"/>
      <c r="DC395" s="14"/>
      <c r="DD395" s="14"/>
      <c r="DE395" s="14"/>
      <c r="DF395" s="14"/>
      <c r="DG395" s="14"/>
      <c r="DH395" s="14"/>
      <c r="DI395" s="14"/>
      <c r="DJ395" s="14"/>
      <c r="DK395" s="14"/>
      <c r="DL395" s="14"/>
      <c r="DM395" s="14"/>
      <c r="DN395" s="14"/>
      <c r="DO395" s="14"/>
      <c r="DP395" s="14"/>
      <c r="DQ395" s="14"/>
      <c r="DR395" s="14"/>
      <c r="DS395" s="14"/>
      <c r="DT395" s="14"/>
      <c r="DU395" s="14"/>
      <c r="DV395" s="14"/>
      <c r="DW395" s="14"/>
      <c r="DX395" s="14"/>
      <c r="DY395" s="14"/>
      <c r="DZ395" s="14"/>
      <c r="EA395" s="14"/>
      <c r="EB395" s="14"/>
      <c r="EC395" s="14"/>
      <c r="ED395" s="14"/>
      <c r="EE395" s="14"/>
      <c r="EF395" s="14"/>
      <c r="EG395" s="14"/>
      <c r="EH395" s="14"/>
      <c r="EI395" s="14"/>
      <c r="EJ395" s="14"/>
      <c r="EK395" s="14"/>
      <c r="EL395" s="14"/>
      <c r="EM395" s="14"/>
      <c r="EN395" s="14"/>
      <c r="EO395" s="14"/>
      <c r="EP395" s="14"/>
      <c r="EQ395" s="14"/>
      <c r="ER395" s="14"/>
      <c r="ES395" s="14"/>
      <c r="ET395" s="14"/>
      <c r="EU395" s="14"/>
      <c r="EV395" s="14"/>
      <c r="EW395" s="14"/>
      <c r="EX395" s="14"/>
      <c r="EY395" s="14"/>
      <c r="EZ395" s="14"/>
      <c r="FA395" s="14"/>
      <c r="FB395" s="14"/>
      <c r="FC395" s="14"/>
      <c r="FD395" s="14"/>
      <c r="FE395" s="14"/>
      <c r="FF395" s="14"/>
      <c r="FG395" s="14"/>
      <c r="FH395" s="14"/>
      <c r="FI395" s="14"/>
      <c r="FJ395" s="14"/>
      <c r="FK395" s="14"/>
      <c r="FL395" s="14"/>
      <c r="FM395" s="14"/>
      <c r="FN395" s="14"/>
      <c r="FO395" s="14"/>
      <c r="FP395" s="14"/>
      <c r="FQ395" s="14"/>
      <c r="FR395" s="14"/>
      <c r="FS395" s="14"/>
      <c r="FT395" s="14"/>
      <c r="FU395" s="14"/>
      <c r="FV395" s="14"/>
      <c r="FW395" s="14"/>
      <c r="FX395" s="14"/>
      <c r="FY395" s="14"/>
      <c r="FZ395" s="14"/>
      <c r="GA395" s="14"/>
      <c r="GB395" s="14"/>
      <c r="GC395" s="14"/>
      <c r="GD395" s="14"/>
      <c r="GE395" s="14"/>
      <c r="GF395" s="14"/>
      <c r="GG395" s="14"/>
      <c r="GH395" s="14"/>
      <c r="GI395" s="14"/>
      <c r="GJ395" s="14"/>
      <c r="GK395" s="14"/>
      <c r="GL395" s="14"/>
      <c r="GM395" s="14"/>
      <c r="GN395" s="14"/>
      <c r="GO395" s="14"/>
      <c r="GP395" s="14"/>
      <c r="GQ395" s="14"/>
      <c r="GR395" s="14"/>
      <c r="GS395" s="14"/>
      <c r="GT395" s="14"/>
      <c r="GU395" s="14"/>
      <c r="GV395" s="14"/>
      <c r="GW395" s="14"/>
      <c r="GX395" s="14"/>
      <c r="GY395" s="14"/>
      <c r="GZ395" s="14"/>
      <c r="HA395" s="14"/>
      <c r="HB395" s="14"/>
      <c r="HC395" s="14"/>
      <c r="HD395" s="14"/>
      <c r="HE395" s="14"/>
      <c r="HF395" s="14"/>
      <c r="HG395" s="14"/>
      <c r="HH395" s="14"/>
      <c r="HI395" s="14"/>
      <c r="HJ395" s="14"/>
      <c r="HK395" s="14"/>
      <c r="HL395" s="14"/>
      <c r="HM395" s="14"/>
      <c r="HN395" s="14"/>
      <c r="HO395" s="14"/>
      <c r="HP395" s="14"/>
      <c r="HQ395" s="14"/>
      <c r="HR395" s="14"/>
      <c r="HS395" s="14"/>
      <c r="HT395" s="14"/>
    </row>
    <row r="396" spans="1:228" ht="18" customHeight="1" x14ac:dyDescent="0.25">
      <c r="A396" s="8"/>
      <c r="B396" s="24" t="s">
        <v>1309</v>
      </c>
      <c r="C396" s="1536" t="s">
        <v>1310</v>
      </c>
      <c r="D396" s="1536"/>
      <c r="E396" s="1536"/>
      <c r="F396" s="1536"/>
      <c r="G396" s="1536"/>
      <c r="H396" s="1536"/>
      <c r="I396" s="1536"/>
      <c r="J396" s="1536"/>
      <c r="K396" s="1536"/>
      <c r="L396" s="1536"/>
      <c r="M396" s="1536"/>
      <c r="N396" s="1536"/>
      <c r="O396" s="1536"/>
      <c r="P396" s="361"/>
      <c r="Q396" s="8"/>
      <c r="R396" s="60"/>
      <c r="S396" s="960">
        <v>0</v>
      </c>
      <c r="T396" s="960">
        <v>0.05</v>
      </c>
      <c r="U396" s="960">
        <v>0.1</v>
      </c>
      <c r="V396" s="960">
        <v>0.15</v>
      </c>
      <c r="W396" s="60"/>
      <c r="X396" s="60"/>
      <c r="Y396" s="646">
        <f>LARGE($O$397:$O$400,1)</f>
        <v>0</v>
      </c>
      <c r="Z396" s="684">
        <f>Y396+Y397*(1-Y396)</f>
        <v>0</v>
      </c>
      <c r="AA396" s="962">
        <f>ROUND(Z396,2)</f>
        <v>0</v>
      </c>
      <c r="AB396" s="60"/>
      <c r="AC396" s="60"/>
      <c r="AD396" s="60"/>
      <c r="AE396" s="60"/>
      <c r="AF396" s="60"/>
      <c r="AG396" s="60"/>
      <c r="AH396" s="60"/>
      <c r="AI396" s="60"/>
      <c r="AJ396" s="60"/>
      <c r="AK396" s="60"/>
      <c r="AL396" s="60"/>
      <c r="AM396" s="60"/>
      <c r="AN396" s="60"/>
      <c r="AO396" s="60"/>
      <c r="AP396" s="60"/>
      <c r="AQ396" s="60"/>
      <c r="AR396" s="60"/>
      <c r="AS396" s="60"/>
      <c r="AT396" s="60"/>
      <c r="AU396" s="60"/>
      <c r="AV396" s="60"/>
      <c r="AW396" s="60"/>
      <c r="AX396" s="60"/>
      <c r="AY396" s="60"/>
      <c r="AZ396" s="60"/>
      <c r="BA396" s="60"/>
      <c r="BB396" s="60"/>
      <c r="BC396" s="60"/>
      <c r="BD396" s="60"/>
      <c r="BE396" s="60"/>
      <c r="BF396" s="18"/>
      <c r="BG396" s="18"/>
      <c r="BH396" s="18"/>
      <c r="BI396" s="18"/>
      <c r="BJ396" s="18"/>
      <c r="BK396" s="18"/>
      <c r="BL396" s="18"/>
      <c r="BM396" s="18"/>
      <c r="BN396" s="18"/>
      <c r="BO396" s="18"/>
      <c r="BP396" s="18"/>
      <c r="BQ396" s="14"/>
      <c r="BR396" s="14"/>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DG396" s="14"/>
      <c r="DH396" s="14"/>
      <c r="DI396" s="14"/>
      <c r="DJ396" s="14"/>
      <c r="DK396" s="14"/>
      <c r="DL396" s="14"/>
      <c r="DM396" s="14"/>
      <c r="DN396" s="14"/>
      <c r="DO396" s="14"/>
      <c r="DP396" s="14"/>
      <c r="DQ396" s="14"/>
      <c r="DR396" s="14"/>
      <c r="DS396" s="14"/>
      <c r="DT396" s="14"/>
      <c r="DU396" s="14"/>
      <c r="DV396" s="14"/>
      <c r="DW396" s="14"/>
      <c r="DX396" s="14"/>
      <c r="DY396" s="14"/>
      <c r="DZ396" s="14"/>
      <c r="EA396" s="14"/>
      <c r="EB396" s="14"/>
      <c r="EC396" s="14"/>
      <c r="ED396" s="14"/>
      <c r="EE396" s="14"/>
      <c r="EF396" s="14"/>
      <c r="EG396" s="14"/>
      <c r="EH396" s="14"/>
      <c r="EI396" s="14"/>
      <c r="EJ396" s="14"/>
      <c r="EK396" s="14"/>
      <c r="EL396" s="14"/>
      <c r="EM396" s="14"/>
      <c r="EN396" s="14"/>
      <c r="EO396" s="14"/>
      <c r="EP396" s="14"/>
      <c r="EQ396" s="14"/>
      <c r="ER396" s="14"/>
      <c r="ES396" s="14"/>
      <c r="ET396" s="14"/>
      <c r="EU396" s="14"/>
      <c r="EV396" s="14"/>
      <c r="EW396" s="14"/>
      <c r="EX396" s="14"/>
      <c r="EY396" s="14"/>
      <c r="EZ396" s="14"/>
      <c r="FA396" s="14"/>
      <c r="FB396" s="14"/>
      <c r="FC396" s="14"/>
      <c r="FD396" s="14"/>
      <c r="FE396" s="14"/>
      <c r="FF396" s="14"/>
      <c r="FG396" s="14"/>
      <c r="FH396" s="14"/>
      <c r="FI396" s="14"/>
      <c r="FJ396" s="14"/>
      <c r="FK396" s="14"/>
      <c r="FL396" s="14"/>
      <c r="FM396" s="14"/>
      <c r="FN396" s="14"/>
      <c r="FO396" s="14"/>
      <c r="FP396" s="14"/>
      <c r="FQ396" s="14"/>
      <c r="FR396" s="14"/>
      <c r="FS396" s="14"/>
      <c r="FT396" s="14"/>
      <c r="FU396" s="14"/>
      <c r="FV396" s="14"/>
      <c r="FW396" s="14"/>
      <c r="FX396" s="14"/>
      <c r="FY396" s="14"/>
      <c r="FZ396" s="14"/>
      <c r="GA396" s="14"/>
      <c r="GB396" s="14"/>
      <c r="GC396" s="14"/>
      <c r="GD396" s="14"/>
      <c r="GE396" s="14"/>
      <c r="GF396" s="14"/>
      <c r="GG396" s="14"/>
      <c r="GH396" s="14"/>
      <c r="GI396" s="14"/>
      <c r="GJ396" s="14"/>
      <c r="GK396" s="14"/>
      <c r="GL396" s="14"/>
      <c r="GM396" s="14"/>
      <c r="GN396" s="14"/>
      <c r="GO396" s="14"/>
      <c r="GP396" s="14"/>
      <c r="GQ396" s="14"/>
      <c r="GR396" s="14"/>
      <c r="GS396" s="14"/>
      <c r="GT396" s="14"/>
      <c r="GU396" s="14"/>
      <c r="GV396" s="14"/>
      <c r="GW396" s="14"/>
      <c r="GX396" s="14"/>
      <c r="GY396" s="14"/>
      <c r="GZ396" s="14"/>
      <c r="HA396" s="14"/>
      <c r="HB396" s="14"/>
      <c r="HC396" s="14"/>
      <c r="HD396" s="14"/>
      <c r="HE396" s="14"/>
      <c r="HF396" s="14"/>
      <c r="HG396" s="14"/>
      <c r="HH396" s="14"/>
      <c r="HI396" s="14"/>
      <c r="HJ396" s="14"/>
      <c r="HK396" s="14"/>
      <c r="HL396" s="14"/>
      <c r="HM396" s="14"/>
      <c r="HN396" s="14"/>
      <c r="HO396" s="14"/>
      <c r="HP396" s="14"/>
      <c r="HQ396" s="14"/>
      <c r="HR396" s="14"/>
      <c r="HS396" s="14"/>
      <c r="HT396" s="14"/>
    </row>
    <row r="397" spans="1:228" ht="15" customHeight="1" x14ac:dyDescent="0.2">
      <c r="A397" s="8"/>
      <c r="B397" s="353" t="s">
        <v>1311</v>
      </c>
      <c r="C397" s="1652"/>
      <c r="D397" s="1652"/>
      <c r="E397" s="1652"/>
      <c r="F397" s="1652"/>
      <c r="G397" s="1652"/>
      <c r="H397" s="1652"/>
      <c r="I397" s="1652"/>
      <c r="J397" s="1652"/>
      <c r="K397" s="1652"/>
      <c r="L397" s="1652"/>
      <c r="M397" s="1652"/>
      <c r="N397" s="1652"/>
      <c r="O397" s="95">
        <f>IF(AND(S417=1,R397=1),0,SUMIF(S395:V395,C397,S396:W396))</f>
        <v>0</v>
      </c>
      <c r="P397" s="1555"/>
      <c r="Q397" s="8"/>
      <c r="R397" s="958">
        <f>IF(C397=$T$395,1,0)</f>
        <v>0</v>
      </c>
      <c r="S397" s="960">
        <v>0</v>
      </c>
      <c r="T397" s="960">
        <v>0.1</v>
      </c>
      <c r="U397" s="960">
        <v>0.15</v>
      </c>
      <c r="V397" s="960">
        <v>0.2</v>
      </c>
      <c r="W397" s="19"/>
      <c r="X397" s="60"/>
      <c r="Y397" s="646">
        <f>LARGE($O$397:$O$400,2)</f>
        <v>0</v>
      </c>
      <c r="Z397" s="684">
        <f>AA396+Y398*(1-AA396)</f>
        <v>0</v>
      </c>
      <c r="AA397" s="962">
        <f>ROUND(Z397,2)</f>
        <v>0</v>
      </c>
      <c r="AB397" s="60"/>
      <c r="AC397" s="60"/>
      <c r="AD397" s="60"/>
      <c r="AE397" s="60"/>
      <c r="AF397" s="60"/>
      <c r="AG397" s="60"/>
      <c r="AH397" s="60"/>
      <c r="AI397" s="60"/>
      <c r="AJ397" s="60"/>
      <c r="AK397" s="60"/>
      <c r="AL397" s="60"/>
      <c r="AM397" s="60"/>
      <c r="AN397" s="60"/>
      <c r="AO397" s="60"/>
      <c r="AP397" s="60"/>
      <c r="AQ397" s="60"/>
      <c r="AR397" s="60"/>
      <c r="AS397" s="60"/>
      <c r="AT397" s="60"/>
      <c r="AU397" s="60"/>
      <c r="AV397" s="60"/>
      <c r="AW397" s="60"/>
      <c r="AX397" s="60"/>
      <c r="AY397" s="60"/>
      <c r="AZ397" s="60"/>
      <c r="BA397" s="60"/>
      <c r="BB397" s="60"/>
      <c r="BC397" s="60"/>
      <c r="BD397" s="60"/>
      <c r="BE397" s="60"/>
      <c r="BF397" s="18"/>
      <c r="BG397" s="18"/>
      <c r="BH397" s="18"/>
      <c r="BI397" s="18"/>
      <c r="BJ397" s="18"/>
      <c r="BK397" s="18"/>
      <c r="BL397" s="18"/>
      <c r="BM397" s="18"/>
      <c r="BN397" s="18"/>
      <c r="BO397" s="18"/>
      <c r="BP397" s="18"/>
      <c r="BQ397" s="14"/>
      <c r="BR397" s="14"/>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DG397" s="14"/>
      <c r="DH397" s="14"/>
      <c r="DI397" s="14"/>
      <c r="DJ397" s="14"/>
      <c r="DK397" s="14"/>
      <c r="DL397" s="14"/>
      <c r="DM397" s="14"/>
      <c r="DN397" s="14"/>
      <c r="DO397" s="14"/>
      <c r="DP397" s="14"/>
      <c r="DQ397" s="14"/>
      <c r="DR397" s="14"/>
      <c r="DS397" s="14"/>
      <c r="DT397" s="14"/>
      <c r="DU397" s="14"/>
      <c r="DV397" s="14"/>
      <c r="DW397" s="14"/>
      <c r="DX397" s="14"/>
      <c r="DY397" s="14"/>
      <c r="DZ397" s="14"/>
      <c r="EA397" s="14"/>
      <c r="EB397" s="14"/>
      <c r="EC397" s="14"/>
      <c r="ED397" s="14"/>
      <c r="EE397" s="14"/>
      <c r="EF397" s="14"/>
      <c r="EG397" s="14"/>
      <c r="EH397" s="14"/>
      <c r="EI397" s="14"/>
      <c r="EJ397" s="14"/>
      <c r="EK397" s="14"/>
      <c r="EL397" s="14"/>
      <c r="EM397" s="14"/>
      <c r="EN397" s="14"/>
      <c r="EO397" s="14"/>
      <c r="EP397" s="14"/>
      <c r="EQ397" s="14"/>
      <c r="ER397" s="14"/>
      <c r="ES397" s="14"/>
      <c r="ET397" s="14"/>
      <c r="EU397" s="14"/>
      <c r="EV397" s="14"/>
      <c r="EW397" s="14"/>
      <c r="EX397" s="14"/>
      <c r="EY397" s="14"/>
      <c r="EZ397" s="14"/>
      <c r="FA397" s="14"/>
      <c r="FB397" s="14"/>
      <c r="FC397" s="14"/>
      <c r="FD397" s="14"/>
      <c r="FE397" s="14"/>
      <c r="FF397" s="14"/>
      <c r="FG397" s="14"/>
      <c r="FH397" s="14"/>
      <c r="FI397" s="14"/>
      <c r="FJ397" s="14"/>
      <c r="FK397" s="14"/>
      <c r="FL397" s="14"/>
      <c r="FM397" s="14"/>
      <c r="FN397" s="14"/>
      <c r="FO397" s="14"/>
      <c r="FP397" s="14"/>
      <c r="FQ397" s="14"/>
      <c r="FR397" s="14"/>
      <c r="FS397" s="14"/>
      <c r="FT397" s="14"/>
      <c r="FU397" s="14"/>
      <c r="FV397" s="14"/>
      <c r="FW397" s="14"/>
      <c r="FX397" s="14"/>
      <c r="FY397" s="14"/>
      <c r="FZ397" s="14"/>
      <c r="GA397" s="14"/>
      <c r="GB397" s="14"/>
      <c r="GC397" s="14"/>
      <c r="GD397" s="14"/>
      <c r="GE397" s="14"/>
      <c r="GF397" s="14"/>
      <c r="GG397" s="14"/>
      <c r="GH397" s="14"/>
      <c r="GI397" s="14"/>
      <c r="GJ397" s="14"/>
      <c r="GK397" s="14"/>
      <c r="GL397" s="14"/>
      <c r="GM397" s="14"/>
      <c r="GN397" s="14"/>
      <c r="GO397" s="14"/>
      <c r="GP397" s="14"/>
      <c r="GQ397" s="14"/>
      <c r="GR397" s="14"/>
      <c r="GS397" s="14"/>
      <c r="GT397" s="14"/>
      <c r="GU397" s="14"/>
      <c r="GV397" s="14"/>
      <c r="GW397" s="14"/>
      <c r="GX397" s="14"/>
      <c r="GY397" s="14"/>
      <c r="GZ397" s="14"/>
      <c r="HA397" s="14"/>
      <c r="HB397" s="14"/>
      <c r="HC397" s="14"/>
      <c r="HD397" s="14"/>
      <c r="HE397" s="14"/>
      <c r="HF397" s="14"/>
      <c r="HG397" s="14"/>
      <c r="HH397" s="14"/>
      <c r="HI397" s="14"/>
      <c r="HJ397" s="14"/>
      <c r="HK397" s="14"/>
      <c r="HL397" s="14"/>
      <c r="HM397" s="14"/>
      <c r="HN397" s="14"/>
      <c r="HO397" s="14"/>
      <c r="HP397" s="14"/>
      <c r="HQ397" s="14"/>
      <c r="HR397" s="14"/>
      <c r="HS397" s="14"/>
      <c r="HT397" s="14"/>
    </row>
    <row r="398" spans="1:228" ht="15" customHeight="1" x14ac:dyDescent="0.2">
      <c r="A398" s="8"/>
      <c r="B398" s="353" t="s">
        <v>1312</v>
      </c>
      <c r="C398" s="1652"/>
      <c r="D398" s="1652"/>
      <c r="E398" s="1652"/>
      <c r="F398" s="1652"/>
      <c r="G398" s="1652"/>
      <c r="H398" s="1652"/>
      <c r="I398" s="1652"/>
      <c r="J398" s="1652"/>
      <c r="K398" s="1652"/>
      <c r="L398" s="1652"/>
      <c r="M398" s="1652"/>
      <c r="N398" s="1652"/>
      <c r="O398" s="95">
        <f>IF(AND(S417=1,R398=1),0,SUMIF(S395:V395,C398,S396:V396))</f>
        <v>0</v>
      </c>
      <c r="P398" s="1555"/>
      <c r="Q398" s="8"/>
      <c r="R398" s="958">
        <f>IF(C398=$T$395,1,0)</f>
        <v>0</v>
      </c>
      <c r="S398" s="60"/>
      <c r="T398" s="60"/>
      <c r="U398" s="60"/>
      <c r="V398" s="60"/>
      <c r="W398" s="60"/>
      <c r="X398" s="60"/>
      <c r="Y398" s="646">
        <f>LARGE($O$397:$O$400,3)</f>
        <v>0</v>
      </c>
      <c r="Z398" s="684">
        <f>AA397+Y399*(1-AA397)</f>
        <v>0</v>
      </c>
      <c r="AA398" s="962">
        <f>ROUND(Z398,2)</f>
        <v>0</v>
      </c>
      <c r="AB398" s="60"/>
      <c r="AC398" s="60"/>
      <c r="AD398" s="60"/>
      <c r="AE398" s="60"/>
      <c r="AF398" s="60"/>
      <c r="AG398" s="60"/>
      <c r="AH398" s="60"/>
      <c r="AI398" s="60"/>
      <c r="AJ398" s="60"/>
      <c r="AK398" s="60"/>
      <c r="AL398" s="60"/>
      <c r="AM398" s="60"/>
      <c r="AN398" s="60"/>
      <c r="AO398" s="60"/>
      <c r="AP398" s="60"/>
      <c r="AQ398" s="60"/>
      <c r="AR398" s="60"/>
      <c r="AS398" s="60"/>
      <c r="AT398" s="60"/>
      <c r="AU398" s="60"/>
      <c r="AV398" s="60"/>
      <c r="AW398" s="60"/>
      <c r="AX398" s="60"/>
      <c r="AY398" s="60"/>
      <c r="AZ398" s="60"/>
      <c r="BA398" s="60"/>
      <c r="BB398" s="60"/>
      <c r="BC398" s="60"/>
      <c r="BD398" s="60"/>
      <c r="BE398" s="60"/>
      <c r="BF398" s="18"/>
      <c r="BG398" s="18"/>
      <c r="BH398" s="18"/>
      <c r="BI398" s="18"/>
      <c r="BJ398" s="18"/>
      <c r="BK398" s="18"/>
      <c r="BL398" s="18"/>
      <c r="BM398" s="18"/>
      <c r="BN398" s="18"/>
      <c r="BO398" s="18"/>
      <c r="BP398" s="18"/>
      <c r="BQ398" s="14"/>
      <c r="BR398" s="14"/>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DG398" s="14"/>
      <c r="DH398" s="14"/>
      <c r="DI398" s="14"/>
      <c r="DJ398" s="14"/>
      <c r="DK398" s="14"/>
      <c r="DL398" s="14"/>
      <c r="DM398" s="14"/>
      <c r="DN398" s="14"/>
      <c r="DO398" s="14"/>
      <c r="DP398" s="14"/>
      <c r="DQ398" s="14"/>
      <c r="DR398" s="14"/>
      <c r="DS398" s="14"/>
      <c r="DT398" s="14"/>
      <c r="DU398" s="14"/>
      <c r="DV398" s="14"/>
      <c r="DW398" s="14"/>
      <c r="DX398" s="14"/>
      <c r="DY398" s="14"/>
      <c r="DZ398" s="14"/>
      <c r="EA398" s="14"/>
      <c r="EB398" s="14"/>
      <c r="EC398" s="14"/>
      <c r="ED398" s="14"/>
      <c r="EE398" s="14"/>
      <c r="EF398" s="14"/>
      <c r="EG398" s="14"/>
      <c r="EH398" s="14"/>
      <c r="EI398" s="14"/>
      <c r="EJ398" s="14"/>
      <c r="EK398" s="14"/>
      <c r="EL398" s="14"/>
      <c r="EM398" s="14"/>
      <c r="EN398" s="14"/>
      <c r="EO398" s="14"/>
      <c r="EP398" s="14"/>
      <c r="EQ398" s="14"/>
      <c r="ER398" s="14"/>
      <c r="ES398" s="14"/>
      <c r="ET398" s="14"/>
      <c r="EU398" s="14"/>
      <c r="EV398" s="14"/>
      <c r="EW398" s="14"/>
      <c r="EX398" s="14"/>
      <c r="EY398" s="14"/>
      <c r="EZ398" s="14"/>
      <c r="FA398" s="14"/>
      <c r="FB398" s="14"/>
      <c r="FC398" s="14"/>
      <c r="FD398" s="14"/>
      <c r="FE398" s="14"/>
      <c r="FF398" s="14"/>
      <c r="FG398" s="14"/>
      <c r="FH398" s="14"/>
      <c r="FI398" s="14"/>
      <c r="FJ398" s="14"/>
      <c r="FK398" s="14"/>
      <c r="FL398" s="14"/>
      <c r="FM398" s="14"/>
      <c r="FN398" s="14"/>
      <c r="FO398" s="14"/>
      <c r="FP398" s="14"/>
      <c r="FQ398" s="14"/>
      <c r="FR398" s="14"/>
      <c r="FS398" s="14"/>
      <c r="FT398" s="14"/>
      <c r="FU398" s="14"/>
      <c r="FV398" s="14"/>
      <c r="FW398" s="14"/>
      <c r="FX398" s="14"/>
      <c r="FY398" s="14"/>
      <c r="FZ398" s="14"/>
      <c r="GA398" s="14"/>
      <c r="GB398" s="14"/>
      <c r="GC398" s="14"/>
      <c r="GD398" s="14"/>
      <c r="GE398" s="14"/>
      <c r="GF398" s="14"/>
      <c r="GG398" s="14"/>
      <c r="GH398" s="14"/>
      <c r="GI398" s="14"/>
      <c r="GJ398" s="14"/>
      <c r="GK398" s="14"/>
      <c r="GL398" s="14"/>
      <c r="GM398" s="14"/>
      <c r="GN398" s="14"/>
      <c r="GO398" s="14"/>
      <c r="GP398" s="14"/>
      <c r="GQ398" s="14"/>
      <c r="GR398" s="14"/>
      <c r="GS398" s="14"/>
      <c r="GT398" s="14"/>
      <c r="GU398" s="14"/>
      <c r="GV398" s="14"/>
      <c r="GW398" s="14"/>
      <c r="GX398" s="14"/>
      <c r="GY398" s="14"/>
      <c r="GZ398" s="14"/>
      <c r="HA398" s="14"/>
      <c r="HB398" s="14"/>
      <c r="HC398" s="14"/>
      <c r="HD398" s="14"/>
      <c r="HE398" s="14"/>
      <c r="HF398" s="14"/>
      <c r="HG398" s="14"/>
      <c r="HH398" s="14"/>
      <c r="HI398" s="14"/>
      <c r="HJ398" s="14"/>
      <c r="HK398" s="14"/>
      <c r="HL398" s="14"/>
      <c r="HM398" s="14"/>
      <c r="HN398" s="14"/>
      <c r="HO398" s="14"/>
      <c r="HP398" s="14"/>
      <c r="HQ398" s="14"/>
      <c r="HR398" s="14"/>
      <c r="HS398" s="14"/>
      <c r="HT398" s="14"/>
    </row>
    <row r="399" spans="1:228" ht="15" customHeight="1" x14ac:dyDescent="0.2">
      <c r="A399" s="8"/>
      <c r="B399" s="353" t="s">
        <v>1313</v>
      </c>
      <c r="C399" s="1652"/>
      <c r="D399" s="1652"/>
      <c r="E399" s="1652"/>
      <c r="F399" s="1652"/>
      <c r="G399" s="1652"/>
      <c r="H399" s="1652"/>
      <c r="I399" s="1652"/>
      <c r="J399" s="1652"/>
      <c r="K399" s="1652"/>
      <c r="L399" s="1652"/>
      <c r="M399" s="1652"/>
      <c r="N399" s="1652"/>
      <c r="O399" s="95">
        <f>IF(AND(S417=1,R399=1),0,SUMIF(S395:V395,C399,S397:V397))</f>
        <v>0</v>
      </c>
      <c r="P399" s="1555"/>
      <c r="Q399" s="8"/>
      <c r="R399" s="958">
        <f>IF(C399=$T$395,1,0)</f>
        <v>0</v>
      </c>
      <c r="S399" s="60"/>
      <c r="T399" s="60"/>
      <c r="U399" s="60"/>
      <c r="V399" s="60"/>
      <c r="W399" s="60"/>
      <c r="X399" s="60"/>
      <c r="Y399" s="646">
        <f>LARGE($O$397:$O$400,4)</f>
        <v>0</v>
      </c>
      <c r="Z399" s="60"/>
      <c r="AA399" s="60"/>
      <c r="AB399" s="60"/>
      <c r="AC399" s="60"/>
      <c r="AD399" s="60"/>
      <c r="AE399" s="60"/>
      <c r="AF399" s="60"/>
      <c r="AG399" s="60"/>
      <c r="AH399" s="60"/>
      <c r="AI399" s="60"/>
      <c r="AJ399" s="60"/>
      <c r="AK399" s="60"/>
      <c r="AL399" s="60"/>
      <c r="AM399" s="60"/>
      <c r="AN399" s="60"/>
      <c r="AO399" s="60"/>
      <c r="AP399" s="60"/>
      <c r="AQ399" s="60"/>
      <c r="AR399" s="60"/>
      <c r="AS399" s="60"/>
      <c r="AT399" s="60"/>
      <c r="AU399" s="60"/>
      <c r="AV399" s="60"/>
      <c r="AW399" s="60"/>
      <c r="AX399" s="60"/>
      <c r="AY399" s="60"/>
      <c r="AZ399" s="60"/>
      <c r="BA399" s="60"/>
      <c r="BB399" s="60"/>
      <c r="BC399" s="60"/>
      <c r="BD399" s="60"/>
      <c r="BE399" s="60"/>
      <c r="BF399" s="18"/>
      <c r="BG399" s="18"/>
      <c r="BH399" s="18"/>
      <c r="BI399" s="18"/>
      <c r="BJ399" s="18"/>
      <c r="BK399" s="18"/>
      <c r="BL399" s="18"/>
      <c r="BM399" s="18"/>
      <c r="BN399" s="18"/>
      <c r="BO399" s="18"/>
      <c r="BP399" s="18"/>
      <c r="BQ399" s="14"/>
      <c r="BR399" s="14"/>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DG399" s="14"/>
      <c r="DH399" s="14"/>
      <c r="DI399" s="14"/>
      <c r="DJ399" s="14"/>
      <c r="DK399" s="14"/>
      <c r="DL399" s="14"/>
      <c r="DM399" s="14"/>
      <c r="DN399" s="14"/>
      <c r="DO399" s="14"/>
      <c r="DP399" s="14"/>
      <c r="DQ399" s="14"/>
      <c r="DR399" s="14"/>
      <c r="DS399" s="14"/>
      <c r="DT399" s="14"/>
      <c r="DU399" s="14"/>
      <c r="DV399" s="14"/>
      <c r="DW399" s="14"/>
      <c r="DX399" s="14"/>
      <c r="DY399" s="14"/>
      <c r="DZ399" s="14"/>
      <c r="EA399" s="14"/>
      <c r="EB399" s="14"/>
      <c r="EC399" s="14"/>
      <c r="ED399" s="14"/>
      <c r="EE399" s="14"/>
      <c r="EF399" s="14"/>
      <c r="EG399" s="14"/>
      <c r="EH399" s="14"/>
      <c r="EI399" s="14"/>
      <c r="EJ399" s="14"/>
      <c r="EK399" s="14"/>
      <c r="EL399" s="14"/>
      <c r="EM399" s="14"/>
      <c r="EN399" s="14"/>
      <c r="EO399" s="14"/>
      <c r="EP399" s="14"/>
      <c r="EQ399" s="14"/>
      <c r="ER399" s="14"/>
      <c r="ES399" s="14"/>
      <c r="ET399" s="14"/>
      <c r="EU399" s="14"/>
      <c r="EV399" s="14"/>
      <c r="EW399" s="14"/>
      <c r="EX399" s="14"/>
      <c r="EY399" s="14"/>
      <c r="EZ399" s="14"/>
      <c r="FA399" s="14"/>
      <c r="FB399" s="14"/>
      <c r="FC399" s="14"/>
      <c r="FD399" s="14"/>
      <c r="FE399" s="14"/>
      <c r="FF399" s="14"/>
      <c r="FG399" s="14"/>
      <c r="FH399" s="14"/>
      <c r="FI399" s="14"/>
      <c r="FJ399" s="14"/>
      <c r="FK399" s="14"/>
      <c r="FL399" s="14"/>
      <c r="FM399" s="14"/>
      <c r="FN399" s="14"/>
      <c r="FO399" s="14"/>
      <c r="FP399" s="14"/>
      <c r="FQ399" s="14"/>
      <c r="FR399" s="14"/>
      <c r="FS399" s="14"/>
      <c r="FT399" s="14"/>
      <c r="FU399" s="14"/>
      <c r="FV399" s="14"/>
      <c r="FW399" s="14"/>
      <c r="FX399" s="14"/>
      <c r="FY399" s="14"/>
      <c r="FZ399" s="14"/>
      <c r="GA399" s="14"/>
      <c r="GB399" s="14"/>
      <c r="GC399" s="14"/>
      <c r="GD399" s="14"/>
      <c r="GE399" s="14"/>
      <c r="GF399" s="14"/>
      <c r="GG399" s="14"/>
      <c r="GH399" s="14"/>
      <c r="GI399" s="14"/>
      <c r="GJ399" s="14"/>
      <c r="GK399" s="14"/>
      <c r="GL399" s="14"/>
      <c r="GM399" s="14"/>
      <c r="GN399" s="14"/>
      <c r="GO399" s="14"/>
      <c r="GP399" s="14"/>
      <c r="GQ399" s="14"/>
      <c r="GR399" s="14"/>
      <c r="GS399" s="14"/>
      <c r="GT399" s="14"/>
      <c r="GU399" s="14"/>
      <c r="GV399" s="14"/>
      <c r="GW399" s="14"/>
      <c r="GX399" s="14"/>
      <c r="GY399" s="14"/>
      <c r="GZ399" s="14"/>
      <c r="HA399" s="14"/>
      <c r="HB399" s="14"/>
      <c r="HC399" s="14"/>
      <c r="HD399" s="14"/>
      <c r="HE399" s="14"/>
      <c r="HF399" s="14"/>
      <c r="HG399" s="14"/>
      <c r="HH399" s="14"/>
      <c r="HI399" s="14"/>
      <c r="HJ399" s="14"/>
      <c r="HK399" s="14"/>
      <c r="HL399" s="14"/>
      <c r="HM399" s="14"/>
      <c r="HN399" s="14"/>
      <c r="HO399" s="14"/>
      <c r="HP399" s="14"/>
      <c r="HQ399" s="14"/>
      <c r="HR399" s="14"/>
      <c r="HS399" s="14"/>
      <c r="HT399" s="14"/>
    </row>
    <row r="400" spans="1:228" ht="15" customHeight="1" x14ac:dyDescent="0.2">
      <c r="A400" s="8"/>
      <c r="B400" s="353" t="s">
        <v>1314</v>
      </c>
      <c r="C400" s="1652"/>
      <c r="D400" s="1652"/>
      <c r="E400" s="1652"/>
      <c r="F400" s="1652"/>
      <c r="G400" s="1652"/>
      <c r="H400" s="1652"/>
      <c r="I400" s="1652"/>
      <c r="J400" s="1652"/>
      <c r="K400" s="1652"/>
      <c r="L400" s="1652"/>
      <c r="M400" s="1652"/>
      <c r="N400" s="1652"/>
      <c r="O400" s="95">
        <f>IF(AND(S417=1,R400=1),0,SUMIF(S395:V395,C400,S397:V397))</f>
        <v>0</v>
      </c>
      <c r="P400" s="1555"/>
      <c r="Q400" s="8"/>
      <c r="R400" s="958">
        <f>IF(C400=$T$395,1,0)</f>
        <v>0</v>
      </c>
      <c r="S400" s="60"/>
      <c r="T400" s="60"/>
      <c r="U400" s="60"/>
      <c r="V400" s="60"/>
      <c r="W400" s="60"/>
      <c r="X400" s="60"/>
      <c r="Y400" s="60"/>
      <c r="Z400" s="60"/>
      <c r="AA400" s="60"/>
      <c r="AB400" s="60"/>
      <c r="AC400" s="60"/>
      <c r="AD400" s="60"/>
      <c r="AE400" s="60"/>
      <c r="AF400" s="60"/>
      <c r="AG400" s="60"/>
      <c r="AH400" s="60"/>
      <c r="AI400" s="60"/>
      <c r="AJ400" s="60"/>
      <c r="AK400" s="60"/>
      <c r="AL400" s="60"/>
      <c r="AM400" s="60"/>
      <c r="AN400" s="60"/>
      <c r="AO400" s="60"/>
      <c r="AP400" s="60"/>
      <c r="AQ400" s="60"/>
      <c r="AR400" s="60"/>
      <c r="AS400" s="60"/>
      <c r="AT400" s="60"/>
      <c r="AU400" s="60"/>
      <c r="AV400" s="60"/>
      <c r="AW400" s="60"/>
      <c r="AX400" s="60"/>
      <c r="AY400" s="60"/>
      <c r="AZ400" s="60"/>
      <c r="BA400" s="60"/>
      <c r="BB400" s="60"/>
      <c r="BC400" s="60"/>
      <c r="BD400" s="60"/>
      <c r="BE400" s="60"/>
      <c r="BF400" s="18"/>
      <c r="BG400" s="18"/>
      <c r="BH400" s="18"/>
      <c r="BI400" s="18"/>
      <c r="BJ400" s="18"/>
      <c r="BK400" s="18"/>
      <c r="BL400" s="18"/>
      <c r="BM400" s="18"/>
      <c r="BN400" s="18"/>
      <c r="BO400" s="18"/>
      <c r="BP400" s="18"/>
      <c r="BQ400" s="14"/>
      <c r="BR400" s="14"/>
      <c r="BS400" s="14"/>
      <c r="BT400" s="14"/>
      <c r="BU400" s="14"/>
      <c r="BV400" s="14"/>
      <c r="BW400" s="14"/>
      <c r="BX400" s="14"/>
      <c r="BY400" s="14"/>
      <c r="BZ400" s="14"/>
      <c r="CA400" s="14"/>
      <c r="CB400" s="14"/>
      <c r="CC400" s="14"/>
      <c r="CD400" s="14"/>
      <c r="CE400" s="14"/>
      <c r="CF400" s="14"/>
      <c r="CG400" s="14"/>
      <c r="CH400" s="14"/>
      <c r="CI400" s="14"/>
      <c r="CJ400" s="14"/>
      <c r="CK400" s="14"/>
      <c r="CL400" s="14"/>
      <c r="CM400" s="14"/>
      <c r="CN400" s="14"/>
      <c r="CO400" s="14"/>
      <c r="CP400" s="14"/>
      <c r="CQ400" s="14"/>
      <c r="CR400" s="14"/>
      <c r="CS400" s="14"/>
      <c r="CT400" s="14"/>
      <c r="CU400" s="14"/>
      <c r="CV400" s="14"/>
      <c r="CW400" s="14"/>
      <c r="CX400" s="14"/>
      <c r="CY400" s="14"/>
      <c r="CZ400" s="14"/>
      <c r="DA400" s="14"/>
      <c r="DB400" s="14"/>
      <c r="DC400" s="14"/>
      <c r="DD400" s="14"/>
      <c r="DE400" s="14"/>
      <c r="DF400" s="14"/>
      <c r="DG400" s="14"/>
      <c r="DH400" s="14"/>
      <c r="DI400" s="14"/>
      <c r="DJ400" s="14"/>
      <c r="DK400" s="14"/>
      <c r="DL400" s="14"/>
      <c r="DM400" s="14"/>
      <c r="DN400" s="14"/>
      <c r="DO400" s="14"/>
      <c r="DP400" s="14"/>
      <c r="DQ400" s="14"/>
      <c r="DR400" s="14"/>
      <c r="DS400" s="14"/>
      <c r="DT400" s="14"/>
      <c r="DU400" s="14"/>
      <c r="DV400" s="14"/>
      <c r="DW400" s="14"/>
      <c r="DX400" s="14"/>
      <c r="DY400" s="14"/>
      <c r="DZ400" s="14"/>
      <c r="EA400" s="14"/>
      <c r="EB400" s="14"/>
      <c r="EC400" s="14"/>
      <c r="ED400" s="14"/>
      <c r="EE400" s="14"/>
      <c r="EF400" s="14"/>
      <c r="EG400" s="14"/>
      <c r="EH400" s="14"/>
      <c r="EI400" s="14"/>
      <c r="EJ400" s="14"/>
      <c r="EK400" s="14"/>
      <c r="EL400" s="14"/>
      <c r="EM400" s="14"/>
      <c r="EN400" s="14"/>
      <c r="EO400" s="14"/>
      <c r="EP400" s="14"/>
      <c r="EQ400" s="14"/>
      <c r="ER400" s="14"/>
      <c r="ES400" s="14"/>
      <c r="ET400" s="14"/>
      <c r="EU400" s="14"/>
      <c r="EV400" s="14"/>
      <c r="EW400" s="14"/>
      <c r="EX400" s="14"/>
      <c r="EY400" s="14"/>
      <c r="EZ400" s="14"/>
      <c r="FA400" s="14"/>
      <c r="FB400" s="14"/>
      <c r="FC400" s="14"/>
      <c r="FD400" s="14"/>
      <c r="FE400" s="14"/>
      <c r="FF400" s="14"/>
      <c r="FG400" s="14"/>
      <c r="FH400" s="14"/>
      <c r="FI400" s="14"/>
      <c r="FJ400" s="14"/>
      <c r="FK400" s="14"/>
      <c r="FL400" s="14"/>
      <c r="FM400" s="14"/>
      <c r="FN400" s="14"/>
      <c r="FO400" s="14"/>
      <c r="FP400" s="14"/>
      <c r="FQ400" s="14"/>
      <c r="FR400" s="14"/>
      <c r="FS400" s="14"/>
      <c r="FT400" s="14"/>
      <c r="FU400" s="14"/>
      <c r="FV400" s="14"/>
      <c r="FW400" s="14"/>
      <c r="FX400" s="14"/>
      <c r="FY400" s="14"/>
      <c r="FZ400" s="14"/>
      <c r="GA400" s="14"/>
      <c r="GB400" s="14"/>
      <c r="GC400" s="14"/>
      <c r="GD400" s="14"/>
      <c r="GE400" s="14"/>
      <c r="GF400" s="14"/>
      <c r="GG400" s="14"/>
      <c r="GH400" s="14"/>
      <c r="GI400" s="14"/>
      <c r="GJ400" s="14"/>
      <c r="GK400" s="14"/>
      <c r="GL400" s="14"/>
      <c r="GM400" s="14"/>
      <c r="GN400" s="14"/>
      <c r="GO400" s="14"/>
      <c r="GP400" s="14"/>
      <c r="GQ400" s="14"/>
      <c r="GR400" s="14"/>
      <c r="GS400" s="14"/>
      <c r="GT400" s="14"/>
      <c r="GU400" s="14"/>
      <c r="GV400" s="14"/>
      <c r="GW400" s="14"/>
      <c r="GX400" s="14"/>
      <c r="GY400" s="14"/>
      <c r="GZ400" s="14"/>
      <c r="HA400" s="14"/>
      <c r="HB400" s="14"/>
      <c r="HC400" s="14"/>
      <c r="HD400" s="14"/>
      <c r="HE400" s="14"/>
      <c r="HF400" s="14"/>
      <c r="HG400" s="14"/>
      <c r="HH400" s="14"/>
      <c r="HI400" s="14"/>
      <c r="HJ400" s="14"/>
      <c r="HK400" s="14"/>
      <c r="HL400" s="14"/>
      <c r="HM400" s="14"/>
      <c r="HN400" s="14"/>
      <c r="HO400" s="14"/>
      <c r="HP400" s="14"/>
      <c r="HQ400" s="14"/>
      <c r="HR400" s="14"/>
      <c r="HS400" s="14"/>
      <c r="HT400" s="14"/>
    </row>
    <row r="401" spans="1:228" ht="27" customHeight="1" x14ac:dyDescent="0.2">
      <c r="A401" s="8"/>
      <c r="B401" s="1861" t="str">
        <f>IF(AND(S417=1,R401&gt;0),"When there is a prosthetic knee replacement, instability only receives a value if the severity is Grade 2 or greater.","")</f>
        <v/>
      </c>
      <c r="C401" s="1862"/>
      <c r="D401" s="1862"/>
      <c r="E401" s="1862"/>
      <c r="F401" s="1862"/>
      <c r="G401" s="1862"/>
      <c r="H401" s="1862"/>
      <c r="I401" s="1863"/>
      <c r="J401" s="2034" t="s">
        <v>1315</v>
      </c>
      <c r="K401" s="2034"/>
      <c r="L401" s="2034"/>
      <c r="M401" s="2034"/>
      <c r="N401" s="2034"/>
      <c r="O401" s="2034"/>
      <c r="P401" s="95">
        <f>AA398</f>
        <v>0</v>
      </c>
      <c r="Q401" s="8"/>
      <c r="R401" s="958">
        <f>SUM(R397:R400)</f>
        <v>0</v>
      </c>
      <c r="S401" s="60"/>
      <c r="T401" s="60"/>
      <c r="U401" s="60"/>
      <c r="V401" s="60"/>
      <c r="W401" s="60"/>
      <c r="X401" s="60"/>
      <c r="Y401" s="60"/>
      <c r="Z401" s="60"/>
      <c r="AA401" s="60"/>
      <c r="AB401" s="60"/>
      <c r="AC401" s="60"/>
      <c r="AD401" s="60"/>
      <c r="AE401" s="60"/>
      <c r="AF401" s="60"/>
      <c r="AG401" s="60"/>
      <c r="AH401" s="60"/>
      <c r="AI401" s="60"/>
      <c r="AJ401" s="60"/>
      <c r="AK401" s="60"/>
      <c r="AL401" s="60"/>
      <c r="AM401" s="60"/>
      <c r="AN401" s="60"/>
      <c r="AO401" s="60"/>
      <c r="AP401" s="60"/>
      <c r="AQ401" s="60"/>
      <c r="AR401" s="60"/>
      <c r="AS401" s="60"/>
      <c r="AT401" s="60"/>
      <c r="AU401" s="60"/>
      <c r="AV401" s="60"/>
      <c r="AW401" s="60"/>
      <c r="AX401" s="60"/>
      <c r="AY401" s="60"/>
      <c r="AZ401" s="60"/>
      <c r="BA401" s="60"/>
      <c r="BB401" s="60"/>
      <c r="BC401" s="60"/>
      <c r="BD401" s="60"/>
      <c r="BE401" s="60"/>
      <c r="BF401" s="18"/>
      <c r="BG401" s="18"/>
      <c r="BH401" s="18"/>
      <c r="BI401" s="18"/>
      <c r="BJ401" s="18"/>
      <c r="BK401" s="18"/>
      <c r="BL401" s="18"/>
      <c r="BM401" s="18"/>
      <c r="BN401" s="18"/>
      <c r="BO401" s="18"/>
      <c r="BP401" s="18"/>
      <c r="BQ401" s="14"/>
      <c r="BR401" s="14"/>
      <c r="BS401" s="14"/>
      <c r="BT401" s="14"/>
      <c r="BU401" s="14"/>
      <c r="BV401" s="14"/>
      <c r="BW401" s="14"/>
      <c r="BX401" s="14"/>
      <c r="BY401" s="14"/>
      <c r="BZ401" s="14"/>
      <c r="CA401" s="14"/>
      <c r="CB401" s="14"/>
      <c r="CC401" s="14"/>
      <c r="CD401" s="14"/>
      <c r="CE401" s="14"/>
      <c r="CF401" s="14"/>
      <c r="CG401" s="14"/>
      <c r="CH401" s="14"/>
      <c r="CI401" s="14"/>
      <c r="CJ401" s="14"/>
      <c r="CK401" s="14"/>
      <c r="CL401" s="14"/>
      <c r="CM401" s="14"/>
      <c r="CN401" s="14"/>
      <c r="CO401" s="14"/>
      <c r="CP401" s="14"/>
      <c r="CQ401" s="14"/>
      <c r="CR401" s="14"/>
      <c r="CS401" s="14"/>
      <c r="CT401" s="14"/>
      <c r="CU401" s="14"/>
      <c r="CV401" s="14"/>
      <c r="CW401" s="14"/>
      <c r="CX401" s="14"/>
      <c r="CY401" s="14"/>
      <c r="CZ401" s="14"/>
      <c r="DA401" s="14"/>
      <c r="DB401" s="14"/>
      <c r="DC401" s="14"/>
      <c r="DD401" s="14"/>
      <c r="DE401" s="14"/>
      <c r="DF401" s="14"/>
      <c r="DG401" s="14"/>
      <c r="DH401" s="14"/>
      <c r="DI401" s="14"/>
      <c r="DJ401" s="14"/>
      <c r="DK401" s="14"/>
      <c r="DL401" s="14"/>
      <c r="DM401" s="14"/>
      <c r="DN401" s="14"/>
      <c r="DO401" s="14"/>
      <c r="DP401" s="14"/>
      <c r="DQ401" s="14"/>
      <c r="DR401" s="14"/>
      <c r="DS401" s="14"/>
      <c r="DT401" s="14"/>
      <c r="DU401" s="14"/>
      <c r="DV401" s="14"/>
      <c r="DW401" s="14"/>
      <c r="DX401" s="14"/>
      <c r="DY401" s="14"/>
      <c r="DZ401" s="14"/>
      <c r="EA401" s="14"/>
      <c r="EB401" s="14"/>
      <c r="EC401" s="14"/>
      <c r="ED401" s="14"/>
      <c r="EE401" s="14"/>
      <c r="EF401" s="14"/>
      <c r="EG401" s="14"/>
      <c r="EH401" s="14"/>
      <c r="EI401" s="14"/>
      <c r="EJ401" s="14"/>
      <c r="EK401" s="14"/>
      <c r="EL401" s="14"/>
      <c r="EM401" s="14"/>
      <c r="EN401" s="14"/>
      <c r="EO401" s="14"/>
      <c r="EP401" s="14"/>
      <c r="EQ401" s="14"/>
      <c r="ER401" s="14"/>
      <c r="ES401" s="14"/>
      <c r="ET401" s="14"/>
      <c r="EU401" s="14"/>
      <c r="EV401" s="14"/>
      <c r="EW401" s="14"/>
      <c r="EX401" s="14"/>
      <c r="EY401" s="14"/>
      <c r="EZ401" s="14"/>
      <c r="FA401" s="14"/>
      <c r="FB401" s="14"/>
      <c r="FC401" s="14"/>
      <c r="FD401" s="14"/>
      <c r="FE401" s="14"/>
      <c r="FF401" s="14"/>
      <c r="FG401" s="14"/>
      <c r="FH401" s="14"/>
      <c r="FI401" s="14"/>
      <c r="FJ401" s="14"/>
      <c r="FK401" s="14"/>
      <c r="FL401" s="14"/>
      <c r="FM401" s="14"/>
      <c r="FN401" s="14"/>
      <c r="FO401" s="14"/>
      <c r="FP401" s="14"/>
      <c r="FQ401" s="14"/>
      <c r="FR401" s="14"/>
      <c r="FS401" s="14"/>
      <c r="FT401" s="14"/>
      <c r="FU401" s="14"/>
      <c r="FV401" s="14"/>
      <c r="FW401" s="14"/>
      <c r="FX401" s="14"/>
      <c r="FY401" s="14"/>
      <c r="FZ401" s="14"/>
      <c r="GA401" s="14"/>
      <c r="GB401" s="14"/>
      <c r="GC401" s="14"/>
      <c r="GD401" s="14"/>
      <c r="GE401" s="14"/>
      <c r="GF401" s="14"/>
      <c r="GG401" s="14"/>
      <c r="GH401" s="14"/>
      <c r="GI401" s="14"/>
      <c r="GJ401" s="14"/>
      <c r="GK401" s="14"/>
      <c r="GL401" s="14"/>
      <c r="GM401" s="14"/>
      <c r="GN401" s="14"/>
      <c r="GO401" s="14"/>
      <c r="GP401" s="14"/>
      <c r="GQ401" s="14"/>
      <c r="GR401" s="14"/>
      <c r="GS401" s="14"/>
      <c r="GT401" s="14"/>
      <c r="GU401" s="14"/>
      <c r="GV401" s="14"/>
      <c r="GW401" s="14"/>
      <c r="GX401" s="14"/>
      <c r="GY401" s="14"/>
      <c r="GZ401" s="14"/>
      <c r="HA401" s="14"/>
      <c r="HB401" s="14"/>
      <c r="HC401" s="14"/>
      <c r="HD401" s="14"/>
      <c r="HE401" s="14"/>
      <c r="HF401" s="14"/>
      <c r="HG401" s="14"/>
      <c r="HH401" s="14"/>
      <c r="HI401" s="14"/>
      <c r="HJ401" s="14"/>
      <c r="HK401" s="14"/>
      <c r="HL401" s="14"/>
      <c r="HM401" s="14"/>
      <c r="HN401" s="14"/>
      <c r="HO401" s="14"/>
      <c r="HP401" s="14"/>
      <c r="HQ401" s="14"/>
      <c r="HR401" s="14"/>
      <c r="HS401" s="14"/>
      <c r="HT401" s="14"/>
    </row>
    <row r="402" spans="1:228" ht="12" customHeight="1" x14ac:dyDescent="0.25">
      <c r="A402" s="8"/>
      <c r="B402" s="1825"/>
      <c r="C402" s="1825"/>
      <c r="D402" s="1825"/>
      <c r="E402" s="1825"/>
      <c r="F402" s="1825"/>
      <c r="G402" s="1825"/>
      <c r="H402" s="1825"/>
      <c r="I402" s="1825"/>
      <c r="J402" s="1825"/>
      <c r="K402" s="1825"/>
      <c r="L402" s="1825"/>
      <c r="M402" s="1825"/>
      <c r="N402" s="1825"/>
      <c r="O402" s="1825"/>
      <c r="Q402" s="8"/>
      <c r="R402" s="60"/>
      <c r="S402" s="60"/>
      <c r="T402" s="60"/>
      <c r="U402" s="60"/>
      <c r="V402" s="60"/>
      <c r="W402" s="60"/>
      <c r="X402" s="60"/>
      <c r="Y402" s="60"/>
      <c r="Z402" s="60"/>
      <c r="AA402" s="60"/>
      <c r="AB402" s="60"/>
      <c r="AC402" s="60"/>
      <c r="AD402" s="60"/>
      <c r="AE402" s="60"/>
      <c r="AF402" s="60"/>
      <c r="AG402" s="60"/>
      <c r="AH402" s="60"/>
      <c r="AI402" s="60"/>
      <c r="AJ402" s="60"/>
      <c r="AK402" s="60"/>
      <c r="AL402" s="60"/>
      <c r="AM402" s="60"/>
      <c r="AN402" s="60"/>
      <c r="AO402" s="60"/>
      <c r="AP402" s="60"/>
      <c r="AQ402" s="60"/>
      <c r="AR402" s="60"/>
      <c r="AS402" s="60"/>
      <c r="AT402" s="60"/>
      <c r="AU402" s="60"/>
      <c r="AV402" s="60"/>
      <c r="AW402" s="60"/>
      <c r="AX402" s="60"/>
      <c r="AY402" s="60"/>
      <c r="AZ402" s="60"/>
      <c r="BA402" s="60"/>
      <c r="BB402" s="60"/>
      <c r="BC402" s="60"/>
      <c r="BD402" s="60"/>
      <c r="BE402" s="60"/>
      <c r="BF402" s="18"/>
      <c r="BG402" s="18"/>
      <c r="BH402" s="18"/>
      <c r="BI402" s="18"/>
      <c r="BJ402" s="18"/>
      <c r="BK402" s="18"/>
      <c r="BL402" s="18"/>
      <c r="BM402" s="18"/>
      <c r="BN402" s="18"/>
      <c r="BO402" s="18"/>
      <c r="BP402" s="18"/>
      <c r="BQ402" s="14"/>
      <c r="BR402" s="14"/>
      <c r="BS402" s="14"/>
      <c r="BT402" s="14"/>
      <c r="BU402" s="14"/>
      <c r="BV402" s="14"/>
      <c r="BW402" s="14"/>
      <c r="BX402" s="14"/>
      <c r="BY402" s="14"/>
      <c r="BZ402" s="14"/>
      <c r="CA402" s="14"/>
      <c r="CB402" s="14"/>
      <c r="CC402" s="14"/>
      <c r="CD402" s="14"/>
      <c r="CE402" s="14"/>
      <c r="CF402" s="14"/>
      <c r="CG402" s="14"/>
      <c r="CH402" s="14"/>
      <c r="CI402" s="14"/>
      <c r="CJ402" s="14"/>
      <c r="CK402" s="14"/>
      <c r="CL402" s="14"/>
      <c r="CM402" s="14"/>
      <c r="CN402" s="14"/>
      <c r="CO402" s="14"/>
      <c r="CP402" s="14"/>
      <c r="CQ402" s="14"/>
      <c r="CR402" s="14"/>
      <c r="CS402" s="14"/>
      <c r="CT402" s="14"/>
      <c r="CU402" s="14"/>
      <c r="CV402" s="14"/>
      <c r="CW402" s="14"/>
      <c r="CX402" s="14"/>
      <c r="CY402" s="14"/>
      <c r="CZ402" s="14"/>
      <c r="DA402" s="14"/>
      <c r="DB402" s="14"/>
      <c r="DC402" s="14"/>
      <c r="DD402" s="14"/>
      <c r="DE402" s="14"/>
      <c r="DF402" s="14"/>
      <c r="DG402" s="14"/>
      <c r="DH402" s="14"/>
      <c r="DI402" s="14"/>
      <c r="DJ402" s="14"/>
      <c r="DK402" s="14"/>
      <c r="DL402" s="14"/>
      <c r="DM402" s="14"/>
      <c r="DN402" s="14"/>
      <c r="DO402" s="14"/>
      <c r="DP402" s="14"/>
      <c r="DQ402" s="14"/>
      <c r="DR402" s="14"/>
      <c r="DS402" s="14"/>
      <c r="DT402" s="14"/>
      <c r="DU402" s="14"/>
      <c r="DV402" s="14"/>
      <c r="DW402" s="14"/>
      <c r="DX402" s="14"/>
      <c r="DY402" s="14"/>
      <c r="DZ402" s="14"/>
      <c r="EA402" s="14"/>
      <c r="EB402" s="14"/>
      <c r="EC402" s="14"/>
      <c r="ED402" s="14"/>
      <c r="EE402" s="14"/>
      <c r="EF402" s="14"/>
      <c r="EG402" s="14"/>
      <c r="EH402" s="14"/>
      <c r="EI402" s="14"/>
      <c r="EJ402" s="14"/>
      <c r="EK402" s="14"/>
      <c r="EL402" s="14"/>
      <c r="EM402" s="14"/>
      <c r="EN402" s="14"/>
      <c r="EO402" s="14"/>
      <c r="EP402" s="14"/>
      <c r="EQ402" s="14"/>
      <c r="ER402" s="14"/>
      <c r="ES402" s="14"/>
      <c r="ET402" s="14"/>
      <c r="EU402" s="14"/>
      <c r="EV402" s="14"/>
      <c r="EW402" s="14"/>
      <c r="EX402" s="14"/>
      <c r="EY402" s="14"/>
      <c r="EZ402" s="14"/>
      <c r="FA402" s="14"/>
      <c r="FB402" s="14"/>
      <c r="FC402" s="14"/>
      <c r="FD402" s="14"/>
      <c r="FE402" s="14"/>
      <c r="FF402" s="14"/>
      <c r="FG402" s="14"/>
      <c r="FH402" s="14"/>
      <c r="FI402" s="14"/>
      <c r="FJ402" s="14"/>
      <c r="FK402" s="14"/>
      <c r="FL402" s="14"/>
      <c r="FM402" s="14"/>
      <c r="FN402" s="14"/>
      <c r="FO402" s="14"/>
      <c r="FP402" s="14"/>
      <c r="FQ402" s="14"/>
      <c r="FR402" s="14"/>
      <c r="FS402" s="14"/>
      <c r="FT402" s="14"/>
      <c r="FU402" s="14"/>
      <c r="FV402" s="14"/>
      <c r="FW402" s="14"/>
      <c r="FX402" s="14"/>
      <c r="FY402" s="14"/>
      <c r="FZ402" s="14"/>
      <c r="GA402" s="14"/>
      <c r="GB402" s="14"/>
      <c r="GC402" s="14"/>
      <c r="GD402" s="14"/>
      <c r="GE402" s="14"/>
      <c r="GF402" s="14"/>
      <c r="GG402" s="14"/>
      <c r="GH402" s="14"/>
      <c r="GI402" s="14"/>
      <c r="GJ402" s="14"/>
      <c r="GK402" s="14"/>
      <c r="GL402" s="14"/>
      <c r="GM402" s="14"/>
      <c r="GN402" s="14"/>
      <c r="GO402" s="14"/>
      <c r="GP402" s="14"/>
      <c r="GQ402" s="14"/>
      <c r="GR402" s="14"/>
      <c r="GS402" s="14"/>
      <c r="GT402" s="14"/>
      <c r="GU402" s="14"/>
      <c r="GV402" s="14"/>
      <c r="GW402" s="14"/>
      <c r="GX402" s="14"/>
      <c r="GY402" s="14"/>
      <c r="GZ402" s="14"/>
      <c r="HA402" s="14"/>
      <c r="HB402" s="14"/>
      <c r="HC402" s="14"/>
      <c r="HD402" s="14"/>
      <c r="HE402" s="14"/>
      <c r="HF402" s="14"/>
      <c r="HG402" s="14"/>
      <c r="HH402" s="14"/>
      <c r="HI402" s="14"/>
      <c r="HJ402" s="14"/>
      <c r="HK402" s="14"/>
      <c r="HL402" s="14"/>
      <c r="HM402" s="14"/>
      <c r="HN402" s="14"/>
      <c r="HO402" s="14"/>
      <c r="HP402" s="14"/>
      <c r="HQ402" s="14"/>
      <c r="HR402" s="14"/>
      <c r="HS402" s="14"/>
      <c r="HT402" s="14"/>
    </row>
    <row r="403" spans="1:228" ht="15" x14ac:dyDescent="0.25">
      <c r="A403" s="8"/>
      <c r="B403" s="1555" t="s">
        <v>1316</v>
      </c>
      <c r="C403" s="1555"/>
      <c r="D403" s="1555"/>
      <c r="E403" s="1555"/>
      <c r="F403" s="1555"/>
      <c r="G403" s="1555"/>
      <c r="H403" s="1555"/>
      <c r="I403" s="1555"/>
      <c r="J403" s="1555"/>
      <c r="K403" s="1555"/>
      <c r="L403" s="1555"/>
      <c r="M403" s="1555"/>
      <c r="N403" s="1555"/>
      <c r="O403" s="1555"/>
      <c r="P403" s="470"/>
      <c r="Q403" s="8"/>
      <c r="R403" s="60"/>
      <c r="S403" s="60"/>
      <c r="T403" s="60"/>
      <c r="U403" s="60"/>
      <c r="V403" s="60"/>
      <c r="W403" s="60"/>
      <c r="X403" s="60"/>
      <c r="Y403" s="60"/>
      <c r="Z403" s="60"/>
      <c r="AA403" s="60"/>
      <c r="AB403" s="60"/>
      <c r="AC403" s="60"/>
      <c r="AD403" s="60"/>
      <c r="AE403" s="60"/>
      <c r="AF403" s="60"/>
      <c r="AG403" s="60"/>
      <c r="AH403" s="60"/>
      <c r="AI403" s="60"/>
      <c r="AJ403" s="60"/>
      <c r="AK403" s="60"/>
      <c r="AL403" s="60"/>
      <c r="AM403" s="60"/>
      <c r="AN403" s="60"/>
      <c r="AO403" s="60"/>
      <c r="AP403" s="60"/>
      <c r="AQ403" s="60"/>
      <c r="AR403" s="60"/>
      <c r="AS403" s="60"/>
      <c r="AT403" s="60"/>
      <c r="AU403" s="60"/>
      <c r="AV403" s="60"/>
      <c r="AW403" s="60"/>
      <c r="AX403" s="60"/>
      <c r="AY403" s="60"/>
      <c r="AZ403" s="60"/>
      <c r="BA403" s="60"/>
      <c r="BB403" s="60"/>
      <c r="BC403" s="60"/>
      <c r="BD403" s="60"/>
      <c r="BE403" s="60"/>
      <c r="BF403" s="18"/>
      <c r="BG403" s="18"/>
      <c r="BH403" s="18"/>
      <c r="BI403" s="18"/>
      <c r="BJ403" s="18"/>
      <c r="BK403" s="18"/>
      <c r="BL403" s="18"/>
      <c r="BM403" s="18"/>
      <c r="BN403" s="18"/>
      <c r="BO403" s="18"/>
      <c r="BP403" s="18"/>
      <c r="BQ403" s="14"/>
      <c r="BR403" s="14"/>
      <c r="BS403" s="14"/>
      <c r="BT403" s="14"/>
      <c r="BU403" s="14"/>
      <c r="BV403" s="14"/>
      <c r="BW403" s="14"/>
      <c r="BX403" s="14"/>
      <c r="BY403" s="14"/>
      <c r="BZ403" s="14"/>
      <c r="CA403" s="14"/>
      <c r="CB403" s="14"/>
      <c r="CC403" s="14"/>
      <c r="CD403" s="14"/>
      <c r="CE403" s="14"/>
      <c r="CF403" s="14"/>
      <c r="CG403" s="14"/>
      <c r="CH403" s="14"/>
      <c r="CI403" s="14"/>
      <c r="CJ403" s="14"/>
      <c r="CK403" s="14"/>
      <c r="CL403" s="14"/>
      <c r="CM403" s="14"/>
      <c r="CN403" s="14"/>
      <c r="CO403" s="14"/>
      <c r="CP403" s="14"/>
      <c r="CQ403" s="14"/>
      <c r="CR403" s="14"/>
      <c r="CS403" s="14"/>
      <c r="CT403" s="14"/>
      <c r="CU403" s="14"/>
      <c r="CV403" s="14"/>
      <c r="CW403" s="14"/>
      <c r="CX403" s="14"/>
      <c r="CY403" s="14"/>
      <c r="CZ403" s="14"/>
      <c r="DA403" s="14"/>
      <c r="DB403" s="14"/>
      <c r="DC403" s="14"/>
      <c r="DD403" s="14"/>
      <c r="DE403" s="14"/>
      <c r="DF403" s="14"/>
      <c r="DG403" s="14"/>
      <c r="DH403" s="14"/>
      <c r="DI403" s="14"/>
      <c r="DJ403" s="14"/>
      <c r="DK403" s="14"/>
      <c r="DL403" s="14"/>
      <c r="DM403" s="14"/>
      <c r="DN403" s="14"/>
      <c r="DO403" s="14"/>
      <c r="DP403" s="14"/>
      <c r="DQ403" s="14"/>
      <c r="DR403" s="14"/>
      <c r="DS403" s="14"/>
      <c r="DT403" s="14"/>
      <c r="DU403" s="14"/>
      <c r="DV403" s="14"/>
      <c r="DW403" s="14"/>
      <c r="DX403" s="14"/>
      <c r="DY403" s="14"/>
      <c r="DZ403" s="14"/>
      <c r="EA403" s="14"/>
      <c r="EB403" s="14"/>
      <c r="EC403" s="14"/>
      <c r="ED403" s="14"/>
      <c r="EE403" s="14"/>
      <c r="EF403" s="14"/>
      <c r="EG403" s="14"/>
      <c r="EH403" s="14"/>
      <c r="EI403" s="14"/>
      <c r="EJ403" s="14"/>
      <c r="EK403" s="14"/>
      <c r="EL403" s="14"/>
      <c r="EM403" s="14"/>
      <c r="EN403" s="14"/>
      <c r="EO403" s="14"/>
      <c r="EP403" s="14"/>
      <c r="EQ403" s="14"/>
      <c r="ER403" s="14"/>
      <c r="ES403" s="14"/>
      <c r="ET403" s="14"/>
      <c r="EU403" s="14"/>
      <c r="EV403" s="14"/>
      <c r="EW403" s="14"/>
      <c r="EX403" s="14"/>
      <c r="EY403" s="14"/>
      <c r="EZ403" s="14"/>
      <c r="FA403" s="14"/>
      <c r="FB403" s="14"/>
      <c r="FC403" s="14"/>
      <c r="FD403" s="14"/>
      <c r="FE403" s="14"/>
      <c r="FF403" s="14"/>
      <c r="FG403" s="14"/>
      <c r="FH403" s="14"/>
      <c r="FI403" s="14"/>
      <c r="FJ403" s="14"/>
      <c r="FK403" s="14"/>
      <c r="FL403" s="14"/>
      <c r="FM403" s="14"/>
      <c r="FN403" s="14"/>
      <c r="FO403" s="14"/>
      <c r="FP403" s="14"/>
      <c r="FQ403" s="14"/>
      <c r="FR403" s="14"/>
      <c r="FS403" s="14"/>
      <c r="FT403" s="14"/>
      <c r="FU403" s="14"/>
      <c r="FV403" s="14"/>
      <c r="FW403" s="14"/>
      <c r="FX403" s="14"/>
      <c r="FY403" s="14"/>
      <c r="FZ403" s="14"/>
      <c r="GA403" s="14"/>
      <c r="GB403" s="14"/>
      <c r="GC403" s="14"/>
      <c r="GD403" s="14"/>
      <c r="GE403" s="14"/>
      <c r="GF403" s="14"/>
      <c r="GG403" s="14"/>
      <c r="GH403" s="14"/>
      <c r="GI403" s="14"/>
      <c r="GJ403" s="14"/>
      <c r="GK403" s="14"/>
      <c r="GL403" s="14"/>
      <c r="GM403" s="14"/>
      <c r="GN403" s="14"/>
      <c r="GO403" s="14"/>
      <c r="GP403" s="14"/>
      <c r="GQ403" s="14"/>
      <c r="GR403" s="14"/>
      <c r="GS403" s="14"/>
      <c r="GT403" s="14"/>
      <c r="GU403" s="14"/>
      <c r="GV403" s="14"/>
      <c r="GW403" s="14"/>
      <c r="GX403" s="14"/>
      <c r="GY403" s="14"/>
      <c r="GZ403" s="14"/>
      <c r="HA403" s="14"/>
      <c r="HB403" s="14"/>
      <c r="HC403" s="14"/>
      <c r="HD403" s="14"/>
      <c r="HE403" s="14"/>
      <c r="HF403" s="14"/>
      <c r="HG403" s="14"/>
      <c r="HH403" s="14"/>
      <c r="HI403" s="14"/>
      <c r="HJ403" s="14"/>
      <c r="HK403" s="14"/>
      <c r="HL403" s="14"/>
      <c r="HM403" s="14"/>
      <c r="HN403" s="14"/>
      <c r="HO403" s="14"/>
      <c r="HP403" s="14"/>
      <c r="HQ403" s="14"/>
      <c r="HR403" s="14"/>
      <c r="HS403" s="14"/>
      <c r="HT403" s="14"/>
    </row>
    <row r="404" spans="1:228" ht="18" customHeight="1" x14ac:dyDescent="0.2">
      <c r="A404" s="20"/>
      <c r="B404" s="185" t="s">
        <v>1317</v>
      </c>
      <c r="C404" s="1534"/>
      <c r="D404" s="1534"/>
      <c r="E404" s="1534"/>
      <c r="F404" s="1534"/>
      <c r="G404" s="1534"/>
      <c r="H404" s="1534"/>
      <c r="I404" s="1534"/>
      <c r="J404" s="1534"/>
      <c r="K404" s="1534"/>
      <c r="L404" s="1534"/>
      <c r="M404" s="1534"/>
      <c r="N404" s="1534"/>
      <c r="O404" s="1534"/>
      <c r="P404" s="95">
        <f>IF(R404=1,0,IF(R404=2,0.1,IF(R404=3,0.1)))</f>
        <v>0</v>
      </c>
      <c r="Q404" s="8"/>
      <c r="R404" s="873">
        <v>1</v>
      </c>
      <c r="S404" s="60"/>
      <c r="T404" s="60"/>
      <c r="U404" s="60"/>
      <c r="V404" s="60"/>
      <c r="W404" s="60">
        <v>1E-4</v>
      </c>
      <c r="X404" s="60"/>
      <c r="Y404" s="60"/>
      <c r="Z404" s="60"/>
      <c r="AA404" s="60"/>
      <c r="AB404" s="60"/>
      <c r="AC404" s="60"/>
      <c r="AD404" s="60"/>
      <c r="AE404" s="60"/>
      <c r="AF404" s="60"/>
      <c r="AG404" s="60"/>
      <c r="AH404" s="60"/>
      <c r="AI404" s="60"/>
      <c r="AJ404" s="60"/>
      <c r="AK404" s="60"/>
      <c r="AL404" s="60"/>
      <c r="AM404" s="60"/>
      <c r="AN404" s="60"/>
      <c r="AO404" s="60"/>
      <c r="AP404" s="60"/>
      <c r="AQ404" s="60"/>
      <c r="AR404" s="60"/>
      <c r="AS404" s="60"/>
      <c r="AT404" s="60"/>
      <c r="AU404" s="60"/>
      <c r="AV404" s="60"/>
      <c r="AW404" s="60"/>
      <c r="AX404" s="60"/>
      <c r="AY404" s="60"/>
      <c r="AZ404" s="60"/>
      <c r="BA404" s="60"/>
      <c r="BB404" s="60"/>
      <c r="BC404" s="60"/>
      <c r="BD404" s="60"/>
      <c r="BE404" s="60"/>
      <c r="BF404" s="18"/>
      <c r="BG404" s="18"/>
      <c r="BH404" s="18"/>
      <c r="BI404" s="18"/>
      <c r="BJ404" s="18"/>
      <c r="BK404" s="18"/>
      <c r="BL404" s="18"/>
      <c r="BM404" s="18"/>
      <c r="BN404" s="18"/>
      <c r="BO404" s="18"/>
      <c r="BP404" s="18"/>
      <c r="BQ404" s="14"/>
      <c r="BR404" s="14"/>
      <c r="BS404" s="14"/>
      <c r="BT404" s="14"/>
      <c r="BU404" s="14"/>
      <c r="BV404" s="14"/>
      <c r="BW404" s="14"/>
      <c r="BX404" s="14"/>
      <c r="BY404" s="14"/>
      <c r="BZ404" s="14"/>
      <c r="CA404" s="14"/>
      <c r="CB404" s="14"/>
      <c r="CC404" s="14"/>
      <c r="CD404" s="14"/>
      <c r="CE404" s="14"/>
      <c r="CF404" s="14"/>
      <c r="CG404" s="14"/>
      <c r="CH404" s="14"/>
      <c r="CI404" s="14"/>
      <c r="CJ404" s="14"/>
      <c r="CK404" s="14"/>
      <c r="CL404" s="14"/>
      <c r="CM404" s="14"/>
      <c r="CN404" s="14"/>
      <c r="CO404" s="14"/>
      <c r="CP404" s="14"/>
      <c r="CQ404" s="14"/>
      <c r="CR404" s="14"/>
      <c r="CS404" s="14"/>
      <c r="CT404" s="14"/>
      <c r="CU404" s="14"/>
      <c r="CV404" s="14"/>
      <c r="CW404" s="14"/>
      <c r="CX404" s="14"/>
      <c r="CY404" s="14"/>
      <c r="CZ404" s="14"/>
      <c r="DA404" s="14"/>
      <c r="DB404" s="14"/>
      <c r="DC404" s="14"/>
      <c r="DD404" s="14"/>
      <c r="DE404" s="14"/>
      <c r="DF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c r="EX404" s="14"/>
      <c r="EY404" s="14"/>
      <c r="EZ404" s="14"/>
      <c r="FA404" s="14"/>
      <c r="FB404" s="14"/>
      <c r="FC404" s="14"/>
      <c r="FD404" s="14"/>
      <c r="FE404" s="14"/>
      <c r="FF404" s="14"/>
      <c r="FG404" s="14"/>
      <c r="FH404" s="14"/>
      <c r="FI404" s="14"/>
      <c r="FJ404" s="14"/>
      <c r="FK404" s="14"/>
      <c r="FL404" s="14"/>
      <c r="FM404" s="14"/>
      <c r="FN404" s="14"/>
      <c r="FO404" s="14"/>
      <c r="FP404" s="14"/>
      <c r="FQ404" s="14"/>
      <c r="FR404" s="14"/>
      <c r="FS404" s="14"/>
      <c r="FT404" s="14"/>
      <c r="FU404" s="14"/>
      <c r="FV404" s="14"/>
      <c r="FW404" s="14"/>
      <c r="FX404" s="14"/>
      <c r="FY404" s="14"/>
      <c r="FZ404" s="14"/>
      <c r="GA404" s="14"/>
      <c r="GB404" s="14"/>
      <c r="GC404" s="14"/>
      <c r="GD404" s="14"/>
      <c r="GE404" s="14"/>
      <c r="GF404" s="14"/>
      <c r="GG404" s="14"/>
      <c r="GH404" s="14"/>
      <c r="GI404" s="14"/>
      <c r="GJ404" s="14"/>
      <c r="GK404" s="14"/>
      <c r="GL404" s="14"/>
      <c r="GM404" s="14"/>
      <c r="GN404" s="14"/>
      <c r="GO404" s="14"/>
      <c r="GP404" s="14"/>
      <c r="GQ404" s="14"/>
      <c r="GR404" s="14"/>
      <c r="GS404" s="14"/>
      <c r="GT404" s="14"/>
      <c r="GU404" s="14"/>
      <c r="GV404" s="14"/>
      <c r="GW404" s="14"/>
      <c r="GX404" s="14"/>
      <c r="GY404" s="14"/>
      <c r="GZ404" s="14"/>
      <c r="HA404" s="14"/>
      <c r="HB404" s="14"/>
      <c r="HC404" s="14"/>
      <c r="HD404" s="14"/>
      <c r="HE404" s="14"/>
      <c r="HF404" s="14"/>
      <c r="HG404" s="14"/>
      <c r="HH404" s="14"/>
      <c r="HI404" s="14"/>
      <c r="HJ404" s="14"/>
      <c r="HK404" s="14"/>
      <c r="HL404" s="14"/>
      <c r="HM404" s="14"/>
      <c r="HN404" s="14"/>
      <c r="HO404" s="14"/>
      <c r="HP404" s="14"/>
      <c r="HQ404" s="14"/>
      <c r="HR404" s="14"/>
      <c r="HS404" s="14"/>
      <c r="HT404" s="14"/>
    </row>
    <row r="405" spans="1:228" ht="12" customHeight="1" x14ac:dyDescent="0.25">
      <c r="A405" s="8"/>
      <c r="B405" s="1825"/>
      <c r="C405" s="1825"/>
      <c r="D405" s="1825"/>
      <c r="E405" s="1825"/>
      <c r="F405" s="1825"/>
      <c r="G405" s="1825"/>
      <c r="H405" s="1825"/>
      <c r="I405" s="1825"/>
      <c r="J405" s="1825"/>
      <c r="K405" s="1825"/>
      <c r="L405" s="1825"/>
      <c r="M405" s="1825"/>
      <c r="N405" s="1825"/>
      <c r="O405" s="1825"/>
      <c r="Q405" s="8"/>
      <c r="R405" s="60"/>
      <c r="S405" s="60"/>
      <c r="T405" s="60"/>
      <c r="U405" s="60"/>
      <c r="V405" s="60"/>
      <c r="W405" s="60"/>
      <c r="X405" s="60"/>
      <c r="Y405" s="60"/>
      <c r="Z405" s="60"/>
      <c r="AA405" s="60"/>
      <c r="AB405" s="60"/>
      <c r="AC405" s="60"/>
      <c r="AD405" s="60"/>
      <c r="AE405" s="60"/>
      <c r="AF405" s="60"/>
      <c r="AG405" s="60"/>
      <c r="AH405" s="60"/>
      <c r="AI405" s="60"/>
      <c r="AJ405" s="60"/>
      <c r="AK405" s="60"/>
      <c r="AL405" s="60"/>
      <c r="AM405" s="60"/>
      <c r="AN405" s="60"/>
      <c r="AO405" s="60"/>
      <c r="AP405" s="60"/>
      <c r="AQ405" s="60"/>
      <c r="AR405" s="60"/>
      <c r="AS405" s="60"/>
      <c r="AT405" s="60"/>
      <c r="AU405" s="60"/>
      <c r="AV405" s="60"/>
      <c r="AW405" s="60"/>
      <c r="AX405" s="60"/>
      <c r="AY405" s="60"/>
      <c r="AZ405" s="60"/>
      <c r="BA405" s="60"/>
      <c r="BB405" s="60"/>
      <c r="BC405" s="60"/>
      <c r="BD405" s="60"/>
      <c r="BE405" s="60"/>
      <c r="BF405" s="18"/>
      <c r="BG405" s="18"/>
      <c r="BH405" s="18"/>
      <c r="BI405" s="18"/>
      <c r="BJ405" s="18"/>
      <c r="BK405" s="18"/>
      <c r="BL405" s="18"/>
      <c r="BM405" s="18"/>
      <c r="BN405" s="18"/>
      <c r="BO405" s="18"/>
      <c r="BP405" s="18"/>
      <c r="BQ405" s="14"/>
      <c r="BR405" s="14"/>
      <c r="BS405" s="14"/>
      <c r="BT405" s="14"/>
      <c r="BU405" s="14"/>
      <c r="BV405" s="14"/>
      <c r="BW405" s="14"/>
      <c r="BX405" s="14"/>
      <c r="BY405" s="14"/>
      <c r="BZ405" s="14"/>
      <c r="CA405" s="14"/>
      <c r="CB405" s="14"/>
      <c r="CC405" s="14"/>
      <c r="CD405" s="14"/>
      <c r="CE405" s="14"/>
      <c r="CF405" s="14"/>
      <c r="CG405" s="14"/>
      <c r="CH405" s="14"/>
      <c r="CI405" s="14"/>
      <c r="CJ405" s="14"/>
      <c r="CK405" s="14"/>
      <c r="CL405" s="14"/>
      <c r="CM405" s="14"/>
      <c r="CN405" s="14"/>
      <c r="CO405" s="14"/>
      <c r="CP405" s="14"/>
      <c r="CQ405" s="14"/>
      <c r="CR405" s="14"/>
      <c r="CS405" s="14"/>
      <c r="CT405" s="14"/>
      <c r="CU405" s="14"/>
      <c r="CV405" s="14"/>
      <c r="CW405" s="14"/>
      <c r="CX405" s="14"/>
      <c r="CY405" s="14"/>
      <c r="CZ405" s="14"/>
      <c r="DA405" s="14"/>
      <c r="DB405" s="14"/>
      <c r="DC405" s="14"/>
      <c r="DD405" s="14"/>
      <c r="DE405" s="14"/>
      <c r="DF405" s="14"/>
      <c r="DG405" s="14"/>
      <c r="DH405" s="14"/>
      <c r="DI405" s="14"/>
      <c r="DJ405" s="14"/>
      <c r="DK405" s="14"/>
      <c r="DL405" s="14"/>
      <c r="DM405" s="14"/>
      <c r="DN405" s="14"/>
      <c r="DO405" s="14"/>
      <c r="DP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c r="EX405" s="14"/>
      <c r="EY405" s="14"/>
      <c r="EZ405" s="14"/>
      <c r="FA405" s="14"/>
      <c r="FB405" s="14"/>
      <c r="FC405" s="14"/>
      <c r="FD405" s="14"/>
      <c r="FE405" s="14"/>
      <c r="FF405" s="14"/>
      <c r="FG405" s="14"/>
      <c r="FH405" s="14"/>
      <c r="FI405" s="14"/>
      <c r="FJ405" s="14"/>
      <c r="FK405" s="14"/>
      <c r="FL405" s="14"/>
      <c r="FM405" s="14"/>
      <c r="FN405" s="14"/>
      <c r="FO405" s="14"/>
      <c r="FP405" s="14"/>
      <c r="FQ405" s="14"/>
      <c r="FR405" s="14"/>
      <c r="FS405" s="14"/>
      <c r="FT405" s="14"/>
      <c r="FU405" s="14"/>
      <c r="FV405" s="14"/>
      <c r="FW405" s="14"/>
      <c r="FX405" s="14"/>
      <c r="FY405" s="14"/>
      <c r="FZ405" s="14"/>
      <c r="GA405" s="14"/>
      <c r="GB405" s="14"/>
      <c r="GC405" s="14"/>
      <c r="GD405" s="14"/>
      <c r="GE405" s="14"/>
      <c r="GF405" s="14"/>
      <c r="GG405" s="14"/>
      <c r="GH405" s="14"/>
      <c r="GI405" s="14"/>
      <c r="GJ405" s="14"/>
      <c r="GK405" s="14"/>
      <c r="GL405" s="14"/>
      <c r="GM405" s="14"/>
      <c r="GN405" s="14"/>
      <c r="GO405" s="14"/>
      <c r="GP405" s="14"/>
      <c r="GQ405" s="14"/>
      <c r="GR405" s="14"/>
      <c r="GS405" s="14"/>
      <c r="GT405" s="14"/>
      <c r="GU405" s="14"/>
      <c r="GV405" s="14"/>
      <c r="GW405" s="14"/>
      <c r="GX405" s="14"/>
      <c r="GY405" s="14"/>
      <c r="GZ405" s="14"/>
      <c r="HA405" s="14"/>
      <c r="HB405" s="14"/>
      <c r="HC405" s="14"/>
      <c r="HD405" s="14"/>
      <c r="HE405" s="14"/>
      <c r="HF405" s="14"/>
      <c r="HG405" s="14"/>
      <c r="HH405" s="14"/>
      <c r="HI405" s="14"/>
      <c r="HJ405" s="14"/>
      <c r="HK405" s="14"/>
      <c r="HL405" s="14"/>
      <c r="HM405" s="14"/>
      <c r="HN405" s="14"/>
      <c r="HO405" s="14"/>
      <c r="HP405" s="14"/>
      <c r="HQ405" s="14"/>
      <c r="HR405" s="14"/>
      <c r="HS405" s="14"/>
      <c r="HT405" s="14"/>
    </row>
    <row r="406" spans="1:228" ht="18" customHeight="1" x14ac:dyDescent="0.25">
      <c r="A406" s="8"/>
      <c r="B406" s="1555" t="s">
        <v>1850</v>
      </c>
      <c r="C406" s="1555"/>
      <c r="D406" s="1555"/>
      <c r="E406" s="1555"/>
      <c r="F406" s="1555"/>
      <c r="G406" s="1555"/>
      <c r="H406" s="1555"/>
      <c r="I406" s="1555"/>
      <c r="J406" s="1555"/>
      <c r="K406" s="1555"/>
      <c r="L406" s="1555"/>
      <c r="M406" s="1555"/>
      <c r="N406" s="1555"/>
      <c r="O406" s="1555"/>
      <c r="P406" s="470"/>
      <c r="Q406" s="8"/>
      <c r="R406" s="1860" t="s">
        <v>2231</v>
      </c>
      <c r="S406" s="958" t="s">
        <v>1942</v>
      </c>
      <c r="T406" s="958" t="s">
        <v>1851</v>
      </c>
      <c r="U406" s="958" t="s">
        <v>1852</v>
      </c>
      <c r="V406" s="958" t="s">
        <v>1853</v>
      </c>
      <c r="W406" s="958" t="s">
        <v>1854</v>
      </c>
      <c r="X406" s="958" t="s">
        <v>1855</v>
      </c>
      <c r="Y406" s="958" t="s">
        <v>1856</v>
      </c>
      <c r="Z406" s="958" t="s">
        <v>1857</v>
      </c>
      <c r="AA406" s="958" t="s">
        <v>1858</v>
      </c>
      <c r="AB406" s="958" t="s">
        <v>1859</v>
      </c>
      <c r="AC406" s="958" t="s">
        <v>1337</v>
      </c>
      <c r="AD406" s="958" t="s">
        <v>489</v>
      </c>
      <c r="AE406" s="958" t="s">
        <v>490</v>
      </c>
      <c r="AF406" s="958" t="s">
        <v>491</v>
      </c>
      <c r="AG406" s="958" t="s">
        <v>492</v>
      </c>
      <c r="AH406" s="958" t="s">
        <v>493</v>
      </c>
      <c r="AI406" s="958" t="s">
        <v>494</v>
      </c>
      <c r="AJ406" s="958" t="s">
        <v>495</v>
      </c>
      <c r="AK406" s="958" t="s">
        <v>496</v>
      </c>
      <c r="AL406" s="958" t="s">
        <v>497</v>
      </c>
      <c r="AM406" s="958" t="s">
        <v>1767</v>
      </c>
      <c r="AN406" s="60"/>
      <c r="AO406" s="60"/>
      <c r="AP406" s="60"/>
      <c r="AQ406" s="60"/>
      <c r="AR406" s="60"/>
      <c r="AS406" s="60"/>
      <c r="AT406" s="60"/>
      <c r="AU406" s="60"/>
      <c r="AV406" s="60"/>
      <c r="AW406" s="60"/>
      <c r="AX406" s="60"/>
      <c r="AY406" s="60"/>
      <c r="AZ406" s="60"/>
      <c r="BA406" s="60"/>
      <c r="BB406" s="60"/>
      <c r="BC406" s="60"/>
      <c r="BD406" s="60"/>
      <c r="BE406" s="60"/>
      <c r="BF406" s="18"/>
      <c r="BG406" s="18"/>
      <c r="BH406" s="18"/>
      <c r="BI406" s="18"/>
      <c r="BJ406" s="18"/>
      <c r="BK406" s="18"/>
      <c r="BL406" s="18"/>
      <c r="BM406" s="18"/>
      <c r="BN406" s="18"/>
      <c r="BO406" s="18"/>
      <c r="BP406" s="18"/>
      <c r="BQ406" s="14"/>
      <c r="BR406" s="14"/>
      <c r="BS406" s="14"/>
      <c r="BT406" s="14"/>
      <c r="BU406" s="14"/>
      <c r="BV406" s="14"/>
      <c r="BW406" s="14"/>
      <c r="BX406" s="14"/>
      <c r="BY406" s="14"/>
      <c r="BZ406" s="14"/>
      <c r="CA406" s="14"/>
      <c r="CB406" s="14"/>
      <c r="CC406" s="14"/>
      <c r="CD406" s="14"/>
      <c r="CE406" s="14"/>
      <c r="CF406" s="14"/>
      <c r="CG406" s="14"/>
      <c r="CH406" s="14"/>
      <c r="CI406" s="14"/>
      <c r="CJ406" s="14"/>
      <c r="CK406" s="14"/>
      <c r="CL406" s="14"/>
      <c r="CM406" s="14"/>
      <c r="CN406" s="14"/>
      <c r="CO406" s="14"/>
      <c r="CP406" s="14"/>
      <c r="CQ406" s="14"/>
      <c r="CR406" s="14"/>
      <c r="CS406" s="14"/>
      <c r="CT406" s="14"/>
      <c r="CU406" s="14"/>
      <c r="CV406" s="14"/>
      <c r="CW406" s="14"/>
      <c r="CX406" s="14"/>
      <c r="CY406" s="14"/>
      <c r="CZ406" s="14"/>
      <c r="DA406" s="14"/>
      <c r="DB406" s="14"/>
      <c r="DC406" s="14"/>
      <c r="DD406" s="14"/>
      <c r="DE406" s="14"/>
      <c r="DF406" s="14"/>
      <c r="DG406" s="14"/>
      <c r="DH406" s="14"/>
      <c r="DI406" s="14"/>
      <c r="DJ406" s="14"/>
      <c r="DK406" s="14"/>
      <c r="DL406" s="14"/>
      <c r="DM406" s="14"/>
      <c r="DN406" s="14"/>
      <c r="DO406" s="14"/>
      <c r="DP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c r="EX406" s="14"/>
      <c r="EY406" s="14"/>
      <c r="EZ406" s="14"/>
      <c r="FA406" s="14"/>
      <c r="FB406" s="14"/>
      <c r="FC406" s="14"/>
      <c r="FD406" s="14"/>
      <c r="FE406" s="14"/>
      <c r="FF406" s="14"/>
      <c r="FG406" s="14"/>
      <c r="FH406" s="14"/>
      <c r="FI406" s="14"/>
      <c r="FJ406" s="14"/>
      <c r="FK406" s="14"/>
      <c r="FL406" s="14"/>
      <c r="FM406" s="14"/>
      <c r="FN406" s="14"/>
      <c r="FO406" s="14"/>
      <c r="FP406" s="14"/>
      <c r="FQ406" s="14"/>
      <c r="FR406" s="14"/>
      <c r="FS406" s="14"/>
      <c r="FT406" s="14"/>
      <c r="FU406" s="14"/>
      <c r="FV406" s="14"/>
      <c r="FW406" s="14"/>
      <c r="FX406" s="14"/>
      <c r="FY406" s="14"/>
      <c r="FZ406" s="14"/>
      <c r="GA406" s="14"/>
      <c r="GB406" s="14"/>
      <c r="GC406" s="14"/>
      <c r="GD406" s="14"/>
      <c r="GE406" s="14"/>
      <c r="GF406" s="14"/>
      <c r="GG406" s="14"/>
      <c r="GH406" s="14"/>
      <c r="GI406" s="14"/>
      <c r="GJ406" s="14"/>
      <c r="GK406" s="14"/>
      <c r="GL406" s="14"/>
      <c r="GM406" s="14"/>
      <c r="GN406" s="14"/>
      <c r="GO406" s="14"/>
      <c r="GP406" s="14"/>
      <c r="GQ406" s="14"/>
      <c r="GR406" s="14"/>
      <c r="GS406" s="14"/>
      <c r="GT406" s="14"/>
      <c r="GU406" s="14"/>
      <c r="GV406" s="14"/>
      <c r="GW406" s="14"/>
      <c r="GX406" s="14"/>
      <c r="GY406" s="14"/>
      <c r="GZ406" s="14"/>
      <c r="HA406" s="14"/>
      <c r="HB406" s="14"/>
      <c r="HC406" s="14"/>
      <c r="HD406" s="14"/>
      <c r="HE406" s="14"/>
      <c r="HF406" s="14"/>
      <c r="HG406" s="14"/>
      <c r="HH406" s="14"/>
      <c r="HI406" s="14"/>
      <c r="HJ406" s="14"/>
      <c r="HK406" s="14"/>
      <c r="HL406" s="14"/>
      <c r="HM406" s="14"/>
      <c r="HN406" s="14"/>
      <c r="HO406" s="14"/>
      <c r="HP406" s="14"/>
      <c r="HQ406" s="14"/>
      <c r="HR406" s="14"/>
      <c r="HS406" s="14"/>
      <c r="HT406" s="14"/>
    </row>
    <row r="407" spans="1:228" ht="18" customHeight="1" x14ac:dyDescent="0.2">
      <c r="A407" s="8"/>
      <c r="B407" s="185" t="s">
        <v>1768</v>
      </c>
      <c r="C407" s="1652"/>
      <c r="D407" s="1652"/>
      <c r="E407" s="1652"/>
      <c r="F407" s="1652"/>
      <c r="G407" s="1652"/>
      <c r="H407" s="1652"/>
      <c r="I407" s="1652"/>
      <c r="J407" s="1652"/>
      <c r="K407" s="1652"/>
      <c r="L407" s="1652"/>
      <c r="M407" s="1652"/>
      <c r="N407" s="1652"/>
      <c r="O407" s="1652"/>
      <c r="P407" s="95">
        <f>SUMIF(S406:AM406,C407,S407:AM407)</f>
        <v>0</v>
      </c>
      <c r="Q407" s="8"/>
      <c r="R407" s="1959"/>
      <c r="S407" s="646">
        <v>0</v>
      </c>
      <c r="T407" s="646">
        <v>0.17</v>
      </c>
      <c r="U407" s="646">
        <v>0.26</v>
      </c>
      <c r="V407" s="646">
        <v>0.26</v>
      </c>
      <c r="W407" s="646">
        <v>0.27</v>
      </c>
      <c r="X407" s="646">
        <v>0.28000000000000003</v>
      </c>
      <c r="Y407" s="646">
        <v>0.28999999999999998</v>
      </c>
      <c r="Z407" s="646">
        <v>0.3</v>
      </c>
      <c r="AA407" s="646">
        <v>0.31</v>
      </c>
      <c r="AB407" s="646">
        <v>0.32</v>
      </c>
      <c r="AC407" s="646">
        <v>0.33</v>
      </c>
      <c r="AD407" s="646">
        <v>0.34</v>
      </c>
      <c r="AE407" s="646">
        <v>0.35</v>
      </c>
      <c r="AF407" s="646">
        <v>0.36</v>
      </c>
      <c r="AG407" s="646">
        <v>0.37</v>
      </c>
      <c r="AH407" s="646">
        <v>0.38</v>
      </c>
      <c r="AI407" s="646">
        <v>0.39</v>
      </c>
      <c r="AJ407" s="646">
        <v>0.4</v>
      </c>
      <c r="AK407" s="646">
        <v>0.41</v>
      </c>
      <c r="AL407" s="646">
        <v>0.42</v>
      </c>
      <c r="AM407" s="646">
        <v>0.43</v>
      </c>
      <c r="AN407" s="60"/>
      <c r="AO407" s="60"/>
      <c r="AP407" s="60"/>
      <c r="AQ407" s="60"/>
      <c r="AR407" s="60"/>
      <c r="AS407" s="60"/>
      <c r="AT407" s="60"/>
      <c r="AU407" s="60"/>
      <c r="AV407" s="60"/>
      <c r="AW407" s="60"/>
      <c r="AX407" s="60"/>
      <c r="AY407" s="60"/>
      <c r="AZ407" s="60"/>
      <c r="BA407" s="60"/>
      <c r="BB407" s="60"/>
      <c r="BC407" s="60"/>
      <c r="BD407" s="60"/>
      <c r="BE407" s="60"/>
      <c r="BF407" s="18"/>
      <c r="BG407" s="18"/>
      <c r="BH407" s="18"/>
      <c r="BI407" s="18"/>
      <c r="BJ407" s="18"/>
      <c r="BK407" s="18"/>
      <c r="BL407" s="18"/>
      <c r="BM407" s="18"/>
      <c r="BN407" s="18"/>
      <c r="BO407" s="18"/>
      <c r="BP407" s="18"/>
      <c r="BQ407" s="14"/>
      <c r="BR407" s="14"/>
      <c r="BS407" s="14"/>
      <c r="BT407" s="14"/>
      <c r="BU407" s="14"/>
      <c r="BV407" s="14"/>
      <c r="BW407" s="14"/>
      <c r="BX407" s="14"/>
      <c r="BY407" s="14"/>
      <c r="BZ407" s="14"/>
      <c r="CA407" s="14"/>
      <c r="CB407" s="14"/>
      <c r="CC407" s="14"/>
      <c r="CD407" s="14"/>
      <c r="CE407" s="14"/>
      <c r="CF407" s="14"/>
      <c r="CG407" s="14"/>
      <c r="CH407" s="14"/>
      <c r="CI407" s="14"/>
      <c r="CJ407" s="14"/>
      <c r="CK407" s="14"/>
      <c r="CL407" s="14"/>
      <c r="CM407" s="14"/>
      <c r="CN407" s="14"/>
      <c r="CO407" s="14"/>
      <c r="CP407" s="14"/>
      <c r="CQ407" s="14"/>
      <c r="CR407" s="14"/>
      <c r="CS407" s="14"/>
      <c r="CT407" s="14"/>
      <c r="CU407" s="14"/>
      <c r="CV407" s="14"/>
      <c r="CW407" s="14"/>
      <c r="CX407" s="14"/>
      <c r="CY407" s="14"/>
      <c r="CZ407" s="14"/>
      <c r="DA407" s="14"/>
      <c r="DB407" s="14"/>
      <c r="DC407" s="14"/>
      <c r="DD407" s="14"/>
      <c r="DE407" s="14"/>
      <c r="DF407" s="14"/>
      <c r="DG407" s="14"/>
      <c r="DH407" s="14"/>
      <c r="DI407" s="14"/>
      <c r="DJ407" s="14"/>
      <c r="DK407" s="14"/>
      <c r="DL407" s="14"/>
      <c r="DM407" s="14"/>
      <c r="DN407" s="14"/>
      <c r="DO407" s="14"/>
      <c r="DP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c r="EX407" s="14"/>
      <c r="EY407" s="14"/>
      <c r="EZ407" s="14"/>
      <c r="FA407" s="14"/>
      <c r="FB407" s="14"/>
      <c r="FC407" s="14"/>
      <c r="FD407" s="14"/>
      <c r="FE407" s="14"/>
      <c r="FF407" s="14"/>
      <c r="FG407" s="14"/>
      <c r="FH407" s="14"/>
      <c r="FI407" s="14"/>
      <c r="FJ407" s="14"/>
      <c r="FK407" s="14"/>
      <c r="FL407" s="14"/>
      <c r="FM407" s="14"/>
      <c r="FN407" s="14"/>
      <c r="FO407" s="14"/>
      <c r="FP407" s="14"/>
      <c r="FQ407" s="14"/>
      <c r="FR407" s="14"/>
      <c r="FS407" s="14"/>
      <c r="FT407" s="14"/>
      <c r="FU407" s="14"/>
      <c r="FV407" s="14"/>
      <c r="FW407" s="14"/>
      <c r="FX407" s="14"/>
      <c r="FY407" s="14"/>
      <c r="FZ407" s="14"/>
      <c r="GA407" s="14"/>
      <c r="GB407" s="14"/>
      <c r="GC407" s="14"/>
      <c r="GD407" s="14"/>
      <c r="GE407" s="14"/>
      <c r="GF407" s="14"/>
      <c r="GG407" s="14"/>
      <c r="GH407" s="14"/>
      <c r="GI407" s="14"/>
      <c r="GJ407" s="14"/>
      <c r="GK407" s="14"/>
      <c r="GL407" s="14"/>
      <c r="GM407" s="14"/>
      <c r="GN407" s="14"/>
      <c r="GO407" s="14"/>
      <c r="GP407" s="14"/>
      <c r="GQ407" s="14"/>
      <c r="GR407" s="14"/>
      <c r="GS407" s="14"/>
      <c r="GT407" s="14"/>
      <c r="GU407" s="14"/>
      <c r="GV407" s="14"/>
      <c r="GW407" s="14"/>
      <c r="GX407" s="14"/>
      <c r="GY407" s="14"/>
      <c r="GZ407" s="14"/>
      <c r="HA407" s="14"/>
      <c r="HB407" s="14"/>
      <c r="HC407" s="14"/>
      <c r="HD407" s="14"/>
      <c r="HE407" s="14"/>
      <c r="HF407" s="14"/>
      <c r="HG407" s="14"/>
      <c r="HH407" s="14"/>
      <c r="HI407" s="14"/>
      <c r="HJ407" s="14"/>
      <c r="HK407" s="14"/>
      <c r="HL407" s="14"/>
      <c r="HM407" s="14"/>
      <c r="HN407" s="14"/>
      <c r="HO407" s="14"/>
      <c r="HP407" s="14"/>
      <c r="HQ407" s="14"/>
      <c r="HR407" s="14"/>
      <c r="HS407" s="14"/>
      <c r="HT407" s="14"/>
    </row>
    <row r="408" spans="1:228" ht="9" customHeight="1" x14ac:dyDescent="0.2">
      <c r="A408" s="8"/>
      <c r="B408" s="1395"/>
      <c r="C408" s="1395"/>
      <c r="D408" s="1395"/>
      <c r="E408" s="1395"/>
      <c r="F408" s="1395"/>
      <c r="G408" s="1395"/>
      <c r="H408" s="1395"/>
      <c r="I408" s="1395"/>
      <c r="J408" s="1395"/>
      <c r="K408" s="1395"/>
      <c r="L408" s="1395"/>
      <c r="M408" s="1395"/>
      <c r="N408" s="1395"/>
      <c r="O408" s="1395"/>
      <c r="P408" s="1395"/>
      <c r="Q408" s="8"/>
      <c r="R408" s="60"/>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60"/>
      <c r="AO408" s="60"/>
      <c r="AP408" s="60"/>
      <c r="AQ408" s="60"/>
      <c r="AR408" s="60"/>
      <c r="AS408" s="60"/>
      <c r="AT408" s="60"/>
      <c r="AU408" s="60"/>
      <c r="AV408" s="60"/>
      <c r="AW408" s="60"/>
      <c r="AX408" s="60"/>
      <c r="AY408" s="60"/>
      <c r="AZ408" s="60"/>
      <c r="BA408" s="60"/>
      <c r="BB408" s="60"/>
      <c r="BC408" s="60"/>
      <c r="BD408" s="60"/>
      <c r="BE408" s="60"/>
      <c r="BF408" s="18"/>
      <c r="BG408" s="18"/>
      <c r="BH408" s="18"/>
      <c r="BI408" s="18"/>
      <c r="BJ408" s="18"/>
      <c r="BK408" s="18"/>
      <c r="BL408" s="18"/>
      <c r="BM408" s="18"/>
      <c r="BN408" s="18"/>
      <c r="BO408" s="18"/>
      <c r="BP408" s="18"/>
      <c r="BQ408" s="14"/>
      <c r="BR408" s="14"/>
      <c r="BS408" s="14"/>
      <c r="BT408" s="14"/>
      <c r="BU408" s="14"/>
      <c r="BV408" s="14"/>
      <c r="BW408" s="14"/>
      <c r="BX408" s="14"/>
      <c r="BY408" s="14"/>
      <c r="BZ408" s="14"/>
      <c r="CA408" s="14"/>
      <c r="CB408" s="14"/>
      <c r="CC408" s="14"/>
      <c r="CD408" s="14"/>
      <c r="CE408" s="14"/>
      <c r="CF408" s="14"/>
      <c r="CG408" s="14"/>
      <c r="CH408" s="14"/>
      <c r="CI408" s="14"/>
      <c r="CJ408" s="14"/>
      <c r="CK408" s="14"/>
      <c r="CL408" s="14"/>
      <c r="CM408" s="14"/>
      <c r="CN408" s="14"/>
      <c r="CO408" s="14"/>
      <c r="CP408" s="14"/>
      <c r="CQ408" s="14"/>
      <c r="CR408" s="14"/>
      <c r="CS408" s="14"/>
      <c r="CT408" s="14"/>
      <c r="CU408" s="14"/>
      <c r="CV408" s="14"/>
      <c r="CW408" s="14"/>
      <c r="CX408" s="14"/>
      <c r="CY408" s="14"/>
      <c r="CZ408" s="14"/>
      <c r="DA408" s="14"/>
      <c r="DB408" s="14"/>
      <c r="DC408" s="14"/>
      <c r="DD408" s="14"/>
      <c r="DE408" s="14"/>
      <c r="DF408" s="14"/>
      <c r="DG408" s="14"/>
      <c r="DH408" s="14"/>
      <c r="DI408" s="14"/>
      <c r="DJ408" s="14"/>
      <c r="DK408" s="14"/>
      <c r="DL408" s="14"/>
      <c r="DM408" s="14"/>
      <c r="DN408" s="14"/>
      <c r="DO408" s="14"/>
      <c r="DP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c r="EX408" s="14"/>
      <c r="EY408" s="14"/>
      <c r="EZ408" s="14"/>
      <c r="FA408" s="14"/>
      <c r="FB408" s="14"/>
      <c r="FC408" s="14"/>
      <c r="FD408" s="14"/>
      <c r="FE408" s="14"/>
      <c r="FF408" s="14"/>
      <c r="FG408" s="14"/>
      <c r="FH408" s="14"/>
      <c r="FI408" s="14"/>
      <c r="FJ408" s="14"/>
      <c r="FK408" s="14"/>
      <c r="FL408" s="14"/>
      <c r="FM408" s="14"/>
      <c r="FN408" s="14"/>
      <c r="FO408" s="14"/>
      <c r="FP408" s="14"/>
      <c r="FQ408" s="14"/>
      <c r="FR408" s="14"/>
      <c r="FS408" s="14"/>
      <c r="FT408" s="14"/>
      <c r="FU408" s="14"/>
      <c r="FV408" s="14"/>
      <c r="FW408" s="14"/>
      <c r="FX408" s="14"/>
      <c r="FY408" s="14"/>
      <c r="FZ408" s="14"/>
      <c r="GA408" s="14"/>
      <c r="GB408" s="14"/>
      <c r="GC408" s="14"/>
      <c r="GD408" s="14"/>
      <c r="GE408" s="14"/>
      <c r="GF408" s="14"/>
      <c r="GG408" s="14"/>
      <c r="GH408" s="14"/>
      <c r="GI408" s="14"/>
      <c r="GJ408" s="14"/>
      <c r="GK408" s="14"/>
      <c r="GL408" s="14"/>
      <c r="GM408" s="14"/>
      <c r="GN408" s="14"/>
      <c r="GO408" s="14"/>
      <c r="GP408" s="14"/>
      <c r="GQ408" s="14"/>
      <c r="GR408" s="14"/>
      <c r="GS408" s="14"/>
      <c r="GT408" s="14"/>
      <c r="GU408" s="14"/>
      <c r="GV408" s="14"/>
      <c r="GW408" s="14"/>
      <c r="GX408" s="14"/>
      <c r="GY408" s="14"/>
      <c r="GZ408" s="14"/>
      <c r="HA408" s="14"/>
      <c r="HB408" s="14"/>
      <c r="HC408" s="14"/>
      <c r="HD408" s="14"/>
      <c r="HE408" s="14"/>
      <c r="HF408" s="14"/>
      <c r="HG408" s="14"/>
      <c r="HH408" s="14"/>
      <c r="HI408" s="14"/>
      <c r="HJ408" s="14"/>
      <c r="HK408" s="14"/>
      <c r="HL408" s="14"/>
      <c r="HM408" s="14"/>
      <c r="HN408" s="14"/>
      <c r="HO408" s="14"/>
      <c r="HP408" s="14"/>
      <c r="HQ408" s="14"/>
      <c r="HR408" s="14"/>
      <c r="HS408" s="14"/>
      <c r="HT408" s="14"/>
    </row>
    <row r="409" spans="1:228" ht="9" customHeight="1" x14ac:dyDescent="0.25">
      <c r="A409" s="8"/>
      <c r="B409" s="1825"/>
      <c r="C409" s="1825"/>
      <c r="D409" s="1825"/>
      <c r="E409" s="1825"/>
      <c r="F409" s="1825"/>
      <c r="G409" s="1825"/>
      <c r="H409" s="1825"/>
      <c r="I409" s="1825"/>
      <c r="J409" s="1825"/>
      <c r="K409" s="1825"/>
      <c r="L409" s="1825"/>
      <c r="M409" s="1825"/>
      <c r="N409" s="1825"/>
      <c r="O409" s="1825"/>
      <c r="P409" s="1825"/>
      <c r="Q409" s="8"/>
      <c r="R409" s="60"/>
      <c r="S409" s="18"/>
      <c r="T409" s="18"/>
      <c r="U409" s="18"/>
      <c r="V409" s="18"/>
      <c r="W409" s="18"/>
      <c r="X409" s="18"/>
      <c r="Y409" s="18"/>
      <c r="Z409" s="18"/>
      <c r="AA409" s="18"/>
      <c r="AB409" s="18"/>
      <c r="AC409" s="18"/>
      <c r="AD409" s="18"/>
      <c r="AE409" s="18"/>
      <c r="AF409" s="18"/>
      <c r="AG409" s="18"/>
      <c r="AH409" s="18"/>
      <c r="AI409" s="18"/>
      <c r="AJ409" s="18"/>
      <c r="AK409" s="18"/>
      <c r="AL409" s="18"/>
      <c r="AM409" s="18"/>
      <c r="AN409" s="115"/>
      <c r="AO409" s="115"/>
      <c r="AP409" s="115"/>
      <c r="AQ409" s="115"/>
      <c r="AR409" s="115"/>
      <c r="AS409" s="115"/>
      <c r="AT409" s="115"/>
      <c r="AU409" s="115"/>
      <c r="AV409" s="115"/>
      <c r="AW409" s="115"/>
      <c r="AX409" s="115"/>
      <c r="AY409" s="115"/>
      <c r="AZ409" s="60"/>
      <c r="BA409" s="60"/>
      <c r="BB409" s="60"/>
      <c r="BC409" s="60"/>
      <c r="BD409" s="60"/>
      <c r="BE409" s="60"/>
      <c r="BF409" s="18"/>
      <c r="BG409" s="18"/>
      <c r="BH409" s="18"/>
      <c r="BI409" s="18"/>
      <c r="BJ409" s="18"/>
      <c r="BK409" s="18"/>
      <c r="BL409" s="18"/>
      <c r="BM409" s="18"/>
      <c r="BN409" s="18"/>
      <c r="BO409" s="18"/>
      <c r="BP409" s="18"/>
      <c r="BQ409" s="14"/>
      <c r="BR409" s="14"/>
      <c r="BS409" s="14"/>
      <c r="BT409" s="14"/>
      <c r="BU409" s="14"/>
      <c r="BV409" s="14"/>
      <c r="BW409" s="14"/>
      <c r="BX409" s="14"/>
      <c r="BY409" s="14"/>
      <c r="BZ409" s="14"/>
      <c r="CA409" s="14"/>
      <c r="CB409" s="14"/>
      <c r="CC409" s="14"/>
      <c r="CD409" s="14"/>
      <c r="CE409" s="14"/>
      <c r="CF409" s="14"/>
      <c r="CG409" s="14"/>
      <c r="CH409" s="14"/>
      <c r="CI409" s="14"/>
      <c r="CJ409" s="14"/>
      <c r="CK409" s="14"/>
      <c r="CL409" s="14"/>
      <c r="CM409" s="14"/>
      <c r="CN409" s="14"/>
      <c r="CO409" s="14"/>
      <c r="CP409" s="14"/>
      <c r="CQ409" s="14"/>
      <c r="CR409" s="14"/>
      <c r="CS409" s="14"/>
      <c r="CT409" s="14"/>
      <c r="CU409" s="14"/>
      <c r="CV409" s="14"/>
      <c r="CW409" s="14"/>
      <c r="CX409" s="14"/>
      <c r="CY409" s="14"/>
      <c r="CZ409" s="14"/>
      <c r="DA409" s="14"/>
      <c r="DB409" s="14"/>
      <c r="DC409" s="14"/>
      <c r="DD409" s="14"/>
      <c r="DE409" s="14"/>
      <c r="DF409" s="14"/>
      <c r="DG409" s="14"/>
      <c r="DH409" s="14"/>
      <c r="DI409" s="14"/>
      <c r="DJ409" s="14"/>
      <c r="DK409" s="14"/>
      <c r="DL409" s="14"/>
      <c r="DM409" s="14"/>
      <c r="DN409" s="14"/>
      <c r="DO409" s="14"/>
      <c r="DP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c r="EX409" s="14"/>
      <c r="EY409" s="14"/>
      <c r="EZ409" s="14"/>
      <c r="FA409" s="14"/>
      <c r="FB409" s="14"/>
      <c r="FC409" s="14"/>
      <c r="FD409" s="14"/>
      <c r="FE409" s="14"/>
      <c r="FF409" s="14"/>
      <c r="FG409" s="14"/>
      <c r="FH409" s="14"/>
      <c r="FI409" s="14"/>
      <c r="FJ409" s="14"/>
      <c r="FK409" s="14"/>
      <c r="FL409" s="14"/>
      <c r="FM409" s="14"/>
      <c r="FN409" s="14"/>
      <c r="FO409" s="14"/>
      <c r="FP409" s="14"/>
      <c r="FQ409" s="14"/>
      <c r="FR409" s="14"/>
      <c r="FS409" s="14"/>
      <c r="FT409" s="14"/>
      <c r="FU409" s="14"/>
      <c r="FV409" s="14"/>
      <c r="FW409" s="14"/>
      <c r="FX409" s="14"/>
      <c r="FY409" s="14"/>
      <c r="FZ409" s="14"/>
      <c r="GA409" s="14"/>
      <c r="GB409" s="14"/>
      <c r="GC409" s="14"/>
      <c r="GD409" s="14"/>
      <c r="GE409" s="14"/>
      <c r="GF409" s="14"/>
      <c r="GG409" s="14"/>
      <c r="GH409" s="14"/>
      <c r="GI409" s="14"/>
      <c r="GJ409" s="14"/>
      <c r="GK409" s="14"/>
      <c r="GL409" s="14"/>
      <c r="GM409" s="14"/>
      <c r="GN409" s="14"/>
      <c r="GO409" s="14"/>
      <c r="GP409" s="14"/>
      <c r="GQ409" s="14"/>
      <c r="GR409" s="14"/>
      <c r="GS409" s="14"/>
      <c r="GT409" s="14"/>
      <c r="GU409" s="14"/>
      <c r="GV409" s="14"/>
      <c r="GW409" s="14"/>
      <c r="GX409" s="14"/>
      <c r="GY409" s="14"/>
      <c r="GZ409" s="14"/>
      <c r="HA409" s="14"/>
      <c r="HB409" s="14"/>
      <c r="HC409" s="14"/>
      <c r="HD409" s="14"/>
      <c r="HE409" s="14"/>
      <c r="HF409" s="14"/>
      <c r="HG409" s="14"/>
      <c r="HH409" s="14"/>
      <c r="HI409" s="14"/>
      <c r="HJ409" s="14"/>
      <c r="HK409" s="14"/>
      <c r="HL409" s="14"/>
      <c r="HM409" s="14"/>
      <c r="HN409" s="14"/>
      <c r="HO409" s="14"/>
      <c r="HP409" s="14"/>
      <c r="HQ409" s="14"/>
      <c r="HR409" s="14"/>
      <c r="HS409" s="14"/>
      <c r="HT409" s="14"/>
    </row>
    <row r="410" spans="1:228" s="63" customFormat="1" ht="18" customHeight="1" x14ac:dyDescent="0.25">
      <c r="A410" s="8"/>
      <c r="B410" s="1555" t="s">
        <v>310</v>
      </c>
      <c r="C410" s="1555"/>
      <c r="D410" s="1555"/>
      <c r="E410" s="1555"/>
      <c r="F410" s="1555"/>
      <c r="G410" s="1555"/>
      <c r="H410" s="1555"/>
      <c r="I410" s="1555"/>
      <c r="J410" s="1555"/>
      <c r="K410" s="1555"/>
      <c r="L410" s="1555"/>
      <c r="M410" s="1555"/>
      <c r="N410" s="1555"/>
      <c r="O410" s="1555"/>
      <c r="P410" s="361"/>
      <c r="Q410" s="8"/>
      <c r="R410" s="1860" t="s">
        <v>2231</v>
      </c>
      <c r="S410" s="960" t="s">
        <v>311</v>
      </c>
      <c r="T410" s="950" t="s">
        <v>312</v>
      </c>
      <c r="U410" s="950" t="s">
        <v>1501</v>
      </c>
      <c r="V410" s="950" t="s">
        <v>313</v>
      </c>
      <c r="W410" s="950" t="s">
        <v>1358</v>
      </c>
      <c r="X410" s="18"/>
      <c r="Y410" s="165"/>
      <c r="Z410" s="18"/>
      <c r="AA410" s="18"/>
      <c r="AB410" s="18"/>
      <c r="AC410" s="60"/>
      <c r="AD410" s="60"/>
      <c r="AE410" s="60"/>
      <c r="AF410" s="60"/>
      <c r="AG410" s="60"/>
      <c r="AH410" s="60"/>
      <c r="AI410" s="60"/>
      <c r="AJ410" s="60"/>
      <c r="AK410" s="60"/>
      <c r="AL410" s="60"/>
      <c r="AM410" s="60"/>
      <c r="AN410" s="60"/>
      <c r="AO410" s="60"/>
      <c r="AP410" s="60"/>
      <c r="AQ410" s="60"/>
      <c r="AR410" s="60"/>
      <c r="AS410" s="60"/>
      <c r="AT410" s="60"/>
      <c r="AU410" s="60"/>
      <c r="AV410" s="60"/>
      <c r="AW410" s="60"/>
      <c r="AX410" s="60"/>
      <c r="AY410" s="60"/>
      <c r="AZ410" s="60"/>
      <c r="BA410" s="60"/>
      <c r="BB410" s="60"/>
      <c r="BC410" s="60"/>
      <c r="BD410" s="60"/>
      <c r="BE410" s="60"/>
      <c r="BF410" s="14"/>
      <c r="BG410" s="14"/>
      <c r="BH410" s="14"/>
      <c r="BI410" s="14"/>
      <c r="BJ410" s="14"/>
      <c r="BK410" s="14"/>
      <c r="BL410" s="14"/>
      <c r="BM410" s="14"/>
      <c r="BN410" s="14"/>
      <c r="BO410" s="14"/>
      <c r="BP410" s="14"/>
      <c r="BQ410" s="14"/>
      <c r="BR410" s="14"/>
      <c r="BS410" s="14"/>
      <c r="BT410" s="14"/>
      <c r="BU410" s="14"/>
      <c r="BV410" s="14"/>
      <c r="BW410" s="14"/>
      <c r="BX410" s="14"/>
      <c r="BY410" s="14"/>
      <c r="BZ410" s="14"/>
      <c r="CA410" s="14"/>
      <c r="CB410" s="14"/>
      <c r="CC410" s="14"/>
      <c r="CD410" s="14"/>
      <c r="CE410" s="14"/>
      <c r="CF410" s="14"/>
      <c r="CG410" s="14"/>
      <c r="CH410" s="14"/>
      <c r="CI410" s="14"/>
      <c r="CJ410" s="14"/>
      <c r="CK410" s="14"/>
      <c r="CL410" s="14"/>
      <c r="CM410" s="14"/>
      <c r="CN410" s="14"/>
      <c r="CO410" s="14"/>
      <c r="CP410" s="14"/>
      <c r="CQ410" s="14"/>
      <c r="CR410" s="14"/>
      <c r="CS410" s="14"/>
      <c r="CT410" s="14"/>
      <c r="CU410" s="14"/>
      <c r="CV410" s="14"/>
      <c r="CW410" s="14"/>
      <c r="CX410" s="14"/>
      <c r="CY410" s="14"/>
      <c r="CZ410" s="14"/>
      <c r="DA410" s="14"/>
      <c r="DB410" s="14"/>
      <c r="DC410" s="14"/>
      <c r="DD410" s="14"/>
      <c r="DE410" s="14"/>
      <c r="DF410" s="14"/>
      <c r="DG410" s="14"/>
      <c r="DH410" s="14"/>
      <c r="DI410" s="14"/>
      <c r="DJ410" s="14"/>
      <c r="DK410" s="14"/>
      <c r="DL410" s="14"/>
      <c r="DM410" s="14"/>
      <c r="DN410" s="14"/>
      <c r="DO410" s="14"/>
      <c r="DP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row>
    <row r="411" spans="1:228" s="63" customFormat="1" ht="18" customHeight="1" x14ac:dyDescent="0.2">
      <c r="A411" s="20"/>
      <c r="B411" s="1839" t="s">
        <v>1500</v>
      </c>
      <c r="C411" s="1308"/>
      <c r="D411" s="1308"/>
      <c r="E411" s="1308"/>
      <c r="F411" s="1308"/>
      <c r="G411" s="1308"/>
      <c r="H411" s="1308"/>
      <c r="I411" s="1308"/>
      <c r="J411" s="1308"/>
      <c r="K411" s="1308"/>
      <c r="L411" s="1308"/>
      <c r="M411" s="1308"/>
      <c r="N411" s="1308"/>
      <c r="O411" s="1308"/>
      <c r="P411" s="26">
        <f>IF(S417=1,0,SUMIF(S410:X410,C411,S411:X411))</f>
        <v>0</v>
      </c>
      <c r="Q411" s="35"/>
      <c r="R411" s="1959"/>
      <c r="S411" s="960">
        <v>0.05</v>
      </c>
      <c r="T411" s="960">
        <v>0.1</v>
      </c>
      <c r="U411" s="962">
        <v>0.05</v>
      </c>
      <c r="V411" s="960">
        <v>0.15</v>
      </c>
      <c r="W411" s="960">
        <v>0.25</v>
      </c>
      <c r="X411" s="19"/>
      <c r="Y411" s="115"/>
      <c r="Z411" s="19"/>
      <c r="AA411" s="18"/>
      <c r="AB411" s="19"/>
      <c r="AC411" s="18"/>
      <c r="AD411" s="18"/>
      <c r="AE411" s="18"/>
      <c r="AF411" s="18"/>
      <c r="AG411" s="18"/>
      <c r="AH411" s="18"/>
      <c r="AI411" s="111">
        <f>IF(AND(AJ523=1,AK523=1),"ERROR",SUM(M520,M521,AC521))</f>
        <v>0</v>
      </c>
      <c r="AJ411" s="1569" t="s">
        <v>350</v>
      </c>
      <c r="AK411" s="1569"/>
      <c r="AL411" s="1569"/>
      <c r="AM411" s="1569"/>
      <c r="AN411" s="1569"/>
      <c r="AO411" s="18"/>
      <c r="AP411" s="18"/>
      <c r="AQ411" s="18"/>
      <c r="AR411" s="18"/>
      <c r="AS411" s="18"/>
      <c r="AT411" s="18"/>
      <c r="AU411" s="18"/>
      <c r="AV411" s="18"/>
      <c r="AW411" s="18"/>
      <c r="AX411" s="18"/>
      <c r="AY411" s="18"/>
      <c r="AZ411" s="18"/>
      <c r="BA411" s="14"/>
      <c r="BB411" s="14"/>
      <c r="BC411" s="14"/>
      <c r="BD411" s="14"/>
      <c r="BE411" s="14"/>
      <c r="BF411" s="14"/>
      <c r="BG411" s="14"/>
      <c r="BH411" s="14"/>
      <c r="BI411" s="14"/>
      <c r="BJ411" s="14"/>
      <c r="BK411" s="14"/>
      <c r="BL411" s="14"/>
      <c r="BM411" s="14"/>
      <c r="BN411" s="14"/>
      <c r="BO411" s="14"/>
      <c r="BP411" s="14"/>
      <c r="BQ411" s="14"/>
      <c r="BR411" s="14"/>
      <c r="BS411" s="14"/>
      <c r="BT411" s="14"/>
      <c r="BU411" s="14"/>
      <c r="BV411" s="14"/>
      <c r="BW411" s="14"/>
      <c r="BX411" s="14"/>
      <c r="BY411" s="14"/>
      <c r="BZ411" s="14"/>
      <c r="CA411" s="14"/>
      <c r="CB411" s="14"/>
      <c r="CC411" s="14"/>
      <c r="CD411" s="14"/>
      <c r="CE411" s="14"/>
      <c r="CF411" s="14"/>
      <c r="CG411" s="14"/>
      <c r="CH411" s="14"/>
      <c r="CI411" s="14"/>
      <c r="CJ411" s="14"/>
      <c r="CK411" s="14"/>
      <c r="CL411" s="14"/>
      <c r="CM411" s="14"/>
      <c r="CN411" s="14"/>
      <c r="CO411" s="14"/>
      <c r="CP411" s="14"/>
      <c r="CQ411" s="14"/>
      <c r="CR411" s="14"/>
      <c r="CS411" s="14"/>
      <c r="CT411" s="14"/>
      <c r="CU411" s="14"/>
      <c r="CV411" s="14"/>
      <c r="CW411" s="14"/>
      <c r="CX411" s="14"/>
      <c r="CY411" s="14"/>
      <c r="CZ411" s="14"/>
      <c r="DA411" s="14"/>
      <c r="DB411" s="14"/>
      <c r="DC411" s="14"/>
      <c r="DD411" s="14"/>
      <c r="DE411" s="14"/>
      <c r="DF411" s="14"/>
      <c r="DG411" s="14"/>
      <c r="DH411" s="14"/>
      <c r="DI411" s="14"/>
      <c r="DJ411" s="14"/>
      <c r="DK411" s="14"/>
      <c r="DL411" s="14"/>
      <c r="DM411" s="14"/>
      <c r="DN411" s="14"/>
      <c r="DO411" s="14"/>
      <c r="DP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row>
    <row r="412" spans="1:228" s="63" customFormat="1" ht="18" customHeight="1" x14ac:dyDescent="0.2">
      <c r="A412" s="20"/>
      <c r="B412" s="1840"/>
      <c r="C412" s="1549" t="str">
        <f>IF(S417=1,"",IF(P412&gt;0,"(For partial loss of both menisci, each loss is valued at 5%.)",""))</f>
        <v/>
      </c>
      <c r="D412" s="1550"/>
      <c r="E412" s="1550"/>
      <c r="F412" s="1550"/>
      <c r="G412" s="1550"/>
      <c r="H412" s="1550"/>
      <c r="I412" s="1550"/>
      <c r="J412" s="1550"/>
      <c r="K412" s="1550"/>
      <c r="L412" s="1550"/>
      <c r="M412" s="1550"/>
      <c r="N412" s="1550"/>
      <c r="O412" s="1551"/>
      <c r="P412" s="26">
        <f>IF(S417=1,0,IF(C411=U410,0.05,0))</f>
        <v>0</v>
      </c>
      <c r="Q412" s="35"/>
      <c r="R412" s="18"/>
      <c r="S412" s="19"/>
      <c r="T412" s="19"/>
      <c r="U412" s="19"/>
      <c r="V412" s="19"/>
      <c r="W412" s="19"/>
      <c r="X412" s="19"/>
      <c r="Y412" s="115"/>
      <c r="Z412" s="19"/>
      <c r="AA412" s="18"/>
      <c r="AB412" s="19"/>
      <c r="AC412" s="18"/>
      <c r="AD412" s="18"/>
      <c r="AE412" s="18"/>
      <c r="AF412" s="18"/>
      <c r="AG412" s="18"/>
      <c r="AH412" s="18"/>
      <c r="AI412" s="111"/>
      <c r="AJ412" s="18"/>
      <c r="AK412" s="18"/>
      <c r="AL412" s="18"/>
      <c r="AM412" s="18"/>
      <c r="AN412" s="18"/>
      <c r="AO412" s="18"/>
      <c r="AP412" s="18"/>
      <c r="AQ412" s="18"/>
      <c r="AR412" s="18"/>
      <c r="AS412" s="18"/>
      <c r="AT412" s="18"/>
      <c r="AU412" s="18"/>
      <c r="AV412" s="18"/>
      <c r="AW412" s="18"/>
      <c r="AX412" s="18"/>
      <c r="AY412" s="18"/>
      <c r="AZ412" s="18"/>
      <c r="BA412" s="14"/>
      <c r="BB412" s="14"/>
      <c r="BC412" s="14"/>
      <c r="BD412" s="14"/>
      <c r="BE412" s="14"/>
      <c r="BF412" s="14"/>
      <c r="BG412" s="14"/>
      <c r="BH412" s="14"/>
      <c r="BI412" s="14"/>
      <c r="BJ412" s="14"/>
      <c r="BK412" s="14"/>
      <c r="BL412" s="14"/>
      <c r="BM412" s="14"/>
      <c r="BN412" s="14"/>
      <c r="BO412" s="14"/>
      <c r="BP412" s="14"/>
      <c r="BQ412" s="14"/>
      <c r="BR412" s="14"/>
      <c r="BS412" s="14"/>
      <c r="BT412" s="14"/>
      <c r="BU412" s="14"/>
      <c r="BV412" s="14"/>
      <c r="BW412" s="14"/>
      <c r="BX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I412" s="14"/>
      <c r="DJ412" s="14"/>
      <c r="DK412" s="14"/>
      <c r="DL412" s="14"/>
      <c r="DM412" s="14"/>
      <c r="DN412" s="14"/>
      <c r="DO412" s="14"/>
      <c r="DP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row>
    <row r="413" spans="1:228" ht="18" customHeight="1" x14ac:dyDescent="0.2">
      <c r="B413" s="2050" t="str">
        <f>IF(AND(S413=1,S417=1),"Prosthetic knee replacement - no separate award is given for meniscectomy or patellectomy.","")</f>
        <v/>
      </c>
      <c r="C413" s="1984"/>
      <c r="D413" s="1984"/>
      <c r="E413" s="1984"/>
      <c r="F413" s="1984"/>
      <c r="G413" s="1984"/>
      <c r="H413" s="1984"/>
      <c r="I413" s="1984"/>
      <c r="J413" s="1984"/>
      <c r="K413" s="1984"/>
      <c r="L413" s="1984"/>
      <c r="M413" s="1984"/>
      <c r="N413" s="1984"/>
      <c r="O413" s="1984"/>
      <c r="P413" s="26">
        <f>IF($S$417=1,0,IF(OR(R413=2,R413=3,R413=4,R413=5),0.05,0))</f>
        <v>0</v>
      </c>
      <c r="R413" s="686">
        <v>1</v>
      </c>
      <c r="S413" s="950">
        <f>IF(OR(C411&lt;&gt;"",R413&gt;1),1,0)</f>
        <v>0</v>
      </c>
      <c r="T413" s="18"/>
      <c r="U413" s="18"/>
      <c r="V413" s="18"/>
      <c r="W413" s="18">
        <v>1E-4</v>
      </c>
      <c r="X413" s="18"/>
      <c r="Y413" s="18"/>
      <c r="Z413" s="18"/>
      <c r="AA413" s="18"/>
      <c r="AB413" s="18"/>
      <c r="AC413" s="18"/>
      <c r="AD413" s="18"/>
      <c r="AE413" s="18"/>
      <c r="AF413" s="18"/>
      <c r="AG413" s="18"/>
      <c r="AH413" s="18"/>
      <c r="AI413" s="111"/>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4"/>
      <c r="BR413" s="14"/>
      <c r="BS413" s="14"/>
      <c r="BT413" s="14"/>
      <c r="BU413" s="14"/>
      <c r="BV413" s="14"/>
      <c r="BW413" s="14"/>
      <c r="BX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I413" s="14"/>
      <c r="DJ413" s="14"/>
      <c r="DK413" s="14"/>
      <c r="DL413" s="14"/>
      <c r="DM413" s="14"/>
      <c r="DN413" s="14"/>
      <c r="DO413" s="14"/>
      <c r="DP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c r="EX413" s="14"/>
      <c r="EY413" s="14"/>
      <c r="EZ413" s="14"/>
      <c r="FA413" s="14"/>
      <c r="FB413" s="14"/>
      <c r="FC413" s="14"/>
      <c r="FD413" s="14"/>
      <c r="FE413" s="14"/>
      <c r="FF413" s="14"/>
      <c r="FG413" s="14"/>
      <c r="FH413" s="14"/>
      <c r="FI413" s="14"/>
      <c r="FJ413" s="14"/>
      <c r="FK413" s="14"/>
      <c r="FL413" s="14"/>
      <c r="FM413" s="14"/>
      <c r="FN413" s="14"/>
      <c r="FO413" s="14"/>
      <c r="FP413" s="14"/>
      <c r="FQ413" s="14"/>
      <c r="FR413" s="14"/>
      <c r="FS413" s="14"/>
      <c r="FT413" s="14"/>
      <c r="FU413" s="14"/>
      <c r="FV413" s="14"/>
      <c r="FW413" s="14"/>
      <c r="FX413" s="14"/>
      <c r="FY413" s="14"/>
      <c r="FZ413" s="14"/>
      <c r="GA413" s="14"/>
      <c r="GB413" s="14"/>
      <c r="GC413" s="14"/>
      <c r="GD413" s="14"/>
      <c r="GE413" s="14"/>
      <c r="GF413" s="14"/>
      <c r="GG413" s="14"/>
      <c r="GH413" s="14"/>
      <c r="GI413" s="14"/>
      <c r="GJ413" s="14"/>
      <c r="GK413" s="14"/>
      <c r="GL413" s="14"/>
      <c r="GM413" s="14"/>
      <c r="GN413" s="14"/>
      <c r="GO413" s="14"/>
      <c r="GP413" s="14"/>
      <c r="GQ413" s="14"/>
      <c r="GR413" s="14"/>
      <c r="GS413" s="14"/>
      <c r="GT413" s="14"/>
      <c r="GU413" s="14"/>
      <c r="GV413" s="14"/>
      <c r="GW413" s="14"/>
      <c r="GX413" s="14"/>
      <c r="GY413" s="14"/>
      <c r="GZ413" s="14"/>
      <c r="HA413" s="14"/>
      <c r="HB413" s="14"/>
      <c r="HC413" s="14"/>
      <c r="HD413" s="14"/>
      <c r="HE413" s="14"/>
      <c r="HF413" s="14"/>
      <c r="HG413" s="14"/>
      <c r="HH413" s="14"/>
      <c r="HI413" s="14"/>
      <c r="HJ413" s="14"/>
      <c r="HK413" s="14"/>
      <c r="HL413" s="14"/>
      <c r="HM413" s="14"/>
      <c r="HN413" s="14"/>
      <c r="HO413" s="14"/>
      <c r="HP413" s="14"/>
      <c r="HQ413" s="14"/>
      <c r="HR413" s="14"/>
      <c r="HS413" s="14"/>
      <c r="HT413" s="14"/>
    </row>
    <row r="414" spans="1:228" ht="18" customHeight="1" x14ac:dyDescent="0.2">
      <c r="B414" s="2050"/>
      <c r="C414" s="1639"/>
      <c r="D414" s="1639"/>
      <c r="E414" s="1639"/>
      <c r="F414" s="1639"/>
      <c r="G414" s="1639"/>
      <c r="H414" s="1639"/>
      <c r="I414" s="1639"/>
      <c r="J414" s="1639"/>
      <c r="K414" s="1639"/>
      <c r="L414" s="1639"/>
      <c r="M414" s="1639"/>
      <c r="N414" s="1639"/>
      <c r="O414" s="1639"/>
      <c r="P414" s="26">
        <f>IF($S$417=1,0,IF(OR(R413=3,R413=4,R413=5),0.05,0))</f>
        <v>0</v>
      </c>
      <c r="R414" s="18"/>
      <c r="S414" s="18"/>
      <c r="T414" s="18"/>
      <c r="U414" s="18"/>
      <c r="V414" s="18"/>
      <c r="W414" s="18"/>
      <c r="X414" s="18"/>
      <c r="Y414" s="18"/>
      <c r="Z414" s="18"/>
      <c r="AA414" s="18"/>
      <c r="AB414" s="18"/>
      <c r="AC414" s="18"/>
      <c r="AD414" s="18"/>
      <c r="AE414" s="18"/>
      <c r="AF414" s="18"/>
      <c r="AG414" s="18"/>
      <c r="AH414" s="18"/>
      <c r="AI414" s="111"/>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4"/>
      <c r="BR414" s="14"/>
      <c r="BS414" s="14"/>
      <c r="BT414" s="14"/>
      <c r="BU414" s="14"/>
      <c r="BV414" s="14"/>
      <c r="BW414" s="14"/>
      <c r="BX414" s="14"/>
      <c r="BY414" s="14"/>
      <c r="BZ414" s="14"/>
      <c r="CA414" s="14"/>
      <c r="CB414" s="14"/>
      <c r="CC414" s="14"/>
      <c r="CD414" s="14"/>
      <c r="CE414" s="14"/>
      <c r="CF414" s="14"/>
      <c r="CG414" s="14"/>
      <c r="CH414" s="14"/>
      <c r="CI414" s="14"/>
      <c r="CJ414" s="14"/>
      <c r="CK414" s="14"/>
      <c r="CL414" s="14"/>
      <c r="CM414" s="14"/>
      <c r="CN414" s="14"/>
      <c r="CO414" s="14"/>
      <c r="CP414" s="14"/>
      <c r="CQ414" s="14"/>
      <c r="CR414" s="14"/>
      <c r="CS414" s="14"/>
      <c r="CT414" s="14"/>
      <c r="CU414" s="14"/>
      <c r="CV414" s="14"/>
      <c r="CW414" s="14"/>
      <c r="CX414" s="14"/>
      <c r="CY414" s="14"/>
      <c r="CZ414" s="14"/>
      <c r="DA414" s="14"/>
      <c r="DB414" s="14"/>
      <c r="DC414" s="14"/>
      <c r="DD414" s="14"/>
      <c r="DE414" s="14"/>
      <c r="DF414" s="14"/>
      <c r="DG414" s="14"/>
      <c r="DH414" s="14"/>
      <c r="DI414" s="14"/>
      <c r="DJ414" s="14"/>
      <c r="DK414" s="14"/>
      <c r="DL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c r="EX414" s="14"/>
      <c r="EY414" s="14"/>
      <c r="EZ414" s="14"/>
      <c r="FA414" s="14"/>
      <c r="FB414" s="14"/>
      <c r="FC414" s="14"/>
      <c r="FD414" s="14"/>
      <c r="FE414" s="14"/>
      <c r="FF414" s="14"/>
      <c r="FG414" s="14"/>
      <c r="FH414" s="14"/>
      <c r="FI414" s="14"/>
      <c r="FJ414" s="14"/>
      <c r="FK414" s="14"/>
      <c r="FL414" s="14"/>
      <c r="FM414" s="14"/>
      <c r="FN414" s="14"/>
      <c r="FO414" s="14"/>
      <c r="FP414" s="14"/>
      <c r="FQ414" s="14"/>
      <c r="FR414" s="14"/>
      <c r="FS414" s="14"/>
      <c r="FT414" s="14"/>
      <c r="FU414" s="14"/>
      <c r="FV414" s="14"/>
      <c r="FW414" s="14"/>
      <c r="FX414" s="14"/>
      <c r="FY414" s="14"/>
      <c r="FZ414" s="14"/>
      <c r="GA414" s="14"/>
      <c r="GB414" s="14"/>
      <c r="GC414" s="14"/>
      <c r="GD414" s="14"/>
      <c r="GE414" s="14"/>
      <c r="GF414" s="14"/>
      <c r="GG414" s="14"/>
      <c r="GH414" s="14"/>
      <c r="GI414" s="14"/>
      <c r="GJ414" s="14"/>
      <c r="GK414" s="14"/>
      <c r="GL414" s="14"/>
      <c r="GM414" s="14"/>
      <c r="GN414" s="14"/>
      <c r="GO414" s="14"/>
      <c r="GP414" s="14"/>
      <c r="GQ414" s="14"/>
      <c r="GR414" s="14"/>
      <c r="GS414" s="14"/>
      <c r="GT414" s="14"/>
      <c r="GU414" s="14"/>
      <c r="GV414" s="14"/>
      <c r="GW414" s="14"/>
      <c r="GX414" s="14"/>
      <c r="GY414" s="14"/>
      <c r="GZ414" s="14"/>
      <c r="HA414" s="14"/>
      <c r="HB414" s="14"/>
      <c r="HC414" s="14"/>
      <c r="HD414" s="14"/>
      <c r="HE414" s="14"/>
      <c r="HF414" s="14"/>
      <c r="HG414" s="14"/>
      <c r="HH414" s="14"/>
      <c r="HI414" s="14"/>
      <c r="HJ414" s="14"/>
      <c r="HK414" s="14"/>
      <c r="HL414" s="14"/>
      <c r="HM414" s="14"/>
      <c r="HN414" s="14"/>
      <c r="HO414" s="14"/>
      <c r="HP414" s="14"/>
      <c r="HQ414" s="14"/>
      <c r="HR414" s="14"/>
      <c r="HS414" s="14"/>
      <c r="HT414" s="14"/>
    </row>
    <row r="415" spans="1:228" ht="18" customHeight="1" x14ac:dyDescent="0.2">
      <c r="B415" s="2050"/>
      <c r="C415" s="1639"/>
      <c r="D415" s="1639"/>
      <c r="E415" s="1639"/>
      <c r="F415" s="1639"/>
      <c r="G415" s="1639"/>
      <c r="H415" s="1639"/>
      <c r="I415" s="1639"/>
      <c r="J415" s="1639"/>
      <c r="K415" s="1639"/>
      <c r="L415" s="1639"/>
      <c r="M415" s="1639"/>
      <c r="N415" s="1639"/>
      <c r="O415" s="1639"/>
      <c r="P415" s="26">
        <f>IF($S$417=1,0,IF(OR(R413=4,R413=5),0.05,0))</f>
        <v>0</v>
      </c>
      <c r="R415" s="18"/>
      <c r="S415" s="18"/>
      <c r="T415" s="18"/>
      <c r="U415" s="18"/>
      <c r="V415" s="18"/>
      <c r="W415" s="18"/>
      <c r="X415" s="18"/>
      <c r="Y415" s="18"/>
      <c r="Z415" s="18"/>
      <c r="AA415" s="18"/>
      <c r="AB415" s="18"/>
      <c r="AC415" s="18"/>
      <c r="AD415" s="18"/>
      <c r="AE415" s="18"/>
      <c r="AF415" s="18"/>
      <c r="AG415" s="18"/>
      <c r="AH415" s="18"/>
      <c r="AI415" s="111"/>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4"/>
      <c r="BR415" s="14"/>
      <c r="BS415" s="14"/>
      <c r="BT415" s="14"/>
      <c r="BU415" s="14"/>
      <c r="BV415" s="14"/>
      <c r="BW415" s="14"/>
      <c r="BX415" s="14"/>
      <c r="BY415" s="14"/>
      <c r="BZ415" s="14"/>
      <c r="CA415" s="14"/>
      <c r="CB415" s="14"/>
      <c r="CC415" s="14"/>
      <c r="CD415" s="14"/>
      <c r="CE415" s="14"/>
      <c r="CF415" s="14"/>
      <c r="CG415" s="14"/>
      <c r="CH415" s="14"/>
      <c r="CI415" s="14"/>
      <c r="CJ415" s="14"/>
      <c r="CK415" s="14"/>
      <c r="CL415" s="14"/>
      <c r="CM415" s="14"/>
      <c r="CN415" s="14"/>
      <c r="CO415" s="14"/>
      <c r="CP415" s="14"/>
      <c r="CQ415" s="14"/>
      <c r="CR415" s="14"/>
      <c r="CS415" s="14"/>
      <c r="CT415" s="14"/>
      <c r="CU415" s="14"/>
      <c r="CV415" s="14"/>
      <c r="CW415" s="14"/>
      <c r="CX415" s="14"/>
      <c r="CY415" s="14"/>
      <c r="CZ415" s="14"/>
      <c r="DA415" s="14"/>
      <c r="DB415" s="14"/>
      <c r="DC415" s="14"/>
      <c r="DD415" s="14"/>
      <c r="DE415" s="14"/>
      <c r="DF415" s="14"/>
      <c r="DG415" s="14"/>
      <c r="DH415" s="14"/>
      <c r="DI415" s="14"/>
      <c r="DJ415" s="14"/>
      <c r="DK415" s="14"/>
      <c r="DL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c r="EX415" s="14"/>
      <c r="EY415" s="14"/>
      <c r="EZ415" s="14"/>
      <c r="FA415" s="14"/>
      <c r="FB415" s="14"/>
      <c r="FC415" s="14"/>
      <c r="FD415" s="14"/>
      <c r="FE415" s="14"/>
      <c r="FF415" s="14"/>
      <c r="FG415" s="14"/>
      <c r="FH415" s="14"/>
      <c r="FI415" s="14"/>
      <c r="FJ415" s="14"/>
      <c r="FK415" s="14"/>
      <c r="FL415" s="14"/>
      <c r="FM415" s="14"/>
      <c r="FN415" s="14"/>
      <c r="FO415" s="14"/>
      <c r="FP415" s="14"/>
      <c r="FQ415" s="14"/>
      <c r="FR415" s="14"/>
      <c r="FS415" s="14"/>
      <c r="FT415" s="14"/>
      <c r="FU415" s="14"/>
      <c r="FV415" s="14"/>
      <c r="FW415" s="14"/>
      <c r="FX415" s="14"/>
      <c r="FY415" s="14"/>
      <c r="FZ415" s="14"/>
      <c r="GA415" s="14"/>
      <c r="GB415" s="14"/>
      <c r="GC415" s="14"/>
      <c r="GD415" s="14"/>
      <c r="GE415" s="14"/>
      <c r="GF415" s="14"/>
      <c r="GG415" s="14"/>
      <c r="GH415" s="14"/>
      <c r="GI415" s="14"/>
      <c r="GJ415" s="14"/>
      <c r="GK415" s="14"/>
      <c r="GL415" s="14"/>
      <c r="GM415" s="14"/>
      <c r="GN415" s="14"/>
      <c r="GO415" s="14"/>
      <c r="GP415" s="14"/>
      <c r="GQ415" s="14"/>
      <c r="GR415" s="14"/>
      <c r="GS415" s="14"/>
      <c r="GT415" s="14"/>
      <c r="GU415" s="14"/>
      <c r="GV415" s="14"/>
      <c r="GW415" s="14"/>
      <c r="GX415" s="14"/>
      <c r="GY415" s="14"/>
      <c r="GZ415" s="14"/>
      <c r="HA415" s="14"/>
      <c r="HB415" s="14"/>
      <c r="HC415" s="14"/>
      <c r="HD415" s="14"/>
      <c r="HE415" s="14"/>
      <c r="HF415" s="14"/>
      <c r="HG415" s="14"/>
      <c r="HH415" s="14"/>
      <c r="HI415" s="14"/>
      <c r="HJ415" s="14"/>
      <c r="HK415" s="14"/>
      <c r="HL415" s="14"/>
      <c r="HM415" s="14"/>
      <c r="HN415" s="14"/>
      <c r="HO415" s="14"/>
      <c r="HP415" s="14"/>
      <c r="HQ415" s="14"/>
      <c r="HR415" s="14"/>
      <c r="HS415" s="14"/>
      <c r="HT415" s="14"/>
    </row>
    <row r="416" spans="1:228" ht="18" customHeight="1" x14ac:dyDescent="0.2">
      <c r="B416" s="2050"/>
      <c r="C416" s="1639"/>
      <c r="D416" s="1639"/>
      <c r="E416" s="1639"/>
      <c r="F416" s="1639"/>
      <c r="G416" s="1639"/>
      <c r="H416" s="1639"/>
      <c r="I416" s="1639"/>
      <c r="J416" s="1639"/>
      <c r="K416" s="1639"/>
      <c r="L416" s="1639"/>
      <c r="M416" s="1639"/>
      <c r="N416" s="1639"/>
      <c r="O416" s="1639"/>
      <c r="P416" s="26">
        <f>IF($S$417=1,0,IF(R413=5,0.05,0))</f>
        <v>0</v>
      </c>
      <c r="R416" s="18"/>
      <c r="S416" s="18"/>
      <c r="T416" s="18"/>
      <c r="U416" s="18"/>
      <c r="V416" s="18"/>
      <c r="W416" s="18"/>
      <c r="X416" s="18"/>
      <c r="Y416" s="18"/>
      <c r="Z416" s="18"/>
      <c r="AA416" s="18"/>
      <c r="AB416" s="18"/>
      <c r="AC416" s="18"/>
      <c r="AD416" s="18"/>
      <c r="AE416" s="18"/>
      <c r="AF416" s="18"/>
      <c r="AG416" s="18"/>
      <c r="AH416" s="18"/>
      <c r="AI416" s="111"/>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4"/>
      <c r="BR416" s="14"/>
      <c r="BS416" s="14"/>
      <c r="BT416" s="14"/>
      <c r="BU416" s="14"/>
      <c r="BV416" s="14"/>
      <c r="BW416" s="14"/>
      <c r="BX416" s="14"/>
      <c r="BY416" s="14"/>
      <c r="BZ416" s="14"/>
      <c r="CA416" s="14"/>
      <c r="CB416" s="14"/>
      <c r="CC416" s="14"/>
      <c r="CD416" s="14"/>
      <c r="CE416" s="14"/>
      <c r="CF416" s="14"/>
      <c r="CG416" s="14"/>
      <c r="CH416" s="14"/>
      <c r="CI416" s="14"/>
      <c r="CJ416" s="14"/>
      <c r="CK416" s="14"/>
      <c r="CL416" s="14"/>
      <c r="CM416" s="14"/>
      <c r="CN416" s="14"/>
      <c r="CO416" s="14"/>
      <c r="CP416" s="14"/>
      <c r="CQ416" s="14"/>
      <c r="CR416" s="14"/>
      <c r="CS416" s="14"/>
      <c r="CT416" s="14"/>
      <c r="CU416" s="14"/>
      <c r="CV416" s="14"/>
      <c r="CW416" s="14"/>
      <c r="CX416" s="14"/>
      <c r="CY416" s="14"/>
      <c r="CZ416" s="14"/>
      <c r="DA416" s="14"/>
      <c r="DB416" s="14"/>
      <c r="DC416" s="14"/>
      <c r="DD416" s="14"/>
      <c r="DE416" s="14"/>
      <c r="DF416" s="14"/>
      <c r="DG416" s="14"/>
      <c r="DH416" s="14"/>
      <c r="DI416" s="14"/>
      <c r="DJ416" s="14"/>
      <c r="DK416" s="14"/>
      <c r="DL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c r="EX416" s="14"/>
      <c r="EY416" s="14"/>
      <c r="EZ416" s="14"/>
      <c r="FA416" s="14"/>
      <c r="FB416" s="14"/>
      <c r="FC416" s="14"/>
      <c r="FD416" s="14"/>
      <c r="FE416" s="14"/>
      <c r="FF416" s="14"/>
      <c r="FG416" s="14"/>
      <c r="FH416" s="14"/>
      <c r="FI416" s="14"/>
      <c r="FJ416" s="14"/>
      <c r="FK416" s="14"/>
      <c r="FL416" s="14"/>
      <c r="FM416" s="14"/>
      <c r="FN416" s="14"/>
      <c r="FO416" s="14"/>
      <c r="FP416" s="14"/>
      <c r="FQ416" s="14"/>
      <c r="FR416" s="14"/>
      <c r="FS416" s="14"/>
      <c r="FT416" s="14"/>
      <c r="FU416" s="14"/>
      <c r="FV416" s="14"/>
      <c r="FW416" s="14"/>
      <c r="FX416" s="14"/>
      <c r="FY416" s="14"/>
      <c r="FZ416" s="14"/>
      <c r="GA416" s="14"/>
      <c r="GB416" s="14"/>
      <c r="GC416" s="14"/>
      <c r="GD416" s="14"/>
      <c r="GE416" s="14"/>
      <c r="GF416" s="14"/>
      <c r="GG416" s="14"/>
      <c r="GH416" s="14"/>
      <c r="GI416" s="14"/>
      <c r="GJ416" s="14"/>
      <c r="GK416" s="14"/>
      <c r="GL416" s="14"/>
      <c r="GM416" s="14"/>
      <c r="GN416" s="14"/>
      <c r="GO416" s="14"/>
      <c r="GP416" s="14"/>
      <c r="GQ416" s="14"/>
      <c r="GR416" s="14"/>
      <c r="GS416" s="14"/>
      <c r="GT416" s="14"/>
      <c r="GU416" s="14"/>
      <c r="GV416" s="14"/>
      <c r="GW416" s="14"/>
      <c r="GX416" s="14"/>
      <c r="GY416" s="14"/>
      <c r="GZ416" s="14"/>
      <c r="HA416" s="14"/>
      <c r="HB416" s="14"/>
      <c r="HC416" s="14"/>
      <c r="HD416" s="14"/>
      <c r="HE416" s="14"/>
      <c r="HF416" s="14"/>
      <c r="HG416" s="14"/>
      <c r="HH416" s="14"/>
      <c r="HI416" s="14"/>
      <c r="HJ416" s="14"/>
      <c r="HK416" s="14"/>
      <c r="HL416" s="14"/>
      <c r="HM416" s="14"/>
      <c r="HN416" s="14"/>
      <c r="HO416" s="14"/>
      <c r="HP416" s="14"/>
      <c r="HQ416" s="14"/>
      <c r="HR416" s="14"/>
      <c r="HS416" s="14"/>
      <c r="HT416" s="14"/>
    </row>
    <row r="417" spans="1:228" ht="18" customHeight="1" x14ac:dyDescent="0.2">
      <c r="A417" s="8"/>
      <c r="B417" s="2050"/>
      <c r="C417" s="59"/>
      <c r="D417" s="1656" t="s">
        <v>1860</v>
      </c>
      <c r="E417" s="1656"/>
      <c r="F417" s="1656"/>
      <c r="G417" s="1656"/>
      <c r="H417" s="1656"/>
      <c r="I417" s="1656"/>
      <c r="J417" s="1656"/>
      <c r="K417" s="1656"/>
      <c r="L417" s="1656"/>
      <c r="M417" s="1656"/>
      <c r="N417" s="1656"/>
      <c r="O417" s="1656"/>
      <c r="P417" s="26">
        <f>IF(S417=1,0.2,0)</f>
        <v>0</v>
      </c>
      <c r="Q417" s="8"/>
      <c r="R417" s="873" t="b">
        <v>0</v>
      </c>
      <c r="S417" s="950">
        <f>IF(R417=TRUE,1,0)</f>
        <v>0</v>
      </c>
      <c r="T417" s="18"/>
      <c r="U417" s="18"/>
      <c r="V417" s="18"/>
      <c r="W417" s="18"/>
      <c r="X417" s="18"/>
      <c r="Y417" s="18"/>
      <c r="Z417" s="18"/>
      <c r="AA417" s="18"/>
      <c r="AB417" s="18"/>
      <c r="AC417" s="18"/>
      <c r="AD417" s="18"/>
      <c r="AE417" s="18"/>
      <c r="AF417" s="18"/>
      <c r="AG417" s="18"/>
      <c r="AH417" s="18"/>
      <c r="AI417" s="18"/>
      <c r="AJ417" s="18"/>
      <c r="AK417" s="18"/>
      <c r="AL417" s="18"/>
      <c r="AM417" s="18"/>
      <c r="AN417" s="115"/>
      <c r="AO417" s="115"/>
      <c r="AP417" s="115"/>
      <c r="AQ417" s="115"/>
      <c r="AR417" s="115"/>
      <c r="AS417" s="115"/>
      <c r="AT417" s="115"/>
      <c r="AU417" s="115"/>
      <c r="AV417" s="115"/>
      <c r="AW417" s="115"/>
      <c r="AX417" s="115"/>
      <c r="AY417" s="115"/>
      <c r="AZ417" s="60"/>
      <c r="BA417" s="60"/>
      <c r="BB417" s="60"/>
      <c r="BC417" s="60"/>
      <c r="BD417" s="60"/>
      <c r="BE417" s="60"/>
      <c r="BF417" s="18"/>
      <c r="BG417" s="18"/>
      <c r="BH417" s="18"/>
      <c r="BI417" s="18"/>
      <c r="BJ417" s="18"/>
      <c r="BK417" s="18"/>
      <c r="BL417" s="18"/>
      <c r="BM417" s="18"/>
      <c r="BN417" s="18"/>
      <c r="BO417" s="18"/>
      <c r="BP417" s="18"/>
      <c r="BQ417" s="14"/>
      <c r="BR417" s="14"/>
      <c r="BS417" s="14"/>
      <c r="BT417" s="14"/>
      <c r="BU417" s="14"/>
      <c r="BV417" s="14"/>
      <c r="BW417" s="14"/>
      <c r="BX417" s="14"/>
      <c r="BY417" s="14"/>
      <c r="BZ417" s="14"/>
      <c r="CA417" s="14"/>
      <c r="CB417" s="14"/>
      <c r="CC417" s="14"/>
      <c r="CD417" s="14"/>
      <c r="CE417" s="14"/>
      <c r="CF417" s="14"/>
      <c r="CG417" s="14"/>
      <c r="CH417" s="14"/>
      <c r="CI417" s="14"/>
      <c r="CJ417" s="14"/>
      <c r="CK417" s="14"/>
      <c r="CL417" s="14"/>
      <c r="CM417" s="14"/>
      <c r="CN417" s="14"/>
      <c r="CO417" s="14"/>
      <c r="CP417" s="14"/>
      <c r="CQ417" s="14"/>
      <c r="CR417" s="14"/>
      <c r="CS417" s="14"/>
      <c r="CT417" s="14"/>
      <c r="CU417" s="14"/>
      <c r="CV417" s="14"/>
      <c r="CW417" s="14"/>
      <c r="CX417" s="14"/>
      <c r="CY417" s="14"/>
      <c r="CZ417" s="14"/>
      <c r="DA417" s="14"/>
      <c r="DB417" s="14"/>
      <c r="DC417" s="14"/>
      <c r="DD417" s="14"/>
      <c r="DE417" s="14"/>
      <c r="DF417" s="14"/>
      <c r="DG417" s="14"/>
      <c r="DH417" s="14"/>
      <c r="DI417" s="14"/>
      <c r="DJ417" s="14"/>
      <c r="DK417" s="14"/>
      <c r="DL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c r="EX417" s="14"/>
      <c r="EY417" s="14"/>
      <c r="EZ417" s="14"/>
      <c r="FA417" s="14"/>
      <c r="FB417" s="14"/>
      <c r="FC417" s="14"/>
      <c r="FD417" s="14"/>
      <c r="FE417" s="14"/>
      <c r="FF417" s="14"/>
      <c r="FG417" s="14"/>
      <c r="FH417" s="14"/>
      <c r="FI417" s="14"/>
      <c r="FJ417" s="14"/>
      <c r="FK417" s="14"/>
      <c r="FL417" s="14"/>
      <c r="FM417" s="14"/>
      <c r="FN417" s="14"/>
      <c r="FO417" s="14"/>
      <c r="FP417" s="14"/>
      <c r="FQ417" s="14"/>
      <c r="FR417" s="14"/>
      <c r="FS417" s="14"/>
      <c r="FT417" s="14"/>
      <c r="FU417" s="14"/>
      <c r="FV417" s="14"/>
      <c r="FW417" s="14"/>
      <c r="FX417" s="14"/>
      <c r="FY417" s="14"/>
      <c r="FZ417" s="14"/>
      <c r="GA417" s="14"/>
      <c r="GB417" s="14"/>
      <c r="GC417" s="14"/>
      <c r="GD417" s="14"/>
      <c r="GE417" s="14"/>
      <c r="GF417" s="14"/>
      <c r="GG417" s="14"/>
      <c r="GH417" s="14"/>
      <c r="GI417" s="14"/>
      <c r="GJ417" s="14"/>
      <c r="GK417" s="14"/>
      <c r="GL417" s="14"/>
      <c r="GM417" s="14"/>
      <c r="GN417" s="14"/>
      <c r="GO417" s="14"/>
      <c r="GP417" s="14"/>
      <c r="GQ417" s="14"/>
      <c r="GR417" s="14"/>
      <c r="GS417" s="14"/>
      <c r="GT417" s="14"/>
      <c r="GU417" s="14"/>
      <c r="GV417" s="14"/>
      <c r="GW417" s="14"/>
      <c r="GX417" s="14"/>
      <c r="GY417" s="14"/>
      <c r="GZ417" s="14"/>
      <c r="HA417" s="14"/>
      <c r="HB417" s="14"/>
      <c r="HC417" s="14"/>
      <c r="HD417" s="14"/>
      <c r="HE417" s="14"/>
      <c r="HF417" s="14"/>
      <c r="HG417" s="14"/>
      <c r="HH417" s="14"/>
      <c r="HI417" s="14"/>
      <c r="HJ417" s="14"/>
      <c r="HK417" s="14"/>
      <c r="HL417" s="14"/>
      <c r="HM417" s="14"/>
      <c r="HN417" s="14"/>
      <c r="HO417" s="14"/>
      <c r="HP417" s="14"/>
      <c r="HQ417" s="14"/>
      <c r="HR417" s="14"/>
      <c r="HS417" s="14"/>
      <c r="HT417" s="14"/>
    </row>
    <row r="418" spans="1:228" ht="18" customHeight="1" x14ac:dyDescent="0.2">
      <c r="A418" s="8"/>
      <c r="B418" s="2050"/>
      <c r="C418" s="59"/>
      <c r="D418" s="1656" t="s">
        <v>1861</v>
      </c>
      <c r="E418" s="1656"/>
      <c r="F418" s="1656"/>
      <c r="G418" s="1656"/>
      <c r="H418" s="1656"/>
      <c r="I418" s="1656"/>
      <c r="J418" s="1656"/>
      <c r="K418" s="1656"/>
      <c r="L418" s="1656"/>
      <c r="M418" s="1656"/>
      <c r="N418" s="1656"/>
      <c r="O418" s="1656"/>
      <c r="P418" s="26">
        <f>IF(S418=1,0.15,0)</f>
        <v>0</v>
      </c>
      <c r="Q418" s="8"/>
      <c r="R418" s="873" t="b">
        <v>0</v>
      </c>
      <c r="S418" s="950">
        <f>IF(R418=TRUE,1,0)</f>
        <v>0</v>
      </c>
      <c r="T418" s="60"/>
      <c r="U418" s="60"/>
      <c r="V418" s="60"/>
      <c r="W418" s="60"/>
      <c r="X418" s="60"/>
      <c r="Y418" s="60"/>
      <c r="Z418" s="60"/>
      <c r="AA418" s="60"/>
      <c r="AB418" s="60"/>
      <c r="AC418" s="60"/>
      <c r="AD418" s="60"/>
      <c r="AE418" s="60"/>
      <c r="AF418" s="60"/>
      <c r="AG418" s="60"/>
      <c r="AH418" s="60"/>
      <c r="AI418" s="60"/>
      <c r="AJ418" s="60"/>
      <c r="AK418" s="60"/>
      <c r="AL418" s="60"/>
      <c r="AM418" s="60"/>
      <c r="AN418" s="60"/>
      <c r="AO418" s="60"/>
      <c r="AP418" s="60"/>
      <c r="AQ418" s="60"/>
      <c r="AR418" s="60"/>
      <c r="AS418" s="60"/>
      <c r="AT418" s="60"/>
      <c r="AU418" s="60"/>
      <c r="AV418" s="60"/>
      <c r="AW418" s="60"/>
      <c r="AX418" s="60"/>
      <c r="AY418" s="60"/>
      <c r="AZ418" s="60"/>
      <c r="BA418" s="60"/>
      <c r="BB418" s="60"/>
      <c r="BC418" s="60"/>
      <c r="BD418" s="60"/>
      <c r="BE418" s="60"/>
      <c r="BF418" s="18"/>
      <c r="BG418" s="18"/>
      <c r="BH418" s="18"/>
      <c r="BI418" s="18"/>
      <c r="BJ418" s="18"/>
      <c r="BK418" s="18"/>
      <c r="BL418" s="18"/>
      <c r="BM418" s="18"/>
      <c r="BN418" s="18"/>
      <c r="BO418" s="18"/>
      <c r="BP418" s="18"/>
      <c r="BQ418" s="14"/>
      <c r="BR418" s="14"/>
      <c r="BS418" s="14"/>
      <c r="BT418" s="14"/>
      <c r="BU418" s="14"/>
      <c r="BV418" s="14"/>
      <c r="BW418" s="14"/>
      <c r="BX418" s="14"/>
      <c r="BY418" s="14"/>
      <c r="BZ418" s="14"/>
      <c r="CA418" s="14"/>
      <c r="CB418" s="14"/>
      <c r="CC418" s="14"/>
      <c r="CD418" s="14"/>
      <c r="CE418" s="14"/>
      <c r="CF418" s="14"/>
      <c r="CG418" s="14"/>
      <c r="CH418" s="14"/>
      <c r="CI418" s="14"/>
      <c r="CJ418" s="14"/>
      <c r="CK418" s="14"/>
      <c r="CL418" s="14"/>
      <c r="CM418" s="14"/>
      <c r="CN418" s="14"/>
      <c r="CO418" s="14"/>
      <c r="CP418" s="14"/>
      <c r="CQ418" s="14"/>
      <c r="CR418" s="14"/>
      <c r="CS418" s="14"/>
      <c r="CT418" s="14"/>
      <c r="CU418" s="14"/>
      <c r="CV418" s="14"/>
      <c r="CW418" s="14"/>
      <c r="CX418" s="14"/>
      <c r="CY418" s="14"/>
      <c r="CZ418" s="14"/>
      <c r="DA418" s="14"/>
      <c r="DB418" s="14"/>
      <c r="DC418" s="14"/>
      <c r="DD418" s="14"/>
      <c r="DE418" s="14"/>
      <c r="DF418" s="14"/>
      <c r="DG418" s="14"/>
      <c r="DH418" s="14"/>
      <c r="DI418" s="14"/>
      <c r="DJ418" s="14"/>
      <c r="DK418" s="14"/>
      <c r="DL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c r="EX418" s="14"/>
      <c r="EY418" s="14"/>
      <c r="EZ418" s="14"/>
      <c r="FA418" s="14"/>
      <c r="FB418" s="14"/>
      <c r="FC418" s="14"/>
      <c r="FD418" s="14"/>
      <c r="FE418" s="14"/>
      <c r="FF418" s="14"/>
      <c r="FG418" s="14"/>
      <c r="FH418" s="14"/>
      <c r="FI418" s="14"/>
      <c r="FJ418" s="14"/>
      <c r="FK418" s="14"/>
      <c r="FL418" s="14"/>
      <c r="FM418" s="14"/>
      <c r="FN418" s="14"/>
      <c r="FO418" s="14"/>
      <c r="FP418" s="14"/>
      <c r="FQ418" s="14"/>
      <c r="FR418" s="14"/>
      <c r="FS418" s="14"/>
      <c r="FT418" s="14"/>
      <c r="FU418" s="14"/>
      <c r="FV418" s="14"/>
      <c r="FW418" s="14"/>
      <c r="FX418" s="14"/>
      <c r="FY418" s="14"/>
      <c r="FZ418" s="14"/>
      <c r="GA418" s="14"/>
      <c r="GB418" s="14"/>
      <c r="GC418" s="14"/>
      <c r="GD418" s="14"/>
      <c r="GE418" s="14"/>
      <c r="GF418" s="14"/>
      <c r="GG418" s="14"/>
      <c r="GH418" s="14"/>
      <c r="GI418" s="14"/>
      <c r="GJ418" s="14"/>
      <c r="GK418" s="14"/>
      <c r="GL418" s="14"/>
      <c r="GM418" s="14"/>
      <c r="GN418" s="14"/>
      <c r="GO418" s="14"/>
      <c r="GP418" s="14"/>
      <c r="GQ418" s="14"/>
      <c r="GR418" s="14"/>
      <c r="GS418" s="14"/>
      <c r="GT418" s="14"/>
      <c r="GU418" s="14"/>
      <c r="GV418" s="14"/>
      <c r="GW418" s="14"/>
      <c r="GX418" s="14"/>
      <c r="GY418" s="14"/>
      <c r="GZ418" s="14"/>
      <c r="HA418" s="14"/>
      <c r="HB418" s="14"/>
      <c r="HC418" s="14"/>
      <c r="HD418" s="14"/>
      <c r="HE418" s="14"/>
      <c r="HF418" s="14"/>
      <c r="HG418" s="14"/>
      <c r="HH418" s="14"/>
      <c r="HI418" s="14"/>
      <c r="HJ418" s="14"/>
      <c r="HK418" s="14"/>
      <c r="HL418" s="14"/>
      <c r="HM418" s="14"/>
      <c r="HN418" s="14"/>
      <c r="HO418" s="14"/>
      <c r="HP418" s="14"/>
      <c r="HQ418" s="14"/>
      <c r="HR418" s="14"/>
      <c r="HS418" s="14"/>
      <c r="HT418" s="14"/>
    </row>
    <row r="419" spans="1:228" ht="12" customHeight="1" x14ac:dyDescent="0.25">
      <c r="A419" s="8"/>
      <c r="B419" s="1825"/>
      <c r="C419" s="1825"/>
      <c r="D419" s="1825"/>
      <c r="E419" s="1825"/>
      <c r="F419" s="1825"/>
      <c r="G419" s="1825"/>
      <c r="H419" s="1825"/>
      <c r="I419" s="1825"/>
      <c r="J419" s="1825"/>
      <c r="K419" s="1825"/>
      <c r="L419" s="1825"/>
      <c r="M419" s="1825"/>
      <c r="N419" s="1825"/>
      <c r="O419" s="1825"/>
      <c r="Q419" s="8"/>
      <c r="R419" s="60"/>
      <c r="S419" s="60"/>
      <c r="T419" s="60"/>
      <c r="U419" s="60"/>
      <c r="V419" s="60"/>
      <c r="W419" s="60"/>
      <c r="X419" s="60"/>
      <c r="Y419" s="60"/>
      <c r="Z419" s="60"/>
      <c r="AA419" s="60"/>
      <c r="AB419" s="60"/>
      <c r="AC419" s="60"/>
      <c r="AD419" s="60"/>
      <c r="AE419" s="60"/>
      <c r="AF419" s="60"/>
      <c r="AG419" s="60"/>
      <c r="AH419" s="60"/>
      <c r="AI419" s="60"/>
      <c r="AJ419" s="60"/>
      <c r="AK419" s="60"/>
      <c r="AL419" s="60"/>
      <c r="AM419" s="60"/>
      <c r="AN419" s="60"/>
      <c r="AO419" s="60"/>
      <c r="AP419" s="60"/>
      <c r="AQ419" s="60"/>
      <c r="AR419" s="60"/>
      <c r="AS419" s="60"/>
      <c r="AT419" s="60"/>
      <c r="AU419" s="60"/>
      <c r="AV419" s="60"/>
      <c r="AW419" s="60"/>
      <c r="AX419" s="60"/>
      <c r="AY419" s="60"/>
      <c r="AZ419" s="60"/>
      <c r="BA419" s="60"/>
      <c r="BB419" s="60"/>
      <c r="BC419" s="60"/>
      <c r="BD419" s="60"/>
      <c r="BE419" s="60"/>
      <c r="BF419" s="18"/>
      <c r="BG419" s="18"/>
      <c r="BH419" s="18"/>
      <c r="BI419" s="18"/>
      <c r="BJ419" s="18"/>
      <c r="BK419" s="18"/>
      <c r="BL419" s="18"/>
      <c r="BM419" s="18"/>
      <c r="BN419" s="18"/>
      <c r="BO419" s="18"/>
      <c r="BP419" s="18"/>
      <c r="BQ419" s="14"/>
      <c r="BR419" s="14"/>
      <c r="BS419" s="14"/>
      <c r="BT419" s="14"/>
      <c r="BU419" s="14"/>
      <c r="BV419" s="14"/>
      <c r="BW419" s="14"/>
      <c r="BX419" s="14"/>
      <c r="BY419" s="14"/>
      <c r="BZ419" s="14"/>
      <c r="CA419" s="14"/>
      <c r="CB419" s="14"/>
      <c r="CC419" s="14"/>
      <c r="CD419" s="14"/>
      <c r="CE419" s="14"/>
      <c r="CF419" s="14"/>
      <c r="CG419" s="14"/>
      <c r="CH419" s="14"/>
      <c r="CI419" s="14"/>
      <c r="CJ419" s="14"/>
      <c r="CK419" s="14"/>
      <c r="CL419" s="14"/>
      <c r="CM419" s="14"/>
      <c r="CN419" s="14"/>
      <c r="CO419" s="14"/>
      <c r="CP419" s="14"/>
      <c r="CQ419" s="14"/>
      <c r="CR419" s="14"/>
      <c r="CS419" s="14"/>
      <c r="CT419" s="14"/>
      <c r="CU419" s="14"/>
      <c r="CV419" s="14"/>
      <c r="CW419" s="14"/>
      <c r="CX419" s="14"/>
      <c r="CY419" s="14"/>
      <c r="CZ419" s="14"/>
      <c r="DA419" s="14"/>
      <c r="DB419" s="14"/>
      <c r="DC419" s="14"/>
      <c r="DD419" s="14"/>
      <c r="DE419" s="14"/>
      <c r="DF419" s="14"/>
      <c r="DG419" s="14"/>
      <c r="DH419" s="14"/>
      <c r="DI419" s="14"/>
      <c r="DJ419" s="14"/>
      <c r="DK419" s="14"/>
      <c r="DL419" s="14"/>
      <c r="DM419" s="14"/>
      <c r="DN419" s="14"/>
      <c r="DO419" s="14"/>
      <c r="DP419" s="14"/>
      <c r="DQ419" s="14"/>
      <c r="DR419" s="14"/>
      <c r="DS419" s="14"/>
      <c r="DT419" s="14"/>
      <c r="DU419" s="14"/>
      <c r="DV419" s="14"/>
      <c r="DW419" s="14"/>
      <c r="DX419" s="14"/>
      <c r="DY419" s="14"/>
      <c r="DZ419" s="14"/>
      <c r="EA419" s="14"/>
      <c r="EB419" s="14"/>
      <c r="EC419" s="14"/>
      <c r="ED419" s="14"/>
      <c r="EE419" s="14"/>
      <c r="EF419" s="14"/>
      <c r="EG419" s="14"/>
      <c r="EH419" s="14"/>
      <c r="EI419" s="14"/>
      <c r="EJ419" s="14"/>
      <c r="EK419" s="14"/>
      <c r="EL419" s="14"/>
      <c r="EM419" s="14"/>
      <c r="EN419" s="14"/>
      <c r="EO419" s="14"/>
      <c r="EP419" s="14"/>
      <c r="EQ419" s="14"/>
      <c r="ER419" s="14"/>
      <c r="ES419" s="14"/>
      <c r="ET419" s="14"/>
      <c r="EU419" s="14"/>
      <c r="EV419" s="14"/>
      <c r="EW419" s="14"/>
      <c r="EX419" s="14"/>
      <c r="EY419" s="14"/>
      <c r="EZ419" s="14"/>
      <c r="FA419" s="14"/>
      <c r="FB419" s="14"/>
      <c r="FC419" s="14"/>
      <c r="FD419" s="14"/>
      <c r="FE419" s="14"/>
      <c r="FF419" s="14"/>
      <c r="FG419" s="14"/>
      <c r="FH419" s="14"/>
      <c r="FI419" s="14"/>
      <c r="FJ419" s="14"/>
      <c r="FK419" s="14"/>
      <c r="FL419" s="14"/>
      <c r="FM419" s="14"/>
      <c r="FN419" s="14"/>
      <c r="FO419" s="14"/>
      <c r="FP419" s="14"/>
      <c r="FQ419" s="14"/>
      <c r="FR419" s="14"/>
      <c r="FS419" s="14"/>
      <c r="FT419" s="14"/>
      <c r="FU419" s="14"/>
      <c r="FV419" s="14"/>
      <c r="FW419" s="14"/>
      <c r="FX419" s="14"/>
      <c r="FY419" s="14"/>
      <c r="FZ419" s="14"/>
      <c r="GA419" s="14"/>
      <c r="GB419" s="14"/>
      <c r="GC419" s="14"/>
      <c r="GD419" s="14"/>
      <c r="GE419" s="14"/>
      <c r="GF419" s="14"/>
      <c r="GG419" s="14"/>
      <c r="GH419" s="14"/>
      <c r="GI419" s="14"/>
      <c r="GJ419" s="14"/>
      <c r="GK419" s="14"/>
      <c r="GL419" s="14"/>
      <c r="GM419" s="14"/>
      <c r="GN419" s="14"/>
      <c r="GO419" s="14"/>
      <c r="GP419" s="14"/>
      <c r="GQ419" s="14"/>
      <c r="GR419" s="14"/>
      <c r="GS419" s="14"/>
      <c r="GT419" s="14"/>
      <c r="GU419" s="14"/>
      <c r="GV419" s="14"/>
      <c r="GW419" s="14"/>
      <c r="GX419" s="14"/>
      <c r="GY419" s="14"/>
      <c r="GZ419" s="14"/>
      <c r="HA419" s="14"/>
      <c r="HB419" s="14"/>
      <c r="HC419" s="14"/>
      <c r="HD419" s="14"/>
      <c r="HE419" s="14"/>
      <c r="HF419" s="14"/>
      <c r="HG419" s="14"/>
      <c r="HH419" s="14"/>
      <c r="HI419" s="14"/>
      <c r="HJ419" s="14"/>
      <c r="HK419" s="14"/>
      <c r="HL419" s="14"/>
      <c r="HM419" s="14"/>
      <c r="HN419" s="14"/>
      <c r="HO419" s="14"/>
      <c r="HP419" s="14"/>
      <c r="HQ419" s="14"/>
      <c r="HR419" s="14"/>
      <c r="HS419" s="14"/>
      <c r="HT419" s="14"/>
    </row>
    <row r="420" spans="1:228" ht="18" customHeight="1" x14ac:dyDescent="0.2">
      <c r="B420" s="1379" t="s">
        <v>223</v>
      </c>
      <c r="C420" s="1379"/>
      <c r="D420" s="1379"/>
      <c r="E420" s="1379"/>
      <c r="F420" s="1379"/>
      <c r="G420" s="1379"/>
      <c r="H420" s="1379"/>
      <c r="I420" s="1379"/>
      <c r="J420" s="1379"/>
      <c r="K420" s="1379"/>
      <c r="L420" s="1379"/>
      <c r="M420" s="1379"/>
      <c r="N420" s="1308"/>
      <c r="O420" s="1308"/>
      <c r="P420" s="965">
        <f>IF(N420=S420,0.03,IF(N420=T420,0.15,IF(N420=U420,0.38,IF(N420=V420,0.68,IF(N420=W420,0.9,0)))))</f>
        <v>0</v>
      </c>
      <c r="R420" s="1557" t="s">
        <v>2197</v>
      </c>
      <c r="S420" s="964" t="s">
        <v>1969</v>
      </c>
      <c r="T420" s="964" t="s">
        <v>1970</v>
      </c>
      <c r="U420" s="966" t="s">
        <v>1972</v>
      </c>
      <c r="V420" s="964" t="s">
        <v>945</v>
      </c>
      <c r="W420" s="966" t="s">
        <v>558</v>
      </c>
      <c r="X420" s="60"/>
      <c r="Y420" s="18"/>
      <c r="Z420" s="18"/>
      <c r="AA420" s="19"/>
      <c r="AB420" s="18"/>
      <c r="AC420" s="19"/>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4"/>
      <c r="BR420" s="14"/>
      <c r="BS420" s="14"/>
      <c r="BT420" s="14"/>
      <c r="BU420" s="14"/>
      <c r="BV420" s="14"/>
      <c r="BW420" s="14"/>
      <c r="BX420" s="14"/>
      <c r="BY420" s="14"/>
      <c r="BZ420" s="14"/>
      <c r="CA420" s="14"/>
      <c r="CB420" s="14"/>
      <c r="CC420" s="14"/>
      <c r="CD420" s="14"/>
      <c r="CE420" s="14"/>
      <c r="CF420" s="14"/>
      <c r="CG420" s="14"/>
      <c r="CH420" s="14"/>
      <c r="CI420" s="14"/>
      <c r="CJ420" s="14"/>
      <c r="CK420" s="14"/>
      <c r="CL420" s="14"/>
      <c r="CM420" s="14"/>
      <c r="CN420" s="14"/>
      <c r="CO420" s="14"/>
      <c r="CP420" s="14"/>
      <c r="CQ420" s="14"/>
      <c r="CR420" s="14"/>
      <c r="CS420" s="14"/>
      <c r="CT420" s="14"/>
      <c r="CU420" s="14"/>
      <c r="CV420" s="14"/>
      <c r="CW420" s="14"/>
      <c r="CX420" s="14"/>
      <c r="CY420" s="14"/>
      <c r="CZ420" s="14"/>
      <c r="DA420" s="14"/>
      <c r="DB420" s="14"/>
      <c r="DC420" s="14"/>
      <c r="DD420" s="14"/>
      <c r="DE420" s="14"/>
      <c r="DF420" s="14"/>
      <c r="DG420" s="14"/>
      <c r="DH420" s="14"/>
      <c r="DI420" s="14"/>
      <c r="DJ420" s="14"/>
      <c r="DK420" s="14"/>
      <c r="DL420" s="14"/>
      <c r="DM420" s="14"/>
      <c r="DN420" s="14"/>
      <c r="DO420" s="14"/>
      <c r="DP420" s="14"/>
      <c r="DQ420" s="14"/>
      <c r="DR420" s="14"/>
      <c r="DS420" s="14"/>
      <c r="DT420" s="14"/>
      <c r="DU420" s="14"/>
      <c r="DV420" s="14"/>
      <c r="DW420" s="14"/>
      <c r="DX420" s="14"/>
      <c r="DY420" s="14"/>
      <c r="DZ420" s="14"/>
      <c r="EA420" s="14"/>
      <c r="EB420" s="14"/>
      <c r="EC420" s="14"/>
      <c r="ED420" s="14"/>
      <c r="EE420" s="14"/>
      <c r="EF420" s="14"/>
      <c r="EG420" s="14"/>
      <c r="EH420" s="14"/>
      <c r="EI420" s="14"/>
      <c r="EJ420" s="14"/>
      <c r="EK420" s="14"/>
      <c r="EL420" s="14"/>
      <c r="EM420" s="14"/>
      <c r="EN420" s="14"/>
      <c r="EO420" s="14"/>
      <c r="EP420" s="14"/>
      <c r="EQ420" s="14"/>
      <c r="ER420" s="14"/>
      <c r="ES420" s="14"/>
      <c r="ET420" s="14"/>
      <c r="EU420" s="14"/>
      <c r="EV420" s="14"/>
      <c r="EW420" s="14"/>
      <c r="EX420" s="14"/>
      <c r="EY420" s="14"/>
      <c r="EZ420" s="14"/>
      <c r="FA420" s="14"/>
      <c r="FB420" s="14"/>
      <c r="FC420" s="14"/>
      <c r="FD420" s="14"/>
      <c r="FE420" s="14"/>
      <c r="FF420" s="14"/>
      <c r="FG420" s="14"/>
      <c r="FH420" s="14"/>
      <c r="FI420" s="14"/>
      <c r="FJ420" s="14"/>
      <c r="FK420" s="14"/>
      <c r="FL420" s="14"/>
      <c r="FM420" s="14"/>
      <c r="FN420" s="14"/>
      <c r="FO420" s="14"/>
      <c r="FP420" s="14"/>
      <c r="FQ420" s="14"/>
      <c r="FR420" s="14"/>
      <c r="FS420" s="14"/>
      <c r="FT420" s="14"/>
      <c r="FU420" s="14"/>
      <c r="FV420" s="14"/>
      <c r="FW420" s="14"/>
      <c r="FX420" s="14"/>
      <c r="FY420" s="14"/>
      <c r="FZ420" s="14"/>
      <c r="GA420" s="14"/>
      <c r="GB420" s="14"/>
      <c r="GC420" s="14"/>
      <c r="GD420" s="14"/>
      <c r="GE420" s="14"/>
      <c r="GF420" s="14"/>
      <c r="GG420" s="14"/>
      <c r="GH420" s="14"/>
      <c r="GI420" s="14"/>
      <c r="GJ420" s="14"/>
      <c r="GK420" s="14"/>
      <c r="GL420" s="14"/>
      <c r="GM420" s="14"/>
      <c r="GN420" s="14"/>
      <c r="GO420" s="14"/>
      <c r="GP420" s="14"/>
      <c r="GQ420" s="14"/>
      <c r="GR420" s="14"/>
      <c r="GS420" s="14"/>
      <c r="GT420" s="14"/>
      <c r="GU420" s="14"/>
      <c r="GV420" s="14"/>
      <c r="GW420" s="14"/>
      <c r="GX420" s="14"/>
      <c r="GY420" s="14"/>
      <c r="GZ420" s="14"/>
      <c r="HA420" s="14"/>
      <c r="HB420" s="14"/>
      <c r="HC420" s="14"/>
      <c r="HD420" s="14"/>
      <c r="HE420" s="14"/>
      <c r="HF420" s="14"/>
      <c r="HG420" s="14"/>
      <c r="HH420" s="14"/>
      <c r="HI420" s="14"/>
      <c r="HJ420" s="14"/>
      <c r="HK420" s="14"/>
      <c r="HL420" s="14"/>
      <c r="HM420" s="14"/>
      <c r="HN420" s="14"/>
      <c r="HO420" s="14"/>
      <c r="HP420" s="14"/>
      <c r="HQ420" s="14"/>
      <c r="HR420" s="14"/>
      <c r="HS420" s="14"/>
      <c r="HT420" s="14"/>
    </row>
    <row r="421" spans="1:228" ht="18" customHeight="1" x14ac:dyDescent="0.2">
      <c r="B421" s="1379" t="s">
        <v>738</v>
      </c>
      <c r="C421" s="1379"/>
      <c r="D421" s="1379"/>
      <c r="E421" s="1379"/>
      <c r="F421" s="1379"/>
      <c r="G421" s="1379"/>
      <c r="H421" s="1379"/>
      <c r="I421" s="1379"/>
      <c r="J421" s="1379"/>
      <c r="K421" s="1379"/>
      <c r="L421" s="1379"/>
      <c r="M421" s="1379"/>
      <c r="N421" s="1308"/>
      <c r="O421" s="1308"/>
      <c r="P421" s="965">
        <f>IF(N421=S420,0.03,IF(N421=T420,0.15,IF(N421=U420,0.35,IF(N421=V420,0.63,IF(N421=W420,0.88,0)))))</f>
        <v>0</v>
      </c>
      <c r="R421" s="1557"/>
      <c r="S421" s="19"/>
      <c r="T421" s="19"/>
      <c r="U421" s="19"/>
      <c r="V421" s="19"/>
      <c r="W421" s="19"/>
      <c r="X421" s="60"/>
      <c r="Y421" s="19"/>
      <c r="Z421" s="19"/>
      <c r="AA421" s="19"/>
      <c r="AB421" s="19"/>
      <c r="AC421" s="19"/>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4"/>
      <c r="BR421" s="14"/>
      <c r="BS421" s="14"/>
      <c r="BT421" s="14"/>
      <c r="BU421" s="14"/>
      <c r="BV421" s="14"/>
      <c r="BW421" s="14"/>
      <c r="BX421" s="14"/>
      <c r="BY421" s="14"/>
      <c r="BZ421" s="14"/>
      <c r="CA421" s="14"/>
      <c r="CB421" s="14"/>
      <c r="CC421" s="14"/>
      <c r="CD421" s="14"/>
      <c r="CE421" s="14"/>
      <c r="CF421" s="14"/>
      <c r="CG421" s="14"/>
      <c r="CH421" s="14"/>
      <c r="CI421" s="14"/>
      <c r="CJ421" s="14"/>
      <c r="CK421" s="14"/>
      <c r="CL421" s="14"/>
      <c r="CM421" s="14"/>
      <c r="CN421" s="14"/>
      <c r="CO421" s="14"/>
      <c r="CP421" s="14"/>
      <c r="CQ421" s="14"/>
      <c r="CR421" s="14"/>
      <c r="CS421" s="14"/>
      <c r="CT421" s="14"/>
      <c r="CU421" s="14"/>
      <c r="CV421" s="14"/>
      <c r="CW421" s="14"/>
      <c r="CX421" s="14"/>
      <c r="CY421" s="14"/>
      <c r="CZ421" s="14"/>
      <c r="DA421" s="14"/>
      <c r="DB421" s="14"/>
      <c r="DC421" s="14"/>
      <c r="DD421" s="14"/>
      <c r="DE421" s="14"/>
      <c r="DF421" s="14"/>
      <c r="DG421" s="14"/>
      <c r="DH421" s="14"/>
      <c r="DI421" s="14"/>
      <c r="DJ421" s="14"/>
      <c r="DK421" s="14"/>
      <c r="DL421" s="14"/>
      <c r="DM421" s="14"/>
      <c r="DN421" s="14"/>
      <c r="DO421" s="14"/>
      <c r="DP421" s="14"/>
      <c r="DQ421" s="14"/>
      <c r="DR421" s="14"/>
      <c r="DS421" s="14"/>
      <c r="DT421" s="14"/>
      <c r="DU421" s="14"/>
      <c r="DV421" s="14"/>
      <c r="DW421" s="14"/>
      <c r="DX421" s="14"/>
      <c r="DY421" s="14"/>
      <c r="DZ421" s="14"/>
      <c r="EA421" s="14"/>
      <c r="EB421" s="14"/>
      <c r="EC421" s="14"/>
      <c r="ED421" s="14"/>
      <c r="EE421" s="14"/>
      <c r="EF421" s="14"/>
      <c r="EG421" s="14"/>
      <c r="EH421" s="14"/>
      <c r="EI421" s="14"/>
      <c r="EJ421" s="14"/>
      <c r="EK421" s="14"/>
      <c r="EL421" s="14"/>
      <c r="EM421" s="14"/>
      <c r="EN421" s="14"/>
      <c r="EO421" s="14"/>
      <c r="EP421" s="14"/>
      <c r="EQ421" s="14"/>
      <c r="ER421" s="14"/>
      <c r="ES421" s="14"/>
      <c r="ET421" s="14"/>
      <c r="EU421" s="14"/>
      <c r="EV421" s="14"/>
      <c r="EW421" s="14"/>
      <c r="EX421" s="14"/>
      <c r="EY421" s="14"/>
      <c r="EZ421" s="14"/>
      <c r="FA421" s="14"/>
      <c r="FB421" s="14"/>
      <c r="FC421" s="14"/>
      <c r="FD421" s="14"/>
      <c r="FE421" s="14"/>
      <c r="FF421" s="14"/>
      <c r="FG421" s="14"/>
      <c r="FH421" s="14"/>
      <c r="FI421" s="14"/>
      <c r="FJ421" s="14"/>
      <c r="FK421" s="14"/>
      <c r="FL421" s="14"/>
      <c r="FM421" s="14"/>
      <c r="FN421" s="14"/>
      <c r="FO421" s="14"/>
      <c r="FP421" s="14"/>
      <c r="FQ421" s="14"/>
      <c r="FR421" s="14"/>
      <c r="FS421" s="14"/>
      <c r="FT421" s="14"/>
      <c r="FU421" s="14"/>
      <c r="FV421" s="14"/>
      <c r="FW421" s="14"/>
      <c r="FX421" s="14"/>
      <c r="FY421" s="14"/>
      <c r="FZ421" s="14"/>
      <c r="GA421" s="14"/>
      <c r="GB421" s="14"/>
      <c r="GC421" s="14"/>
      <c r="GD421" s="14"/>
      <c r="GE421" s="14"/>
      <c r="GF421" s="14"/>
      <c r="GG421" s="14"/>
      <c r="GH421" s="14"/>
      <c r="GI421" s="14"/>
      <c r="GJ421" s="14"/>
      <c r="GK421" s="14"/>
      <c r="GL421" s="14"/>
      <c r="GM421" s="14"/>
      <c r="GN421" s="14"/>
      <c r="GO421" s="14"/>
      <c r="GP421" s="14"/>
      <c r="GQ421" s="14"/>
      <c r="GR421" s="14"/>
      <c r="GS421" s="14"/>
      <c r="GT421" s="14"/>
      <c r="GU421" s="14"/>
      <c r="GV421" s="14"/>
      <c r="GW421" s="14"/>
      <c r="GX421" s="14"/>
      <c r="GY421" s="14"/>
      <c r="GZ421" s="14"/>
      <c r="HA421" s="14"/>
      <c r="HB421" s="14"/>
      <c r="HC421" s="14"/>
      <c r="HD421" s="14"/>
      <c r="HE421" s="14"/>
      <c r="HF421" s="14"/>
      <c r="HG421" s="14"/>
      <c r="HH421" s="14"/>
      <c r="HI421" s="14"/>
      <c r="HJ421" s="14"/>
      <c r="HK421" s="14"/>
      <c r="HL421" s="14"/>
      <c r="HM421" s="14"/>
      <c r="HN421" s="14"/>
      <c r="HO421" s="14"/>
      <c r="HP421" s="14"/>
      <c r="HQ421" s="14"/>
      <c r="HR421" s="14"/>
      <c r="HS421" s="14"/>
      <c r="HT421" s="14"/>
    </row>
    <row r="422" spans="1:228" x14ac:dyDescent="0.2">
      <c r="B422" s="1395"/>
      <c r="C422" s="1395"/>
      <c r="D422" s="1395"/>
      <c r="E422" s="1395"/>
      <c r="F422" s="1395"/>
      <c r="G422" s="1395"/>
      <c r="H422" s="1395"/>
      <c r="I422" s="1395"/>
      <c r="J422" s="1395"/>
      <c r="K422" s="1395"/>
      <c r="L422" s="1395"/>
      <c r="M422" s="1395"/>
      <c r="N422" s="1395"/>
      <c r="O422" s="1395"/>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4"/>
      <c r="BR422" s="14"/>
      <c r="BS422" s="14"/>
      <c r="BT422" s="14"/>
      <c r="BU422" s="14"/>
      <c r="BV422" s="14"/>
      <c r="BW422" s="14"/>
      <c r="BX422" s="14"/>
      <c r="BY422" s="14"/>
      <c r="BZ422" s="14"/>
      <c r="CA422" s="14"/>
      <c r="CB422" s="14"/>
      <c r="CC422" s="14"/>
      <c r="CD422" s="14"/>
      <c r="CE422" s="14"/>
      <c r="CF422" s="14"/>
      <c r="CG422" s="14"/>
      <c r="CH422" s="14"/>
      <c r="CI422" s="14"/>
      <c r="CJ422" s="14"/>
      <c r="CK422" s="14"/>
      <c r="CL422" s="14"/>
      <c r="CM422" s="14"/>
      <c r="CN422" s="14"/>
      <c r="CO422" s="14"/>
      <c r="CP422" s="14"/>
      <c r="CQ422" s="14"/>
      <c r="CR422" s="14"/>
      <c r="CS422" s="14"/>
      <c r="CT422" s="14"/>
      <c r="CU422" s="14"/>
      <c r="CV422" s="14"/>
      <c r="CW422" s="14"/>
      <c r="CX422" s="14"/>
      <c r="CY422" s="14"/>
      <c r="CZ422" s="14"/>
      <c r="DA422" s="14"/>
      <c r="DB422" s="14"/>
      <c r="DC422" s="14"/>
      <c r="DD422" s="14"/>
      <c r="DE422" s="14"/>
      <c r="DF422" s="14"/>
      <c r="DG422" s="14"/>
      <c r="DH422" s="14"/>
      <c r="DI422" s="14"/>
      <c r="DJ422" s="14"/>
      <c r="DK422" s="14"/>
      <c r="DL422" s="14"/>
      <c r="DM422" s="14"/>
      <c r="DN422" s="14"/>
      <c r="DO422" s="14"/>
      <c r="DP422" s="14"/>
      <c r="DQ422" s="14"/>
      <c r="DR422" s="14"/>
      <c r="DS422" s="14"/>
      <c r="DT422" s="14"/>
      <c r="DU422" s="14"/>
      <c r="DV422" s="14"/>
      <c r="DW422" s="14"/>
      <c r="DX422" s="14"/>
      <c r="DY422" s="14"/>
      <c r="DZ422" s="14"/>
      <c r="EA422" s="14"/>
      <c r="EB422" s="14"/>
      <c r="EC422" s="14"/>
      <c r="ED422" s="14"/>
      <c r="EE422" s="14"/>
      <c r="EF422" s="14"/>
      <c r="EG422" s="14"/>
      <c r="EH422" s="14"/>
      <c r="EI422" s="14"/>
      <c r="EJ422" s="14"/>
      <c r="EK422" s="14"/>
      <c r="EL422" s="14"/>
      <c r="EM422" s="14"/>
      <c r="EN422" s="14"/>
      <c r="EO422" s="14"/>
      <c r="EP422" s="14"/>
      <c r="EQ422" s="14"/>
      <c r="ER422" s="14"/>
      <c r="ES422" s="14"/>
      <c r="ET422" s="14"/>
      <c r="EU422" s="14"/>
      <c r="EV422" s="14"/>
      <c r="EW422" s="14"/>
      <c r="EX422" s="14"/>
      <c r="EY422" s="14"/>
      <c r="EZ422" s="14"/>
      <c r="FA422" s="14"/>
      <c r="FB422" s="14"/>
      <c r="FC422" s="14"/>
      <c r="FD422" s="14"/>
      <c r="FE422" s="14"/>
      <c r="FF422" s="14"/>
      <c r="FG422" s="14"/>
      <c r="FH422" s="14"/>
      <c r="FI422" s="14"/>
      <c r="FJ422" s="14"/>
      <c r="FK422" s="14"/>
      <c r="FL422" s="14"/>
      <c r="FM422" s="14"/>
      <c r="FN422" s="14"/>
      <c r="FO422" s="14"/>
      <c r="FP422" s="14"/>
      <c r="FQ422" s="14"/>
      <c r="FR422" s="14"/>
      <c r="FS422" s="14"/>
      <c r="FT422" s="14"/>
      <c r="FU422" s="14"/>
      <c r="FV422" s="14"/>
      <c r="FW422" s="14"/>
      <c r="FX422" s="14"/>
      <c r="FY422" s="14"/>
      <c r="FZ422" s="14"/>
      <c r="GA422" s="14"/>
      <c r="GB422" s="14"/>
      <c r="GC422" s="14"/>
      <c r="GD422" s="14"/>
      <c r="GE422" s="14"/>
      <c r="GF422" s="14"/>
      <c r="GG422" s="14"/>
      <c r="GH422" s="14"/>
      <c r="GI422" s="14"/>
      <c r="GJ422" s="14"/>
      <c r="GK422" s="14"/>
      <c r="GL422" s="14"/>
      <c r="GM422" s="14"/>
      <c r="GN422" s="14"/>
      <c r="GO422" s="14"/>
      <c r="GP422" s="14"/>
      <c r="GQ422" s="14"/>
      <c r="GR422" s="14"/>
      <c r="GS422" s="14"/>
      <c r="GT422" s="14"/>
      <c r="GU422" s="14"/>
      <c r="GV422" s="14"/>
      <c r="GW422" s="14"/>
      <c r="GX422" s="14"/>
      <c r="GY422" s="14"/>
      <c r="GZ422" s="14"/>
      <c r="HA422" s="14"/>
      <c r="HB422" s="14"/>
      <c r="HC422" s="14"/>
      <c r="HD422" s="14"/>
      <c r="HE422" s="14"/>
      <c r="HF422" s="14"/>
      <c r="HG422" s="14"/>
      <c r="HH422" s="14"/>
      <c r="HI422" s="14"/>
      <c r="HJ422" s="14"/>
      <c r="HK422" s="14"/>
      <c r="HL422" s="14"/>
      <c r="HM422" s="14"/>
      <c r="HN422" s="14"/>
      <c r="HO422" s="14"/>
      <c r="HP422" s="14"/>
      <c r="HQ422" s="14"/>
      <c r="HR422" s="14"/>
      <c r="HS422" s="14"/>
      <c r="HT422" s="14"/>
    </row>
    <row r="423" spans="1:228" ht="18" customHeight="1" x14ac:dyDescent="0.25">
      <c r="B423" s="1811" t="s">
        <v>739</v>
      </c>
      <c r="C423" s="1555"/>
      <c r="D423" s="1555"/>
      <c r="E423" s="1555"/>
      <c r="F423" s="1555"/>
      <c r="G423" s="1555"/>
      <c r="H423" s="1555"/>
      <c r="I423" s="1555"/>
      <c r="J423" s="1555"/>
      <c r="K423" s="1555"/>
      <c r="L423" s="1555"/>
      <c r="M423" s="1555"/>
      <c r="N423" s="1555"/>
      <c r="O423" s="1555"/>
      <c r="P423" s="361"/>
      <c r="R423" s="18"/>
      <c r="S423" s="18"/>
      <c r="T423" s="18"/>
      <c r="U423" s="18"/>
      <c r="V423" s="18"/>
      <c r="W423" s="18"/>
      <c r="X423" s="19"/>
      <c r="Y423" s="60"/>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4"/>
      <c r="BR423" s="14"/>
      <c r="BS423" s="14"/>
      <c r="BT423" s="14"/>
      <c r="BU423" s="14"/>
      <c r="BV423" s="14"/>
      <c r="BW423" s="14"/>
      <c r="BX423" s="14"/>
      <c r="BY423" s="14"/>
      <c r="BZ423" s="14"/>
      <c r="CA423" s="14"/>
      <c r="CB423" s="14"/>
      <c r="CC423" s="14"/>
      <c r="CD423" s="14"/>
      <c r="CE423" s="14"/>
      <c r="CF423" s="14"/>
      <c r="CG423" s="14"/>
      <c r="CH423" s="14"/>
      <c r="CI423" s="14"/>
      <c r="CJ423" s="14"/>
      <c r="CK423" s="14"/>
      <c r="CL423" s="14"/>
      <c r="CM423" s="14"/>
      <c r="CN423" s="14"/>
      <c r="CO423" s="14"/>
      <c r="CP423" s="14"/>
      <c r="CQ423" s="14"/>
      <c r="CR423" s="14"/>
      <c r="CS423" s="14"/>
      <c r="CT423" s="14"/>
      <c r="CU423" s="14"/>
      <c r="CV423" s="14"/>
      <c r="CW423" s="14"/>
      <c r="CX423" s="14"/>
      <c r="CY423" s="14"/>
      <c r="CZ423" s="14"/>
      <c r="DA423" s="14"/>
      <c r="DB423" s="14"/>
      <c r="DC423" s="14"/>
      <c r="DD423" s="14"/>
      <c r="DE423" s="14"/>
      <c r="DF423" s="14"/>
      <c r="DG423" s="14"/>
      <c r="DH423" s="14"/>
      <c r="DI423" s="14"/>
      <c r="DJ423" s="14"/>
      <c r="DK423" s="14"/>
      <c r="DL423" s="14"/>
      <c r="DM423" s="14"/>
      <c r="DN423" s="14"/>
      <c r="DO423" s="14"/>
      <c r="DP423" s="14"/>
      <c r="DQ423" s="14"/>
      <c r="DR423" s="14"/>
      <c r="DS423" s="14"/>
      <c r="DT423" s="14"/>
      <c r="DU423" s="14"/>
      <c r="DV423" s="14"/>
      <c r="DW423" s="14"/>
      <c r="DX423" s="14"/>
      <c r="DY423" s="14"/>
      <c r="DZ423" s="14"/>
      <c r="EA423" s="14"/>
      <c r="EB423" s="14"/>
      <c r="EC423" s="14"/>
      <c r="ED423" s="14"/>
      <c r="EE423" s="14"/>
      <c r="EF423" s="14"/>
      <c r="EG423" s="14"/>
      <c r="EH423" s="14"/>
      <c r="EI423" s="14"/>
      <c r="EJ423" s="14"/>
      <c r="EK423" s="14"/>
      <c r="EL423" s="14"/>
      <c r="EM423" s="14"/>
      <c r="EN423" s="14"/>
      <c r="EO423" s="14"/>
      <c r="EP423" s="14"/>
      <c r="EQ423" s="14"/>
      <c r="ER423" s="14"/>
      <c r="ES423" s="14"/>
      <c r="ET423" s="14"/>
      <c r="EU423" s="14"/>
      <c r="EV423" s="14"/>
      <c r="EW423" s="14"/>
      <c r="EX423" s="14"/>
      <c r="EY423" s="14"/>
      <c r="EZ423" s="14"/>
      <c r="FA423" s="14"/>
      <c r="FB423" s="14"/>
      <c r="FC423" s="14"/>
      <c r="FD423" s="14"/>
      <c r="FE423" s="14"/>
      <c r="FF423" s="14"/>
      <c r="FG423" s="14"/>
      <c r="FH423" s="14"/>
      <c r="FI423" s="14"/>
      <c r="FJ423" s="14"/>
      <c r="FK423" s="14"/>
      <c r="FL423" s="14"/>
      <c r="FM423" s="14"/>
      <c r="FN423" s="14"/>
      <c r="FO423" s="14"/>
      <c r="FP423" s="14"/>
      <c r="FQ423" s="14"/>
      <c r="FR423" s="14"/>
      <c r="FS423" s="14"/>
      <c r="FT423" s="14"/>
      <c r="FU423" s="14"/>
      <c r="FV423" s="14"/>
      <c r="FW423" s="14"/>
      <c r="FX423" s="14"/>
      <c r="FY423" s="14"/>
      <c r="FZ423" s="14"/>
      <c r="GA423" s="14"/>
      <c r="GB423" s="14"/>
      <c r="GC423" s="14"/>
      <c r="GD423" s="14"/>
      <c r="GE423" s="14"/>
      <c r="GF423" s="14"/>
      <c r="GG423" s="14"/>
      <c r="GH423" s="14"/>
      <c r="GI423" s="14"/>
      <c r="GJ423" s="14"/>
      <c r="GK423" s="14"/>
      <c r="GL423" s="14"/>
      <c r="GM423" s="14"/>
      <c r="GN423" s="14"/>
      <c r="GO423" s="14"/>
      <c r="GP423" s="14"/>
      <c r="GQ423" s="14"/>
      <c r="GR423" s="14"/>
      <c r="GS423" s="14"/>
      <c r="GT423" s="14"/>
      <c r="GU423" s="14"/>
      <c r="GV423" s="14"/>
      <c r="GW423" s="14"/>
      <c r="GX423" s="14"/>
      <c r="GY423" s="14"/>
      <c r="GZ423" s="14"/>
      <c r="HA423" s="14"/>
      <c r="HB423" s="14"/>
      <c r="HC423" s="14"/>
      <c r="HD423" s="14"/>
      <c r="HE423" s="14"/>
      <c r="HF423" s="14"/>
      <c r="HG423" s="14"/>
      <c r="HH423" s="14"/>
      <c r="HI423" s="14"/>
      <c r="HJ423" s="14"/>
      <c r="HK423" s="14"/>
      <c r="HL423" s="14"/>
      <c r="HM423" s="14"/>
      <c r="HN423" s="14"/>
      <c r="HO423" s="14"/>
      <c r="HP423" s="14"/>
      <c r="HQ423" s="14"/>
      <c r="HR423" s="14"/>
      <c r="HS423" s="14"/>
      <c r="HT423" s="14"/>
    </row>
    <row r="424" spans="1:228" ht="27" customHeight="1" x14ac:dyDescent="0.2">
      <c r="A424" s="20"/>
      <c r="B424" s="591" t="s">
        <v>1768</v>
      </c>
      <c r="C424" s="1998" t="s">
        <v>2022</v>
      </c>
      <c r="D424" s="1999"/>
      <c r="E424" s="1999"/>
      <c r="F424" s="1999"/>
      <c r="G424" s="1999"/>
      <c r="H424" s="1999"/>
      <c r="I424" s="1999"/>
      <c r="J424" s="1999"/>
      <c r="K424" s="1999"/>
      <c r="L424" s="1999"/>
      <c r="M424" s="1999"/>
      <c r="N424" s="1999"/>
      <c r="O424" s="2004"/>
      <c r="P424" s="1555"/>
      <c r="R424" s="60"/>
      <c r="S424" s="18"/>
      <c r="T424" s="19"/>
      <c r="U424" s="19"/>
      <c r="V424" s="19"/>
      <c r="W424" s="116">
        <v>1E-4</v>
      </c>
      <c r="X424" s="19"/>
      <c r="Y424" s="60"/>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4"/>
      <c r="BR424" s="14"/>
      <c r="BS424" s="14"/>
      <c r="BT424" s="14"/>
      <c r="BU424" s="14"/>
      <c r="BV424" s="14"/>
      <c r="BW424" s="14"/>
      <c r="BX424" s="14"/>
      <c r="BY424" s="14"/>
      <c r="BZ424" s="14"/>
      <c r="CA424" s="14"/>
      <c r="CB424" s="14"/>
      <c r="CC424" s="14"/>
      <c r="CD424" s="14"/>
      <c r="CE424" s="14"/>
      <c r="CF424" s="14"/>
      <c r="CG424" s="14"/>
      <c r="CH424" s="14"/>
      <c r="CI424" s="14"/>
      <c r="CJ424" s="14"/>
      <c r="CK424" s="14"/>
      <c r="CL424" s="14"/>
      <c r="CM424" s="14"/>
      <c r="CN424" s="14"/>
      <c r="CO424" s="14"/>
      <c r="CP424" s="14"/>
      <c r="CQ424" s="14"/>
      <c r="CR424" s="14"/>
      <c r="CS424" s="14"/>
      <c r="CT424" s="14"/>
      <c r="CU424" s="14"/>
      <c r="CV424" s="14"/>
      <c r="CW424" s="14"/>
      <c r="CX424" s="14"/>
      <c r="CY424" s="14"/>
      <c r="CZ424" s="14"/>
      <c r="DA424" s="14"/>
      <c r="DB424" s="14"/>
      <c r="DC424" s="14"/>
      <c r="DD424" s="14"/>
      <c r="DE424" s="14"/>
      <c r="DF424" s="14"/>
      <c r="DG424" s="14"/>
      <c r="DH424" s="14"/>
      <c r="DI424" s="14"/>
      <c r="DJ424" s="14"/>
      <c r="DK424" s="14"/>
      <c r="DL424" s="14"/>
      <c r="DM424" s="14"/>
      <c r="DN424" s="14"/>
      <c r="DO424" s="14"/>
      <c r="DP424" s="14"/>
      <c r="DQ424" s="14"/>
      <c r="DR424" s="14"/>
      <c r="DS424" s="14"/>
      <c r="DT424" s="14"/>
      <c r="DU424" s="14"/>
      <c r="DV424" s="14"/>
      <c r="DW424" s="14"/>
      <c r="DX424" s="14"/>
      <c r="DY424" s="14"/>
      <c r="DZ424" s="14"/>
      <c r="EA424" s="14"/>
      <c r="EB424" s="14"/>
      <c r="EC424" s="14"/>
      <c r="ED424" s="14"/>
      <c r="EE424" s="14"/>
      <c r="EF424" s="14"/>
      <c r="EG424" s="14"/>
      <c r="EH424" s="14"/>
      <c r="EI424" s="14"/>
      <c r="EJ424" s="14"/>
      <c r="EK424" s="14"/>
      <c r="EL424" s="14"/>
      <c r="EM424" s="14"/>
      <c r="EN424" s="14"/>
      <c r="EO424" s="14"/>
      <c r="EP424" s="14"/>
      <c r="EQ424" s="14"/>
      <c r="ER424" s="14"/>
      <c r="ES424" s="14"/>
      <c r="ET424" s="14"/>
      <c r="EU424" s="14"/>
      <c r="EV424" s="14"/>
      <c r="EW424" s="14"/>
      <c r="EX424" s="14"/>
      <c r="EY424" s="14"/>
      <c r="EZ424" s="14"/>
      <c r="FA424" s="14"/>
      <c r="FB424" s="14"/>
      <c r="FC424" s="14"/>
      <c r="FD424" s="14"/>
      <c r="FE424" s="14"/>
      <c r="FF424" s="14"/>
      <c r="FG424" s="14"/>
      <c r="FH424" s="14"/>
      <c r="FI424" s="14"/>
      <c r="FJ424" s="14"/>
      <c r="FK424" s="14"/>
      <c r="FL424" s="14"/>
      <c r="FM424" s="14"/>
      <c r="FN424" s="14"/>
      <c r="FO424" s="14"/>
      <c r="FP424" s="14"/>
      <c r="FQ424" s="14"/>
      <c r="FR424" s="14"/>
      <c r="FS424" s="14"/>
      <c r="FT424" s="14"/>
      <c r="FU424" s="14"/>
      <c r="FV424" s="14"/>
      <c r="FW424" s="14"/>
      <c r="FX424" s="14"/>
      <c r="FY424" s="14"/>
      <c r="FZ424" s="14"/>
      <c r="GA424" s="14"/>
      <c r="GB424" s="14"/>
      <c r="GC424" s="14"/>
      <c r="GD424" s="14"/>
      <c r="GE424" s="14"/>
      <c r="GF424" s="14"/>
      <c r="GG424" s="14"/>
      <c r="GH424" s="14"/>
      <c r="GI424" s="14"/>
      <c r="GJ424" s="14"/>
      <c r="GK424" s="14"/>
      <c r="GL424" s="14"/>
      <c r="GM424" s="14"/>
      <c r="GN424" s="14"/>
      <c r="GO424" s="14"/>
      <c r="GP424" s="14"/>
      <c r="GQ424" s="14"/>
      <c r="GR424" s="14"/>
      <c r="GS424" s="14"/>
      <c r="GT424" s="14"/>
      <c r="GU424" s="14"/>
      <c r="GV424" s="14"/>
      <c r="GW424" s="14"/>
      <c r="GX424" s="14"/>
      <c r="GY424" s="14"/>
      <c r="GZ424" s="14"/>
      <c r="HA424" s="14"/>
      <c r="HB424" s="14"/>
      <c r="HC424" s="14"/>
      <c r="HD424" s="14"/>
      <c r="HE424" s="14"/>
      <c r="HF424" s="14"/>
      <c r="HG424" s="14"/>
      <c r="HH424" s="14"/>
      <c r="HI424" s="14"/>
      <c r="HJ424" s="14"/>
      <c r="HK424" s="14"/>
      <c r="HL424" s="14"/>
      <c r="HM424" s="14"/>
      <c r="HN424" s="14"/>
      <c r="HO424" s="14"/>
      <c r="HP424" s="14"/>
      <c r="HQ424" s="14"/>
      <c r="HR424" s="14"/>
      <c r="HS424" s="14"/>
      <c r="HT424" s="14"/>
    </row>
    <row r="425" spans="1:228" ht="37.5" customHeight="1" x14ac:dyDescent="0.2">
      <c r="B425" s="592"/>
      <c r="C425" s="1998" t="s">
        <v>2023</v>
      </c>
      <c r="D425" s="1999"/>
      <c r="E425" s="1999"/>
      <c r="F425" s="1999"/>
      <c r="G425" s="1999"/>
      <c r="H425" s="1999"/>
      <c r="I425" s="1999"/>
      <c r="J425" s="1999"/>
      <c r="K425" s="1999"/>
      <c r="L425" s="1999"/>
      <c r="M425" s="1999"/>
      <c r="N425" s="1999"/>
      <c r="O425" s="2004"/>
      <c r="P425" s="1555"/>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4"/>
      <c r="BR425" s="14"/>
      <c r="BS425" s="14"/>
      <c r="BT425" s="14"/>
      <c r="BU425" s="14"/>
      <c r="BV425" s="14"/>
      <c r="BW425" s="14"/>
      <c r="BX425" s="14"/>
      <c r="BY425" s="14"/>
      <c r="BZ425" s="14"/>
      <c r="CA425" s="14"/>
      <c r="CB425" s="14"/>
      <c r="CC425" s="14"/>
      <c r="CD425" s="14"/>
      <c r="CE425" s="14"/>
      <c r="CF425" s="14"/>
      <c r="CG425" s="14"/>
      <c r="CH425" s="14"/>
      <c r="CI425" s="14"/>
      <c r="CJ425" s="14"/>
      <c r="CK425" s="14"/>
      <c r="CL425" s="14"/>
      <c r="CM425" s="14"/>
      <c r="CN425" s="14"/>
      <c r="CO425" s="14"/>
      <c r="CP425" s="14"/>
      <c r="CQ425" s="14"/>
      <c r="CR425" s="14"/>
      <c r="CS425" s="14"/>
      <c r="CT425" s="14"/>
      <c r="CU425" s="14"/>
      <c r="CV425" s="14"/>
      <c r="CW425" s="14"/>
      <c r="CX425" s="14"/>
      <c r="CY425" s="14"/>
      <c r="CZ425" s="14"/>
      <c r="DA425" s="14"/>
      <c r="DB425" s="14"/>
      <c r="DC425" s="14"/>
      <c r="DD425" s="14"/>
      <c r="DE425" s="14"/>
      <c r="DF425" s="14"/>
      <c r="DG425" s="14"/>
      <c r="DH425" s="14"/>
      <c r="DI425" s="14"/>
      <c r="DJ425" s="14"/>
      <c r="DK425" s="14"/>
      <c r="DL425" s="14"/>
      <c r="DM425" s="14"/>
      <c r="DN425" s="14"/>
      <c r="DO425" s="14"/>
      <c r="DP425" s="14"/>
      <c r="DQ425" s="14"/>
      <c r="DR425" s="14"/>
      <c r="DS425" s="14"/>
      <c r="DT425" s="14"/>
      <c r="DU425" s="14"/>
      <c r="DV425" s="14"/>
      <c r="DW425" s="14"/>
      <c r="DX425" s="14"/>
      <c r="DY425" s="14"/>
      <c r="DZ425" s="14"/>
      <c r="EA425" s="14"/>
      <c r="EB425" s="14"/>
      <c r="EC425" s="14"/>
      <c r="ED425" s="14"/>
      <c r="EE425" s="14"/>
      <c r="EF425" s="14"/>
      <c r="EG425" s="14"/>
      <c r="EH425" s="14"/>
      <c r="EI425" s="14"/>
      <c r="EJ425" s="14"/>
      <c r="EK425" s="14"/>
      <c r="EL425" s="14"/>
      <c r="EM425" s="14"/>
      <c r="EN425" s="14"/>
      <c r="EO425" s="14"/>
      <c r="EP425" s="14"/>
      <c r="EQ425" s="14"/>
      <c r="ER425" s="14"/>
      <c r="ES425" s="14"/>
      <c r="ET425" s="14"/>
      <c r="EU425" s="14"/>
      <c r="EV425" s="14"/>
      <c r="EW425" s="14"/>
      <c r="EX425" s="14"/>
      <c r="EY425" s="14"/>
      <c r="EZ425" s="14"/>
      <c r="FA425" s="14"/>
      <c r="FB425" s="14"/>
      <c r="FC425" s="14"/>
      <c r="FD425" s="14"/>
      <c r="FE425" s="14"/>
      <c r="FF425" s="14"/>
      <c r="FG425" s="14"/>
      <c r="FH425" s="14"/>
      <c r="FI425" s="14"/>
      <c r="FJ425" s="14"/>
      <c r="FK425" s="14"/>
      <c r="FL425" s="14"/>
      <c r="FM425" s="14"/>
      <c r="FN425" s="14"/>
      <c r="FO425" s="14"/>
      <c r="FP425" s="14"/>
      <c r="FQ425" s="14"/>
      <c r="FR425" s="14"/>
      <c r="FS425" s="14"/>
      <c r="FT425" s="14"/>
      <c r="FU425" s="14"/>
      <c r="FV425" s="14"/>
      <c r="FW425" s="14"/>
      <c r="FX425" s="14"/>
      <c r="FY425" s="14"/>
      <c r="FZ425" s="14"/>
      <c r="GA425" s="14"/>
      <c r="GB425" s="14"/>
      <c r="GC425" s="14"/>
      <c r="GD425" s="14"/>
      <c r="GE425" s="14"/>
      <c r="GF425" s="14"/>
      <c r="GG425" s="14"/>
      <c r="GH425" s="14"/>
      <c r="GI425" s="14"/>
      <c r="GJ425" s="14"/>
      <c r="GK425" s="14"/>
      <c r="GL425" s="14"/>
      <c r="GM425" s="14"/>
      <c r="GN425" s="14"/>
      <c r="GO425" s="14"/>
      <c r="GP425" s="14"/>
      <c r="GQ425" s="14"/>
      <c r="GR425" s="14"/>
      <c r="GS425" s="14"/>
      <c r="GT425" s="14"/>
      <c r="GU425" s="14"/>
      <c r="GV425" s="14"/>
      <c r="GW425" s="14"/>
      <c r="GX425" s="14"/>
      <c r="GY425" s="14"/>
      <c r="GZ425" s="14"/>
      <c r="HA425" s="14"/>
      <c r="HB425" s="14"/>
      <c r="HC425" s="14"/>
      <c r="HD425" s="14"/>
      <c r="HE425" s="14"/>
      <c r="HF425" s="14"/>
      <c r="HG425" s="14"/>
      <c r="HH425" s="14"/>
      <c r="HI425" s="14"/>
      <c r="HJ425" s="14"/>
      <c r="HK425" s="14"/>
      <c r="HL425" s="14"/>
      <c r="HM425" s="14"/>
      <c r="HN425" s="14"/>
      <c r="HO425" s="14"/>
      <c r="HP425" s="14"/>
      <c r="HQ425" s="14"/>
      <c r="HR425" s="14"/>
      <c r="HS425" s="14"/>
      <c r="HT425" s="14"/>
    </row>
    <row r="426" spans="1:228" ht="27" customHeight="1" x14ac:dyDescent="0.2">
      <c r="B426" s="592"/>
      <c r="C426" s="2007" t="s">
        <v>2024</v>
      </c>
      <c r="D426" s="2008"/>
      <c r="E426" s="2008"/>
      <c r="F426" s="2008"/>
      <c r="G426" s="2008"/>
      <c r="H426" s="2008"/>
      <c r="I426" s="2008"/>
      <c r="J426" s="2008"/>
      <c r="K426" s="2008"/>
      <c r="L426" s="2008"/>
      <c r="M426" s="2008"/>
      <c r="N426" s="2008"/>
      <c r="O426" s="2009"/>
      <c r="P426" s="1555"/>
      <c r="R426" s="686">
        <v>5</v>
      </c>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4"/>
      <c r="BR426" s="14"/>
      <c r="BS426" s="14"/>
      <c r="BT426" s="14"/>
      <c r="BU426" s="14"/>
      <c r="BV426" s="14"/>
      <c r="BW426" s="14"/>
      <c r="BX426" s="14"/>
      <c r="BY426" s="14"/>
      <c r="BZ426" s="14"/>
      <c r="CA426" s="14"/>
      <c r="CB426" s="14"/>
      <c r="CC426" s="14"/>
      <c r="CD426" s="14"/>
      <c r="CE426" s="14"/>
      <c r="CF426" s="14"/>
      <c r="CG426" s="14"/>
      <c r="CH426" s="14"/>
      <c r="CI426" s="14"/>
      <c r="CJ426" s="14"/>
      <c r="CK426" s="14"/>
      <c r="CL426" s="14"/>
      <c r="CM426" s="14"/>
      <c r="CN426" s="14"/>
      <c r="CO426" s="14"/>
      <c r="CP426" s="14"/>
      <c r="CQ426" s="14"/>
      <c r="CR426" s="14"/>
      <c r="CS426" s="14"/>
      <c r="CT426" s="14"/>
      <c r="CU426" s="14"/>
      <c r="CV426" s="14"/>
      <c r="CW426" s="14"/>
      <c r="CX426" s="14"/>
      <c r="CY426" s="14"/>
      <c r="CZ426" s="14"/>
      <c r="DA426" s="14"/>
      <c r="DB426" s="14"/>
      <c r="DC426" s="14"/>
      <c r="DD426" s="14"/>
      <c r="DE426" s="14"/>
      <c r="DF426" s="14"/>
      <c r="DG426" s="14"/>
      <c r="DH426" s="14"/>
      <c r="DI426" s="14"/>
      <c r="DJ426" s="14"/>
      <c r="DK426" s="14"/>
      <c r="DL426" s="14"/>
      <c r="DM426" s="14"/>
      <c r="DN426" s="14"/>
      <c r="DO426" s="14"/>
      <c r="DP426" s="14"/>
      <c r="DQ426" s="14"/>
      <c r="DR426" s="14"/>
      <c r="DS426" s="14"/>
      <c r="DT426" s="14"/>
      <c r="DU426" s="14"/>
      <c r="DV426" s="14"/>
      <c r="DW426" s="14"/>
      <c r="DX426" s="14"/>
      <c r="DY426" s="14"/>
      <c r="DZ426" s="14"/>
      <c r="EA426" s="14"/>
      <c r="EB426" s="14"/>
      <c r="EC426" s="14"/>
      <c r="ED426" s="14"/>
      <c r="EE426" s="14"/>
      <c r="EF426" s="14"/>
      <c r="EG426" s="14"/>
      <c r="EH426" s="14"/>
      <c r="EI426" s="14"/>
      <c r="EJ426" s="14"/>
      <c r="EK426" s="14"/>
      <c r="EL426" s="14"/>
      <c r="EM426" s="14"/>
      <c r="EN426" s="14"/>
      <c r="EO426" s="14"/>
      <c r="EP426" s="14"/>
      <c r="EQ426" s="14"/>
      <c r="ER426" s="14"/>
      <c r="ES426" s="14"/>
      <c r="ET426" s="14"/>
      <c r="EU426" s="14"/>
      <c r="EV426" s="14"/>
      <c r="EW426" s="14"/>
      <c r="EX426" s="14"/>
      <c r="EY426" s="14"/>
      <c r="EZ426" s="14"/>
      <c r="FA426" s="14"/>
      <c r="FB426" s="14"/>
      <c r="FC426" s="14"/>
      <c r="FD426" s="14"/>
      <c r="FE426" s="14"/>
      <c r="FF426" s="14"/>
      <c r="FG426" s="14"/>
      <c r="FH426" s="14"/>
      <c r="FI426" s="14"/>
      <c r="FJ426" s="14"/>
      <c r="FK426" s="14"/>
      <c r="FL426" s="14"/>
      <c r="FM426" s="14"/>
      <c r="FN426" s="14"/>
      <c r="FO426" s="14"/>
      <c r="FP426" s="14"/>
      <c r="FQ426" s="14"/>
      <c r="FR426" s="14"/>
      <c r="FS426" s="14"/>
      <c r="FT426" s="14"/>
      <c r="FU426" s="14"/>
      <c r="FV426" s="14"/>
      <c r="FW426" s="14"/>
      <c r="FX426" s="14"/>
      <c r="FY426" s="14"/>
      <c r="FZ426" s="14"/>
      <c r="GA426" s="14"/>
      <c r="GB426" s="14"/>
      <c r="GC426" s="14"/>
      <c r="GD426" s="14"/>
      <c r="GE426" s="14"/>
      <c r="GF426" s="14"/>
      <c r="GG426" s="14"/>
      <c r="GH426" s="14"/>
      <c r="GI426" s="14"/>
      <c r="GJ426" s="14"/>
      <c r="GK426" s="14"/>
      <c r="GL426" s="14"/>
      <c r="GM426" s="14"/>
      <c r="GN426" s="14"/>
      <c r="GO426" s="14"/>
      <c r="GP426" s="14"/>
      <c r="GQ426" s="14"/>
      <c r="GR426" s="14"/>
      <c r="GS426" s="14"/>
      <c r="GT426" s="14"/>
      <c r="GU426" s="14"/>
      <c r="GV426" s="14"/>
      <c r="GW426" s="14"/>
      <c r="GX426" s="14"/>
      <c r="GY426" s="14"/>
      <c r="GZ426" s="14"/>
      <c r="HA426" s="14"/>
      <c r="HB426" s="14"/>
      <c r="HC426" s="14"/>
      <c r="HD426" s="14"/>
      <c r="HE426" s="14"/>
      <c r="HF426" s="14"/>
      <c r="HG426" s="14"/>
      <c r="HH426" s="14"/>
      <c r="HI426" s="14"/>
      <c r="HJ426" s="14"/>
      <c r="HK426" s="14"/>
      <c r="HL426" s="14"/>
      <c r="HM426" s="14"/>
      <c r="HN426" s="14"/>
      <c r="HO426" s="14"/>
      <c r="HP426" s="14"/>
      <c r="HQ426" s="14"/>
      <c r="HR426" s="14"/>
      <c r="HS426" s="14"/>
      <c r="HT426" s="14"/>
    </row>
    <row r="427" spans="1:228" ht="27" customHeight="1" x14ac:dyDescent="0.2">
      <c r="B427" s="593"/>
      <c r="C427" s="1998" t="s">
        <v>2025</v>
      </c>
      <c r="D427" s="1999"/>
      <c r="E427" s="1999"/>
      <c r="F427" s="1999"/>
      <c r="G427" s="1999"/>
      <c r="H427" s="1999"/>
      <c r="I427" s="1999"/>
      <c r="J427" s="1999"/>
      <c r="K427" s="1999"/>
      <c r="L427" s="1999"/>
      <c r="M427" s="1999"/>
      <c r="N427" s="1999"/>
      <c r="O427" s="1999"/>
      <c r="P427" s="26">
        <f>IF(R426=1,0.23,IF(R426=2,0.48,IF(R426=3,0.76,IF(R426=4,1,0))))</f>
        <v>0</v>
      </c>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4"/>
      <c r="BR427" s="14"/>
      <c r="BS427" s="14"/>
      <c r="BT427" s="14"/>
      <c r="BU427" s="14"/>
      <c r="BV427" s="14"/>
      <c r="BW427" s="14"/>
      <c r="BX427" s="14"/>
      <c r="BY427" s="14"/>
      <c r="BZ427" s="14"/>
      <c r="CA427" s="14"/>
      <c r="CB427" s="14"/>
      <c r="CC427" s="14"/>
      <c r="CD427" s="14"/>
      <c r="CE427" s="14"/>
      <c r="CF427" s="14"/>
      <c r="CG427" s="14"/>
      <c r="CH427" s="14"/>
      <c r="CI427" s="14"/>
      <c r="CJ427" s="14"/>
      <c r="CK427" s="14"/>
      <c r="CL427" s="14"/>
      <c r="CM427" s="14"/>
      <c r="CN427" s="14"/>
      <c r="CO427" s="14"/>
      <c r="CP427" s="14"/>
      <c r="CQ427" s="14"/>
      <c r="CR427" s="14"/>
      <c r="CS427" s="14"/>
      <c r="CT427" s="14"/>
      <c r="CU427" s="14"/>
      <c r="CV427" s="14"/>
      <c r="CW427" s="14"/>
      <c r="CX427" s="14"/>
      <c r="CY427" s="14"/>
      <c r="CZ427" s="14"/>
      <c r="DA427" s="14"/>
      <c r="DB427" s="14"/>
      <c r="DC427" s="14"/>
      <c r="DD427" s="14"/>
      <c r="DE427" s="14"/>
      <c r="DF427" s="14"/>
      <c r="DG427" s="14"/>
      <c r="DH427" s="14"/>
      <c r="DI427" s="14"/>
      <c r="DJ427" s="14"/>
      <c r="DK427" s="14"/>
      <c r="DL427" s="14"/>
      <c r="DM427" s="14"/>
      <c r="DN427" s="14"/>
      <c r="DO427" s="14"/>
      <c r="DP427" s="14"/>
      <c r="DQ427" s="14"/>
      <c r="DR427" s="14"/>
      <c r="DS427" s="14"/>
      <c r="DT427" s="14"/>
      <c r="DU427" s="14"/>
      <c r="DV427" s="14"/>
      <c r="DW427" s="14"/>
      <c r="DX427" s="14"/>
      <c r="DY427" s="14"/>
      <c r="DZ427" s="14"/>
      <c r="EA427" s="14"/>
      <c r="EB427" s="14"/>
      <c r="EC427" s="14"/>
      <c r="ED427" s="14"/>
      <c r="EE427" s="14"/>
      <c r="EF427" s="14"/>
      <c r="EG427" s="14"/>
      <c r="EH427" s="14"/>
      <c r="EI427" s="14"/>
      <c r="EJ427" s="14"/>
      <c r="EK427" s="14"/>
      <c r="EL427" s="14"/>
      <c r="EM427" s="14"/>
      <c r="EN427" s="14"/>
      <c r="EO427" s="14"/>
      <c r="EP427" s="14"/>
      <c r="EQ427" s="14"/>
      <c r="ER427" s="14"/>
      <c r="ES427" s="14"/>
      <c r="ET427" s="14"/>
      <c r="EU427" s="14"/>
      <c r="EV427" s="14"/>
      <c r="EW427" s="14"/>
      <c r="EX427" s="14"/>
      <c r="EY427" s="14"/>
      <c r="EZ427" s="14"/>
      <c r="FA427" s="14"/>
      <c r="FB427" s="14"/>
      <c r="FC427" s="14"/>
      <c r="FD427" s="14"/>
      <c r="FE427" s="14"/>
      <c r="FF427" s="14"/>
      <c r="FG427" s="14"/>
      <c r="FH427" s="14"/>
      <c r="FI427" s="14"/>
      <c r="FJ427" s="14"/>
      <c r="FK427" s="14"/>
      <c r="FL427" s="14"/>
      <c r="FM427" s="14"/>
      <c r="FN427" s="14"/>
      <c r="FO427" s="14"/>
      <c r="FP427" s="14"/>
      <c r="FQ427" s="14"/>
      <c r="FR427" s="14"/>
      <c r="FS427" s="14"/>
      <c r="FT427" s="14"/>
      <c r="FU427" s="14"/>
      <c r="FV427" s="14"/>
      <c r="FW427" s="14"/>
      <c r="FX427" s="14"/>
      <c r="FY427" s="14"/>
      <c r="FZ427" s="14"/>
      <c r="GA427" s="14"/>
      <c r="GB427" s="14"/>
      <c r="GC427" s="14"/>
      <c r="GD427" s="14"/>
      <c r="GE427" s="14"/>
      <c r="GF427" s="14"/>
      <c r="GG427" s="14"/>
      <c r="GH427" s="14"/>
      <c r="GI427" s="14"/>
      <c r="GJ427" s="14"/>
      <c r="GK427" s="14"/>
      <c r="GL427" s="14"/>
      <c r="GM427" s="14"/>
      <c r="GN427" s="14"/>
      <c r="GO427" s="14"/>
      <c r="GP427" s="14"/>
      <c r="GQ427" s="14"/>
      <c r="GR427" s="14"/>
      <c r="GS427" s="14"/>
      <c r="GT427" s="14"/>
      <c r="GU427" s="14"/>
      <c r="GV427" s="14"/>
      <c r="GW427" s="14"/>
      <c r="GX427" s="14"/>
      <c r="GY427" s="14"/>
      <c r="GZ427" s="14"/>
      <c r="HA427" s="14"/>
      <c r="HB427" s="14"/>
      <c r="HC427" s="14"/>
      <c r="HD427" s="14"/>
      <c r="HE427" s="14"/>
      <c r="HF427" s="14"/>
      <c r="HG427" s="14"/>
      <c r="HH427" s="14"/>
      <c r="HI427" s="14"/>
      <c r="HJ427" s="14"/>
      <c r="HK427" s="14"/>
      <c r="HL427" s="14"/>
      <c r="HM427" s="14"/>
      <c r="HN427" s="14"/>
      <c r="HO427" s="14"/>
      <c r="HP427" s="14"/>
      <c r="HQ427" s="14"/>
      <c r="HR427" s="14"/>
      <c r="HS427" s="14"/>
      <c r="HT427" s="14"/>
    </row>
    <row r="428" spans="1:228" ht="12" customHeight="1" x14ac:dyDescent="0.2">
      <c r="B428" s="1395"/>
      <c r="C428" s="1395"/>
      <c r="D428" s="1395"/>
      <c r="E428" s="1395"/>
      <c r="F428" s="1395"/>
      <c r="G428" s="1395"/>
      <c r="H428" s="1395"/>
      <c r="I428" s="1395"/>
      <c r="J428" s="1395"/>
      <c r="K428" s="1395"/>
      <c r="L428" s="1395"/>
      <c r="M428" s="1395"/>
      <c r="N428" s="1395"/>
      <c r="O428" s="1395"/>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4"/>
      <c r="BR428" s="14"/>
      <c r="BS428" s="14"/>
      <c r="BT428" s="14"/>
      <c r="BU428" s="14"/>
      <c r="BV428" s="14"/>
      <c r="BW428" s="14"/>
      <c r="BX428" s="14"/>
      <c r="BY428" s="14"/>
      <c r="BZ428" s="14"/>
      <c r="CA428" s="14"/>
      <c r="CB428" s="14"/>
      <c r="CC428" s="14"/>
      <c r="CD428" s="14"/>
      <c r="CE428" s="14"/>
      <c r="CF428" s="14"/>
      <c r="CG428" s="14"/>
      <c r="CH428" s="14"/>
      <c r="CI428" s="14"/>
      <c r="CJ428" s="14"/>
      <c r="CK428" s="14"/>
      <c r="CL428" s="14"/>
      <c r="CM428" s="14"/>
      <c r="CN428" s="14"/>
      <c r="CO428" s="14"/>
      <c r="CP428" s="14"/>
      <c r="CQ428" s="14"/>
      <c r="CR428" s="14"/>
      <c r="CS428" s="14"/>
      <c r="CT428" s="14"/>
      <c r="CU428" s="14"/>
      <c r="CV428" s="14"/>
      <c r="CW428" s="14"/>
      <c r="CX428" s="14"/>
      <c r="CY428" s="14"/>
      <c r="CZ428" s="14"/>
      <c r="DA428" s="14"/>
      <c r="DB428" s="14"/>
      <c r="DC428" s="14"/>
      <c r="DD428" s="14"/>
      <c r="DE428" s="14"/>
      <c r="DF428" s="14"/>
      <c r="DG428" s="14"/>
      <c r="DH428" s="14"/>
      <c r="DI428" s="14"/>
      <c r="DJ428" s="14"/>
      <c r="DK428" s="14"/>
      <c r="DL428" s="14"/>
      <c r="DM428" s="14"/>
      <c r="DN428" s="14"/>
      <c r="DO428" s="14"/>
      <c r="DP428" s="14"/>
      <c r="DQ428" s="14"/>
      <c r="DR428" s="14"/>
      <c r="DS428" s="14"/>
      <c r="DT428" s="14"/>
      <c r="DU428" s="14"/>
      <c r="DV428" s="14"/>
      <c r="DW428" s="14"/>
      <c r="DX428" s="14"/>
      <c r="DY428" s="14"/>
      <c r="DZ428" s="14"/>
      <c r="EA428" s="14"/>
      <c r="EB428" s="14"/>
      <c r="EC428" s="14"/>
      <c r="ED428" s="14"/>
      <c r="EE428" s="14"/>
      <c r="EF428" s="14"/>
      <c r="EG428" s="14"/>
      <c r="EH428" s="14"/>
      <c r="EI428" s="14"/>
      <c r="EJ428" s="14"/>
      <c r="EK428" s="14"/>
      <c r="EL428" s="14"/>
      <c r="EM428" s="14"/>
      <c r="EN428" s="14"/>
      <c r="EO428" s="14"/>
      <c r="EP428" s="14"/>
      <c r="EQ428" s="14"/>
      <c r="ER428" s="14"/>
      <c r="ES428" s="14"/>
      <c r="ET428" s="14"/>
      <c r="EU428" s="14"/>
      <c r="EV428" s="14"/>
      <c r="EW428" s="14"/>
      <c r="EX428" s="14"/>
      <c r="EY428" s="14"/>
      <c r="EZ428" s="14"/>
      <c r="FA428" s="14"/>
      <c r="FB428" s="14"/>
      <c r="FC428" s="14"/>
      <c r="FD428" s="14"/>
      <c r="FE428" s="14"/>
      <c r="FF428" s="14"/>
      <c r="FG428" s="14"/>
      <c r="FH428" s="14"/>
      <c r="FI428" s="14"/>
      <c r="FJ428" s="14"/>
      <c r="FK428" s="14"/>
      <c r="FL428" s="14"/>
      <c r="FM428" s="14"/>
      <c r="FN428" s="14"/>
      <c r="FO428" s="14"/>
      <c r="FP428" s="14"/>
      <c r="FQ428" s="14"/>
      <c r="FR428" s="14"/>
      <c r="FS428" s="14"/>
      <c r="FT428" s="14"/>
      <c r="FU428" s="14"/>
      <c r="FV428" s="14"/>
      <c r="FW428" s="14"/>
      <c r="FX428" s="14"/>
      <c r="FY428" s="14"/>
      <c r="FZ428" s="14"/>
      <c r="GA428" s="14"/>
      <c r="GB428" s="14"/>
      <c r="GC428" s="14"/>
      <c r="GD428" s="14"/>
      <c r="GE428" s="14"/>
      <c r="GF428" s="14"/>
      <c r="GG428" s="14"/>
      <c r="GH428" s="14"/>
      <c r="GI428" s="14"/>
      <c r="GJ428" s="14"/>
      <c r="GK428" s="14"/>
      <c r="GL428" s="14"/>
      <c r="GM428" s="14"/>
      <c r="GN428" s="14"/>
      <c r="GO428" s="14"/>
      <c r="GP428" s="14"/>
      <c r="GQ428" s="14"/>
      <c r="GR428" s="14"/>
      <c r="GS428" s="14"/>
      <c r="GT428" s="14"/>
      <c r="GU428" s="14"/>
      <c r="GV428" s="14"/>
      <c r="GW428" s="14"/>
      <c r="GX428" s="14"/>
      <c r="GY428" s="14"/>
      <c r="GZ428" s="14"/>
      <c r="HA428" s="14"/>
      <c r="HB428" s="14"/>
      <c r="HC428" s="14"/>
      <c r="HD428" s="14"/>
      <c r="HE428" s="14"/>
      <c r="HF428" s="14"/>
      <c r="HG428" s="14"/>
      <c r="HH428" s="14"/>
      <c r="HI428" s="14"/>
      <c r="HJ428" s="14"/>
      <c r="HK428" s="14"/>
      <c r="HL428" s="14"/>
      <c r="HM428" s="14"/>
      <c r="HN428" s="14"/>
      <c r="HO428" s="14"/>
      <c r="HP428" s="14"/>
      <c r="HQ428" s="14"/>
      <c r="HR428" s="14"/>
      <c r="HS428" s="14"/>
      <c r="HT428" s="14"/>
    </row>
    <row r="429" spans="1:228" ht="18" customHeight="1" x14ac:dyDescent="0.25">
      <c r="A429" s="8"/>
      <c r="B429" s="1848" t="s">
        <v>700</v>
      </c>
      <c r="C429" s="1848"/>
      <c r="D429" s="1848"/>
      <c r="E429" s="1848"/>
      <c r="F429" s="1848"/>
      <c r="G429" s="1864"/>
      <c r="H429" s="1864"/>
      <c r="I429" s="1864"/>
      <c r="J429" s="1864"/>
      <c r="K429" s="1864"/>
      <c r="L429" s="1864"/>
      <c r="M429" s="1864"/>
      <c r="N429" s="1864"/>
      <c r="O429" s="1864"/>
      <c r="P429" s="361"/>
      <c r="Q429" s="8"/>
      <c r="R429" s="60"/>
      <c r="S429" s="60"/>
      <c r="T429" s="60"/>
      <c r="U429" s="60"/>
      <c r="V429" s="60"/>
      <c r="W429" s="60"/>
      <c r="X429" s="60"/>
      <c r="Y429" s="60"/>
      <c r="Z429" s="60"/>
      <c r="AA429" s="60"/>
      <c r="AB429" s="60"/>
      <c r="AC429" s="60"/>
      <c r="AD429" s="60"/>
      <c r="AE429" s="60"/>
      <c r="AF429" s="60"/>
      <c r="AG429" s="60"/>
      <c r="AH429" s="60"/>
      <c r="AI429" s="60"/>
      <c r="AJ429" s="60"/>
      <c r="AK429" s="60"/>
      <c r="AL429" s="60"/>
      <c r="AM429" s="60"/>
      <c r="AN429" s="60"/>
      <c r="AO429" s="60"/>
      <c r="AP429" s="60"/>
      <c r="AQ429" s="60"/>
      <c r="AR429" s="60"/>
      <c r="AS429" s="60"/>
      <c r="AT429" s="60"/>
      <c r="AU429" s="60"/>
      <c r="AV429" s="60"/>
      <c r="AW429" s="60"/>
      <c r="AX429" s="60"/>
      <c r="AY429" s="60"/>
      <c r="AZ429" s="60"/>
      <c r="BA429" s="60"/>
      <c r="BB429" s="60"/>
      <c r="BC429" s="60"/>
      <c r="BD429" s="60"/>
      <c r="BE429" s="60"/>
      <c r="BF429" s="18"/>
      <c r="BG429" s="18"/>
      <c r="BH429" s="18"/>
      <c r="BI429" s="18"/>
      <c r="BJ429" s="18"/>
      <c r="BK429" s="18"/>
      <c r="BL429" s="18"/>
      <c r="BM429" s="18"/>
      <c r="BN429" s="18"/>
      <c r="BO429" s="18"/>
      <c r="BP429" s="18"/>
      <c r="BQ429" s="14"/>
      <c r="BR429" s="14"/>
      <c r="BS429" s="14"/>
      <c r="BT429" s="14"/>
      <c r="BU429" s="14"/>
      <c r="BV429" s="14"/>
      <c r="BW429" s="14"/>
      <c r="BX429" s="14"/>
      <c r="BY429" s="14"/>
      <c r="BZ429" s="14"/>
      <c r="CA429" s="14"/>
      <c r="CB429" s="14"/>
      <c r="CC429" s="14"/>
      <c r="CD429" s="14"/>
      <c r="CE429" s="14"/>
      <c r="CF429" s="14"/>
      <c r="CG429" s="14"/>
      <c r="CH429" s="14"/>
      <c r="CI429" s="14"/>
      <c r="CJ429" s="14"/>
      <c r="CK429" s="14"/>
      <c r="CL429" s="14"/>
      <c r="CM429" s="14"/>
      <c r="CN429" s="14"/>
      <c r="CO429" s="14"/>
      <c r="CP429" s="14"/>
      <c r="CQ429" s="14"/>
      <c r="CR429" s="14"/>
      <c r="CS429" s="14"/>
      <c r="CT429" s="14"/>
      <c r="CU429" s="14"/>
      <c r="CV429" s="14"/>
      <c r="CW429" s="14"/>
      <c r="CX429" s="14"/>
      <c r="CY429" s="14"/>
      <c r="CZ429" s="14"/>
      <c r="DA429" s="14"/>
      <c r="DB429" s="14"/>
      <c r="DC429" s="14"/>
      <c r="DD429" s="14"/>
      <c r="DE429" s="14"/>
      <c r="DF429" s="14"/>
      <c r="DG429" s="14"/>
      <c r="DH429" s="14"/>
      <c r="DI429" s="14"/>
      <c r="DJ429" s="14"/>
      <c r="DK429" s="14"/>
      <c r="DL429" s="14"/>
      <c r="DM429" s="14"/>
      <c r="DN429" s="14"/>
      <c r="DO429" s="14"/>
      <c r="DP429" s="14"/>
      <c r="DQ429" s="14"/>
      <c r="DR429" s="14"/>
      <c r="DS429" s="14"/>
      <c r="DT429" s="14"/>
      <c r="DU429" s="14"/>
      <c r="DV429" s="14"/>
      <c r="DW429" s="14"/>
      <c r="DX429" s="14"/>
      <c r="DY429" s="14"/>
      <c r="DZ429" s="14"/>
      <c r="EA429" s="14"/>
      <c r="EB429" s="14"/>
      <c r="EC429" s="14"/>
      <c r="ED429" s="14"/>
      <c r="EE429" s="14"/>
      <c r="EF429" s="14"/>
      <c r="EG429" s="14"/>
      <c r="EH429" s="14"/>
      <c r="EI429" s="14"/>
      <c r="EJ429" s="14"/>
      <c r="EK429" s="14"/>
      <c r="EL429" s="14"/>
      <c r="EM429" s="14"/>
      <c r="EN429" s="14"/>
      <c r="EO429" s="14"/>
      <c r="EP429" s="14"/>
      <c r="EQ429" s="14"/>
      <c r="ER429" s="14"/>
      <c r="ES429" s="14"/>
      <c r="ET429" s="14"/>
      <c r="EU429" s="14"/>
      <c r="EV429" s="14"/>
      <c r="EW429" s="14"/>
      <c r="EX429" s="14"/>
      <c r="EY429" s="14"/>
      <c r="EZ429" s="14"/>
      <c r="FA429" s="14"/>
      <c r="FB429" s="14"/>
      <c r="FC429" s="14"/>
      <c r="FD429" s="14"/>
      <c r="FE429" s="14"/>
      <c r="FF429" s="14"/>
      <c r="FG429" s="14"/>
      <c r="FH429" s="14"/>
      <c r="FI429" s="14"/>
      <c r="FJ429" s="14"/>
      <c r="FK429" s="14"/>
      <c r="FL429" s="14"/>
      <c r="FM429" s="14"/>
      <c r="FN429" s="14"/>
      <c r="FO429" s="14"/>
      <c r="FP429" s="14"/>
      <c r="FQ429" s="14"/>
      <c r="FR429" s="14"/>
      <c r="FS429" s="14"/>
      <c r="FT429" s="14"/>
      <c r="FU429" s="14"/>
      <c r="FV429" s="14"/>
      <c r="FW429" s="14"/>
      <c r="FX429" s="14"/>
      <c r="FY429" s="14"/>
      <c r="FZ429" s="14"/>
      <c r="GA429" s="14"/>
      <c r="GB429" s="14"/>
      <c r="GC429" s="14"/>
      <c r="GD429" s="14"/>
      <c r="GE429" s="14"/>
      <c r="GF429" s="14"/>
      <c r="GG429" s="14"/>
      <c r="GH429" s="14"/>
      <c r="GI429" s="14"/>
      <c r="GJ429" s="14"/>
      <c r="GK429" s="14"/>
      <c r="GL429" s="14"/>
      <c r="GM429" s="14"/>
      <c r="GN429" s="14"/>
      <c r="GO429" s="14"/>
      <c r="GP429" s="14"/>
      <c r="GQ429" s="14"/>
      <c r="GR429" s="14"/>
      <c r="GS429" s="14"/>
      <c r="GT429" s="14"/>
      <c r="GU429" s="14"/>
      <c r="GV429" s="14"/>
      <c r="GW429" s="14"/>
      <c r="GX429" s="14"/>
      <c r="GY429" s="14"/>
      <c r="GZ429" s="14"/>
      <c r="HA429" s="14"/>
      <c r="HB429" s="14"/>
      <c r="HC429" s="14"/>
      <c r="HD429" s="14"/>
      <c r="HE429" s="14"/>
      <c r="HF429" s="14"/>
      <c r="HG429" s="14"/>
      <c r="HH429" s="14"/>
      <c r="HI429" s="14"/>
      <c r="HJ429" s="14"/>
      <c r="HK429" s="14"/>
      <c r="HL429" s="14"/>
      <c r="HM429" s="14"/>
      <c r="HN429" s="14"/>
      <c r="HO429" s="14"/>
      <c r="HP429" s="14"/>
      <c r="HQ429" s="14"/>
      <c r="HR429" s="14"/>
      <c r="HS429" s="14"/>
      <c r="HT429" s="14"/>
    </row>
    <row r="430" spans="1:228" ht="18" customHeight="1" x14ac:dyDescent="0.2">
      <c r="A430" s="8"/>
      <c r="B430" s="1999" t="s">
        <v>2241</v>
      </c>
      <c r="C430" s="1999"/>
      <c r="D430" s="1999"/>
      <c r="E430" s="1639"/>
      <c r="F430" s="1714"/>
      <c r="G430" s="1367" t="s">
        <v>975</v>
      </c>
      <c r="H430" s="1368"/>
      <c r="I430" s="1368"/>
      <c r="J430" s="1368"/>
      <c r="K430" s="1368"/>
      <c r="L430" s="1368"/>
      <c r="M430" s="1368"/>
      <c r="N430" s="1368"/>
      <c r="O430" s="1369"/>
      <c r="P430" s="1344">
        <f>U436</f>
        <v>0</v>
      </c>
      <c r="Q430" s="8"/>
      <c r="R430" s="873" t="b">
        <v>0</v>
      </c>
      <c r="S430" s="967">
        <f t="shared" ref="S430:S436" si="63">IF(R430=TRUE,1,0)</f>
        <v>0</v>
      </c>
      <c r="T430" s="60"/>
      <c r="U430" s="60"/>
      <c r="V430" s="60"/>
      <c r="W430" s="60"/>
      <c r="X430" s="60"/>
      <c r="Y430" s="60"/>
      <c r="Z430" s="60"/>
      <c r="AA430" s="60"/>
      <c r="AB430" s="60"/>
      <c r="AC430" s="60"/>
      <c r="AD430" s="60"/>
      <c r="AE430" s="60"/>
      <c r="AF430" s="60"/>
      <c r="AG430" s="60"/>
      <c r="AH430" s="60"/>
      <c r="AI430" s="60"/>
      <c r="AJ430" s="60"/>
      <c r="AK430" s="60"/>
      <c r="AL430" s="60"/>
      <c r="AM430" s="60"/>
      <c r="AN430" s="60"/>
      <c r="AO430" s="60"/>
      <c r="AP430" s="60"/>
      <c r="AQ430" s="60"/>
      <c r="AR430" s="60"/>
      <c r="AS430" s="60"/>
      <c r="AT430" s="60"/>
      <c r="AU430" s="60"/>
      <c r="AV430" s="60"/>
      <c r="AW430" s="60"/>
      <c r="AX430" s="60"/>
      <c r="AY430" s="60"/>
      <c r="AZ430" s="60"/>
      <c r="BA430" s="60"/>
      <c r="BB430" s="60"/>
      <c r="BC430" s="60"/>
      <c r="BD430" s="60"/>
      <c r="BE430" s="60"/>
      <c r="BF430" s="18"/>
      <c r="BG430" s="18"/>
      <c r="BH430" s="18"/>
      <c r="BI430" s="18"/>
      <c r="BJ430" s="18"/>
      <c r="BK430" s="18"/>
      <c r="BL430" s="18"/>
      <c r="BM430" s="18"/>
      <c r="BN430" s="18"/>
      <c r="BO430" s="18"/>
      <c r="BP430" s="18"/>
      <c r="BQ430" s="14"/>
      <c r="BR430" s="14"/>
      <c r="BS430" s="14"/>
      <c r="BT430" s="14"/>
      <c r="BU430" s="14"/>
      <c r="BV430" s="14"/>
      <c r="BW430" s="14"/>
      <c r="BX430" s="14"/>
      <c r="BY430" s="14"/>
      <c r="BZ430" s="14"/>
      <c r="CA430" s="14"/>
      <c r="CB430" s="14"/>
      <c r="CC430" s="14"/>
      <c r="CD430" s="14"/>
      <c r="CE430" s="14"/>
      <c r="CF430" s="14"/>
      <c r="CG430" s="14"/>
      <c r="CH430" s="14"/>
      <c r="CI430" s="14"/>
      <c r="CJ430" s="14"/>
      <c r="CK430" s="14"/>
      <c r="CL430" s="14"/>
      <c r="CM430" s="14"/>
      <c r="CN430" s="14"/>
      <c r="CO430" s="14"/>
      <c r="CP430" s="14"/>
      <c r="CQ430" s="14"/>
      <c r="CR430" s="14"/>
      <c r="CS430" s="14"/>
      <c r="CT430" s="14"/>
      <c r="CU430" s="14"/>
      <c r="CV430" s="14"/>
      <c r="CW430" s="14"/>
      <c r="CX430" s="14"/>
      <c r="CY430" s="14"/>
      <c r="CZ430" s="14"/>
      <c r="DA430" s="14"/>
      <c r="DB430" s="14"/>
      <c r="DC430" s="14"/>
      <c r="DD430" s="14"/>
      <c r="DE430" s="14"/>
      <c r="DF430" s="14"/>
      <c r="DG430" s="14"/>
      <c r="DH430" s="14"/>
      <c r="DI430" s="14"/>
      <c r="DJ430" s="14"/>
      <c r="DK430" s="14"/>
      <c r="DL430" s="14"/>
      <c r="DM430" s="14"/>
      <c r="DN430" s="14"/>
      <c r="DO430" s="14"/>
      <c r="DP430" s="14"/>
      <c r="DQ430" s="14"/>
      <c r="DR430" s="14"/>
      <c r="DS430" s="14"/>
      <c r="DT430" s="14"/>
      <c r="DU430" s="14"/>
      <c r="DV430" s="14"/>
      <c r="DW430" s="14"/>
      <c r="DX430" s="14"/>
      <c r="DY430" s="14"/>
      <c r="DZ430" s="14"/>
      <c r="EA430" s="14"/>
      <c r="EB430" s="14"/>
      <c r="EC430" s="14"/>
      <c r="ED430" s="14"/>
      <c r="EE430" s="14"/>
      <c r="EF430" s="14"/>
      <c r="EG430" s="14"/>
      <c r="EH430" s="14"/>
      <c r="EI430" s="14"/>
      <c r="EJ430" s="14"/>
      <c r="EK430" s="14"/>
      <c r="EL430" s="14"/>
      <c r="EM430" s="14"/>
      <c r="EN430" s="14"/>
      <c r="EO430" s="14"/>
      <c r="EP430" s="14"/>
      <c r="EQ430" s="14"/>
      <c r="ER430" s="14"/>
      <c r="ES430" s="14"/>
      <c r="ET430" s="14"/>
      <c r="EU430" s="14"/>
      <c r="EV430" s="14"/>
      <c r="EW430" s="14"/>
      <c r="EX430" s="14"/>
      <c r="EY430" s="14"/>
      <c r="EZ430" s="14"/>
      <c r="FA430" s="14"/>
      <c r="FB430" s="14"/>
      <c r="FC430" s="14"/>
      <c r="FD430" s="14"/>
      <c r="FE430" s="14"/>
      <c r="FF430" s="14"/>
      <c r="FG430" s="14"/>
      <c r="FH430" s="14"/>
      <c r="FI430" s="14"/>
      <c r="FJ430" s="14"/>
      <c r="FK430" s="14"/>
      <c r="FL430" s="14"/>
      <c r="FM430" s="14"/>
      <c r="FN430" s="14"/>
      <c r="FO430" s="14"/>
      <c r="FP430" s="14"/>
      <c r="FQ430" s="14"/>
      <c r="FR430" s="14"/>
      <c r="FS430" s="14"/>
      <c r="FT430" s="14"/>
      <c r="FU430" s="14"/>
      <c r="FV430" s="14"/>
      <c r="FW430" s="14"/>
      <c r="FX430" s="14"/>
      <c r="FY430" s="14"/>
      <c r="FZ430" s="14"/>
      <c r="GA430" s="14"/>
      <c r="GB430" s="14"/>
      <c r="GC430" s="14"/>
      <c r="GD430" s="14"/>
      <c r="GE430" s="14"/>
      <c r="GF430" s="14"/>
      <c r="GG430" s="14"/>
      <c r="GH430" s="14"/>
      <c r="GI430" s="14"/>
      <c r="GJ430" s="14"/>
      <c r="GK430" s="14"/>
      <c r="GL430" s="14"/>
      <c r="GM430" s="14"/>
      <c r="GN430" s="14"/>
      <c r="GO430" s="14"/>
      <c r="GP430" s="14"/>
      <c r="GQ430" s="14"/>
      <c r="GR430" s="14"/>
      <c r="GS430" s="14"/>
      <c r="GT430" s="14"/>
      <c r="GU430" s="14"/>
      <c r="GV430" s="14"/>
      <c r="GW430" s="14"/>
      <c r="GX430" s="14"/>
      <c r="GY430" s="14"/>
      <c r="GZ430" s="14"/>
      <c r="HA430" s="14"/>
      <c r="HB430" s="14"/>
      <c r="HC430" s="14"/>
      <c r="HD430" s="14"/>
      <c r="HE430" s="14"/>
      <c r="HF430" s="14"/>
      <c r="HG430" s="14"/>
      <c r="HH430" s="14"/>
      <c r="HI430" s="14"/>
      <c r="HJ430" s="14"/>
      <c r="HK430" s="14"/>
      <c r="HL430" s="14"/>
      <c r="HM430" s="14"/>
      <c r="HN430" s="14"/>
      <c r="HO430" s="14"/>
      <c r="HP430" s="14"/>
      <c r="HQ430" s="14"/>
      <c r="HR430" s="14"/>
      <c r="HS430" s="14"/>
      <c r="HT430" s="14"/>
    </row>
    <row r="431" spans="1:228" ht="18" customHeight="1" x14ac:dyDescent="0.2">
      <c r="A431" s="20"/>
      <c r="B431" s="1999"/>
      <c r="C431" s="1999"/>
      <c r="D431" s="1999"/>
      <c r="E431" s="1639"/>
      <c r="F431" s="1714"/>
      <c r="G431" s="1437" t="s">
        <v>976</v>
      </c>
      <c r="H431" s="1438"/>
      <c r="I431" s="1438"/>
      <c r="J431" s="1438"/>
      <c r="K431" s="1438"/>
      <c r="L431" s="1438"/>
      <c r="M431" s="1438"/>
      <c r="N431" s="1438"/>
      <c r="O431" s="1439"/>
      <c r="P431" s="1352"/>
      <c r="Q431" s="8"/>
      <c r="R431" s="873" t="b">
        <v>0</v>
      </c>
      <c r="S431" s="967">
        <f t="shared" si="63"/>
        <v>0</v>
      </c>
      <c r="T431" s="967" t="s">
        <v>1023</v>
      </c>
      <c r="U431" s="60"/>
      <c r="V431" s="60"/>
      <c r="W431" s="60">
        <v>1E-4</v>
      </c>
      <c r="X431" s="60"/>
      <c r="Y431" s="60"/>
      <c r="Z431" s="60"/>
      <c r="AA431" s="60"/>
      <c r="AB431" s="60"/>
      <c r="AC431" s="60"/>
      <c r="AD431" s="60"/>
      <c r="AE431" s="60"/>
      <c r="AF431" s="60"/>
      <c r="AG431" s="60"/>
      <c r="AH431" s="60"/>
      <c r="AI431" s="60"/>
      <c r="AJ431" s="60"/>
      <c r="AK431" s="60"/>
      <c r="AL431" s="60"/>
      <c r="AM431" s="60"/>
      <c r="AN431" s="60"/>
      <c r="AO431" s="60"/>
      <c r="AP431" s="60"/>
      <c r="AQ431" s="60"/>
      <c r="AR431" s="60"/>
      <c r="AS431" s="60"/>
      <c r="AT431" s="60"/>
      <c r="AU431" s="60"/>
      <c r="AV431" s="60"/>
      <c r="AW431" s="60"/>
      <c r="AX431" s="60"/>
      <c r="AY431" s="60"/>
      <c r="AZ431" s="60"/>
      <c r="BA431" s="60"/>
      <c r="BB431" s="60"/>
      <c r="BC431" s="60"/>
      <c r="BD431" s="60"/>
      <c r="BE431" s="60"/>
      <c r="BF431" s="18"/>
      <c r="BG431" s="18"/>
      <c r="BH431" s="18"/>
      <c r="BI431" s="18"/>
      <c r="BJ431" s="18"/>
      <c r="BK431" s="18"/>
      <c r="BL431" s="18"/>
      <c r="BM431" s="18"/>
      <c r="BN431" s="18"/>
      <c r="BO431" s="18"/>
      <c r="BP431" s="18"/>
      <c r="BQ431" s="14"/>
      <c r="BR431" s="14"/>
      <c r="BS431" s="14"/>
      <c r="BT431" s="14"/>
      <c r="BU431" s="14"/>
      <c r="BV431" s="14"/>
      <c r="BW431" s="14"/>
      <c r="BX431" s="14"/>
      <c r="BY431" s="14"/>
      <c r="BZ431" s="14"/>
      <c r="CA431" s="14"/>
      <c r="CB431" s="14"/>
      <c r="CC431" s="14"/>
      <c r="CD431" s="14"/>
      <c r="CE431" s="14"/>
      <c r="CF431" s="14"/>
      <c r="CG431" s="14"/>
      <c r="CH431" s="14"/>
      <c r="CI431" s="14"/>
      <c r="CJ431" s="14"/>
      <c r="CK431" s="14"/>
      <c r="CL431" s="14"/>
      <c r="CM431" s="14"/>
      <c r="CN431" s="14"/>
      <c r="CO431" s="14"/>
      <c r="CP431" s="14"/>
      <c r="CQ431" s="14"/>
      <c r="CR431" s="14"/>
      <c r="CS431" s="14"/>
      <c r="CT431" s="14"/>
      <c r="CU431" s="14"/>
      <c r="CV431" s="14"/>
      <c r="CW431" s="14"/>
      <c r="CX431" s="14"/>
      <c r="CY431" s="14"/>
      <c r="CZ431" s="14"/>
      <c r="DA431" s="14"/>
      <c r="DB431" s="14"/>
      <c r="DC431" s="14"/>
      <c r="DD431" s="14"/>
      <c r="DE431" s="14"/>
      <c r="DF431" s="14"/>
      <c r="DG431" s="14"/>
      <c r="DH431" s="14"/>
      <c r="DI431" s="14"/>
      <c r="DJ431" s="14"/>
      <c r="DK431" s="14"/>
      <c r="DL431" s="14"/>
      <c r="DM431" s="14"/>
      <c r="DN431" s="14"/>
      <c r="DO431" s="14"/>
      <c r="DP431" s="14"/>
      <c r="DQ431" s="14"/>
      <c r="DR431" s="14"/>
      <c r="DS431" s="14"/>
      <c r="DT431" s="14"/>
      <c r="DU431" s="14"/>
      <c r="DV431" s="14"/>
      <c r="DW431" s="14"/>
      <c r="DX431" s="14"/>
      <c r="DY431" s="14"/>
      <c r="DZ431" s="14"/>
      <c r="EA431" s="14"/>
      <c r="EB431" s="14"/>
      <c r="EC431" s="14"/>
      <c r="ED431" s="14"/>
      <c r="EE431" s="14"/>
      <c r="EF431" s="14"/>
      <c r="EG431" s="14"/>
      <c r="EH431" s="14"/>
      <c r="EI431" s="14"/>
      <c r="EJ431" s="14"/>
      <c r="EK431" s="14"/>
      <c r="EL431" s="14"/>
      <c r="EM431" s="14"/>
      <c r="EN431" s="14"/>
      <c r="EO431" s="14"/>
      <c r="EP431" s="14"/>
      <c r="EQ431" s="14"/>
      <c r="ER431" s="14"/>
      <c r="ES431" s="14"/>
      <c r="ET431" s="14"/>
      <c r="EU431" s="14"/>
      <c r="EV431" s="14"/>
      <c r="EW431" s="14"/>
      <c r="EX431" s="14"/>
      <c r="EY431" s="14"/>
      <c r="EZ431" s="14"/>
      <c r="FA431" s="14"/>
      <c r="FB431" s="14"/>
      <c r="FC431" s="14"/>
      <c r="FD431" s="14"/>
      <c r="FE431" s="14"/>
      <c r="FF431" s="14"/>
      <c r="FG431" s="14"/>
      <c r="FH431" s="14"/>
      <c r="FI431" s="14"/>
      <c r="FJ431" s="14"/>
      <c r="FK431" s="14"/>
      <c r="FL431" s="14"/>
      <c r="FM431" s="14"/>
      <c r="FN431" s="14"/>
      <c r="FO431" s="14"/>
      <c r="FP431" s="14"/>
      <c r="FQ431" s="14"/>
      <c r="FR431" s="14"/>
      <c r="FS431" s="14"/>
      <c r="FT431" s="14"/>
      <c r="FU431" s="14"/>
      <c r="FV431" s="14"/>
      <c r="FW431" s="14"/>
      <c r="FX431" s="14"/>
      <c r="FY431" s="14"/>
      <c r="FZ431" s="14"/>
      <c r="GA431" s="14"/>
      <c r="GB431" s="14"/>
      <c r="GC431" s="14"/>
      <c r="GD431" s="14"/>
      <c r="GE431" s="14"/>
      <c r="GF431" s="14"/>
      <c r="GG431" s="14"/>
      <c r="GH431" s="14"/>
      <c r="GI431" s="14"/>
      <c r="GJ431" s="14"/>
      <c r="GK431" s="14"/>
      <c r="GL431" s="14"/>
      <c r="GM431" s="14"/>
      <c r="GN431" s="14"/>
      <c r="GO431" s="14"/>
      <c r="GP431" s="14"/>
      <c r="GQ431" s="14"/>
      <c r="GR431" s="14"/>
      <c r="GS431" s="14"/>
      <c r="GT431" s="14"/>
      <c r="GU431" s="14"/>
      <c r="GV431" s="14"/>
      <c r="GW431" s="14"/>
      <c r="GX431" s="14"/>
      <c r="GY431" s="14"/>
      <c r="GZ431" s="14"/>
      <c r="HA431" s="14"/>
      <c r="HB431" s="14"/>
      <c r="HC431" s="14"/>
      <c r="HD431" s="14"/>
      <c r="HE431" s="14"/>
      <c r="HF431" s="14"/>
      <c r="HG431" s="14"/>
      <c r="HH431" s="14"/>
      <c r="HI431" s="14"/>
      <c r="HJ431" s="14"/>
      <c r="HK431" s="14"/>
      <c r="HL431" s="14"/>
      <c r="HM431" s="14"/>
      <c r="HN431" s="14"/>
      <c r="HO431" s="14"/>
      <c r="HP431" s="14"/>
      <c r="HQ431" s="14"/>
      <c r="HR431" s="14"/>
      <c r="HS431" s="14"/>
      <c r="HT431" s="14"/>
    </row>
    <row r="432" spans="1:228" ht="18" customHeight="1" x14ac:dyDescent="0.2">
      <c r="A432" s="8"/>
      <c r="B432" s="1999"/>
      <c r="C432" s="1999"/>
      <c r="D432" s="1999"/>
      <c r="E432" s="1639"/>
      <c r="F432" s="1714"/>
      <c r="G432" s="1437" t="s">
        <v>977</v>
      </c>
      <c r="H432" s="1438"/>
      <c r="I432" s="1438"/>
      <c r="J432" s="1438"/>
      <c r="K432" s="1438"/>
      <c r="L432" s="1438"/>
      <c r="M432" s="1438"/>
      <c r="N432" s="1438"/>
      <c r="O432" s="1439"/>
      <c r="P432" s="1352"/>
      <c r="Q432" s="8"/>
      <c r="R432" s="873" t="b">
        <v>0</v>
      </c>
      <c r="S432" s="967">
        <f t="shared" si="63"/>
        <v>0</v>
      </c>
      <c r="T432" s="967">
        <f>SUM(S430:S432)</f>
        <v>0</v>
      </c>
      <c r="U432" s="60"/>
      <c r="V432" s="60"/>
      <c r="W432" s="60"/>
      <c r="X432" s="60"/>
      <c r="Y432" s="60"/>
      <c r="Z432" s="60"/>
      <c r="AA432" s="60"/>
      <c r="AB432" s="60"/>
      <c r="AC432" s="60"/>
      <c r="AD432" s="60"/>
      <c r="AE432" s="60"/>
      <c r="AF432" s="60"/>
      <c r="AG432" s="60"/>
      <c r="AH432" s="60"/>
      <c r="AI432" s="60"/>
      <c r="AJ432" s="60"/>
      <c r="AK432" s="60"/>
      <c r="AL432" s="60"/>
      <c r="AM432" s="60"/>
      <c r="AN432" s="60"/>
      <c r="AO432" s="60"/>
      <c r="AP432" s="60"/>
      <c r="AQ432" s="60"/>
      <c r="AR432" s="60"/>
      <c r="AS432" s="60"/>
      <c r="AT432" s="60"/>
      <c r="AU432" s="60"/>
      <c r="AV432" s="60"/>
      <c r="AW432" s="60"/>
      <c r="AX432" s="60"/>
      <c r="AY432" s="60"/>
      <c r="AZ432" s="60"/>
      <c r="BA432" s="60"/>
      <c r="BB432" s="60"/>
      <c r="BC432" s="60"/>
      <c r="BD432" s="60"/>
      <c r="BE432" s="60"/>
      <c r="BF432" s="18"/>
      <c r="BG432" s="18"/>
      <c r="BH432" s="18"/>
      <c r="BI432" s="18"/>
      <c r="BJ432" s="18"/>
      <c r="BK432" s="18"/>
      <c r="BL432" s="18"/>
      <c r="BM432" s="18"/>
      <c r="BN432" s="18"/>
      <c r="BO432" s="18"/>
      <c r="BP432" s="18"/>
      <c r="BQ432" s="14"/>
      <c r="BR432" s="14"/>
      <c r="BS432" s="14"/>
      <c r="BT432" s="14"/>
      <c r="BU432" s="14"/>
      <c r="BV432" s="14"/>
      <c r="BW432" s="14"/>
      <c r="BX432" s="14"/>
      <c r="BY432" s="14"/>
      <c r="BZ432" s="14"/>
      <c r="CA432" s="14"/>
      <c r="CB432" s="14"/>
      <c r="CC432" s="14"/>
      <c r="CD432" s="14"/>
      <c r="CE432" s="14"/>
      <c r="CF432" s="14"/>
      <c r="CG432" s="14"/>
      <c r="CH432" s="14"/>
      <c r="CI432" s="14"/>
      <c r="CJ432" s="14"/>
      <c r="CK432" s="14"/>
      <c r="CL432" s="14"/>
      <c r="CM432" s="14"/>
      <c r="CN432" s="14"/>
      <c r="CO432" s="14"/>
      <c r="CP432" s="14"/>
      <c r="CQ432" s="14"/>
      <c r="CR432" s="14"/>
      <c r="CS432" s="14"/>
      <c r="CT432" s="14"/>
      <c r="CU432" s="14"/>
      <c r="CV432" s="14"/>
      <c r="CW432" s="14"/>
      <c r="CX432" s="14"/>
      <c r="CY432" s="14"/>
      <c r="CZ432" s="14"/>
      <c r="DA432" s="14"/>
      <c r="DB432" s="14"/>
      <c r="DC432" s="14"/>
      <c r="DD432" s="14"/>
      <c r="DE432" s="14"/>
      <c r="DF432" s="14"/>
      <c r="DG432" s="14"/>
      <c r="DH432" s="14"/>
      <c r="DI432" s="14"/>
      <c r="DJ432" s="14"/>
      <c r="DK432" s="14"/>
      <c r="DL432" s="14"/>
      <c r="DM432" s="14"/>
      <c r="DN432" s="14"/>
      <c r="DO432" s="14"/>
      <c r="DP432" s="14"/>
      <c r="DQ432" s="14"/>
      <c r="DR432" s="14"/>
      <c r="DS432" s="14"/>
      <c r="DT432" s="14"/>
      <c r="DU432" s="14"/>
      <c r="DV432" s="14"/>
      <c r="DW432" s="14"/>
      <c r="DX432" s="14"/>
      <c r="DY432" s="14"/>
      <c r="DZ432" s="14"/>
      <c r="EA432" s="14"/>
      <c r="EB432" s="14"/>
      <c r="EC432" s="14"/>
      <c r="ED432" s="14"/>
      <c r="EE432" s="14"/>
      <c r="EF432" s="14"/>
      <c r="EG432" s="14"/>
      <c r="EH432" s="14"/>
      <c r="EI432" s="14"/>
      <c r="EJ432" s="14"/>
      <c r="EK432" s="14"/>
      <c r="EL432" s="14"/>
      <c r="EM432" s="14"/>
      <c r="EN432" s="14"/>
      <c r="EO432" s="14"/>
      <c r="EP432" s="14"/>
      <c r="EQ432" s="14"/>
      <c r="ER432" s="14"/>
      <c r="ES432" s="14"/>
      <c r="ET432" s="14"/>
      <c r="EU432" s="14"/>
      <c r="EV432" s="14"/>
      <c r="EW432" s="14"/>
      <c r="EX432" s="14"/>
      <c r="EY432" s="14"/>
      <c r="EZ432" s="14"/>
      <c r="FA432" s="14"/>
      <c r="FB432" s="14"/>
      <c r="FC432" s="14"/>
      <c r="FD432" s="14"/>
      <c r="FE432" s="14"/>
      <c r="FF432" s="14"/>
      <c r="FG432" s="14"/>
      <c r="FH432" s="14"/>
      <c r="FI432" s="14"/>
      <c r="FJ432" s="14"/>
      <c r="FK432" s="14"/>
      <c r="FL432" s="14"/>
      <c r="FM432" s="14"/>
      <c r="FN432" s="14"/>
      <c r="FO432" s="14"/>
      <c r="FP432" s="14"/>
      <c r="FQ432" s="14"/>
      <c r="FR432" s="14"/>
      <c r="FS432" s="14"/>
      <c r="FT432" s="14"/>
      <c r="FU432" s="14"/>
      <c r="FV432" s="14"/>
      <c r="FW432" s="14"/>
      <c r="FX432" s="14"/>
      <c r="FY432" s="14"/>
      <c r="FZ432" s="14"/>
      <c r="GA432" s="14"/>
      <c r="GB432" s="14"/>
      <c r="GC432" s="14"/>
      <c r="GD432" s="14"/>
      <c r="GE432" s="14"/>
      <c r="GF432" s="14"/>
      <c r="GG432" s="14"/>
      <c r="GH432" s="14"/>
      <c r="GI432" s="14"/>
      <c r="GJ432" s="14"/>
      <c r="GK432" s="14"/>
      <c r="GL432" s="14"/>
      <c r="GM432" s="14"/>
      <c r="GN432" s="14"/>
      <c r="GO432" s="14"/>
      <c r="GP432" s="14"/>
      <c r="GQ432" s="14"/>
      <c r="GR432" s="14"/>
      <c r="GS432" s="14"/>
      <c r="GT432" s="14"/>
      <c r="GU432" s="14"/>
      <c r="GV432" s="14"/>
      <c r="GW432" s="14"/>
      <c r="GX432" s="14"/>
      <c r="GY432" s="14"/>
      <c r="GZ432" s="14"/>
      <c r="HA432" s="14"/>
      <c r="HB432" s="14"/>
      <c r="HC432" s="14"/>
      <c r="HD432" s="14"/>
      <c r="HE432" s="14"/>
      <c r="HF432" s="14"/>
      <c r="HG432" s="14"/>
      <c r="HH432" s="14"/>
      <c r="HI432" s="14"/>
      <c r="HJ432" s="14"/>
      <c r="HK432" s="14"/>
      <c r="HL432" s="14"/>
      <c r="HM432" s="14"/>
      <c r="HN432" s="14"/>
      <c r="HO432" s="14"/>
      <c r="HP432" s="14"/>
      <c r="HQ432" s="14"/>
      <c r="HR432" s="14"/>
      <c r="HS432" s="14"/>
      <c r="HT432" s="14"/>
    </row>
    <row r="433" spans="1:228" ht="18" customHeight="1" x14ac:dyDescent="0.2">
      <c r="A433" s="8"/>
      <c r="B433" s="1999"/>
      <c r="C433" s="1999"/>
      <c r="D433" s="1999"/>
      <c r="E433" s="1984"/>
      <c r="F433" s="1650"/>
      <c r="G433" s="2031" t="s">
        <v>978</v>
      </c>
      <c r="H433" s="2032"/>
      <c r="I433" s="2032"/>
      <c r="J433" s="2032"/>
      <c r="K433" s="2032"/>
      <c r="L433" s="2032"/>
      <c r="M433" s="2032"/>
      <c r="N433" s="2032"/>
      <c r="O433" s="2033"/>
      <c r="P433" s="1352"/>
      <c r="Q433" s="8"/>
      <c r="R433" s="873" t="b">
        <v>0</v>
      </c>
      <c r="S433" s="967">
        <f t="shared" si="63"/>
        <v>0</v>
      </c>
      <c r="T433" s="60"/>
      <c r="U433" s="60"/>
      <c r="V433" s="60"/>
      <c r="W433" s="60"/>
      <c r="X433" s="60"/>
      <c r="Y433" s="60"/>
      <c r="Z433" s="60"/>
      <c r="AA433" s="60"/>
      <c r="AB433" s="60"/>
      <c r="AC433" s="60"/>
      <c r="AD433" s="60"/>
      <c r="AE433" s="60"/>
      <c r="AF433" s="60"/>
      <c r="AG433" s="60"/>
      <c r="AH433" s="60"/>
      <c r="AI433" s="60"/>
      <c r="AJ433" s="60"/>
      <c r="AK433" s="60"/>
      <c r="AL433" s="60"/>
      <c r="AM433" s="60"/>
      <c r="AN433" s="60"/>
      <c r="AO433" s="60"/>
      <c r="AP433" s="60"/>
      <c r="AQ433" s="60"/>
      <c r="AR433" s="60"/>
      <c r="AS433" s="60"/>
      <c r="AT433" s="60"/>
      <c r="AU433" s="60"/>
      <c r="AV433" s="60"/>
      <c r="AW433" s="60"/>
      <c r="AX433" s="60"/>
      <c r="AY433" s="60"/>
      <c r="AZ433" s="60"/>
      <c r="BA433" s="60"/>
      <c r="BB433" s="60"/>
      <c r="BC433" s="60"/>
      <c r="BD433" s="60"/>
      <c r="BE433" s="60"/>
      <c r="BF433" s="18"/>
      <c r="BG433" s="18"/>
      <c r="BH433" s="18"/>
      <c r="BI433" s="18"/>
      <c r="BJ433" s="18"/>
      <c r="BK433" s="18"/>
      <c r="BL433" s="18"/>
      <c r="BM433" s="18"/>
      <c r="BN433" s="18"/>
      <c r="BO433" s="18"/>
      <c r="BP433" s="18"/>
      <c r="BQ433" s="14"/>
      <c r="BR433" s="14"/>
      <c r="BS433" s="14"/>
      <c r="BT433" s="14"/>
      <c r="BU433" s="14"/>
      <c r="BV433" s="14"/>
      <c r="BW433" s="14"/>
      <c r="BX433" s="14"/>
      <c r="BY433" s="14"/>
      <c r="BZ433" s="14"/>
      <c r="CA433" s="14"/>
      <c r="CB433" s="14"/>
      <c r="CC433" s="14"/>
      <c r="CD433" s="14"/>
      <c r="CE433" s="14"/>
      <c r="CF433" s="14"/>
      <c r="CG433" s="14"/>
      <c r="CH433" s="14"/>
      <c r="CI433" s="14"/>
      <c r="CJ433" s="14"/>
      <c r="CK433" s="14"/>
      <c r="CL433" s="14"/>
      <c r="CM433" s="14"/>
      <c r="CN433" s="14"/>
      <c r="CO433" s="14"/>
      <c r="CP433" s="14"/>
      <c r="CQ433" s="14"/>
      <c r="CR433" s="14"/>
      <c r="CS433" s="14"/>
      <c r="CT433" s="14"/>
      <c r="CU433" s="14"/>
      <c r="CV433" s="14"/>
      <c r="CW433" s="14"/>
      <c r="CX433" s="14"/>
      <c r="CY433" s="14"/>
      <c r="CZ433" s="14"/>
      <c r="DA433" s="14"/>
      <c r="DB433" s="14"/>
      <c r="DC433" s="14"/>
      <c r="DD433" s="14"/>
      <c r="DE433" s="14"/>
      <c r="DF433" s="14"/>
      <c r="DG433" s="14"/>
      <c r="DH433" s="14"/>
      <c r="DI433" s="14"/>
      <c r="DJ433" s="14"/>
      <c r="DK433" s="14"/>
      <c r="DL433" s="14"/>
      <c r="DM433" s="14"/>
      <c r="DN433" s="14"/>
      <c r="DO433" s="14"/>
      <c r="DP433" s="14"/>
      <c r="DQ433" s="14"/>
      <c r="DR433" s="14"/>
      <c r="DS433" s="14"/>
      <c r="DT433" s="14"/>
      <c r="DU433" s="14"/>
      <c r="DV433" s="14"/>
      <c r="DW433" s="14"/>
      <c r="DX433" s="14"/>
      <c r="DY433" s="14"/>
      <c r="DZ433" s="14"/>
      <c r="EA433" s="14"/>
      <c r="EB433" s="14"/>
      <c r="EC433" s="14"/>
      <c r="ED433" s="14"/>
      <c r="EE433" s="14"/>
      <c r="EF433" s="14"/>
      <c r="EG433" s="14"/>
      <c r="EH433" s="14"/>
      <c r="EI433" s="14"/>
      <c r="EJ433" s="14"/>
      <c r="EK433" s="14"/>
      <c r="EL433" s="14"/>
      <c r="EM433" s="14"/>
      <c r="EN433" s="14"/>
      <c r="EO433" s="14"/>
      <c r="EP433" s="14"/>
      <c r="EQ433" s="14"/>
      <c r="ER433" s="14"/>
      <c r="ES433" s="14"/>
      <c r="ET433" s="14"/>
      <c r="EU433" s="14"/>
      <c r="EV433" s="14"/>
      <c r="EW433" s="14"/>
      <c r="EX433" s="14"/>
      <c r="EY433" s="14"/>
      <c r="EZ433" s="14"/>
      <c r="FA433" s="14"/>
      <c r="FB433" s="14"/>
      <c r="FC433" s="14"/>
      <c r="FD433" s="14"/>
      <c r="FE433" s="14"/>
      <c r="FF433" s="14"/>
      <c r="FG433" s="14"/>
      <c r="FH433" s="14"/>
      <c r="FI433" s="14"/>
      <c r="FJ433" s="14"/>
      <c r="FK433" s="14"/>
      <c r="FL433" s="14"/>
      <c r="FM433" s="14"/>
      <c r="FN433" s="14"/>
      <c r="FO433" s="14"/>
      <c r="FP433" s="14"/>
      <c r="FQ433" s="14"/>
      <c r="FR433" s="14"/>
      <c r="FS433" s="14"/>
      <c r="FT433" s="14"/>
      <c r="FU433" s="14"/>
      <c r="FV433" s="14"/>
      <c r="FW433" s="14"/>
      <c r="FX433" s="14"/>
      <c r="FY433" s="14"/>
      <c r="FZ433" s="14"/>
      <c r="GA433" s="14"/>
      <c r="GB433" s="14"/>
      <c r="GC433" s="14"/>
      <c r="GD433" s="14"/>
      <c r="GE433" s="14"/>
      <c r="GF433" s="14"/>
      <c r="GG433" s="14"/>
      <c r="GH433" s="14"/>
      <c r="GI433" s="14"/>
      <c r="GJ433" s="14"/>
      <c r="GK433" s="14"/>
      <c r="GL433" s="14"/>
      <c r="GM433" s="14"/>
      <c r="GN433" s="14"/>
      <c r="GO433" s="14"/>
      <c r="GP433" s="14"/>
      <c r="GQ433" s="14"/>
      <c r="GR433" s="14"/>
      <c r="GS433" s="14"/>
      <c r="GT433" s="14"/>
      <c r="GU433" s="14"/>
      <c r="GV433" s="14"/>
      <c r="GW433" s="14"/>
      <c r="GX433" s="14"/>
      <c r="GY433" s="14"/>
      <c r="GZ433" s="14"/>
      <c r="HA433" s="14"/>
      <c r="HB433" s="14"/>
      <c r="HC433" s="14"/>
      <c r="HD433" s="14"/>
      <c r="HE433" s="14"/>
      <c r="HF433" s="14"/>
      <c r="HG433" s="14"/>
      <c r="HH433" s="14"/>
      <c r="HI433" s="14"/>
      <c r="HJ433" s="14"/>
      <c r="HK433" s="14"/>
      <c r="HL433" s="14"/>
      <c r="HM433" s="14"/>
      <c r="HN433" s="14"/>
      <c r="HO433" s="14"/>
      <c r="HP433" s="14"/>
      <c r="HQ433" s="14"/>
      <c r="HR433" s="14"/>
      <c r="HS433" s="14"/>
      <c r="HT433" s="14"/>
    </row>
    <row r="434" spans="1:228" ht="18" customHeight="1" x14ac:dyDescent="0.2">
      <c r="A434" s="8"/>
      <c r="B434" s="1999"/>
      <c r="C434" s="1999"/>
      <c r="D434" s="1999"/>
      <c r="E434" s="1639"/>
      <c r="F434" s="1714"/>
      <c r="G434" s="1826" t="s">
        <v>979</v>
      </c>
      <c r="H434" s="1827"/>
      <c r="I434" s="1827"/>
      <c r="J434" s="1827"/>
      <c r="K434" s="1827"/>
      <c r="L434" s="1827"/>
      <c r="M434" s="1827"/>
      <c r="N434" s="1827"/>
      <c r="O434" s="1828"/>
      <c r="P434" s="1352"/>
      <c r="Q434" s="8"/>
      <c r="R434" s="873" t="b">
        <v>0</v>
      </c>
      <c r="S434" s="967">
        <f t="shared" si="63"/>
        <v>0</v>
      </c>
      <c r="T434" s="60"/>
      <c r="U434" s="60"/>
      <c r="V434" s="60"/>
      <c r="W434" s="60"/>
      <c r="X434" s="60"/>
      <c r="Y434" s="60"/>
      <c r="Z434" s="60"/>
      <c r="AA434" s="60"/>
      <c r="AB434" s="60"/>
      <c r="AC434" s="60"/>
      <c r="AD434" s="60"/>
      <c r="AE434" s="60"/>
      <c r="AF434" s="60"/>
      <c r="AG434" s="60"/>
      <c r="AH434" s="60"/>
      <c r="AI434" s="60"/>
      <c r="AJ434" s="60"/>
      <c r="AK434" s="60"/>
      <c r="AL434" s="60"/>
      <c r="AM434" s="60"/>
      <c r="AN434" s="60"/>
      <c r="AO434" s="60"/>
      <c r="AP434" s="60"/>
      <c r="AQ434" s="60"/>
      <c r="AR434" s="60"/>
      <c r="AS434" s="60"/>
      <c r="AT434" s="60"/>
      <c r="AU434" s="60"/>
      <c r="AV434" s="60"/>
      <c r="AW434" s="60"/>
      <c r="AX434" s="60"/>
      <c r="AY434" s="60"/>
      <c r="AZ434" s="60"/>
      <c r="BA434" s="60"/>
      <c r="BB434" s="60"/>
      <c r="BC434" s="60"/>
      <c r="BD434" s="60"/>
      <c r="BE434" s="60"/>
      <c r="BF434" s="18"/>
      <c r="BG434" s="18"/>
      <c r="BH434" s="18"/>
      <c r="BI434" s="18"/>
      <c r="BJ434" s="18"/>
      <c r="BK434" s="18"/>
      <c r="BL434" s="18"/>
      <c r="BM434" s="18"/>
      <c r="BN434" s="18"/>
      <c r="BO434" s="18"/>
      <c r="BP434" s="18"/>
      <c r="BQ434" s="14"/>
      <c r="BR434" s="14"/>
      <c r="BS434" s="14"/>
      <c r="BT434" s="14"/>
      <c r="BU434" s="14"/>
      <c r="BV434" s="14"/>
      <c r="BW434" s="14"/>
      <c r="BX434" s="14"/>
      <c r="BY434" s="14"/>
      <c r="BZ434" s="14"/>
      <c r="CA434" s="14"/>
      <c r="CB434" s="14"/>
      <c r="CC434" s="14"/>
      <c r="CD434" s="14"/>
      <c r="CE434" s="14"/>
      <c r="CF434" s="14"/>
      <c r="CG434" s="14"/>
      <c r="CH434" s="14"/>
      <c r="CI434" s="14"/>
      <c r="CJ434" s="14"/>
      <c r="CK434" s="14"/>
      <c r="CL434" s="14"/>
      <c r="CM434" s="14"/>
      <c r="CN434" s="14"/>
      <c r="CO434" s="14"/>
      <c r="CP434" s="14"/>
      <c r="CQ434" s="14"/>
      <c r="CR434" s="14"/>
      <c r="CS434" s="14"/>
      <c r="CT434" s="14"/>
      <c r="CU434" s="14"/>
      <c r="CV434" s="14"/>
      <c r="CW434" s="14"/>
      <c r="CX434" s="14"/>
      <c r="CY434" s="14"/>
      <c r="CZ434" s="14"/>
      <c r="DA434" s="14"/>
      <c r="DB434" s="14"/>
      <c r="DC434" s="14"/>
      <c r="DD434" s="14"/>
      <c r="DE434" s="14"/>
      <c r="DF434" s="14"/>
      <c r="DG434" s="14"/>
      <c r="DH434" s="14"/>
      <c r="DI434" s="14"/>
      <c r="DJ434" s="14"/>
      <c r="DK434" s="14"/>
      <c r="DL434" s="14"/>
      <c r="DM434" s="14"/>
      <c r="DN434" s="14"/>
      <c r="DO434" s="14"/>
      <c r="DP434" s="14"/>
      <c r="DQ434" s="14"/>
      <c r="DR434" s="14"/>
      <c r="DS434" s="14"/>
      <c r="DT434" s="14"/>
      <c r="DU434" s="14"/>
      <c r="DV434" s="14"/>
      <c r="DW434" s="14"/>
      <c r="DX434" s="14"/>
      <c r="DY434" s="14"/>
      <c r="DZ434" s="14"/>
      <c r="EA434" s="14"/>
      <c r="EB434" s="14"/>
      <c r="EC434" s="14"/>
      <c r="ED434" s="14"/>
      <c r="EE434" s="14"/>
      <c r="EF434" s="14"/>
      <c r="EG434" s="14"/>
      <c r="EH434" s="14"/>
      <c r="EI434" s="14"/>
      <c r="EJ434" s="14"/>
      <c r="EK434" s="14"/>
      <c r="EL434" s="14"/>
      <c r="EM434" s="14"/>
      <c r="EN434" s="14"/>
      <c r="EO434" s="14"/>
      <c r="EP434" s="14"/>
      <c r="EQ434" s="14"/>
      <c r="ER434" s="14"/>
      <c r="ES434" s="14"/>
      <c r="ET434" s="14"/>
      <c r="EU434" s="14"/>
      <c r="EV434" s="14"/>
      <c r="EW434" s="14"/>
      <c r="EX434" s="14"/>
      <c r="EY434" s="14"/>
      <c r="EZ434" s="14"/>
      <c r="FA434" s="14"/>
      <c r="FB434" s="14"/>
      <c r="FC434" s="14"/>
      <c r="FD434" s="14"/>
      <c r="FE434" s="14"/>
      <c r="FF434" s="14"/>
      <c r="FG434" s="14"/>
      <c r="FH434" s="14"/>
      <c r="FI434" s="14"/>
      <c r="FJ434" s="14"/>
      <c r="FK434" s="14"/>
      <c r="FL434" s="14"/>
      <c r="FM434" s="14"/>
      <c r="FN434" s="14"/>
      <c r="FO434" s="14"/>
      <c r="FP434" s="14"/>
      <c r="FQ434" s="14"/>
      <c r="FR434" s="14"/>
      <c r="FS434" s="14"/>
      <c r="FT434" s="14"/>
      <c r="FU434" s="14"/>
      <c r="FV434" s="14"/>
      <c r="FW434" s="14"/>
      <c r="FX434" s="14"/>
      <c r="FY434" s="14"/>
      <c r="FZ434" s="14"/>
      <c r="GA434" s="14"/>
      <c r="GB434" s="14"/>
      <c r="GC434" s="14"/>
      <c r="GD434" s="14"/>
      <c r="GE434" s="14"/>
      <c r="GF434" s="14"/>
      <c r="GG434" s="14"/>
      <c r="GH434" s="14"/>
      <c r="GI434" s="14"/>
      <c r="GJ434" s="14"/>
      <c r="GK434" s="14"/>
      <c r="GL434" s="14"/>
      <c r="GM434" s="14"/>
      <c r="GN434" s="14"/>
      <c r="GO434" s="14"/>
      <c r="GP434" s="14"/>
      <c r="GQ434" s="14"/>
      <c r="GR434" s="14"/>
      <c r="GS434" s="14"/>
      <c r="GT434" s="14"/>
      <c r="GU434" s="14"/>
      <c r="GV434" s="14"/>
      <c r="GW434" s="14"/>
      <c r="GX434" s="14"/>
      <c r="GY434" s="14"/>
      <c r="GZ434" s="14"/>
      <c r="HA434" s="14"/>
      <c r="HB434" s="14"/>
      <c r="HC434" s="14"/>
      <c r="HD434" s="14"/>
      <c r="HE434" s="14"/>
      <c r="HF434" s="14"/>
      <c r="HG434" s="14"/>
      <c r="HH434" s="14"/>
      <c r="HI434" s="14"/>
      <c r="HJ434" s="14"/>
      <c r="HK434" s="14"/>
      <c r="HL434" s="14"/>
      <c r="HM434" s="14"/>
      <c r="HN434" s="14"/>
      <c r="HO434" s="14"/>
      <c r="HP434" s="14"/>
      <c r="HQ434" s="14"/>
      <c r="HR434" s="14"/>
      <c r="HS434" s="14"/>
      <c r="HT434" s="14"/>
    </row>
    <row r="435" spans="1:228" ht="18" customHeight="1" x14ac:dyDescent="0.2">
      <c r="A435" s="8"/>
      <c r="B435" s="1999"/>
      <c r="C435" s="1999"/>
      <c r="D435" s="1999"/>
      <c r="E435" s="1639"/>
      <c r="F435" s="1714"/>
      <c r="G435" s="1826" t="s">
        <v>1862</v>
      </c>
      <c r="H435" s="1827"/>
      <c r="I435" s="1827"/>
      <c r="J435" s="1827"/>
      <c r="K435" s="1827"/>
      <c r="L435" s="1827"/>
      <c r="M435" s="1827"/>
      <c r="N435" s="1827"/>
      <c r="O435" s="1828"/>
      <c r="P435" s="1352"/>
      <c r="Q435" s="8"/>
      <c r="R435" s="873" t="b">
        <v>0</v>
      </c>
      <c r="S435" s="967">
        <f t="shared" si="63"/>
        <v>0</v>
      </c>
      <c r="T435" s="967" t="s">
        <v>1023</v>
      </c>
      <c r="U435" s="60"/>
      <c r="V435" s="60"/>
      <c r="W435" s="60"/>
      <c r="X435" s="60"/>
      <c r="Y435" s="60"/>
      <c r="Z435" s="60"/>
      <c r="AA435" s="60"/>
      <c r="AB435" s="60"/>
      <c r="AC435" s="60"/>
      <c r="AD435" s="60"/>
      <c r="AE435" s="60"/>
      <c r="AF435" s="60"/>
      <c r="AG435" s="60"/>
      <c r="AH435" s="60"/>
      <c r="AI435" s="60"/>
      <c r="AJ435" s="60"/>
      <c r="AK435" s="60"/>
      <c r="AL435" s="60"/>
      <c r="AM435" s="60"/>
      <c r="AN435" s="60"/>
      <c r="AO435" s="60"/>
      <c r="AP435" s="60"/>
      <c r="AQ435" s="60"/>
      <c r="AR435" s="60"/>
      <c r="AS435" s="60"/>
      <c r="AT435" s="60"/>
      <c r="AU435" s="60"/>
      <c r="AV435" s="60"/>
      <c r="AW435" s="60"/>
      <c r="AX435" s="60"/>
      <c r="AY435" s="60"/>
      <c r="AZ435" s="60"/>
      <c r="BA435" s="60"/>
      <c r="BB435" s="60"/>
      <c r="BC435" s="60"/>
      <c r="BD435" s="60"/>
      <c r="BE435" s="60"/>
      <c r="BF435" s="18"/>
      <c r="BG435" s="18"/>
      <c r="BH435" s="18"/>
      <c r="BI435" s="18"/>
      <c r="BJ435" s="18"/>
      <c r="BK435" s="18"/>
      <c r="BL435" s="18"/>
      <c r="BM435" s="18"/>
      <c r="BN435" s="18"/>
      <c r="BO435" s="18"/>
      <c r="BP435" s="18"/>
      <c r="BQ435" s="14"/>
      <c r="BR435" s="14"/>
      <c r="BS435" s="14"/>
      <c r="BT435" s="14"/>
      <c r="BU435" s="14"/>
      <c r="BV435" s="14"/>
      <c r="BW435" s="14"/>
      <c r="BX435" s="14"/>
      <c r="BY435" s="14"/>
      <c r="BZ435" s="14"/>
      <c r="CA435" s="14"/>
      <c r="CB435" s="14"/>
      <c r="CC435" s="14"/>
      <c r="CD435" s="14"/>
      <c r="CE435" s="14"/>
      <c r="CF435" s="14"/>
      <c r="CG435" s="14"/>
      <c r="CH435" s="14"/>
      <c r="CI435" s="14"/>
      <c r="CJ435" s="14"/>
      <c r="CK435" s="14"/>
      <c r="CL435" s="14"/>
      <c r="CM435" s="14"/>
      <c r="CN435" s="14"/>
      <c r="CO435" s="14"/>
      <c r="CP435" s="14"/>
      <c r="CQ435" s="14"/>
      <c r="CR435" s="14"/>
      <c r="CS435" s="14"/>
      <c r="CT435" s="14"/>
      <c r="CU435" s="14"/>
      <c r="CV435" s="14"/>
      <c r="CW435" s="14"/>
      <c r="CX435" s="14"/>
      <c r="CY435" s="14"/>
      <c r="CZ435" s="14"/>
      <c r="DA435" s="14"/>
      <c r="DB435" s="14"/>
      <c r="DC435" s="14"/>
      <c r="DD435" s="14"/>
      <c r="DE435" s="14"/>
      <c r="DF435" s="14"/>
      <c r="DG435" s="14"/>
      <c r="DH435" s="14"/>
      <c r="DI435" s="14"/>
      <c r="DJ435" s="14"/>
      <c r="DK435" s="14"/>
      <c r="DL435" s="14"/>
      <c r="DM435" s="14"/>
      <c r="DN435" s="14"/>
      <c r="DO435" s="14"/>
      <c r="DP435" s="14"/>
      <c r="DQ435" s="14"/>
      <c r="DR435" s="14"/>
      <c r="DS435" s="14"/>
      <c r="DT435" s="14"/>
      <c r="DU435" s="14"/>
      <c r="DV435" s="14"/>
      <c r="DW435" s="14"/>
      <c r="DX435" s="14"/>
      <c r="DY435" s="14"/>
      <c r="DZ435" s="14"/>
      <c r="EA435" s="14"/>
      <c r="EB435" s="14"/>
      <c r="EC435" s="14"/>
      <c r="ED435" s="14"/>
      <c r="EE435" s="14"/>
      <c r="EF435" s="14"/>
      <c r="EG435" s="14"/>
      <c r="EH435" s="14"/>
      <c r="EI435" s="14"/>
      <c r="EJ435" s="14"/>
      <c r="EK435" s="14"/>
      <c r="EL435" s="14"/>
      <c r="EM435" s="14"/>
      <c r="EN435" s="14"/>
      <c r="EO435" s="14"/>
      <c r="EP435" s="14"/>
      <c r="EQ435" s="14"/>
      <c r="ER435" s="14"/>
      <c r="ES435" s="14"/>
      <c r="ET435" s="14"/>
      <c r="EU435" s="14"/>
      <c r="EV435" s="14"/>
      <c r="EW435" s="14"/>
      <c r="EX435" s="14"/>
      <c r="EY435" s="14"/>
      <c r="EZ435" s="14"/>
      <c r="FA435" s="14"/>
      <c r="FB435" s="14"/>
      <c r="FC435" s="14"/>
      <c r="FD435" s="14"/>
      <c r="FE435" s="14"/>
      <c r="FF435" s="14"/>
      <c r="FG435" s="14"/>
      <c r="FH435" s="14"/>
      <c r="FI435" s="14"/>
      <c r="FJ435" s="14"/>
      <c r="FK435" s="14"/>
      <c r="FL435" s="14"/>
      <c r="FM435" s="14"/>
      <c r="FN435" s="14"/>
      <c r="FO435" s="14"/>
      <c r="FP435" s="14"/>
      <c r="FQ435" s="14"/>
      <c r="FR435" s="14"/>
      <c r="FS435" s="14"/>
      <c r="FT435" s="14"/>
      <c r="FU435" s="14"/>
      <c r="FV435" s="14"/>
      <c r="FW435" s="14"/>
      <c r="FX435" s="14"/>
      <c r="FY435" s="14"/>
      <c r="FZ435" s="14"/>
      <c r="GA435" s="14"/>
      <c r="GB435" s="14"/>
      <c r="GC435" s="14"/>
      <c r="GD435" s="14"/>
      <c r="GE435" s="14"/>
      <c r="GF435" s="14"/>
      <c r="GG435" s="14"/>
      <c r="GH435" s="14"/>
      <c r="GI435" s="14"/>
      <c r="GJ435" s="14"/>
      <c r="GK435" s="14"/>
      <c r="GL435" s="14"/>
      <c r="GM435" s="14"/>
      <c r="GN435" s="14"/>
      <c r="GO435" s="14"/>
      <c r="GP435" s="14"/>
      <c r="GQ435" s="14"/>
      <c r="GR435" s="14"/>
      <c r="GS435" s="14"/>
      <c r="GT435" s="14"/>
      <c r="GU435" s="14"/>
      <c r="GV435" s="14"/>
      <c r="GW435" s="14"/>
      <c r="GX435" s="14"/>
      <c r="GY435" s="14"/>
      <c r="GZ435" s="14"/>
      <c r="HA435" s="14"/>
      <c r="HB435" s="14"/>
      <c r="HC435" s="14"/>
      <c r="HD435" s="14"/>
      <c r="HE435" s="14"/>
      <c r="HF435" s="14"/>
      <c r="HG435" s="14"/>
      <c r="HH435" s="14"/>
      <c r="HI435" s="14"/>
      <c r="HJ435" s="14"/>
      <c r="HK435" s="14"/>
      <c r="HL435" s="14"/>
      <c r="HM435" s="14"/>
      <c r="HN435" s="14"/>
      <c r="HO435" s="14"/>
      <c r="HP435" s="14"/>
      <c r="HQ435" s="14"/>
      <c r="HR435" s="14"/>
      <c r="HS435" s="14"/>
      <c r="HT435" s="14"/>
    </row>
    <row r="436" spans="1:228" ht="18" customHeight="1" x14ac:dyDescent="0.2">
      <c r="A436" s="8"/>
      <c r="B436" s="1999"/>
      <c r="C436" s="1999"/>
      <c r="D436" s="1999"/>
      <c r="E436" s="1639"/>
      <c r="F436" s="1714"/>
      <c r="G436" s="1888" t="s">
        <v>1599</v>
      </c>
      <c r="H436" s="1889"/>
      <c r="I436" s="1889"/>
      <c r="J436" s="1889"/>
      <c r="K436" s="1889"/>
      <c r="L436" s="1889"/>
      <c r="M436" s="1889"/>
      <c r="N436" s="1889"/>
      <c r="O436" s="1910"/>
      <c r="P436" s="1352"/>
      <c r="Q436" s="8"/>
      <c r="R436" s="873" t="b">
        <v>0</v>
      </c>
      <c r="S436" s="967">
        <f t="shared" si="63"/>
        <v>0</v>
      </c>
      <c r="T436" s="967">
        <f>SUM(S433:S436)</f>
        <v>0</v>
      </c>
      <c r="U436" s="646">
        <f>IF(AND(T432&gt;0,T436&gt;0),0.05,0)</f>
        <v>0</v>
      </c>
      <c r="V436" s="115"/>
      <c r="W436" s="60"/>
      <c r="X436" s="60"/>
      <c r="Y436" s="60"/>
      <c r="Z436" s="60"/>
      <c r="AA436" s="60"/>
      <c r="AB436" s="60"/>
      <c r="AC436" s="60"/>
      <c r="AD436" s="60"/>
      <c r="AE436" s="60"/>
      <c r="AF436" s="60"/>
      <c r="AG436" s="60"/>
      <c r="AH436" s="60"/>
      <c r="AI436" s="60"/>
      <c r="AJ436" s="60"/>
      <c r="AK436" s="60"/>
      <c r="AL436" s="60"/>
      <c r="AM436" s="60"/>
      <c r="AN436" s="60"/>
      <c r="AO436" s="60"/>
      <c r="AP436" s="60"/>
      <c r="AQ436" s="60"/>
      <c r="AR436" s="60"/>
      <c r="AS436" s="60"/>
      <c r="AT436" s="60"/>
      <c r="AU436" s="60"/>
      <c r="AV436" s="60"/>
      <c r="AW436" s="60"/>
      <c r="AX436" s="60"/>
      <c r="AY436" s="60"/>
      <c r="AZ436" s="60"/>
      <c r="BA436" s="60"/>
      <c r="BB436" s="60"/>
      <c r="BC436" s="60"/>
      <c r="BD436" s="60"/>
      <c r="BE436" s="60"/>
      <c r="BF436" s="18"/>
      <c r="BG436" s="18"/>
      <c r="BH436" s="18"/>
      <c r="BI436" s="18"/>
      <c r="BJ436" s="18"/>
      <c r="BK436" s="18"/>
      <c r="BL436" s="18"/>
      <c r="BM436" s="18"/>
      <c r="BN436" s="18"/>
      <c r="BO436" s="18"/>
      <c r="BP436" s="18"/>
      <c r="BQ436" s="14"/>
      <c r="BR436" s="14"/>
      <c r="BS436" s="14"/>
      <c r="BT436" s="14"/>
      <c r="BU436" s="14"/>
      <c r="BV436" s="14"/>
      <c r="BW436" s="14"/>
      <c r="BX436" s="14"/>
      <c r="BY436" s="14"/>
      <c r="BZ436" s="14"/>
      <c r="CA436" s="14"/>
      <c r="CB436" s="14"/>
      <c r="CC436" s="14"/>
      <c r="CD436" s="14"/>
      <c r="CE436" s="14"/>
      <c r="CF436" s="14"/>
      <c r="CG436" s="14"/>
      <c r="CH436" s="14"/>
      <c r="CI436" s="14"/>
      <c r="CJ436" s="14"/>
      <c r="CK436" s="14"/>
      <c r="CL436" s="14"/>
      <c r="CM436" s="14"/>
      <c r="CN436" s="14"/>
      <c r="CO436" s="14"/>
      <c r="CP436" s="14"/>
      <c r="CQ436" s="14"/>
      <c r="CR436" s="14"/>
      <c r="CS436" s="14"/>
      <c r="CT436" s="14"/>
      <c r="CU436" s="14"/>
      <c r="CV436" s="14"/>
      <c r="CW436" s="14"/>
      <c r="CX436" s="14"/>
      <c r="CY436" s="14"/>
      <c r="CZ436" s="14"/>
      <c r="DA436" s="14"/>
      <c r="DB436" s="14"/>
      <c r="DC436" s="14"/>
      <c r="DD436" s="14"/>
      <c r="DE436" s="14"/>
      <c r="DF436" s="14"/>
      <c r="DG436" s="14"/>
      <c r="DH436" s="14"/>
      <c r="DI436" s="14"/>
      <c r="DJ436" s="14"/>
      <c r="DK436" s="14"/>
      <c r="DL436" s="14"/>
      <c r="DM436" s="14"/>
      <c r="DN436" s="14"/>
      <c r="DO436" s="14"/>
      <c r="DP436" s="14"/>
      <c r="DQ436" s="14"/>
      <c r="DR436" s="14"/>
      <c r="DS436" s="14"/>
      <c r="DT436" s="14"/>
      <c r="DU436" s="14"/>
      <c r="DV436" s="14"/>
      <c r="DW436" s="14"/>
      <c r="DX436" s="14"/>
      <c r="DY436" s="14"/>
      <c r="DZ436" s="14"/>
      <c r="EA436" s="14"/>
      <c r="EB436" s="14"/>
      <c r="EC436" s="14"/>
      <c r="ED436" s="14"/>
      <c r="EE436" s="14"/>
      <c r="EF436" s="14"/>
      <c r="EG436" s="14"/>
      <c r="EH436" s="14"/>
      <c r="EI436" s="14"/>
      <c r="EJ436" s="14"/>
      <c r="EK436" s="14"/>
      <c r="EL436" s="14"/>
      <c r="EM436" s="14"/>
      <c r="EN436" s="14"/>
      <c r="EO436" s="14"/>
      <c r="EP436" s="14"/>
      <c r="EQ436" s="14"/>
      <c r="ER436" s="14"/>
      <c r="ES436" s="14"/>
      <c r="ET436" s="14"/>
      <c r="EU436" s="14"/>
      <c r="EV436" s="14"/>
      <c r="EW436" s="14"/>
      <c r="EX436" s="14"/>
      <c r="EY436" s="14"/>
      <c r="EZ436" s="14"/>
      <c r="FA436" s="14"/>
      <c r="FB436" s="14"/>
      <c r="FC436" s="14"/>
      <c r="FD436" s="14"/>
      <c r="FE436" s="14"/>
      <c r="FF436" s="14"/>
      <c r="FG436" s="14"/>
      <c r="FH436" s="14"/>
      <c r="FI436" s="14"/>
      <c r="FJ436" s="14"/>
      <c r="FK436" s="14"/>
      <c r="FL436" s="14"/>
      <c r="FM436" s="14"/>
      <c r="FN436" s="14"/>
      <c r="FO436" s="14"/>
      <c r="FP436" s="14"/>
      <c r="FQ436" s="14"/>
      <c r="FR436" s="14"/>
      <c r="FS436" s="14"/>
      <c r="FT436" s="14"/>
      <c r="FU436" s="14"/>
      <c r="FV436" s="14"/>
      <c r="FW436" s="14"/>
      <c r="FX436" s="14"/>
      <c r="FY436" s="14"/>
      <c r="FZ436" s="14"/>
      <c r="GA436" s="14"/>
      <c r="GB436" s="14"/>
      <c r="GC436" s="14"/>
      <c r="GD436" s="14"/>
      <c r="GE436" s="14"/>
      <c r="GF436" s="14"/>
      <c r="GG436" s="14"/>
      <c r="GH436" s="14"/>
      <c r="GI436" s="14"/>
      <c r="GJ436" s="14"/>
      <c r="GK436" s="14"/>
      <c r="GL436" s="14"/>
      <c r="GM436" s="14"/>
      <c r="GN436" s="14"/>
      <c r="GO436" s="14"/>
      <c r="GP436" s="14"/>
      <c r="GQ436" s="14"/>
      <c r="GR436" s="14"/>
      <c r="GS436" s="14"/>
      <c r="GT436" s="14"/>
      <c r="GU436" s="14"/>
      <c r="GV436" s="14"/>
      <c r="GW436" s="14"/>
      <c r="GX436" s="14"/>
      <c r="GY436" s="14"/>
      <c r="GZ436" s="14"/>
      <c r="HA436" s="14"/>
      <c r="HB436" s="14"/>
      <c r="HC436" s="14"/>
      <c r="HD436" s="14"/>
      <c r="HE436" s="14"/>
      <c r="HF436" s="14"/>
      <c r="HG436" s="14"/>
      <c r="HH436" s="14"/>
      <c r="HI436" s="14"/>
      <c r="HJ436" s="14"/>
      <c r="HK436" s="14"/>
      <c r="HL436" s="14"/>
      <c r="HM436" s="14"/>
      <c r="HN436" s="14"/>
      <c r="HO436" s="14"/>
      <c r="HP436" s="14"/>
      <c r="HQ436" s="14"/>
      <c r="HR436" s="14"/>
      <c r="HS436" s="14"/>
      <c r="HT436" s="14"/>
    </row>
    <row r="437" spans="1:228" ht="12" customHeight="1" x14ac:dyDescent="0.2">
      <c r="B437" s="1395"/>
      <c r="C437" s="1395"/>
      <c r="D437" s="1395"/>
      <c r="E437" s="1395"/>
      <c r="F437" s="1395"/>
      <c r="G437" s="1395"/>
      <c r="H437" s="1395"/>
      <c r="I437" s="1395"/>
      <c r="J437" s="1395"/>
      <c r="K437" s="1395"/>
      <c r="L437" s="1395"/>
      <c r="M437" s="1395"/>
      <c r="N437" s="1395"/>
      <c r="O437" s="1395"/>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4"/>
      <c r="BR437" s="14"/>
      <c r="BS437" s="14"/>
      <c r="BT437" s="14"/>
      <c r="BU437" s="14"/>
      <c r="BV437" s="14"/>
      <c r="BW437" s="14"/>
      <c r="BX437" s="14"/>
      <c r="BY437" s="14"/>
      <c r="BZ437" s="14"/>
      <c r="CA437" s="14"/>
      <c r="CB437" s="14"/>
      <c r="CC437" s="14"/>
      <c r="CD437" s="14"/>
      <c r="CE437" s="14"/>
      <c r="CF437" s="14"/>
      <c r="CG437" s="14"/>
      <c r="CH437" s="14"/>
      <c r="CI437" s="14"/>
      <c r="CJ437" s="14"/>
      <c r="CK437" s="14"/>
      <c r="CL437" s="14"/>
      <c r="CM437" s="14"/>
      <c r="CN437" s="14"/>
      <c r="CO437" s="14"/>
      <c r="CP437" s="14"/>
      <c r="CQ437" s="14"/>
      <c r="CR437" s="14"/>
      <c r="CS437" s="14"/>
      <c r="CT437" s="14"/>
      <c r="CU437" s="14"/>
      <c r="CV437" s="14"/>
      <c r="CW437" s="14"/>
      <c r="CX437" s="14"/>
      <c r="CY437" s="14"/>
      <c r="CZ437" s="14"/>
      <c r="DA437" s="14"/>
      <c r="DB437" s="14"/>
      <c r="DC437" s="14"/>
      <c r="DD437" s="14"/>
      <c r="DE437" s="14"/>
      <c r="DF437" s="14"/>
      <c r="DG437" s="14"/>
      <c r="DH437" s="14"/>
      <c r="DI437" s="14"/>
      <c r="DJ437" s="14"/>
      <c r="DK437" s="14"/>
      <c r="DL437" s="14"/>
      <c r="DM437" s="14"/>
      <c r="DN437" s="14"/>
      <c r="DO437" s="14"/>
      <c r="DP437" s="14"/>
      <c r="DQ437" s="14"/>
      <c r="DR437" s="14"/>
      <c r="DS437" s="14"/>
      <c r="DT437" s="14"/>
      <c r="DU437" s="14"/>
      <c r="DV437" s="14"/>
      <c r="DW437" s="14"/>
      <c r="DX437" s="14"/>
      <c r="DY437" s="14"/>
      <c r="DZ437" s="14"/>
      <c r="EA437" s="14"/>
      <c r="EB437" s="14"/>
      <c r="EC437" s="14"/>
      <c r="ED437" s="14"/>
      <c r="EE437" s="14"/>
      <c r="EF437" s="14"/>
      <c r="EG437" s="14"/>
      <c r="EH437" s="14"/>
      <c r="EI437" s="14"/>
      <c r="EJ437" s="14"/>
      <c r="EK437" s="14"/>
      <c r="EL437" s="14"/>
      <c r="EM437" s="14"/>
      <c r="EN437" s="14"/>
      <c r="EO437" s="14"/>
      <c r="EP437" s="14"/>
      <c r="EQ437" s="14"/>
      <c r="ER437" s="14"/>
      <c r="ES437" s="14"/>
      <c r="ET437" s="14"/>
      <c r="EU437" s="14"/>
      <c r="EV437" s="14"/>
      <c r="EW437" s="14"/>
      <c r="EX437" s="14"/>
      <c r="EY437" s="14"/>
      <c r="EZ437" s="14"/>
      <c r="FA437" s="14"/>
      <c r="FB437" s="14"/>
      <c r="FC437" s="14"/>
      <c r="FD437" s="14"/>
      <c r="FE437" s="14"/>
      <c r="FF437" s="14"/>
      <c r="FG437" s="14"/>
      <c r="FH437" s="14"/>
      <c r="FI437" s="14"/>
      <c r="FJ437" s="14"/>
      <c r="FK437" s="14"/>
      <c r="FL437" s="14"/>
      <c r="FM437" s="14"/>
      <c r="FN437" s="14"/>
      <c r="FO437" s="14"/>
      <c r="FP437" s="14"/>
      <c r="FQ437" s="14"/>
      <c r="FR437" s="14"/>
      <c r="FS437" s="14"/>
      <c r="FT437" s="14"/>
      <c r="FU437" s="14"/>
      <c r="FV437" s="14"/>
      <c r="FW437" s="14"/>
      <c r="FX437" s="14"/>
      <c r="FY437" s="14"/>
      <c r="FZ437" s="14"/>
      <c r="GA437" s="14"/>
      <c r="GB437" s="14"/>
      <c r="GC437" s="14"/>
      <c r="GD437" s="14"/>
      <c r="GE437" s="14"/>
      <c r="GF437" s="14"/>
      <c r="GG437" s="14"/>
      <c r="GH437" s="14"/>
      <c r="GI437" s="14"/>
      <c r="GJ437" s="14"/>
      <c r="GK437" s="14"/>
      <c r="GL437" s="14"/>
      <c r="GM437" s="14"/>
      <c r="GN437" s="14"/>
      <c r="GO437" s="14"/>
      <c r="GP437" s="14"/>
      <c r="GQ437" s="14"/>
      <c r="GR437" s="14"/>
      <c r="GS437" s="14"/>
      <c r="GT437" s="14"/>
      <c r="GU437" s="14"/>
      <c r="GV437" s="14"/>
      <c r="GW437" s="14"/>
      <c r="GX437" s="14"/>
      <c r="GY437" s="14"/>
      <c r="GZ437" s="14"/>
      <c r="HA437" s="14"/>
      <c r="HB437" s="14"/>
      <c r="HC437" s="14"/>
      <c r="HD437" s="14"/>
      <c r="HE437" s="14"/>
      <c r="HF437" s="14"/>
      <c r="HG437" s="14"/>
      <c r="HH437" s="14"/>
      <c r="HI437" s="14"/>
      <c r="HJ437" s="14"/>
      <c r="HK437" s="14"/>
      <c r="HL437" s="14"/>
      <c r="HM437" s="14"/>
      <c r="HN437" s="14"/>
      <c r="HO437" s="14"/>
      <c r="HP437" s="14"/>
      <c r="HQ437" s="14"/>
      <c r="HR437" s="14"/>
      <c r="HS437" s="14"/>
      <c r="HT437" s="14"/>
    </row>
    <row r="438" spans="1:228" ht="18" customHeight="1" x14ac:dyDescent="0.25">
      <c r="A438" s="8"/>
      <c r="B438" s="1848" t="s">
        <v>700</v>
      </c>
      <c r="C438" s="1848"/>
      <c r="D438" s="1848"/>
      <c r="E438" s="1848"/>
      <c r="F438" s="1848"/>
      <c r="G438" s="1848"/>
      <c r="H438" s="1848"/>
      <c r="I438" s="1848"/>
      <c r="J438" s="1848"/>
      <c r="K438" s="1848"/>
      <c r="L438" s="1848"/>
      <c r="M438" s="1848"/>
      <c r="N438" s="1848"/>
      <c r="O438" s="1848"/>
      <c r="P438" s="361"/>
      <c r="Q438" s="8"/>
      <c r="R438" s="60"/>
      <c r="S438" s="60"/>
      <c r="T438" s="60"/>
      <c r="U438" s="60"/>
      <c r="V438" s="60"/>
      <c r="W438" s="60"/>
      <c r="X438" s="60"/>
      <c r="Y438" s="60"/>
      <c r="Z438" s="60"/>
      <c r="AA438" s="60"/>
      <c r="AB438" s="60"/>
      <c r="AC438" s="60"/>
      <c r="AD438" s="60"/>
      <c r="AE438" s="60"/>
      <c r="AF438" s="60"/>
      <c r="AG438" s="60"/>
      <c r="AH438" s="60"/>
      <c r="AI438" s="60"/>
      <c r="AJ438" s="60"/>
      <c r="AK438" s="60"/>
      <c r="AL438" s="60"/>
      <c r="AM438" s="60"/>
      <c r="AN438" s="60"/>
      <c r="AO438" s="60"/>
      <c r="AP438" s="60"/>
      <c r="AQ438" s="60"/>
      <c r="AR438" s="60"/>
      <c r="AS438" s="60"/>
      <c r="AT438" s="60"/>
      <c r="AU438" s="60"/>
      <c r="AV438" s="60"/>
      <c r="AW438" s="60"/>
      <c r="AX438" s="60"/>
      <c r="AY438" s="60"/>
      <c r="AZ438" s="60"/>
      <c r="BA438" s="60"/>
      <c r="BB438" s="60"/>
      <c r="BC438" s="60"/>
      <c r="BD438" s="60"/>
      <c r="BE438" s="60"/>
      <c r="BF438" s="18"/>
      <c r="BG438" s="18"/>
      <c r="BH438" s="18"/>
      <c r="BI438" s="18"/>
      <c r="BJ438" s="18"/>
      <c r="BK438" s="18"/>
      <c r="BL438" s="18"/>
      <c r="BM438" s="18"/>
      <c r="BN438" s="18"/>
      <c r="BO438" s="18"/>
      <c r="BP438" s="18"/>
      <c r="BQ438" s="14"/>
      <c r="BR438" s="14"/>
      <c r="BS438" s="14"/>
      <c r="BT438" s="14"/>
      <c r="BU438" s="14"/>
      <c r="BV438" s="14"/>
      <c r="BW438" s="14"/>
      <c r="BX438" s="14"/>
      <c r="BY438" s="14"/>
      <c r="BZ438" s="14"/>
      <c r="CA438" s="14"/>
      <c r="CB438" s="14"/>
      <c r="CC438" s="14"/>
      <c r="CD438" s="14"/>
      <c r="CE438" s="14"/>
      <c r="CF438" s="14"/>
      <c r="CG438" s="14"/>
      <c r="CH438" s="14"/>
      <c r="CI438" s="14"/>
      <c r="CJ438" s="14"/>
      <c r="CK438" s="14"/>
      <c r="CL438" s="14"/>
      <c r="CM438" s="14"/>
      <c r="CN438" s="14"/>
      <c r="CO438" s="14"/>
      <c r="CP438" s="14"/>
      <c r="CQ438" s="14"/>
      <c r="CR438" s="14"/>
      <c r="CS438" s="14"/>
      <c r="CT438" s="14"/>
      <c r="CU438" s="14"/>
      <c r="CV438" s="14"/>
      <c r="CW438" s="14"/>
      <c r="CX438" s="14"/>
      <c r="CY438" s="14"/>
      <c r="CZ438" s="14"/>
      <c r="DA438" s="14"/>
      <c r="DB438" s="14"/>
      <c r="DC438" s="14"/>
      <c r="DD438" s="14"/>
      <c r="DE438" s="14"/>
      <c r="DF438" s="14"/>
      <c r="DG438" s="14"/>
      <c r="DH438" s="14"/>
      <c r="DI438" s="14"/>
      <c r="DJ438" s="14"/>
      <c r="DK438" s="14"/>
      <c r="DL438" s="14"/>
      <c r="DM438" s="14"/>
      <c r="DN438" s="14"/>
      <c r="DO438" s="14"/>
      <c r="DP438" s="14"/>
      <c r="DQ438" s="14"/>
      <c r="DR438" s="14"/>
      <c r="DS438" s="14"/>
      <c r="DT438" s="14"/>
      <c r="DU438" s="14"/>
      <c r="DV438" s="14"/>
      <c r="DW438" s="14"/>
      <c r="DX438" s="14"/>
      <c r="DY438" s="14"/>
      <c r="DZ438" s="14"/>
      <c r="EA438" s="14"/>
      <c r="EB438" s="14"/>
      <c r="EC438" s="14"/>
      <c r="ED438" s="14"/>
      <c r="EE438" s="14"/>
      <c r="EF438" s="14"/>
      <c r="EG438" s="14"/>
      <c r="EH438" s="14"/>
      <c r="EI438" s="14"/>
      <c r="EJ438" s="14"/>
      <c r="EK438" s="14"/>
      <c r="EL438" s="14"/>
      <c r="EM438" s="14"/>
      <c r="EN438" s="14"/>
      <c r="EO438" s="14"/>
      <c r="EP438" s="14"/>
      <c r="EQ438" s="14"/>
      <c r="ER438" s="14"/>
      <c r="ES438" s="14"/>
      <c r="ET438" s="14"/>
      <c r="EU438" s="14"/>
      <c r="EV438" s="14"/>
      <c r="EW438" s="14"/>
      <c r="EX438" s="14"/>
      <c r="EY438" s="14"/>
      <c r="EZ438" s="14"/>
      <c r="FA438" s="14"/>
      <c r="FB438" s="14"/>
      <c r="FC438" s="14"/>
      <c r="FD438" s="14"/>
      <c r="FE438" s="14"/>
      <c r="FF438" s="14"/>
      <c r="FG438" s="14"/>
      <c r="FH438" s="14"/>
      <c r="FI438" s="14"/>
      <c r="FJ438" s="14"/>
      <c r="FK438" s="14"/>
      <c r="FL438" s="14"/>
      <c r="FM438" s="14"/>
      <c r="FN438" s="14"/>
      <c r="FO438" s="14"/>
      <c r="FP438" s="14"/>
      <c r="FQ438" s="14"/>
      <c r="FR438" s="14"/>
      <c r="FS438" s="14"/>
      <c r="FT438" s="14"/>
      <c r="FU438" s="14"/>
      <c r="FV438" s="14"/>
      <c r="FW438" s="14"/>
      <c r="FX438" s="14"/>
      <c r="FY438" s="14"/>
      <c r="FZ438" s="14"/>
      <c r="GA438" s="14"/>
      <c r="GB438" s="14"/>
      <c r="GC438" s="14"/>
      <c r="GD438" s="14"/>
      <c r="GE438" s="14"/>
      <c r="GF438" s="14"/>
      <c r="GG438" s="14"/>
      <c r="GH438" s="14"/>
      <c r="GI438" s="14"/>
      <c r="GJ438" s="14"/>
      <c r="GK438" s="14"/>
      <c r="GL438" s="14"/>
      <c r="GM438" s="14"/>
      <c r="GN438" s="14"/>
      <c r="GO438" s="14"/>
      <c r="GP438" s="14"/>
      <c r="GQ438" s="14"/>
      <c r="GR438" s="14"/>
      <c r="GS438" s="14"/>
      <c r="GT438" s="14"/>
      <c r="GU438" s="14"/>
      <c r="GV438" s="14"/>
      <c r="GW438" s="14"/>
      <c r="GX438" s="14"/>
      <c r="GY438" s="14"/>
      <c r="GZ438" s="14"/>
      <c r="HA438" s="14"/>
      <c r="HB438" s="14"/>
      <c r="HC438" s="14"/>
      <c r="HD438" s="14"/>
      <c r="HE438" s="14"/>
      <c r="HF438" s="14"/>
      <c r="HG438" s="14"/>
      <c r="HH438" s="14"/>
      <c r="HI438" s="14"/>
      <c r="HJ438" s="14"/>
      <c r="HK438" s="14"/>
      <c r="HL438" s="14"/>
      <c r="HM438" s="14"/>
      <c r="HN438" s="14"/>
      <c r="HO438" s="14"/>
      <c r="HP438" s="14"/>
      <c r="HQ438" s="14"/>
      <c r="HR438" s="14"/>
      <c r="HS438" s="14"/>
      <c r="HT438" s="14"/>
    </row>
    <row r="439" spans="1:228" ht="39" customHeight="1" x14ac:dyDescent="0.2">
      <c r="A439" s="20"/>
      <c r="B439" s="1981" t="s">
        <v>2027</v>
      </c>
      <c r="C439" s="1982"/>
      <c r="D439" s="1982"/>
      <c r="E439" s="1982"/>
      <c r="F439" s="1982"/>
      <c r="G439" s="1982"/>
      <c r="H439" s="1982"/>
      <c r="I439" s="1982"/>
      <c r="J439" s="1982"/>
      <c r="K439" s="1982"/>
      <c r="L439" s="1982"/>
      <c r="M439" s="1983"/>
      <c r="N439" s="2021"/>
      <c r="O439" s="2021"/>
      <c r="P439" s="95">
        <f>IF(R439=1,0.15,0)</f>
        <v>0</v>
      </c>
      <c r="Q439" s="8"/>
      <c r="R439" s="873">
        <v>2</v>
      </c>
      <c r="S439" s="60"/>
      <c r="T439" s="60"/>
      <c r="U439" s="60"/>
      <c r="V439" s="60"/>
      <c r="W439" s="60">
        <v>1E-4</v>
      </c>
      <c r="X439" s="60"/>
      <c r="Y439" s="60"/>
      <c r="Z439" s="60"/>
      <c r="AA439" s="60"/>
      <c r="AB439" s="60"/>
      <c r="AC439" s="60"/>
      <c r="AD439" s="60"/>
      <c r="AE439" s="60"/>
      <c r="AF439" s="60"/>
      <c r="AG439" s="60"/>
      <c r="AH439" s="60"/>
      <c r="AI439" s="60"/>
      <c r="AJ439" s="60"/>
      <c r="AK439" s="60"/>
      <c r="AL439" s="60"/>
      <c r="AM439" s="60"/>
      <c r="AN439" s="60"/>
      <c r="AO439" s="60"/>
      <c r="AP439" s="60"/>
      <c r="AQ439" s="60"/>
      <c r="AR439" s="60"/>
      <c r="AS439" s="60"/>
      <c r="AT439" s="60"/>
      <c r="AU439" s="60"/>
      <c r="AV439" s="60"/>
      <c r="AW439" s="60"/>
      <c r="AX439" s="60"/>
      <c r="AY439" s="60"/>
      <c r="AZ439" s="60"/>
      <c r="BA439" s="60"/>
      <c r="BB439" s="60"/>
      <c r="BC439" s="60"/>
      <c r="BD439" s="60"/>
      <c r="BE439" s="60"/>
      <c r="BF439" s="18"/>
      <c r="BG439" s="18"/>
      <c r="BH439" s="18"/>
      <c r="BI439" s="18"/>
      <c r="BJ439" s="18"/>
      <c r="BK439" s="18"/>
      <c r="BL439" s="18"/>
      <c r="BM439" s="18"/>
      <c r="BN439" s="18"/>
      <c r="BO439" s="18"/>
      <c r="BP439" s="18"/>
      <c r="BQ439" s="14"/>
      <c r="BR439" s="14"/>
      <c r="BS439" s="14"/>
      <c r="BT439" s="14"/>
      <c r="BU439" s="14"/>
      <c r="BV439" s="14"/>
      <c r="BW439" s="14"/>
      <c r="BX439" s="14"/>
      <c r="BY439" s="14"/>
      <c r="BZ439" s="14"/>
      <c r="CA439" s="14"/>
      <c r="CB439" s="14"/>
      <c r="CC439" s="14"/>
      <c r="CD439" s="14"/>
      <c r="CE439" s="14"/>
      <c r="CF439" s="14"/>
      <c r="CG439" s="14"/>
      <c r="CH439" s="14"/>
      <c r="CI439" s="14"/>
      <c r="CJ439" s="14"/>
      <c r="CK439" s="14"/>
      <c r="CL439" s="14"/>
      <c r="CM439" s="14"/>
      <c r="CN439" s="14"/>
      <c r="CO439" s="14"/>
      <c r="CP439" s="14"/>
      <c r="CQ439" s="14"/>
      <c r="CR439" s="14"/>
      <c r="CS439" s="14"/>
      <c r="CT439" s="14"/>
      <c r="CU439" s="14"/>
      <c r="CV439" s="14"/>
      <c r="CW439" s="14"/>
      <c r="CX439" s="14"/>
      <c r="CY439" s="14"/>
      <c r="CZ439" s="14"/>
      <c r="DA439" s="14"/>
      <c r="DB439" s="14"/>
      <c r="DC439" s="14"/>
      <c r="DD439" s="14"/>
      <c r="DE439" s="14"/>
      <c r="DF439" s="14"/>
      <c r="DG439" s="14"/>
      <c r="DH439" s="14"/>
      <c r="DI439" s="14"/>
      <c r="DJ439" s="14"/>
      <c r="DK439" s="14"/>
      <c r="DL439" s="14"/>
      <c r="DM439" s="14"/>
      <c r="DN439" s="14"/>
      <c r="DO439" s="14"/>
      <c r="DP439" s="14"/>
      <c r="DQ439" s="14"/>
      <c r="DR439" s="14"/>
      <c r="DS439" s="14"/>
      <c r="DT439" s="14"/>
      <c r="DU439" s="14"/>
      <c r="DV439" s="14"/>
      <c r="DW439" s="14"/>
      <c r="DX439" s="14"/>
      <c r="DY439" s="14"/>
      <c r="DZ439" s="14"/>
      <c r="EA439" s="14"/>
      <c r="EB439" s="14"/>
      <c r="EC439" s="14"/>
      <c r="ED439" s="14"/>
      <c r="EE439" s="14"/>
      <c r="EF439" s="14"/>
      <c r="EG439" s="14"/>
      <c r="EH439" s="14"/>
      <c r="EI439" s="14"/>
      <c r="EJ439" s="14"/>
      <c r="EK439" s="14"/>
      <c r="EL439" s="14"/>
      <c r="EM439" s="14"/>
      <c r="EN439" s="14"/>
      <c r="EO439" s="14"/>
      <c r="EP439" s="14"/>
      <c r="EQ439" s="14"/>
      <c r="ER439" s="14"/>
      <c r="ES439" s="14"/>
      <c r="ET439" s="14"/>
      <c r="EU439" s="14"/>
      <c r="EV439" s="14"/>
      <c r="EW439" s="14"/>
      <c r="EX439" s="14"/>
      <c r="EY439" s="14"/>
      <c r="EZ439" s="14"/>
      <c r="FA439" s="14"/>
      <c r="FB439" s="14"/>
      <c r="FC439" s="14"/>
      <c r="FD439" s="14"/>
      <c r="FE439" s="14"/>
      <c r="FF439" s="14"/>
      <c r="FG439" s="14"/>
      <c r="FH439" s="14"/>
      <c r="FI439" s="14"/>
      <c r="FJ439" s="14"/>
      <c r="FK439" s="14"/>
      <c r="FL439" s="14"/>
      <c r="FM439" s="14"/>
      <c r="FN439" s="14"/>
      <c r="FO439" s="14"/>
      <c r="FP439" s="14"/>
      <c r="FQ439" s="14"/>
      <c r="FR439" s="14"/>
      <c r="FS439" s="14"/>
      <c r="FT439" s="14"/>
      <c r="FU439" s="14"/>
      <c r="FV439" s="14"/>
      <c r="FW439" s="14"/>
      <c r="FX439" s="14"/>
      <c r="FY439" s="14"/>
      <c r="FZ439" s="14"/>
      <c r="GA439" s="14"/>
      <c r="GB439" s="14"/>
      <c r="GC439" s="14"/>
      <c r="GD439" s="14"/>
      <c r="GE439" s="14"/>
      <c r="GF439" s="14"/>
      <c r="GG439" s="14"/>
      <c r="GH439" s="14"/>
      <c r="GI439" s="14"/>
      <c r="GJ439" s="14"/>
      <c r="GK439" s="14"/>
      <c r="GL439" s="14"/>
      <c r="GM439" s="14"/>
      <c r="GN439" s="14"/>
      <c r="GO439" s="14"/>
      <c r="GP439" s="14"/>
      <c r="GQ439" s="14"/>
      <c r="GR439" s="14"/>
      <c r="GS439" s="14"/>
      <c r="GT439" s="14"/>
      <c r="GU439" s="14"/>
      <c r="GV439" s="14"/>
      <c r="GW439" s="14"/>
      <c r="GX439" s="14"/>
      <c r="GY439" s="14"/>
      <c r="GZ439" s="14"/>
      <c r="HA439" s="14"/>
      <c r="HB439" s="14"/>
      <c r="HC439" s="14"/>
      <c r="HD439" s="14"/>
      <c r="HE439" s="14"/>
      <c r="HF439" s="14"/>
      <c r="HG439" s="14"/>
      <c r="HH439" s="14"/>
      <c r="HI439" s="14"/>
      <c r="HJ439" s="14"/>
      <c r="HK439" s="14"/>
      <c r="HL439" s="14"/>
      <c r="HM439" s="14"/>
      <c r="HN439" s="14"/>
      <c r="HO439" s="14"/>
      <c r="HP439" s="14"/>
      <c r="HQ439" s="14"/>
      <c r="HR439" s="14"/>
      <c r="HS439" s="14"/>
      <c r="HT439" s="14"/>
    </row>
    <row r="440" spans="1:228" ht="9" customHeight="1" x14ac:dyDescent="0.2">
      <c r="B440" s="1395"/>
      <c r="C440" s="1395"/>
      <c r="D440" s="1395"/>
      <c r="E440" s="1395"/>
      <c r="F440" s="1395"/>
      <c r="G440" s="1395"/>
      <c r="H440" s="1395"/>
      <c r="I440" s="1395"/>
      <c r="J440" s="1395"/>
      <c r="K440" s="1395"/>
      <c r="L440" s="1395"/>
      <c r="M440" s="1395"/>
      <c r="N440" s="1395"/>
      <c r="O440" s="1395"/>
      <c r="P440" s="1395"/>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4"/>
      <c r="BR440" s="14"/>
      <c r="BS440" s="14"/>
      <c r="BT440" s="14"/>
      <c r="BU440" s="14"/>
      <c r="BV440" s="14"/>
      <c r="BW440" s="14"/>
      <c r="BX440" s="14"/>
      <c r="BY440" s="14"/>
      <c r="BZ440" s="14"/>
      <c r="CA440" s="14"/>
      <c r="CB440" s="14"/>
      <c r="CC440" s="14"/>
      <c r="CD440" s="14"/>
      <c r="CE440" s="14"/>
      <c r="CF440" s="14"/>
      <c r="CG440" s="14"/>
      <c r="CH440" s="14"/>
      <c r="CI440" s="14"/>
      <c r="CJ440" s="14"/>
      <c r="CK440" s="14"/>
      <c r="CL440" s="14"/>
      <c r="CM440" s="14"/>
      <c r="CN440" s="14"/>
      <c r="CO440" s="14"/>
      <c r="CP440" s="14"/>
      <c r="CQ440" s="14"/>
      <c r="CR440" s="14"/>
      <c r="CS440" s="14"/>
      <c r="CT440" s="14"/>
      <c r="CU440" s="14"/>
      <c r="CV440" s="14"/>
      <c r="CW440" s="14"/>
      <c r="CX440" s="14"/>
      <c r="CY440" s="14"/>
      <c r="CZ440" s="14"/>
      <c r="DA440" s="14"/>
      <c r="DB440" s="14"/>
      <c r="DC440" s="14"/>
      <c r="DD440" s="14"/>
      <c r="DE440" s="14"/>
      <c r="DF440" s="14"/>
      <c r="DG440" s="14"/>
      <c r="DH440" s="14"/>
      <c r="DI440" s="14"/>
      <c r="DJ440" s="14"/>
      <c r="DK440" s="14"/>
      <c r="DL440" s="14"/>
      <c r="DM440" s="14"/>
      <c r="DN440" s="14"/>
      <c r="DO440" s="14"/>
      <c r="DP440" s="14"/>
      <c r="DQ440" s="14"/>
      <c r="DR440" s="14"/>
      <c r="DS440" s="14"/>
      <c r="DT440" s="14"/>
      <c r="DU440" s="14"/>
      <c r="DV440" s="14"/>
      <c r="DW440" s="14"/>
      <c r="DX440" s="14"/>
      <c r="DY440" s="14"/>
      <c r="DZ440" s="14"/>
      <c r="EA440" s="14"/>
      <c r="EB440" s="14"/>
      <c r="EC440" s="14"/>
      <c r="ED440" s="14"/>
      <c r="EE440" s="14"/>
      <c r="EF440" s="14"/>
      <c r="EG440" s="14"/>
      <c r="EH440" s="14"/>
      <c r="EI440" s="14"/>
      <c r="EJ440" s="14"/>
      <c r="EK440" s="14"/>
      <c r="EL440" s="14"/>
      <c r="EM440" s="14"/>
      <c r="EN440" s="14"/>
      <c r="EO440" s="14"/>
      <c r="EP440" s="14"/>
      <c r="EQ440" s="14"/>
      <c r="ER440" s="14"/>
      <c r="ES440" s="14"/>
      <c r="ET440" s="14"/>
      <c r="EU440" s="14"/>
      <c r="EV440" s="14"/>
      <c r="EW440" s="14"/>
      <c r="EX440" s="14"/>
      <c r="EY440" s="14"/>
      <c r="EZ440" s="14"/>
      <c r="FA440" s="14"/>
      <c r="FB440" s="14"/>
      <c r="FC440" s="14"/>
      <c r="FD440" s="14"/>
      <c r="FE440" s="14"/>
      <c r="FF440" s="14"/>
      <c r="FG440" s="14"/>
      <c r="FH440" s="14"/>
      <c r="FI440" s="14"/>
      <c r="FJ440" s="14"/>
      <c r="FK440" s="14"/>
      <c r="FL440" s="14"/>
      <c r="FM440" s="14"/>
      <c r="FN440" s="14"/>
      <c r="FO440" s="14"/>
      <c r="FP440" s="14"/>
      <c r="FQ440" s="14"/>
      <c r="FR440" s="14"/>
      <c r="FS440" s="14"/>
      <c r="FT440" s="14"/>
      <c r="FU440" s="14"/>
      <c r="FV440" s="14"/>
      <c r="FW440" s="14"/>
      <c r="FX440" s="14"/>
      <c r="FY440" s="14"/>
      <c r="FZ440" s="14"/>
      <c r="GA440" s="14"/>
      <c r="GB440" s="14"/>
      <c r="GC440" s="14"/>
      <c r="GD440" s="14"/>
      <c r="GE440" s="14"/>
      <c r="GF440" s="14"/>
      <c r="GG440" s="14"/>
      <c r="GH440" s="14"/>
      <c r="GI440" s="14"/>
      <c r="GJ440" s="14"/>
      <c r="GK440" s="14"/>
      <c r="GL440" s="14"/>
      <c r="GM440" s="14"/>
      <c r="GN440" s="14"/>
      <c r="GO440" s="14"/>
      <c r="GP440" s="14"/>
      <c r="GQ440" s="14"/>
      <c r="GR440" s="14"/>
      <c r="GS440" s="14"/>
      <c r="GT440" s="14"/>
      <c r="GU440" s="14"/>
      <c r="GV440" s="14"/>
      <c r="GW440" s="14"/>
      <c r="GX440" s="14"/>
      <c r="GY440" s="14"/>
      <c r="GZ440" s="14"/>
      <c r="HA440" s="14"/>
      <c r="HB440" s="14"/>
      <c r="HC440" s="14"/>
      <c r="HD440" s="14"/>
      <c r="HE440" s="14"/>
      <c r="HF440" s="14"/>
      <c r="HG440" s="14"/>
      <c r="HH440" s="14"/>
      <c r="HI440" s="14"/>
      <c r="HJ440" s="14"/>
      <c r="HK440" s="14"/>
      <c r="HL440" s="14"/>
      <c r="HM440" s="14"/>
      <c r="HN440" s="14"/>
      <c r="HO440" s="14"/>
      <c r="HP440" s="14"/>
      <c r="HQ440" s="14"/>
      <c r="HR440" s="14"/>
      <c r="HS440" s="14"/>
      <c r="HT440" s="14"/>
    </row>
    <row r="441" spans="1:228" ht="18" customHeight="1" x14ac:dyDescent="0.2">
      <c r="B441" s="1687" t="s">
        <v>1241</v>
      </c>
      <c r="C441" s="1534"/>
      <c r="D441" s="1534"/>
      <c r="E441" s="1534"/>
      <c r="F441" s="1534"/>
      <c r="G441" s="1534"/>
      <c r="H441" s="1534"/>
      <c r="I441" s="1534"/>
      <c r="J441" s="1534"/>
      <c r="K441" s="1534"/>
      <c r="L441" s="1534"/>
      <c r="M441" s="1534"/>
      <c r="N441" s="1534"/>
      <c r="O441" s="1534"/>
      <c r="P441" s="1555"/>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4"/>
      <c r="BR441" s="14"/>
      <c r="BS441" s="14"/>
      <c r="BT441" s="14"/>
      <c r="BU441" s="14"/>
      <c r="BV441" s="14"/>
      <c r="BW441" s="14"/>
      <c r="BX441" s="14"/>
      <c r="BY441" s="14"/>
      <c r="BZ441" s="14"/>
      <c r="CA441" s="14"/>
      <c r="CB441" s="14"/>
      <c r="CC441" s="14"/>
      <c r="CD441" s="14"/>
      <c r="CE441" s="14"/>
      <c r="CF441" s="14"/>
      <c r="CG441" s="14"/>
      <c r="CH441" s="14"/>
      <c r="CI441" s="14"/>
      <c r="CJ441" s="14"/>
      <c r="CK441" s="14"/>
      <c r="CL441" s="14"/>
      <c r="CM441" s="14"/>
      <c r="CN441" s="14"/>
      <c r="CO441" s="14"/>
      <c r="CP441" s="14"/>
      <c r="CQ441" s="14"/>
      <c r="CR441" s="14"/>
      <c r="CS441" s="14"/>
      <c r="CT441" s="14"/>
      <c r="CU441" s="14"/>
      <c r="CV441" s="14"/>
      <c r="CW441" s="14"/>
      <c r="CX441" s="14"/>
      <c r="CY441" s="14"/>
      <c r="CZ441" s="14"/>
      <c r="DA441" s="14"/>
      <c r="DB441" s="14"/>
      <c r="DC441" s="14"/>
      <c r="DD441" s="14"/>
      <c r="DE441" s="14"/>
      <c r="DF441" s="14"/>
      <c r="DG441" s="14"/>
      <c r="DH441" s="14"/>
      <c r="DI441" s="14"/>
      <c r="DJ441" s="14"/>
      <c r="DK441" s="14"/>
      <c r="DL441" s="14"/>
      <c r="DM441" s="14"/>
      <c r="DN441" s="14"/>
      <c r="DO441" s="14"/>
      <c r="DP441" s="14"/>
      <c r="DQ441" s="14"/>
      <c r="DR441" s="14"/>
      <c r="DS441" s="14"/>
      <c r="DT441" s="14"/>
      <c r="DU441" s="14"/>
      <c r="DV441" s="14"/>
      <c r="DW441" s="14"/>
      <c r="DX441" s="14"/>
      <c r="DY441" s="14"/>
      <c r="DZ441" s="14"/>
      <c r="EA441" s="14"/>
      <c r="EB441" s="14"/>
      <c r="EC441" s="14"/>
      <c r="ED441" s="14"/>
      <c r="EE441" s="14"/>
      <c r="EF441" s="14"/>
      <c r="EG441" s="14"/>
      <c r="EH441" s="14"/>
      <c r="EI441" s="14"/>
      <c r="EJ441" s="14"/>
      <c r="EK441" s="14"/>
      <c r="EL441" s="14"/>
      <c r="EM441" s="14"/>
      <c r="EN441" s="14"/>
      <c r="EO441" s="14"/>
      <c r="EP441" s="14"/>
      <c r="EQ441" s="14"/>
      <c r="ER441" s="14"/>
      <c r="ES441" s="14"/>
      <c r="ET441" s="14"/>
      <c r="EU441" s="14"/>
      <c r="EV441" s="14"/>
      <c r="EW441" s="14"/>
      <c r="EX441" s="14"/>
      <c r="EY441" s="14"/>
      <c r="EZ441" s="14"/>
      <c r="FA441" s="14"/>
      <c r="FB441" s="14"/>
      <c r="FC441" s="14"/>
      <c r="FD441" s="14"/>
      <c r="FE441" s="14"/>
      <c r="FF441" s="14"/>
      <c r="FG441" s="14"/>
      <c r="FH441" s="14"/>
      <c r="FI441" s="14"/>
      <c r="FJ441" s="14"/>
      <c r="FK441" s="14"/>
      <c r="FL441" s="14"/>
      <c r="FM441" s="14"/>
      <c r="FN441" s="14"/>
      <c r="FO441" s="14"/>
      <c r="FP441" s="14"/>
      <c r="FQ441" s="14"/>
      <c r="FR441" s="14"/>
      <c r="FS441" s="14"/>
      <c r="FT441" s="14"/>
      <c r="FU441" s="14"/>
      <c r="FV441" s="14"/>
      <c r="FW441" s="14"/>
      <c r="FX441" s="14"/>
      <c r="FY441" s="14"/>
      <c r="FZ441" s="14"/>
      <c r="GA441" s="14"/>
      <c r="GB441" s="14"/>
      <c r="GC441" s="14"/>
      <c r="GD441" s="14"/>
      <c r="GE441" s="14"/>
      <c r="GF441" s="14"/>
      <c r="GG441" s="14"/>
      <c r="GH441" s="14"/>
      <c r="GI441" s="14"/>
      <c r="GJ441" s="14"/>
      <c r="GK441" s="14"/>
      <c r="GL441" s="14"/>
      <c r="GM441" s="14"/>
      <c r="GN441" s="14"/>
      <c r="GO441" s="14"/>
      <c r="GP441" s="14"/>
      <c r="GQ441" s="14"/>
      <c r="GR441" s="14"/>
      <c r="GS441" s="14"/>
      <c r="GT441" s="14"/>
      <c r="GU441" s="14"/>
      <c r="GV441" s="14"/>
      <c r="GW441" s="14"/>
      <c r="GX441" s="14"/>
      <c r="GY441" s="14"/>
      <c r="GZ441" s="14"/>
      <c r="HA441" s="14"/>
      <c r="HB441" s="14"/>
      <c r="HC441" s="14"/>
      <c r="HD441" s="14"/>
      <c r="HE441" s="14"/>
      <c r="HF441" s="14"/>
      <c r="HG441" s="14"/>
      <c r="HH441" s="14"/>
      <c r="HI441" s="14"/>
      <c r="HJ441" s="14"/>
      <c r="HK441" s="14"/>
      <c r="HL441" s="14"/>
      <c r="HM441" s="14"/>
      <c r="HN441" s="14"/>
      <c r="HO441" s="14"/>
      <c r="HP441" s="14"/>
      <c r="HQ441" s="14"/>
      <c r="HR441" s="14"/>
      <c r="HS441" s="14"/>
      <c r="HT441" s="14"/>
    </row>
    <row r="442" spans="1:228" ht="40.5" customHeight="1" x14ac:dyDescent="0.2">
      <c r="B442" s="1379" t="s">
        <v>586</v>
      </c>
      <c r="C442" s="1379"/>
      <c r="D442" s="1379"/>
      <c r="E442" s="1379"/>
      <c r="F442" s="1379"/>
      <c r="G442" s="1379"/>
      <c r="H442" s="1379"/>
      <c r="I442" s="1379"/>
      <c r="J442" s="1379"/>
      <c r="K442" s="1379"/>
      <c r="L442" s="1379"/>
      <c r="M442" s="1379"/>
      <c r="N442" s="1379"/>
      <c r="O442" s="1379"/>
      <c r="P442" s="1555"/>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4"/>
      <c r="BR442" s="14"/>
      <c r="BS442" s="14"/>
      <c r="BT442" s="14"/>
      <c r="BU442" s="14"/>
      <c r="BV442" s="14"/>
      <c r="BW442" s="14"/>
      <c r="BX442" s="14"/>
      <c r="BY442" s="14"/>
      <c r="BZ442" s="14"/>
      <c r="CA442" s="14"/>
      <c r="CB442" s="14"/>
      <c r="CC442" s="14"/>
      <c r="CD442" s="14"/>
      <c r="CE442" s="14"/>
      <c r="CF442" s="14"/>
      <c r="CG442" s="14"/>
      <c r="CH442" s="14"/>
      <c r="CI442" s="14"/>
      <c r="CJ442" s="14"/>
      <c r="CK442" s="14"/>
      <c r="CL442" s="14"/>
      <c r="CM442" s="14"/>
      <c r="CN442" s="14"/>
      <c r="CO442" s="14"/>
      <c r="CP442" s="14"/>
      <c r="CQ442" s="14"/>
      <c r="CR442" s="14"/>
      <c r="CS442" s="14"/>
      <c r="CT442" s="14"/>
      <c r="CU442" s="14"/>
      <c r="CV442" s="14"/>
      <c r="CW442" s="14"/>
      <c r="CX442" s="14"/>
      <c r="CY442" s="14"/>
      <c r="CZ442" s="14"/>
      <c r="DA442" s="14"/>
      <c r="DB442" s="14"/>
      <c r="DC442" s="14"/>
      <c r="DD442" s="14"/>
      <c r="DE442" s="14"/>
      <c r="DF442" s="14"/>
      <c r="DG442" s="14"/>
      <c r="DH442" s="14"/>
      <c r="DI442" s="14"/>
      <c r="DJ442" s="14"/>
      <c r="DK442" s="14"/>
      <c r="DL442" s="14"/>
      <c r="DM442" s="14"/>
      <c r="DN442" s="14"/>
      <c r="DO442" s="14"/>
      <c r="DP442" s="14"/>
      <c r="DQ442" s="14"/>
      <c r="DR442" s="14"/>
      <c r="DS442" s="14"/>
      <c r="DT442" s="14"/>
      <c r="DU442" s="14"/>
      <c r="DV442" s="14"/>
      <c r="DW442" s="14"/>
      <c r="DX442" s="14"/>
      <c r="DY442" s="14"/>
      <c r="DZ442" s="14"/>
      <c r="EA442" s="14"/>
      <c r="EB442" s="14"/>
      <c r="EC442" s="14"/>
      <c r="ED442" s="14"/>
      <c r="EE442" s="14"/>
      <c r="EF442" s="14"/>
      <c r="EG442" s="14"/>
      <c r="EH442" s="14"/>
      <c r="EI442" s="14"/>
      <c r="EJ442" s="14"/>
      <c r="EK442" s="14"/>
      <c r="EL442" s="14"/>
      <c r="EM442" s="14"/>
      <c r="EN442" s="14"/>
      <c r="EO442" s="14"/>
      <c r="EP442" s="14"/>
      <c r="EQ442" s="14"/>
      <c r="ER442" s="14"/>
      <c r="ES442" s="14"/>
      <c r="ET442" s="14"/>
      <c r="EU442" s="14"/>
      <c r="EV442" s="14"/>
      <c r="EW442" s="14"/>
      <c r="EX442" s="14"/>
      <c r="EY442" s="14"/>
      <c r="EZ442" s="14"/>
      <c r="FA442" s="14"/>
      <c r="FB442" s="14"/>
      <c r="FC442" s="14"/>
      <c r="FD442" s="14"/>
      <c r="FE442" s="14"/>
      <c r="FF442" s="14"/>
      <c r="FG442" s="14"/>
      <c r="FH442" s="14"/>
      <c r="FI442" s="14"/>
      <c r="FJ442" s="14"/>
      <c r="FK442" s="14"/>
      <c r="FL442" s="14"/>
      <c r="FM442" s="14"/>
      <c r="FN442" s="14"/>
      <c r="FO442" s="14"/>
      <c r="FP442" s="14"/>
      <c r="FQ442" s="14"/>
      <c r="FR442" s="14"/>
      <c r="FS442" s="14"/>
      <c r="FT442" s="14"/>
      <c r="FU442" s="14"/>
      <c r="FV442" s="14"/>
      <c r="FW442" s="14"/>
      <c r="FX442" s="14"/>
      <c r="FY442" s="14"/>
      <c r="FZ442" s="14"/>
      <c r="GA442" s="14"/>
      <c r="GB442" s="14"/>
      <c r="GC442" s="14"/>
      <c r="GD442" s="14"/>
      <c r="GE442" s="14"/>
      <c r="GF442" s="14"/>
      <c r="GG442" s="14"/>
      <c r="GH442" s="14"/>
      <c r="GI442" s="14"/>
      <c r="GJ442" s="14"/>
      <c r="GK442" s="14"/>
      <c r="GL442" s="14"/>
      <c r="GM442" s="14"/>
      <c r="GN442" s="14"/>
      <c r="GO442" s="14"/>
      <c r="GP442" s="14"/>
      <c r="GQ442" s="14"/>
      <c r="GR442" s="14"/>
      <c r="GS442" s="14"/>
      <c r="GT442" s="14"/>
      <c r="GU442" s="14"/>
      <c r="GV442" s="14"/>
      <c r="GW442" s="14"/>
      <c r="GX442" s="14"/>
      <c r="GY442" s="14"/>
      <c r="GZ442" s="14"/>
      <c r="HA442" s="14"/>
      <c r="HB442" s="14"/>
      <c r="HC442" s="14"/>
      <c r="HD442" s="14"/>
      <c r="HE442" s="14"/>
      <c r="HF442" s="14"/>
      <c r="HG442" s="14"/>
      <c r="HH442" s="14"/>
      <c r="HI442" s="14"/>
      <c r="HJ442" s="14"/>
      <c r="HK442" s="14"/>
      <c r="HL442" s="14"/>
      <c r="HM442" s="14"/>
      <c r="HN442" s="14"/>
      <c r="HO442" s="14"/>
      <c r="HP442" s="14"/>
      <c r="HQ442" s="14"/>
      <c r="HR442" s="14"/>
      <c r="HS442" s="14"/>
      <c r="HT442" s="14"/>
    </row>
    <row r="443" spans="1:228" ht="18" customHeight="1" x14ac:dyDescent="0.2">
      <c r="A443" s="20"/>
      <c r="B443" s="1890" t="s">
        <v>1242</v>
      </c>
      <c r="C443" s="1890"/>
      <c r="D443" s="1890"/>
      <c r="E443" s="1890"/>
      <c r="F443" s="1890"/>
      <c r="G443" s="1890"/>
      <c r="H443" s="1890"/>
      <c r="I443" s="1890"/>
      <c r="J443" s="1890"/>
      <c r="K443" s="1890"/>
      <c r="L443" s="1890"/>
      <c r="M443" s="1890"/>
      <c r="N443" s="1543"/>
      <c r="O443" s="1543"/>
      <c r="P443" s="26">
        <f>IF(R443=1,0.05,0)</f>
        <v>0</v>
      </c>
      <c r="R443" s="686">
        <v>2</v>
      </c>
      <c r="S443" s="18"/>
      <c r="T443" s="18"/>
      <c r="U443" s="18"/>
      <c r="V443" s="18"/>
      <c r="W443" s="18">
        <v>1E-4</v>
      </c>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4"/>
      <c r="BR443" s="14"/>
      <c r="BS443" s="14"/>
      <c r="BT443" s="14"/>
      <c r="BU443" s="14"/>
      <c r="BV443" s="14"/>
      <c r="BW443" s="14"/>
      <c r="BX443" s="14"/>
      <c r="BY443" s="14"/>
      <c r="BZ443" s="14"/>
      <c r="CA443" s="14"/>
      <c r="CB443" s="14"/>
      <c r="CC443" s="14"/>
      <c r="CD443" s="14"/>
      <c r="CE443" s="14"/>
      <c r="CF443" s="14"/>
      <c r="CG443" s="14"/>
      <c r="CH443" s="14"/>
      <c r="CI443" s="14"/>
      <c r="CJ443" s="14"/>
      <c r="CK443" s="14"/>
      <c r="CL443" s="14"/>
      <c r="CM443" s="14"/>
      <c r="CN443" s="14"/>
      <c r="CO443" s="14"/>
      <c r="CP443" s="14"/>
      <c r="CQ443" s="14"/>
      <c r="CR443" s="14"/>
      <c r="CS443" s="14"/>
      <c r="CT443" s="14"/>
      <c r="CU443" s="14"/>
      <c r="CV443" s="14"/>
      <c r="CW443" s="14"/>
      <c r="CX443" s="14"/>
      <c r="CY443" s="14"/>
      <c r="CZ443" s="14"/>
      <c r="DA443" s="14"/>
      <c r="DB443" s="14"/>
      <c r="DC443" s="14"/>
      <c r="DD443" s="14"/>
      <c r="DE443" s="14"/>
      <c r="DF443" s="14"/>
      <c r="DG443" s="14"/>
      <c r="DH443" s="14"/>
      <c r="DI443" s="14"/>
      <c r="DJ443" s="14"/>
      <c r="DK443" s="14"/>
      <c r="DL443" s="14"/>
      <c r="DM443" s="14"/>
      <c r="DN443" s="14"/>
      <c r="DO443" s="14"/>
      <c r="DP443" s="14"/>
      <c r="DQ443" s="14"/>
      <c r="DR443" s="14"/>
      <c r="DS443" s="14"/>
      <c r="DT443" s="14"/>
      <c r="DU443" s="14"/>
      <c r="DV443" s="14"/>
      <c r="DW443" s="14"/>
      <c r="DX443" s="14"/>
      <c r="DY443" s="14"/>
      <c r="DZ443" s="14"/>
      <c r="EA443" s="14"/>
      <c r="EB443" s="14"/>
      <c r="EC443" s="14"/>
      <c r="ED443" s="14"/>
      <c r="EE443" s="14"/>
      <c r="EF443" s="14"/>
      <c r="EG443" s="14"/>
      <c r="EH443" s="14"/>
      <c r="EI443" s="14"/>
      <c r="EJ443" s="14"/>
      <c r="EK443" s="14"/>
      <c r="EL443" s="14"/>
      <c r="EM443" s="14"/>
      <c r="EN443" s="14"/>
      <c r="EO443" s="14"/>
      <c r="EP443" s="14"/>
      <c r="EQ443" s="14"/>
      <c r="ER443" s="14"/>
      <c r="ES443" s="14"/>
      <c r="ET443" s="14"/>
      <c r="EU443" s="14"/>
      <c r="EV443" s="14"/>
      <c r="EW443" s="14"/>
      <c r="EX443" s="14"/>
      <c r="EY443" s="14"/>
      <c r="EZ443" s="14"/>
      <c r="FA443" s="14"/>
      <c r="FB443" s="14"/>
      <c r="FC443" s="14"/>
      <c r="FD443" s="14"/>
      <c r="FE443" s="14"/>
      <c r="FF443" s="14"/>
      <c r="FG443" s="14"/>
      <c r="FH443" s="14"/>
      <c r="FI443" s="14"/>
      <c r="FJ443" s="14"/>
      <c r="FK443" s="14"/>
      <c r="FL443" s="14"/>
      <c r="FM443" s="14"/>
      <c r="FN443" s="14"/>
      <c r="FO443" s="14"/>
      <c r="FP443" s="14"/>
      <c r="FQ443" s="14"/>
      <c r="FR443" s="14"/>
      <c r="FS443" s="14"/>
      <c r="FT443" s="14"/>
      <c r="FU443" s="14"/>
      <c r="FV443" s="14"/>
      <c r="FW443" s="14"/>
      <c r="FX443" s="14"/>
      <c r="FY443" s="14"/>
      <c r="FZ443" s="14"/>
      <c r="GA443" s="14"/>
      <c r="GB443" s="14"/>
      <c r="GC443" s="14"/>
      <c r="GD443" s="14"/>
      <c r="GE443" s="14"/>
      <c r="GF443" s="14"/>
      <c r="GG443" s="14"/>
      <c r="GH443" s="14"/>
      <c r="GI443" s="14"/>
      <c r="GJ443" s="14"/>
      <c r="GK443" s="14"/>
      <c r="GL443" s="14"/>
      <c r="GM443" s="14"/>
      <c r="GN443" s="14"/>
      <c r="GO443" s="14"/>
      <c r="GP443" s="14"/>
      <c r="GQ443" s="14"/>
      <c r="GR443" s="14"/>
      <c r="GS443" s="14"/>
      <c r="GT443" s="14"/>
      <c r="GU443" s="14"/>
      <c r="GV443" s="14"/>
      <c r="GW443" s="14"/>
      <c r="GX443" s="14"/>
      <c r="GY443" s="14"/>
      <c r="GZ443" s="14"/>
      <c r="HA443" s="14"/>
      <c r="HB443" s="14"/>
      <c r="HC443" s="14"/>
      <c r="HD443" s="14"/>
      <c r="HE443" s="14"/>
      <c r="HF443" s="14"/>
      <c r="HG443" s="14"/>
      <c r="HH443" s="14"/>
      <c r="HI443" s="14"/>
      <c r="HJ443" s="14"/>
      <c r="HK443" s="14"/>
      <c r="HL443" s="14"/>
      <c r="HM443" s="14"/>
      <c r="HN443" s="14"/>
      <c r="HO443" s="14"/>
      <c r="HP443" s="14"/>
      <c r="HQ443" s="14"/>
      <c r="HR443" s="14"/>
      <c r="HS443" s="14"/>
      <c r="HT443" s="14"/>
    </row>
    <row r="444" spans="1:228" ht="12" customHeight="1" x14ac:dyDescent="0.2">
      <c r="B444" s="1395"/>
      <c r="C444" s="1395"/>
      <c r="D444" s="1395"/>
      <c r="E444" s="1395"/>
      <c r="F444" s="1395"/>
      <c r="G444" s="1395"/>
      <c r="H444" s="1395"/>
      <c r="I444" s="1395"/>
      <c r="J444" s="1395"/>
      <c r="K444" s="1395"/>
      <c r="L444" s="1395"/>
      <c r="M444" s="1395"/>
      <c r="N444" s="1395"/>
      <c r="O444" s="1395"/>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4"/>
      <c r="BR444" s="14"/>
      <c r="BS444" s="14"/>
      <c r="BT444" s="14"/>
      <c r="BU444" s="14"/>
      <c r="BV444" s="14"/>
      <c r="BW444" s="14"/>
      <c r="BX444" s="14"/>
      <c r="BY444" s="14"/>
      <c r="BZ444" s="14"/>
      <c r="CA444" s="14"/>
      <c r="CB444" s="14"/>
      <c r="CC444" s="14"/>
      <c r="CD444" s="14"/>
      <c r="CE444" s="14"/>
      <c r="CF444" s="14"/>
      <c r="CG444" s="14"/>
      <c r="CH444" s="14"/>
      <c r="CI444" s="14"/>
      <c r="CJ444" s="14"/>
      <c r="CK444" s="14"/>
      <c r="CL444" s="14"/>
      <c r="CM444" s="14"/>
      <c r="CN444" s="14"/>
      <c r="CO444" s="14"/>
      <c r="CP444" s="14"/>
      <c r="CQ444" s="14"/>
      <c r="CR444" s="14"/>
      <c r="CS444" s="14"/>
      <c r="CT444" s="14"/>
      <c r="CU444" s="14"/>
      <c r="CV444" s="14"/>
      <c r="CW444" s="14"/>
      <c r="CX444" s="14"/>
      <c r="CY444" s="14"/>
      <c r="CZ444" s="14"/>
      <c r="DA444" s="14"/>
      <c r="DB444" s="14"/>
      <c r="DC444" s="14"/>
      <c r="DD444" s="14"/>
      <c r="DE444" s="14"/>
      <c r="DF444" s="14"/>
      <c r="DG444" s="14"/>
      <c r="DH444" s="14"/>
      <c r="DI444" s="14"/>
      <c r="DJ444" s="14"/>
      <c r="DK444" s="14"/>
      <c r="DL444" s="14"/>
      <c r="DM444" s="14"/>
      <c r="DN444" s="14"/>
      <c r="DO444" s="14"/>
      <c r="DP444" s="14"/>
      <c r="DQ444" s="14"/>
      <c r="DR444" s="14"/>
      <c r="DS444" s="14"/>
      <c r="DT444" s="14"/>
      <c r="DU444" s="14"/>
      <c r="DV444" s="14"/>
      <c r="DW444" s="14"/>
      <c r="DX444" s="14"/>
      <c r="DY444" s="14"/>
      <c r="DZ444" s="14"/>
      <c r="EA444" s="14"/>
      <c r="EB444" s="14"/>
      <c r="EC444" s="14"/>
      <c r="ED444" s="14"/>
      <c r="EE444" s="14"/>
      <c r="EF444" s="14"/>
      <c r="EG444" s="14"/>
      <c r="EH444" s="14"/>
      <c r="EI444" s="14"/>
      <c r="EJ444" s="14"/>
      <c r="EK444" s="14"/>
      <c r="EL444" s="14"/>
      <c r="EM444" s="14"/>
      <c r="EN444" s="14"/>
      <c r="EO444" s="14"/>
      <c r="EP444" s="14"/>
      <c r="EQ444" s="14"/>
      <c r="ER444" s="14"/>
      <c r="ES444" s="14"/>
      <c r="ET444" s="14"/>
      <c r="EU444" s="14"/>
      <c r="EV444" s="14"/>
      <c r="EW444" s="14"/>
      <c r="EX444" s="14"/>
      <c r="EY444" s="14"/>
      <c r="EZ444" s="14"/>
      <c r="FA444" s="14"/>
      <c r="FB444" s="14"/>
      <c r="FC444" s="14"/>
      <c r="FD444" s="14"/>
      <c r="FE444" s="14"/>
      <c r="FF444" s="14"/>
      <c r="FG444" s="14"/>
      <c r="FH444" s="14"/>
      <c r="FI444" s="14"/>
      <c r="FJ444" s="14"/>
      <c r="FK444" s="14"/>
      <c r="FL444" s="14"/>
      <c r="FM444" s="14"/>
      <c r="FN444" s="14"/>
      <c r="FO444" s="14"/>
      <c r="FP444" s="14"/>
      <c r="FQ444" s="14"/>
      <c r="FR444" s="14"/>
      <c r="FS444" s="14"/>
      <c r="FT444" s="14"/>
      <c r="FU444" s="14"/>
      <c r="FV444" s="14"/>
      <c r="FW444" s="14"/>
      <c r="FX444" s="14"/>
      <c r="FY444" s="14"/>
      <c r="FZ444" s="14"/>
      <c r="GA444" s="14"/>
      <c r="GB444" s="14"/>
      <c r="GC444" s="14"/>
      <c r="GD444" s="14"/>
      <c r="GE444" s="14"/>
      <c r="GF444" s="14"/>
      <c r="GG444" s="14"/>
      <c r="GH444" s="14"/>
      <c r="GI444" s="14"/>
      <c r="GJ444" s="14"/>
      <c r="GK444" s="14"/>
      <c r="GL444" s="14"/>
      <c r="GM444" s="14"/>
      <c r="GN444" s="14"/>
      <c r="GO444" s="14"/>
      <c r="GP444" s="14"/>
      <c r="GQ444" s="14"/>
      <c r="GR444" s="14"/>
      <c r="GS444" s="14"/>
      <c r="GT444" s="14"/>
      <c r="GU444" s="14"/>
      <c r="GV444" s="14"/>
      <c r="GW444" s="14"/>
      <c r="GX444" s="14"/>
      <c r="GY444" s="14"/>
      <c r="GZ444" s="14"/>
      <c r="HA444" s="14"/>
      <c r="HB444" s="14"/>
      <c r="HC444" s="14"/>
      <c r="HD444" s="14"/>
      <c r="HE444" s="14"/>
      <c r="HF444" s="14"/>
      <c r="HG444" s="14"/>
      <c r="HH444" s="14"/>
      <c r="HI444" s="14"/>
      <c r="HJ444" s="14"/>
      <c r="HK444" s="14"/>
      <c r="HL444" s="14"/>
      <c r="HM444" s="14"/>
      <c r="HN444" s="14"/>
      <c r="HO444" s="14"/>
      <c r="HP444" s="14"/>
      <c r="HQ444" s="14"/>
      <c r="HR444" s="14"/>
      <c r="HS444" s="14"/>
      <c r="HT444" s="14"/>
    </row>
    <row r="445" spans="1:228" ht="18" customHeight="1" x14ac:dyDescent="0.2">
      <c r="A445" s="8"/>
      <c r="B445" s="1534" t="s">
        <v>1243</v>
      </c>
      <c r="C445" s="1534"/>
      <c r="D445" s="1534"/>
      <c r="E445" s="1534"/>
      <c r="F445" s="1534"/>
      <c r="G445" s="1534"/>
      <c r="H445" s="1534"/>
      <c r="I445" s="1534"/>
      <c r="J445" s="1534"/>
      <c r="K445" s="1534"/>
      <c r="L445" s="1534"/>
      <c r="M445" s="1534"/>
      <c r="N445" s="1534"/>
      <c r="O445" s="1534"/>
      <c r="P445" s="185"/>
      <c r="Q445" s="8"/>
      <c r="R445" s="60"/>
      <c r="S445" s="60"/>
      <c r="T445" s="60"/>
      <c r="U445" s="60"/>
      <c r="V445" s="60"/>
      <c r="W445" s="60"/>
      <c r="X445" s="60"/>
      <c r="Y445" s="60"/>
      <c r="Z445" s="60"/>
      <c r="AA445" s="60"/>
      <c r="AB445" s="60"/>
      <c r="AC445" s="60"/>
      <c r="AD445" s="60"/>
      <c r="AE445" s="60"/>
      <c r="AF445" s="60"/>
      <c r="AG445" s="60"/>
      <c r="AH445" s="60"/>
      <c r="AI445" s="60"/>
      <c r="AJ445" s="60"/>
      <c r="AK445" s="60"/>
      <c r="AL445" s="60"/>
      <c r="AM445" s="60"/>
      <c r="AN445" s="60"/>
      <c r="AO445" s="60"/>
      <c r="AP445" s="60"/>
      <c r="AQ445" s="60"/>
      <c r="AR445" s="60"/>
      <c r="AS445" s="60"/>
      <c r="AT445" s="60"/>
      <c r="AU445" s="60"/>
      <c r="AV445" s="60"/>
      <c r="AW445" s="60"/>
      <c r="AX445" s="60"/>
      <c r="AY445" s="60"/>
      <c r="AZ445" s="60"/>
      <c r="BA445" s="60"/>
      <c r="BB445" s="60"/>
      <c r="BC445" s="60"/>
      <c r="BD445" s="60"/>
      <c r="BE445" s="60"/>
      <c r="BF445" s="18"/>
      <c r="BG445" s="18"/>
      <c r="BH445" s="18"/>
      <c r="BI445" s="18"/>
      <c r="BJ445" s="18"/>
      <c r="BK445" s="18"/>
      <c r="BL445" s="18"/>
      <c r="BM445" s="18"/>
      <c r="BN445" s="18"/>
      <c r="BO445" s="18"/>
      <c r="BP445" s="18"/>
      <c r="BQ445" s="14"/>
      <c r="BR445" s="14"/>
      <c r="BS445" s="14"/>
      <c r="BT445" s="14"/>
      <c r="BU445" s="14"/>
      <c r="BV445" s="14"/>
      <c r="BW445" s="14"/>
      <c r="BX445" s="14"/>
      <c r="BY445" s="14"/>
      <c r="BZ445" s="14"/>
      <c r="CA445" s="14"/>
      <c r="CB445" s="14"/>
      <c r="CC445" s="14"/>
      <c r="CD445" s="14"/>
      <c r="CE445" s="14"/>
      <c r="CF445" s="14"/>
      <c r="CG445" s="14"/>
      <c r="CH445" s="14"/>
      <c r="CI445" s="14"/>
      <c r="CJ445" s="14"/>
      <c r="CK445" s="14"/>
      <c r="CL445" s="14"/>
      <c r="CM445" s="14"/>
      <c r="CN445" s="14"/>
      <c r="CO445" s="14"/>
      <c r="CP445" s="14"/>
      <c r="CQ445" s="14"/>
      <c r="CR445" s="14"/>
      <c r="CS445" s="14"/>
      <c r="CT445" s="14"/>
      <c r="CU445" s="14"/>
      <c r="CV445" s="14"/>
      <c r="CW445" s="14"/>
      <c r="CX445" s="14"/>
      <c r="CY445" s="14"/>
      <c r="CZ445" s="14"/>
      <c r="DA445" s="14"/>
      <c r="DB445" s="14"/>
      <c r="DC445" s="14"/>
      <c r="DD445" s="14"/>
      <c r="DE445" s="14"/>
      <c r="DF445" s="14"/>
      <c r="DG445" s="14"/>
      <c r="DH445" s="14"/>
      <c r="DI445" s="14"/>
      <c r="DJ445" s="14"/>
      <c r="DK445" s="14"/>
      <c r="DL445" s="14"/>
      <c r="DM445" s="14"/>
      <c r="DN445" s="14"/>
      <c r="DO445" s="14"/>
      <c r="DP445" s="14"/>
      <c r="DQ445" s="14"/>
      <c r="DR445" s="14"/>
      <c r="DS445" s="14"/>
      <c r="DT445" s="14"/>
      <c r="DU445" s="14"/>
      <c r="DV445" s="14"/>
      <c r="DW445" s="14"/>
      <c r="DX445" s="14"/>
      <c r="DY445" s="14"/>
      <c r="DZ445" s="14"/>
      <c r="EA445" s="14"/>
      <c r="EB445" s="14"/>
      <c r="EC445" s="14"/>
      <c r="ED445" s="14"/>
      <c r="EE445" s="14"/>
      <c r="EF445" s="14"/>
      <c r="EG445" s="14"/>
      <c r="EH445" s="14"/>
      <c r="EI445" s="14"/>
      <c r="EJ445" s="14"/>
      <c r="EK445" s="14"/>
      <c r="EL445" s="14"/>
      <c r="EM445" s="14"/>
      <c r="EN445" s="14"/>
      <c r="EO445" s="14"/>
      <c r="EP445" s="14"/>
      <c r="EQ445" s="14"/>
      <c r="ER445" s="14"/>
      <c r="ES445" s="14"/>
      <c r="ET445" s="14"/>
      <c r="EU445" s="14"/>
      <c r="EV445" s="14"/>
      <c r="EW445" s="14"/>
      <c r="EX445" s="14"/>
      <c r="EY445" s="14"/>
      <c r="EZ445" s="14"/>
      <c r="FA445" s="14"/>
      <c r="FB445" s="14"/>
      <c r="FC445" s="14"/>
      <c r="FD445" s="14"/>
      <c r="FE445" s="14"/>
      <c r="FF445" s="14"/>
      <c r="FG445" s="14"/>
      <c r="FH445" s="14"/>
      <c r="FI445" s="14"/>
      <c r="FJ445" s="14"/>
      <c r="FK445" s="14"/>
      <c r="FL445" s="14"/>
      <c r="FM445" s="14"/>
      <c r="FN445" s="14"/>
      <c r="FO445" s="14"/>
      <c r="FP445" s="14"/>
      <c r="FQ445" s="14"/>
      <c r="FR445" s="14"/>
      <c r="FS445" s="14"/>
      <c r="FT445" s="14"/>
      <c r="FU445" s="14"/>
      <c r="FV445" s="14"/>
      <c r="FW445" s="14"/>
      <c r="FX445" s="14"/>
      <c r="FY445" s="14"/>
      <c r="FZ445" s="14"/>
      <c r="GA445" s="14"/>
      <c r="GB445" s="14"/>
      <c r="GC445" s="14"/>
      <c r="GD445" s="14"/>
      <c r="GE445" s="14"/>
      <c r="GF445" s="14"/>
      <c r="GG445" s="14"/>
      <c r="GH445" s="14"/>
      <c r="GI445" s="14"/>
      <c r="GJ445" s="14"/>
      <c r="GK445" s="14"/>
      <c r="GL445" s="14"/>
      <c r="GM445" s="14"/>
      <c r="GN445" s="14"/>
      <c r="GO445" s="14"/>
      <c r="GP445" s="14"/>
      <c r="GQ445" s="14"/>
      <c r="GR445" s="14"/>
      <c r="GS445" s="14"/>
      <c r="GT445" s="14"/>
      <c r="GU445" s="14"/>
      <c r="GV445" s="14"/>
      <c r="GW445" s="14"/>
      <c r="GX445" s="14"/>
      <c r="GY445" s="14"/>
      <c r="GZ445" s="14"/>
      <c r="HA445" s="14"/>
      <c r="HB445" s="14"/>
      <c r="HC445" s="14"/>
      <c r="HD445" s="14"/>
      <c r="HE445" s="14"/>
      <c r="HF445" s="14"/>
      <c r="HG445" s="14"/>
      <c r="HH445" s="14"/>
      <c r="HI445" s="14"/>
      <c r="HJ445" s="14"/>
      <c r="HK445" s="14"/>
      <c r="HL445" s="14"/>
      <c r="HM445" s="14"/>
      <c r="HN445" s="14"/>
      <c r="HO445" s="14"/>
      <c r="HP445" s="14"/>
      <c r="HQ445" s="14"/>
      <c r="HR445" s="14"/>
      <c r="HS445" s="14"/>
      <c r="HT445" s="14"/>
    </row>
    <row r="446" spans="1:228" ht="15" customHeight="1" x14ac:dyDescent="0.2">
      <c r="A446" s="8"/>
      <c r="B446" s="353" t="s">
        <v>476</v>
      </c>
      <c r="C446" s="1849">
        <f>IF(SUM($E$449:$E$470)&gt;0,P341,0)</f>
        <v>0</v>
      </c>
      <c r="D446" s="1850"/>
      <c r="E446" s="1850"/>
      <c r="F446" s="1848" t="s">
        <v>1164</v>
      </c>
      <c r="G446" s="1848"/>
      <c r="H446" s="1848"/>
      <c r="I446" s="1848"/>
      <c r="J446" s="1848"/>
      <c r="K446" s="1848"/>
      <c r="L446" s="1849">
        <f>LETable!AT68</f>
        <v>0</v>
      </c>
      <c r="M446" s="1849"/>
      <c r="N446" s="1848" t="s">
        <v>1244</v>
      </c>
      <c r="O446" s="1848"/>
      <c r="P446" s="95">
        <f>SUM(L446:L446)</f>
        <v>0</v>
      </c>
      <c r="Q446" s="8"/>
      <c r="R446" s="60"/>
      <c r="S446" s="60"/>
      <c r="T446" s="60"/>
      <c r="U446" s="60"/>
      <c r="V446" s="60"/>
      <c r="W446" s="60"/>
      <c r="X446" s="60"/>
      <c r="Y446" s="1549" t="s">
        <v>1004</v>
      </c>
      <c r="Z446" s="1551"/>
      <c r="AA446" s="60"/>
      <c r="AB446" s="60"/>
      <c r="AC446" s="60"/>
      <c r="AD446" s="60"/>
      <c r="AE446" s="60"/>
      <c r="AF446" s="60"/>
      <c r="AG446" s="60"/>
      <c r="AH446" s="60"/>
      <c r="AI446" s="60"/>
      <c r="AJ446" s="60"/>
      <c r="AK446" s="60"/>
      <c r="AL446" s="60"/>
      <c r="AM446" s="60"/>
      <c r="AN446" s="60"/>
      <c r="AO446" s="60"/>
      <c r="AP446" s="60"/>
      <c r="AQ446" s="60"/>
      <c r="AR446" s="60"/>
      <c r="AS446" s="60"/>
      <c r="AT446" s="60"/>
      <c r="AU446" s="60"/>
      <c r="AV446" s="60"/>
      <c r="AW446" s="60"/>
      <c r="AX446" s="60"/>
      <c r="AY446" s="60"/>
      <c r="AZ446" s="60"/>
      <c r="BA446" s="60"/>
      <c r="BB446" s="60"/>
      <c r="BC446" s="60"/>
      <c r="BD446" s="60"/>
      <c r="BE446" s="60"/>
      <c r="BF446" s="18"/>
      <c r="BG446" s="18"/>
      <c r="BH446" s="18"/>
      <c r="BI446" s="18"/>
      <c r="BJ446" s="18"/>
      <c r="BK446" s="18"/>
      <c r="BL446" s="18"/>
      <c r="BM446" s="18"/>
      <c r="BN446" s="18"/>
      <c r="BO446" s="18"/>
      <c r="BP446" s="18"/>
      <c r="BQ446" s="14"/>
      <c r="BR446" s="14"/>
      <c r="BS446" s="14"/>
      <c r="BT446" s="14"/>
      <c r="BU446" s="14"/>
      <c r="BV446" s="14"/>
      <c r="BW446" s="14"/>
      <c r="BX446" s="14"/>
      <c r="BY446" s="14"/>
      <c r="BZ446" s="14"/>
      <c r="CA446" s="14"/>
      <c r="CB446" s="14"/>
      <c r="CC446" s="14"/>
      <c r="CD446" s="14"/>
      <c r="CE446" s="14"/>
      <c r="CF446" s="14"/>
      <c r="CG446" s="14"/>
      <c r="CH446" s="14"/>
      <c r="CI446" s="14"/>
      <c r="CJ446" s="14"/>
      <c r="CK446" s="14"/>
      <c r="CL446" s="14"/>
      <c r="CM446" s="14"/>
      <c r="CN446" s="14"/>
      <c r="CO446" s="14"/>
      <c r="CP446" s="14"/>
      <c r="CQ446" s="14"/>
      <c r="CR446" s="14"/>
      <c r="CS446" s="14"/>
      <c r="CT446" s="14"/>
      <c r="CU446" s="14"/>
      <c r="CV446" s="14"/>
      <c r="CW446" s="14"/>
      <c r="CX446" s="14"/>
      <c r="CY446" s="14"/>
      <c r="CZ446" s="14"/>
      <c r="DA446" s="14"/>
      <c r="DB446" s="14"/>
      <c r="DC446" s="14"/>
      <c r="DD446" s="14"/>
      <c r="DE446" s="14"/>
      <c r="DF446" s="14"/>
      <c r="DG446" s="14"/>
      <c r="DH446" s="14"/>
      <c r="DI446" s="14"/>
      <c r="DJ446" s="14"/>
      <c r="DK446" s="14"/>
      <c r="DL446" s="14"/>
      <c r="DM446" s="14"/>
      <c r="DN446" s="14"/>
      <c r="DO446" s="14"/>
      <c r="DP446" s="14"/>
      <c r="DQ446" s="14"/>
      <c r="DR446" s="14"/>
      <c r="DS446" s="14"/>
      <c r="DT446" s="14"/>
      <c r="DU446" s="14"/>
      <c r="DV446" s="14"/>
      <c r="DW446" s="14"/>
      <c r="DX446" s="14"/>
      <c r="DY446" s="14"/>
      <c r="DZ446" s="14"/>
      <c r="EA446" s="14"/>
      <c r="EB446" s="14"/>
      <c r="EC446" s="14"/>
      <c r="ED446" s="14"/>
      <c r="EE446" s="14"/>
      <c r="EF446" s="14"/>
      <c r="EG446" s="14"/>
      <c r="EH446" s="14"/>
      <c r="EI446" s="14"/>
      <c r="EJ446" s="14"/>
      <c r="EK446" s="14"/>
      <c r="EL446" s="14"/>
      <c r="EM446" s="14"/>
      <c r="EN446" s="14"/>
      <c r="EO446" s="14"/>
      <c r="EP446" s="14"/>
      <c r="EQ446" s="14"/>
      <c r="ER446" s="14"/>
      <c r="ES446" s="14"/>
      <c r="ET446" s="14"/>
      <c r="EU446" s="14"/>
      <c r="EV446" s="14"/>
      <c r="EW446" s="14"/>
      <c r="EX446" s="14"/>
      <c r="EY446" s="14"/>
      <c r="EZ446" s="14"/>
      <c r="FA446" s="14"/>
      <c r="FB446" s="14"/>
      <c r="FC446" s="14"/>
      <c r="FD446" s="14"/>
      <c r="FE446" s="14"/>
      <c r="FF446" s="14"/>
      <c r="FG446" s="14"/>
      <c r="FH446" s="14"/>
      <c r="FI446" s="14"/>
      <c r="FJ446" s="14"/>
      <c r="FK446" s="14"/>
      <c r="FL446" s="14"/>
      <c r="FM446" s="14"/>
      <c r="FN446" s="14"/>
      <c r="FO446" s="14"/>
      <c r="FP446" s="14"/>
      <c r="FQ446" s="14"/>
      <c r="FR446" s="14"/>
      <c r="FS446" s="14"/>
      <c r="FT446" s="14"/>
      <c r="FU446" s="14"/>
      <c r="FV446" s="14"/>
      <c r="FW446" s="14"/>
      <c r="FX446" s="14"/>
      <c r="FY446" s="14"/>
      <c r="FZ446" s="14"/>
      <c r="GA446" s="14"/>
      <c r="GB446" s="14"/>
      <c r="GC446" s="14"/>
      <c r="GD446" s="14"/>
      <c r="GE446" s="14"/>
      <c r="GF446" s="14"/>
      <c r="GG446" s="14"/>
      <c r="GH446" s="14"/>
      <c r="GI446" s="14"/>
      <c r="GJ446" s="14"/>
      <c r="GK446" s="14"/>
      <c r="GL446" s="14"/>
      <c r="GM446" s="14"/>
      <c r="GN446" s="14"/>
      <c r="GO446" s="14"/>
      <c r="GP446" s="14"/>
      <c r="GQ446" s="14"/>
      <c r="GR446" s="14"/>
      <c r="GS446" s="14"/>
      <c r="GT446" s="14"/>
      <c r="GU446" s="14"/>
      <c r="GV446" s="14"/>
      <c r="GW446" s="14"/>
      <c r="GX446" s="14"/>
      <c r="GY446" s="14"/>
      <c r="GZ446" s="14"/>
      <c r="HA446" s="14"/>
      <c r="HB446" s="14"/>
      <c r="HC446" s="14"/>
      <c r="HD446" s="14"/>
      <c r="HE446" s="14"/>
      <c r="HF446" s="14"/>
      <c r="HG446" s="14"/>
      <c r="HH446" s="14"/>
      <c r="HI446" s="14"/>
      <c r="HJ446" s="14"/>
      <c r="HK446" s="14"/>
      <c r="HL446" s="14"/>
      <c r="HM446" s="14"/>
      <c r="HN446" s="14"/>
      <c r="HO446" s="14"/>
      <c r="HP446" s="14"/>
      <c r="HQ446" s="14"/>
      <c r="HR446" s="14"/>
      <c r="HS446" s="14"/>
      <c r="HT446" s="14"/>
    </row>
    <row r="447" spans="1:228" ht="12" customHeight="1" x14ac:dyDescent="0.2">
      <c r="B447" s="1395"/>
      <c r="C447" s="1395"/>
      <c r="D447" s="1395"/>
      <c r="E447" s="1395"/>
      <c r="F447" s="1395"/>
      <c r="G447" s="1395"/>
      <c r="H447" s="1395"/>
      <c r="I447" s="1395"/>
      <c r="J447" s="1395"/>
      <c r="K447" s="1395"/>
      <c r="L447" s="1395"/>
      <c r="M447" s="1395"/>
      <c r="N447" s="1395"/>
      <c r="O447" s="1395"/>
      <c r="R447" s="18"/>
      <c r="S447" s="18"/>
      <c r="T447" s="18"/>
      <c r="U447" s="18"/>
      <c r="V447" s="18"/>
      <c r="W447" s="18"/>
      <c r="X447" s="18"/>
      <c r="Y447" s="975">
        <f>Y449+Y448</f>
        <v>0</v>
      </c>
      <c r="Z447" s="973" t="s">
        <v>1911</v>
      </c>
      <c r="AA447" s="18"/>
      <c r="AB447" s="63"/>
      <c r="AC447" s="63"/>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4"/>
      <c r="BR447" s="14"/>
      <c r="BS447" s="14"/>
      <c r="BT447" s="14"/>
      <c r="BU447" s="14"/>
      <c r="BV447" s="14"/>
      <c r="BW447" s="14"/>
      <c r="BX447" s="14"/>
      <c r="BY447" s="14"/>
      <c r="BZ447" s="14"/>
      <c r="CA447" s="14"/>
      <c r="CB447" s="14"/>
      <c r="CC447" s="14"/>
      <c r="CD447" s="14"/>
      <c r="CE447" s="14"/>
      <c r="CF447" s="14"/>
      <c r="CG447" s="14"/>
      <c r="CH447" s="14"/>
      <c r="CI447" s="14"/>
      <c r="CJ447" s="14"/>
      <c r="CK447" s="14"/>
      <c r="CL447" s="14"/>
      <c r="CM447" s="14"/>
      <c r="CN447" s="14"/>
      <c r="CO447" s="14"/>
      <c r="CP447" s="14"/>
      <c r="CQ447" s="14"/>
      <c r="CR447" s="14"/>
      <c r="CS447" s="14"/>
      <c r="CT447" s="14"/>
      <c r="CU447" s="14"/>
      <c r="CV447" s="14"/>
      <c r="CW447" s="14"/>
      <c r="CX447" s="14"/>
      <c r="CY447" s="14"/>
      <c r="CZ447" s="14"/>
      <c r="DA447" s="14"/>
      <c r="DB447" s="14"/>
      <c r="DC447" s="14"/>
      <c r="DD447" s="14"/>
      <c r="DE447" s="14"/>
      <c r="DF447" s="14"/>
      <c r="DG447" s="14"/>
      <c r="DH447" s="14"/>
      <c r="DI447" s="14"/>
      <c r="DJ447" s="14"/>
      <c r="DK447" s="14"/>
      <c r="DL447" s="14"/>
      <c r="DM447" s="14"/>
      <c r="DN447" s="14"/>
      <c r="DO447" s="14"/>
      <c r="DP447" s="14"/>
      <c r="DQ447" s="14"/>
      <c r="DR447" s="14"/>
      <c r="DS447" s="14"/>
      <c r="DT447" s="14"/>
      <c r="DU447" s="14"/>
      <c r="DV447" s="14"/>
      <c r="DW447" s="14"/>
      <c r="DX447" s="14"/>
      <c r="DY447" s="14"/>
      <c r="DZ447" s="14"/>
      <c r="EA447" s="14"/>
      <c r="EB447" s="14"/>
      <c r="EC447" s="14"/>
      <c r="ED447" s="14"/>
      <c r="EE447" s="14"/>
      <c r="EF447" s="14"/>
      <c r="EG447" s="14"/>
      <c r="EH447" s="14"/>
      <c r="EI447" s="14"/>
      <c r="EJ447" s="14"/>
      <c r="EK447" s="14"/>
      <c r="EL447" s="14"/>
      <c r="EM447" s="14"/>
      <c r="EN447" s="14"/>
      <c r="EO447" s="14"/>
      <c r="EP447" s="14"/>
      <c r="EQ447" s="14"/>
      <c r="ER447" s="14"/>
      <c r="ES447" s="14"/>
      <c r="ET447" s="14"/>
      <c r="EU447" s="14"/>
      <c r="EV447" s="14"/>
      <c r="EW447" s="14"/>
      <c r="EX447" s="14"/>
      <c r="EY447" s="14"/>
      <c r="EZ447" s="14"/>
      <c r="FA447" s="14"/>
      <c r="FB447" s="14"/>
      <c r="FC447" s="14"/>
      <c r="FD447" s="14"/>
      <c r="FE447" s="14"/>
      <c r="FF447" s="14"/>
      <c r="FG447" s="14"/>
      <c r="FH447" s="14"/>
      <c r="FI447" s="14"/>
      <c r="FJ447" s="14"/>
      <c r="FK447" s="14"/>
      <c r="FL447" s="14"/>
      <c r="FM447" s="14"/>
      <c r="FN447" s="14"/>
      <c r="FO447" s="14"/>
      <c r="FP447" s="14"/>
      <c r="FQ447" s="14"/>
      <c r="FR447" s="14"/>
      <c r="FS447" s="14"/>
      <c r="FT447" s="14"/>
      <c r="FU447" s="14"/>
      <c r="FV447" s="14"/>
      <c r="FW447" s="14"/>
      <c r="FX447" s="14"/>
      <c r="FY447" s="14"/>
      <c r="FZ447" s="14"/>
      <c r="GA447" s="14"/>
      <c r="GB447" s="14"/>
      <c r="GC447" s="14"/>
      <c r="GD447" s="14"/>
      <c r="GE447" s="14"/>
      <c r="GF447" s="14"/>
      <c r="GG447" s="14"/>
      <c r="GH447" s="14"/>
      <c r="GI447" s="14"/>
      <c r="GJ447" s="14"/>
      <c r="GK447" s="14"/>
      <c r="GL447" s="14"/>
      <c r="GM447" s="14"/>
      <c r="GN447" s="14"/>
      <c r="GO447" s="14"/>
      <c r="GP447" s="14"/>
      <c r="GQ447" s="14"/>
      <c r="GR447" s="14"/>
      <c r="GS447" s="14"/>
      <c r="GT447" s="14"/>
      <c r="GU447" s="14"/>
      <c r="GV447" s="14"/>
      <c r="GW447" s="14"/>
      <c r="GX447" s="14"/>
      <c r="GY447" s="14"/>
      <c r="GZ447" s="14"/>
      <c r="HA447" s="14"/>
      <c r="HB447" s="14"/>
      <c r="HC447" s="14"/>
      <c r="HD447" s="14"/>
      <c r="HE447" s="14"/>
      <c r="HF447" s="14"/>
      <c r="HG447" s="14"/>
      <c r="HH447" s="14"/>
      <c r="HI447" s="14"/>
      <c r="HJ447" s="14"/>
      <c r="HK447" s="14"/>
      <c r="HL447" s="14"/>
      <c r="HM447" s="14"/>
      <c r="HN447" s="14"/>
      <c r="HO447" s="14"/>
      <c r="HP447" s="14"/>
      <c r="HQ447" s="14"/>
      <c r="HR447" s="14"/>
      <c r="HS447" s="14"/>
      <c r="HT447" s="14"/>
    </row>
    <row r="448" spans="1:228" ht="27" customHeight="1" x14ac:dyDescent="0.2">
      <c r="B448" s="1632" t="s">
        <v>1245</v>
      </c>
      <c r="C448" s="1633"/>
      <c r="D448" s="1633"/>
      <c r="E448" s="1633"/>
      <c r="F448" s="1633"/>
      <c r="G448" s="1626" t="s">
        <v>1525</v>
      </c>
      <c r="H448" s="1627"/>
      <c r="I448" s="1627"/>
      <c r="J448" s="1627"/>
      <c r="K448" s="1628"/>
      <c r="L448" s="2044"/>
      <c r="M448" s="2045"/>
      <c r="N448" s="2045"/>
      <c r="O448" s="2046"/>
      <c r="P448" s="1481">
        <f>IF(J472&gt;0,J472,V470)</f>
        <v>0</v>
      </c>
      <c r="R448" s="18"/>
      <c r="S448" s="981" t="s">
        <v>1865</v>
      </c>
      <c r="T448" s="973" t="s">
        <v>1305</v>
      </c>
      <c r="U448" s="973" t="s">
        <v>1306</v>
      </c>
      <c r="V448" s="969" t="s">
        <v>1307</v>
      </c>
      <c r="W448" s="972" t="s">
        <v>860</v>
      </c>
      <c r="X448" s="18"/>
      <c r="Y448" s="975">
        <f>IF(OR(AB377&gt;0,E449&gt;0,E452&gt;0,E454&gt;0,E455&gt;0,E456&gt;0,E457&gt;0,E458&gt;0,E459&gt;0,E460&gt;0,E461&gt;0,E462&gt;0,E463&gt;0),1,0)</f>
        <v>0</v>
      </c>
      <c r="Z448" s="973" t="s">
        <v>28</v>
      </c>
      <c r="AA448" s="18"/>
      <c r="AB448" s="63"/>
      <c r="AC448" s="63"/>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4"/>
      <c r="BR448" s="14"/>
      <c r="BS448" s="14"/>
      <c r="BT448" s="14"/>
      <c r="BU448" s="14"/>
      <c r="BV448" s="14"/>
      <c r="BW448" s="14"/>
      <c r="BX448" s="14"/>
      <c r="BY448" s="14"/>
      <c r="BZ448" s="14"/>
      <c r="CA448" s="14"/>
      <c r="CB448" s="14"/>
      <c r="CC448" s="14"/>
      <c r="CD448" s="14"/>
      <c r="CE448" s="14"/>
      <c r="CF448" s="14"/>
      <c r="CG448" s="14"/>
      <c r="CH448" s="14"/>
      <c r="CI448" s="14"/>
      <c r="CJ448" s="14"/>
      <c r="CK448" s="14"/>
      <c r="CL448" s="14"/>
      <c r="CM448" s="14"/>
      <c r="CN448" s="14"/>
      <c r="CO448" s="14"/>
      <c r="CP448" s="14"/>
      <c r="CQ448" s="14"/>
      <c r="CR448" s="14"/>
      <c r="CS448" s="14"/>
      <c r="CT448" s="14"/>
      <c r="CU448" s="14"/>
      <c r="CV448" s="14"/>
      <c r="CW448" s="14"/>
      <c r="CX448" s="14"/>
      <c r="CY448" s="14"/>
      <c r="CZ448" s="14"/>
      <c r="DA448" s="14"/>
      <c r="DB448" s="14"/>
      <c r="DC448" s="14"/>
      <c r="DD448" s="14"/>
      <c r="DE448" s="14"/>
      <c r="DF448" s="14"/>
      <c r="DG448" s="14"/>
      <c r="DH448" s="14"/>
      <c r="DI448" s="14"/>
      <c r="DJ448" s="14"/>
      <c r="DK448" s="14"/>
      <c r="DL448" s="14"/>
      <c r="DM448" s="14"/>
      <c r="DN448" s="14"/>
      <c r="DO448" s="14"/>
      <c r="DP448" s="14"/>
      <c r="DQ448" s="14"/>
      <c r="DR448" s="14"/>
      <c r="DS448" s="14"/>
      <c r="DT448" s="14"/>
      <c r="DU448" s="14"/>
      <c r="DV448" s="14"/>
      <c r="DW448" s="14"/>
      <c r="DX448" s="14"/>
      <c r="DY448" s="14"/>
      <c r="DZ448" s="14"/>
      <c r="EA448" s="14"/>
      <c r="EB448" s="14"/>
      <c r="EC448" s="14"/>
      <c r="ED448" s="14"/>
      <c r="EE448" s="14"/>
      <c r="EF448" s="14"/>
      <c r="EG448" s="14"/>
      <c r="EH448" s="14"/>
      <c r="EI448" s="14"/>
      <c r="EJ448" s="14"/>
      <c r="EK448" s="14"/>
      <c r="EL448" s="14"/>
      <c r="EM448" s="14"/>
      <c r="EN448" s="14"/>
      <c r="EO448" s="14"/>
      <c r="EP448" s="14"/>
      <c r="EQ448" s="14"/>
      <c r="ER448" s="14"/>
      <c r="ES448" s="14"/>
      <c r="ET448" s="14"/>
      <c r="EU448" s="14"/>
      <c r="EV448" s="14"/>
      <c r="EW448" s="14"/>
      <c r="EX448" s="14"/>
      <c r="EY448" s="14"/>
      <c r="EZ448" s="14"/>
      <c r="FA448" s="14"/>
      <c r="FB448" s="14"/>
      <c r="FC448" s="14"/>
      <c r="FD448" s="14"/>
      <c r="FE448" s="14"/>
      <c r="FF448" s="14"/>
      <c r="FG448" s="14"/>
      <c r="FH448" s="14"/>
      <c r="FI448" s="14"/>
      <c r="FJ448" s="14"/>
      <c r="FK448" s="14"/>
      <c r="FL448" s="14"/>
      <c r="FM448" s="14"/>
      <c r="FN448" s="14"/>
      <c r="FO448" s="14"/>
      <c r="FP448" s="14"/>
      <c r="FQ448" s="14"/>
      <c r="FR448" s="14"/>
      <c r="FS448" s="14"/>
      <c r="FT448" s="14"/>
      <c r="FU448" s="14"/>
      <c r="FV448" s="14"/>
      <c r="FW448" s="14"/>
      <c r="FX448" s="14"/>
      <c r="FY448" s="14"/>
      <c r="FZ448" s="14"/>
      <c r="GA448" s="14"/>
      <c r="GB448" s="14"/>
      <c r="GC448" s="14"/>
      <c r="GD448" s="14"/>
      <c r="GE448" s="14"/>
      <c r="GF448" s="14"/>
      <c r="GG448" s="14"/>
      <c r="GH448" s="14"/>
      <c r="GI448" s="14"/>
      <c r="GJ448" s="14"/>
      <c r="GK448" s="14"/>
      <c r="GL448" s="14"/>
      <c r="GM448" s="14"/>
      <c r="GN448" s="14"/>
      <c r="GO448" s="14"/>
      <c r="GP448" s="14"/>
      <c r="GQ448" s="14"/>
      <c r="GR448" s="14"/>
      <c r="GS448" s="14"/>
      <c r="GT448" s="14"/>
      <c r="GU448" s="14"/>
      <c r="GV448" s="14"/>
      <c r="GW448" s="14"/>
      <c r="GX448" s="14"/>
      <c r="GY448" s="14"/>
      <c r="GZ448" s="14"/>
      <c r="HA448" s="14"/>
      <c r="HB448" s="14"/>
      <c r="HC448" s="14"/>
      <c r="HD448" s="14"/>
      <c r="HE448" s="14"/>
      <c r="HF448" s="14"/>
      <c r="HG448" s="14"/>
      <c r="HH448" s="14"/>
      <c r="HI448" s="14"/>
      <c r="HJ448" s="14"/>
      <c r="HK448" s="14"/>
      <c r="HL448" s="14"/>
      <c r="HM448" s="14"/>
      <c r="HN448" s="14"/>
      <c r="HO448" s="14"/>
      <c r="HP448" s="14"/>
      <c r="HQ448" s="14"/>
      <c r="HR448" s="14"/>
      <c r="HS448" s="14"/>
      <c r="HT448" s="14"/>
    </row>
    <row r="449" spans="2:228" ht="15" customHeight="1" x14ac:dyDescent="0.2">
      <c r="B449" s="1357" t="s">
        <v>1526</v>
      </c>
      <c r="C449" s="1358"/>
      <c r="D449" s="1359"/>
      <c r="E449" s="1342">
        <f>P373</f>
        <v>0</v>
      </c>
      <c r="F449" s="1344"/>
      <c r="G449" s="1702" t="s">
        <v>1942</v>
      </c>
      <c r="H449" s="1627"/>
      <c r="I449" s="1628"/>
      <c r="J449" s="1838"/>
      <c r="K449" s="1851"/>
      <c r="L449" s="1124"/>
      <c r="M449" s="1096"/>
      <c r="N449" s="1096"/>
      <c r="O449" s="1097"/>
      <c r="P449" s="1731"/>
      <c r="R449" s="18"/>
      <c r="S449" s="979">
        <f>E449</f>
        <v>0</v>
      </c>
      <c r="T449" s="978">
        <f>LARGE($S$449:$S$471,1)</f>
        <v>0</v>
      </c>
      <c r="U449" s="684">
        <f>T449+T450*(1-T449)</f>
        <v>0</v>
      </c>
      <c r="V449" s="983">
        <f t="shared" ref="V449:V470" si="64">ROUND(U449,2)</f>
        <v>0</v>
      </c>
      <c r="W449" s="971">
        <f>IF(OR(P381&gt;0,P388&gt;0),1,0)</f>
        <v>0</v>
      </c>
      <c r="X449" s="18"/>
      <c r="Y449" s="975">
        <f>IF(P427&gt;0,0,IF(AB377&gt;0,1,0))</f>
        <v>0</v>
      </c>
      <c r="Z449" s="981" t="s">
        <v>1405</v>
      </c>
      <c r="AA449" s="18"/>
      <c r="AB449" s="63"/>
      <c r="AC449" s="63"/>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4"/>
      <c r="BR449" s="14"/>
      <c r="BS449" s="14"/>
      <c r="BT449" s="14"/>
      <c r="BU449" s="14"/>
      <c r="BV449" s="14"/>
      <c r="BW449" s="14"/>
      <c r="BX449" s="14"/>
      <c r="BY449" s="14"/>
      <c r="BZ449" s="14"/>
      <c r="CA449" s="14"/>
      <c r="CB449" s="14"/>
      <c r="CC449" s="14"/>
      <c r="CD449" s="14"/>
      <c r="CE449" s="14"/>
      <c r="CF449" s="14"/>
      <c r="CG449" s="14"/>
      <c r="CH449" s="14"/>
      <c r="CI449" s="14"/>
      <c r="CJ449" s="14"/>
      <c r="CK449" s="14"/>
      <c r="CL449" s="14"/>
      <c r="CM449" s="14"/>
      <c r="CN449" s="14"/>
      <c r="CO449" s="14"/>
      <c r="CP449" s="14"/>
      <c r="CQ449" s="14"/>
      <c r="CR449" s="14"/>
      <c r="CS449" s="14"/>
      <c r="CT449" s="14"/>
      <c r="CU449" s="14"/>
      <c r="CV449" s="14"/>
      <c r="CW449" s="14"/>
      <c r="CX449" s="14"/>
      <c r="CY449" s="14"/>
      <c r="CZ449" s="14"/>
      <c r="DA449" s="14"/>
      <c r="DB449" s="14"/>
      <c r="DC449" s="14"/>
      <c r="DD449" s="14"/>
      <c r="DE449" s="14"/>
      <c r="DF449" s="14"/>
      <c r="DG449" s="14"/>
      <c r="DH449" s="14"/>
      <c r="DI449" s="14"/>
      <c r="DJ449" s="14"/>
      <c r="DK449" s="14"/>
      <c r="DL449" s="14"/>
      <c r="DM449" s="14"/>
      <c r="DN449" s="14"/>
      <c r="DO449" s="14"/>
      <c r="DP449" s="14"/>
      <c r="DQ449" s="14"/>
      <c r="DR449" s="14"/>
      <c r="DS449" s="14"/>
      <c r="DT449" s="14"/>
      <c r="DU449" s="14"/>
      <c r="DV449" s="14"/>
      <c r="DW449" s="14"/>
      <c r="DX449" s="14"/>
      <c r="DY449" s="14"/>
      <c r="DZ449" s="14"/>
      <c r="EA449" s="14"/>
      <c r="EB449" s="14"/>
      <c r="EC449" s="14"/>
      <c r="ED449" s="14"/>
      <c r="EE449" s="14"/>
      <c r="EF449" s="14"/>
      <c r="EG449" s="14"/>
      <c r="EH449" s="14"/>
      <c r="EI449" s="14"/>
      <c r="EJ449" s="14"/>
      <c r="EK449" s="14"/>
      <c r="EL449" s="14"/>
      <c r="EM449" s="14"/>
      <c r="EN449" s="14"/>
      <c r="EO449" s="14"/>
      <c r="EP449" s="14"/>
      <c r="EQ449" s="14"/>
      <c r="ER449" s="14"/>
      <c r="ES449" s="14"/>
      <c r="ET449" s="14"/>
      <c r="EU449" s="14"/>
      <c r="EV449" s="14"/>
      <c r="EW449" s="14"/>
      <c r="EX449" s="14"/>
      <c r="EY449" s="14"/>
      <c r="EZ449" s="14"/>
      <c r="FA449" s="14"/>
      <c r="FB449" s="14"/>
      <c r="FC449" s="14"/>
      <c r="FD449" s="14"/>
      <c r="FE449" s="14"/>
      <c r="FF449" s="14"/>
      <c r="FG449" s="14"/>
      <c r="FH449" s="14"/>
      <c r="FI449" s="14"/>
      <c r="FJ449" s="14"/>
      <c r="FK449" s="14"/>
      <c r="FL449" s="14"/>
      <c r="FM449" s="14"/>
      <c r="FN449" s="14"/>
      <c r="FO449" s="14"/>
      <c r="FP449" s="14"/>
      <c r="FQ449" s="14"/>
      <c r="FR449" s="14"/>
      <c r="FS449" s="14"/>
      <c r="FT449" s="14"/>
      <c r="FU449" s="14"/>
      <c r="FV449" s="14"/>
      <c r="FW449" s="14"/>
      <c r="FX449" s="14"/>
      <c r="FY449" s="14"/>
      <c r="FZ449" s="14"/>
      <c r="GA449" s="14"/>
      <c r="GB449" s="14"/>
      <c r="GC449" s="14"/>
      <c r="GD449" s="14"/>
      <c r="GE449" s="14"/>
      <c r="GF449" s="14"/>
      <c r="GG449" s="14"/>
      <c r="GH449" s="14"/>
      <c r="GI449" s="14"/>
      <c r="GJ449" s="14"/>
      <c r="GK449" s="14"/>
      <c r="GL449" s="14"/>
      <c r="GM449" s="14"/>
      <c r="GN449" s="14"/>
      <c r="GO449" s="14"/>
      <c r="GP449" s="14"/>
      <c r="GQ449" s="14"/>
      <c r="GR449" s="14"/>
      <c r="GS449" s="14"/>
      <c r="GT449" s="14"/>
      <c r="GU449" s="14"/>
      <c r="GV449" s="14"/>
      <c r="GW449" s="14"/>
      <c r="GX449" s="14"/>
      <c r="GY449" s="14"/>
      <c r="GZ449" s="14"/>
      <c r="HA449" s="14"/>
      <c r="HB449" s="14"/>
      <c r="HC449" s="14"/>
      <c r="HD449" s="14"/>
      <c r="HE449" s="14"/>
      <c r="HF449" s="14"/>
      <c r="HG449" s="14"/>
      <c r="HH449" s="14"/>
      <c r="HI449" s="14"/>
      <c r="HJ449" s="14"/>
      <c r="HK449" s="14"/>
      <c r="HL449" s="14"/>
      <c r="HM449" s="14"/>
      <c r="HN449" s="14"/>
      <c r="HO449" s="14"/>
      <c r="HP449" s="14"/>
      <c r="HQ449" s="14"/>
      <c r="HR449" s="14"/>
      <c r="HS449" s="14"/>
      <c r="HT449" s="14"/>
    </row>
    <row r="450" spans="2:228" ht="15" customHeight="1" x14ac:dyDescent="0.2">
      <c r="B450" s="1357" t="s">
        <v>1527</v>
      </c>
      <c r="C450" s="1358"/>
      <c r="D450" s="1359"/>
      <c r="E450" s="1342">
        <f>IF(P427&gt;0,0,P381)</f>
        <v>0</v>
      </c>
      <c r="F450" s="1344"/>
      <c r="G450" s="1577"/>
      <c r="H450" s="1841"/>
      <c r="I450" s="1842"/>
      <c r="J450" s="1847">
        <f>IF(AND(Y450&lt;0.01,Y450&gt;0),0.01,ROUND(Y450,2))</f>
        <v>0</v>
      </c>
      <c r="K450" s="1852"/>
      <c r="L450" s="1760" t="str">
        <f>IF(AND(Y449=1,G450&gt;0),"Ankylosis cannot be apportioned.","")</f>
        <v/>
      </c>
      <c r="M450" s="1761"/>
      <c r="N450" s="1761"/>
      <c r="O450" s="1762"/>
      <c r="P450" s="1731"/>
      <c r="R450" s="18"/>
      <c r="S450" s="978">
        <f>IF(J450&gt;0,J450,E450)</f>
        <v>0</v>
      </c>
      <c r="T450" s="978">
        <f>LARGE($S$449:$S$471,2)</f>
        <v>0</v>
      </c>
      <c r="U450" s="684">
        <f>V449+T451*(1-V449)</f>
        <v>0</v>
      </c>
      <c r="V450" s="983">
        <f t="shared" si="64"/>
        <v>0</v>
      </c>
      <c r="W450" s="972" t="s">
        <v>1896</v>
      </c>
      <c r="X450" s="18"/>
      <c r="Y450" s="26">
        <f>IF(Y449=1,0,G450*E450)</f>
        <v>0</v>
      </c>
      <c r="Z450" s="18"/>
      <c r="AA450" s="18"/>
      <c r="AB450" s="63"/>
      <c r="AC450" s="63"/>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4"/>
      <c r="BR450" s="14"/>
      <c r="BS450" s="14"/>
      <c r="BT450" s="14"/>
      <c r="BU450" s="14"/>
      <c r="BV450" s="14"/>
      <c r="BW450" s="14"/>
      <c r="BX450" s="14"/>
      <c r="BY450" s="14"/>
      <c r="BZ450" s="14"/>
      <c r="CA450" s="14"/>
      <c r="CB450" s="14"/>
      <c r="CC450" s="14"/>
      <c r="CD450" s="14"/>
      <c r="CE450" s="14"/>
      <c r="CF450" s="14"/>
      <c r="CG450" s="14"/>
      <c r="CH450" s="14"/>
      <c r="CI450" s="14"/>
      <c r="CJ450" s="14"/>
      <c r="CK450" s="14"/>
      <c r="CL450" s="14"/>
      <c r="CM450" s="14"/>
      <c r="CN450" s="14"/>
      <c r="CO450" s="14"/>
      <c r="CP450" s="14"/>
      <c r="CQ450" s="14"/>
      <c r="CR450" s="14"/>
      <c r="CS450" s="14"/>
      <c r="CT450" s="14"/>
      <c r="CU450" s="14"/>
      <c r="CV450" s="14"/>
      <c r="CW450" s="14"/>
      <c r="CX450" s="14"/>
      <c r="CY450" s="14"/>
      <c r="CZ450" s="14"/>
      <c r="DA450" s="14"/>
      <c r="DB450" s="14"/>
      <c r="DC450" s="14"/>
      <c r="DD450" s="14"/>
      <c r="DE450" s="14"/>
      <c r="DF450" s="14"/>
      <c r="DG450" s="14"/>
      <c r="DH450" s="14"/>
      <c r="DI450" s="14"/>
      <c r="DJ450" s="14"/>
      <c r="DK450" s="14"/>
      <c r="DL450" s="14"/>
      <c r="DM450" s="14"/>
      <c r="DN450" s="14"/>
      <c r="DO450" s="14"/>
      <c r="DP450" s="14"/>
      <c r="DQ450" s="14"/>
      <c r="DR450" s="14"/>
      <c r="DS450" s="14"/>
      <c r="DT450" s="14"/>
      <c r="DU450" s="14"/>
      <c r="DV450" s="14"/>
      <c r="DW450" s="14"/>
      <c r="DX450" s="14"/>
      <c r="DY450" s="14"/>
      <c r="DZ450" s="14"/>
      <c r="EA450" s="14"/>
      <c r="EB450" s="14"/>
      <c r="EC450" s="14"/>
      <c r="ED450" s="14"/>
      <c r="EE450" s="14"/>
      <c r="EF450" s="14"/>
      <c r="EG450" s="14"/>
      <c r="EH450" s="14"/>
      <c r="EI450" s="14"/>
      <c r="EJ450" s="14"/>
      <c r="EK450" s="14"/>
      <c r="EL450" s="14"/>
      <c r="EM450" s="14"/>
      <c r="EN450" s="14"/>
      <c r="EO450" s="14"/>
      <c r="EP450" s="14"/>
      <c r="EQ450" s="14"/>
      <c r="ER450" s="14"/>
      <c r="ES450" s="14"/>
      <c r="ET450" s="14"/>
      <c r="EU450" s="14"/>
      <c r="EV450" s="14"/>
      <c r="EW450" s="14"/>
      <c r="EX450" s="14"/>
      <c r="EY450" s="14"/>
      <c r="EZ450" s="14"/>
      <c r="FA450" s="14"/>
      <c r="FB450" s="14"/>
      <c r="FC450" s="14"/>
      <c r="FD450" s="14"/>
      <c r="FE450" s="14"/>
      <c r="FF450" s="14"/>
      <c r="FG450" s="14"/>
      <c r="FH450" s="14"/>
      <c r="FI450" s="14"/>
      <c r="FJ450" s="14"/>
      <c r="FK450" s="14"/>
      <c r="FL450" s="14"/>
      <c r="FM450" s="14"/>
      <c r="FN450" s="14"/>
      <c r="FO450" s="14"/>
      <c r="FP450" s="14"/>
      <c r="FQ450" s="14"/>
      <c r="FR450" s="14"/>
      <c r="FS450" s="14"/>
      <c r="FT450" s="14"/>
      <c r="FU450" s="14"/>
      <c r="FV450" s="14"/>
      <c r="FW450" s="14"/>
      <c r="FX450" s="14"/>
      <c r="FY450" s="14"/>
      <c r="FZ450" s="14"/>
      <c r="GA450" s="14"/>
      <c r="GB450" s="14"/>
      <c r="GC450" s="14"/>
      <c r="GD450" s="14"/>
      <c r="GE450" s="14"/>
      <c r="GF450" s="14"/>
      <c r="GG450" s="14"/>
      <c r="GH450" s="14"/>
      <c r="GI450" s="14"/>
      <c r="GJ450" s="14"/>
      <c r="GK450" s="14"/>
      <c r="GL450" s="14"/>
      <c r="GM450" s="14"/>
      <c r="GN450" s="14"/>
      <c r="GO450" s="14"/>
      <c r="GP450" s="14"/>
      <c r="GQ450" s="14"/>
      <c r="GR450" s="14"/>
      <c r="GS450" s="14"/>
      <c r="GT450" s="14"/>
      <c r="GU450" s="14"/>
      <c r="GV450" s="14"/>
      <c r="GW450" s="14"/>
      <c r="GX450" s="14"/>
      <c r="GY450" s="14"/>
      <c r="GZ450" s="14"/>
      <c r="HA450" s="14"/>
      <c r="HB450" s="14"/>
      <c r="HC450" s="14"/>
      <c r="HD450" s="14"/>
      <c r="HE450" s="14"/>
      <c r="HF450" s="14"/>
      <c r="HG450" s="14"/>
      <c r="HH450" s="14"/>
      <c r="HI450" s="14"/>
      <c r="HJ450" s="14"/>
      <c r="HK450" s="14"/>
      <c r="HL450" s="14"/>
      <c r="HM450" s="14"/>
      <c r="HN450" s="14"/>
      <c r="HO450" s="14"/>
      <c r="HP450" s="14"/>
      <c r="HQ450" s="14"/>
      <c r="HR450" s="14"/>
      <c r="HS450" s="14"/>
      <c r="HT450" s="14"/>
    </row>
    <row r="451" spans="2:228" ht="15" customHeight="1" x14ac:dyDescent="0.2">
      <c r="B451" s="1357" t="s">
        <v>1528</v>
      </c>
      <c r="C451" s="1358"/>
      <c r="D451" s="1359"/>
      <c r="E451" s="1342">
        <f>IF(P427&gt;0,0,P388)</f>
        <v>0</v>
      </c>
      <c r="F451" s="1344"/>
      <c r="G451" s="1577"/>
      <c r="H451" s="1841"/>
      <c r="I451" s="1842"/>
      <c r="J451" s="1847">
        <f>IF(AND(Y451&lt;0.01,Y451&gt;0),0.01,ROUND(Y451,2))</f>
        <v>0</v>
      </c>
      <c r="K451" s="1852"/>
      <c r="L451" s="1098"/>
      <c r="M451" s="1099"/>
      <c r="N451" s="1099"/>
      <c r="O451" s="1100"/>
      <c r="P451" s="1731"/>
      <c r="R451" s="18"/>
      <c r="S451" s="978">
        <f>IF(J451&gt;0,J451,E451)</f>
        <v>0</v>
      </c>
      <c r="T451" s="978">
        <f>LARGE($S$449:$S$471,3)</f>
        <v>0</v>
      </c>
      <c r="U451" s="684">
        <f>V450+T452*(1-V450)</f>
        <v>0</v>
      </c>
      <c r="V451" s="983">
        <f t="shared" si="64"/>
        <v>0</v>
      </c>
      <c r="W451" s="971">
        <f>IF(P439&gt;0,3,0)</f>
        <v>0</v>
      </c>
      <c r="X451" s="18"/>
      <c r="Y451" s="26">
        <f>G451*E451</f>
        <v>0</v>
      </c>
      <c r="Z451" s="18"/>
      <c r="AA451" s="18"/>
      <c r="AB451" s="63"/>
      <c r="AC451" s="63"/>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4"/>
      <c r="BR451" s="14"/>
      <c r="BS451" s="14"/>
      <c r="BT451" s="14"/>
      <c r="BU451" s="14"/>
      <c r="BV451" s="14"/>
      <c r="BW451" s="14"/>
      <c r="BX451" s="14"/>
      <c r="BY451" s="14"/>
      <c r="BZ451" s="14"/>
      <c r="CA451" s="14"/>
      <c r="CB451" s="14"/>
      <c r="CC451" s="14"/>
      <c r="CD451" s="14"/>
      <c r="CE451" s="14"/>
      <c r="CF451" s="14"/>
      <c r="CG451" s="14"/>
      <c r="CH451" s="14"/>
      <c r="CI451" s="14"/>
      <c r="CJ451" s="14"/>
      <c r="CK451" s="14"/>
      <c r="CL451" s="14"/>
      <c r="CM451" s="14"/>
      <c r="CN451" s="14"/>
      <c r="CO451" s="14"/>
      <c r="CP451" s="14"/>
      <c r="CQ451" s="14"/>
      <c r="CR451" s="14"/>
      <c r="CS451" s="14"/>
      <c r="CT451" s="14"/>
      <c r="CU451" s="14"/>
      <c r="CV451" s="14"/>
      <c r="CW451" s="14"/>
      <c r="CX451" s="14"/>
      <c r="CY451" s="14"/>
      <c r="CZ451" s="14"/>
      <c r="DA451" s="14"/>
      <c r="DB451" s="14"/>
      <c r="DC451" s="14"/>
      <c r="DD451" s="14"/>
      <c r="DE451" s="14"/>
      <c r="DF451" s="14"/>
      <c r="DG451" s="14"/>
      <c r="DH451" s="14"/>
      <c r="DI451" s="14"/>
      <c r="DJ451" s="14"/>
      <c r="DK451" s="14"/>
      <c r="DL451" s="14"/>
      <c r="DM451" s="14"/>
      <c r="DN451" s="14"/>
      <c r="DO451" s="14"/>
      <c r="DP451" s="14"/>
      <c r="DQ451" s="14"/>
      <c r="DR451" s="14"/>
      <c r="DS451" s="14"/>
      <c r="DT451" s="14"/>
      <c r="DU451" s="14"/>
      <c r="DV451" s="14"/>
      <c r="DW451" s="14"/>
      <c r="DX451" s="14"/>
      <c r="DY451" s="14"/>
      <c r="DZ451" s="14"/>
      <c r="EA451" s="14"/>
      <c r="EB451" s="14"/>
      <c r="EC451" s="14"/>
      <c r="ED451" s="14"/>
      <c r="EE451" s="14"/>
      <c r="EF451" s="14"/>
      <c r="EG451" s="14"/>
      <c r="EH451" s="14"/>
      <c r="EI451" s="14"/>
      <c r="EJ451" s="14"/>
      <c r="EK451" s="14"/>
      <c r="EL451" s="14"/>
      <c r="EM451" s="14"/>
      <c r="EN451" s="14"/>
      <c r="EO451" s="14"/>
      <c r="EP451" s="14"/>
      <c r="EQ451" s="14"/>
      <c r="ER451" s="14"/>
      <c r="ES451" s="14"/>
      <c r="ET451" s="14"/>
      <c r="EU451" s="14"/>
      <c r="EV451" s="14"/>
      <c r="EW451" s="14"/>
      <c r="EX451" s="14"/>
      <c r="EY451" s="14"/>
      <c r="EZ451" s="14"/>
      <c r="FA451" s="14"/>
      <c r="FB451" s="14"/>
      <c r="FC451" s="14"/>
      <c r="FD451" s="14"/>
      <c r="FE451" s="14"/>
      <c r="FF451" s="14"/>
      <c r="FG451" s="14"/>
      <c r="FH451" s="14"/>
      <c r="FI451" s="14"/>
      <c r="FJ451" s="14"/>
      <c r="FK451" s="14"/>
      <c r="FL451" s="14"/>
      <c r="FM451" s="14"/>
      <c r="FN451" s="14"/>
      <c r="FO451" s="14"/>
      <c r="FP451" s="14"/>
      <c r="FQ451" s="14"/>
      <c r="FR451" s="14"/>
      <c r="FS451" s="14"/>
      <c r="FT451" s="14"/>
      <c r="FU451" s="14"/>
      <c r="FV451" s="14"/>
      <c r="FW451" s="14"/>
      <c r="FX451" s="14"/>
      <c r="FY451" s="14"/>
      <c r="FZ451" s="14"/>
      <c r="GA451" s="14"/>
      <c r="GB451" s="14"/>
      <c r="GC451" s="14"/>
      <c r="GD451" s="14"/>
      <c r="GE451" s="14"/>
      <c r="GF451" s="14"/>
      <c r="GG451" s="14"/>
      <c r="GH451" s="14"/>
      <c r="GI451" s="14"/>
      <c r="GJ451" s="14"/>
      <c r="GK451" s="14"/>
      <c r="GL451" s="14"/>
      <c r="GM451" s="14"/>
      <c r="GN451" s="14"/>
      <c r="GO451" s="14"/>
      <c r="GP451" s="14"/>
      <c r="GQ451" s="14"/>
      <c r="GR451" s="14"/>
      <c r="GS451" s="14"/>
      <c r="GT451" s="14"/>
      <c r="GU451" s="14"/>
      <c r="GV451" s="14"/>
      <c r="GW451" s="14"/>
      <c r="GX451" s="14"/>
      <c r="GY451" s="14"/>
      <c r="GZ451" s="14"/>
      <c r="HA451" s="14"/>
      <c r="HB451" s="14"/>
      <c r="HC451" s="14"/>
      <c r="HD451" s="14"/>
      <c r="HE451" s="14"/>
      <c r="HF451" s="14"/>
      <c r="HG451" s="14"/>
      <c r="HH451" s="14"/>
      <c r="HI451" s="14"/>
      <c r="HJ451" s="14"/>
      <c r="HK451" s="14"/>
      <c r="HL451" s="14"/>
      <c r="HM451" s="14"/>
      <c r="HN451" s="14"/>
      <c r="HO451" s="14"/>
      <c r="HP451" s="14"/>
      <c r="HQ451" s="14"/>
      <c r="HR451" s="14"/>
      <c r="HS451" s="14"/>
      <c r="HT451" s="14"/>
    </row>
    <row r="452" spans="2:228" ht="15" customHeight="1" x14ac:dyDescent="0.2">
      <c r="B452" s="1357" t="s">
        <v>1529</v>
      </c>
      <c r="C452" s="1358"/>
      <c r="D452" s="1359"/>
      <c r="E452" s="1342">
        <f>P392</f>
        <v>0</v>
      </c>
      <c r="F452" s="1344"/>
      <c r="G452" s="1702" t="s">
        <v>1942</v>
      </c>
      <c r="H452" s="1627"/>
      <c r="I452" s="1628"/>
      <c r="J452" s="1838"/>
      <c r="K452" s="1851"/>
      <c r="L452" s="1098"/>
      <c r="M452" s="1099"/>
      <c r="N452" s="1099"/>
      <c r="O452" s="1100"/>
      <c r="P452" s="1731"/>
      <c r="R452" s="18"/>
      <c r="S452" s="979">
        <f>E452</f>
        <v>0</v>
      </c>
      <c r="T452" s="978">
        <f>LARGE($S$449:$S$471,4)</f>
        <v>0</v>
      </c>
      <c r="U452" s="684">
        <f>V451+T453*(1-V451)</f>
        <v>0</v>
      </c>
      <c r="V452" s="983">
        <f t="shared" si="64"/>
        <v>0</v>
      </c>
      <c r="W452" s="972" t="s">
        <v>1899</v>
      </c>
      <c r="X452" s="18"/>
      <c r="Y452" s="248"/>
      <c r="Z452" s="18"/>
      <c r="AA452" s="63"/>
      <c r="AB452" s="63"/>
      <c r="AC452" s="63"/>
      <c r="AD452" s="63"/>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4"/>
      <c r="BR452" s="14"/>
      <c r="BS452" s="14"/>
      <c r="BT452" s="14"/>
      <c r="BU452" s="14"/>
      <c r="BV452" s="14"/>
      <c r="BW452" s="14"/>
      <c r="BX452" s="14"/>
      <c r="BY452" s="14"/>
      <c r="BZ452" s="14"/>
      <c r="CA452" s="14"/>
      <c r="CB452" s="14"/>
      <c r="CC452" s="14"/>
      <c r="CD452" s="14"/>
      <c r="CE452" s="14"/>
      <c r="CF452" s="14"/>
      <c r="CG452" s="14"/>
      <c r="CH452" s="14"/>
      <c r="CI452" s="14"/>
      <c r="CJ452" s="14"/>
      <c r="CK452" s="14"/>
      <c r="CL452" s="14"/>
      <c r="CM452" s="14"/>
      <c r="CN452" s="14"/>
      <c r="CO452" s="14"/>
      <c r="CP452" s="14"/>
      <c r="CQ452" s="14"/>
      <c r="CR452" s="14"/>
      <c r="CS452" s="14"/>
      <c r="CT452" s="14"/>
      <c r="CU452" s="14"/>
      <c r="CV452" s="14"/>
      <c r="CW452" s="14"/>
      <c r="CX452" s="14"/>
      <c r="CY452" s="14"/>
      <c r="CZ452" s="14"/>
      <c r="DA452" s="14"/>
      <c r="DB452" s="14"/>
      <c r="DC452" s="14"/>
      <c r="DD452" s="14"/>
      <c r="DE452" s="14"/>
      <c r="DF452" s="14"/>
      <c r="DG452" s="14"/>
      <c r="DH452" s="14"/>
      <c r="DI452" s="14"/>
      <c r="DJ452" s="14"/>
      <c r="DK452" s="14"/>
      <c r="DL452" s="14"/>
      <c r="DM452" s="14"/>
      <c r="DN452" s="14"/>
      <c r="DO452" s="14"/>
      <c r="DP452" s="14"/>
      <c r="DQ452" s="14"/>
      <c r="DR452" s="14"/>
      <c r="DS452" s="14"/>
      <c r="DT452" s="14"/>
      <c r="DU452" s="14"/>
      <c r="DV452" s="14"/>
      <c r="DW452" s="14"/>
      <c r="DX452" s="14"/>
      <c r="DY452" s="14"/>
      <c r="DZ452" s="14"/>
      <c r="EA452" s="14"/>
      <c r="EB452" s="14"/>
      <c r="EC452" s="14"/>
      <c r="ED452" s="14"/>
      <c r="EE452" s="14"/>
      <c r="EF452" s="14"/>
      <c r="EG452" s="14"/>
      <c r="EH452" s="14"/>
      <c r="EI452" s="14"/>
      <c r="EJ452" s="14"/>
      <c r="EK452" s="14"/>
      <c r="EL452" s="14"/>
      <c r="EM452" s="14"/>
      <c r="EN452" s="14"/>
      <c r="EO452" s="14"/>
      <c r="EP452" s="14"/>
      <c r="EQ452" s="14"/>
      <c r="ER452" s="14"/>
      <c r="ES452" s="14"/>
      <c r="ET452" s="14"/>
      <c r="EU452" s="14"/>
      <c r="EV452" s="14"/>
      <c r="EW452" s="14"/>
      <c r="EX452" s="14"/>
      <c r="EY452" s="14"/>
      <c r="EZ452" s="14"/>
      <c r="FA452" s="14"/>
      <c r="FB452" s="14"/>
      <c r="FC452" s="14"/>
      <c r="FD452" s="14"/>
      <c r="FE452" s="14"/>
      <c r="FF452" s="14"/>
      <c r="FG452" s="14"/>
      <c r="FH452" s="14"/>
      <c r="FI452" s="14"/>
      <c r="FJ452" s="14"/>
      <c r="FK452" s="14"/>
      <c r="FL452" s="14"/>
      <c r="FM452" s="14"/>
      <c r="FN452" s="14"/>
      <c r="FO452" s="14"/>
      <c r="FP452" s="14"/>
      <c r="FQ452" s="14"/>
      <c r="FR452" s="14"/>
      <c r="FS452" s="14"/>
      <c r="FT452" s="14"/>
      <c r="FU452" s="14"/>
      <c r="FV452" s="14"/>
      <c r="FW452" s="14"/>
      <c r="FX452" s="14"/>
      <c r="FY452" s="14"/>
      <c r="FZ452" s="14"/>
      <c r="GA452" s="14"/>
      <c r="GB452" s="14"/>
      <c r="GC452" s="14"/>
      <c r="GD452" s="14"/>
      <c r="GE452" s="14"/>
      <c r="GF452" s="14"/>
      <c r="GG452" s="14"/>
      <c r="GH452" s="14"/>
      <c r="GI452" s="14"/>
      <c r="GJ452" s="14"/>
      <c r="GK452" s="14"/>
      <c r="GL452" s="14"/>
      <c r="GM452" s="14"/>
      <c r="GN452" s="14"/>
      <c r="GO452" s="14"/>
      <c r="GP452" s="14"/>
      <c r="GQ452" s="14"/>
      <c r="GR452" s="14"/>
      <c r="GS452" s="14"/>
      <c r="GT452" s="14"/>
      <c r="GU452" s="14"/>
      <c r="GV452" s="14"/>
      <c r="GW452" s="14"/>
      <c r="GX452" s="14"/>
      <c r="GY452" s="14"/>
      <c r="GZ452" s="14"/>
      <c r="HA452" s="14"/>
      <c r="HB452" s="14"/>
      <c r="HC452" s="14"/>
      <c r="HD452" s="14"/>
      <c r="HE452" s="14"/>
      <c r="HF452" s="14"/>
      <c r="HG452" s="14"/>
      <c r="HH452" s="14"/>
      <c r="HI452" s="14"/>
      <c r="HJ452" s="14"/>
      <c r="HK452" s="14"/>
      <c r="HL452" s="14"/>
      <c r="HM452" s="14"/>
      <c r="HN452" s="14"/>
      <c r="HO452" s="14"/>
      <c r="HP452" s="14"/>
      <c r="HQ452" s="14"/>
      <c r="HR452" s="14"/>
      <c r="HS452" s="14"/>
      <c r="HT452" s="14"/>
    </row>
    <row r="453" spans="2:228" ht="15" customHeight="1" x14ac:dyDescent="0.2">
      <c r="B453" s="2001" t="s">
        <v>1530</v>
      </c>
      <c r="C453" s="2002"/>
      <c r="D453" s="2003"/>
      <c r="E453" s="1342">
        <f>P401</f>
        <v>0</v>
      </c>
      <c r="F453" s="1344"/>
      <c r="G453" s="1577"/>
      <c r="H453" s="1841"/>
      <c r="I453" s="1842"/>
      <c r="J453" s="1847">
        <f>IF(AND(Y453&lt;0.01,Y453&gt;0),0.01,ROUND(Y453,2))</f>
        <v>0</v>
      </c>
      <c r="K453" s="1852"/>
      <c r="L453" s="1760"/>
      <c r="M453" s="1761"/>
      <c r="N453" s="1761"/>
      <c r="O453" s="1762"/>
      <c r="P453" s="1731"/>
      <c r="R453" s="18"/>
      <c r="S453" s="978">
        <f>IF(J453&gt;0,J453,E453)</f>
        <v>0</v>
      </c>
      <c r="T453" s="978">
        <f>LARGE($S$449:$S$471,5)</f>
        <v>0</v>
      </c>
      <c r="U453" s="684">
        <f>V452+T454*(1-V452)</f>
        <v>0</v>
      </c>
      <c r="V453" s="983">
        <f t="shared" si="64"/>
        <v>0</v>
      </c>
      <c r="W453" s="971">
        <f>IF(P338&gt;0,5,0)</f>
        <v>0</v>
      </c>
      <c r="X453" s="18"/>
      <c r="Y453" s="1110">
        <f>G453*E453</f>
        <v>0</v>
      </c>
      <c r="Z453" s="18"/>
      <c r="AA453" s="63"/>
      <c r="AB453" s="63"/>
      <c r="AC453" s="63"/>
      <c r="AD453" s="63"/>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4"/>
      <c r="BR453" s="14"/>
      <c r="BS453" s="14"/>
      <c r="BT453" s="14"/>
      <c r="BU453" s="14"/>
      <c r="BV453" s="14"/>
      <c r="BW453" s="14"/>
      <c r="BX453" s="14"/>
      <c r="BY453" s="14"/>
      <c r="BZ453" s="14"/>
      <c r="CA453" s="14"/>
      <c r="CB453" s="14"/>
      <c r="CC453" s="14"/>
      <c r="CD453" s="14"/>
      <c r="CE453" s="14"/>
      <c r="CF453" s="14"/>
      <c r="CG453" s="14"/>
      <c r="CH453" s="14"/>
      <c r="CI453" s="14"/>
      <c r="CJ453" s="14"/>
      <c r="CK453" s="14"/>
      <c r="CL453" s="14"/>
      <c r="CM453" s="14"/>
      <c r="CN453" s="14"/>
      <c r="CO453" s="14"/>
      <c r="CP453" s="14"/>
      <c r="CQ453" s="14"/>
      <c r="CR453" s="14"/>
      <c r="CS453" s="14"/>
      <c r="CT453" s="14"/>
      <c r="CU453" s="14"/>
      <c r="CV453" s="14"/>
      <c r="CW453" s="14"/>
      <c r="CX453" s="14"/>
      <c r="CY453" s="14"/>
      <c r="CZ453" s="14"/>
      <c r="DA453" s="14"/>
      <c r="DB453" s="14"/>
      <c r="DC453" s="14"/>
      <c r="DD453" s="14"/>
      <c r="DE453" s="14"/>
      <c r="DF453" s="14"/>
      <c r="DG453" s="14"/>
      <c r="DH453" s="14"/>
      <c r="DI453" s="14"/>
      <c r="DJ453" s="14"/>
      <c r="DK453" s="14"/>
      <c r="DL453" s="14"/>
      <c r="DM453" s="14"/>
      <c r="DN453" s="14"/>
      <c r="DO453" s="14"/>
      <c r="DP453" s="14"/>
      <c r="DQ453" s="14"/>
      <c r="DR453" s="14"/>
      <c r="DS453" s="14"/>
      <c r="DT453" s="14"/>
      <c r="DU453" s="14"/>
      <c r="DV453" s="14"/>
      <c r="DW453" s="14"/>
      <c r="DX453" s="14"/>
      <c r="DY453" s="14"/>
      <c r="DZ453" s="14"/>
      <c r="EA453" s="14"/>
      <c r="EB453" s="14"/>
      <c r="EC453" s="14"/>
      <c r="ED453" s="14"/>
      <c r="EE453" s="14"/>
      <c r="EF453" s="14"/>
      <c r="EG453" s="14"/>
      <c r="EH453" s="14"/>
      <c r="EI453" s="14"/>
      <c r="EJ453" s="14"/>
      <c r="EK453" s="14"/>
      <c r="EL453" s="14"/>
      <c r="EM453" s="14"/>
      <c r="EN453" s="14"/>
      <c r="EO453" s="14"/>
      <c r="EP453" s="14"/>
      <c r="EQ453" s="14"/>
      <c r="ER453" s="14"/>
      <c r="ES453" s="14"/>
      <c r="ET453" s="14"/>
      <c r="EU453" s="14"/>
      <c r="EV453" s="14"/>
      <c r="EW453" s="14"/>
      <c r="EX453" s="14"/>
      <c r="EY453" s="14"/>
      <c r="EZ453" s="14"/>
      <c r="FA453" s="14"/>
      <c r="FB453" s="14"/>
      <c r="FC453" s="14"/>
      <c r="FD453" s="14"/>
      <c r="FE453" s="14"/>
      <c r="FF453" s="14"/>
      <c r="FG453" s="14"/>
      <c r="FH453" s="14"/>
      <c r="FI453" s="14"/>
      <c r="FJ453" s="14"/>
      <c r="FK453" s="14"/>
      <c r="FL453" s="14"/>
      <c r="FM453" s="14"/>
      <c r="FN453" s="14"/>
      <c r="FO453" s="14"/>
      <c r="FP453" s="14"/>
      <c r="FQ453" s="14"/>
      <c r="FR453" s="14"/>
      <c r="FS453" s="14"/>
      <c r="FT453" s="14"/>
      <c r="FU453" s="14"/>
      <c r="FV453" s="14"/>
      <c r="FW453" s="14"/>
      <c r="FX453" s="14"/>
      <c r="FY453" s="14"/>
      <c r="FZ453" s="14"/>
      <c r="GA453" s="14"/>
      <c r="GB453" s="14"/>
      <c r="GC453" s="14"/>
      <c r="GD453" s="14"/>
      <c r="GE453" s="14"/>
      <c r="GF453" s="14"/>
      <c r="GG453" s="14"/>
      <c r="GH453" s="14"/>
      <c r="GI453" s="14"/>
      <c r="GJ453" s="14"/>
      <c r="GK453" s="14"/>
      <c r="GL453" s="14"/>
      <c r="GM453" s="14"/>
      <c r="GN453" s="14"/>
      <c r="GO453" s="14"/>
      <c r="GP453" s="14"/>
      <c r="GQ453" s="14"/>
      <c r="GR453" s="14"/>
      <c r="GS453" s="14"/>
      <c r="GT453" s="14"/>
      <c r="GU453" s="14"/>
      <c r="GV453" s="14"/>
      <c r="GW453" s="14"/>
      <c r="GX453" s="14"/>
      <c r="GY453" s="14"/>
      <c r="GZ453" s="14"/>
      <c r="HA453" s="14"/>
      <c r="HB453" s="14"/>
      <c r="HC453" s="14"/>
      <c r="HD453" s="14"/>
      <c r="HE453" s="14"/>
      <c r="HF453" s="14"/>
      <c r="HG453" s="14"/>
      <c r="HH453" s="14"/>
      <c r="HI453" s="14"/>
      <c r="HJ453" s="14"/>
      <c r="HK453" s="14"/>
      <c r="HL453" s="14"/>
      <c r="HM453" s="14"/>
      <c r="HN453" s="14"/>
      <c r="HO453" s="14"/>
      <c r="HP453" s="14"/>
      <c r="HQ453" s="14"/>
      <c r="HR453" s="14"/>
      <c r="HS453" s="14"/>
      <c r="HT453" s="14"/>
    </row>
    <row r="454" spans="2:228" ht="15" customHeight="1" x14ac:dyDescent="0.2">
      <c r="B454" s="2001" t="s">
        <v>1531</v>
      </c>
      <c r="C454" s="2002"/>
      <c r="D454" s="2003"/>
      <c r="E454" s="1342">
        <f>P404</f>
        <v>0</v>
      </c>
      <c r="F454" s="1344"/>
      <c r="G454" s="1702" t="s">
        <v>1942</v>
      </c>
      <c r="H454" s="1627"/>
      <c r="I454" s="1628"/>
      <c r="J454" s="1838"/>
      <c r="K454" s="1851"/>
      <c r="L454" s="1760"/>
      <c r="M454" s="1761"/>
      <c r="N454" s="1761"/>
      <c r="O454" s="1762"/>
      <c r="P454" s="1731"/>
      <c r="R454" s="18"/>
      <c r="S454" s="979">
        <f t="shared" ref="S454:S463" si="65">E454</f>
        <v>0</v>
      </c>
      <c r="T454" s="978">
        <f>LARGE($S$449:$S$471,6)</f>
        <v>0</v>
      </c>
      <c r="U454" s="684">
        <f>V453+T455*(1-V453)</f>
        <v>0</v>
      </c>
      <c r="V454" s="983">
        <f t="shared" si="64"/>
        <v>0</v>
      </c>
      <c r="W454" s="982" t="s">
        <v>596</v>
      </c>
      <c r="X454" s="18"/>
      <c r="Y454" s="248"/>
      <c r="Z454" s="18"/>
      <c r="AA454" s="63"/>
      <c r="AB454" s="63"/>
      <c r="AC454" s="63"/>
      <c r="AD454" s="63"/>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4"/>
      <c r="BR454" s="14"/>
      <c r="BS454" s="14"/>
      <c r="BT454" s="14"/>
      <c r="BU454" s="14"/>
      <c r="BV454" s="14"/>
      <c r="BW454" s="14"/>
      <c r="BX454" s="14"/>
      <c r="BY454" s="14"/>
      <c r="BZ454" s="14"/>
      <c r="CA454" s="14"/>
      <c r="CB454" s="14"/>
      <c r="CC454" s="14"/>
      <c r="CD454" s="14"/>
      <c r="CE454" s="14"/>
      <c r="CF454" s="14"/>
      <c r="CG454" s="14"/>
      <c r="CH454" s="14"/>
      <c r="CI454" s="14"/>
      <c r="CJ454" s="14"/>
      <c r="CK454" s="14"/>
      <c r="CL454" s="14"/>
      <c r="CM454" s="14"/>
      <c r="CN454" s="14"/>
      <c r="CO454" s="14"/>
      <c r="CP454" s="14"/>
      <c r="CQ454" s="14"/>
      <c r="CR454" s="14"/>
      <c r="CS454" s="14"/>
      <c r="CT454" s="14"/>
      <c r="CU454" s="14"/>
      <c r="CV454" s="14"/>
      <c r="CW454" s="14"/>
      <c r="CX454" s="14"/>
      <c r="CY454" s="14"/>
      <c r="CZ454" s="14"/>
      <c r="DA454" s="14"/>
      <c r="DB454" s="14"/>
      <c r="DC454" s="14"/>
      <c r="DD454" s="14"/>
      <c r="DE454" s="14"/>
      <c r="DF454" s="14"/>
      <c r="DG454" s="14"/>
      <c r="DH454" s="14"/>
      <c r="DI454" s="14"/>
      <c r="DJ454" s="14"/>
      <c r="DK454" s="14"/>
      <c r="DL454" s="14"/>
      <c r="DM454" s="14"/>
      <c r="DN454" s="14"/>
      <c r="DO454" s="14"/>
      <c r="DP454" s="14"/>
      <c r="DQ454" s="14"/>
      <c r="DR454" s="14"/>
      <c r="DS454" s="14"/>
      <c r="DT454" s="14"/>
      <c r="DU454" s="14"/>
      <c r="DV454" s="14"/>
      <c r="DW454" s="14"/>
      <c r="DX454" s="14"/>
      <c r="DY454" s="14"/>
      <c r="DZ454" s="14"/>
      <c r="EA454" s="14"/>
      <c r="EB454" s="14"/>
      <c r="EC454" s="14"/>
      <c r="ED454" s="14"/>
      <c r="EE454" s="14"/>
      <c r="EF454" s="14"/>
      <c r="EG454" s="14"/>
      <c r="EH454" s="14"/>
      <c r="EI454" s="14"/>
      <c r="EJ454" s="14"/>
      <c r="EK454" s="14"/>
      <c r="EL454" s="14"/>
      <c r="EM454" s="14"/>
      <c r="EN454" s="14"/>
      <c r="EO454" s="14"/>
      <c r="EP454" s="14"/>
      <c r="EQ454" s="14"/>
      <c r="ER454" s="14"/>
      <c r="ES454" s="14"/>
      <c r="ET454" s="14"/>
      <c r="EU454" s="14"/>
      <c r="EV454" s="14"/>
      <c r="EW454" s="14"/>
      <c r="EX454" s="14"/>
      <c r="EY454" s="14"/>
      <c r="EZ454" s="14"/>
      <c r="FA454" s="14"/>
      <c r="FB454" s="14"/>
      <c r="FC454" s="14"/>
      <c r="FD454" s="14"/>
      <c r="FE454" s="14"/>
      <c r="FF454" s="14"/>
      <c r="FG454" s="14"/>
      <c r="FH454" s="14"/>
      <c r="FI454" s="14"/>
      <c r="FJ454" s="14"/>
      <c r="FK454" s="14"/>
      <c r="FL454" s="14"/>
      <c r="FM454" s="14"/>
      <c r="FN454" s="14"/>
      <c r="FO454" s="14"/>
      <c r="FP454" s="14"/>
      <c r="FQ454" s="14"/>
      <c r="FR454" s="14"/>
      <c r="FS454" s="14"/>
      <c r="FT454" s="14"/>
      <c r="FU454" s="14"/>
      <c r="FV454" s="14"/>
      <c r="FW454" s="14"/>
      <c r="FX454" s="14"/>
      <c r="FY454" s="14"/>
      <c r="FZ454" s="14"/>
      <c r="GA454" s="14"/>
      <c r="GB454" s="14"/>
      <c r="GC454" s="14"/>
      <c r="GD454" s="14"/>
      <c r="GE454" s="14"/>
      <c r="GF454" s="14"/>
      <c r="GG454" s="14"/>
      <c r="GH454" s="14"/>
      <c r="GI454" s="14"/>
      <c r="GJ454" s="14"/>
      <c r="GK454" s="14"/>
      <c r="GL454" s="14"/>
      <c r="GM454" s="14"/>
      <c r="GN454" s="14"/>
      <c r="GO454" s="14"/>
      <c r="GP454" s="14"/>
      <c r="GQ454" s="14"/>
      <c r="GR454" s="14"/>
      <c r="GS454" s="14"/>
      <c r="GT454" s="14"/>
      <c r="GU454" s="14"/>
      <c r="GV454" s="14"/>
      <c r="GW454" s="14"/>
      <c r="GX454" s="14"/>
      <c r="GY454" s="14"/>
      <c r="GZ454" s="14"/>
      <c r="HA454" s="14"/>
      <c r="HB454" s="14"/>
      <c r="HC454" s="14"/>
      <c r="HD454" s="14"/>
      <c r="HE454" s="14"/>
      <c r="HF454" s="14"/>
      <c r="HG454" s="14"/>
      <c r="HH454" s="14"/>
      <c r="HI454" s="14"/>
      <c r="HJ454" s="14"/>
      <c r="HK454" s="14"/>
      <c r="HL454" s="14"/>
      <c r="HM454" s="14"/>
      <c r="HN454" s="14"/>
      <c r="HO454" s="14"/>
      <c r="HP454" s="14"/>
      <c r="HQ454" s="14"/>
      <c r="HR454" s="14"/>
      <c r="HS454" s="14"/>
      <c r="HT454" s="14"/>
    </row>
    <row r="455" spans="2:228" ht="15" customHeight="1" x14ac:dyDescent="0.2">
      <c r="B455" s="2001" t="s">
        <v>1532</v>
      </c>
      <c r="C455" s="2002"/>
      <c r="D455" s="2003"/>
      <c r="E455" s="1342">
        <f>P407</f>
        <v>0</v>
      </c>
      <c r="F455" s="1344"/>
      <c r="G455" s="1702" t="s">
        <v>1942</v>
      </c>
      <c r="H455" s="1627"/>
      <c r="I455" s="1628"/>
      <c r="J455" s="1838"/>
      <c r="K455" s="1851"/>
      <c r="L455" s="1760"/>
      <c r="M455" s="1761"/>
      <c r="N455" s="1761"/>
      <c r="O455" s="1762"/>
      <c r="P455" s="1731"/>
      <c r="R455" s="18"/>
      <c r="S455" s="979">
        <f t="shared" si="65"/>
        <v>0</v>
      </c>
      <c r="T455" s="978">
        <f>LARGE($S$449:$S$471,7)</f>
        <v>0</v>
      </c>
      <c r="U455" s="684">
        <f t="shared" ref="U455:U470" si="66">V454+T456*(1-V454)</f>
        <v>0</v>
      </c>
      <c r="V455" s="983">
        <f t="shared" si="64"/>
        <v>0</v>
      </c>
      <c r="W455" s="971">
        <f>IF(OR(P267&gt;0,P443&gt;0),1,0)</f>
        <v>0</v>
      </c>
      <c r="X455" s="18"/>
      <c r="Y455" s="248"/>
      <c r="Z455" s="18"/>
      <c r="AA455" s="18"/>
      <c r="AB455" s="63"/>
      <c r="AC455" s="63"/>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4"/>
      <c r="BR455" s="14"/>
      <c r="BS455" s="14"/>
      <c r="BT455" s="14"/>
      <c r="BU455" s="14"/>
      <c r="BV455" s="14"/>
      <c r="BW455" s="14"/>
      <c r="BX455" s="14"/>
      <c r="BY455" s="14"/>
      <c r="BZ455" s="14"/>
      <c r="CA455" s="14"/>
      <c r="CB455" s="14"/>
      <c r="CC455" s="14"/>
      <c r="CD455" s="14"/>
      <c r="CE455" s="14"/>
      <c r="CF455" s="14"/>
      <c r="CG455" s="14"/>
      <c r="CH455" s="14"/>
      <c r="CI455" s="14"/>
      <c r="CJ455" s="14"/>
      <c r="CK455" s="14"/>
      <c r="CL455" s="14"/>
      <c r="CM455" s="14"/>
      <c r="CN455" s="14"/>
      <c r="CO455" s="14"/>
      <c r="CP455" s="14"/>
      <c r="CQ455" s="14"/>
      <c r="CR455" s="14"/>
      <c r="CS455" s="14"/>
      <c r="CT455" s="14"/>
      <c r="CU455" s="14"/>
      <c r="CV455" s="14"/>
      <c r="CW455" s="14"/>
      <c r="CX455" s="14"/>
      <c r="CY455" s="14"/>
      <c r="CZ455" s="14"/>
      <c r="DA455" s="14"/>
      <c r="DB455" s="14"/>
      <c r="DC455" s="14"/>
      <c r="DD455" s="14"/>
      <c r="DE455" s="14"/>
      <c r="DF455" s="14"/>
      <c r="DG455" s="14"/>
      <c r="DH455" s="14"/>
      <c r="DI455" s="14"/>
      <c r="DJ455" s="14"/>
      <c r="DK455" s="14"/>
      <c r="DL455" s="14"/>
      <c r="DM455" s="14"/>
      <c r="DN455" s="14"/>
      <c r="DO455" s="14"/>
      <c r="DP455" s="14"/>
      <c r="DQ455" s="14"/>
      <c r="DR455" s="14"/>
      <c r="DS455" s="14"/>
      <c r="DT455" s="14"/>
      <c r="DU455" s="14"/>
      <c r="DV455" s="14"/>
      <c r="DW455" s="14"/>
      <c r="DX455" s="14"/>
      <c r="DY455" s="14"/>
      <c r="DZ455" s="14"/>
      <c r="EA455" s="14"/>
      <c r="EB455" s="14"/>
      <c r="EC455" s="14"/>
      <c r="ED455" s="14"/>
      <c r="EE455" s="14"/>
      <c r="EF455" s="14"/>
      <c r="EG455" s="14"/>
      <c r="EH455" s="14"/>
      <c r="EI455" s="14"/>
      <c r="EJ455" s="14"/>
      <c r="EK455" s="14"/>
      <c r="EL455" s="14"/>
      <c r="EM455" s="14"/>
      <c r="EN455" s="14"/>
      <c r="EO455" s="14"/>
      <c r="EP455" s="14"/>
      <c r="EQ455" s="14"/>
      <c r="ER455" s="14"/>
      <c r="ES455" s="14"/>
      <c r="ET455" s="14"/>
      <c r="EU455" s="14"/>
      <c r="EV455" s="14"/>
      <c r="EW455" s="14"/>
      <c r="EX455" s="14"/>
      <c r="EY455" s="14"/>
      <c r="EZ455" s="14"/>
      <c r="FA455" s="14"/>
      <c r="FB455" s="14"/>
      <c r="FC455" s="14"/>
      <c r="FD455" s="14"/>
      <c r="FE455" s="14"/>
      <c r="FF455" s="14"/>
      <c r="FG455" s="14"/>
      <c r="FH455" s="14"/>
      <c r="FI455" s="14"/>
      <c r="FJ455" s="14"/>
      <c r="FK455" s="14"/>
      <c r="FL455" s="14"/>
      <c r="FM455" s="14"/>
      <c r="FN455" s="14"/>
      <c r="FO455" s="14"/>
      <c r="FP455" s="14"/>
      <c r="FQ455" s="14"/>
      <c r="FR455" s="14"/>
      <c r="FS455" s="14"/>
      <c r="FT455" s="14"/>
      <c r="FU455" s="14"/>
      <c r="FV455" s="14"/>
      <c r="FW455" s="14"/>
      <c r="FX455" s="14"/>
      <c r="FY455" s="14"/>
      <c r="FZ455" s="14"/>
      <c r="GA455" s="14"/>
      <c r="GB455" s="14"/>
      <c r="GC455" s="14"/>
      <c r="GD455" s="14"/>
      <c r="GE455" s="14"/>
      <c r="GF455" s="14"/>
      <c r="GG455" s="14"/>
      <c r="GH455" s="14"/>
      <c r="GI455" s="14"/>
      <c r="GJ455" s="14"/>
      <c r="GK455" s="14"/>
      <c r="GL455" s="14"/>
      <c r="GM455" s="14"/>
      <c r="GN455" s="14"/>
      <c r="GO455" s="14"/>
      <c r="GP455" s="14"/>
      <c r="GQ455" s="14"/>
      <c r="GR455" s="14"/>
      <c r="GS455" s="14"/>
      <c r="GT455" s="14"/>
      <c r="GU455" s="14"/>
      <c r="GV455" s="14"/>
      <c r="GW455" s="14"/>
      <c r="GX455" s="14"/>
      <c r="GY455" s="14"/>
      <c r="GZ455" s="14"/>
      <c r="HA455" s="14"/>
      <c r="HB455" s="14"/>
      <c r="HC455" s="14"/>
      <c r="HD455" s="14"/>
      <c r="HE455" s="14"/>
      <c r="HF455" s="14"/>
      <c r="HG455" s="14"/>
      <c r="HH455" s="14"/>
      <c r="HI455" s="14"/>
      <c r="HJ455" s="14"/>
      <c r="HK455" s="14"/>
      <c r="HL455" s="14"/>
      <c r="HM455" s="14"/>
      <c r="HN455" s="14"/>
      <c r="HO455" s="14"/>
      <c r="HP455" s="14"/>
      <c r="HQ455" s="14"/>
      <c r="HR455" s="14"/>
      <c r="HS455" s="14"/>
      <c r="HT455" s="14"/>
    </row>
    <row r="456" spans="2:228" ht="15" customHeight="1" x14ac:dyDescent="0.2">
      <c r="B456" s="2001" t="str">
        <f>IF(P412&gt;0,"Surgery: Partial loss of one menisus","Surgery: Menisci")</f>
        <v>Surgery: Menisci</v>
      </c>
      <c r="C456" s="2002"/>
      <c r="D456" s="2003"/>
      <c r="E456" s="1342">
        <f>P411</f>
        <v>0</v>
      </c>
      <c r="F456" s="1344"/>
      <c r="G456" s="1702" t="s">
        <v>1942</v>
      </c>
      <c r="H456" s="1627"/>
      <c r="I456" s="1628"/>
      <c r="J456" s="1838"/>
      <c r="K456" s="1851"/>
      <c r="L456" s="1760"/>
      <c r="M456" s="1761"/>
      <c r="N456" s="1761"/>
      <c r="O456" s="1762"/>
      <c r="P456" s="1731"/>
      <c r="R456" s="18"/>
      <c r="S456" s="979">
        <f t="shared" si="65"/>
        <v>0</v>
      </c>
      <c r="T456" s="978">
        <f>LARGE($S$449:$S$471,8)</f>
        <v>0</v>
      </c>
      <c r="U456" s="684">
        <f t="shared" si="66"/>
        <v>0</v>
      </c>
      <c r="V456" s="983">
        <f t="shared" si="64"/>
        <v>0</v>
      </c>
      <c r="W456" s="972" t="s">
        <v>2243</v>
      </c>
      <c r="X456" s="18"/>
      <c r="Y456" s="248"/>
      <c r="Z456" s="1111"/>
      <c r="AA456" s="1111"/>
      <c r="AB456" s="63"/>
      <c r="AC456" s="63"/>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4"/>
      <c r="BR456" s="14"/>
      <c r="BS456" s="14"/>
      <c r="BT456" s="14"/>
      <c r="BU456" s="14"/>
      <c r="BV456" s="14"/>
      <c r="BW456" s="14"/>
      <c r="BX456" s="14"/>
      <c r="BY456" s="14"/>
      <c r="BZ456" s="14"/>
      <c r="CA456" s="14"/>
      <c r="CB456" s="14"/>
      <c r="CC456" s="14"/>
      <c r="CD456" s="14"/>
      <c r="CE456" s="14"/>
      <c r="CF456" s="14"/>
      <c r="CG456" s="14"/>
      <c r="CH456" s="14"/>
      <c r="CI456" s="14"/>
      <c r="CJ456" s="14"/>
      <c r="CK456" s="14"/>
      <c r="CL456" s="14"/>
      <c r="CM456" s="14"/>
      <c r="CN456" s="14"/>
      <c r="CO456" s="14"/>
      <c r="CP456" s="14"/>
      <c r="CQ456" s="14"/>
      <c r="CR456" s="14"/>
      <c r="CS456" s="14"/>
      <c r="CT456" s="14"/>
      <c r="CU456" s="14"/>
      <c r="CV456" s="14"/>
      <c r="CW456" s="14"/>
      <c r="CX456" s="14"/>
      <c r="CY456" s="14"/>
      <c r="CZ456" s="14"/>
      <c r="DA456" s="14"/>
      <c r="DB456" s="14"/>
      <c r="DC456" s="14"/>
      <c r="DD456" s="14"/>
      <c r="DE456" s="14"/>
      <c r="DF456" s="14"/>
      <c r="DG456" s="14"/>
      <c r="DH456" s="14"/>
      <c r="DI456" s="14"/>
      <c r="DJ456" s="14"/>
      <c r="DK456" s="14"/>
      <c r="DL456" s="14"/>
      <c r="DM456" s="14"/>
      <c r="DN456" s="14"/>
      <c r="DO456" s="14"/>
      <c r="DP456" s="14"/>
      <c r="DQ456" s="14"/>
      <c r="DR456" s="14"/>
      <c r="DS456" s="14"/>
      <c r="DT456" s="14"/>
      <c r="DU456" s="14"/>
      <c r="DV456" s="14"/>
      <c r="DW456" s="14"/>
      <c r="DX456" s="14"/>
      <c r="DY456" s="14"/>
      <c r="DZ456" s="14"/>
      <c r="EA456" s="14"/>
      <c r="EB456" s="14"/>
      <c r="EC456" s="14"/>
      <c r="ED456" s="14"/>
      <c r="EE456" s="14"/>
      <c r="EF456" s="14"/>
      <c r="EG456" s="14"/>
      <c r="EH456" s="14"/>
      <c r="EI456" s="14"/>
      <c r="EJ456" s="14"/>
      <c r="EK456" s="14"/>
      <c r="EL456" s="14"/>
      <c r="EM456" s="14"/>
      <c r="EN456" s="14"/>
      <c r="EO456" s="14"/>
      <c r="EP456" s="14"/>
      <c r="EQ456" s="14"/>
      <c r="ER456" s="14"/>
      <c r="ES456" s="14"/>
      <c r="ET456" s="14"/>
      <c r="EU456" s="14"/>
      <c r="EV456" s="14"/>
      <c r="EW456" s="14"/>
      <c r="EX456" s="14"/>
      <c r="EY456" s="14"/>
      <c r="EZ456" s="14"/>
      <c r="FA456" s="14"/>
      <c r="FB456" s="14"/>
      <c r="FC456" s="14"/>
      <c r="FD456" s="14"/>
      <c r="FE456" s="14"/>
      <c r="FF456" s="14"/>
      <c r="FG456" s="14"/>
      <c r="FH456" s="14"/>
      <c r="FI456" s="14"/>
      <c r="FJ456" s="14"/>
      <c r="FK456" s="14"/>
      <c r="FL456" s="14"/>
      <c r="FM456" s="14"/>
      <c r="FN456" s="14"/>
      <c r="FO456" s="14"/>
      <c r="FP456" s="14"/>
      <c r="FQ456" s="14"/>
      <c r="FR456" s="14"/>
      <c r="FS456" s="14"/>
      <c r="FT456" s="14"/>
      <c r="FU456" s="14"/>
      <c r="FV456" s="14"/>
      <c r="FW456" s="14"/>
      <c r="FX456" s="14"/>
      <c r="FY456" s="14"/>
      <c r="FZ456" s="14"/>
      <c r="GA456" s="14"/>
      <c r="GB456" s="14"/>
      <c r="GC456" s="14"/>
      <c r="GD456" s="14"/>
      <c r="GE456" s="14"/>
      <c r="GF456" s="14"/>
      <c r="GG456" s="14"/>
      <c r="GH456" s="14"/>
      <c r="GI456" s="14"/>
      <c r="GJ456" s="14"/>
      <c r="GK456" s="14"/>
      <c r="GL456" s="14"/>
      <c r="GM456" s="14"/>
      <c r="GN456" s="14"/>
      <c r="GO456" s="14"/>
      <c r="GP456" s="14"/>
      <c r="GQ456" s="14"/>
      <c r="GR456" s="14"/>
      <c r="GS456" s="14"/>
      <c r="GT456" s="14"/>
      <c r="GU456" s="14"/>
      <c r="GV456" s="14"/>
      <c r="GW456" s="14"/>
      <c r="GX456" s="14"/>
      <c r="GY456" s="14"/>
      <c r="GZ456" s="14"/>
      <c r="HA456" s="14"/>
      <c r="HB456" s="14"/>
      <c r="HC456" s="14"/>
      <c r="HD456" s="14"/>
      <c r="HE456" s="14"/>
      <c r="HF456" s="14"/>
      <c r="HG456" s="14"/>
      <c r="HH456" s="14"/>
      <c r="HI456" s="14"/>
      <c r="HJ456" s="14"/>
      <c r="HK456" s="14"/>
      <c r="HL456" s="14"/>
      <c r="HM456" s="14"/>
      <c r="HN456" s="14"/>
      <c r="HO456" s="14"/>
      <c r="HP456" s="14"/>
      <c r="HQ456" s="14"/>
      <c r="HR456" s="14"/>
      <c r="HS456" s="14"/>
      <c r="HT456" s="14"/>
    </row>
    <row r="457" spans="2:228" ht="15" customHeight="1" x14ac:dyDescent="0.2">
      <c r="B457" s="2001" t="str">
        <f>IF(P412&gt;0,"Surgery: Partial loss of 2nd meniscus","")</f>
        <v/>
      </c>
      <c r="C457" s="2002"/>
      <c r="D457" s="2003"/>
      <c r="E457" s="1342">
        <f>P412</f>
        <v>0</v>
      </c>
      <c r="F457" s="1344"/>
      <c r="G457" s="1702" t="s">
        <v>1942</v>
      </c>
      <c r="H457" s="1627"/>
      <c r="I457" s="1628"/>
      <c r="J457" s="1851"/>
      <c r="K457" s="1853"/>
      <c r="L457" s="1760"/>
      <c r="M457" s="1761"/>
      <c r="N457" s="1761"/>
      <c r="O457" s="1762"/>
      <c r="P457" s="1731"/>
      <c r="R457" s="18"/>
      <c r="S457" s="979">
        <f t="shared" si="65"/>
        <v>0</v>
      </c>
      <c r="T457" s="978">
        <f>LARGE($S$449:$S$471,9)</f>
        <v>0</v>
      </c>
      <c r="U457" s="684">
        <f t="shared" si="66"/>
        <v>0</v>
      </c>
      <c r="V457" s="983">
        <f t="shared" si="64"/>
        <v>0</v>
      </c>
      <c r="W457" s="971">
        <f>SUM(W449,W451,W453,W455)</f>
        <v>0</v>
      </c>
      <c r="X457" s="18"/>
      <c r="Y457" s="248"/>
      <c r="Z457" s="1111"/>
      <c r="AA457" s="1111"/>
      <c r="AB457" s="63"/>
      <c r="AC457" s="63"/>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4"/>
      <c r="BR457" s="14"/>
      <c r="BS457" s="14"/>
      <c r="BT457" s="14"/>
      <c r="BU457" s="14"/>
      <c r="BV457" s="14"/>
      <c r="BW457" s="14"/>
      <c r="BX457" s="14"/>
      <c r="BY457" s="14"/>
      <c r="BZ457" s="14"/>
      <c r="CA457" s="14"/>
      <c r="CB457" s="14"/>
      <c r="CC457" s="14"/>
      <c r="CD457" s="14"/>
      <c r="CE457" s="14"/>
      <c r="CF457" s="14"/>
      <c r="CG457" s="14"/>
      <c r="CH457" s="14"/>
      <c r="CI457" s="14"/>
      <c r="CJ457" s="14"/>
      <c r="CK457" s="14"/>
      <c r="CL457" s="14"/>
      <c r="CM457" s="14"/>
      <c r="CN457" s="14"/>
      <c r="CO457" s="14"/>
      <c r="CP457" s="14"/>
      <c r="CQ457" s="14"/>
      <c r="CR457" s="14"/>
      <c r="CS457" s="14"/>
      <c r="CT457" s="14"/>
      <c r="CU457" s="14"/>
      <c r="CV457" s="14"/>
      <c r="CW457" s="14"/>
      <c r="CX457" s="14"/>
      <c r="CY457" s="14"/>
      <c r="CZ457" s="14"/>
      <c r="DA457" s="14"/>
      <c r="DB457" s="14"/>
      <c r="DC457" s="14"/>
      <c r="DD457" s="14"/>
      <c r="DE457" s="14"/>
      <c r="DF457" s="14"/>
      <c r="DG457" s="14"/>
      <c r="DH457" s="14"/>
      <c r="DI457" s="14"/>
      <c r="DJ457" s="14"/>
      <c r="DK457" s="14"/>
      <c r="DL457" s="14"/>
      <c r="DM457" s="14"/>
      <c r="DN457" s="14"/>
      <c r="DO457" s="14"/>
      <c r="DP457" s="14"/>
      <c r="DQ457" s="14"/>
      <c r="DR457" s="14"/>
      <c r="DS457" s="14"/>
      <c r="DT457" s="14"/>
      <c r="DU457" s="14"/>
      <c r="DV457" s="14"/>
      <c r="DW457" s="14"/>
      <c r="DX457" s="14"/>
      <c r="DY457" s="14"/>
      <c r="DZ457" s="14"/>
      <c r="EA457" s="14"/>
      <c r="EB457" s="14"/>
      <c r="EC457" s="14"/>
      <c r="ED457" s="14"/>
      <c r="EE457" s="14"/>
      <c r="EF457" s="14"/>
      <c r="EG457" s="14"/>
      <c r="EH457" s="14"/>
      <c r="EI457" s="14"/>
      <c r="EJ457" s="14"/>
      <c r="EK457" s="14"/>
      <c r="EL457" s="14"/>
      <c r="EM457" s="14"/>
      <c r="EN457" s="14"/>
      <c r="EO457" s="14"/>
      <c r="EP457" s="14"/>
      <c r="EQ457" s="14"/>
      <c r="ER457" s="14"/>
      <c r="ES457" s="14"/>
      <c r="ET457" s="14"/>
      <c r="EU457" s="14"/>
      <c r="EV457" s="14"/>
      <c r="EW457" s="14"/>
      <c r="EX457" s="14"/>
      <c r="EY457" s="14"/>
      <c r="EZ457" s="14"/>
      <c r="FA457" s="14"/>
      <c r="FB457" s="14"/>
      <c r="FC457" s="14"/>
      <c r="FD457" s="14"/>
      <c r="FE457" s="14"/>
      <c r="FF457" s="14"/>
      <c r="FG457" s="14"/>
      <c r="FH457" s="14"/>
      <c r="FI457" s="14"/>
      <c r="FJ457" s="14"/>
      <c r="FK457" s="14"/>
      <c r="FL457" s="14"/>
      <c r="FM457" s="14"/>
      <c r="FN457" s="14"/>
      <c r="FO457" s="14"/>
      <c r="FP457" s="14"/>
      <c r="FQ457" s="14"/>
      <c r="FR457" s="14"/>
      <c r="FS457" s="14"/>
      <c r="FT457" s="14"/>
      <c r="FU457" s="14"/>
      <c r="FV457" s="14"/>
      <c r="FW457" s="14"/>
      <c r="FX457" s="14"/>
      <c r="FY457" s="14"/>
      <c r="FZ457" s="14"/>
      <c r="GA457" s="14"/>
      <c r="GB457" s="14"/>
      <c r="GC457" s="14"/>
      <c r="GD457" s="14"/>
      <c r="GE457" s="14"/>
      <c r="GF457" s="14"/>
      <c r="GG457" s="14"/>
      <c r="GH457" s="14"/>
      <c r="GI457" s="14"/>
      <c r="GJ457" s="14"/>
      <c r="GK457" s="14"/>
      <c r="GL457" s="14"/>
      <c r="GM457" s="14"/>
      <c r="GN457" s="14"/>
      <c r="GO457" s="14"/>
      <c r="GP457" s="14"/>
      <c r="GQ457" s="14"/>
      <c r="GR457" s="14"/>
      <c r="GS457" s="14"/>
      <c r="GT457" s="14"/>
      <c r="GU457" s="14"/>
      <c r="GV457" s="14"/>
      <c r="GW457" s="14"/>
      <c r="GX457" s="14"/>
      <c r="GY457" s="14"/>
      <c r="GZ457" s="14"/>
      <c r="HA457" s="14"/>
      <c r="HB457" s="14"/>
      <c r="HC457" s="14"/>
      <c r="HD457" s="14"/>
      <c r="HE457" s="14"/>
      <c r="HF457" s="14"/>
      <c r="HG457" s="14"/>
      <c r="HH457" s="14"/>
      <c r="HI457" s="14"/>
      <c r="HJ457" s="14"/>
      <c r="HK457" s="14"/>
      <c r="HL457" s="14"/>
      <c r="HM457" s="14"/>
      <c r="HN457" s="14"/>
      <c r="HO457" s="14"/>
      <c r="HP457" s="14"/>
      <c r="HQ457" s="14"/>
      <c r="HR457" s="14"/>
      <c r="HS457" s="14"/>
      <c r="HT457" s="14"/>
    </row>
    <row r="458" spans="2:228" ht="15" customHeight="1" x14ac:dyDescent="0.2">
      <c r="B458" s="1357" t="s">
        <v>1916</v>
      </c>
      <c r="C458" s="1358"/>
      <c r="D458" s="1359"/>
      <c r="E458" s="1342">
        <f t="shared" ref="E458:E463" si="67">P413</f>
        <v>0</v>
      </c>
      <c r="F458" s="1344"/>
      <c r="G458" s="1702" t="s">
        <v>1942</v>
      </c>
      <c r="H458" s="1627"/>
      <c r="I458" s="1628"/>
      <c r="J458" s="1838"/>
      <c r="K458" s="1851"/>
      <c r="L458" s="1760"/>
      <c r="M458" s="1761"/>
      <c r="N458" s="1761"/>
      <c r="O458" s="1762"/>
      <c r="P458" s="1731"/>
      <c r="R458" s="18"/>
      <c r="S458" s="979">
        <f t="shared" si="65"/>
        <v>0</v>
      </c>
      <c r="T458" s="978">
        <f>LARGE($S$449:$S$471,10)</f>
        <v>0</v>
      </c>
      <c r="U458" s="684">
        <f t="shared" si="66"/>
        <v>0</v>
      </c>
      <c r="V458" s="979">
        <f t="shared" si="64"/>
        <v>0</v>
      </c>
      <c r="W458" s="1811" t="s">
        <v>987</v>
      </c>
      <c r="X458" s="18"/>
      <c r="Y458" s="248"/>
      <c r="Z458" s="1111"/>
      <c r="AA458" s="1111"/>
      <c r="AB458" s="63"/>
      <c r="AC458" s="63"/>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4"/>
      <c r="BR458" s="14"/>
      <c r="BS458" s="14"/>
      <c r="BT458" s="14"/>
      <c r="BU458" s="14"/>
      <c r="BV458" s="14"/>
      <c r="BW458" s="14"/>
      <c r="BX458" s="14"/>
      <c r="BY458" s="14"/>
      <c r="BZ458" s="14"/>
      <c r="CA458" s="14"/>
      <c r="CB458" s="14"/>
      <c r="CC458" s="14"/>
      <c r="CD458" s="14"/>
      <c r="CE458" s="14"/>
      <c r="CF458" s="14"/>
      <c r="CG458" s="14"/>
      <c r="CH458" s="14"/>
      <c r="CI458" s="14"/>
      <c r="CJ458" s="14"/>
      <c r="CK458" s="14"/>
      <c r="CL458" s="14"/>
      <c r="CM458" s="14"/>
      <c r="CN458" s="14"/>
      <c r="CO458" s="14"/>
      <c r="CP458" s="14"/>
      <c r="CQ458" s="14"/>
      <c r="CR458" s="14"/>
      <c r="CS458" s="14"/>
      <c r="CT458" s="14"/>
      <c r="CU458" s="14"/>
      <c r="CV458" s="14"/>
      <c r="CW458" s="14"/>
      <c r="CX458" s="14"/>
      <c r="CY458" s="14"/>
      <c r="CZ458" s="14"/>
      <c r="DA458" s="14"/>
      <c r="DB458" s="14"/>
      <c r="DC458" s="14"/>
      <c r="DD458" s="14"/>
      <c r="DE458" s="14"/>
      <c r="DF458" s="14"/>
      <c r="DG458" s="14"/>
      <c r="DH458" s="14"/>
      <c r="DI458" s="14"/>
      <c r="DJ458" s="14"/>
      <c r="DK458" s="14"/>
      <c r="DL458" s="14"/>
      <c r="DM458" s="14"/>
      <c r="DN458" s="14"/>
      <c r="DO458" s="14"/>
      <c r="DP458" s="14"/>
      <c r="DQ458" s="14"/>
      <c r="DR458" s="14"/>
      <c r="DS458" s="14"/>
      <c r="DT458" s="14"/>
      <c r="DU458" s="14"/>
      <c r="DV458" s="14"/>
      <c r="DW458" s="14"/>
      <c r="DX458" s="14"/>
      <c r="DY458" s="14"/>
      <c r="DZ458" s="14"/>
      <c r="EA458" s="14"/>
      <c r="EB458" s="14"/>
      <c r="EC458" s="14"/>
      <c r="ED458" s="14"/>
      <c r="EE458" s="14"/>
      <c r="EF458" s="14"/>
      <c r="EG458" s="14"/>
      <c r="EH458" s="14"/>
      <c r="EI458" s="14"/>
      <c r="EJ458" s="14"/>
      <c r="EK458" s="14"/>
      <c r="EL458" s="14"/>
      <c r="EM458" s="14"/>
      <c r="EN458" s="14"/>
      <c r="EO458" s="14"/>
      <c r="EP458" s="14"/>
      <c r="EQ458" s="14"/>
      <c r="ER458" s="14"/>
      <c r="ES458" s="14"/>
      <c r="ET458" s="14"/>
      <c r="EU458" s="14"/>
      <c r="EV458" s="14"/>
      <c r="EW458" s="14"/>
      <c r="EX458" s="14"/>
      <c r="EY458" s="14"/>
      <c r="EZ458" s="14"/>
      <c r="FA458" s="14"/>
      <c r="FB458" s="14"/>
      <c r="FC458" s="14"/>
      <c r="FD458" s="14"/>
      <c r="FE458" s="14"/>
      <c r="FF458" s="14"/>
      <c r="FG458" s="14"/>
      <c r="FH458" s="14"/>
      <c r="FI458" s="14"/>
      <c r="FJ458" s="14"/>
      <c r="FK458" s="14"/>
      <c r="FL458" s="14"/>
      <c r="FM458" s="14"/>
      <c r="FN458" s="14"/>
      <c r="FO458" s="14"/>
      <c r="FP458" s="14"/>
      <c r="FQ458" s="14"/>
      <c r="FR458" s="14"/>
      <c r="FS458" s="14"/>
      <c r="FT458" s="14"/>
      <c r="FU458" s="14"/>
      <c r="FV458" s="14"/>
      <c r="FW458" s="14"/>
      <c r="FX458" s="14"/>
      <c r="FY458" s="14"/>
      <c r="FZ458" s="14"/>
      <c r="GA458" s="14"/>
      <c r="GB458" s="14"/>
      <c r="GC458" s="14"/>
      <c r="GD458" s="14"/>
      <c r="GE458" s="14"/>
      <c r="GF458" s="14"/>
      <c r="GG458" s="14"/>
      <c r="GH458" s="14"/>
      <c r="GI458" s="14"/>
      <c r="GJ458" s="14"/>
      <c r="GK458" s="14"/>
      <c r="GL458" s="14"/>
      <c r="GM458" s="14"/>
      <c r="GN458" s="14"/>
      <c r="GO458" s="14"/>
      <c r="GP458" s="14"/>
      <c r="GQ458" s="14"/>
      <c r="GR458" s="14"/>
      <c r="GS458" s="14"/>
      <c r="GT458" s="14"/>
      <c r="GU458" s="14"/>
      <c r="GV458" s="14"/>
      <c r="GW458" s="14"/>
      <c r="GX458" s="14"/>
      <c r="GY458" s="14"/>
      <c r="GZ458" s="14"/>
      <c r="HA458" s="14"/>
      <c r="HB458" s="14"/>
      <c r="HC458" s="14"/>
      <c r="HD458" s="14"/>
      <c r="HE458" s="14"/>
      <c r="HF458" s="14"/>
      <c r="HG458" s="14"/>
      <c r="HH458" s="14"/>
      <c r="HI458" s="14"/>
      <c r="HJ458" s="14"/>
      <c r="HK458" s="14"/>
      <c r="HL458" s="14"/>
      <c r="HM458" s="14"/>
      <c r="HN458" s="14"/>
      <c r="HO458" s="14"/>
      <c r="HP458" s="14"/>
      <c r="HQ458" s="14"/>
      <c r="HR458" s="14"/>
      <c r="HS458" s="14"/>
      <c r="HT458" s="14"/>
    </row>
    <row r="459" spans="2:228" ht="15" customHeight="1" x14ac:dyDescent="0.2">
      <c r="B459" s="1357" t="s">
        <v>1917</v>
      </c>
      <c r="C459" s="1358"/>
      <c r="D459" s="1359"/>
      <c r="E459" s="1342">
        <f t="shared" si="67"/>
        <v>0</v>
      </c>
      <c r="F459" s="1344"/>
      <c r="G459" s="1702" t="s">
        <v>1942</v>
      </c>
      <c r="H459" s="1627"/>
      <c r="I459" s="1628"/>
      <c r="J459" s="1838"/>
      <c r="K459" s="1851"/>
      <c r="L459" s="2047"/>
      <c r="M459" s="2048"/>
      <c r="N459" s="2048"/>
      <c r="O459" s="2049"/>
      <c r="P459" s="1731"/>
      <c r="R459" s="18"/>
      <c r="S459" s="979">
        <f t="shared" si="65"/>
        <v>0</v>
      </c>
      <c r="T459" s="978">
        <f>LARGE($S$449:$S$471,11)</f>
        <v>0</v>
      </c>
      <c r="U459" s="684">
        <f t="shared" si="66"/>
        <v>0</v>
      </c>
      <c r="V459" s="979">
        <f t="shared" si="64"/>
        <v>0</v>
      </c>
      <c r="W459" s="1836"/>
      <c r="X459" s="18"/>
      <c r="Y459" s="248"/>
      <c r="Z459" s="1111"/>
      <c r="AA459" s="1111"/>
      <c r="AB459" s="63"/>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4"/>
      <c r="BR459" s="14"/>
      <c r="BS459" s="14"/>
      <c r="BT459" s="14"/>
      <c r="BU459" s="14"/>
      <c r="BV459" s="14"/>
      <c r="BW459" s="14"/>
      <c r="BX459" s="14"/>
      <c r="BY459" s="14"/>
      <c r="BZ459" s="14"/>
      <c r="CA459" s="14"/>
      <c r="CB459" s="14"/>
      <c r="CC459" s="14"/>
      <c r="CD459" s="14"/>
      <c r="CE459" s="14"/>
      <c r="CF459" s="14"/>
      <c r="CG459" s="14"/>
      <c r="CH459" s="14"/>
      <c r="CI459" s="14"/>
      <c r="CJ459" s="14"/>
      <c r="CK459" s="14"/>
      <c r="CL459" s="14"/>
      <c r="CM459" s="14"/>
      <c r="CN459" s="14"/>
      <c r="CO459" s="14"/>
      <c r="CP459" s="14"/>
      <c r="CQ459" s="14"/>
      <c r="CR459" s="14"/>
      <c r="CS459" s="14"/>
      <c r="CT459" s="14"/>
      <c r="CU459" s="14"/>
      <c r="CV459" s="14"/>
      <c r="CW459" s="14"/>
      <c r="CX459" s="14"/>
      <c r="CY459" s="14"/>
      <c r="CZ459" s="14"/>
      <c r="DA459" s="14"/>
      <c r="DB459" s="14"/>
      <c r="DC459" s="14"/>
      <c r="DD459" s="14"/>
      <c r="DE459" s="14"/>
      <c r="DF459" s="14"/>
      <c r="DG459" s="14"/>
      <c r="DH459" s="14"/>
      <c r="DI459" s="14"/>
      <c r="DJ459" s="14"/>
      <c r="DK459" s="14"/>
      <c r="DL459" s="14"/>
      <c r="DM459" s="14"/>
      <c r="DN459" s="14"/>
      <c r="DO459" s="14"/>
      <c r="DP459" s="14"/>
      <c r="DQ459" s="14"/>
      <c r="DR459" s="14"/>
      <c r="DS459" s="14"/>
      <c r="DT459" s="14"/>
      <c r="DU459" s="14"/>
      <c r="DV459" s="14"/>
      <c r="DW459" s="14"/>
      <c r="DX459" s="14"/>
      <c r="DY459" s="14"/>
      <c r="DZ459" s="14"/>
      <c r="EA459" s="14"/>
      <c r="EB459" s="14"/>
      <c r="EC459" s="14"/>
      <c r="ED459" s="14"/>
      <c r="EE459" s="14"/>
      <c r="EF459" s="14"/>
      <c r="EG459" s="14"/>
      <c r="EH459" s="14"/>
      <c r="EI459" s="14"/>
      <c r="EJ459" s="14"/>
      <c r="EK459" s="14"/>
      <c r="EL459" s="14"/>
      <c r="EM459" s="14"/>
      <c r="EN459" s="14"/>
      <c r="EO459" s="14"/>
      <c r="EP459" s="14"/>
      <c r="EQ459" s="14"/>
      <c r="ER459" s="14"/>
      <c r="ES459" s="14"/>
      <c r="ET459" s="14"/>
      <c r="EU459" s="14"/>
      <c r="EV459" s="14"/>
      <c r="EW459" s="14"/>
      <c r="EX459" s="14"/>
      <c r="EY459" s="14"/>
      <c r="EZ459" s="14"/>
      <c r="FA459" s="14"/>
      <c r="FB459" s="14"/>
      <c r="FC459" s="14"/>
      <c r="FD459" s="14"/>
      <c r="FE459" s="14"/>
      <c r="FF459" s="14"/>
      <c r="FG459" s="14"/>
      <c r="FH459" s="14"/>
      <c r="FI459" s="14"/>
      <c r="FJ459" s="14"/>
      <c r="FK459" s="14"/>
      <c r="FL459" s="14"/>
      <c r="FM459" s="14"/>
      <c r="FN459" s="14"/>
      <c r="FO459" s="14"/>
      <c r="FP459" s="14"/>
      <c r="FQ459" s="14"/>
      <c r="FR459" s="14"/>
      <c r="FS459" s="14"/>
      <c r="FT459" s="14"/>
      <c r="FU459" s="14"/>
      <c r="FV459" s="14"/>
      <c r="FW459" s="14"/>
      <c r="FX459" s="14"/>
      <c r="FY459" s="14"/>
      <c r="FZ459" s="14"/>
      <c r="GA459" s="14"/>
      <c r="GB459" s="14"/>
      <c r="GC459" s="14"/>
      <c r="GD459" s="14"/>
      <c r="GE459" s="14"/>
      <c r="GF459" s="14"/>
      <c r="GG459" s="14"/>
      <c r="GH459" s="14"/>
      <c r="GI459" s="14"/>
      <c r="GJ459" s="14"/>
      <c r="GK459" s="14"/>
      <c r="GL459" s="14"/>
      <c r="GM459" s="14"/>
      <c r="GN459" s="14"/>
      <c r="GO459" s="14"/>
      <c r="GP459" s="14"/>
      <c r="GQ459" s="14"/>
      <c r="GR459" s="14"/>
      <c r="GS459" s="14"/>
      <c r="GT459" s="14"/>
      <c r="GU459" s="14"/>
      <c r="GV459" s="14"/>
      <c r="GW459" s="14"/>
      <c r="GX459" s="14"/>
      <c r="GY459" s="14"/>
      <c r="GZ459" s="14"/>
      <c r="HA459" s="14"/>
      <c r="HB459" s="14"/>
      <c r="HC459" s="14"/>
      <c r="HD459" s="14"/>
      <c r="HE459" s="14"/>
      <c r="HF459" s="14"/>
      <c r="HG459" s="14"/>
      <c r="HH459" s="14"/>
      <c r="HI459" s="14"/>
      <c r="HJ459" s="14"/>
      <c r="HK459" s="14"/>
      <c r="HL459" s="14"/>
      <c r="HM459" s="14"/>
      <c r="HN459" s="14"/>
      <c r="HO459" s="14"/>
      <c r="HP459" s="14"/>
      <c r="HQ459" s="14"/>
      <c r="HR459" s="14"/>
      <c r="HS459" s="14"/>
      <c r="HT459" s="14"/>
    </row>
    <row r="460" spans="2:228" ht="15" customHeight="1" x14ac:dyDescent="0.2">
      <c r="B460" s="1357" t="s">
        <v>1918</v>
      </c>
      <c r="C460" s="1358"/>
      <c r="D460" s="1359"/>
      <c r="E460" s="1342">
        <f t="shared" si="67"/>
        <v>0</v>
      </c>
      <c r="F460" s="1344"/>
      <c r="G460" s="1702" t="s">
        <v>1942</v>
      </c>
      <c r="H460" s="1627"/>
      <c r="I460" s="1628"/>
      <c r="J460" s="1838"/>
      <c r="K460" s="1851"/>
      <c r="L460" s="2047"/>
      <c r="M460" s="2048"/>
      <c r="N460" s="2048"/>
      <c r="O460" s="2049"/>
      <c r="P460" s="1731"/>
      <c r="R460" s="18"/>
      <c r="S460" s="979">
        <f t="shared" si="65"/>
        <v>0</v>
      </c>
      <c r="T460" s="978">
        <f>LARGE($S$449:$S$471,12)</f>
        <v>0</v>
      </c>
      <c r="U460" s="684">
        <f t="shared" si="66"/>
        <v>0</v>
      </c>
      <c r="V460" s="979">
        <f t="shared" si="64"/>
        <v>0</v>
      </c>
      <c r="W460" s="1836"/>
      <c r="X460" s="18"/>
      <c r="Y460" s="248"/>
      <c r="Z460" s="1111"/>
      <c r="AA460" s="1111"/>
      <c r="AB460" s="63"/>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4"/>
      <c r="BR460" s="14"/>
      <c r="BS460" s="14"/>
      <c r="BT460" s="14"/>
      <c r="BU460" s="14"/>
      <c r="BV460" s="14"/>
      <c r="BW460" s="14"/>
      <c r="BX460" s="14"/>
      <c r="BY460" s="14"/>
      <c r="BZ460" s="14"/>
      <c r="CA460" s="14"/>
      <c r="CB460" s="14"/>
      <c r="CC460" s="14"/>
      <c r="CD460" s="14"/>
      <c r="CE460" s="14"/>
      <c r="CF460" s="14"/>
      <c r="CG460" s="14"/>
      <c r="CH460" s="14"/>
      <c r="CI460" s="14"/>
      <c r="CJ460" s="14"/>
      <c r="CK460" s="14"/>
      <c r="CL460" s="14"/>
      <c r="CM460" s="14"/>
      <c r="CN460" s="14"/>
      <c r="CO460" s="14"/>
      <c r="CP460" s="14"/>
      <c r="CQ460" s="14"/>
      <c r="CR460" s="14"/>
      <c r="CS460" s="14"/>
      <c r="CT460" s="14"/>
      <c r="CU460" s="14"/>
      <c r="CV460" s="14"/>
      <c r="CW460" s="14"/>
      <c r="CX460" s="14"/>
      <c r="CY460" s="14"/>
      <c r="CZ460" s="14"/>
      <c r="DA460" s="14"/>
      <c r="DB460" s="14"/>
      <c r="DC460" s="14"/>
      <c r="DD460" s="14"/>
      <c r="DE460" s="14"/>
      <c r="DF460" s="14"/>
      <c r="DG460" s="14"/>
      <c r="DH460" s="14"/>
      <c r="DI460" s="14"/>
      <c r="DJ460" s="14"/>
      <c r="DK460" s="14"/>
      <c r="DL460" s="14"/>
      <c r="DM460" s="14"/>
      <c r="DN460" s="14"/>
      <c r="DO460" s="14"/>
      <c r="DP460" s="14"/>
      <c r="DQ460" s="14"/>
      <c r="DR460" s="14"/>
      <c r="DS460" s="14"/>
      <c r="DT460" s="14"/>
      <c r="DU460" s="14"/>
      <c r="DV460" s="14"/>
      <c r="DW460" s="14"/>
      <c r="DX460" s="14"/>
      <c r="DY460" s="14"/>
      <c r="DZ460" s="14"/>
      <c r="EA460" s="14"/>
      <c r="EB460" s="14"/>
      <c r="EC460" s="14"/>
      <c r="ED460" s="14"/>
      <c r="EE460" s="14"/>
      <c r="EF460" s="14"/>
      <c r="EG460" s="14"/>
      <c r="EH460" s="14"/>
      <c r="EI460" s="14"/>
      <c r="EJ460" s="14"/>
      <c r="EK460" s="14"/>
      <c r="EL460" s="14"/>
      <c r="EM460" s="14"/>
      <c r="EN460" s="14"/>
      <c r="EO460" s="14"/>
      <c r="EP460" s="14"/>
      <c r="EQ460" s="14"/>
      <c r="ER460" s="14"/>
      <c r="ES460" s="14"/>
      <c r="ET460" s="14"/>
      <c r="EU460" s="14"/>
      <c r="EV460" s="14"/>
      <c r="EW460" s="14"/>
      <c r="EX460" s="14"/>
      <c r="EY460" s="14"/>
      <c r="EZ460" s="14"/>
      <c r="FA460" s="14"/>
      <c r="FB460" s="14"/>
      <c r="FC460" s="14"/>
      <c r="FD460" s="14"/>
      <c r="FE460" s="14"/>
      <c r="FF460" s="14"/>
      <c r="FG460" s="14"/>
      <c r="FH460" s="14"/>
      <c r="FI460" s="14"/>
      <c r="FJ460" s="14"/>
      <c r="FK460" s="14"/>
      <c r="FL460" s="14"/>
      <c r="FM460" s="14"/>
      <c r="FN460" s="14"/>
      <c r="FO460" s="14"/>
      <c r="FP460" s="14"/>
      <c r="FQ460" s="14"/>
      <c r="FR460" s="14"/>
      <c r="FS460" s="14"/>
      <c r="FT460" s="14"/>
      <c r="FU460" s="14"/>
      <c r="FV460" s="14"/>
      <c r="FW460" s="14"/>
      <c r="FX460" s="14"/>
      <c r="FY460" s="14"/>
      <c r="FZ460" s="14"/>
      <c r="GA460" s="14"/>
      <c r="GB460" s="14"/>
      <c r="GC460" s="14"/>
      <c r="GD460" s="14"/>
      <c r="GE460" s="14"/>
      <c r="GF460" s="14"/>
      <c r="GG460" s="14"/>
      <c r="GH460" s="14"/>
      <c r="GI460" s="14"/>
      <c r="GJ460" s="14"/>
      <c r="GK460" s="14"/>
      <c r="GL460" s="14"/>
      <c r="GM460" s="14"/>
      <c r="GN460" s="14"/>
      <c r="GO460" s="14"/>
      <c r="GP460" s="14"/>
      <c r="GQ460" s="14"/>
      <c r="GR460" s="14"/>
      <c r="GS460" s="14"/>
      <c r="GT460" s="14"/>
      <c r="GU460" s="14"/>
      <c r="GV460" s="14"/>
      <c r="GW460" s="14"/>
      <c r="GX460" s="14"/>
      <c r="GY460" s="14"/>
      <c r="GZ460" s="14"/>
      <c r="HA460" s="14"/>
      <c r="HB460" s="14"/>
      <c r="HC460" s="14"/>
      <c r="HD460" s="14"/>
      <c r="HE460" s="14"/>
      <c r="HF460" s="14"/>
      <c r="HG460" s="14"/>
      <c r="HH460" s="14"/>
      <c r="HI460" s="14"/>
      <c r="HJ460" s="14"/>
      <c r="HK460" s="14"/>
      <c r="HL460" s="14"/>
      <c r="HM460" s="14"/>
      <c r="HN460" s="14"/>
      <c r="HO460" s="14"/>
      <c r="HP460" s="14"/>
      <c r="HQ460" s="14"/>
      <c r="HR460" s="14"/>
      <c r="HS460" s="14"/>
      <c r="HT460" s="14"/>
    </row>
    <row r="461" spans="2:228" ht="15" customHeight="1" x14ac:dyDescent="0.2">
      <c r="B461" s="1357" t="s">
        <v>711</v>
      </c>
      <c r="C461" s="1358"/>
      <c r="D461" s="1359"/>
      <c r="E461" s="1342">
        <f t="shared" si="67"/>
        <v>0</v>
      </c>
      <c r="F461" s="1344"/>
      <c r="G461" s="1702" t="s">
        <v>1942</v>
      </c>
      <c r="H461" s="1627"/>
      <c r="I461" s="1628"/>
      <c r="J461" s="1838"/>
      <c r="K461" s="1851"/>
      <c r="L461" s="2047"/>
      <c r="M461" s="2048"/>
      <c r="N461" s="2048"/>
      <c r="O461" s="2049"/>
      <c r="P461" s="1731"/>
      <c r="R461" s="18"/>
      <c r="S461" s="979">
        <f t="shared" si="65"/>
        <v>0</v>
      </c>
      <c r="T461" s="978">
        <f>LARGE($S$449:$S$471,13)</f>
        <v>0</v>
      </c>
      <c r="U461" s="684">
        <f t="shared" si="66"/>
        <v>0</v>
      </c>
      <c r="V461" s="979">
        <f t="shared" si="64"/>
        <v>0</v>
      </c>
      <c r="W461" s="245">
        <f>SUM(AB377,E449,E452,E454:E463)</f>
        <v>0</v>
      </c>
      <c r="X461" s="18"/>
      <c r="Y461" s="248"/>
      <c r="Z461" s="1111"/>
      <c r="AA461" s="1111"/>
      <c r="AB461" s="63"/>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4"/>
      <c r="BR461" s="14"/>
      <c r="BS461" s="14"/>
      <c r="BT461" s="14"/>
      <c r="BU461" s="14"/>
      <c r="BV461" s="14"/>
      <c r="BW461" s="14"/>
      <c r="BX461" s="14"/>
      <c r="BY461" s="14"/>
      <c r="BZ461" s="14"/>
      <c r="CA461" s="14"/>
      <c r="CB461" s="14"/>
      <c r="CC461" s="14"/>
      <c r="CD461" s="14"/>
      <c r="CE461" s="14"/>
      <c r="CF461" s="14"/>
      <c r="CG461" s="14"/>
      <c r="CH461" s="14"/>
      <c r="CI461" s="14"/>
      <c r="CJ461" s="14"/>
      <c r="CK461" s="14"/>
      <c r="CL461" s="14"/>
      <c r="CM461" s="14"/>
      <c r="CN461" s="14"/>
      <c r="CO461" s="14"/>
      <c r="CP461" s="14"/>
      <c r="CQ461" s="14"/>
      <c r="CR461" s="14"/>
      <c r="CS461" s="14"/>
      <c r="CT461" s="14"/>
      <c r="CU461" s="14"/>
      <c r="CV461" s="14"/>
      <c r="CW461" s="14"/>
      <c r="CX461" s="14"/>
      <c r="CY461" s="14"/>
      <c r="CZ461" s="14"/>
      <c r="DA461" s="14"/>
      <c r="DB461" s="14"/>
      <c r="DC461" s="14"/>
      <c r="DD461" s="14"/>
      <c r="DE461" s="14"/>
      <c r="DF461" s="14"/>
      <c r="DG461" s="14"/>
      <c r="DH461" s="14"/>
      <c r="DI461" s="14"/>
      <c r="DJ461" s="14"/>
      <c r="DK461" s="14"/>
      <c r="DL461" s="14"/>
      <c r="DM461" s="14"/>
      <c r="DN461" s="14"/>
      <c r="DO461" s="14"/>
      <c r="DP461" s="14"/>
      <c r="DQ461" s="14"/>
      <c r="DR461" s="14"/>
      <c r="DS461" s="14"/>
      <c r="DT461" s="14"/>
      <c r="DU461" s="14"/>
      <c r="DV461" s="14"/>
      <c r="DW461" s="14"/>
      <c r="DX461" s="14"/>
      <c r="DY461" s="14"/>
      <c r="DZ461" s="14"/>
      <c r="EA461" s="14"/>
      <c r="EB461" s="14"/>
      <c r="EC461" s="14"/>
      <c r="ED461" s="14"/>
      <c r="EE461" s="14"/>
      <c r="EF461" s="14"/>
      <c r="EG461" s="14"/>
      <c r="EH461" s="14"/>
      <c r="EI461" s="14"/>
      <c r="EJ461" s="14"/>
      <c r="EK461" s="14"/>
      <c r="EL461" s="14"/>
      <c r="EM461" s="14"/>
      <c r="EN461" s="14"/>
      <c r="EO461" s="14"/>
      <c r="EP461" s="14"/>
      <c r="EQ461" s="14"/>
      <c r="ER461" s="14"/>
      <c r="ES461" s="14"/>
      <c r="ET461" s="14"/>
      <c r="EU461" s="14"/>
      <c r="EV461" s="14"/>
      <c r="EW461" s="14"/>
      <c r="EX461" s="14"/>
      <c r="EY461" s="14"/>
      <c r="EZ461" s="14"/>
      <c r="FA461" s="14"/>
      <c r="FB461" s="14"/>
      <c r="FC461" s="14"/>
      <c r="FD461" s="14"/>
      <c r="FE461" s="14"/>
      <c r="FF461" s="14"/>
      <c r="FG461" s="14"/>
      <c r="FH461" s="14"/>
      <c r="FI461" s="14"/>
      <c r="FJ461" s="14"/>
      <c r="FK461" s="14"/>
      <c r="FL461" s="14"/>
      <c r="FM461" s="14"/>
      <c r="FN461" s="14"/>
      <c r="FO461" s="14"/>
      <c r="FP461" s="14"/>
      <c r="FQ461" s="14"/>
      <c r="FR461" s="14"/>
      <c r="FS461" s="14"/>
      <c r="FT461" s="14"/>
      <c r="FU461" s="14"/>
      <c r="FV461" s="14"/>
      <c r="FW461" s="14"/>
      <c r="FX461" s="14"/>
      <c r="FY461" s="14"/>
      <c r="FZ461" s="14"/>
      <c r="GA461" s="14"/>
      <c r="GB461" s="14"/>
      <c r="GC461" s="14"/>
      <c r="GD461" s="14"/>
      <c r="GE461" s="14"/>
      <c r="GF461" s="14"/>
      <c r="GG461" s="14"/>
      <c r="GH461" s="14"/>
      <c r="GI461" s="14"/>
      <c r="GJ461" s="14"/>
      <c r="GK461" s="14"/>
      <c r="GL461" s="14"/>
      <c r="GM461" s="14"/>
      <c r="GN461" s="14"/>
      <c r="GO461" s="14"/>
      <c r="GP461" s="14"/>
      <c r="GQ461" s="14"/>
      <c r="GR461" s="14"/>
      <c r="GS461" s="14"/>
      <c r="GT461" s="14"/>
      <c r="GU461" s="14"/>
      <c r="GV461" s="14"/>
      <c r="GW461" s="14"/>
      <c r="GX461" s="14"/>
      <c r="GY461" s="14"/>
      <c r="GZ461" s="14"/>
      <c r="HA461" s="14"/>
      <c r="HB461" s="14"/>
      <c r="HC461" s="14"/>
      <c r="HD461" s="14"/>
      <c r="HE461" s="14"/>
      <c r="HF461" s="14"/>
      <c r="HG461" s="14"/>
      <c r="HH461" s="14"/>
      <c r="HI461" s="14"/>
      <c r="HJ461" s="14"/>
      <c r="HK461" s="14"/>
      <c r="HL461" s="14"/>
      <c r="HM461" s="14"/>
      <c r="HN461" s="14"/>
      <c r="HO461" s="14"/>
      <c r="HP461" s="14"/>
      <c r="HQ461" s="14"/>
      <c r="HR461" s="14"/>
      <c r="HS461" s="14"/>
      <c r="HT461" s="14"/>
    </row>
    <row r="462" spans="2:228" ht="15" customHeight="1" x14ac:dyDescent="0.2">
      <c r="B462" s="1374" t="s">
        <v>1860</v>
      </c>
      <c r="C462" s="1375"/>
      <c r="D462" s="1376"/>
      <c r="E462" s="1342">
        <f t="shared" si="67"/>
        <v>0</v>
      </c>
      <c r="F462" s="1344"/>
      <c r="G462" s="1702" t="s">
        <v>1942</v>
      </c>
      <c r="H462" s="1627"/>
      <c r="I462" s="1628"/>
      <c r="J462" s="1838"/>
      <c r="K462" s="1851"/>
      <c r="L462" s="2047"/>
      <c r="M462" s="2048"/>
      <c r="N462" s="2048"/>
      <c r="O462" s="2049"/>
      <c r="P462" s="1731"/>
      <c r="R462" s="18"/>
      <c r="S462" s="979">
        <f t="shared" si="65"/>
        <v>0</v>
      </c>
      <c r="T462" s="978">
        <f>LARGE($S$449:$S$471,14)</f>
        <v>0</v>
      </c>
      <c r="U462" s="684">
        <f t="shared" si="66"/>
        <v>0</v>
      </c>
      <c r="V462" s="979">
        <f t="shared" si="64"/>
        <v>0</v>
      </c>
      <c r="W462" s="18"/>
      <c r="X462" s="18"/>
      <c r="Y462" s="248"/>
      <c r="Z462" s="1111"/>
      <c r="AA462" s="1111"/>
      <c r="AB462" s="63"/>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4"/>
      <c r="BR462" s="14"/>
      <c r="BS462" s="14"/>
      <c r="BT462" s="14"/>
      <c r="BU462" s="14"/>
      <c r="BV462" s="14"/>
      <c r="BW462" s="14"/>
      <c r="BX462" s="14"/>
      <c r="BY462" s="14"/>
      <c r="BZ462" s="14"/>
      <c r="CA462" s="14"/>
      <c r="CB462" s="14"/>
      <c r="CC462" s="14"/>
      <c r="CD462" s="14"/>
      <c r="CE462" s="14"/>
      <c r="CF462" s="14"/>
      <c r="CG462" s="14"/>
      <c r="CH462" s="14"/>
      <c r="CI462" s="14"/>
      <c r="CJ462" s="14"/>
      <c r="CK462" s="14"/>
      <c r="CL462" s="14"/>
      <c r="CM462" s="14"/>
      <c r="CN462" s="14"/>
      <c r="CO462" s="14"/>
      <c r="CP462" s="14"/>
      <c r="CQ462" s="14"/>
      <c r="CR462" s="14"/>
      <c r="CS462" s="14"/>
      <c r="CT462" s="14"/>
      <c r="CU462" s="14"/>
      <c r="CV462" s="14"/>
      <c r="CW462" s="14"/>
      <c r="CX462" s="14"/>
      <c r="CY462" s="14"/>
      <c r="CZ462" s="14"/>
      <c r="DA462" s="14"/>
      <c r="DB462" s="14"/>
      <c r="DC462" s="14"/>
      <c r="DD462" s="14"/>
      <c r="DE462" s="14"/>
      <c r="DF462" s="14"/>
      <c r="DG462" s="14"/>
      <c r="DH462" s="14"/>
      <c r="DI462" s="14"/>
      <c r="DJ462" s="14"/>
      <c r="DK462" s="14"/>
      <c r="DL462" s="14"/>
      <c r="DM462" s="14"/>
      <c r="DN462" s="14"/>
      <c r="DO462" s="14"/>
      <c r="DP462" s="14"/>
      <c r="DQ462" s="14"/>
      <c r="DR462" s="14"/>
      <c r="DS462" s="14"/>
      <c r="DT462" s="14"/>
      <c r="DU462" s="14"/>
      <c r="DV462" s="14"/>
      <c r="DW462" s="14"/>
      <c r="DX462" s="14"/>
      <c r="DY462" s="14"/>
      <c r="DZ462" s="14"/>
      <c r="EA462" s="14"/>
      <c r="EB462" s="14"/>
      <c r="EC462" s="14"/>
      <c r="ED462" s="14"/>
      <c r="EE462" s="14"/>
      <c r="EF462" s="14"/>
      <c r="EG462" s="14"/>
      <c r="EH462" s="14"/>
      <c r="EI462" s="14"/>
      <c r="EJ462" s="14"/>
      <c r="EK462" s="14"/>
      <c r="EL462" s="14"/>
      <c r="EM462" s="14"/>
      <c r="EN462" s="14"/>
      <c r="EO462" s="14"/>
      <c r="EP462" s="14"/>
      <c r="EQ462" s="14"/>
      <c r="ER462" s="14"/>
      <c r="ES462" s="14"/>
      <c r="ET462" s="14"/>
      <c r="EU462" s="14"/>
      <c r="EV462" s="14"/>
      <c r="EW462" s="14"/>
      <c r="EX462" s="14"/>
      <c r="EY462" s="14"/>
      <c r="EZ462" s="14"/>
      <c r="FA462" s="14"/>
      <c r="FB462" s="14"/>
      <c r="FC462" s="14"/>
      <c r="FD462" s="14"/>
      <c r="FE462" s="14"/>
      <c r="FF462" s="14"/>
      <c r="FG462" s="14"/>
      <c r="FH462" s="14"/>
      <c r="FI462" s="14"/>
      <c r="FJ462" s="14"/>
      <c r="FK462" s="14"/>
      <c r="FL462" s="14"/>
      <c r="FM462" s="14"/>
      <c r="FN462" s="14"/>
      <c r="FO462" s="14"/>
      <c r="FP462" s="14"/>
      <c r="FQ462" s="14"/>
      <c r="FR462" s="14"/>
      <c r="FS462" s="14"/>
      <c r="FT462" s="14"/>
      <c r="FU462" s="14"/>
      <c r="FV462" s="14"/>
      <c r="FW462" s="14"/>
      <c r="FX462" s="14"/>
      <c r="FY462" s="14"/>
      <c r="FZ462" s="14"/>
      <c r="GA462" s="14"/>
      <c r="GB462" s="14"/>
      <c r="GC462" s="14"/>
      <c r="GD462" s="14"/>
      <c r="GE462" s="14"/>
      <c r="GF462" s="14"/>
      <c r="GG462" s="14"/>
      <c r="GH462" s="14"/>
      <c r="GI462" s="14"/>
      <c r="GJ462" s="14"/>
      <c r="GK462" s="14"/>
      <c r="GL462" s="14"/>
      <c r="GM462" s="14"/>
      <c r="GN462" s="14"/>
      <c r="GO462" s="14"/>
      <c r="GP462" s="14"/>
      <c r="GQ462" s="14"/>
      <c r="GR462" s="14"/>
      <c r="GS462" s="14"/>
      <c r="GT462" s="14"/>
      <c r="GU462" s="14"/>
      <c r="GV462" s="14"/>
      <c r="GW462" s="14"/>
      <c r="GX462" s="14"/>
      <c r="GY462" s="14"/>
      <c r="GZ462" s="14"/>
      <c r="HA462" s="14"/>
      <c r="HB462" s="14"/>
      <c r="HC462" s="14"/>
      <c r="HD462" s="14"/>
      <c r="HE462" s="14"/>
      <c r="HF462" s="14"/>
      <c r="HG462" s="14"/>
      <c r="HH462" s="14"/>
      <c r="HI462" s="14"/>
      <c r="HJ462" s="14"/>
      <c r="HK462" s="14"/>
      <c r="HL462" s="14"/>
      <c r="HM462" s="14"/>
      <c r="HN462" s="14"/>
      <c r="HO462" s="14"/>
      <c r="HP462" s="14"/>
      <c r="HQ462" s="14"/>
      <c r="HR462" s="14"/>
      <c r="HS462" s="14"/>
      <c r="HT462" s="14"/>
    </row>
    <row r="463" spans="2:228" ht="15" customHeight="1" x14ac:dyDescent="0.2">
      <c r="B463" s="1357" t="s">
        <v>1861</v>
      </c>
      <c r="C463" s="1358"/>
      <c r="D463" s="1359"/>
      <c r="E463" s="1342">
        <f t="shared" si="67"/>
        <v>0</v>
      </c>
      <c r="F463" s="1344"/>
      <c r="G463" s="1702" t="s">
        <v>1942</v>
      </c>
      <c r="H463" s="1627"/>
      <c r="I463" s="1628"/>
      <c r="J463" s="1838"/>
      <c r="K463" s="1838"/>
      <c r="L463" s="1030"/>
      <c r="M463" s="1031"/>
      <c r="N463" s="1031"/>
      <c r="O463" s="1032"/>
      <c r="P463" s="1631"/>
      <c r="R463" s="18"/>
      <c r="S463" s="979">
        <f t="shared" si="65"/>
        <v>0</v>
      </c>
      <c r="T463" s="978">
        <f>LARGE($S$449:$S$471,15)</f>
        <v>0</v>
      </c>
      <c r="U463" s="684">
        <f t="shared" si="66"/>
        <v>0</v>
      </c>
      <c r="V463" s="979">
        <f t="shared" si="64"/>
        <v>0</v>
      </c>
      <c r="W463" s="18"/>
      <c r="X463" s="18"/>
      <c r="Y463" s="248"/>
      <c r="Z463" s="1111"/>
      <c r="AA463" s="1111"/>
      <c r="AB463" s="63"/>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4"/>
      <c r="BR463" s="14"/>
      <c r="BS463" s="14"/>
      <c r="BT463" s="14"/>
      <c r="BU463" s="14"/>
      <c r="BV463" s="14"/>
      <c r="BW463" s="14"/>
      <c r="BX463" s="14"/>
      <c r="BY463" s="14"/>
      <c r="BZ463" s="14"/>
      <c r="CA463" s="14"/>
      <c r="CB463" s="14"/>
      <c r="CC463" s="14"/>
      <c r="CD463" s="14"/>
      <c r="CE463" s="14"/>
      <c r="CF463" s="14"/>
      <c r="CG463" s="14"/>
      <c r="CH463" s="14"/>
      <c r="CI463" s="14"/>
      <c r="CJ463" s="14"/>
      <c r="CK463" s="14"/>
      <c r="CL463" s="14"/>
      <c r="CM463" s="14"/>
      <c r="CN463" s="14"/>
      <c r="CO463" s="14"/>
      <c r="CP463" s="14"/>
      <c r="CQ463" s="14"/>
      <c r="CR463" s="14"/>
      <c r="CS463" s="14"/>
      <c r="CT463" s="14"/>
      <c r="CU463" s="14"/>
      <c r="CV463" s="14"/>
      <c r="CW463" s="14"/>
      <c r="CX463" s="14"/>
      <c r="CY463" s="14"/>
      <c r="CZ463" s="14"/>
      <c r="DA463" s="14"/>
      <c r="DB463" s="14"/>
      <c r="DC463" s="14"/>
      <c r="DD463" s="14"/>
      <c r="DE463" s="14"/>
      <c r="DF463" s="14"/>
      <c r="DG463" s="14"/>
      <c r="DH463" s="14"/>
      <c r="DI463" s="14"/>
      <c r="DJ463" s="14"/>
      <c r="DK463" s="14"/>
      <c r="DL463" s="14"/>
      <c r="DM463" s="14"/>
      <c r="DN463" s="14"/>
      <c r="DO463" s="14"/>
      <c r="DP463" s="14"/>
      <c r="DQ463" s="14"/>
      <c r="DR463" s="14"/>
      <c r="DS463" s="14"/>
      <c r="DT463" s="14"/>
      <c r="DU463" s="14"/>
      <c r="DV463" s="14"/>
      <c r="DW463" s="14"/>
      <c r="DX463" s="14"/>
      <c r="DY463" s="14"/>
      <c r="DZ463" s="14"/>
      <c r="EA463" s="14"/>
      <c r="EB463" s="14"/>
      <c r="EC463" s="14"/>
      <c r="ED463" s="14"/>
      <c r="EE463" s="14"/>
      <c r="EF463" s="14"/>
      <c r="EG463" s="14"/>
      <c r="EH463" s="14"/>
      <c r="EI463" s="14"/>
      <c r="EJ463" s="14"/>
      <c r="EK463" s="14"/>
      <c r="EL463" s="14"/>
      <c r="EM463" s="14"/>
      <c r="EN463" s="14"/>
      <c r="EO463" s="14"/>
      <c r="EP463" s="14"/>
      <c r="EQ463" s="14"/>
      <c r="ER463" s="14"/>
      <c r="ES463" s="14"/>
      <c r="ET463" s="14"/>
      <c r="EU463" s="14"/>
      <c r="EV463" s="14"/>
      <c r="EW463" s="14"/>
      <c r="EX463" s="14"/>
      <c r="EY463" s="14"/>
      <c r="EZ463" s="14"/>
      <c r="FA463" s="14"/>
      <c r="FB463" s="14"/>
      <c r="FC463" s="14"/>
      <c r="FD463" s="14"/>
      <c r="FE463" s="14"/>
      <c r="FF463" s="14"/>
      <c r="FG463" s="14"/>
      <c r="FH463" s="14"/>
      <c r="FI463" s="14"/>
      <c r="FJ463" s="14"/>
      <c r="FK463" s="14"/>
      <c r="FL463" s="14"/>
      <c r="FM463" s="14"/>
      <c r="FN463" s="14"/>
      <c r="FO463" s="14"/>
      <c r="FP463" s="14"/>
      <c r="FQ463" s="14"/>
      <c r="FR463" s="14"/>
      <c r="FS463" s="14"/>
      <c r="FT463" s="14"/>
      <c r="FU463" s="14"/>
      <c r="FV463" s="14"/>
      <c r="FW463" s="14"/>
      <c r="FX463" s="14"/>
      <c r="FY463" s="14"/>
      <c r="FZ463" s="14"/>
      <c r="GA463" s="14"/>
      <c r="GB463" s="14"/>
      <c r="GC463" s="14"/>
      <c r="GD463" s="14"/>
      <c r="GE463" s="14"/>
      <c r="GF463" s="14"/>
      <c r="GG463" s="14"/>
      <c r="GH463" s="14"/>
      <c r="GI463" s="14"/>
      <c r="GJ463" s="14"/>
      <c r="GK463" s="14"/>
      <c r="GL463" s="14"/>
      <c r="GM463" s="14"/>
      <c r="GN463" s="14"/>
      <c r="GO463" s="14"/>
      <c r="GP463" s="14"/>
      <c r="GQ463" s="14"/>
      <c r="GR463" s="14"/>
      <c r="GS463" s="14"/>
      <c r="GT463" s="14"/>
      <c r="GU463" s="14"/>
      <c r="GV463" s="14"/>
      <c r="GW463" s="14"/>
      <c r="GX463" s="14"/>
      <c r="GY463" s="14"/>
      <c r="GZ463" s="14"/>
      <c r="HA463" s="14"/>
      <c r="HB463" s="14"/>
      <c r="HC463" s="14"/>
      <c r="HD463" s="14"/>
      <c r="HE463" s="14"/>
      <c r="HF463" s="14"/>
      <c r="HG463" s="14"/>
      <c r="HH463" s="14"/>
      <c r="HI463" s="14"/>
      <c r="HJ463" s="14"/>
      <c r="HK463" s="14"/>
      <c r="HL463" s="14"/>
      <c r="HM463" s="14"/>
      <c r="HN463" s="14"/>
      <c r="HO463" s="14"/>
      <c r="HP463" s="14"/>
      <c r="HQ463" s="14"/>
      <c r="HR463" s="14"/>
      <c r="HS463" s="14"/>
      <c r="HT463" s="14"/>
    </row>
    <row r="464" spans="2:228" ht="15" customHeight="1" x14ac:dyDescent="0.2">
      <c r="B464" s="1357" t="s">
        <v>1447</v>
      </c>
      <c r="C464" s="1358"/>
      <c r="D464" s="1359"/>
      <c r="E464" s="1342">
        <f>P420</f>
        <v>0</v>
      </c>
      <c r="F464" s="1344"/>
      <c r="G464" s="1577"/>
      <c r="H464" s="1841"/>
      <c r="I464" s="1842"/>
      <c r="J464" s="1847">
        <f t="shared" ref="J464:J470" si="68">IF(AND(Y464&lt;0.01,Y464&gt;0),0.01,ROUND(Y464,2))</f>
        <v>0</v>
      </c>
      <c r="K464" s="1847"/>
      <c r="L464" s="1030"/>
      <c r="M464" s="1031"/>
      <c r="N464" s="1031"/>
      <c r="O464" s="1032"/>
      <c r="P464" s="1631"/>
      <c r="R464" s="18"/>
      <c r="S464" s="978">
        <f>IF(J464&gt;0,J464,E464)</f>
        <v>0</v>
      </c>
      <c r="T464" s="978">
        <f>LARGE($S$449:$S$471,16)</f>
        <v>0</v>
      </c>
      <c r="U464" s="684">
        <f t="shared" si="66"/>
        <v>0</v>
      </c>
      <c r="V464" s="979">
        <f t="shared" si="64"/>
        <v>0</v>
      </c>
      <c r="W464" s="18"/>
      <c r="X464" s="18"/>
      <c r="Y464" s="1110">
        <f t="shared" ref="Y464:Y470" si="69">G464*E464</f>
        <v>0</v>
      </c>
      <c r="Z464" s="18"/>
      <c r="AA464" s="18"/>
      <c r="AB464" s="63"/>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4"/>
      <c r="BR464" s="14"/>
      <c r="BS464" s="14"/>
      <c r="BT464" s="14"/>
      <c r="BU464" s="14"/>
      <c r="BV464" s="14"/>
      <c r="BW464" s="14"/>
      <c r="BX464" s="14"/>
      <c r="BY464" s="14"/>
      <c r="BZ464" s="14"/>
      <c r="CA464" s="14"/>
      <c r="CB464" s="14"/>
      <c r="CC464" s="14"/>
      <c r="CD464" s="14"/>
      <c r="CE464" s="14"/>
      <c r="CF464" s="14"/>
      <c r="CG464" s="14"/>
      <c r="CH464" s="14"/>
      <c r="CI464" s="14"/>
      <c r="CJ464" s="14"/>
      <c r="CK464" s="14"/>
      <c r="CL464" s="14"/>
      <c r="CM464" s="14"/>
      <c r="CN464" s="14"/>
      <c r="CO464" s="14"/>
      <c r="CP464" s="14"/>
      <c r="CQ464" s="14"/>
      <c r="CR464" s="14"/>
      <c r="CS464" s="14"/>
      <c r="CT464" s="14"/>
      <c r="CU464" s="14"/>
      <c r="CV464" s="14"/>
      <c r="CW464" s="14"/>
      <c r="CX464" s="14"/>
      <c r="CY464" s="14"/>
      <c r="CZ464" s="14"/>
      <c r="DA464" s="14"/>
      <c r="DB464" s="14"/>
      <c r="DC464" s="14"/>
      <c r="DD464" s="14"/>
      <c r="DE464" s="14"/>
      <c r="DF464" s="14"/>
      <c r="DG464" s="14"/>
      <c r="DH464" s="14"/>
      <c r="DI464" s="14"/>
      <c r="DJ464" s="14"/>
      <c r="DK464" s="14"/>
      <c r="DL464" s="14"/>
      <c r="DM464" s="14"/>
      <c r="DN464" s="14"/>
      <c r="DO464" s="14"/>
      <c r="DP464" s="14"/>
      <c r="DQ464" s="14"/>
      <c r="DR464" s="14"/>
      <c r="DS464" s="14"/>
      <c r="DT464" s="14"/>
      <c r="DU464" s="14"/>
      <c r="DV464" s="14"/>
      <c r="DW464" s="14"/>
      <c r="DX464" s="14"/>
      <c r="DY464" s="14"/>
      <c r="DZ464" s="14"/>
      <c r="EA464" s="14"/>
      <c r="EB464" s="14"/>
      <c r="EC464" s="14"/>
      <c r="ED464" s="14"/>
      <c r="EE464" s="14"/>
      <c r="EF464" s="14"/>
      <c r="EG464" s="14"/>
      <c r="EH464" s="14"/>
      <c r="EI464" s="14"/>
      <c r="EJ464" s="14"/>
      <c r="EK464" s="14"/>
      <c r="EL464" s="14"/>
      <c r="EM464" s="14"/>
      <c r="EN464" s="14"/>
      <c r="EO464" s="14"/>
      <c r="EP464" s="14"/>
      <c r="EQ464" s="14"/>
      <c r="ER464" s="14"/>
      <c r="ES464" s="14"/>
      <c r="ET464" s="14"/>
      <c r="EU464" s="14"/>
      <c r="EV464" s="14"/>
      <c r="EW464" s="14"/>
      <c r="EX464" s="14"/>
      <c r="EY464" s="14"/>
      <c r="EZ464" s="14"/>
      <c r="FA464" s="14"/>
      <c r="FB464" s="14"/>
      <c r="FC464" s="14"/>
      <c r="FD464" s="14"/>
      <c r="FE464" s="14"/>
      <c r="FF464" s="14"/>
      <c r="FG464" s="14"/>
      <c r="FH464" s="14"/>
      <c r="FI464" s="14"/>
      <c r="FJ464" s="14"/>
      <c r="FK464" s="14"/>
      <c r="FL464" s="14"/>
      <c r="FM464" s="14"/>
      <c r="FN464" s="14"/>
      <c r="FO464" s="14"/>
      <c r="FP464" s="14"/>
      <c r="FQ464" s="14"/>
      <c r="FR464" s="14"/>
      <c r="FS464" s="14"/>
      <c r="FT464" s="14"/>
      <c r="FU464" s="14"/>
      <c r="FV464" s="14"/>
      <c r="FW464" s="14"/>
      <c r="FX464" s="14"/>
      <c r="FY464" s="14"/>
      <c r="FZ464" s="14"/>
      <c r="GA464" s="14"/>
      <c r="GB464" s="14"/>
      <c r="GC464" s="14"/>
      <c r="GD464" s="14"/>
      <c r="GE464" s="14"/>
      <c r="GF464" s="14"/>
      <c r="GG464" s="14"/>
      <c r="GH464" s="14"/>
      <c r="GI464" s="14"/>
      <c r="GJ464" s="14"/>
      <c r="GK464" s="14"/>
      <c r="GL464" s="14"/>
      <c r="GM464" s="14"/>
      <c r="GN464" s="14"/>
      <c r="GO464" s="14"/>
      <c r="GP464" s="14"/>
      <c r="GQ464" s="14"/>
      <c r="GR464" s="14"/>
      <c r="GS464" s="14"/>
      <c r="GT464" s="14"/>
      <c r="GU464" s="14"/>
      <c r="GV464" s="14"/>
      <c r="GW464" s="14"/>
      <c r="GX464" s="14"/>
      <c r="GY464" s="14"/>
      <c r="GZ464" s="14"/>
      <c r="HA464" s="14"/>
      <c r="HB464" s="14"/>
      <c r="HC464" s="14"/>
      <c r="HD464" s="14"/>
      <c r="HE464" s="14"/>
      <c r="HF464" s="14"/>
      <c r="HG464" s="14"/>
      <c r="HH464" s="14"/>
      <c r="HI464" s="14"/>
      <c r="HJ464" s="14"/>
      <c r="HK464" s="14"/>
      <c r="HL464" s="14"/>
      <c r="HM464" s="14"/>
      <c r="HN464" s="14"/>
      <c r="HO464" s="14"/>
      <c r="HP464" s="14"/>
      <c r="HQ464" s="14"/>
      <c r="HR464" s="14"/>
      <c r="HS464" s="14"/>
      <c r="HT464" s="14"/>
    </row>
    <row r="465" spans="2:228" ht="15" customHeight="1" x14ac:dyDescent="0.2">
      <c r="B465" s="1357" t="s">
        <v>925</v>
      </c>
      <c r="C465" s="1358"/>
      <c r="D465" s="1359"/>
      <c r="E465" s="1342">
        <f>P421</f>
        <v>0</v>
      </c>
      <c r="F465" s="1344"/>
      <c r="G465" s="1577"/>
      <c r="H465" s="1841"/>
      <c r="I465" s="1842"/>
      <c r="J465" s="1847">
        <f t="shared" si="68"/>
        <v>0</v>
      </c>
      <c r="K465" s="1847"/>
      <c r="L465" s="1030"/>
      <c r="M465" s="1031"/>
      <c r="N465" s="1031"/>
      <c r="O465" s="1032"/>
      <c r="P465" s="1631"/>
      <c r="R465" s="18"/>
      <c r="S465" s="978">
        <f>IF(J465&gt;0,J465,E465)</f>
        <v>0</v>
      </c>
      <c r="T465" s="978">
        <f>LARGE($S$449:$S$471,17)</f>
        <v>0</v>
      </c>
      <c r="U465" s="684">
        <f t="shared" si="66"/>
        <v>0</v>
      </c>
      <c r="V465" s="979">
        <f t="shared" si="64"/>
        <v>0</v>
      </c>
      <c r="W465" s="18"/>
      <c r="X465" s="18"/>
      <c r="Y465" s="1110">
        <f t="shared" si="69"/>
        <v>0</v>
      </c>
      <c r="Z465" s="18"/>
      <c r="AA465" s="18"/>
      <c r="AB465" s="63"/>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4"/>
      <c r="BR465" s="14"/>
      <c r="BS465" s="14"/>
      <c r="BT465" s="14"/>
      <c r="BU465" s="14"/>
      <c r="BV465" s="14"/>
      <c r="BW465" s="14"/>
      <c r="BX465" s="14"/>
      <c r="BY465" s="14"/>
      <c r="BZ465" s="14"/>
      <c r="CA465" s="14"/>
      <c r="CB465" s="14"/>
      <c r="CC465" s="14"/>
      <c r="CD465" s="14"/>
      <c r="CE465" s="14"/>
      <c r="CF465" s="14"/>
      <c r="CG465" s="14"/>
      <c r="CH465" s="14"/>
      <c r="CI465" s="14"/>
      <c r="CJ465" s="14"/>
      <c r="CK465" s="14"/>
      <c r="CL465" s="14"/>
      <c r="CM465" s="14"/>
      <c r="CN465" s="14"/>
      <c r="CO465" s="14"/>
      <c r="CP465" s="14"/>
      <c r="CQ465" s="14"/>
      <c r="CR465" s="14"/>
      <c r="CS465" s="14"/>
      <c r="CT465" s="14"/>
      <c r="CU465" s="14"/>
      <c r="CV465" s="14"/>
      <c r="CW465" s="14"/>
      <c r="CX465" s="14"/>
      <c r="CY465" s="14"/>
      <c r="CZ465" s="14"/>
      <c r="DA465" s="14"/>
      <c r="DB465" s="14"/>
      <c r="DC465" s="14"/>
      <c r="DD465" s="14"/>
      <c r="DE465" s="14"/>
      <c r="DF465" s="14"/>
      <c r="DG465" s="14"/>
      <c r="DH465" s="14"/>
      <c r="DI465" s="14"/>
      <c r="DJ465" s="14"/>
      <c r="DK465" s="14"/>
      <c r="DL465" s="14"/>
      <c r="DM465" s="14"/>
      <c r="DN465" s="14"/>
      <c r="DO465" s="14"/>
      <c r="DP465" s="14"/>
      <c r="DQ465" s="14"/>
      <c r="DR465" s="14"/>
      <c r="DS465" s="14"/>
      <c r="DT465" s="14"/>
      <c r="DU465" s="14"/>
      <c r="DV465" s="14"/>
      <c r="DW465" s="14"/>
      <c r="DX465" s="14"/>
      <c r="DY465" s="14"/>
      <c r="DZ465" s="14"/>
      <c r="EA465" s="14"/>
      <c r="EB465" s="14"/>
      <c r="EC465" s="14"/>
      <c r="ED465" s="14"/>
      <c r="EE465" s="14"/>
      <c r="EF465" s="14"/>
      <c r="EG465" s="14"/>
      <c r="EH465" s="14"/>
      <c r="EI465" s="14"/>
      <c r="EJ465" s="14"/>
      <c r="EK465" s="14"/>
      <c r="EL465" s="14"/>
      <c r="EM465" s="14"/>
      <c r="EN465" s="14"/>
      <c r="EO465" s="14"/>
      <c r="EP465" s="14"/>
      <c r="EQ465" s="14"/>
      <c r="ER465" s="14"/>
      <c r="ES465" s="14"/>
      <c r="ET465" s="14"/>
      <c r="EU465" s="14"/>
      <c r="EV465" s="14"/>
      <c r="EW465" s="14"/>
      <c r="EX465" s="14"/>
      <c r="EY465" s="14"/>
      <c r="EZ465" s="14"/>
      <c r="FA465" s="14"/>
      <c r="FB465" s="14"/>
      <c r="FC465" s="14"/>
      <c r="FD465" s="14"/>
      <c r="FE465" s="14"/>
      <c r="FF465" s="14"/>
      <c r="FG465" s="14"/>
      <c r="FH465" s="14"/>
      <c r="FI465" s="14"/>
      <c r="FJ465" s="14"/>
      <c r="FK465" s="14"/>
      <c r="FL465" s="14"/>
      <c r="FM465" s="14"/>
      <c r="FN465" s="14"/>
      <c r="FO465" s="14"/>
      <c r="FP465" s="14"/>
      <c r="FQ465" s="14"/>
      <c r="FR465" s="14"/>
      <c r="FS465" s="14"/>
      <c r="FT465" s="14"/>
      <c r="FU465" s="14"/>
      <c r="FV465" s="14"/>
      <c r="FW465" s="14"/>
      <c r="FX465" s="14"/>
      <c r="FY465" s="14"/>
      <c r="FZ465" s="14"/>
      <c r="GA465" s="14"/>
      <c r="GB465" s="14"/>
      <c r="GC465" s="14"/>
      <c r="GD465" s="14"/>
      <c r="GE465" s="14"/>
      <c r="GF465" s="14"/>
      <c r="GG465" s="14"/>
      <c r="GH465" s="14"/>
      <c r="GI465" s="14"/>
      <c r="GJ465" s="14"/>
      <c r="GK465" s="14"/>
      <c r="GL465" s="14"/>
      <c r="GM465" s="14"/>
      <c r="GN465" s="14"/>
      <c r="GO465" s="14"/>
      <c r="GP465" s="14"/>
      <c r="GQ465" s="14"/>
      <c r="GR465" s="14"/>
      <c r="GS465" s="14"/>
      <c r="GT465" s="14"/>
      <c r="GU465" s="14"/>
      <c r="GV465" s="14"/>
      <c r="GW465" s="14"/>
      <c r="GX465" s="14"/>
      <c r="GY465" s="14"/>
      <c r="GZ465" s="14"/>
      <c r="HA465" s="14"/>
      <c r="HB465" s="14"/>
      <c r="HC465" s="14"/>
      <c r="HD465" s="14"/>
      <c r="HE465" s="14"/>
      <c r="HF465" s="14"/>
      <c r="HG465" s="14"/>
      <c r="HH465" s="14"/>
      <c r="HI465" s="14"/>
      <c r="HJ465" s="14"/>
      <c r="HK465" s="14"/>
      <c r="HL465" s="14"/>
      <c r="HM465" s="14"/>
      <c r="HN465" s="14"/>
      <c r="HO465" s="14"/>
      <c r="HP465" s="14"/>
      <c r="HQ465" s="14"/>
      <c r="HR465" s="14"/>
      <c r="HS465" s="14"/>
      <c r="HT465" s="14"/>
    </row>
    <row r="466" spans="2:228" ht="15" customHeight="1" x14ac:dyDescent="0.2">
      <c r="B466" s="1357" t="s">
        <v>926</v>
      </c>
      <c r="C466" s="1358"/>
      <c r="D466" s="1359"/>
      <c r="E466" s="1342">
        <f>P427</f>
        <v>0</v>
      </c>
      <c r="F466" s="1344"/>
      <c r="G466" s="1577"/>
      <c r="H466" s="1841"/>
      <c r="I466" s="1842"/>
      <c r="J466" s="1847">
        <f t="shared" si="68"/>
        <v>0</v>
      </c>
      <c r="K466" s="1847"/>
      <c r="L466" s="1760" t="str">
        <f>IF(AND(P427&gt;0,W457&gt;0),"The worker has motor loss impairment. Additional impairment values are not allowed for chronic condition, a walking/standing limitation, reduced range of motion, or strength loss.","")</f>
        <v/>
      </c>
      <c r="M466" s="1761"/>
      <c r="N466" s="1761"/>
      <c r="O466" s="1762"/>
      <c r="P466" s="1631"/>
      <c r="R466" s="18"/>
      <c r="S466" s="978">
        <f t="shared" ref="S466:S471" si="70">IF(J466&gt;0,J466,E466)</f>
        <v>0</v>
      </c>
      <c r="T466" s="978">
        <f>LARGE($S$449:$S$471,18)</f>
        <v>0</v>
      </c>
      <c r="U466" s="684">
        <f t="shared" si="66"/>
        <v>0</v>
      </c>
      <c r="V466" s="979">
        <f t="shared" si="64"/>
        <v>0</v>
      </c>
      <c r="W466" s="18"/>
      <c r="X466" s="18"/>
      <c r="Y466" s="1110">
        <f t="shared" si="69"/>
        <v>0</v>
      </c>
      <c r="Z466" s="18"/>
      <c r="AA466" s="18"/>
      <c r="AB466" s="63"/>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4"/>
      <c r="BR466" s="14"/>
      <c r="BS466" s="14"/>
      <c r="BT466" s="14"/>
      <c r="BU466" s="14"/>
      <c r="BV466" s="14"/>
      <c r="BW466" s="14"/>
      <c r="BX466" s="14"/>
      <c r="BY466" s="14"/>
      <c r="BZ466" s="14"/>
      <c r="CA466" s="14"/>
      <c r="CB466" s="14"/>
      <c r="CC466" s="14"/>
      <c r="CD466" s="14"/>
      <c r="CE466" s="14"/>
      <c r="CF466" s="14"/>
      <c r="CG466" s="14"/>
      <c r="CH466" s="14"/>
      <c r="CI466" s="14"/>
      <c r="CJ466" s="14"/>
      <c r="CK466" s="14"/>
      <c r="CL466" s="14"/>
      <c r="CM466" s="14"/>
      <c r="CN466" s="14"/>
      <c r="CO466" s="14"/>
      <c r="CP466" s="14"/>
      <c r="CQ466" s="14"/>
      <c r="CR466" s="14"/>
      <c r="CS466" s="14"/>
      <c r="CT466" s="14"/>
      <c r="CU466" s="14"/>
      <c r="CV466" s="14"/>
      <c r="CW466" s="14"/>
      <c r="CX466" s="14"/>
      <c r="CY466" s="14"/>
      <c r="CZ466" s="14"/>
      <c r="DA466" s="14"/>
      <c r="DB466" s="14"/>
      <c r="DC466" s="14"/>
      <c r="DD466" s="14"/>
      <c r="DE466" s="14"/>
      <c r="DF466" s="14"/>
      <c r="DG466" s="14"/>
      <c r="DH466" s="14"/>
      <c r="DI466" s="14"/>
      <c r="DJ466" s="14"/>
      <c r="DK466" s="14"/>
      <c r="DL466" s="14"/>
      <c r="DM466" s="14"/>
      <c r="DN466" s="14"/>
      <c r="DO466" s="14"/>
      <c r="DP466" s="14"/>
      <c r="DQ466" s="14"/>
      <c r="DR466" s="14"/>
      <c r="DS466" s="14"/>
      <c r="DT466" s="14"/>
      <c r="DU466" s="14"/>
      <c r="DV466" s="14"/>
      <c r="DW466" s="14"/>
      <c r="DX466" s="14"/>
      <c r="DY466" s="14"/>
      <c r="DZ466" s="14"/>
      <c r="EA466" s="14"/>
      <c r="EB466" s="14"/>
      <c r="EC466" s="14"/>
      <c r="ED466" s="14"/>
      <c r="EE466" s="14"/>
      <c r="EF466" s="14"/>
      <c r="EG466" s="14"/>
      <c r="EH466" s="14"/>
      <c r="EI466" s="14"/>
      <c r="EJ466" s="14"/>
      <c r="EK466" s="14"/>
      <c r="EL466" s="14"/>
      <c r="EM466" s="14"/>
      <c r="EN466" s="14"/>
      <c r="EO466" s="14"/>
      <c r="EP466" s="14"/>
      <c r="EQ466" s="14"/>
      <c r="ER466" s="14"/>
      <c r="ES466" s="14"/>
      <c r="ET466" s="14"/>
      <c r="EU466" s="14"/>
      <c r="EV466" s="14"/>
      <c r="EW466" s="14"/>
      <c r="EX466" s="14"/>
      <c r="EY466" s="14"/>
      <c r="EZ466" s="14"/>
      <c r="FA466" s="14"/>
      <c r="FB466" s="14"/>
      <c r="FC466" s="14"/>
      <c r="FD466" s="14"/>
      <c r="FE466" s="14"/>
      <c r="FF466" s="14"/>
      <c r="FG466" s="14"/>
      <c r="FH466" s="14"/>
      <c r="FI466" s="14"/>
      <c r="FJ466" s="14"/>
      <c r="FK466" s="14"/>
      <c r="FL466" s="14"/>
      <c r="FM466" s="14"/>
      <c r="FN466" s="14"/>
      <c r="FO466" s="14"/>
      <c r="FP466" s="14"/>
      <c r="FQ466" s="14"/>
      <c r="FR466" s="14"/>
      <c r="FS466" s="14"/>
      <c r="FT466" s="14"/>
      <c r="FU466" s="14"/>
      <c r="FV466" s="14"/>
      <c r="FW466" s="14"/>
      <c r="FX466" s="14"/>
      <c r="FY466" s="14"/>
      <c r="FZ466" s="14"/>
      <c r="GA466" s="14"/>
      <c r="GB466" s="14"/>
      <c r="GC466" s="14"/>
      <c r="GD466" s="14"/>
      <c r="GE466" s="14"/>
      <c r="GF466" s="14"/>
      <c r="GG466" s="14"/>
      <c r="GH466" s="14"/>
      <c r="GI466" s="14"/>
      <c r="GJ466" s="14"/>
      <c r="GK466" s="14"/>
      <c r="GL466" s="14"/>
      <c r="GM466" s="14"/>
      <c r="GN466" s="14"/>
      <c r="GO466" s="14"/>
      <c r="GP466" s="14"/>
      <c r="GQ466" s="14"/>
      <c r="GR466" s="14"/>
      <c r="GS466" s="14"/>
      <c r="GT466" s="14"/>
      <c r="GU466" s="14"/>
      <c r="GV466" s="14"/>
      <c r="GW466" s="14"/>
      <c r="GX466" s="14"/>
      <c r="GY466" s="14"/>
      <c r="GZ466" s="14"/>
      <c r="HA466" s="14"/>
      <c r="HB466" s="14"/>
      <c r="HC466" s="14"/>
      <c r="HD466" s="14"/>
      <c r="HE466" s="14"/>
      <c r="HF466" s="14"/>
      <c r="HG466" s="14"/>
      <c r="HH466" s="14"/>
      <c r="HI466" s="14"/>
      <c r="HJ466" s="14"/>
      <c r="HK466" s="14"/>
      <c r="HL466" s="14"/>
      <c r="HM466" s="14"/>
      <c r="HN466" s="14"/>
      <c r="HO466" s="14"/>
      <c r="HP466" s="14"/>
      <c r="HQ466" s="14"/>
      <c r="HR466" s="14"/>
      <c r="HS466" s="14"/>
      <c r="HT466" s="14"/>
    </row>
    <row r="467" spans="2:228" ht="15" customHeight="1" x14ac:dyDescent="0.2">
      <c r="B467" s="1357" t="s">
        <v>1449</v>
      </c>
      <c r="C467" s="1358"/>
      <c r="D467" s="1359"/>
      <c r="E467" s="1342">
        <f>P430</f>
        <v>0</v>
      </c>
      <c r="F467" s="1344"/>
      <c r="G467" s="1577"/>
      <c r="H467" s="1841"/>
      <c r="I467" s="1842"/>
      <c r="J467" s="1847">
        <f t="shared" si="68"/>
        <v>0</v>
      </c>
      <c r="K467" s="1847"/>
      <c r="L467" s="1760"/>
      <c r="M467" s="1761"/>
      <c r="N467" s="1761"/>
      <c r="O467" s="1762"/>
      <c r="P467" s="1631"/>
      <c r="R467" s="18"/>
      <c r="S467" s="978">
        <f t="shared" si="70"/>
        <v>0</v>
      </c>
      <c r="T467" s="978">
        <f>LARGE($S$449:$S$471,19)</f>
        <v>0</v>
      </c>
      <c r="U467" s="684">
        <f t="shared" si="66"/>
        <v>0</v>
      </c>
      <c r="V467" s="979">
        <f t="shared" si="64"/>
        <v>0</v>
      </c>
      <c r="W467" s="63"/>
      <c r="X467" s="63"/>
      <c r="Y467" s="1110">
        <f t="shared" si="69"/>
        <v>0</v>
      </c>
      <c r="Z467" s="63"/>
      <c r="AA467" s="18"/>
      <c r="AB467" s="63"/>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4"/>
      <c r="BR467" s="14"/>
      <c r="BS467" s="14"/>
      <c r="BT467" s="14"/>
      <c r="BU467" s="14"/>
      <c r="BV467" s="14"/>
      <c r="BW467" s="14"/>
      <c r="BX467" s="14"/>
      <c r="BY467" s="14"/>
      <c r="BZ467" s="14"/>
      <c r="CA467" s="14"/>
      <c r="CB467" s="14"/>
      <c r="CC467" s="14"/>
      <c r="CD467" s="14"/>
      <c r="CE467" s="14"/>
      <c r="CF467" s="14"/>
      <c r="CG467" s="14"/>
      <c r="CH467" s="14"/>
      <c r="CI467" s="14"/>
      <c r="CJ467" s="14"/>
      <c r="CK467" s="14"/>
      <c r="CL467" s="14"/>
      <c r="CM467" s="14"/>
      <c r="CN467" s="14"/>
      <c r="CO467" s="14"/>
      <c r="CP467" s="14"/>
      <c r="CQ467" s="14"/>
      <c r="CR467" s="14"/>
      <c r="CS467" s="14"/>
      <c r="CT467" s="14"/>
      <c r="CU467" s="14"/>
      <c r="CV467" s="14"/>
      <c r="CW467" s="14"/>
      <c r="CX467" s="14"/>
      <c r="CY467" s="14"/>
      <c r="CZ467" s="14"/>
      <c r="DA467" s="14"/>
      <c r="DB467" s="14"/>
      <c r="DC467" s="14"/>
      <c r="DD467" s="14"/>
      <c r="DE467" s="14"/>
      <c r="DF467" s="14"/>
      <c r="DG467" s="14"/>
      <c r="DH467" s="14"/>
      <c r="DI467" s="14"/>
      <c r="DJ467" s="14"/>
      <c r="DK467" s="14"/>
      <c r="DL467" s="14"/>
      <c r="DM467" s="14"/>
      <c r="DN467" s="14"/>
      <c r="DO467" s="14"/>
      <c r="DP467" s="14"/>
      <c r="DQ467" s="14"/>
      <c r="DR467" s="14"/>
      <c r="DS467" s="14"/>
      <c r="DT467" s="14"/>
      <c r="DU467" s="14"/>
      <c r="DV467" s="14"/>
      <c r="DW467" s="14"/>
      <c r="DX467" s="14"/>
      <c r="DY467" s="14"/>
      <c r="DZ467" s="14"/>
      <c r="EA467" s="14"/>
      <c r="EB467" s="14"/>
      <c r="EC467" s="14"/>
      <c r="ED467" s="14"/>
      <c r="EE467" s="14"/>
      <c r="EF467" s="14"/>
      <c r="EG467" s="14"/>
      <c r="EH467" s="14"/>
      <c r="EI467" s="14"/>
      <c r="EJ467" s="14"/>
      <c r="EK467" s="14"/>
      <c r="EL467" s="14"/>
      <c r="EM467" s="14"/>
      <c r="EN467" s="14"/>
      <c r="EO467" s="14"/>
      <c r="EP467" s="14"/>
      <c r="EQ467" s="14"/>
      <c r="ER467" s="14"/>
      <c r="ES467" s="14"/>
      <c r="ET467" s="14"/>
      <c r="EU467" s="14"/>
      <c r="EV467" s="14"/>
      <c r="EW467" s="14"/>
      <c r="EX467" s="14"/>
      <c r="EY467" s="14"/>
      <c r="EZ467" s="14"/>
      <c r="FA467" s="14"/>
      <c r="FB467" s="14"/>
      <c r="FC467" s="14"/>
      <c r="FD467" s="14"/>
      <c r="FE467" s="14"/>
      <c r="FF467" s="14"/>
      <c r="FG467" s="14"/>
      <c r="FH467" s="14"/>
      <c r="FI467" s="14"/>
      <c r="FJ467" s="14"/>
      <c r="FK467" s="14"/>
      <c r="FL467" s="14"/>
      <c r="FM467" s="14"/>
      <c r="FN467" s="14"/>
      <c r="FO467" s="14"/>
      <c r="FP467" s="14"/>
      <c r="FQ467" s="14"/>
      <c r="FR467" s="14"/>
      <c r="FS467" s="14"/>
      <c r="FT467" s="14"/>
      <c r="FU467" s="14"/>
      <c r="FV467" s="14"/>
      <c r="FW467" s="14"/>
      <c r="FX467" s="14"/>
      <c r="FY467" s="14"/>
      <c r="FZ467" s="14"/>
      <c r="GA467" s="14"/>
      <c r="GB467" s="14"/>
      <c r="GC467" s="14"/>
      <c r="GD467" s="14"/>
      <c r="GE467" s="14"/>
      <c r="GF467" s="14"/>
      <c r="GG467" s="14"/>
      <c r="GH467" s="14"/>
      <c r="GI467" s="14"/>
      <c r="GJ467" s="14"/>
      <c r="GK467" s="14"/>
      <c r="GL467" s="14"/>
      <c r="GM467" s="14"/>
      <c r="GN467" s="14"/>
      <c r="GO467" s="14"/>
      <c r="GP467" s="14"/>
      <c r="GQ467" s="14"/>
      <c r="GR467" s="14"/>
      <c r="GS467" s="14"/>
      <c r="GT467" s="14"/>
      <c r="GU467" s="14"/>
      <c r="GV467" s="14"/>
      <c r="GW467" s="14"/>
      <c r="GX467" s="14"/>
      <c r="GY467" s="14"/>
      <c r="GZ467" s="14"/>
      <c r="HA467" s="14"/>
      <c r="HB467" s="14"/>
      <c r="HC467" s="14"/>
      <c r="HD467" s="14"/>
      <c r="HE467" s="14"/>
      <c r="HF467" s="14"/>
      <c r="HG467" s="14"/>
      <c r="HH467" s="14"/>
      <c r="HI467" s="14"/>
      <c r="HJ467" s="14"/>
      <c r="HK467" s="14"/>
      <c r="HL467" s="14"/>
      <c r="HM467" s="14"/>
      <c r="HN467" s="14"/>
      <c r="HO467" s="14"/>
      <c r="HP467" s="14"/>
      <c r="HQ467" s="14"/>
      <c r="HR467" s="14"/>
      <c r="HS467" s="14"/>
      <c r="HT467" s="14"/>
    </row>
    <row r="468" spans="2:228" ht="15" customHeight="1" x14ac:dyDescent="0.2">
      <c r="B468" s="1357" t="s">
        <v>1450</v>
      </c>
      <c r="C468" s="1358"/>
      <c r="D468" s="1359"/>
      <c r="E468" s="1342">
        <f>IF(P427&gt;0,0,P439)</f>
        <v>0</v>
      </c>
      <c r="F468" s="1344"/>
      <c r="G468" s="1577"/>
      <c r="H468" s="1841"/>
      <c r="I468" s="1842"/>
      <c r="J468" s="1847">
        <f t="shared" si="68"/>
        <v>0</v>
      </c>
      <c r="K468" s="1847"/>
      <c r="L468" s="1760"/>
      <c r="M468" s="1761"/>
      <c r="N468" s="1761"/>
      <c r="O468" s="1762"/>
      <c r="P468" s="1631"/>
      <c r="R468" s="18"/>
      <c r="S468" s="978">
        <f t="shared" si="70"/>
        <v>0</v>
      </c>
      <c r="T468" s="978">
        <f>LARGE($S$449:$S$471,20)</f>
        <v>0</v>
      </c>
      <c r="U468" s="684">
        <f t="shared" si="66"/>
        <v>0</v>
      </c>
      <c r="V468" s="979">
        <f t="shared" si="64"/>
        <v>0</v>
      </c>
      <c r="W468" s="18"/>
      <c r="X468" s="18"/>
      <c r="Y468" s="1110">
        <f t="shared" si="69"/>
        <v>0</v>
      </c>
      <c r="Z468" s="63"/>
      <c r="AA468" s="18"/>
      <c r="AB468" s="63"/>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4"/>
      <c r="BR468" s="14"/>
      <c r="BS468" s="14"/>
      <c r="BT468" s="14"/>
      <c r="BU468" s="14"/>
      <c r="BV468" s="14"/>
      <c r="BW468" s="14"/>
      <c r="BX468" s="14"/>
      <c r="BY468" s="14"/>
      <c r="BZ468" s="14"/>
      <c r="CA468" s="14"/>
      <c r="CB468" s="14"/>
      <c r="CC468" s="14"/>
      <c r="CD468" s="14"/>
      <c r="CE468" s="14"/>
      <c r="CF468" s="14"/>
      <c r="CG468" s="14"/>
      <c r="CH468" s="14"/>
      <c r="CI468" s="14"/>
      <c r="CJ468" s="14"/>
      <c r="CK468" s="14"/>
      <c r="CL468" s="14"/>
      <c r="CM468" s="14"/>
      <c r="CN468" s="14"/>
      <c r="CO468" s="14"/>
      <c r="CP468" s="14"/>
      <c r="CQ468" s="14"/>
      <c r="CR468" s="14"/>
      <c r="CS468" s="14"/>
      <c r="CT468" s="14"/>
      <c r="CU468" s="14"/>
      <c r="CV468" s="14"/>
      <c r="CW468" s="14"/>
      <c r="CX468" s="14"/>
      <c r="CY468" s="14"/>
      <c r="CZ468" s="14"/>
      <c r="DA468" s="14"/>
      <c r="DB468" s="14"/>
      <c r="DC468" s="14"/>
      <c r="DD468" s="14"/>
      <c r="DE468" s="14"/>
      <c r="DF468" s="14"/>
      <c r="DG468" s="14"/>
      <c r="DH468" s="14"/>
      <c r="DI468" s="14"/>
      <c r="DJ468" s="14"/>
      <c r="DK468" s="14"/>
      <c r="DL468" s="14"/>
      <c r="DM468" s="14"/>
      <c r="DN468" s="14"/>
      <c r="DO468" s="14"/>
      <c r="DP468" s="14"/>
      <c r="DQ468" s="14"/>
      <c r="DR468" s="14"/>
      <c r="DS468" s="14"/>
      <c r="DT468" s="14"/>
      <c r="DU468" s="14"/>
      <c r="DV468" s="14"/>
      <c r="DW468" s="14"/>
      <c r="DX468" s="14"/>
      <c r="DY468" s="14"/>
      <c r="DZ468" s="14"/>
      <c r="EA468" s="14"/>
      <c r="EB468" s="14"/>
      <c r="EC468" s="14"/>
      <c r="ED468" s="14"/>
      <c r="EE468" s="14"/>
      <c r="EF468" s="14"/>
      <c r="EG468" s="14"/>
      <c r="EH468" s="14"/>
      <c r="EI468" s="14"/>
      <c r="EJ468" s="14"/>
      <c r="EK468" s="14"/>
      <c r="EL468" s="14"/>
      <c r="EM468" s="14"/>
      <c r="EN468" s="14"/>
      <c r="EO468" s="14"/>
      <c r="EP468" s="14"/>
      <c r="EQ468" s="14"/>
      <c r="ER468" s="14"/>
      <c r="ES468" s="14"/>
      <c r="ET468" s="14"/>
      <c r="EU468" s="14"/>
      <c r="EV468" s="14"/>
      <c r="EW468" s="14"/>
      <c r="EX468" s="14"/>
      <c r="EY468" s="14"/>
      <c r="EZ468" s="14"/>
      <c r="FA468" s="14"/>
      <c r="FB468" s="14"/>
      <c r="FC468" s="14"/>
      <c r="FD468" s="14"/>
      <c r="FE468" s="14"/>
      <c r="FF468" s="14"/>
      <c r="FG468" s="14"/>
      <c r="FH468" s="14"/>
      <c r="FI468" s="14"/>
      <c r="FJ468" s="14"/>
      <c r="FK468" s="14"/>
      <c r="FL468" s="14"/>
      <c r="FM468" s="14"/>
      <c r="FN468" s="14"/>
      <c r="FO468" s="14"/>
      <c r="FP468" s="14"/>
      <c r="FQ468" s="14"/>
      <c r="FR468" s="14"/>
      <c r="FS468" s="14"/>
      <c r="FT468" s="14"/>
      <c r="FU468" s="14"/>
      <c r="FV468" s="14"/>
      <c r="FW468" s="14"/>
      <c r="FX468" s="14"/>
      <c r="FY468" s="14"/>
      <c r="FZ468" s="14"/>
      <c r="GA468" s="14"/>
      <c r="GB468" s="14"/>
      <c r="GC468" s="14"/>
      <c r="GD468" s="14"/>
      <c r="GE468" s="14"/>
      <c r="GF468" s="14"/>
      <c r="GG468" s="14"/>
      <c r="GH468" s="14"/>
      <c r="GI468" s="14"/>
      <c r="GJ468" s="14"/>
      <c r="GK468" s="14"/>
      <c r="GL468" s="14"/>
      <c r="GM468" s="14"/>
      <c r="GN468" s="14"/>
      <c r="GO468" s="14"/>
      <c r="GP468" s="14"/>
      <c r="GQ468" s="14"/>
      <c r="GR468" s="14"/>
      <c r="GS468" s="14"/>
      <c r="GT468" s="14"/>
      <c r="GU468" s="14"/>
      <c r="GV468" s="14"/>
      <c r="GW468" s="14"/>
      <c r="GX468" s="14"/>
      <c r="GY468" s="14"/>
      <c r="GZ468" s="14"/>
      <c r="HA468" s="14"/>
      <c r="HB468" s="14"/>
      <c r="HC468" s="14"/>
      <c r="HD468" s="14"/>
      <c r="HE468" s="14"/>
      <c r="HF468" s="14"/>
      <c r="HG468" s="14"/>
      <c r="HH468" s="14"/>
      <c r="HI468" s="14"/>
      <c r="HJ468" s="14"/>
      <c r="HK468" s="14"/>
      <c r="HL468" s="14"/>
      <c r="HM468" s="14"/>
      <c r="HN468" s="14"/>
      <c r="HO468" s="14"/>
      <c r="HP468" s="14"/>
      <c r="HQ468" s="14"/>
      <c r="HR468" s="14"/>
      <c r="HS468" s="14"/>
      <c r="HT468" s="14"/>
    </row>
    <row r="469" spans="2:228" ht="15" customHeight="1" x14ac:dyDescent="0.2">
      <c r="B469" s="1357" t="s">
        <v>596</v>
      </c>
      <c r="C469" s="1358"/>
      <c r="D469" s="1359"/>
      <c r="E469" s="1342">
        <f>IF(P427&gt;0,0,P443)</f>
        <v>0</v>
      </c>
      <c r="F469" s="1344"/>
      <c r="G469" s="1577"/>
      <c r="H469" s="1841"/>
      <c r="I469" s="1842"/>
      <c r="J469" s="1847">
        <f t="shared" si="68"/>
        <v>0</v>
      </c>
      <c r="K469" s="1847"/>
      <c r="L469" s="1760"/>
      <c r="M469" s="1761"/>
      <c r="N469" s="1761"/>
      <c r="O469" s="1762"/>
      <c r="P469" s="1631"/>
      <c r="R469" s="18"/>
      <c r="S469" s="978">
        <f t="shared" si="70"/>
        <v>0</v>
      </c>
      <c r="T469" s="978">
        <f>LARGE($S$449:$S$471,21)</f>
        <v>0</v>
      </c>
      <c r="U469" s="684">
        <f t="shared" si="66"/>
        <v>0</v>
      </c>
      <c r="V469" s="979">
        <f t="shared" si="64"/>
        <v>0</v>
      </c>
      <c r="W469" s="63"/>
      <c r="X469" s="63"/>
      <c r="Y469" s="1110">
        <f t="shared" si="69"/>
        <v>0</v>
      </c>
      <c r="Z469" s="63"/>
      <c r="AA469" s="18"/>
      <c r="AB469" s="63"/>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4"/>
      <c r="BR469" s="14"/>
      <c r="BS469" s="14"/>
      <c r="BT469" s="14"/>
      <c r="BU469" s="14"/>
      <c r="BV469" s="14"/>
      <c r="BW469" s="14"/>
      <c r="BX469" s="14"/>
      <c r="BY469" s="14"/>
      <c r="BZ469" s="14"/>
      <c r="CA469" s="14"/>
      <c r="CB469" s="14"/>
      <c r="CC469" s="14"/>
      <c r="CD469" s="14"/>
      <c r="CE469" s="14"/>
      <c r="CF469" s="14"/>
      <c r="CG469" s="14"/>
      <c r="CH469" s="14"/>
      <c r="CI469" s="14"/>
      <c r="CJ469" s="14"/>
      <c r="CK469" s="14"/>
      <c r="CL469" s="14"/>
      <c r="CM469" s="14"/>
      <c r="CN469" s="14"/>
      <c r="CO469" s="14"/>
      <c r="CP469" s="14"/>
      <c r="CQ469" s="14"/>
      <c r="CR469" s="14"/>
      <c r="CS469" s="14"/>
      <c r="CT469" s="14"/>
      <c r="CU469" s="14"/>
      <c r="CV469" s="14"/>
      <c r="CW469" s="14"/>
      <c r="CX469" s="14"/>
      <c r="CY469" s="14"/>
      <c r="CZ469" s="14"/>
      <c r="DA469" s="14"/>
      <c r="DB469" s="14"/>
      <c r="DC469" s="14"/>
      <c r="DD469" s="14"/>
      <c r="DE469" s="14"/>
      <c r="DF469" s="14"/>
      <c r="DG469" s="14"/>
      <c r="DH469" s="14"/>
      <c r="DI469" s="14"/>
      <c r="DJ469" s="14"/>
      <c r="DK469" s="14"/>
      <c r="DL469" s="14"/>
      <c r="DM469" s="14"/>
      <c r="DN469" s="14"/>
      <c r="DO469" s="14"/>
      <c r="DP469" s="14"/>
      <c r="DQ469" s="14"/>
      <c r="DR469" s="14"/>
      <c r="DS469" s="14"/>
      <c r="DT469" s="14"/>
      <c r="DU469" s="14"/>
      <c r="DV469" s="14"/>
      <c r="DW469" s="14"/>
      <c r="DX469" s="14"/>
      <c r="DY469" s="14"/>
      <c r="DZ469" s="14"/>
      <c r="EA469" s="14"/>
      <c r="EB469" s="14"/>
      <c r="EC469" s="14"/>
      <c r="ED469" s="14"/>
      <c r="EE469" s="14"/>
      <c r="EF469" s="14"/>
      <c r="EG469" s="14"/>
      <c r="EH469" s="14"/>
      <c r="EI469" s="14"/>
      <c r="EJ469" s="14"/>
      <c r="EK469" s="14"/>
      <c r="EL469" s="14"/>
      <c r="EM469" s="14"/>
      <c r="EN469" s="14"/>
      <c r="EO469" s="14"/>
      <c r="EP469" s="14"/>
      <c r="EQ469" s="14"/>
      <c r="ER469" s="14"/>
      <c r="ES469" s="14"/>
      <c r="ET469" s="14"/>
      <c r="EU469" s="14"/>
      <c r="EV469" s="14"/>
      <c r="EW469" s="14"/>
      <c r="EX469" s="14"/>
      <c r="EY469" s="14"/>
      <c r="EZ469" s="14"/>
      <c r="FA469" s="14"/>
      <c r="FB469" s="14"/>
      <c r="FC469" s="14"/>
      <c r="FD469" s="14"/>
      <c r="FE469" s="14"/>
      <c r="FF469" s="14"/>
      <c r="FG469" s="14"/>
      <c r="FH469" s="14"/>
      <c r="FI469" s="14"/>
      <c r="FJ469" s="14"/>
      <c r="FK469" s="14"/>
      <c r="FL469" s="14"/>
      <c r="FM469" s="14"/>
      <c r="FN469" s="14"/>
      <c r="FO469" s="14"/>
      <c r="FP469" s="14"/>
      <c r="FQ469" s="14"/>
      <c r="FR469" s="14"/>
      <c r="FS469" s="14"/>
      <c r="FT469" s="14"/>
      <c r="FU469" s="14"/>
      <c r="FV469" s="14"/>
      <c r="FW469" s="14"/>
      <c r="FX469" s="14"/>
      <c r="FY469" s="14"/>
      <c r="FZ469" s="14"/>
      <c r="GA469" s="14"/>
      <c r="GB469" s="14"/>
      <c r="GC469" s="14"/>
      <c r="GD469" s="14"/>
      <c r="GE469" s="14"/>
      <c r="GF469" s="14"/>
      <c r="GG469" s="14"/>
      <c r="GH469" s="14"/>
      <c r="GI469" s="14"/>
      <c r="GJ469" s="14"/>
      <c r="GK469" s="14"/>
      <c r="GL469" s="14"/>
      <c r="GM469" s="14"/>
      <c r="GN469" s="14"/>
      <c r="GO469" s="14"/>
      <c r="GP469" s="14"/>
      <c r="GQ469" s="14"/>
      <c r="GR469" s="14"/>
      <c r="GS469" s="14"/>
      <c r="GT469" s="14"/>
      <c r="GU469" s="14"/>
      <c r="GV469" s="14"/>
      <c r="GW469" s="14"/>
      <c r="GX469" s="14"/>
      <c r="GY469" s="14"/>
      <c r="GZ469" s="14"/>
      <c r="HA469" s="14"/>
      <c r="HB469" s="14"/>
      <c r="HC469" s="14"/>
      <c r="HD469" s="14"/>
      <c r="HE469" s="14"/>
      <c r="HF469" s="14"/>
      <c r="HG469" s="14"/>
      <c r="HH469" s="14"/>
      <c r="HI469" s="14"/>
      <c r="HJ469" s="14"/>
      <c r="HK469" s="14"/>
      <c r="HL469" s="14"/>
      <c r="HM469" s="14"/>
      <c r="HN469" s="14"/>
      <c r="HO469" s="14"/>
      <c r="HP469" s="14"/>
      <c r="HQ469" s="14"/>
      <c r="HR469" s="14"/>
      <c r="HS469" s="14"/>
      <c r="HT469" s="14"/>
    </row>
    <row r="470" spans="2:228" ht="15" customHeight="1" x14ac:dyDescent="0.2">
      <c r="B470" s="1357" t="s">
        <v>1639</v>
      </c>
      <c r="C470" s="1358"/>
      <c r="D470" s="1359"/>
      <c r="E470" s="1342">
        <f>IF(P427&gt;0,0,P338)</f>
        <v>0</v>
      </c>
      <c r="F470" s="1344"/>
      <c r="G470" s="1577"/>
      <c r="H470" s="1841"/>
      <c r="I470" s="1842"/>
      <c r="J470" s="1847">
        <f t="shared" si="68"/>
        <v>0</v>
      </c>
      <c r="K470" s="1847"/>
      <c r="L470" s="1760"/>
      <c r="M470" s="1761"/>
      <c r="N470" s="1761"/>
      <c r="O470" s="1762"/>
      <c r="P470" s="1631"/>
      <c r="R470" s="18"/>
      <c r="S470" s="978">
        <f t="shared" si="70"/>
        <v>0</v>
      </c>
      <c r="T470" s="978">
        <f>LARGE($S$449:$S$471,22)</f>
        <v>0</v>
      </c>
      <c r="U470" s="684">
        <f t="shared" si="66"/>
        <v>0</v>
      </c>
      <c r="V470" s="979">
        <f t="shared" si="64"/>
        <v>0</v>
      </c>
      <c r="W470" s="18"/>
      <c r="X470" s="18"/>
      <c r="Y470" s="1110">
        <f t="shared" si="69"/>
        <v>0</v>
      </c>
      <c r="Z470" s="63"/>
      <c r="AA470" s="18"/>
      <c r="AB470" s="63"/>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4"/>
      <c r="BR470" s="14"/>
      <c r="BS470" s="14"/>
      <c r="BT470" s="14"/>
      <c r="BU470" s="14"/>
      <c r="BV470" s="14"/>
      <c r="BW470" s="14"/>
      <c r="BX470" s="14"/>
      <c r="BY470" s="14"/>
      <c r="BZ470" s="14"/>
      <c r="CA470" s="14"/>
      <c r="CB470" s="14"/>
      <c r="CC470" s="14"/>
      <c r="CD470" s="14"/>
      <c r="CE470" s="14"/>
      <c r="CF470" s="14"/>
      <c r="CG470" s="14"/>
      <c r="CH470" s="14"/>
      <c r="CI470" s="14"/>
      <c r="CJ470" s="14"/>
      <c r="CK470" s="14"/>
      <c r="CL470" s="14"/>
      <c r="CM470" s="14"/>
      <c r="CN470" s="14"/>
      <c r="CO470" s="14"/>
      <c r="CP470" s="14"/>
      <c r="CQ470" s="14"/>
      <c r="CR470" s="14"/>
      <c r="CS470" s="14"/>
      <c r="CT470" s="14"/>
      <c r="CU470" s="14"/>
      <c r="CV470" s="14"/>
      <c r="CW470" s="14"/>
      <c r="CX470" s="14"/>
      <c r="CY470" s="14"/>
      <c r="CZ470" s="14"/>
      <c r="DA470" s="14"/>
      <c r="DB470" s="14"/>
      <c r="DC470" s="14"/>
      <c r="DD470" s="14"/>
      <c r="DE470" s="14"/>
      <c r="DF470" s="14"/>
      <c r="DG470" s="14"/>
      <c r="DH470" s="14"/>
      <c r="DI470" s="14"/>
      <c r="DJ470" s="14"/>
      <c r="DK470" s="14"/>
      <c r="DL470" s="14"/>
      <c r="DM470" s="14"/>
      <c r="DN470" s="14"/>
      <c r="DO470" s="14"/>
      <c r="DP470" s="14"/>
      <c r="DQ470" s="14"/>
      <c r="DR470" s="14"/>
      <c r="DS470" s="14"/>
      <c r="DT470" s="14"/>
      <c r="DU470" s="14"/>
      <c r="DV470" s="14"/>
      <c r="DW470" s="14"/>
      <c r="DX470" s="14"/>
      <c r="DY470" s="14"/>
      <c r="DZ470" s="14"/>
      <c r="EA470" s="14"/>
      <c r="EB470" s="14"/>
      <c r="EC470" s="14"/>
      <c r="ED470" s="14"/>
      <c r="EE470" s="14"/>
      <c r="EF470" s="14"/>
      <c r="EG470" s="14"/>
      <c r="EH470" s="14"/>
      <c r="EI470" s="14"/>
      <c r="EJ470" s="14"/>
      <c r="EK470" s="14"/>
      <c r="EL470" s="14"/>
      <c r="EM470" s="14"/>
      <c r="EN470" s="14"/>
      <c r="EO470" s="14"/>
      <c r="EP470" s="14"/>
      <c r="EQ470" s="14"/>
      <c r="ER470" s="14"/>
      <c r="ES470" s="14"/>
      <c r="ET470" s="14"/>
      <c r="EU470" s="14"/>
      <c r="EV470" s="14"/>
      <c r="EW470" s="14"/>
      <c r="EX470" s="14"/>
      <c r="EY470" s="14"/>
      <c r="EZ470" s="14"/>
      <c r="FA470" s="14"/>
      <c r="FB470" s="14"/>
      <c r="FC470" s="14"/>
      <c r="FD470" s="14"/>
      <c r="FE470" s="14"/>
      <c r="FF470" s="14"/>
      <c r="FG470" s="14"/>
      <c r="FH470" s="14"/>
      <c r="FI470" s="14"/>
      <c r="FJ470" s="14"/>
      <c r="FK470" s="14"/>
      <c r="FL470" s="14"/>
      <c r="FM470" s="14"/>
      <c r="FN470" s="14"/>
      <c r="FO470" s="14"/>
      <c r="FP470" s="14"/>
      <c r="FQ470" s="14"/>
      <c r="FR470" s="14"/>
      <c r="FS470" s="14"/>
      <c r="FT470" s="14"/>
      <c r="FU470" s="14"/>
      <c r="FV470" s="14"/>
      <c r="FW470" s="14"/>
      <c r="FX470" s="14"/>
      <c r="FY470" s="14"/>
      <c r="FZ470" s="14"/>
      <c r="GA470" s="14"/>
      <c r="GB470" s="14"/>
      <c r="GC470" s="14"/>
      <c r="GD470" s="14"/>
      <c r="GE470" s="14"/>
      <c r="GF470" s="14"/>
      <c r="GG470" s="14"/>
      <c r="GH470" s="14"/>
      <c r="GI470" s="14"/>
      <c r="GJ470" s="14"/>
      <c r="GK470" s="14"/>
      <c r="GL470" s="14"/>
      <c r="GM470" s="14"/>
      <c r="GN470" s="14"/>
      <c r="GO470" s="14"/>
      <c r="GP470" s="14"/>
      <c r="GQ470" s="14"/>
      <c r="GR470" s="14"/>
      <c r="GS470" s="14"/>
      <c r="GT470" s="14"/>
      <c r="GU470" s="14"/>
      <c r="GV470" s="14"/>
      <c r="GW470" s="14"/>
      <c r="GX470" s="14"/>
      <c r="GY470" s="14"/>
      <c r="GZ470" s="14"/>
      <c r="HA470" s="14"/>
      <c r="HB470" s="14"/>
      <c r="HC470" s="14"/>
      <c r="HD470" s="14"/>
      <c r="HE470" s="14"/>
      <c r="HF470" s="14"/>
      <c r="HG470" s="14"/>
      <c r="HH470" s="14"/>
      <c r="HI470" s="14"/>
      <c r="HJ470" s="14"/>
      <c r="HK470" s="14"/>
      <c r="HL470" s="14"/>
      <c r="HM470" s="14"/>
      <c r="HN470" s="14"/>
      <c r="HO470" s="14"/>
      <c r="HP470" s="14"/>
      <c r="HQ470" s="14"/>
      <c r="HR470" s="14"/>
      <c r="HS470" s="14"/>
      <c r="HT470" s="14"/>
    </row>
    <row r="471" spans="2:228" ht="15" customHeight="1" x14ac:dyDescent="0.2">
      <c r="B471" s="1400" t="s">
        <v>927</v>
      </c>
      <c r="C471" s="1401"/>
      <c r="D471" s="1402"/>
      <c r="E471" s="1728">
        <f>P446</f>
        <v>0</v>
      </c>
      <c r="F471" s="1846"/>
      <c r="G471" s="1941" t="s">
        <v>1942</v>
      </c>
      <c r="H471" s="1902"/>
      <c r="I471" s="1942"/>
      <c r="J471" s="1689"/>
      <c r="K471" s="2076"/>
      <c r="L471" s="1760"/>
      <c r="M471" s="1761"/>
      <c r="N471" s="1761"/>
      <c r="O471" s="1762"/>
      <c r="P471" s="1631"/>
      <c r="R471" s="18"/>
      <c r="S471" s="978">
        <f t="shared" si="70"/>
        <v>0</v>
      </c>
      <c r="T471" s="978">
        <f>LARGE($S$449:$S$471,23)</f>
        <v>0</v>
      </c>
      <c r="U471" s="114"/>
      <c r="V471" s="157"/>
      <c r="W471" s="18"/>
      <c r="X471" s="18"/>
      <c r="Y471" s="1111"/>
      <c r="Z471" s="1111"/>
      <c r="AA471" s="18"/>
      <c r="AB471" s="63"/>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4"/>
      <c r="BR471" s="14"/>
      <c r="BS471" s="14"/>
      <c r="BT471" s="14"/>
      <c r="BU471" s="14"/>
      <c r="BV471" s="14"/>
      <c r="BW471" s="14"/>
      <c r="BX471" s="14"/>
      <c r="BY471" s="14"/>
      <c r="BZ471" s="14"/>
      <c r="CA471" s="14"/>
      <c r="CB471" s="14"/>
      <c r="CC471" s="14"/>
      <c r="CD471" s="14"/>
      <c r="CE471" s="14"/>
      <c r="CF471" s="14"/>
      <c r="CG471" s="14"/>
      <c r="CH471" s="14"/>
      <c r="CI471" s="14"/>
      <c r="CJ471" s="14"/>
      <c r="CK471" s="14"/>
      <c r="CL471" s="14"/>
      <c r="CM471" s="14"/>
      <c r="CN471" s="14"/>
      <c r="CO471" s="14"/>
      <c r="CP471" s="14"/>
      <c r="CQ471" s="14"/>
      <c r="CR471" s="14"/>
      <c r="CS471" s="14"/>
      <c r="CT471" s="14"/>
      <c r="CU471" s="14"/>
      <c r="CV471" s="14"/>
      <c r="CW471" s="14"/>
      <c r="CX471" s="14"/>
      <c r="CY471" s="14"/>
      <c r="CZ471" s="14"/>
      <c r="DA471" s="14"/>
      <c r="DB471" s="14"/>
      <c r="DC471" s="14"/>
      <c r="DD471" s="14"/>
      <c r="DE471" s="14"/>
      <c r="DF471" s="14"/>
      <c r="DG471" s="14"/>
      <c r="DH471" s="14"/>
      <c r="DI471" s="14"/>
      <c r="DJ471" s="14"/>
      <c r="DK471" s="14"/>
      <c r="DL471" s="14"/>
      <c r="DM471" s="14"/>
      <c r="DN471" s="14"/>
      <c r="DO471" s="14"/>
      <c r="DP471" s="14"/>
      <c r="DQ471" s="14"/>
      <c r="DR471" s="14"/>
      <c r="DS471" s="14"/>
      <c r="DT471" s="14"/>
      <c r="DU471" s="14"/>
      <c r="DV471" s="14"/>
      <c r="DW471" s="14"/>
      <c r="DX471" s="14"/>
      <c r="DY471" s="14"/>
      <c r="DZ471" s="14"/>
      <c r="EA471" s="14"/>
      <c r="EB471" s="14"/>
      <c r="EC471" s="14"/>
      <c r="ED471" s="14"/>
      <c r="EE471" s="14"/>
      <c r="EF471" s="14"/>
      <c r="EG471" s="14"/>
      <c r="EH471" s="14"/>
      <c r="EI471" s="14"/>
      <c r="EJ471" s="14"/>
      <c r="EK471" s="14"/>
      <c r="EL471" s="14"/>
      <c r="EM471" s="14"/>
      <c r="EN471" s="14"/>
      <c r="EO471" s="14"/>
      <c r="EP471" s="14"/>
      <c r="EQ471" s="14"/>
      <c r="ER471" s="14"/>
      <c r="ES471" s="14"/>
      <c r="ET471" s="14"/>
      <c r="EU471" s="14"/>
      <c r="EV471" s="14"/>
      <c r="EW471" s="14"/>
      <c r="EX471" s="14"/>
      <c r="EY471" s="14"/>
      <c r="EZ471" s="14"/>
      <c r="FA471" s="14"/>
      <c r="FB471" s="14"/>
      <c r="FC471" s="14"/>
      <c r="FD471" s="14"/>
      <c r="FE471" s="14"/>
      <c r="FF471" s="14"/>
      <c r="FG471" s="14"/>
      <c r="FH471" s="14"/>
      <c r="FI471" s="14"/>
      <c r="FJ471" s="14"/>
      <c r="FK471" s="14"/>
      <c r="FL471" s="14"/>
      <c r="FM471" s="14"/>
      <c r="FN471" s="14"/>
      <c r="FO471" s="14"/>
      <c r="FP471" s="14"/>
      <c r="FQ471" s="14"/>
      <c r="FR471" s="14"/>
      <c r="FS471" s="14"/>
      <c r="FT471" s="14"/>
      <c r="FU471" s="14"/>
      <c r="FV471" s="14"/>
      <c r="FW471" s="14"/>
      <c r="FX471" s="14"/>
      <c r="FY471" s="14"/>
      <c r="FZ471" s="14"/>
      <c r="GA471" s="14"/>
      <c r="GB471" s="14"/>
      <c r="GC471" s="14"/>
      <c r="GD471" s="14"/>
      <c r="GE471" s="14"/>
      <c r="GF471" s="14"/>
      <c r="GG471" s="14"/>
      <c r="GH471" s="14"/>
      <c r="GI471" s="14"/>
      <c r="GJ471" s="14"/>
      <c r="GK471" s="14"/>
      <c r="GL471" s="14"/>
      <c r="GM471" s="14"/>
      <c r="GN471" s="14"/>
      <c r="GO471" s="14"/>
      <c r="GP471" s="14"/>
      <c r="GQ471" s="14"/>
      <c r="GR471" s="14"/>
      <c r="GS471" s="14"/>
      <c r="GT471" s="14"/>
      <c r="GU471" s="14"/>
      <c r="GV471" s="14"/>
      <c r="GW471" s="14"/>
      <c r="GX471" s="14"/>
      <c r="GY471" s="14"/>
      <c r="GZ471" s="14"/>
      <c r="HA471" s="14"/>
      <c r="HB471" s="14"/>
      <c r="HC471" s="14"/>
      <c r="HD471" s="14"/>
      <c r="HE471" s="14"/>
      <c r="HF471" s="14"/>
      <c r="HG471" s="14"/>
      <c r="HH471" s="14"/>
      <c r="HI471" s="14"/>
      <c r="HJ471" s="14"/>
      <c r="HK471" s="14"/>
      <c r="HL471" s="14"/>
      <c r="HM471" s="14"/>
      <c r="HN471" s="14"/>
      <c r="HO471" s="14"/>
      <c r="HP471" s="14"/>
      <c r="HQ471" s="14"/>
      <c r="HR471" s="14"/>
      <c r="HS471" s="14"/>
      <c r="HT471" s="14"/>
    </row>
    <row r="472" spans="2:228" ht="15" customHeight="1" x14ac:dyDescent="0.2">
      <c r="B472" s="1681" t="s">
        <v>58</v>
      </c>
      <c r="C472" s="1681"/>
      <c r="D472" s="1681"/>
      <c r="E472" s="1681"/>
      <c r="F472" s="1681"/>
      <c r="G472" s="1681"/>
      <c r="H472" s="1681"/>
      <c r="I472" s="1681"/>
      <c r="J472" s="1681"/>
      <c r="K472" s="1681"/>
      <c r="L472" s="1681"/>
      <c r="M472" s="1681"/>
      <c r="N472" s="1681"/>
      <c r="O472" s="1681"/>
      <c r="P472" s="1623"/>
      <c r="R472" s="18"/>
      <c r="S472" s="63"/>
      <c r="T472" s="18"/>
      <c r="U472" s="18"/>
      <c r="V472" s="18"/>
      <c r="W472" s="18"/>
      <c r="X472" s="18"/>
      <c r="Y472" s="1111"/>
      <c r="Z472" s="1111"/>
      <c r="AA472" s="18"/>
      <c r="AB472" s="63"/>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4"/>
      <c r="BR472" s="14"/>
      <c r="BS472" s="14"/>
      <c r="BT472" s="14"/>
      <c r="BU472" s="14"/>
      <c r="BV472" s="14"/>
      <c r="BW472" s="14"/>
      <c r="BX472" s="14"/>
      <c r="BY472" s="14"/>
      <c r="BZ472" s="14"/>
      <c r="CA472" s="14"/>
      <c r="CB472" s="14"/>
      <c r="CC472" s="14"/>
      <c r="CD472" s="14"/>
      <c r="CE472" s="14"/>
      <c r="CF472" s="14"/>
      <c r="CG472" s="14"/>
      <c r="CH472" s="14"/>
      <c r="CI472" s="14"/>
      <c r="CJ472" s="14"/>
      <c r="CK472" s="14"/>
      <c r="CL472" s="14"/>
      <c r="CM472" s="14"/>
      <c r="CN472" s="14"/>
      <c r="CO472" s="14"/>
      <c r="CP472" s="14"/>
      <c r="CQ472" s="14"/>
      <c r="CR472" s="14"/>
      <c r="CS472" s="14"/>
      <c r="CT472" s="14"/>
      <c r="CU472" s="14"/>
      <c r="CV472" s="14"/>
      <c r="CW472" s="14"/>
      <c r="CX472" s="14"/>
      <c r="CY472" s="14"/>
      <c r="CZ472" s="14"/>
      <c r="DA472" s="14"/>
      <c r="DB472" s="14"/>
      <c r="DC472" s="14"/>
      <c r="DD472" s="14"/>
      <c r="DE472" s="14"/>
      <c r="DF472" s="14"/>
      <c r="DG472" s="14"/>
      <c r="DH472" s="14"/>
      <c r="DI472" s="14"/>
      <c r="DJ472" s="14"/>
      <c r="DK472" s="14"/>
      <c r="DL472" s="14"/>
      <c r="DM472" s="14"/>
      <c r="DN472" s="14"/>
      <c r="DO472" s="14"/>
      <c r="DP472" s="14"/>
      <c r="DQ472" s="14"/>
      <c r="DR472" s="14"/>
      <c r="DS472" s="14"/>
      <c r="DT472" s="14"/>
      <c r="DU472" s="14"/>
      <c r="DV472" s="14"/>
      <c r="DW472" s="14"/>
      <c r="DX472" s="14"/>
      <c r="DY472" s="14"/>
      <c r="DZ472" s="14"/>
      <c r="EA472" s="14"/>
      <c r="EB472" s="14"/>
      <c r="EC472" s="14"/>
      <c r="ED472" s="14"/>
      <c r="EE472" s="14"/>
      <c r="EF472" s="14"/>
      <c r="EG472" s="14"/>
      <c r="EH472" s="14"/>
      <c r="EI472" s="14"/>
      <c r="EJ472" s="14"/>
      <c r="EK472" s="14"/>
      <c r="EL472" s="14"/>
      <c r="EM472" s="14"/>
      <c r="EN472" s="14"/>
      <c r="EO472" s="14"/>
      <c r="EP472" s="14"/>
      <c r="EQ472" s="14"/>
      <c r="ER472" s="14"/>
      <c r="ES472" s="14"/>
      <c r="ET472" s="14"/>
      <c r="EU472" s="14"/>
      <c r="EV472" s="14"/>
      <c r="EW472" s="14"/>
      <c r="EX472" s="14"/>
      <c r="EY472" s="14"/>
      <c r="EZ472" s="14"/>
      <c r="FA472" s="14"/>
      <c r="FB472" s="14"/>
      <c r="FC472" s="14"/>
      <c r="FD472" s="14"/>
      <c r="FE472" s="14"/>
      <c r="FF472" s="14"/>
      <c r="FG472" s="14"/>
      <c r="FH472" s="14"/>
      <c r="FI472" s="14"/>
      <c r="FJ472" s="14"/>
      <c r="FK472" s="14"/>
      <c r="FL472" s="14"/>
      <c r="FM472" s="14"/>
      <c r="FN472" s="14"/>
      <c r="FO472" s="14"/>
      <c r="FP472" s="14"/>
      <c r="FQ472" s="14"/>
      <c r="FR472" s="14"/>
      <c r="FS472" s="14"/>
      <c r="FT472" s="14"/>
      <c r="FU472" s="14"/>
      <c r="FV472" s="14"/>
      <c r="FW472" s="14"/>
      <c r="FX472" s="14"/>
      <c r="FY472" s="14"/>
      <c r="FZ472" s="14"/>
      <c r="GA472" s="14"/>
      <c r="GB472" s="14"/>
      <c r="GC472" s="14"/>
      <c r="GD472" s="14"/>
      <c r="GE472" s="14"/>
      <c r="GF472" s="14"/>
      <c r="GG472" s="14"/>
      <c r="GH472" s="14"/>
      <c r="GI472" s="14"/>
      <c r="GJ472" s="14"/>
      <c r="GK472" s="14"/>
      <c r="GL472" s="14"/>
      <c r="GM472" s="14"/>
      <c r="GN472" s="14"/>
      <c r="GO472" s="14"/>
      <c r="GP472" s="14"/>
      <c r="GQ472" s="14"/>
      <c r="GR472" s="14"/>
      <c r="GS472" s="14"/>
      <c r="GT472" s="14"/>
      <c r="GU472" s="14"/>
      <c r="GV472" s="14"/>
      <c r="GW472" s="14"/>
      <c r="GX472" s="14"/>
      <c r="GY472" s="14"/>
      <c r="GZ472" s="14"/>
      <c r="HA472" s="14"/>
      <c r="HB472" s="14"/>
      <c r="HC472" s="14"/>
      <c r="HD472" s="14"/>
      <c r="HE472" s="14"/>
      <c r="HF472" s="14"/>
      <c r="HG472" s="14"/>
      <c r="HH472" s="14"/>
      <c r="HI472" s="14"/>
      <c r="HJ472" s="14"/>
      <c r="HK472" s="14"/>
      <c r="HL472" s="14"/>
      <c r="HM472" s="14"/>
      <c r="HN472" s="14"/>
      <c r="HO472" s="14"/>
      <c r="HP472" s="14"/>
      <c r="HQ472" s="14"/>
      <c r="HR472" s="14"/>
      <c r="HS472" s="14"/>
      <c r="HT472" s="14"/>
    </row>
    <row r="473" spans="2:228" ht="15" customHeight="1" x14ac:dyDescent="0.2">
      <c r="B473" s="1469"/>
      <c r="C473" s="1469"/>
      <c r="D473" s="1469"/>
      <c r="E473" s="1469"/>
      <c r="F473" s="1469"/>
      <c r="G473" s="1469"/>
      <c r="H473" s="1469"/>
      <c r="I473" s="1469"/>
      <c r="J473" s="1469"/>
      <c r="K473" s="1469"/>
      <c r="L473" s="1469"/>
      <c r="M473" s="1469"/>
      <c r="N473" s="1469"/>
      <c r="O473" s="1469"/>
      <c r="P473" s="1469"/>
      <c r="R473" s="18"/>
      <c r="S473" s="18"/>
      <c r="T473" s="18"/>
      <c r="U473" s="18"/>
      <c r="V473" s="18"/>
      <c r="W473" s="18"/>
      <c r="X473" s="18"/>
      <c r="Y473" s="1111"/>
      <c r="Z473" s="1111"/>
      <c r="AA473" s="18"/>
      <c r="AB473" s="63"/>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4"/>
      <c r="BR473" s="14"/>
      <c r="BS473" s="14"/>
      <c r="BT473" s="14"/>
      <c r="BU473" s="14"/>
      <c r="BV473" s="14"/>
      <c r="BW473" s="14"/>
      <c r="BX473" s="14"/>
      <c r="BY473" s="14"/>
      <c r="BZ473" s="14"/>
      <c r="CA473" s="14"/>
      <c r="CB473" s="14"/>
      <c r="CC473" s="14"/>
      <c r="CD473" s="14"/>
      <c r="CE473" s="14"/>
      <c r="CF473" s="14"/>
      <c r="CG473" s="14"/>
      <c r="CH473" s="14"/>
      <c r="CI473" s="14"/>
      <c r="CJ473" s="14"/>
      <c r="CK473" s="14"/>
      <c r="CL473" s="14"/>
      <c r="CM473" s="14"/>
      <c r="CN473" s="14"/>
      <c r="CO473" s="14"/>
      <c r="CP473" s="14"/>
      <c r="CQ473" s="14"/>
      <c r="CR473" s="14"/>
      <c r="CS473" s="14"/>
      <c r="CT473" s="14"/>
      <c r="CU473" s="14"/>
      <c r="CV473" s="14"/>
      <c r="CW473" s="14"/>
      <c r="CX473" s="14"/>
      <c r="CY473" s="14"/>
      <c r="CZ473" s="14"/>
      <c r="DA473" s="14"/>
      <c r="DB473" s="14"/>
      <c r="DC473" s="14"/>
      <c r="DD473" s="14"/>
      <c r="DE473" s="14"/>
      <c r="DF473" s="14"/>
      <c r="DG473" s="14"/>
      <c r="DH473" s="14"/>
      <c r="DI473" s="14"/>
      <c r="DJ473" s="14"/>
      <c r="DK473" s="14"/>
      <c r="DL473" s="14"/>
      <c r="DM473" s="14"/>
      <c r="DN473" s="14"/>
      <c r="DO473" s="14"/>
      <c r="DP473" s="14"/>
      <c r="DQ473" s="14"/>
      <c r="DR473" s="14"/>
      <c r="DS473" s="14"/>
      <c r="DT473" s="14"/>
      <c r="DU473" s="14"/>
      <c r="DV473" s="14"/>
      <c r="DW473" s="14"/>
      <c r="DX473" s="14"/>
      <c r="DY473" s="14"/>
      <c r="DZ473" s="14"/>
      <c r="EA473" s="14"/>
      <c r="EB473" s="14"/>
      <c r="EC473" s="14"/>
      <c r="ED473" s="14"/>
      <c r="EE473" s="14"/>
      <c r="EF473" s="14"/>
      <c r="EG473" s="14"/>
      <c r="EH473" s="14"/>
      <c r="EI473" s="14"/>
      <c r="EJ473" s="14"/>
      <c r="EK473" s="14"/>
      <c r="EL473" s="14"/>
      <c r="EM473" s="14"/>
      <c r="EN473" s="14"/>
      <c r="EO473" s="14"/>
      <c r="EP473" s="14"/>
      <c r="EQ473" s="14"/>
      <c r="ER473" s="14"/>
      <c r="ES473" s="14"/>
      <c r="ET473" s="14"/>
      <c r="EU473" s="14"/>
      <c r="EV473" s="14"/>
      <c r="EW473" s="14"/>
      <c r="EX473" s="14"/>
      <c r="EY473" s="14"/>
      <c r="EZ473" s="14"/>
      <c r="FA473" s="14"/>
      <c r="FB473" s="14"/>
      <c r="FC473" s="14"/>
      <c r="FD473" s="14"/>
      <c r="FE473" s="14"/>
      <c r="FF473" s="14"/>
      <c r="FG473" s="14"/>
      <c r="FH473" s="14"/>
      <c r="FI473" s="14"/>
      <c r="FJ473" s="14"/>
      <c r="FK473" s="14"/>
      <c r="FL473" s="14"/>
      <c r="FM473" s="14"/>
      <c r="FN473" s="14"/>
      <c r="FO473" s="14"/>
      <c r="FP473" s="14"/>
      <c r="FQ473" s="14"/>
      <c r="FR473" s="14"/>
      <c r="FS473" s="14"/>
      <c r="FT473" s="14"/>
      <c r="FU473" s="14"/>
      <c r="FV473" s="14"/>
      <c r="FW473" s="14"/>
      <c r="FX473" s="14"/>
      <c r="FY473" s="14"/>
      <c r="FZ473" s="14"/>
      <c r="GA473" s="14"/>
      <c r="GB473" s="14"/>
      <c r="GC473" s="14"/>
      <c r="GD473" s="14"/>
      <c r="GE473" s="14"/>
      <c r="GF473" s="14"/>
      <c r="GG473" s="14"/>
      <c r="GH473" s="14"/>
      <c r="GI473" s="14"/>
      <c r="GJ473" s="14"/>
      <c r="GK473" s="14"/>
      <c r="GL473" s="14"/>
      <c r="GM473" s="14"/>
      <c r="GN473" s="14"/>
      <c r="GO473" s="14"/>
      <c r="GP473" s="14"/>
      <c r="GQ473" s="14"/>
      <c r="GR473" s="14"/>
      <c r="GS473" s="14"/>
      <c r="GT473" s="14"/>
      <c r="GU473" s="14"/>
      <c r="GV473" s="14"/>
      <c r="GW473" s="14"/>
      <c r="GX473" s="14"/>
      <c r="GY473" s="14"/>
      <c r="GZ473" s="14"/>
      <c r="HA473" s="14"/>
      <c r="HB473" s="14"/>
      <c r="HC473" s="14"/>
      <c r="HD473" s="14"/>
      <c r="HE473" s="14"/>
      <c r="HF473" s="14"/>
      <c r="HG473" s="14"/>
      <c r="HH473" s="14"/>
      <c r="HI473" s="14"/>
      <c r="HJ473" s="14"/>
      <c r="HK473" s="14"/>
      <c r="HL473" s="14"/>
      <c r="HM473" s="14"/>
      <c r="HN473" s="14"/>
      <c r="HO473" s="14"/>
      <c r="HP473" s="14"/>
      <c r="HQ473" s="14"/>
      <c r="HR473" s="14"/>
      <c r="HS473" s="14"/>
      <c r="HT473" s="14"/>
    </row>
    <row r="474" spans="2:228" x14ac:dyDescent="0.2">
      <c r="B474" s="1395"/>
      <c r="C474" s="1395"/>
      <c r="D474" s="1395"/>
      <c r="E474" s="1395"/>
      <c r="F474" s="1395"/>
      <c r="G474" s="1395"/>
      <c r="H474" s="1395"/>
      <c r="I474" s="1395"/>
      <c r="J474" s="1395"/>
      <c r="K474" s="1395"/>
      <c r="L474" s="1395"/>
      <c r="M474" s="1395"/>
      <c r="N474" s="1395"/>
      <c r="O474" s="1395"/>
      <c r="P474" s="1395"/>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4"/>
      <c r="BR474" s="14"/>
      <c r="BS474" s="14"/>
      <c r="BT474" s="14"/>
      <c r="BU474" s="14"/>
      <c r="BV474" s="14"/>
      <c r="BW474" s="14"/>
      <c r="BX474" s="14"/>
      <c r="BY474" s="14"/>
      <c r="BZ474" s="14"/>
      <c r="CA474" s="14"/>
      <c r="CB474" s="14"/>
      <c r="CC474" s="14"/>
      <c r="CD474" s="14"/>
      <c r="CE474" s="14"/>
      <c r="CF474" s="14"/>
      <c r="CG474" s="14"/>
      <c r="CH474" s="14"/>
      <c r="CI474" s="14"/>
      <c r="CJ474" s="14"/>
      <c r="CK474" s="14"/>
      <c r="CL474" s="14"/>
      <c r="CM474" s="14"/>
      <c r="CN474" s="14"/>
      <c r="CO474" s="14"/>
      <c r="CP474" s="14"/>
      <c r="CQ474" s="14"/>
      <c r="CR474" s="14"/>
      <c r="CS474" s="14"/>
      <c r="CT474" s="14"/>
      <c r="CU474" s="14"/>
      <c r="CV474" s="14"/>
      <c r="CW474" s="14"/>
      <c r="CX474" s="14"/>
      <c r="CY474" s="14"/>
      <c r="CZ474" s="14"/>
      <c r="DA474" s="14"/>
      <c r="DB474" s="14"/>
      <c r="DC474" s="14"/>
      <c r="DD474" s="14"/>
      <c r="DE474" s="14"/>
      <c r="DF474" s="14"/>
      <c r="DG474" s="14"/>
      <c r="DH474" s="14"/>
      <c r="DI474" s="14"/>
      <c r="DJ474" s="14"/>
      <c r="DK474" s="14"/>
      <c r="DL474" s="14"/>
      <c r="DM474" s="14"/>
      <c r="DN474" s="14"/>
      <c r="DO474" s="14"/>
      <c r="DP474" s="14"/>
      <c r="DQ474" s="14"/>
      <c r="DR474" s="14"/>
      <c r="DS474" s="14"/>
      <c r="DT474" s="14"/>
      <c r="DU474" s="14"/>
      <c r="DV474" s="14"/>
      <c r="DW474" s="14"/>
      <c r="DX474" s="14"/>
      <c r="DY474" s="14"/>
      <c r="DZ474" s="14"/>
      <c r="EA474" s="14"/>
      <c r="EB474" s="14"/>
      <c r="EC474" s="14"/>
      <c r="ED474" s="14"/>
      <c r="EE474" s="14"/>
      <c r="EF474" s="14"/>
      <c r="EG474" s="14"/>
      <c r="EH474" s="14"/>
      <c r="EI474" s="14"/>
      <c r="EJ474" s="14"/>
      <c r="EK474" s="14"/>
      <c r="EL474" s="14"/>
      <c r="EM474" s="14"/>
      <c r="EN474" s="14"/>
      <c r="EO474" s="14"/>
      <c r="EP474" s="14"/>
      <c r="EQ474" s="14"/>
      <c r="ER474" s="14"/>
      <c r="ES474" s="14"/>
      <c r="ET474" s="14"/>
      <c r="EU474" s="14"/>
      <c r="EV474" s="14"/>
      <c r="EW474" s="14"/>
      <c r="EX474" s="14"/>
      <c r="EY474" s="14"/>
      <c r="EZ474" s="14"/>
      <c r="FA474" s="14"/>
      <c r="FB474" s="14"/>
      <c r="FC474" s="14"/>
      <c r="FD474" s="14"/>
      <c r="FE474" s="14"/>
      <c r="FF474" s="14"/>
      <c r="FG474" s="14"/>
      <c r="FH474" s="14"/>
      <c r="FI474" s="14"/>
      <c r="FJ474" s="14"/>
      <c r="FK474" s="14"/>
      <c r="FL474" s="14"/>
      <c r="FM474" s="14"/>
      <c r="FN474" s="14"/>
      <c r="FO474" s="14"/>
      <c r="FP474" s="14"/>
      <c r="FQ474" s="14"/>
      <c r="FR474" s="14"/>
      <c r="FS474" s="14"/>
      <c r="FT474" s="14"/>
      <c r="FU474" s="14"/>
      <c r="FV474" s="14"/>
      <c r="FW474" s="14"/>
      <c r="FX474" s="14"/>
      <c r="FY474" s="14"/>
      <c r="FZ474" s="14"/>
      <c r="GA474" s="14"/>
      <c r="GB474" s="14"/>
      <c r="GC474" s="14"/>
      <c r="GD474" s="14"/>
      <c r="GE474" s="14"/>
      <c r="GF474" s="14"/>
      <c r="GG474" s="14"/>
      <c r="GH474" s="14"/>
      <c r="GI474" s="14"/>
      <c r="GJ474" s="14"/>
      <c r="GK474" s="14"/>
      <c r="GL474" s="14"/>
      <c r="GM474" s="14"/>
      <c r="GN474" s="14"/>
      <c r="GO474" s="14"/>
      <c r="GP474" s="14"/>
      <c r="GQ474" s="14"/>
      <c r="GR474" s="14"/>
      <c r="GS474" s="14"/>
      <c r="GT474" s="14"/>
      <c r="GU474" s="14"/>
      <c r="GV474" s="14"/>
      <c r="GW474" s="14"/>
      <c r="GX474" s="14"/>
      <c r="GY474" s="14"/>
      <c r="GZ474" s="14"/>
      <c r="HA474" s="14"/>
      <c r="HB474" s="14"/>
      <c r="HC474" s="14"/>
      <c r="HD474" s="14"/>
      <c r="HE474" s="14"/>
      <c r="HF474" s="14"/>
      <c r="HG474" s="14"/>
      <c r="HH474" s="14"/>
      <c r="HI474" s="14"/>
      <c r="HJ474" s="14"/>
      <c r="HK474" s="14"/>
      <c r="HL474" s="14"/>
      <c r="HM474" s="14"/>
      <c r="HN474" s="14"/>
      <c r="HO474" s="14"/>
      <c r="HP474" s="14"/>
      <c r="HQ474" s="14"/>
      <c r="HR474" s="14"/>
      <c r="HS474" s="14"/>
      <c r="HT474" s="14"/>
    </row>
    <row r="475" spans="2:228" ht="36" customHeight="1" x14ac:dyDescent="0.2">
      <c r="B475" s="1626" t="s">
        <v>1721</v>
      </c>
      <c r="C475" s="1627"/>
      <c r="D475" s="1627"/>
      <c r="E475" s="1627"/>
      <c r="F475" s="1627"/>
      <c r="G475" s="1627"/>
      <c r="H475" s="1627"/>
      <c r="I475" s="1627"/>
      <c r="J475" s="1627"/>
      <c r="K475" s="1627"/>
      <c r="L475" s="1627"/>
      <c r="M475" s="1627"/>
      <c r="N475" s="1627"/>
      <c r="O475" s="1627"/>
      <c r="P475" s="162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4"/>
      <c r="BR475" s="14"/>
      <c r="BS475" s="14"/>
      <c r="BT475" s="14"/>
      <c r="BU475" s="14"/>
      <c r="BV475" s="14"/>
      <c r="BW475" s="14"/>
      <c r="BX475" s="14"/>
      <c r="BY475" s="14"/>
      <c r="BZ475" s="14"/>
      <c r="CA475" s="14"/>
      <c r="CB475" s="14"/>
      <c r="CC475" s="14"/>
      <c r="CD475" s="14"/>
      <c r="CE475" s="14"/>
      <c r="CF475" s="14"/>
      <c r="CG475" s="14"/>
      <c r="CH475" s="14"/>
      <c r="CI475" s="14"/>
      <c r="CJ475" s="14"/>
      <c r="CK475" s="14"/>
      <c r="CL475" s="14"/>
      <c r="CM475" s="14"/>
      <c r="CN475" s="14"/>
      <c r="CO475" s="14"/>
      <c r="CP475" s="14"/>
      <c r="CQ475" s="14"/>
      <c r="CR475" s="14"/>
      <c r="CS475" s="14"/>
      <c r="CT475" s="14"/>
      <c r="CU475" s="14"/>
      <c r="CV475" s="14"/>
      <c r="CW475" s="14"/>
      <c r="CX475" s="14"/>
      <c r="CY475" s="14"/>
      <c r="CZ475" s="14"/>
      <c r="DA475" s="14"/>
      <c r="DB475" s="14"/>
      <c r="DC475" s="14"/>
      <c r="DD475" s="14"/>
      <c r="DE475" s="14"/>
      <c r="DF475" s="14"/>
      <c r="DG475" s="14"/>
      <c r="DH475" s="14"/>
      <c r="DI475" s="14"/>
      <c r="DJ475" s="14"/>
      <c r="DK475" s="14"/>
      <c r="DL475" s="14"/>
      <c r="DM475" s="14"/>
      <c r="DN475" s="14"/>
      <c r="DO475" s="14"/>
      <c r="DP475" s="14"/>
      <c r="DQ475" s="14"/>
      <c r="DR475" s="14"/>
      <c r="DS475" s="14"/>
      <c r="DT475" s="14"/>
      <c r="DU475" s="14"/>
      <c r="DV475" s="14"/>
      <c r="DW475" s="14"/>
      <c r="DX475" s="14"/>
      <c r="DY475" s="14"/>
      <c r="DZ475" s="14"/>
      <c r="EA475" s="14"/>
      <c r="EB475" s="14"/>
      <c r="EC475" s="14"/>
      <c r="ED475" s="14"/>
      <c r="EE475" s="14"/>
      <c r="EF475" s="14"/>
      <c r="EG475" s="14"/>
      <c r="EH475" s="14"/>
      <c r="EI475" s="14"/>
      <c r="EJ475" s="14"/>
      <c r="EK475" s="14"/>
      <c r="EL475" s="14"/>
      <c r="EM475" s="14"/>
      <c r="EN475" s="14"/>
      <c r="EO475" s="14"/>
      <c r="EP475" s="14"/>
      <c r="EQ475" s="14"/>
      <c r="ER475" s="14"/>
      <c r="ES475" s="14"/>
      <c r="ET475" s="14"/>
      <c r="EU475" s="14"/>
      <c r="EV475" s="14"/>
      <c r="EW475" s="14"/>
      <c r="EX475" s="14"/>
      <c r="EY475" s="14"/>
      <c r="EZ475" s="14"/>
      <c r="FA475" s="14"/>
      <c r="FB475" s="14"/>
      <c r="FC475" s="14"/>
      <c r="FD475" s="14"/>
      <c r="FE475" s="14"/>
      <c r="FF475" s="14"/>
      <c r="FG475" s="14"/>
      <c r="FH475" s="14"/>
      <c r="FI475" s="14"/>
      <c r="FJ475" s="14"/>
      <c r="FK475" s="14"/>
      <c r="FL475" s="14"/>
      <c r="FM475" s="14"/>
      <c r="FN475" s="14"/>
      <c r="FO475" s="14"/>
      <c r="FP475" s="14"/>
      <c r="FQ475" s="14"/>
      <c r="FR475" s="14"/>
      <c r="FS475" s="14"/>
      <c r="FT475" s="14"/>
      <c r="FU475" s="14"/>
      <c r="FV475" s="14"/>
      <c r="FW475" s="14"/>
      <c r="FX475" s="14"/>
      <c r="FY475" s="14"/>
      <c r="FZ475" s="14"/>
      <c r="GA475" s="14"/>
      <c r="GB475" s="14"/>
      <c r="GC475" s="14"/>
      <c r="GD475" s="14"/>
      <c r="GE475" s="14"/>
      <c r="GF475" s="14"/>
      <c r="GG475" s="14"/>
      <c r="GH475" s="14"/>
      <c r="GI475" s="14"/>
      <c r="GJ475" s="14"/>
      <c r="GK475" s="14"/>
      <c r="GL475" s="14"/>
      <c r="GM475" s="14"/>
      <c r="GN475" s="14"/>
      <c r="GO475" s="14"/>
      <c r="GP475" s="14"/>
      <c r="GQ475" s="14"/>
      <c r="GR475" s="14"/>
      <c r="GS475" s="14"/>
      <c r="GT475" s="14"/>
      <c r="GU475" s="14"/>
      <c r="GV475" s="14"/>
      <c r="GW475" s="14"/>
      <c r="GX475" s="14"/>
      <c r="GY475" s="14"/>
      <c r="GZ475" s="14"/>
      <c r="HA475" s="14"/>
      <c r="HB475" s="14"/>
      <c r="HC475" s="14"/>
      <c r="HD475" s="14"/>
      <c r="HE475" s="14"/>
      <c r="HF475" s="14"/>
      <c r="HG475" s="14"/>
      <c r="HH475" s="14"/>
      <c r="HI475" s="14"/>
      <c r="HJ475" s="14"/>
      <c r="HK475" s="14"/>
      <c r="HL475" s="14"/>
      <c r="HM475" s="14"/>
      <c r="HN475" s="14"/>
      <c r="HO475" s="14"/>
      <c r="HP475" s="14"/>
      <c r="HQ475" s="14"/>
      <c r="HR475" s="14"/>
      <c r="HS475" s="14"/>
      <c r="HT475" s="14"/>
    </row>
    <row r="476" spans="2:228" ht="12" customHeight="1" x14ac:dyDescent="0.25">
      <c r="B476" s="1922"/>
      <c r="C476" s="1922"/>
      <c r="D476" s="1922"/>
      <c r="E476" s="1922"/>
      <c r="F476" s="1922"/>
      <c r="G476" s="1922"/>
      <c r="H476" s="1922"/>
      <c r="I476" s="1922"/>
      <c r="J476" s="1922"/>
      <c r="K476" s="1922"/>
      <c r="L476" s="1922"/>
      <c r="M476" s="1922"/>
      <c r="N476" s="1922"/>
      <c r="O476" s="1922"/>
      <c r="P476" s="1922"/>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4"/>
      <c r="BR476" s="14"/>
      <c r="BS476" s="14"/>
      <c r="BT476" s="14"/>
      <c r="BU476" s="14"/>
      <c r="BV476" s="14"/>
      <c r="BW476" s="14"/>
      <c r="BX476" s="14"/>
      <c r="BY476" s="14"/>
      <c r="BZ476" s="14"/>
      <c r="CA476" s="14"/>
      <c r="CB476" s="14"/>
      <c r="CC476" s="14"/>
      <c r="CD476" s="14"/>
      <c r="CE476" s="14"/>
      <c r="CF476" s="14"/>
      <c r="CG476" s="14"/>
      <c r="CH476" s="14"/>
      <c r="CI476" s="14"/>
      <c r="CJ476" s="14"/>
      <c r="CK476" s="14"/>
      <c r="CL476" s="14"/>
      <c r="CM476" s="14"/>
      <c r="CN476" s="14"/>
      <c r="CO476" s="14"/>
      <c r="CP476" s="14"/>
      <c r="CQ476" s="14"/>
      <c r="CR476" s="14"/>
      <c r="CS476" s="14"/>
      <c r="CT476" s="14"/>
      <c r="CU476" s="14"/>
      <c r="CV476" s="14"/>
      <c r="CW476" s="14"/>
      <c r="CX476" s="14"/>
      <c r="CY476" s="14"/>
      <c r="CZ476" s="14"/>
      <c r="DA476" s="14"/>
      <c r="DB476" s="14"/>
      <c r="DC476" s="14"/>
      <c r="DD476" s="14"/>
      <c r="DE476" s="14"/>
      <c r="DF476" s="14"/>
      <c r="DG476" s="14"/>
      <c r="DH476" s="14"/>
      <c r="DI476" s="14"/>
      <c r="DJ476" s="14"/>
      <c r="DK476" s="14"/>
      <c r="DL476" s="14"/>
      <c r="DM476" s="14"/>
      <c r="DN476" s="14"/>
      <c r="DO476" s="14"/>
      <c r="DP476" s="14"/>
      <c r="DQ476" s="14"/>
      <c r="DR476" s="14"/>
      <c r="DS476" s="14"/>
      <c r="DT476" s="14"/>
      <c r="DU476" s="14"/>
      <c r="DV476" s="14"/>
      <c r="DW476" s="14"/>
      <c r="DX476" s="14"/>
      <c r="DY476" s="14"/>
      <c r="DZ476" s="14"/>
      <c r="EA476" s="14"/>
      <c r="EB476" s="14"/>
      <c r="EC476" s="14"/>
      <c r="ED476" s="14"/>
      <c r="EE476" s="14"/>
      <c r="EF476" s="14"/>
      <c r="EG476" s="14"/>
      <c r="EH476" s="14"/>
      <c r="EI476" s="14"/>
      <c r="EJ476" s="14"/>
      <c r="EK476" s="14"/>
      <c r="EL476" s="14"/>
      <c r="EM476" s="14"/>
      <c r="EN476" s="14"/>
      <c r="EO476" s="14"/>
      <c r="EP476" s="14"/>
      <c r="EQ476" s="14"/>
      <c r="ER476" s="14"/>
      <c r="ES476" s="14"/>
      <c r="ET476" s="14"/>
      <c r="EU476" s="14"/>
      <c r="EV476" s="14"/>
      <c r="EW476" s="14"/>
      <c r="EX476" s="14"/>
      <c r="EY476" s="14"/>
      <c r="EZ476" s="14"/>
      <c r="FA476" s="14"/>
      <c r="FB476" s="14"/>
      <c r="FC476" s="14"/>
      <c r="FD476" s="14"/>
      <c r="FE476" s="14"/>
      <c r="FF476" s="14"/>
      <c r="FG476" s="14"/>
      <c r="FH476" s="14"/>
      <c r="FI476" s="14"/>
      <c r="FJ476" s="14"/>
      <c r="FK476" s="14"/>
      <c r="FL476" s="14"/>
      <c r="FM476" s="14"/>
      <c r="FN476" s="14"/>
      <c r="FO476" s="14"/>
      <c r="FP476" s="14"/>
      <c r="FQ476" s="14"/>
      <c r="FR476" s="14"/>
      <c r="FS476" s="14"/>
      <c r="FT476" s="14"/>
      <c r="FU476" s="14"/>
      <c r="FV476" s="14"/>
      <c r="FW476" s="14"/>
      <c r="FX476" s="14"/>
      <c r="FY476" s="14"/>
      <c r="FZ476" s="14"/>
      <c r="GA476" s="14"/>
      <c r="GB476" s="14"/>
      <c r="GC476" s="14"/>
      <c r="GD476" s="14"/>
      <c r="GE476" s="14"/>
      <c r="GF476" s="14"/>
      <c r="GG476" s="14"/>
      <c r="GH476" s="14"/>
      <c r="GI476" s="14"/>
      <c r="GJ476" s="14"/>
      <c r="GK476" s="14"/>
      <c r="GL476" s="14"/>
      <c r="GM476" s="14"/>
      <c r="GN476" s="14"/>
      <c r="GO476" s="14"/>
      <c r="GP476" s="14"/>
      <c r="GQ476" s="14"/>
      <c r="GR476" s="14"/>
      <c r="GS476" s="14"/>
      <c r="GT476" s="14"/>
      <c r="GU476" s="14"/>
      <c r="GV476" s="14"/>
      <c r="GW476" s="14"/>
      <c r="GX476" s="14"/>
      <c r="GY476" s="14"/>
      <c r="GZ476" s="14"/>
      <c r="HA476" s="14"/>
      <c r="HB476" s="14"/>
      <c r="HC476" s="14"/>
      <c r="HD476" s="14"/>
      <c r="HE476" s="14"/>
      <c r="HF476" s="14"/>
      <c r="HG476" s="14"/>
      <c r="HH476" s="14"/>
      <c r="HI476" s="14"/>
      <c r="HJ476" s="14"/>
      <c r="HK476" s="14"/>
      <c r="HL476" s="14"/>
      <c r="HM476" s="14"/>
      <c r="HN476" s="14"/>
      <c r="HO476" s="14"/>
      <c r="HP476" s="14"/>
      <c r="HQ476" s="14"/>
      <c r="HR476" s="14"/>
      <c r="HS476" s="14"/>
      <c r="HT476" s="14"/>
    </row>
    <row r="477" spans="2:228" ht="40.5" customHeight="1" x14ac:dyDescent="0.2">
      <c r="B477" s="1591" t="s">
        <v>107</v>
      </c>
      <c r="C477" s="1591"/>
      <c r="D477" s="1591"/>
      <c r="E477" s="1591"/>
      <c r="F477" s="1591"/>
      <c r="G477" s="1591"/>
      <c r="H477" s="1591"/>
      <c r="I477" s="1591"/>
      <c r="J477" s="1591"/>
      <c r="K477" s="1591"/>
      <c r="L477" s="1591"/>
      <c r="M477" s="1591"/>
      <c r="N477" s="1591"/>
      <c r="O477" s="1591"/>
      <c r="P477" s="1591"/>
      <c r="R477" s="18"/>
      <c r="S477" s="18"/>
      <c r="T477" s="18"/>
      <c r="U477" s="175"/>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4"/>
      <c r="BR477" s="14"/>
      <c r="BS477" s="14"/>
      <c r="BT477" s="14"/>
      <c r="BU477" s="14"/>
      <c r="BV477" s="14"/>
      <c r="BW477" s="14"/>
      <c r="BX477" s="14"/>
      <c r="BY477" s="14"/>
      <c r="BZ477" s="14"/>
      <c r="CA477" s="14"/>
      <c r="CB477" s="14"/>
      <c r="CC477" s="14"/>
      <c r="CD477" s="14"/>
      <c r="CE477" s="14"/>
      <c r="CF477" s="14"/>
      <c r="CG477" s="14"/>
      <c r="CH477" s="14"/>
      <c r="CI477" s="14"/>
      <c r="CJ477" s="14"/>
      <c r="CK477" s="14"/>
      <c r="CL477" s="14"/>
      <c r="CM477" s="14"/>
      <c r="CN477" s="14"/>
      <c r="CO477" s="14"/>
      <c r="CP477" s="14"/>
      <c r="CQ477" s="14"/>
      <c r="CR477" s="14"/>
      <c r="CS477" s="14"/>
      <c r="CT477" s="14"/>
      <c r="CU477" s="14"/>
      <c r="CV477" s="14"/>
      <c r="CW477" s="14"/>
      <c r="CX477" s="14"/>
      <c r="CY477" s="14"/>
      <c r="CZ477" s="14"/>
      <c r="DA477" s="14"/>
      <c r="DB477" s="14"/>
      <c r="DC477" s="14"/>
      <c r="DD477" s="14"/>
      <c r="DE477" s="14"/>
      <c r="DF477" s="14"/>
      <c r="DG477" s="14"/>
      <c r="DH477" s="14"/>
      <c r="DI477" s="14"/>
      <c r="DJ477" s="14"/>
      <c r="DK477" s="14"/>
      <c r="DL477" s="14"/>
      <c r="DM477" s="14"/>
      <c r="DN477" s="14"/>
      <c r="DO477" s="14"/>
      <c r="DP477" s="14"/>
      <c r="DQ477" s="14"/>
      <c r="DR477" s="14"/>
      <c r="DS477" s="14"/>
      <c r="DT477" s="14"/>
      <c r="DU477" s="14"/>
      <c r="DV477" s="14"/>
      <c r="DW477" s="14"/>
      <c r="DX477" s="14"/>
      <c r="DY477" s="14"/>
      <c r="DZ477" s="14"/>
      <c r="EA477" s="14"/>
      <c r="EB477" s="14"/>
      <c r="EC477" s="14"/>
      <c r="ED477" s="14"/>
      <c r="EE477" s="14"/>
      <c r="EF477" s="14"/>
      <c r="EG477" s="14"/>
      <c r="EH477" s="14"/>
      <c r="EI477" s="14"/>
      <c r="EJ477" s="14"/>
      <c r="EK477" s="14"/>
      <c r="EL477" s="14"/>
      <c r="EM477" s="14"/>
      <c r="EN477" s="14"/>
      <c r="EO477" s="14"/>
      <c r="EP477" s="14"/>
      <c r="EQ477" s="14"/>
      <c r="ER477" s="14"/>
      <c r="ES477" s="14"/>
      <c r="ET477" s="14"/>
      <c r="EU477" s="14"/>
      <c r="EV477" s="14"/>
      <c r="EW477" s="14"/>
      <c r="EX477" s="14"/>
      <c r="EY477" s="14"/>
      <c r="EZ477" s="14"/>
      <c r="FA477" s="14"/>
      <c r="FB477" s="14"/>
      <c r="FC477" s="14"/>
      <c r="FD477" s="14"/>
      <c r="FE477" s="14"/>
      <c r="FF477" s="14"/>
      <c r="FG477" s="14"/>
      <c r="FH477" s="14"/>
      <c r="FI477" s="14"/>
      <c r="FJ477" s="14"/>
      <c r="FK477" s="14"/>
      <c r="FL477" s="14"/>
      <c r="FM477" s="14"/>
      <c r="FN477" s="14"/>
      <c r="FO477" s="14"/>
      <c r="FP477" s="14"/>
      <c r="FQ477" s="14"/>
      <c r="FR477" s="14"/>
      <c r="FS477" s="14"/>
      <c r="FT477" s="14"/>
      <c r="FU477" s="14"/>
      <c r="FV477" s="14"/>
      <c r="FW477" s="14"/>
      <c r="FX477" s="14"/>
      <c r="FY477" s="14"/>
      <c r="FZ477" s="14"/>
      <c r="GA477" s="14"/>
      <c r="GB477" s="14"/>
      <c r="GC477" s="14"/>
      <c r="GD477" s="14"/>
      <c r="GE477" s="14"/>
      <c r="GF477" s="14"/>
      <c r="GG477" s="14"/>
      <c r="GH477" s="14"/>
      <c r="GI477" s="14"/>
      <c r="GJ477" s="14"/>
      <c r="GK477" s="14"/>
      <c r="GL477" s="14"/>
      <c r="GM477" s="14"/>
      <c r="GN477" s="14"/>
      <c r="GO477" s="14"/>
      <c r="GP477" s="14"/>
      <c r="GQ477" s="14"/>
      <c r="GR477" s="14"/>
      <c r="GS477" s="14"/>
      <c r="GT477" s="14"/>
      <c r="GU477" s="14"/>
      <c r="GV477" s="14"/>
      <c r="GW477" s="14"/>
      <c r="GX477" s="14"/>
      <c r="GY477" s="14"/>
      <c r="GZ477" s="14"/>
      <c r="HA477" s="14"/>
      <c r="HB477" s="14"/>
      <c r="HC477" s="14"/>
      <c r="HD477" s="14"/>
      <c r="HE477" s="14"/>
      <c r="HF477" s="14"/>
      <c r="HG477" s="14"/>
      <c r="HH477" s="14"/>
      <c r="HI477" s="14"/>
      <c r="HJ477" s="14"/>
      <c r="HK477" s="14"/>
      <c r="HL477" s="14"/>
      <c r="HM477" s="14"/>
      <c r="HN477" s="14"/>
      <c r="HO477" s="14"/>
      <c r="HP477" s="14"/>
      <c r="HQ477" s="14"/>
      <c r="HR477" s="14"/>
      <c r="HS477" s="14"/>
      <c r="HT477" s="14"/>
    </row>
    <row r="478" spans="2:228" ht="33.75" customHeight="1" x14ac:dyDescent="0.2">
      <c r="B478" s="185"/>
      <c r="C478" s="1536" t="s">
        <v>1796</v>
      </c>
      <c r="D478" s="1555"/>
      <c r="E478" s="185"/>
      <c r="F478" s="1536" t="s">
        <v>1277</v>
      </c>
      <c r="G478" s="1536"/>
      <c r="H478" s="1555"/>
      <c r="I478" s="1555"/>
      <c r="J478" s="1555" t="s">
        <v>1796</v>
      </c>
      <c r="K478" s="1555"/>
      <c r="L478" s="1555"/>
      <c r="M478" s="1555"/>
      <c r="N478" s="1555" t="s">
        <v>1738</v>
      </c>
      <c r="O478" s="1555"/>
      <c r="P478" s="1555"/>
      <c r="R478" s="18"/>
      <c r="S478" s="973" t="s">
        <v>1737</v>
      </c>
      <c r="T478" s="973" t="s">
        <v>1307</v>
      </c>
      <c r="U478" s="970" t="s">
        <v>1122</v>
      </c>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4"/>
      <c r="BR478" s="14"/>
      <c r="BS478" s="14"/>
      <c r="BT478" s="14"/>
      <c r="BU478" s="14"/>
      <c r="BV478" s="14"/>
      <c r="BW478" s="14"/>
      <c r="BX478" s="14"/>
      <c r="BY478" s="14"/>
      <c r="BZ478" s="14"/>
      <c r="CA478" s="14"/>
      <c r="CB478" s="14"/>
      <c r="CC478" s="14"/>
      <c r="CD478" s="14"/>
      <c r="CE478" s="14"/>
      <c r="CF478" s="14"/>
      <c r="CG478" s="14"/>
      <c r="CH478" s="14"/>
      <c r="CI478" s="14"/>
      <c r="CJ478" s="14"/>
      <c r="CK478" s="14"/>
      <c r="CL478" s="14"/>
      <c r="CM478" s="14"/>
      <c r="CN478" s="14"/>
      <c r="CO478" s="14"/>
      <c r="CP478" s="14"/>
      <c r="CQ478" s="14"/>
      <c r="CR478" s="14"/>
      <c r="CS478" s="14"/>
      <c r="CT478" s="14"/>
      <c r="CU478" s="14"/>
      <c r="CV478" s="14"/>
      <c r="CW478" s="14"/>
      <c r="CX478" s="14"/>
      <c r="CY478" s="14"/>
      <c r="CZ478" s="14"/>
      <c r="DA478" s="14"/>
      <c r="DB478" s="14"/>
      <c r="DC478" s="14"/>
      <c r="DD478" s="14"/>
      <c r="DE478" s="14"/>
      <c r="DF478" s="14"/>
      <c r="DG478" s="14"/>
      <c r="DH478" s="14"/>
      <c r="DI478" s="14"/>
      <c r="DJ478" s="14"/>
      <c r="DK478" s="14"/>
      <c r="DL478" s="14"/>
      <c r="DM478" s="14"/>
      <c r="DN478" s="14"/>
      <c r="DO478" s="14"/>
      <c r="DP478" s="14"/>
      <c r="DQ478" s="14"/>
      <c r="DR478" s="14"/>
      <c r="DS478" s="14"/>
      <c r="DT478" s="14"/>
      <c r="DU478" s="14"/>
      <c r="DV478" s="14"/>
      <c r="DW478" s="14"/>
      <c r="DX478" s="14"/>
      <c r="DY478" s="14"/>
      <c r="DZ478" s="14"/>
      <c r="EA478" s="14"/>
      <c r="EB478" s="14"/>
      <c r="EC478" s="14"/>
      <c r="ED478" s="14"/>
      <c r="EE478" s="14"/>
      <c r="EF478" s="14"/>
      <c r="EG478" s="14"/>
      <c r="EH478" s="14"/>
      <c r="EI478" s="14"/>
      <c r="EJ478" s="14"/>
      <c r="EK478" s="14"/>
      <c r="EL478" s="14"/>
      <c r="EM478" s="14"/>
      <c r="EN478" s="14"/>
      <c r="EO478" s="14"/>
      <c r="EP478" s="14"/>
      <c r="EQ478" s="14"/>
      <c r="ER478" s="14"/>
      <c r="ES478" s="14"/>
      <c r="ET478" s="14"/>
      <c r="EU478" s="14"/>
      <c r="EV478" s="14"/>
      <c r="EW478" s="14"/>
      <c r="EX478" s="14"/>
      <c r="EY478" s="14"/>
      <c r="EZ478" s="14"/>
      <c r="FA478" s="14"/>
      <c r="FB478" s="14"/>
      <c r="FC478" s="14"/>
      <c r="FD478" s="14"/>
      <c r="FE478" s="14"/>
      <c r="FF478" s="14"/>
      <c r="FG478" s="14"/>
      <c r="FH478" s="14"/>
      <c r="FI478" s="14"/>
      <c r="FJ478" s="14"/>
      <c r="FK478" s="14"/>
      <c r="FL478" s="14"/>
      <c r="FM478" s="14"/>
      <c r="FN478" s="14"/>
      <c r="FO478" s="14"/>
      <c r="FP478" s="14"/>
      <c r="FQ478" s="14"/>
      <c r="FR478" s="14"/>
      <c r="FS478" s="14"/>
      <c r="FT478" s="14"/>
      <c r="FU478" s="14"/>
      <c r="FV478" s="14"/>
      <c r="FW478" s="14"/>
      <c r="FX478" s="14"/>
      <c r="FY478" s="14"/>
      <c r="FZ478" s="14"/>
      <c r="GA478" s="14"/>
      <c r="GB478" s="14"/>
      <c r="GC478" s="14"/>
      <c r="GD478" s="14"/>
      <c r="GE478" s="14"/>
      <c r="GF478" s="14"/>
      <c r="GG478" s="14"/>
      <c r="GH478" s="14"/>
      <c r="GI478" s="14"/>
      <c r="GJ478" s="14"/>
      <c r="GK478" s="14"/>
      <c r="GL478" s="14"/>
      <c r="GM478" s="14"/>
      <c r="GN478" s="14"/>
      <c r="GO478" s="14"/>
      <c r="GP478" s="14"/>
      <c r="GQ478" s="14"/>
      <c r="GR478" s="14"/>
      <c r="GS478" s="14"/>
      <c r="GT478" s="14"/>
      <c r="GU478" s="14"/>
      <c r="GV478" s="14"/>
      <c r="GW478" s="14"/>
      <c r="GX478" s="14"/>
      <c r="GY478" s="14"/>
      <c r="GZ478" s="14"/>
      <c r="HA478" s="14"/>
      <c r="HB478" s="14"/>
      <c r="HC478" s="14"/>
      <c r="HD478" s="14"/>
      <c r="HE478" s="14"/>
      <c r="HF478" s="14"/>
      <c r="HG478" s="14"/>
      <c r="HH478" s="14"/>
      <c r="HI478" s="14"/>
      <c r="HJ478" s="14"/>
      <c r="HK478" s="14"/>
      <c r="HL478" s="14"/>
      <c r="HM478" s="14"/>
      <c r="HN478" s="14"/>
      <c r="HO478" s="14"/>
      <c r="HP478" s="14"/>
      <c r="HQ478" s="14"/>
      <c r="HR478" s="14"/>
      <c r="HS478" s="14"/>
      <c r="HT478" s="14"/>
    </row>
    <row r="479" spans="2:228" ht="18" customHeight="1" x14ac:dyDescent="0.2">
      <c r="B479" s="185" t="s">
        <v>1365</v>
      </c>
      <c r="C479" s="1373">
        <f>P33</f>
        <v>0</v>
      </c>
      <c r="D479" s="1346"/>
      <c r="E479" s="42" t="s">
        <v>1791</v>
      </c>
      <c r="F479" s="1657">
        <v>0.06</v>
      </c>
      <c r="G479" s="1657"/>
      <c r="H479" s="2000" t="s">
        <v>1793</v>
      </c>
      <c r="I479" s="2000"/>
      <c r="J479" s="2013">
        <f>IF(C489&lt;R1,"DOI&lt;2005",IF($P$270&gt;0,0,T479))</f>
        <v>0</v>
      </c>
      <c r="K479" s="2013"/>
      <c r="L479" s="2013"/>
      <c r="M479" s="2013"/>
      <c r="N479" s="2014" t="str">
        <f>IF(C479=0,"",IF($P$270&gt;0,"Converted",""))</f>
        <v/>
      </c>
      <c r="O479" s="2014"/>
      <c r="P479" s="2014"/>
      <c r="R479" s="18"/>
      <c r="S479" s="750">
        <f>IF(AND(C479*F479&gt;0,C479*F479&lt;0.01),0.01,C479*F479)</f>
        <v>0</v>
      </c>
      <c r="T479" s="749">
        <f t="shared" ref="T479:T485" si="71">ROUND(S479,2)</f>
        <v>0</v>
      </c>
      <c r="U479" s="749">
        <f>SUM(E342:E367)</f>
        <v>0</v>
      </c>
      <c r="V479" s="973" t="s">
        <v>2233</v>
      </c>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4"/>
      <c r="BR479" s="14"/>
      <c r="BS479" s="14"/>
      <c r="BT479" s="14"/>
      <c r="BU479" s="14"/>
      <c r="BV479" s="14"/>
      <c r="BW479" s="14"/>
      <c r="BX479" s="14"/>
      <c r="BY479" s="14"/>
      <c r="BZ479" s="14"/>
      <c r="CA479" s="14"/>
      <c r="CB479" s="14"/>
      <c r="CC479" s="14"/>
      <c r="CD479" s="14"/>
      <c r="CE479" s="14"/>
      <c r="CF479" s="14"/>
      <c r="CG479" s="14"/>
      <c r="CH479" s="14"/>
      <c r="CI479" s="14"/>
      <c r="CJ479" s="14"/>
      <c r="CK479" s="14"/>
      <c r="CL479" s="14"/>
      <c r="CM479" s="14"/>
      <c r="CN479" s="14"/>
      <c r="CO479" s="14"/>
      <c r="CP479" s="14"/>
      <c r="CQ479" s="14"/>
      <c r="CR479" s="14"/>
      <c r="CS479" s="14"/>
      <c r="CT479" s="14"/>
      <c r="CU479" s="14"/>
      <c r="CV479" s="14"/>
      <c r="CW479" s="14"/>
      <c r="CX479" s="14"/>
      <c r="CY479" s="14"/>
      <c r="CZ479" s="14"/>
      <c r="DA479" s="14"/>
      <c r="DB479" s="14"/>
      <c r="DC479" s="14"/>
      <c r="DD479" s="14"/>
      <c r="DE479" s="14"/>
      <c r="DF479" s="14"/>
      <c r="DG479" s="14"/>
      <c r="DH479" s="14"/>
      <c r="DI479" s="14"/>
      <c r="DJ479" s="14"/>
      <c r="DK479" s="14"/>
      <c r="DL479" s="14"/>
      <c r="DM479" s="14"/>
      <c r="DN479" s="14"/>
      <c r="DO479" s="14"/>
      <c r="DP479" s="14"/>
      <c r="DQ479" s="14"/>
      <c r="DR479" s="14"/>
      <c r="DS479" s="14"/>
      <c r="DT479" s="14"/>
      <c r="DU479" s="14"/>
      <c r="DV479" s="14"/>
      <c r="DW479" s="14"/>
      <c r="DX479" s="14"/>
      <c r="DY479" s="14"/>
      <c r="DZ479" s="14"/>
      <c r="EA479" s="14"/>
      <c r="EB479" s="14"/>
      <c r="EC479" s="14"/>
      <c r="ED479" s="14"/>
      <c r="EE479" s="14"/>
      <c r="EF479" s="14"/>
      <c r="EG479" s="14"/>
      <c r="EH479" s="14"/>
      <c r="EI479" s="14"/>
      <c r="EJ479" s="14"/>
      <c r="EK479" s="14"/>
      <c r="EL479" s="14"/>
      <c r="EM479" s="14"/>
      <c r="EN479" s="14"/>
      <c r="EO479" s="14"/>
      <c r="EP479" s="14"/>
      <c r="EQ479" s="14"/>
      <c r="ER479" s="14"/>
      <c r="ES479" s="14"/>
      <c r="ET479" s="14"/>
      <c r="EU479" s="14"/>
      <c r="EV479" s="14"/>
      <c r="EW479" s="14"/>
      <c r="EX479" s="14"/>
      <c r="EY479" s="14"/>
      <c r="EZ479" s="14"/>
      <c r="FA479" s="14"/>
      <c r="FB479" s="14"/>
      <c r="FC479" s="14"/>
      <c r="FD479" s="14"/>
      <c r="FE479" s="14"/>
      <c r="FF479" s="14"/>
      <c r="FG479" s="14"/>
      <c r="FH479" s="14"/>
      <c r="FI479" s="14"/>
      <c r="FJ479" s="14"/>
      <c r="FK479" s="14"/>
      <c r="FL479" s="14"/>
      <c r="FM479" s="14"/>
      <c r="FN479" s="14"/>
      <c r="FO479" s="14"/>
      <c r="FP479" s="14"/>
      <c r="FQ479" s="14"/>
      <c r="FR479" s="14"/>
      <c r="FS479" s="14"/>
      <c r="FT479" s="14"/>
      <c r="FU479" s="14"/>
      <c r="FV479" s="14"/>
      <c r="FW479" s="14"/>
      <c r="FX479" s="14"/>
      <c r="FY479" s="14"/>
      <c r="FZ479" s="14"/>
      <c r="GA479" s="14"/>
      <c r="GB479" s="14"/>
      <c r="GC479" s="14"/>
      <c r="GD479" s="14"/>
      <c r="GE479" s="14"/>
      <c r="GF479" s="14"/>
      <c r="GG479" s="14"/>
      <c r="GH479" s="14"/>
      <c r="GI479" s="14"/>
      <c r="GJ479" s="14"/>
      <c r="GK479" s="14"/>
      <c r="GL479" s="14"/>
      <c r="GM479" s="14"/>
      <c r="GN479" s="14"/>
      <c r="GO479" s="14"/>
      <c r="GP479" s="14"/>
      <c r="GQ479" s="14"/>
      <c r="GR479" s="14"/>
      <c r="GS479" s="14"/>
      <c r="GT479" s="14"/>
      <c r="GU479" s="14"/>
      <c r="GV479" s="14"/>
      <c r="GW479" s="14"/>
      <c r="GX479" s="14"/>
      <c r="GY479" s="14"/>
      <c r="GZ479" s="14"/>
      <c r="HA479" s="14"/>
      <c r="HB479" s="14"/>
      <c r="HC479" s="14"/>
      <c r="HD479" s="14"/>
      <c r="HE479" s="14"/>
      <c r="HF479" s="14"/>
      <c r="HG479" s="14"/>
      <c r="HH479" s="14"/>
      <c r="HI479" s="14"/>
      <c r="HJ479" s="14"/>
      <c r="HK479" s="14"/>
      <c r="HL479" s="14"/>
      <c r="HM479" s="14"/>
      <c r="HN479" s="14"/>
      <c r="HO479" s="14"/>
      <c r="HP479" s="14"/>
      <c r="HQ479" s="14"/>
      <c r="HR479" s="14"/>
      <c r="HS479" s="14"/>
      <c r="HT479" s="14"/>
    </row>
    <row r="480" spans="2:228" ht="18" customHeight="1" x14ac:dyDescent="0.2">
      <c r="B480" s="185" t="s">
        <v>1366</v>
      </c>
      <c r="C480" s="1373">
        <f>P72</f>
        <v>0</v>
      </c>
      <c r="D480" s="1346"/>
      <c r="E480" s="42" t="s">
        <v>1791</v>
      </c>
      <c r="F480" s="1657">
        <v>0.01</v>
      </c>
      <c r="G480" s="1657"/>
      <c r="H480" s="2000" t="s">
        <v>1793</v>
      </c>
      <c r="I480" s="2000"/>
      <c r="J480" s="2013">
        <f>IF(C489&lt;R1,"DOI&lt;2005",IF($P$270&gt;0,0,T480))</f>
        <v>0</v>
      </c>
      <c r="K480" s="2013"/>
      <c r="L480" s="2013"/>
      <c r="M480" s="2013"/>
      <c r="N480" s="2014" t="str">
        <f>IF(C480=0,"",IF($P$270&gt;0,"Converted",""))</f>
        <v/>
      </c>
      <c r="O480" s="2014"/>
      <c r="P480" s="2014"/>
      <c r="R480" s="18"/>
      <c r="S480" s="750">
        <f t="shared" ref="S480:S485" si="72">IF(AND(C480*F480&gt;0,C480*F480&lt;0.01),0.01,C480*F480)</f>
        <v>0</v>
      </c>
      <c r="T480" s="749">
        <f t="shared" si="71"/>
        <v>0</v>
      </c>
      <c r="U480" s="749">
        <f>SUM(E449:E471)</f>
        <v>0</v>
      </c>
      <c r="V480" s="973" t="s">
        <v>2232</v>
      </c>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4"/>
      <c r="BR480" s="14"/>
      <c r="BS480" s="14"/>
      <c r="BT480" s="14"/>
      <c r="BU480" s="14"/>
      <c r="BV480" s="14"/>
      <c r="BW480" s="14"/>
      <c r="BX480" s="14"/>
      <c r="BY480" s="14"/>
      <c r="BZ480" s="14"/>
      <c r="CA480" s="14"/>
      <c r="CB480" s="14"/>
      <c r="CC480" s="14"/>
      <c r="CD480" s="14"/>
      <c r="CE480" s="14"/>
      <c r="CF480" s="14"/>
      <c r="CG480" s="14"/>
      <c r="CH480" s="14"/>
      <c r="CI480" s="14"/>
      <c r="CJ480" s="14"/>
      <c r="CK480" s="14"/>
      <c r="CL480" s="14"/>
      <c r="CM480" s="14"/>
      <c r="CN480" s="14"/>
      <c r="CO480" s="14"/>
      <c r="CP480" s="14"/>
      <c r="CQ480" s="14"/>
      <c r="CR480" s="14"/>
      <c r="CS480" s="14"/>
      <c r="CT480" s="14"/>
      <c r="CU480" s="14"/>
      <c r="CV480" s="14"/>
      <c r="CW480" s="14"/>
      <c r="CX480" s="14"/>
      <c r="CY480" s="14"/>
      <c r="CZ480" s="14"/>
      <c r="DA480" s="14"/>
      <c r="DB480" s="14"/>
      <c r="DC480" s="14"/>
      <c r="DD480" s="14"/>
      <c r="DE480" s="14"/>
      <c r="DF480" s="14"/>
      <c r="DG480" s="14"/>
      <c r="DH480" s="14"/>
      <c r="DI480" s="14"/>
      <c r="DJ480" s="14"/>
      <c r="DK480" s="14"/>
      <c r="DL480" s="14"/>
      <c r="DM480" s="14"/>
      <c r="DN480" s="14"/>
      <c r="DO480" s="14"/>
      <c r="DP480" s="14"/>
      <c r="DQ480" s="14"/>
      <c r="DR480" s="14"/>
      <c r="DS480" s="14"/>
      <c r="DT480" s="14"/>
      <c r="DU480" s="14"/>
      <c r="DV480" s="14"/>
      <c r="DW480" s="14"/>
      <c r="DX480" s="14"/>
      <c r="DY480" s="14"/>
      <c r="DZ480" s="14"/>
      <c r="EA480" s="14"/>
      <c r="EB480" s="14"/>
      <c r="EC480" s="14"/>
      <c r="ED480" s="14"/>
      <c r="EE480" s="14"/>
      <c r="EF480" s="14"/>
      <c r="EG480" s="14"/>
      <c r="EH480" s="14"/>
      <c r="EI480" s="14"/>
      <c r="EJ480" s="14"/>
      <c r="EK480" s="14"/>
      <c r="EL480" s="14"/>
      <c r="EM480" s="14"/>
      <c r="EN480" s="14"/>
      <c r="EO480" s="14"/>
      <c r="EP480" s="14"/>
      <c r="EQ480" s="14"/>
      <c r="ER480" s="14"/>
      <c r="ES480" s="14"/>
      <c r="ET480" s="14"/>
      <c r="EU480" s="14"/>
      <c r="EV480" s="14"/>
      <c r="EW480" s="14"/>
      <c r="EX480" s="14"/>
      <c r="EY480" s="14"/>
      <c r="EZ480" s="14"/>
      <c r="FA480" s="14"/>
      <c r="FB480" s="14"/>
      <c r="FC480" s="14"/>
      <c r="FD480" s="14"/>
      <c r="FE480" s="14"/>
      <c r="FF480" s="14"/>
      <c r="FG480" s="14"/>
      <c r="FH480" s="14"/>
      <c r="FI480" s="14"/>
      <c r="FJ480" s="14"/>
      <c r="FK480" s="14"/>
      <c r="FL480" s="14"/>
      <c r="FM480" s="14"/>
      <c r="FN480" s="14"/>
      <c r="FO480" s="14"/>
      <c r="FP480" s="14"/>
      <c r="FQ480" s="14"/>
      <c r="FR480" s="14"/>
      <c r="FS480" s="14"/>
      <c r="FT480" s="14"/>
      <c r="FU480" s="14"/>
      <c r="FV480" s="14"/>
      <c r="FW480" s="14"/>
      <c r="FX480" s="14"/>
      <c r="FY480" s="14"/>
      <c r="FZ480" s="14"/>
      <c r="GA480" s="14"/>
      <c r="GB480" s="14"/>
      <c r="GC480" s="14"/>
      <c r="GD480" s="14"/>
      <c r="GE480" s="14"/>
      <c r="GF480" s="14"/>
      <c r="GG480" s="14"/>
      <c r="GH480" s="14"/>
      <c r="GI480" s="14"/>
      <c r="GJ480" s="14"/>
      <c r="GK480" s="14"/>
      <c r="GL480" s="14"/>
      <c r="GM480" s="14"/>
      <c r="GN480" s="14"/>
      <c r="GO480" s="14"/>
      <c r="GP480" s="14"/>
      <c r="GQ480" s="14"/>
      <c r="GR480" s="14"/>
      <c r="GS480" s="14"/>
      <c r="GT480" s="14"/>
      <c r="GU480" s="14"/>
      <c r="GV480" s="14"/>
      <c r="GW480" s="14"/>
      <c r="GX480" s="14"/>
      <c r="GY480" s="14"/>
      <c r="GZ480" s="14"/>
      <c r="HA480" s="14"/>
      <c r="HB480" s="14"/>
      <c r="HC480" s="14"/>
      <c r="HD480" s="14"/>
      <c r="HE480" s="14"/>
      <c r="HF480" s="14"/>
      <c r="HG480" s="14"/>
      <c r="HH480" s="14"/>
      <c r="HI480" s="14"/>
      <c r="HJ480" s="14"/>
      <c r="HK480" s="14"/>
      <c r="HL480" s="14"/>
      <c r="HM480" s="14"/>
      <c r="HN480" s="14"/>
      <c r="HO480" s="14"/>
      <c r="HP480" s="14"/>
      <c r="HQ480" s="14"/>
      <c r="HR480" s="14"/>
      <c r="HS480" s="14"/>
      <c r="HT480" s="14"/>
    </row>
    <row r="481" spans="1:228" ht="18" customHeight="1" x14ac:dyDescent="0.2">
      <c r="B481" s="185" t="s">
        <v>1367</v>
      </c>
      <c r="C481" s="1373">
        <f>P112</f>
        <v>0</v>
      </c>
      <c r="D481" s="1346"/>
      <c r="E481" s="42" t="s">
        <v>1791</v>
      </c>
      <c r="F481" s="1657">
        <v>0.01</v>
      </c>
      <c r="G481" s="1657"/>
      <c r="H481" s="2000" t="s">
        <v>1793</v>
      </c>
      <c r="I481" s="2000"/>
      <c r="J481" s="2013">
        <f>IF(C489&lt;R1,"DOI&lt;2005",IF($P$270&gt;0,0,T481))</f>
        <v>0</v>
      </c>
      <c r="K481" s="2013"/>
      <c r="L481" s="2013"/>
      <c r="M481" s="2013"/>
      <c r="N481" s="2014" t="str">
        <f>IF(C481=0,"",IF($P$270&gt;0,"Converted",""))</f>
        <v/>
      </c>
      <c r="O481" s="2014"/>
      <c r="P481" s="2014"/>
      <c r="R481" s="18"/>
      <c r="S481" s="750">
        <f t="shared" si="72"/>
        <v>0</v>
      </c>
      <c r="T481" s="749">
        <f t="shared" si="71"/>
        <v>0</v>
      </c>
      <c r="U481" s="980">
        <f>IF(AND(U479&gt;0,U480&gt;0),1,0)</f>
        <v>0</v>
      </c>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4"/>
      <c r="BR481" s="14"/>
      <c r="BS481" s="14"/>
      <c r="BT481" s="14"/>
      <c r="BU481" s="14"/>
      <c r="BV481" s="14"/>
      <c r="BW481" s="14"/>
      <c r="BX481" s="14"/>
      <c r="BY481" s="14"/>
      <c r="BZ481" s="14"/>
      <c r="CA481" s="14"/>
      <c r="CB481" s="14"/>
      <c r="CC481" s="14"/>
      <c r="CD481" s="14"/>
      <c r="CE481" s="14"/>
      <c r="CF481" s="14"/>
      <c r="CG481" s="14"/>
      <c r="CH481" s="14"/>
      <c r="CI481" s="14"/>
      <c r="CJ481" s="14"/>
      <c r="CK481" s="14"/>
      <c r="CL481" s="14"/>
      <c r="CM481" s="14"/>
      <c r="CN481" s="14"/>
      <c r="CO481" s="14"/>
      <c r="CP481" s="14"/>
      <c r="CQ481" s="14"/>
      <c r="CR481" s="14"/>
      <c r="CS481" s="14"/>
      <c r="CT481" s="14"/>
      <c r="CU481" s="14"/>
      <c r="CV481" s="14"/>
      <c r="CW481" s="14"/>
      <c r="CX481" s="14"/>
      <c r="CY481" s="14"/>
      <c r="CZ481" s="14"/>
      <c r="DA481" s="14"/>
      <c r="DB481" s="14"/>
      <c r="DC481" s="14"/>
      <c r="DD481" s="14"/>
      <c r="DE481" s="14"/>
      <c r="DF481" s="14"/>
      <c r="DG481" s="14"/>
      <c r="DH481" s="14"/>
      <c r="DI481" s="14"/>
      <c r="DJ481" s="14"/>
      <c r="DK481" s="14"/>
      <c r="DL481" s="14"/>
      <c r="DM481" s="14"/>
      <c r="DN481" s="14"/>
      <c r="DO481" s="14"/>
      <c r="DP481" s="14"/>
      <c r="DQ481" s="14"/>
      <c r="DR481" s="14"/>
      <c r="DS481" s="14"/>
      <c r="DT481" s="14"/>
      <c r="DU481" s="14"/>
      <c r="DV481" s="14"/>
      <c r="DW481" s="14"/>
      <c r="DX481" s="14"/>
      <c r="DY481" s="14"/>
      <c r="DZ481" s="14"/>
      <c r="EA481" s="14"/>
      <c r="EB481" s="14"/>
      <c r="EC481" s="14"/>
      <c r="ED481" s="14"/>
      <c r="EE481" s="14"/>
      <c r="EF481" s="14"/>
      <c r="EG481" s="14"/>
      <c r="EH481" s="14"/>
      <c r="EI481" s="14"/>
      <c r="EJ481" s="14"/>
      <c r="EK481" s="14"/>
      <c r="EL481" s="14"/>
      <c r="EM481" s="14"/>
      <c r="EN481" s="14"/>
      <c r="EO481" s="14"/>
      <c r="EP481" s="14"/>
      <c r="EQ481" s="14"/>
      <c r="ER481" s="14"/>
      <c r="ES481" s="14"/>
      <c r="ET481" s="14"/>
      <c r="EU481" s="14"/>
      <c r="EV481" s="14"/>
      <c r="EW481" s="14"/>
      <c r="EX481" s="14"/>
      <c r="EY481" s="14"/>
      <c r="EZ481" s="14"/>
      <c r="FA481" s="14"/>
      <c r="FB481" s="14"/>
      <c r="FC481" s="14"/>
      <c r="FD481" s="14"/>
      <c r="FE481" s="14"/>
      <c r="FF481" s="14"/>
      <c r="FG481" s="14"/>
      <c r="FH481" s="14"/>
      <c r="FI481" s="14"/>
      <c r="FJ481" s="14"/>
      <c r="FK481" s="14"/>
      <c r="FL481" s="14"/>
      <c r="FM481" s="14"/>
      <c r="FN481" s="14"/>
      <c r="FO481" s="14"/>
      <c r="FP481" s="14"/>
      <c r="FQ481" s="14"/>
      <c r="FR481" s="14"/>
      <c r="FS481" s="14"/>
      <c r="FT481" s="14"/>
      <c r="FU481" s="14"/>
      <c r="FV481" s="14"/>
      <c r="FW481" s="14"/>
      <c r="FX481" s="14"/>
      <c r="FY481" s="14"/>
      <c r="FZ481" s="14"/>
      <c r="GA481" s="14"/>
      <c r="GB481" s="14"/>
      <c r="GC481" s="14"/>
      <c r="GD481" s="14"/>
      <c r="GE481" s="14"/>
      <c r="GF481" s="14"/>
      <c r="GG481" s="14"/>
      <c r="GH481" s="14"/>
      <c r="GI481" s="14"/>
      <c r="GJ481" s="14"/>
      <c r="GK481" s="14"/>
      <c r="GL481" s="14"/>
      <c r="GM481" s="14"/>
      <c r="GN481" s="14"/>
      <c r="GO481" s="14"/>
      <c r="GP481" s="14"/>
      <c r="GQ481" s="14"/>
      <c r="GR481" s="14"/>
      <c r="GS481" s="14"/>
      <c r="GT481" s="14"/>
      <c r="GU481" s="14"/>
      <c r="GV481" s="14"/>
      <c r="GW481" s="14"/>
      <c r="GX481" s="14"/>
      <c r="GY481" s="14"/>
      <c r="GZ481" s="14"/>
      <c r="HA481" s="14"/>
      <c r="HB481" s="14"/>
      <c r="HC481" s="14"/>
      <c r="HD481" s="14"/>
      <c r="HE481" s="14"/>
      <c r="HF481" s="14"/>
      <c r="HG481" s="14"/>
      <c r="HH481" s="14"/>
      <c r="HI481" s="14"/>
      <c r="HJ481" s="14"/>
      <c r="HK481" s="14"/>
      <c r="HL481" s="14"/>
      <c r="HM481" s="14"/>
      <c r="HN481" s="14"/>
      <c r="HO481" s="14"/>
      <c r="HP481" s="14"/>
      <c r="HQ481" s="14"/>
      <c r="HR481" s="14"/>
      <c r="HS481" s="14"/>
      <c r="HT481" s="14"/>
    </row>
    <row r="482" spans="1:228" ht="18" customHeight="1" x14ac:dyDescent="0.2">
      <c r="B482" s="185" t="s">
        <v>1368</v>
      </c>
      <c r="C482" s="1373">
        <f>P152</f>
        <v>0</v>
      </c>
      <c r="D482" s="1346"/>
      <c r="E482" s="42" t="s">
        <v>1791</v>
      </c>
      <c r="F482" s="1657">
        <v>0.01</v>
      </c>
      <c r="G482" s="1657"/>
      <c r="H482" s="2000" t="s">
        <v>1793</v>
      </c>
      <c r="I482" s="2000"/>
      <c r="J482" s="2013">
        <f>IF(C489&lt;R1,"DOI&lt;2005",IF($P$270&gt;0,0,T482))</f>
        <v>0</v>
      </c>
      <c r="K482" s="2013"/>
      <c r="L482" s="2013"/>
      <c r="M482" s="2013"/>
      <c r="N482" s="2014" t="str">
        <f>IF(C482=0,"",IF($P$270&gt;0,"Converted",""))</f>
        <v/>
      </c>
      <c r="O482" s="2014"/>
      <c r="P482" s="2014"/>
      <c r="R482" s="18"/>
      <c r="S482" s="750">
        <f t="shared" si="72"/>
        <v>0</v>
      </c>
      <c r="T482" s="749">
        <f t="shared" si="71"/>
        <v>0</v>
      </c>
      <c r="U482" s="112"/>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4"/>
      <c r="BR482" s="14"/>
      <c r="BS482" s="14"/>
      <c r="BT482" s="14"/>
      <c r="BU482" s="14"/>
      <c r="BV482" s="14"/>
      <c r="BW482" s="14"/>
      <c r="BX482" s="14"/>
      <c r="BY482" s="14"/>
      <c r="BZ482" s="14"/>
      <c r="CA482" s="14"/>
      <c r="CB482" s="14"/>
      <c r="CC482" s="14"/>
      <c r="CD482" s="14"/>
      <c r="CE482" s="14"/>
      <c r="CF482" s="14"/>
      <c r="CG482" s="14"/>
      <c r="CH482" s="14"/>
      <c r="CI482" s="14"/>
      <c r="CJ482" s="14"/>
      <c r="CK482" s="14"/>
      <c r="CL482" s="14"/>
      <c r="CM482" s="14"/>
      <c r="CN482" s="14"/>
      <c r="CO482" s="14"/>
      <c r="CP482" s="14"/>
      <c r="CQ482" s="14"/>
      <c r="CR482" s="14"/>
      <c r="CS482" s="14"/>
      <c r="CT482" s="14"/>
      <c r="CU482" s="14"/>
      <c r="CV482" s="14"/>
      <c r="CW482" s="14"/>
      <c r="CX482" s="14"/>
      <c r="CY482" s="14"/>
      <c r="CZ482" s="14"/>
      <c r="DA482" s="14"/>
      <c r="DB482" s="14"/>
      <c r="DC482" s="14"/>
      <c r="DD482" s="14"/>
      <c r="DE482" s="14"/>
      <c r="DF482" s="14"/>
      <c r="DG482" s="14"/>
      <c r="DH482" s="14"/>
      <c r="DI482" s="14"/>
      <c r="DJ482" s="14"/>
      <c r="DK482" s="14"/>
      <c r="DL482" s="14"/>
      <c r="DM482" s="14"/>
      <c r="DN482" s="14"/>
      <c r="DO482" s="14"/>
      <c r="DP482" s="14"/>
      <c r="DQ482" s="14"/>
      <c r="DR482" s="14"/>
      <c r="DS482" s="14"/>
      <c r="DT482" s="14"/>
      <c r="DU482" s="14"/>
      <c r="DV482" s="14"/>
      <c r="DW482" s="14"/>
      <c r="DX482" s="14"/>
      <c r="DY482" s="14"/>
      <c r="DZ482" s="14"/>
      <c r="EA482" s="14"/>
      <c r="EB482" s="14"/>
      <c r="EC482" s="14"/>
      <c r="ED482" s="14"/>
      <c r="EE482" s="14"/>
      <c r="EF482" s="14"/>
      <c r="EG482" s="14"/>
      <c r="EH482" s="14"/>
      <c r="EI482" s="14"/>
      <c r="EJ482" s="14"/>
      <c r="EK482" s="14"/>
      <c r="EL482" s="14"/>
      <c r="EM482" s="14"/>
      <c r="EN482" s="14"/>
      <c r="EO482" s="14"/>
      <c r="EP482" s="14"/>
      <c r="EQ482" s="14"/>
      <c r="ER482" s="14"/>
      <c r="ES482" s="14"/>
      <c r="ET482" s="14"/>
      <c r="EU482" s="14"/>
      <c r="EV482" s="14"/>
      <c r="EW482" s="14"/>
      <c r="EX482" s="14"/>
      <c r="EY482" s="14"/>
      <c r="EZ482" s="14"/>
      <c r="FA482" s="14"/>
      <c r="FB482" s="14"/>
      <c r="FC482" s="14"/>
      <c r="FD482" s="14"/>
      <c r="FE482" s="14"/>
      <c r="FF482" s="14"/>
      <c r="FG482" s="14"/>
      <c r="FH482" s="14"/>
      <c r="FI482" s="14"/>
      <c r="FJ482" s="14"/>
      <c r="FK482" s="14"/>
      <c r="FL482" s="14"/>
      <c r="FM482" s="14"/>
      <c r="FN482" s="14"/>
      <c r="FO482" s="14"/>
      <c r="FP482" s="14"/>
      <c r="FQ482" s="14"/>
      <c r="FR482" s="14"/>
      <c r="FS482" s="14"/>
      <c r="FT482" s="14"/>
      <c r="FU482" s="14"/>
      <c r="FV482" s="14"/>
      <c r="FW482" s="14"/>
      <c r="FX482" s="14"/>
      <c r="FY482" s="14"/>
      <c r="FZ482" s="14"/>
      <c r="GA482" s="14"/>
      <c r="GB482" s="14"/>
      <c r="GC482" s="14"/>
      <c r="GD482" s="14"/>
      <c r="GE482" s="14"/>
      <c r="GF482" s="14"/>
      <c r="GG482" s="14"/>
      <c r="GH482" s="14"/>
      <c r="GI482" s="14"/>
      <c r="GJ482" s="14"/>
      <c r="GK482" s="14"/>
      <c r="GL482" s="14"/>
      <c r="GM482" s="14"/>
      <c r="GN482" s="14"/>
      <c r="GO482" s="14"/>
      <c r="GP482" s="14"/>
      <c r="GQ482" s="14"/>
      <c r="GR482" s="14"/>
      <c r="GS482" s="14"/>
      <c r="GT482" s="14"/>
      <c r="GU482" s="14"/>
      <c r="GV482" s="14"/>
      <c r="GW482" s="14"/>
      <c r="GX482" s="14"/>
      <c r="GY482" s="14"/>
      <c r="GZ482" s="14"/>
      <c r="HA482" s="14"/>
      <c r="HB482" s="14"/>
      <c r="HC482" s="14"/>
      <c r="HD482" s="14"/>
      <c r="HE482" s="14"/>
      <c r="HF482" s="14"/>
      <c r="HG482" s="14"/>
      <c r="HH482" s="14"/>
      <c r="HI482" s="14"/>
      <c r="HJ482" s="14"/>
      <c r="HK482" s="14"/>
      <c r="HL482" s="14"/>
      <c r="HM482" s="14"/>
      <c r="HN482" s="14"/>
      <c r="HO482" s="14"/>
      <c r="HP482" s="14"/>
      <c r="HQ482" s="14"/>
      <c r="HR482" s="14"/>
      <c r="HS482" s="14"/>
      <c r="HT482" s="14"/>
    </row>
    <row r="483" spans="1:228" ht="18" customHeight="1" x14ac:dyDescent="0.2">
      <c r="B483" s="185" t="s">
        <v>1369</v>
      </c>
      <c r="C483" s="1373">
        <f>P192</f>
        <v>0</v>
      </c>
      <c r="D483" s="1346"/>
      <c r="E483" s="42" t="s">
        <v>1791</v>
      </c>
      <c r="F483" s="1657">
        <v>0.01</v>
      </c>
      <c r="G483" s="1657"/>
      <c r="H483" s="2000" t="s">
        <v>1793</v>
      </c>
      <c r="I483" s="2000"/>
      <c r="J483" s="2013">
        <f>IF(C489&lt;R1,"DOI&lt;2005",IF($P$270&gt;0,0,T483))</f>
        <v>0</v>
      </c>
      <c r="K483" s="2013"/>
      <c r="L483" s="2013"/>
      <c r="M483" s="2013"/>
      <c r="N483" s="2014" t="str">
        <f>IF(C483=0,"",IF($P$270&gt;0,"Converted",""))</f>
        <v/>
      </c>
      <c r="O483" s="2014"/>
      <c r="P483" s="2014"/>
      <c r="R483" s="18"/>
      <c r="S483" s="750">
        <f t="shared" si="72"/>
        <v>0</v>
      </c>
      <c r="T483" s="749">
        <f t="shared" si="71"/>
        <v>0</v>
      </c>
      <c r="U483" s="112"/>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4"/>
      <c r="BR483" s="14"/>
      <c r="BS483" s="14"/>
      <c r="BT483" s="14"/>
      <c r="BU483" s="14"/>
      <c r="BV483" s="14"/>
      <c r="BW483" s="14"/>
      <c r="BX483" s="14"/>
      <c r="BY483" s="14"/>
      <c r="BZ483" s="14"/>
      <c r="CA483" s="14"/>
      <c r="CB483" s="14"/>
      <c r="CC483" s="14"/>
      <c r="CD483" s="14"/>
      <c r="CE483" s="14"/>
      <c r="CF483" s="14"/>
      <c r="CG483" s="14"/>
      <c r="CH483" s="14"/>
      <c r="CI483" s="14"/>
      <c r="CJ483" s="14"/>
      <c r="CK483" s="14"/>
      <c r="CL483" s="14"/>
      <c r="CM483" s="14"/>
      <c r="CN483" s="14"/>
      <c r="CO483" s="14"/>
      <c r="CP483" s="14"/>
      <c r="CQ483" s="14"/>
      <c r="CR483" s="14"/>
      <c r="CS483" s="14"/>
      <c r="CT483" s="14"/>
      <c r="CU483" s="14"/>
      <c r="CV483" s="14"/>
      <c r="CW483" s="14"/>
      <c r="CX483" s="14"/>
      <c r="CY483" s="14"/>
      <c r="CZ483" s="14"/>
      <c r="DA483" s="14"/>
      <c r="DB483" s="14"/>
      <c r="DC483" s="14"/>
      <c r="DD483" s="14"/>
      <c r="DE483" s="14"/>
      <c r="DF483" s="14"/>
      <c r="DG483" s="14"/>
      <c r="DH483" s="14"/>
      <c r="DI483" s="14"/>
      <c r="DJ483" s="14"/>
      <c r="DK483" s="14"/>
      <c r="DL483" s="14"/>
      <c r="DM483" s="14"/>
      <c r="DN483" s="14"/>
      <c r="DO483" s="14"/>
      <c r="DP483" s="14"/>
      <c r="DQ483" s="14"/>
      <c r="DR483" s="14"/>
      <c r="DS483" s="14"/>
      <c r="DT483" s="14"/>
      <c r="DU483" s="14"/>
      <c r="DV483" s="14"/>
      <c r="DW483" s="14"/>
      <c r="DX483" s="14"/>
      <c r="DY483" s="14"/>
      <c r="DZ483" s="14"/>
      <c r="EA483" s="14"/>
      <c r="EB483" s="14"/>
      <c r="EC483" s="14"/>
      <c r="ED483" s="14"/>
      <c r="EE483" s="14"/>
      <c r="EF483" s="14"/>
      <c r="EG483" s="14"/>
      <c r="EH483" s="14"/>
      <c r="EI483" s="14"/>
      <c r="EJ483" s="14"/>
      <c r="EK483" s="14"/>
      <c r="EL483" s="14"/>
      <c r="EM483" s="14"/>
      <c r="EN483" s="14"/>
      <c r="EO483" s="14"/>
      <c r="EP483" s="14"/>
      <c r="EQ483" s="14"/>
      <c r="ER483" s="14"/>
      <c r="ES483" s="14"/>
      <c r="ET483" s="14"/>
      <c r="EU483" s="14"/>
      <c r="EV483" s="14"/>
      <c r="EW483" s="14"/>
      <c r="EX483" s="14"/>
      <c r="EY483" s="14"/>
      <c r="EZ483" s="14"/>
      <c r="FA483" s="14"/>
      <c r="FB483" s="14"/>
      <c r="FC483" s="14"/>
      <c r="FD483" s="14"/>
      <c r="FE483" s="14"/>
      <c r="FF483" s="14"/>
      <c r="FG483" s="14"/>
      <c r="FH483" s="14"/>
      <c r="FI483" s="14"/>
      <c r="FJ483" s="14"/>
      <c r="FK483" s="14"/>
      <c r="FL483" s="14"/>
      <c r="FM483" s="14"/>
      <c r="FN483" s="14"/>
      <c r="FO483" s="14"/>
      <c r="FP483" s="14"/>
      <c r="FQ483" s="14"/>
      <c r="FR483" s="14"/>
      <c r="FS483" s="14"/>
      <c r="FT483" s="14"/>
      <c r="FU483" s="14"/>
      <c r="FV483" s="14"/>
      <c r="FW483" s="14"/>
      <c r="FX483" s="14"/>
      <c r="FY483" s="14"/>
      <c r="FZ483" s="14"/>
      <c r="GA483" s="14"/>
      <c r="GB483" s="14"/>
      <c r="GC483" s="14"/>
      <c r="GD483" s="14"/>
      <c r="GE483" s="14"/>
      <c r="GF483" s="14"/>
      <c r="GG483" s="14"/>
      <c r="GH483" s="14"/>
      <c r="GI483" s="14"/>
      <c r="GJ483" s="14"/>
      <c r="GK483" s="14"/>
      <c r="GL483" s="14"/>
      <c r="GM483" s="14"/>
      <c r="GN483" s="14"/>
      <c r="GO483" s="14"/>
      <c r="GP483" s="14"/>
      <c r="GQ483" s="14"/>
      <c r="GR483" s="14"/>
      <c r="GS483" s="14"/>
      <c r="GT483" s="14"/>
      <c r="GU483" s="14"/>
      <c r="GV483" s="14"/>
      <c r="GW483" s="14"/>
      <c r="GX483" s="14"/>
      <c r="GY483" s="14"/>
      <c r="GZ483" s="14"/>
      <c r="HA483" s="14"/>
      <c r="HB483" s="14"/>
      <c r="HC483" s="14"/>
      <c r="HD483" s="14"/>
      <c r="HE483" s="14"/>
      <c r="HF483" s="14"/>
      <c r="HG483" s="14"/>
      <c r="HH483" s="14"/>
      <c r="HI483" s="14"/>
      <c r="HJ483" s="14"/>
      <c r="HK483" s="14"/>
      <c r="HL483" s="14"/>
      <c r="HM483" s="14"/>
      <c r="HN483" s="14"/>
      <c r="HO483" s="14"/>
      <c r="HP483" s="14"/>
      <c r="HQ483" s="14"/>
      <c r="HR483" s="14"/>
      <c r="HS483" s="14"/>
      <c r="HT483" s="14"/>
    </row>
    <row r="484" spans="1:228" ht="18" customHeight="1" x14ac:dyDescent="0.2">
      <c r="B484" s="185" t="s">
        <v>476</v>
      </c>
      <c r="C484" s="1373">
        <f>P341</f>
        <v>0</v>
      </c>
      <c r="D484" s="1346"/>
      <c r="E484" s="42" t="s">
        <v>1791</v>
      </c>
      <c r="F484" s="1657">
        <v>0.42</v>
      </c>
      <c r="G484" s="1657"/>
      <c r="H484" s="2000" t="s">
        <v>1793</v>
      </c>
      <c r="I484" s="2000"/>
      <c r="J484" s="2013">
        <f>IF(C489&lt;R1,"DOI&lt;2005",IF(AND(C484&gt;0,C485&gt;0),0,T484))</f>
        <v>0</v>
      </c>
      <c r="K484" s="2013"/>
      <c r="L484" s="2013"/>
      <c r="M484" s="2013"/>
      <c r="N484" s="2014" t="str">
        <f>IF(C484=0,"",IF(U481=1,"Converted",""))</f>
        <v/>
      </c>
      <c r="O484" s="2014"/>
      <c r="P484" s="2014"/>
      <c r="R484" s="18"/>
      <c r="S484" s="750">
        <f t="shared" si="72"/>
        <v>0</v>
      </c>
      <c r="T484" s="749">
        <f t="shared" si="71"/>
        <v>0</v>
      </c>
      <c r="U484" s="112"/>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4"/>
      <c r="BR484" s="14"/>
      <c r="BS484" s="14"/>
      <c r="BT484" s="14"/>
      <c r="BU484" s="14"/>
      <c r="BV484" s="14"/>
      <c r="BW484" s="14"/>
      <c r="BX484" s="14"/>
      <c r="BY484" s="14"/>
      <c r="BZ484" s="14"/>
      <c r="CA484" s="14"/>
      <c r="CB484" s="14"/>
      <c r="CC484" s="14"/>
      <c r="CD484" s="14"/>
      <c r="CE484" s="14"/>
      <c r="CF484" s="14"/>
      <c r="CG484" s="14"/>
      <c r="CH484" s="14"/>
      <c r="CI484" s="14"/>
      <c r="CJ484" s="14"/>
      <c r="CK484" s="14"/>
      <c r="CL484" s="14"/>
      <c r="CM484" s="14"/>
      <c r="CN484" s="14"/>
      <c r="CO484" s="14"/>
      <c r="CP484" s="14"/>
      <c r="CQ484" s="14"/>
      <c r="CR484" s="14"/>
      <c r="CS484" s="14"/>
      <c r="CT484" s="14"/>
      <c r="CU484" s="14"/>
      <c r="CV484" s="14"/>
      <c r="CW484" s="14"/>
      <c r="CX484" s="14"/>
      <c r="CY484" s="14"/>
      <c r="CZ484" s="14"/>
      <c r="DA484" s="14"/>
      <c r="DB484" s="14"/>
      <c r="DC484" s="14"/>
      <c r="DD484" s="14"/>
      <c r="DE484" s="14"/>
      <c r="DF484" s="14"/>
      <c r="DG484" s="14"/>
      <c r="DH484" s="14"/>
      <c r="DI484" s="14"/>
      <c r="DJ484" s="14"/>
      <c r="DK484" s="14"/>
      <c r="DL484" s="14"/>
      <c r="DM484" s="14"/>
      <c r="DN484" s="14"/>
      <c r="DO484" s="14"/>
      <c r="DP484" s="14"/>
      <c r="DQ484" s="14"/>
      <c r="DR484" s="14"/>
      <c r="DS484" s="14"/>
      <c r="DT484" s="14"/>
      <c r="DU484" s="14"/>
      <c r="DV484" s="14"/>
      <c r="DW484" s="14"/>
      <c r="DX484" s="14"/>
      <c r="DY484" s="14"/>
      <c r="DZ484" s="14"/>
      <c r="EA484" s="14"/>
      <c r="EB484" s="14"/>
      <c r="EC484" s="14"/>
      <c r="ED484" s="14"/>
      <c r="EE484" s="14"/>
      <c r="EF484" s="14"/>
      <c r="EG484" s="14"/>
      <c r="EH484" s="14"/>
      <c r="EI484" s="14"/>
      <c r="EJ484" s="14"/>
      <c r="EK484" s="14"/>
      <c r="EL484" s="14"/>
      <c r="EM484" s="14"/>
      <c r="EN484" s="14"/>
      <c r="EO484" s="14"/>
      <c r="EP484" s="14"/>
      <c r="EQ484" s="14"/>
      <c r="ER484" s="14"/>
      <c r="ES484" s="14"/>
      <c r="ET484" s="14"/>
      <c r="EU484" s="14"/>
      <c r="EV484" s="14"/>
      <c r="EW484" s="14"/>
      <c r="EX484" s="14"/>
      <c r="EY484" s="14"/>
      <c r="EZ484" s="14"/>
      <c r="FA484" s="14"/>
      <c r="FB484" s="14"/>
      <c r="FC484" s="14"/>
      <c r="FD484" s="14"/>
      <c r="FE484" s="14"/>
      <c r="FF484" s="14"/>
      <c r="FG484" s="14"/>
      <c r="FH484" s="14"/>
      <c r="FI484" s="14"/>
      <c r="FJ484" s="14"/>
      <c r="FK484" s="14"/>
      <c r="FL484" s="14"/>
      <c r="FM484" s="14"/>
      <c r="FN484" s="14"/>
      <c r="FO484" s="14"/>
      <c r="FP484" s="14"/>
      <c r="FQ484" s="14"/>
      <c r="FR484" s="14"/>
      <c r="FS484" s="14"/>
      <c r="FT484" s="14"/>
      <c r="FU484" s="14"/>
      <c r="FV484" s="14"/>
      <c r="FW484" s="14"/>
      <c r="FX484" s="14"/>
      <c r="FY484" s="14"/>
      <c r="FZ484" s="14"/>
      <c r="GA484" s="14"/>
      <c r="GB484" s="14"/>
      <c r="GC484" s="14"/>
      <c r="GD484" s="14"/>
      <c r="GE484" s="14"/>
      <c r="GF484" s="14"/>
      <c r="GG484" s="14"/>
      <c r="GH484" s="14"/>
      <c r="GI484" s="14"/>
      <c r="GJ484" s="14"/>
      <c r="GK484" s="14"/>
      <c r="GL484" s="14"/>
      <c r="GM484" s="14"/>
      <c r="GN484" s="14"/>
      <c r="GO484" s="14"/>
      <c r="GP484" s="14"/>
      <c r="GQ484" s="14"/>
      <c r="GR484" s="14"/>
      <c r="GS484" s="14"/>
      <c r="GT484" s="14"/>
      <c r="GU484" s="14"/>
      <c r="GV484" s="14"/>
      <c r="GW484" s="14"/>
      <c r="GX484" s="14"/>
      <c r="GY484" s="14"/>
      <c r="GZ484" s="14"/>
      <c r="HA484" s="14"/>
      <c r="HB484" s="14"/>
      <c r="HC484" s="14"/>
      <c r="HD484" s="14"/>
      <c r="HE484" s="14"/>
      <c r="HF484" s="14"/>
      <c r="HG484" s="14"/>
      <c r="HH484" s="14"/>
      <c r="HI484" s="14"/>
      <c r="HJ484" s="14"/>
      <c r="HK484" s="14"/>
      <c r="HL484" s="14"/>
      <c r="HM484" s="14"/>
      <c r="HN484" s="14"/>
      <c r="HO484" s="14"/>
      <c r="HP484" s="14"/>
      <c r="HQ484" s="14"/>
      <c r="HR484" s="14"/>
      <c r="HS484" s="14"/>
      <c r="HT484" s="14"/>
    </row>
    <row r="485" spans="1:228" ht="18" customHeight="1" x14ac:dyDescent="0.2">
      <c r="B485" s="185" t="s">
        <v>1244</v>
      </c>
      <c r="C485" s="1373">
        <f>P448</f>
        <v>0</v>
      </c>
      <c r="D485" s="1346"/>
      <c r="E485" s="42" t="s">
        <v>1791</v>
      </c>
      <c r="F485" s="1657">
        <v>0.47</v>
      </c>
      <c r="G485" s="1657"/>
      <c r="H485" s="2000" t="s">
        <v>1793</v>
      </c>
      <c r="I485" s="2000"/>
      <c r="J485" s="2013">
        <f>IF(C489&lt;R1,"DOI&lt;2005",T485)</f>
        <v>0</v>
      </c>
      <c r="K485" s="2013"/>
      <c r="L485" s="2013"/>
      <c r="M485" s="2013"/>
      <c r="N485" s="2014"/>
      <c r="O485" s="2014"/>
      <c r="P485" s="2014"/>
      <c r="R485" s="18"/>
      <c r="S485" s="750">
        <f t="shared" si="72"/>
        <v>0</v>
      </c>
      <c r="T485" s="749">
        <f t="shared" si="71"/>
        <v>0</v>
      </c>
      <c r="U485" s="112"/>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4"/>
      <c r="BR485" s="14"/>
      <c r="BS485" s="14"/>
      <c r="BT485" s="14"/>
      <c r="BU485" s="14"/>
      <c r="BV485" s="14"/>
      <c r="BW485" s="14"/>
      <c r="BX485" s="14"/>
      <c r="BY485" s="14"/>
      <c r="BZ485" s="14"/>
      <c r="CA485" s="14"/>
      <c r="CB485" s="14"/>
      <c r="CC485" s="14"/>
      <c r="CD485" s="14"/>
      <c r="CE485" s="14"/>
      <c r="CF485" s="14"/>
      <c r="CG485" s="14"/>
      <c r="CH485" s="14"/>
      <c r="CI485" s="14"/>
      <c r="CJ485" s="14"/>
      <c r="CK485" s="14"/>
      <c r="CL485" s="14"/>
      <c r="CM485" s="14"/>
      <c r="CN485" s="14"/>
      <c r="CO485" s="14"/>
      <c r="CP485" s="14"/>
      <c r="CQ485" s="14"/>
      <c r="CR485" s="14"/>
      <c r="CS485" s="14"/>
      <c r="CT485" s="14"/>
      <c r="CU485" s="14"/>
      <c r="CV485" s="14"/>
      <c r="CW485" s="14"/>
      <c r="CX485" s="14"/>
      <c r="CY485" s="14"/>
      <c r="CZ485" s="14"/>
      <c r="DA485" s="14"/>
      <c r="DB485" s="14"/>
      <c r="DC485" s="14"/>
      <c r="DD485" s="14"/>
      <c r="DE485" s="14"/>
      <c r="DF485" s="14"/>
      <c r="DG485" s="14"/>
      <c r="DH485" s="14"/>
      <c r="DI485" s="14"/>
      <c r="DJ485" s="14"/>
      <c r="DK485" s="14"/>
      <c r="DL485" s="14"/>
      <c r="DM485" s="14"/>
      <c r="DN485" s="14"/>
      <c r="DO485" s="14"/>
      <c r="DP485" s="14"/>
      <c r="DQ485" s="14"/>
      <c r="DR485" s="14"/>
      <c r="DS485" s="14"/>
      <c r="DT485" s="14"/>
      <c r="DU485" s="14"/>
      <c r="DV485" s="14"/>
      <c r="DW485" s="14"/>
      <c r="DX485" s="14"/>
      <c r="DY485" s="14"/>
      <c r="DZ485" s="14"/>
      <c r="EA485" s="14"/>
      <c r="EB485" s="14"/>
      <c r="EC485" s="14"/>
      <c r="ED485" s="14"/>
      <c r="EE485" s="14"/>
      <c r="EF485" s="14"/>
      <c r="EG485" s="14"/>
      <c r="EH485" s="14"/>
      <c r="EI485" s="14"/>
      <c r="EJ485" s="14"/>
      <c r="EK485" s="14"/>
      <c r="EL485" s="14"/>
      <c r="EM485" s="14"/>
      <c r="EN485" s="14"/>
      <c r="EO485" s="14"/>
      <c r="EP485" s="14"/>
      <c r="EQ485" s="14"/>
      <c r="ER485" s="14"/>
      <c r="ES485" s="14"/>
      <c r="ET485" s="14"/>
      <c r="EU485" s="14"/>
      <c r="EV485" s="14"/>
      <c r="EW485" s="14"/>
      <c r="EX485" s="14"/>
      <c r="EY485" s="14"/>
      <c r="EZ485" s="14"/>
      <c r="FA485" s="14"/>
      <c r="FB485" s="14"/>
      <c r="FC485" s="14"/>
      <c r="FD485" s="14"/>
      <c r="FE485" s="14"/>
      <c r="FF485" s="14"/>
      <c r="FG485" s="14"/>
      <c r="FH485" s="14"/>
      <c r="FI485" s="14"/>
      <c r="FJ485" s="14"/>
      <c r="FK485" s="14"/>
      <c r="FL485" s="14"/>
      <c r="FM485" s="14"/>
      <c r="FN485" s="14"/>
      <c r="FO485" s="14"/>
      <c r="FP485" s="14"/>
      <c r="FQ485" s="14"/>
      <c r="FR485" s="14"/>
      <c r="FS485" s="14"/>
      <c r="FT485" s="14"/>
      <c r="FU485" s="14"/>
      <c r="FV485" s="14"/>
      <c r="FW485" s="14"/>
      <c r="FX485" s="14"/>
      <c r="FY485" s="14"/>
      <c r="FZ485" s="14"/>
      <c r="GA485" s="14"/>
      <c r="GB485" s="14"/>
      <c r="GC485" s="14"/>
      <c r="GD485" s="14"/>
      <c r="GE485" s="14"/>
      <c r="GF485" s="14"/>
      <c r="GG485" s="14"/>
      <c r="GH485" s="14"/>
      <c r="GI485" s="14"/>
      <c r="GJ485" s="14"/>
      <c r="GK485" s="14"/>
      <c r="GL485" s="14"/>
      <c r="GM485" s="14"/>
      <c r="GN485" s="14"/>
      <c r="GO485" s="14"/>
      <c r="GP485" s="14"/>
      <c r="GQ485" s="14"/>
      <c r="GR485" s="14"/>
      <c r="GS485" s="14"/>
      <c r="GT485" s="14"/>
      <c r="GU485" s="14"/>
      <c r="GV485" s="14"/>
      <c r="GW485" s="14"/>
      <c r="GX485" s="14"/>
      <c r="GY485" s="14"/>
      <c r="GZ485" s="14"/>
      <c r="HA485" s="14"/>
      <c r="HB485" s="14"/>
      <c r="HC485" s="14"/>
      <c r="HD485" s="14"/>
      <c r="HE485" s="14"/>
      <c r="HF485" s="14"/>
      <c r="HG485" s="14"/>
      <c r="HH485" s="14"/>
      <c r="HI485" s="14"/>
      <c r="HJ485" s="14"/>
      <c r="HK485" s="14"/>
      <c r="HL485" s="14"/>
      <c r="HM485" s="14"/>
      <c r="HN485" s="14"/>
      <c r="HO485" s="14"/>
      <c r="HP485" s="14"/>
      <c r="HQ485" s="14"/>
      <c r="HR485" s="14"/>
      <c r="HS485" s="14"/>
      <c r="HT485" s="14"/>
    </row>
    <row r="486" spans="1:228" s="408" customFormat="1" ht="18" customHeight="1" x14ac:dyDescent="0.25">
      <c r="A486" s="8"/>
      <c r="B486" s="2051"/>
      <c r="C486" s="2052"/>
      <c r="D486" s="2052"/>
      <c r="E486" s="2052"/>
      <c r="F486" s="2052"/>
      <c r="G486" s="2052"/>
      <c r="H486" s="2052"/>
      <c r="I486" s="2052"/>
      <c r="J486" s="2052"/>
      <c r="K486" s="2052"/>
      <c r="L486" s="2052"/>
      <c r="M486" s="2052"/>
      <c r="N486" s="2052"/>
      <c r="O486" s="2052"/>
      <c r="P486" s="2053"/>
      <c r="Q486" s="8"/>
      <c r="R486" s="60"/>
      <c r="S486" s="60"/>
      <c r="T486" s="60"/>
      <c r="U486" s="60"/>
      <c r="V486" s="60"/>
      <c r="W486" s="60"/>
      <c r="X486" s="60"/>
      <c r="Y486" s="60"/>
      <c r="Z486" s="60"/>
      <c r="AA486" s="60"/>
      <c r="AB486" s="60"/>
      <c r="AC486" s="60"/>
      <c r="AD486" s="60"/>
      <c r="AE486" s="60"/>
      <c r="AF486" s="60"/>
      <c r="AG486" s="60"/>
      <c r="AH486" s="60"/>
      <c r="AI486" s="60"/>
      <c r="AJ486" s="60"/>
      <c r="AK486" s="60"/>
      <c r="AL486" s="60"/>
      <c r="AM486" s="60"/>
      <c r="AN486" s="60"/>
      <c r="AO486" s="60"/>
      <c r="AP486" s="60"/>
      <c r="AQ486" s="60"/>
      <c r="AR486" s="60"/>
      <c r="AS486" s="60"/>
      <c r="AT486" s="60"/>
      <c r="AU486" s="60"/>
      <c r="AV486" s="60"/>
      <c r="AW486" s="60"/>
      <c r="AX486" s="60"/>
      <c r="AY486" s="60"/>
      <c r="AZ486" s="60"/>
      <c r="BA486" s="60"/>
      <c r="BB486" s="60"/>
      <c r="BC486" s="60"/>
      <c r="BD486" s="60"/>
      <c r="BE486" s="60"/>
      <c r="BF486" s="60"/>
      <c r="BG486" s="60"/>
      <c r="BH486" s="60"/>
      <c r="BI486" s="60"/>
      <c r="BJ486" s="60"/>
      <c r="BK486" s="60"/>
      <c r="BL486" s="60"/>
      <c r="BM486" s="60"/>
      <c r="BN486" s="60"/>
      <c r="BO486" s="60"/>
      <c r="BP486" s="60"/>
      <c r="BQ486" s="214"/>
      <c r="BR486" s="214"/>
      <c r="BS486" s="214"/>
      <c r="BT486" s="214"/>
      <c r="BU486" s="214"/>
      <c r="BV486" s="214"/>
      <c r="BW486" s="214"/>
      <c r="BX486" s="214"/>
      <c r="BY486" s="214"/>
      <c r="BZ486" s="214"/>
      <c r="CA486" s="214"/>
      <c r="CB486" s="214"/>
      <c r="CC486" s="214"/>
      <c r="CD486" s="214"/>
      <c r="CE486" s="214"/>
      <c r="CF486" s="214"/>
      <c r="CG486" s="214"/>
      <c r="CH486" s="214"/>
      <c r="CI486" s="214"/>
      <c r="CJ486" s="214"/>
      <c r="CK486" s="214"/>
      <c r="CL486" s="214"/>
      <c r="CM486" s="214"/>
      <c r="CN486" s="214"/>
      <c r="CO486" s="214"/>
      <c r="CP486" s="214"/>
      <c r="CQ486" s="214"/>
      <c r="CR486" s="214"/>
      <c r="CS486" s="214"/>
      <c r="CT486" s="214"/>
      <c r="CU486" s="214"/>
      <c r="CV486" s="214"/>
      <c r="CW486" s="214"/>
      <c r="CX486" s="214"/>
      <c r="CY486" s="214"/>
      <c r="CZ486" s="214"/>
      <c r="DA486" s="214"/>
      <c r="DB486" s="214"/>
      <c r="DC486" s="214"/>
      <c r="DD486" s="214"/>
      <c r="DE486" s="214"/>
      <c r="DF486" s="214"/>
      <c r="DG486" s="214"/>
      <c r="DH486" s="214"/>
      <c r="DI486" s="214"/>
      <c r="DJ486" s="214"/>
      <c r="DK486" s="214"/>
      <c r="DL486" s="214"/>
      <c r="DM486" s="214"/>
      <c r="DN486" s="214"/>
      <c r="DO486" s="214"/>
      <c r="DP486" s="214"/>
      <c r="DQ486" s="214"/>
      <c r="DR486" s="214"/>
      <c r="DS486" s="214"/>
      <c r="DT486" s="214"/>
      <c r="DU486" s="214"/>
      <c r="DV486" s="214"/>
      <c r="DW486" s="214"/>
      <c r="DX486" s="214"/>
      <c r="DY486" s="214"/>
      <c r="DZ486" s="214"/>
      <c r="EA486" s="214"/>
      <c r="EB486" s="214"/>
      <c r="EC486" s="214"/>
      <c r="ED486" s="214"/>
      <c r="EE486" s="214"/>
      <c r="EF486" s="214"/>
      <c r="EG486" s="214"/>
      <c r="EH486" s="214"/>
      <c r="EI486" s="214"/>
      <c r="EJ486" s="214"/>
      <c r="EK486" s="214"/>
      <c r="EL486" s="214"/>
      <c r="EM486" s="214"/>
      <c r="EN486" s="214"/>
      <c r="EO486" s="214"/>
      <c r="EP486" s="214"/>
      <c r="EQ486" s="214"/>
      <c r="ER486" s="214"/>
      <c r="ES486" s="214"/>
      <c r="ET486" s="214"/>
      <c r="EU486" s="214"/>
      <c r="EV486" s="214"/>
      <c r="EW486" s="214"/>
      <c r="EX486" s="214"/>
      <c r="EY486" s="214"/>
      <c r="EZ486" s="214"/>
      <c r="FA486" s="214"/>
      <c r="FB486" s="214"/>
      <c r="FC486" s="214"/>
      <c r="FD486" s="214"/>
      <c r="FE486" s="214"/>
      <c r="FF486" s="214"/>
      <c r="FG486" s="214"/>
      <c r="FH486" s="214"/>
      <c r="FI486" s="214"/>
      <c r="FJ486" s="214"/>
      <c r="FK486" s="214"/>
      <c r="FL486" s="214"/>
      <c r="FM486" s="214"/>
      <c r="FN486" s="214"/>
      <c r="FO486" s="214"/>
      <c r="FP486" s="214"/>
      <c r="FQ486" s="214"/>
      <c r="FR486" s="214"/>
      <c r="FS486" s="214"/>
      <c r="FT486" s="214"/>
      <c r="FU486" s="214"/>
      <c r="FV486" s="214"/>
      <c r="FW486" s="214"/>
      <c r="FX486" s="214"/>
      <c r="FY486" s="214"/>
      <c r="FZ486" s="214"/>
      <c r="GA486" s="214"/>
      <c r="GB486" s="214"/>
      <c r="GC486" s="214"/>
      <c r="GD486" s="214"/>
      <c r="GE486" s="214"/>
      <c r="GF486" s="214"/>
      <c r="GG486" s="214"/>
      <c r="GH486" s="214"/>
      <c r="GI486" s="214"/>
      <c r="GJ486" s="214"/>
      <c r="GK486" s="214"/>
      <c r="GL486" s="214"/>
      <c r="GM486" s="214"/>
      <c r="GN486" s="214"/>
      <c r="GO486" s="214"/>
      <c r="GP486" s="214"/>
      <c r="GQ486" s="214"/>
      <c r="GR486" s="214"/>
      <c r="GS486" s="214"/>
      <c r="GT486" s="214"/>
      <c r="GU486" s="214"/>
      <c r="GV486" s="214"/>
      <c r="GW486" s="214"/>
      <c r="GX486" s="214"/>
      <c r="GY486" s="214"/>
      <c r="GZ486" s="214"/>
      <c r="HA486" s="214"/>
      <c r="HB486" s="214"/>
      <c r="HC486" s="214"/>
      <c r="HD486" s="214"/>
      <c r="HE486" s="214"/>
      <c r="HF486" s="214"/>
      <c r="HG486" s="214"/>
      <c r="HH486" s="214"/>
      <c r="HI486" s="214"/>
      <c r="HJ486" s="214"/>
      <c r="HK486" s="214"/>
      <c r="HL486" s="214"/>
      <c r="HM486" s="214"/>
      <c r="HN486" s="214"/>
      <c r="HO486" s="214"/>
      <c r="HP486" s="214"/>
      <c r="HQ486" s="214"/>
      <c r="HR486" s="214"/>
      <c r="HS486" s="214"/>
      <c r="HT486" s="214"/>
    </row>
    <row r="487" spans="1:228" ht="30.75" customHeight="1" x14ac:dyDescent="0.2">
      <c r="A487" s="8"/>
      <c r="B487" s="1687" t="s">
        <v>1051</v>
      </c>
      <c r="C487" s="1534"/>
      <c r="D487" s="1534"/>
      <c r="E487" s="1534"/>
      <c r="F487" s="1534"/>
      <c r="G487" s="1534"/>
      <c r="H487" s="1534"/>
      <c r="I487" s="1534"/>
      <c r="J487" s="1534"/>
      <c r="K487" s="1534"/>
      <c r="L487" s="1534"/>
      <c r="M487" s="1534"/>
      <c r="N487" s="1534"/>
      <c r="O487" s="1534"/>
      <c r="P487" s="1534"/>
      <c r="Q487" s="8"/>
      <c r="R487" s="60"/>
      <c r="S487" s="60"/>
      <c r="T487" s="60"/>
      <c r="U487" s="60"/>
      <c r="V487" s="60"/>
      <c r="W487" s="60"/>
      <c r="X487" s="60"/>
      <c r="Y487" s="60"/>
      <c r="Z487" s="60"/>
      <c r="AA487" s="60"/>
      <c r="AB487" s="60"/>
      <c r="AC487" s="60"/>
      <c r="AD487" s="60"/>
      <c r="AE487" s="60"/>
      <c r="AF487" s="60"/>
      <c r="AG487" s="60"/>
      <c r="AH487" s="60"/>
      <c r="AI487" s="60"/>
      <c r="AJ487" s="60"/>
      <c r="AK487" s="60"/>
      <c r="AL487" s="60"/>
      <c r="AM487" s="60"/>
      <c r="AN487" s="60"/>
      <c r="AO487" s="60"/>
      <c r="AP487" s="60"/>
      <c r="AQ487" s="60"/>
      <c r="AR487" s="60"/>
      <c r="AS487" s="60"/>
      <c r="AT487" s="60"/>
      <c r="AU487" s="60"/>
      <c r="AV487" s="60"/>
      <c r="AW487" s="60"/>
      <c r="AX487" s="60"/>
      <c r="AY487" s="60"/>
      <c r="AZ487" s="60"/>
      <c r="BA487" s="60"/>
      <c r="BB487" s="60"/>
      <c r="BC487" s="60"/>
      <c r="BD487" s="60"/>
      <c r="BE487" s="60"/>
      <c r="BF487" s="14"/>
      <c r="BG487" s="14"/>
      <c r="BH487" s="14"/>
      <c r="BI487" s="14"/>
      <c r="BJ487" s="14"/>
      <c r="BK487" s="14"/>
      <c r="BL487" s="14"/>
      <c r="BM487" s="14"/>
      <c r="BN487" s="14"/>
      <c r="BO487" s="14"/>
      <c r="BP487" s="14"/>
      <c r="BQ487" s="14"/>
      <c r="BR487" s="14"/>
      <c r="BS487" s="14"/>
      <c r="BT487" s="14"/>
      <c r="BU487" s="14"/>
      <c r="BV487" s="14"/>
      <c r="BW487" s="14"/>
      <c r="BX487" s="14"/>
      <c r="BY487" s="14"/>
      <c r="BZ487" s="14"/>
      <c r="CA487" s="14"/>
      <c r="CB487" s="14"/>
      <c r="CC487" s="14"/>
      <c r="CD487" s="14"/>
      <c r="CE487" s="14"/>
      <c r="CF487" s="14"/>
      <c r="CG487" s="14"/>
      <c r="CH487" s="14"/>
      <c r="CI487" s="14"/>
      <c r="CJ487" s="14"/>
      <c r="CK487" s="14"/>
      <c r="CL487" s="14"/>
      <c r="CM487" s="14"/>
      <c r="CN487" s="14"/>
      <c r="CO487" s="14"/>
      <c r="CP487" s="14"/>
      <c r="CQ487" s="14"/>
      <c r="CR487" s="14"/>
      <c r="CS487" s="14"/>
      <c r="CT487" s="14"/>
      <c r="CU487" s="14"/>
      <c r="CV487" s="14"/>
      <c r="CW487" s="14"/>
      <c r="CX487" s="14"/>
      <c r="CY487" s="14"/>
      <c r="CZ487" s="14"/>
      <c r="DA487" s="14"/>
      <c r="DB487" s="14"/>
      <c r="DC487" s="14"/>
      <c r="DD487" s="14"/>
      <c r="DE487" s="14"/>
      <c r="DF487" s="14"/>
      <c r="DG487" s="14"/>
      <c r="DH487" s="14"/>
      <c r="DI487" s="14"/>
      <c r="DJ487" s="14"/>
      <c r="DK487" s="14"/>
      <c r="DL487" s="14"/>
      <c r="DM487" s="14"/>
      <c r="DN487" s="14"/>
      <c r="DO487" s="14"/>
      <c r="DP487" s="14"/>
      <c r="DQ487" s="14"/>
      <c r="DR487" s="14"/>
      <c r="DS487" s="14"/>
      <c r="DT487" s="14"/>
      <c r="DU487" s="14"/>
      <c r="DV487" s="14"/>
      <c r="DW487" s="14"/>
      <c r="DX487" s="14"/>
      <c r="DY487" s="14"/>
      <c r="DZ487" s="14"/>
      <c r="EA487" s="14"/>
      <c r="EB487" s="14"/>
      <c r="EC487" s="14"/>
      <c r="ED487" s="14"/>
      <c r="EE487" s="14"/>
      <c r="EF487" s="14"/>
      <c r="EG487" s="14"/>
      <c r="EH487" s="14"/>
      <c r="EI487" s="14"/>
      <c r="EJ487" s="14"/>
      <c r="EK487" s="14"/>
      <c r="EL487" s="14"/>
    </row>
    <row r="488" spans="1:228" x14ac:dyDescent="0.2">
      <c r="A488" s="8"/>
      <c r="B488" s="2010"/>
      <c r="C488" s="2011"/>
      <c r="D488" s="2011"/>
      <c r="E488" s="2011"/>
      <c r="F488" s="2011"/>
      <c r="G488" s="2011"/>
      <c r="H488" s="2011"/>
      <c r="I488" s="2011"/>
      <c r="J488" s="2011"/>
      <c r="K488" s="2011"/>
      <c r="L488" s="2011"/>
      <c r="M488" s="2011"/>
      <c r="N488" s="2011"/>
      <c r="O488" s="2011"/>
      <c r="P488" s="2012"/>
      <c r="Q488" s="8"/>
      <c r="R488" s="60"/>
      <c r="S488" s="60"/>
      <c r="T488" s="60"/>
      <c r="U488" s="60"/>
      <c r="V488" s="60"/>
      <c r="W488" s="60"/>
      <c r="X488" s="60"/>
      <c r="Y488" s="60"/>
      <c r="Z488" s="60"/>
      <c r="AA488" s="60"/>
      <c r="AB488" s="60"/>
      <c r="AC488" s="60"/>
      <c r="AD488" s="60"/>
      <c r="AE488" s="60"/>
      <c r="AF488" s="60"/>
      <c r="AG488" s="60"/>
      <c r="AH488" s="60"/>
      <c r="AI488" s="60"/>
      <c r="AJ488" s="60"/>
      <c r="AK488" s="60"/>
      <c r="AL488" s="60"/>
      <c r="AM488" s="60"/>
      <c r="AN488" s="60"/>
      <c r="AO488" s="60"/>
      <c r="AP488" s="60"/>
      <c r="AQ488" s="60"/>
      <c r="AR488" s="60"/>
      <c r="AS488" s="60"/>
      <c r="AT488" s="60"/>
      <c r="AU488" s="60"/>
      <c r="AV488" s="60"/>
      <c r="AW488" s="60"/>
      <c r="AX488" s="60"/>
      <c r="AY488" s="60"/>
      <c r="AZ488" s="60"/>
      <c r="BA488" s="60"/>
      <c r="BB488" s="60"/>
      <c r="BC488" s="60"/>
      <c r="BD488" s="60"/>
      <c r="BE488" s="60"/>
      <c r="BF488" s="14"/>
      <c r="BG488" s="14"/>
      <c r="BH488" s="14"/>
      <c r="BI488" s="14"/>
      <c r="BJ488" s="14"/>
      <c r="BK488" s="14"/>
      <c r="BL488" s="14"/>
      <c r="BM488" s="14"/>
      <c r="BN488" s="14"/>
      <c r="BO488" s="14"/>
      <c r="BP488" s="14"/>
      <c r="BQ488" s="14"/>
      <c r="BR488" s="14"/>
      <c r="BS488" s="14"/>
      <c r="BT488" s="14"/>
      <c r="BU488" s="14"/>
      <c r="BV488" s="14"/>
      <c r="BW488" s="14"/>
      <c r="BX488" s="14"/>
      <c r="BY488" s="14"/>
      <c r="BZ488" s="14"/>
      <c r="CA488" s="14"/>
      <c r="CB488" s="14"/>
      <c r="CC488" s="14"/>
      <c r="CD488" s="14"/>
      <c r="CE488" s="14"/>
      <c r="CF488" s="14"/>
      <c r="CG488" s="14"/>
      <c r="CH488" s="14"/>
      <c r="CI488" s="14"/>
      <c r="CJ488" s="14"/>
      <c r="CK488" s="14"/>
      <c r="CL488" s="14"/>
      <c r="CM488" s="14"/>
      <c r="CN488" s="14"/>
      <c r="CO488" s="14"/>
      <c r="CP488" s="14"/>
      <c r="CQ488" s="14"/>
      <c r="CR488" s="14"/>
      <c r="CS488" s="14"/>
      <c r="CT488" s="14"/>
      <c r="CU488" s="14"/>
      <c r="CV488" s="14"/>
      <c r="CW488" s="14"/>
      <c r="CX488" s="14"/>
      <c r="CY488" s="14"/>
      <c r="CZ488" s="14"/>
      <c r="DA488" s="14"/>
      <c r="DB488" s="14"/>
      <c r="DC488" s="14"/>
      <c r="DD488" s="14"/>
      <c r="DE488" s="14"/>
      <c r="DF488" s="14"/>
      <c r="DG488" s="14"/>
      <c r="DH488" s="14"/>
      <c r="DI488" s="14"/>
      <c r="DJ488" s="14"/>
      <c r="DK488" s="14"/>
      <c r="DL488" s="14"/>
      <c r="DM488" s="14"/>
      <c r="DN488" s="14"/>
      <c r="DO488" s="14"/>
      <c r="DP488" s="14"/>
      <c r="DQ488" s="14"/>
      <c r="DR488" s="14"/>
      <c r="DS488" s="14"/>
      <c r="DT488" s="14"/>
      <c r="DU488" s="14"/>
      <c r="DV488" s="14"/>
      <c r="DW488" s="14"/>
      <c r="DX488" s="14"/>
      <c r="DY488" s="14"/>
      <c r="DZ488" s="14"/>
      <c r="EA488" s="14"/>
      <c r="EB488" s="14"/>
      <c r="EC488" s="14"/>
      <c r="ED488" s="14"/>
      <c r="EE488" s="14"/>
      <c r="EF488" s="14"/>
      <c r="EG488" s="14"/>
      <c r="EH488" s="14"/>
      <c r="EI488" s="14"/>
      <c r="EJ488" s="14"/>
      <c r="EK488" s="14"/>
      <c r="EL488" s="14"/>
    </row>
    <row r="489" spans="1:228" ht="16.5" customHeight="1" x14ac:dyDescent="0.2">
      <c r="A489" s="8"/>
      <c r="B489" s="364" t="s">
        <v>1189</v>
      </c>
      <c r="C489" s="2024" t="str">
        <f>IF('Start here'!A8="","",'Start here'!A8)</f>
        <v/>
      </c>
      <c r="D489" s="2025"/>
      <c r="E489" s="2026"/>
      <c r="F489" s="1685" t="str">
        <f>IF(C489="","Enter date of injury on 'Start here' worksheet.","")</f>
        <v>Enter date of injury on 'Start here' worksheet.</v>
      </c>
      <c r="G489" s="1686"/>
      <c r="H489" s="1686"/>
      <c r="I489" s="1686"/>
      <c r="J489" s="1686"/>
      <c r="K489" s="1686"/>
      <c r="L489" s="1686"/>
      <c r="M489" s="1686"/>
      <c r="N489" s="1686"/>
      <c r="O489" s="1686"/>
      <c r="P489" s="2027"/>
      <c r="Q489" s="8"/>
      <c r="R489" s="60"/>
      <c r="S489" s="60"/>
      <c r="T489" s="60"/>
      <c r="U489" s="60"/>
      <c r="V489" s="60"/>
      <c r="W489" s="60"/>
      <c r="X489" s="60"/>
      <c r="Y489" s="60"/>
      <c r="Z489" s="60"/>
      <c r="AA489" s="60"/>
      <c r="AB489" s="60"/>
      <c r="AC489" s="60"/>
      <c r="AD489" s="60"/>
      <c r="AE489" s="60"/>
      <c r="AF489" s="60"/>
      <c r="AG489" s="60"/>
      <c r="AH489" s="60"/>
      <c r="AI489" s="60"/>
      <c r="AJ489" s="60"/>
      <c r="AK489" s="60"/>
      <c r="AL489" s="60"/>
      <c r="AM489" s="60"/>
      <c r="AN489" s="60"/>
      <c r="AO489" s="60"/>
      <c r="AP489" s="60"/>
      <c r="AQ489" s="60"/>
      <c r="AR489" s="60"/>
      <c r="AS489" s="60"/>
      <c r="AT489" s="60"/>
      <c r="AU489" s="60"/>
      <c r="AV489" s="60"/>
      <c r="AW489" s="60"/>
      <c r="AX489" s="60"/>
      <c r="AY489" s="60"/>
      <c r="AZ489" s="60"/>
      <c r="BA489" s="60"/>
      <c r="BB489" s="60"/>
      <c r="BC489" s="60"/>
      <c r="BD489" s="60"/>
      <c r="BE489" s="60"/>
      <c r="BF489" s="14"/>
      <c r="BG489" s="14"/>
      <c r="BH489" s="14"/>
      <c r="BI489" s="14"/>
      <c r="BJ489" s="14"/>
      <c r="BK489" s="14"/>
      <c r="BL489" s="14"/>
      <c r="BM489" s="14"/>
      <c r="BN489" s="14"/>
      <c r="BO489" s="14"/>
      <c r="BP489" s="14"/>
      <c r="BQ489" s="14"/>
      <c r="BR489" s="14"/>
      <c r="BS489" s="14"/>
      <c r="BT489" s="14"/>
      <c r="BU489" s="14"/>
      <c r="BV489" s="14"/>
      <c r="BW489" s="14"/>
      <c r="BX489" s="14"/>
      <c r="BY489" s="14"/>
      <c r="BZ489" s="14"/>
      <c r="CA489" s="14"/>
      <c r="CB489" s="14"/>
      <c r="CC489" s="14"/>
      <c r="CD489" s="14"/>
      <c r="CE489" s="14"/>
      <c r="CF489" s="14"/>
      <c r="CG489" s="14"/>
      <c r="CH489" s="14"/>
      <c r="CI489" s="14"/>
      <c r="CJ489" s="14"/>
      <c r="CK489" s="14"/>
      <c r="CL489" s="14"/>
      <c r="CM489" s="14"/>
      <c r="CN489" s="14"/>
      <c r="CO489" s="14"/>
      <c r="CP489" s="14"/>
      <c r="CQ489" s="14"/>
      <c r="CR489" s="14"/>
      <c r="CS489" s="14"/>
      <c r="CT489" s="14"/>
      <c r="CU489" s="14"/>
      <c r="CV489" s="14"/>
      <c r="CW489" s="14"/>
      <c r="CX489" s="14"/>
      <c r="CY489" s="14"/>
      <c r="CZ489" s="14"/>
      <c r="DA489" s="14"/>
      <c r="DB489" s="14"/>
      <c r="DC489" s="14"/>
      <c r="DD489" s="14"/>
      <c r="DE489" s="14"/>
      <c r="DF489" s="14"/>
      <c r="DG489" s="14"/>
      <c r="DH489" s="14"/>
      <c r="DI489" s="14"/>
      <c r="DJ489" s="14"/>
      <c r="DK489" s="14"/>
      <c r="DL489" s="14"/>
      <c r="DM489" s="14"/>
      <c r="DN489" s="14"/>
      <c r="DO489" s="14"/>
      <c r="DP489" s="14"/>
      <c r="DQ489" s="14"/>
      <c r="DR489" s="14"/>
      <c r="DS489" s="14"/>
      <c r="DT489" s="14"/>
      <c r="DU489" s="14"/>
      <c r="DV489" s="14"/>
      <c r="DW489" s="14"/>
      <c r="DX489" s="14"/>
      <c r="DY489" s="14"/>
      <c r="DZ489" s="14"/>
      <c r="EA489" s="14"/>
      <c r="EB489" s="14"/>
      <c r="EC489" s="14"/>
      <c r="ED489" s="14"/>
      <c r="EE489" s="14"/>
      <c r="EF489" s="14"/>
      <c r="EG489" s="14"/>
      <c r="EH489" s="14"/>
      <c r="EI489" s="14"/>
      <c r="EJ489" s="14"/>
      <c r="EK489" s="14"/>
      <c r="EL489" s="14"/>
    </row>
    <row r="490" spans="1:228" x14ac:dyDescent="0.2">
      <c r="A490" s="8"/>
      <c r="B490" s="2022"/>
      <c r="C490" s="1900"/>
      <c r="D490" s="1900"/>
      <c r="E490" s="1900"/>
      <c r="F490" s="1900"/>
      <c r="G490" s="1900"/>
      <c r="H490" s="1900"/>
      <c r="I490" s="1900"/>
      <c r="J490" s="1900"/>
      <c r="K490" s="1900"/>
      <c r="L490" s="1900"/>
      <c r="M490" s="1900"/>
      <c r="N490" s="1900"/>
      <c r="O490" s="1900"/>
      <c r="P490" s="2023"/>
      <c r="Q490" s="8"/>
      <c r="R490" s="60"/>
      <c r="S490" s="60"/>
      <c r="T490" s="60"/>
      <c r="U490" s="60"/>
      <c r="V490" s="60"/>
      <c r="W490" s="60"/>
      <c r="X490" s="60"/>
      <c r="Y490" s="60"/>
      <c r="Z490" s="60"/>
      <c r="AA490" s="60"/>
      <c r="AB490" s="60"/>
      <c r="AC490" s="60"/>
      <c r="AD490" s="60"/>
      <c r="AE490" s="60"/>
      <c r="AF490" s="60"/>
      <c r="AG490" s="60"/>
      <c r="AH490" s="60"/>
      <c r="AI490" s="60"/>
      <c r="AJ490" s="60"/>
      <c r="AK490" s="60"/>
      <c r="AL490" s="60"/>
      <c r="AM490" s="60"/>
      <c r="AN490" s="60"/>
      <c r="AO490" s="60"/>
      <c r="AP490" s="60"/>
      <c r="AQ490" s="60"/>
      <c r="AR490" s="60"/>
      <c r="AS490" s="60"/>
      <c r="AT490" s="60"/>
      <c r="AU490" s="60"/>
      <c r="AV490" s="60"/>
      <c r="AW490" s="60"/>
      <c r="AX490" s="60"/>
      <c r="AY490" s="60"/>
      <c r="AZ490" s="60"/>
      <c r="BA490" s="60"/>
      <c r="BB490" s="60"/>
      <c r="BC490" s="60"/>
      <c r="BD490" s="60"/>
      <c r="BE490" s="60"/>
      <c r="BF490" s="14"/>
      <c r="BG490" s="14"/>
      <c r="BH490" s="14"/>
      <c r="BI490" s="14"/>
      <c r="BJ490" s="14"/>
      <c r="BK490" s="14"/>
      <c r="BL490" s="14"/>
      <c r="BM490" s="14"/>
      <c r="BN490" s="14"/>
      <c r="BO490" s="14"/>
      <c r="BP490" s="14"/>
      <c r="BQ490" s="14"/>
      <c r="BR490" s="14"/>
      <c r="BS490" s="14"/>
      <c r="BT490" s="14"/>
      <c r="BU490" s="14"/>
      <c r="BV490" s="14"/>
      <c r="BW490" s="14"/>
      <c r="BX490" s="14"/>
      <c r="BY490" s="14"/>
      <c r="BZ490" s="14"/>
      <c r="CA490" s="14"/>
      <c r="CB490" s="14"/>
      <c r="CC490" s="14"/>
      <c r="CD490" s="14"/>
      <c r="CE490" s="14"/>
      <c r="CF490" s="14"/>
      <c r="CG490" s="14"/>
      <c r="CH490" s="14"/>
      <c r="CI490" s="14"/>
      <c r="CJ490" s="14"/>
      <c r="CK490" s="14"/>
      <c r="CL490" s="14"/>
      <c r="CM490" s="14"/>
      <c r="CN490" s="14"/>
      <c r="CO490" s="14"/>
      <c r="CP490" s="14"/>
      <c r="CQ490" s="14"/>
      <c r="CR490" s="14"/>
      <c r="CS490" s="14"/>
      <c r="CT490" s="14"/>
      <c r="CU490" s="14"/>
      <c r="CV490" s="14"/>
      <c r="CW490" s="14"/>
      <c r="CX490" s="14"/>
      <c r="CY490" s="14"/>
      <c r="CZ490" s="14"/>
      <c r="DA490" s="14"/>
      <c r="DB490" s="14"/>
      <c r="DC490" s="14"/>
      <c r="DD490" s="14"/>
      <c r="DE490" s="14"/>
      <c r="DF490" s="14"/>
      <c r="DG490" s="14"/>
      <c r="DH490" s="14"/>
      <c r="DI490" s="14"/>
      <c r="DJ490" s="14"/>
      <c r="DK490" s="14"/>
      <c r="DL490" s="14"/>
      <c r="DM490" s="14"/>
      <c r="DN490" s="14"/>
      <c r="DO490" s="14"/>
      <c r="DP490" s="14"/>
      <c r="DQ490" s="14"/>
      <c r="DR490" s="14"/>
      <c r="DS490" s="14"/>
      <c r="DT490" s="14"/>
      <c r="DU490" s="14"/>
      <c r="DV490" s="14"/>
      <c r="DW490" s="14"/>
      <c r="DX490" s="14"/>
      <c r="DY490" s="14"/>
      <c r="DZ490" s="14"/>
      <c r="EA490" s="14"/>
      <c r="EB490" s="14"/>
      <c r="EC490" s="14"/>
      <c r="ED490" s="14"/>
      <c r="EE490" s="14"/>
      <c r="EF490" s="14"/>
      <c r="EG490" s="14"/>
      <c r="EH490" s="14"/>
      <c r="EI490" s="14"/>
      <c r="EJ490" s="14"/>
      <c r="EK490" s="14"/>
      <c r="EL490" s="14"/>
    </row>
    <row r="491" spans="1:228" ht="40.5" customHeight="1" x14ac:dyDescent="0.2">
      <c r="A491" s="8"/>
      <c r="B491" s="1981" t="s">
        <v>107</v>
      </c>
      <c r="C491" s="1982"/>
      <c r="D491" s="1982"/>
      <c r="E491" s="1982"/>
      <c r="F491" s="1982"/>
      <c r="G491" s="1982"/>
      <c r="H491" s="1982"/>
      <c r="I491" s="1982"/>
      <c r="J491" s="1982"/>
      <c r="K491" s="1982"/>
      <c r="L491" s="1982"/>
      <c r="M491" s="1982"/>
      <c r="N491" s="1982"/>
      <c r="O491" s="1982"/>
      <c r="P491" s="1983"/>
      <c r="Q491" s="8"/>
      <c r="R491" s="977">
        <f>IF(OR(V366&gt;0,V470&gt;0),1,0)</f>
        <v>0</v>
      </c>
      <c r="S491" s="60"/>
      <c r="T491" s="60"/>
      <c r="U491" s="60"/>
      <c r="V491" s="60"/>
      <c r="W491" s="60"/>
      <c r="X491" s="60"/>
      <c r="Y491" s="60"/>
      <c r="Z491" s="60"/>
      <c r="AA491" s="60"/>
      <c r="AB491" s="60"/>
      <c r="AC491" s="60"/>
      <c r="AD491" s="60"/>
      <c r="AE491" s="60"/>
      <c r="AF491" s="60"/>
      <c r="AG491" s="60"/>
      <c r="AH491" s="60"/>
      <c r="AI491" s="60"/>
      <c r="AJ491" s="60"/>
      <c r="AK491" s="60"/>
      <c r="AL491" s="60"/>
      <c r="AM491" s="60"/>
      <c r="AN491" s="60"/>
      <c r="AO491" s="60"/>
      <c r="AP491" s="60"/>
      <c r="AQ491" s="60"/>
      <c r="AR491" s="60"/>
      <c r="AS491" s="60"/>
      <c r="AT491" s="60"/>
      <c r="AU491" s="60"/>
      <c r="AV491" s="60"/>
      <c r="AW491" s="60"/>
      <c r="AX491" s="60"/>
      <c r="AY491" s="60"/>
      <c r="AZ491" s="60"/>
      <c r="BA491" s="60"/>
      <c r="BB491" s="60"/>
      <c r="BC491" s="60"/>
      <c r="BD491" s="60"/>
      <c r="BE491" s="60"/>
      <c r="BF491" s="14"/>
      <c r="BG491" s="14"/>
      <c r="BH491" s="14"/>
      <c r="BI491" s="14"/>
      <c r="BJ491" s="14"/>
      <c r="BK491" s="14"/>
      <c r="BL491" s="14"/>
      <c r="BM491" s="14"/>
      <c r="BN491" s="14"/>
      <c r="BO491" s="14"/>
      <c r="BP491" s="14"/>
      <c r="BQ491" s="14"/>
      <c r="BR491" s="14"/>
      <c r="BS491" s="14"/>
      <c r="BT491" s="14"/>
      <c r="BU491" s="14"/>
      <c r="BV491" s="14"/>
      <c r="BW491" s="14"/>
      <c r="BX491" s="14"/>
      <c r="BY491" s="14"/>
      <c r="BZ491" s="14"/>
      <c r="CA491" s="14"/>
      <c r="CB491" s="14"/>
      <c r="CC491" s="14"/>
      <c r="CD491" s="14"/>
      <c r="CE491" s="14"/>
      <c r="CF491" s="14"/>
      <c r="CG491" s="14"/>
      <c r="CH491" s="14"/>
      <c r="CI491" s="14"/>
      <c r="CJ491" s="14"/>
      <c r="CK491" s="14"/>
      <c r="CL491" s="14"/>
      <c r="CM491" s="14"/>
      <c r="CN491" s="14"/>
      <c r="CO491" s="14"/>
      <c r="CP491" s="14"/>
      <c r="CQ491" s="14"/>
      <c r="CR491" s="14"/>
      <c r="CS491" s="14"/>
      <c r="CT491" s="14"/>
      <c r="CU491" s="14"/>
      <c r="CV491" s="14"/>
      <c r="CW491" s="14"/>
      <c r="CX491" s="14"/>
      <c r="CY491" s="14"/>
      <c r="CZ491" s="14"/>
      <c r="DA491" s="14"/>
      <c r="DB491" s="14"/>
      <c r="DC491" s="14"/>
      <c r="DD491" s="14"/>
      <c r="DE491" s="14"/>
      <c r="DF491" s="14"/>
      <c r="DG491" s="14"/>
      <c r="DH491" s="14"/>
      <c r="DI491" s="14"/>
      <c r="DJ491" s="14"/>
      <c r="DK491" s="14"/>
      <c r="DL491" s="14"/>
      <c r="DM491" s="14"/>
      <c r="DN491" s="14"/>
      <c r="DO491" s="14"/>
      <c r="DP491" s="14"/>
      <c r="DQ491" s="14"/>
      <c r="DR491" s="14"/>
      <c r="DS491" s="14"/>
      <c r="DT491" s="14"/>
      <c r="DU491" s="14"/>
      <c r="DV491" s="14"/>
      <c r="DW491" s="14"/>
      <c r="DX491" s="14"/>
      <c r="DY491" s="14"/>
      <c r="DZ491" s="14"/>
      <c r="EA491" s="14"/>
      <c r="EB491" s="14"/>
      <c r="EC491" s="14"/>
      <c r="ED491" s="14"/>
      <c r="EE491" s="14"/>
      <c r="EF491" s="14"/>
      <c r="EG491" s="14"/>
      <c r="EH491" s="14"/>
      <c r="EI491" s="14"/>
      <c r="EJ491" s="14"/>
      <c r="EK491" s="14"/>
      <c r="EL491" s="14"/>
    </row>
    <row r="492" spans="1:228" ht="27" customHeight="1" x14ac:dyDescent="0.2">
      <c r="A492" s="8"/>
      <c r="B492" s="353"/>
      <c r="C492" s="1848" t="s">
        <v>1796</v>
      </c>
      <c r="D492" s="1848"/>
      <c r="E492" s="44"/>
      <c r="F492" s="2030" t="s">
        <v>1356</v>
      </c>
      <c r="G492" s="1848"/>
      <c r="H492" s="1848" t="s">
        <v>365</v>
      </c>
      <c r="I492" s="1848"/>
      <c r="J492" s="1848"/>
      <c r="K492" s="44"/>
      <c r="L492" s="2030" t="s">
        <v>1357</v>
      </c>
      <c r="M492" s="1848"/>
      <c r="N492" s="44"/>
      <c r="O492" s="1848" t="s">
        <v>1192</v>
      </c>
      <c r="P492" s="1848"/>
      <c r="Q492" s="8"/>
      <c r="R492" s="893" t="s">
        <v>2197</v>
      </c>
      <c r="S492" s="60"/>
      <c r="T492" s="60"/>
      <c r="U492" s="60"/>
      <c r="V492" s="60"/>
      <c r="W492" s="60"/>
      <c r="X492" s="60"/>
      <c r="Y492" s="60"/>
      <c r="Z492" s="60"/>
      <c r="AA492" s="60"/>
      <c r="AB492" s="60"/>
      <c r="AC492" s="60"/>
      <c r="AD492" s="60"/>
      <c r="AE492" s="60"/>
      <c r="AF492" s="60"/>
      <c r="AG492" s="60"/>
      <c r="AH492" s="60"/>
      <c r="AI492" s="60"/>
      <c r="AJ492" s="60"/>
      <c r="AK492" s="60"/>
      <c r="AL492" s="60"/>
      <c r="AM492" s="60"/>
      <c r="AN492" s="60"/>
      <c r="AO492" s="60"/>
      <c r="AP492" s="60"/>
      <c r="AQ492" s="60"/>
      <c r="AR492" s="60"/>
      <c r="AS492" s="60"/>
      <c r="AT492" s="60"/>
      <c r="AU492" s="60"/>
      <c r="AV492" s="60"/>
      <c r="AW492" s="60"/>
      <c r="AX492" s="60"/>
      <c r="AY492" s="60"/>
      <c r="AZ492" s="60"/>
      <c r="BA492" s="60"/>
      <c r="BB492" s="60"/>
      <c r="BC492" s="60"/>
      <c r="BD492" s="60"/>
      <c r="BE492" s="60"/>
      <c r="BF492" s="14"/>
      <c r="BG492" s="14"/>
      <c r="BH492" s="14"/>
      <c r="BI492" s="14"/>
      <c r="BJ492" s="14"/>
      <c r="BK492" s="14"/>
      <c r="BL492" s="14"/>
      <c r="BM492" s="14"/>
      <c r="BN492" s="14"/>
      <c r="BO492" s="14"/>
      <c r="BP492" s="14"/>
      <c r="BQ492" s="14"/>
      <c r="BR492" s="14"/>
      <c r="BS492" s="14"/>
      <c r="BT492" s="14"/>
      <c r="BU492" s="14"/>
      <c r="BV492" s="14"/>
      <c r="BW492" s="14"/>
      <c r="BX492" s="14"/>
      <c r="BY492" s="14"/>
      <c r="BZ492" s="14"/>
      <c r="CA492" s="14"/>
      <c r="CB492" s="14"/>
      <c r="CC492" s="14"/>
      <c r="CD492" s="14"/>
      <c r="CE492" s="14"/>
      <c r="CF492" s="14"/>
      <c r="CG492" s="14"/>
      <c r="CH492" s="14"/>
      <c r="CI492" s="14"/>
      <c r="CJ492" s="14"/>
      <c r="CK492" s="14"/>
      <c r="CL492" s="14"/>
      <c r="CM492" s="14"/>
      <c r="CN492" s="14"/>
      <c r="CO492" s="14"/>
      <c r="CP492" s="14"/>
      <c r="CQ492" s="14"/>
      <c r="CR492" s="14"/>
      <c r="CS492" s="14"/>
      <c r="CT492" s="14"/>
      <c r="CU492" s="14"/>
      <c r="CV492" s="14"/>
      <c r="CW492" s="14"/>
      <c r="CX492" s="14"/>
      <c r="CY492" s="14"/>
      <c r="CZ492" s="14"/>
      <c r="DA492" s="14"/>
      <c r="DB492" s="14"/>
      <c r="DC492" s="14"/>
      <c r="DD492" s="14"/>
      <c r="DE492" s="14"/>
      <c r="DF492" s="14"/>
      <c r="DG492" s="14"/>
      <c r="DH492" s="14"/>
      <c r="DI492" s="14"/>
      <c r="DJ492" s="14"/>
      <c r="DK492" s="14"/>
      <c r="DL492" s="14"/>
      <c r="DM492" s="14"/>
      <c r="DN492" s="14"/>
      <c r="DO492" s="14"/>
      <c r="DP492" s="14"/>
      <c r="DQ492" s="14"/>
      <c r="DR492" s="14"/>
      <c r="DS492" s="14"/>
      <c r="DT492" s="14"/>
      <c r="DU492" s="14"/>
      <c r="DV492" s="14"/>
      <c r="DW492" s="14"/>
      <c r="DX492" s="14"/>
      <c r="DY492" s="14"/>
      <c r="DZ492" s="14"/>
      <c r="EA492" s="14"/>
      <c r="EB492" s="14"/>
      <c r="EC492" s="14"/>
      <c r="ED492" s="14"/>
      <c r="EE492" s="14"/>
      <c r="EF492" s="14"/>
      <c r="EG492" s="14"/>
      <c r="EH492" s="14"/>
      <c r="EI492" s="14"/>
      <c r="EJ492" s="14"/>
      <c r="EK492" s="14"/>
      <c r="EL492" s="14"/>
    </row>
    <row r="493" spans="1:228" ht="18" customHeight="1" x14ac:dyDescent="0.2">
      <c r="A493" s="8"/>
      <c r="B493" s="353" t="s">
        <v>1052</v>
      </c>
      <c r="C493" s="1849">
        <f>P33</f>
        <v>0</v>
      </c>
      <c r="D493" s="1850"/>
      <c r="E493" s="44" t="s">
        <v>1791</v>
      </c>
      <c r="F493" s="44">
        <v>18</v>
      </c>
      <c r="G493" s="44" t="s">
        <v>1793</v>
      </c>
      <c r="H493" s="2015">
        <f>C493*F493</f>
        <v>0</v>
      </c>
      <c r="I493" s="2015"/>
      <c r="J493" s="2015"/>
      <c r="K493" s="44" t="s">
        <v>1791</v>
      </c>
      <c r="L493" s="2017" t="e">
        <f>'Dol Per Deg'!$H$11</f>
        <v>#N/A</v>
      </c>
      <c r="M493" s="1850"/>
      <c r="N493" s="44" t="s">
        <v>1793</v>
      </c>
      <c r="O493" s="2016" t="str">
        <f>IF(C489&gt;=R1,"DOI&gt;2004",IF(C493=0,0,IF($R$491=1,"Converted",H493*L493)))</f>
        <v>DOI&gt;2004</v>
      </c>
      <c r="P493" s="2016"/>
      <c r="Q493" s="8"/>
      <c r="R493" s="452">
        <f t="shared" ref="R493:R498" si="73">IF(O493="Converted",0,C493)</f>
        <v>0</v>
      </c>
      <c r="S493" s="60"/>
      <c r="T493" s="60"/>
      <c r="U493" s="60"/>
      <c r="V493" s="60"/>
      <c r="W493" s="60"/>
      <c r="X493" s="60"/>
      <c r="Y493" s="60"/>
      <c r="Z493" s="60"/>
      <c r="AA493" s="60"/>
      <c r="AB493" s="60"/>
      <c r="AC493" s="60"/>
      <c r="AD493" s="60"/>
      <c r="AE493" s="60"/>
      <c r="AF493" s="60"/>
      <c r="AG493" s="60"/>
      <c r="AH493" s="60"/>
      <c r="AI493" s="60"/>
      <c r="AJ493" s="60"/>
      <c r="AK493" s="60"/>
      <c r="AL493" s="60"/>
      <c r="AM493" s="60"/>
      <c r="AN493" s="60"/>
      <c r="AO493" s="60"/>
      <c r="AP493" s="60"/>
      <c r="AQ493" s="60"/>
      <c r="AR493" s="60"/>
      <c r="AS493" s="60"/>
      <c r="AT493" s="60"/>
      <c r="AU493" s="60"/>
      <c r="AV493" s="60"/>
      <c r="AW493" s="60"/>
      <c r="AX493" s="60"/>
      <c r="AY493" s="60"/>
      <c r="AZ493" s="60"/>
      <c r="BA493" s="60"/>
      <c r="BB493" s="60"/>
      <c r="BC493" s="60"/>
      <c r="BD493" s="60"/>
      <c r="BE493" s="60"/>
      <c r="BF493" s="14"/>
      <c r="BG493" s="14"/>
      <c r="BH493" s="14"/>
      <c r="BI493" s="14"/>
      <c r="BJ493" s="14"/>
      <c r="BK493" s="14"/>
      <c r="BL493" s="14"/>
      <c r="BM493" s="14"/>
      <c r="BN493" s="14"/>
      <c r="BO493" s="14"/>
      <c r="BP493" s="14"/>
      <c r="BQ493" s="14"/>
      <c r="BR493" s="14"/>
      <c r="BS493" s="14"/>
      <c r="BT493" s="14"/>
      <c r="BU493" s="14"/>
      <c r="BV493" s="14"/>
      <c r="BW493" s="14"/>
      <c r="BX493" s="14"/>
      <c r="BY493" s="14"/>
      <c r="BZ493" s="14"/>
      <c r="CA493" s="14"/>
      <c r="CB493" s="14"/>
      <c r="CC493" s="14"/>
      <c r="CD493" s="14"/>
      <c r="CE493" s="14"/>
      <c r="CF493" s="14"/>
      <c r="CG493" s="14"/>
      <c r="CH493" s="14"/>
      <c r="CI493" s="14"/>
      <c r="CJ493" s="14"/>
      <c r="CK493" s="14"/>
      <c r="CL493" s="14"/>
      <c r="CM493" s="14"/>
      <c r="CN493" s="14"/>
      <c r="CO493" s="14"/>
      <c r="CP493" s="14"/>
      <c r="CQ493" s="14"/>
      <c r="CR493" s="14"/>
      <c r="CS493" s="14"/>
      <c r="CT493" s="14"/>
      <c r="CU493" s="14"/>
      <c r="CV493" s="14"/>
      <c r="CW493" s="14"/>
      <c r="CX493" s="14"/>
      <c r="CY493" s="14"/>
      <c r="CZ493" s="14"/>
      <c r="DA493" s="14"/>
      <c r="DB493" s="14"/>
      <c r="DC493" s="14"/>
      <c r="DD493" s="14"/>
      <c r="DE493" s="14"/>
      <c r="DF493" s="14"/>
      <c r="DG493" s="14"/>
      <c r="DH493" s="14"/>
      <c r="DI493" s="14"/>
      <c r="DJ493" s="14"/>
      <c r="DK493" s="14"/>
      <c r="DL493" s="14"/>
      <c r="DM493" s="14"/>
      <c r="DN493" s="14"/>
      <c r="DO493" s="14"/>
      <c r="DP493" s="14"/>
      <c r="DQ493" s="14"/>
      <c r="DR493" s="14"/>
      <c r="DS493" s="14"/>
      <c r="DT493" s="14"/>
      <c r="DU493" s="14"/>
      <c r="DV493" s="14"/>
      <c r="DW493" s="14"/>
      <c r="DX493" s="14"/>
      <c r="DY493" s="14"/>
      <c r="DZ493" s="14"/>
      <c r="EA493" s="14"/>
      <c r="EB493" s="14"/>
      <c r="EC493" s="14"/>
      <c r="ED493" s="14"/>
      <c r="EE493" s="14"/>
      <c r="EF493" s="14"/>
      <c r="EG493" s="14"/>
      <c r="EH493" s="14"/>
      <c r="EI493" s="14"/>
      <c r="EJ493" s="14"/>
      <c r="EK493" s="14"/>
      <c r="EL493" s="14"/>
    </row>
    <row r="494" spans="1:228" ht="18" customHeight="1" x14ac:dyDescent="0.2">
      <c r="A494" s="8"/>
      <c r="B494" s="353" t="s">
        <v>1053</v>
      </c>
      <c r="C494" s="1849">
        <f>P72</f>
        <v>0</v>
      </c>
      <c r="D494" s="1850"/>
      <c r="E494" s="44" t="s">
        <v>1791</v>
      </c>
      <c r="F494" s="44">
        <v>4</v>
      </c>
      <c r="G494" s="44" t="s">
        <v>1793</v>
      </c>
      <c r="H494" s="2015">
        <f t="shared" ref="H494:H499" si="74">C494*F494</f>
        <v>0</v>
      </c>
      <c r="I494" s="2015"/>
      <c r="J494" s="2015"/>
      <c r="K494" s="44" t="s">
        <v>1791</v>
      </c>
      <c r="L494" s="2017" t="e">
        <f>'Dol Per Deg'!$H$11</f>
        <v>#N/A</v>
      </c>
      <c r="M494" s="1850"/>
      <c r="N494" s="44" t="s">
        <v>1793</v>
      </c>
      <c r="O494" s="2016" t="str">
        <f>IF(C489&gt;=R1,"DOI&gt;2004",IF(C494=0,0,IF($R$491=1,"Converted",H494*L494)))</f>
        <v>DOI&gt;2004</v>
      </c>
      <c r="P494" s="2016"/>
      <c r="Q494" s="8"/>
      <c r="R494" s="452">
        <f t="shared" si="73"/>
        <v>0</v>
      </c>
      <c r="S494" s="60"/>
      <c r="T494" s="60"/>
      <c r="U494" s="60"/>
      <c r="V494" s="60"/>
      <c r="W494" s="60"/>
      <c r="X494" s="60"/>
      <c r="Y494" s="60"/>
      <c r="Z494" s="60"/>
      <c r="AA494" s="60"/>
      <c r="AB494" s="60"/>
      <c r="AC494" s="60"/>
      <c r="AD494" s="60"/>
      <c r="AE494" s="60"/>
      <c r="AF494" s="60"/>
      <c r="AG494" s="60"/>
      <c r="AH494" s="60"/>
      <c r="AI494" s="60"/>
      <c r="AJ494" s="60"/>
      <c r="AK494" s="60"/>
      <c r="AL494" s="60"/>
      <c r="AM494" s="60"/>
      <c r="AN494" s="60"/>
      <c r="AO494" s="60"/>
      <c r="AP494" s="60"/>
      <c r="AQ494" s="60"/>
      <c r="AR494" s="60"/>
      <c r="AS494" s="60"/>
      <c r="AT494" s="60"/>
      <c r="AU494" s="60"/>
      <c r="AV494" s="60"/>
      <c r="AW494" s="60"/>
      <c r="AX494" s="60"/>
      <c r="AY494" s="60"/>
      <c r="AZ494" s="60"/>
      <c r="BA494" s="60"/>
      <c r="BB494" s="60"/>
      <c r="BC494" s="60"/>
      <c r="BD494" s="60"/>
      <c r="BE494" s="60"/>
      <c r="BF494" s="14"/>
      <c r="BG494" s="14"/>
      <c r="BH494" s="14"/>
      <c r="BI494" s="14"/>
      <c r="BJ494" s="14"/>
      <c r="BK494" s="14"/>
      <c r="BL494" s="14"/>
      <c r="BM494" s="14"/>
      <c r="BN494" s="14"/>
      <c r="BO494" s="14"/>
      <c r="BP494" s="14"/>
      <c r="BQ494" s="14"/>
      <c r="BR494" s="14"/>
      <c r="BS494" s="14"/>
      <c r="BT494" s="14"/>
      <c r="BU494" s="14"/>
      <c r="BV494" s="14"/>
      <c r="BW494" s="14"/>
      <c r="BX494" s="14"/>
      <c r="BY494" s="14"/>
      <c r="BZ494" s="14"/>
      <c r="CA494" s="14"/>
      <c r="CB494" s="14"/>
      <c r="CC494" s="14"/>
      <c r="CD494" s="14"/>
      <c r="CE494" s="14"/>
      <c r="CF494" s="14"/>
      <c r="CG494" s="14"/>
      <c r="CH494" s="14"/>
      <c r="CI494" s="14"/>
      <c r="CJ494" s="14"/>
      <c r="CK494" s="14"/>
      <c r="CL494" s="14"/>
      <c r="CM494" s="14"/>
      <c r="CN494" s="14"/>
      <c r="CO494" s="14"/>
      <c r="CP494" s="14"/>
      <c r="CQ494" s="14"/>
      <c r="CR494" s="14"/>
      <c r="CS494" s="14"/>
      <c r="CT494" s="14"/>
      <c r="CU494" s="14"/>
      <c r="CV494" s="14"/>
      <c r="CW494" s="14"/>
      <c r="CX494" s="14"/>
      <c r="CY494" s="14"/>
      <c r="CZ494" s="14"/>
      <c r="DA494" s="14"/>
      <c r="DB494" s="14"/>
      <c r="DC494" s="14"/>
      <c r="DD494" s="14"/>
      <c r="DE494" s="14"/>
      <c r="DF494" s="14"/>
      <c r="DG494" s="14"/>
      <c r="DH494" s="14"/>
      <c r="DI494" s="14"/>
      <c r="DJ494" s="14"/>
      <c r="DK494" s="14"/>
      <c r="DL494" s="14"/>
      <c r="DM494" s="14"/>
      <c r="DN494" s="14"/>
      <c r="DO494" s="14"/>
      <c r="DP494" s="14"/>
      <c r="DQ494" s="14"/>
      <c r="DR494" s="14"/>
      <c r="DS494" s="14"/>
      <c r="DT494" s="14"/>
      <c r="DU494" s="14"/>
      <c r="DV494" s="14"/>
      <c r="DW494" s="14"/>
      <c r="DX494" s="14"/>
      <c r="DY494" s="14"/>
      <c r="DZ494" s="14"/>
      <c r="EA494" s="14"/>
      <c r="EB494" s="14"/>
      <c r="EC494" s="14"/>
      <c r="ED494" s="14"/>
      <c r="EE494" s="14"/>
      <c r="EF494" s="14"/>
      <c r="EG494" s="14"/>
      <c r="EH494" s="14"/>
      <c r="EI494" s="14"/>
      <c r="EJ494" s="14"/>
      <c r="EK494" s="14"/>
      <c r="EL494" s="14"/>
    </row>
    <row r="495" spans="1:228" ht="18" customHeight="1" x14ac:dyDescent="0.2">
      <c r="A495" s="8"/>
      <c r="B495" s="353" t="s">
        <v>1054</v>
      </c>
      <c r="C495" s="1849">
        <f>P112</f>
        <v>0</v>
      </c>
      <c r="D495" s="1850"/>
      <c r="E495" s="44" t="s">
        <v>1791</v>
      </c>
      <c r="F495" s="44">
        <v>4</v>
      </c>
      <c r="G495" s="44" t="s">
        <v>1793</v>
      </c>
      <c r="H495" s="2015">
        <f t="shared" si="74"/>
        <v>0</v>
      </c>
      <c r="I495" s="2015"/>
      <c r="J495" s="2015"/>
      <c r="K495" s="44" t="s">
        <v>1791</v>
      </c>
      <c r="L495" s="2017" t="e">
        <f>'Dol Per Deg'!$H$11</f>
        <v>#N/A</v>
      </c>
      <c r="M495" s="1850"/>
      <c r="N495" s="44" t="s">
        <v>1793</v>
      </c>
      <c r="O495" s="2016" t="str">
        <f>IF(C489&gt;=R1,"DOI&gt;2004",IF(C495=0,0,IF($R$491=1,"Converted",H495*L495)))</f>
        <v>DOI&gt;2004</v>
      </c>
      <c r="P495" s="2016"/>
      <c r="Q495" s="8"/>
      <c r="R495" s="452">
        <f t="shared" si="73"/>
        <v>0</v>
      </c>
      <c r="S495" s="60"/>
      <c r="T495" s="60"/>
      <c r="U495" s="60"/>
      <c r="V495" s="60"/>
      <c r="W495" s="60"/>
      <c r="X495" s="60"/>
      <c r="Y495" s="60"/>
      <c r="Z495" s="60"/>
      <c r="AA495" s="60"/>
      <c r="AB495" s="60"/>
      <c r="AC495" s="60"/>
      <c r="AD495" s="60"/>
      <c r="AE495" s="60"/>
      <c r="AF495" s="60"/>
      <c r="AG495" s="60"/>
      <c r="AH495" s="60"/>
      <c r="AI495" s="60"/>
      <c r="AJ495" s="60"/>
      <c r="AK495" s="60"/>
      <c r="AL495" s="60"/>
      <c r="AM495" s="60"/>
      <c r="AN495" s="60"/>
      <c r="AO495" s="60"/>
      <c r="AP495" s="60"/>
      <c r="AQ495" s="60"/>
      <c r="AR495" s="60"/>
      <c r="AS495" s="60"/>
      <c r="AT495" s="60"/>
      <c r="AU495" s="60"/>
      <c r="AV495" s="60"/>
      <c r="AW495" s="60"/>
      <c r="AX495" s="60"/>
      <c r="AY495" s="60"/>
      <c r="AZ495" s="60"/>
      <c r="BA495" s="60"/>
      <c r="BB495" s="60"/>
      <c r="BC495" s="60"/>
      <c r="BD495" s="60"/>
      <c r="BE495" s="60"/>
      <c r="BF495" s="14"/>
      <c r="BG495" s="14"/>
      <c r="BH495" s="14"/>
      <c r="BI495" s="14"/>
      <c r="BJ495" s="14"/>
      <c r="BK495" s="14"/>
      <c r="BL495" s="14"/>
      <c r="BM495" s="14"/>
      <c r="BN495" s="14"/>
      <c r="BO495" s="14"/>
      <c r="BP495" s="14"/>
      <c r="BQ495" s="14"/>
      <c r="BR495" s="14"/>
      <c r="BS495" s="14"/>
      <c r="BT495" s="14"/>
      <c r="BU495" s="14"/>
      <c r="BV495" s="14"/>
      <c r="BW495" s="14"/>
      <c r="BX495" s="14"/>
      <c r="BY495" s="14"/>
      <c r="BZ495" s="14"/>
      <c r="CA495" s="14"/>
      <c r="CB495" s="14"/>
      <c r="CC495" s="14"/>
      <c r="CD495" s="14"/>
      <c r="CE495" s="14"/>
      <c r="CF495" s="14"/>
      <c r="CG495" s="14"/>
      <c r="CH495" s="14"/>
      <c r="CI495" s="14"/>
      <c r="CJ495" s="14"/>
      <c r="CK495" s="14"/>
      <c r="CL495" s="14"/>
      <c r="CM495" s="14"/>
      <c r="CN495" s="14"/>
      <c r="CO495" s="14"/>
      <c r="CP495" s="14"/>
      <c r="CQ495" s="14"/>
      <c r="CR495" s="14"/>
      <c r="CS495" s="14"/>
      <c r="CT495" s="14"/>
      <c r="CU495" s="14"/>
      <c r="CV495" s="14"/>
      <c r="CW495" s="14"/>
      <c r="CX495" s="14"/>
      <c r="CY495" s="14"/>
      <c r="CZ495" s="14"/>
      <c r="DA495" s="14"/>
      <c r="DB495" s="14"/>
      <c r="DC495" s="14"/>
      <c r="DD495" s="14"/>
      <c r="DE495" s="14"/>
      <c r="DF495" s="14"/>
      <c r="DG495" s="14"/>
      <c r="DH495" s="14"/>
      <c r="DI495" s="14"/>
      <c r="DJ495" s="14"/>
      <c r="DK495" s="14"/>
      <c r="DL495" s="14"/>
      <c r="DM495" s="14"/>
      <c r="DN495" s="14"/>
      <c r="DO495" s="14"/>
      <c r="DP495" s="14"/>
      <c r="DQ495" s="14"/>
      <c r="DR495" s="14"/>
      <c r="DS495" s="14"/>
      <c r="DT495" s="14"/>
      <c r="DU495" s="14"/>
      <c r="DV495" s="14"/>
      <c r="DW495" s="14"/>
      <c r="DX495" s="14"/>
      <c r="DY495" s="14"/>
      <c r="DZ495" s="14"/>
      <c r="EA495" s="14"/>
      <c r="EB495" s="14"/>
      <c r="EC495" s="14"/>
      <c r="ED495" s="14"/>
      <c r="EE495" s="14"/>
      <c r="EF495" s="14"/>
      <c r="EG495" s="14"/>
      <c r="EH495" s="14"/>
      <c r="EI495" s="14"/>
      <c r="EJ495" s="14"/>
      <c r="EK495" s="14"/>
      <c r="EL495" s="14"/>
    </row>
    <row r="496" spans="1:228" ht="18" customHeight="1" x14ac:dyDescent="0.2">
      <c r="A496" s="8"/>
      <c r="B496" s="353" t="s">
        <v>1055</v>
      </c>
      <c r="C496" s="1849">
        <f>P152</f>
        <v>0</v>
      </c>
      <c r="D496" s="1850"/>
      <c r="E496" s="44" t="s">
        <v>1791</v>
      </c>
      <c r="F496" s="44">
        <v>4</v>
      </c>
      <c r="G496" s="44" t="s">
        <v>1793</v>
      </c>
      <c r="H496" s="2015">
        <f t="shared" si="74"/>
        <v>0</v>
      </c>
      <c r="I496" s="2015"/>
      <c r="J496" s="2015"/>
      <c r="K496" s="44" t="s">
        <v>1791</v>
      </c>
      <c r="L496" s="2017" t="e">
        <f>'Dol Per Deg'!$H$11</f>
        <v>#N/A</v>
      </c>
      <c r="M496" s="1850"/>
      <c r="N496" s="44" t="s">
        <v>1793</v>
      </c>
      <c r="O496" s="2016" t="str">
        <f>IF(C489&gt;=R1,"DOI&gt;2004",IF(C496=0,0,IF($R$491=1,"Converted",H496*L496)))</f>
        <v>DOI&gt;2004</v>
      </c>
      <c r="P496" s="2016"/>
      <c r="Q496" s="8"/>
      <c r="R496" s="452">
        <f t="shared" si="73"/>
        <v>0</v>
      </c>
      <c r="S496" s="60"/>
      <c r="T496" s="60"/>
      <c r="U496" s="60"/>
      <c r="V496" s="60"/>
      <c r="W496" s="60"/>
      <c r="X496" s="60"/>
      <c r="Y496" s="60"/>
      <c r="Z496" s="60"/>
      <c r="AA496" s="60"/>
      <c r="AB496" s="60"/>
      <c r="AC496" s="60"/>
      <c r="AD496" s="60"/>
      <c r="AE496" s="60"/>
      <c r="AF496" s="60"/>
      <c r="AG496" s="60"/>
      <c r="AH496" s="60"/>
      <c r="AI496" s="60"/>
      <c r="AJ496" s="60"/>
      <c r="AK496" s="60"/>
      <c r="AL496" s="60"/>
      <c r="AM496" s="60"/>
      <c r="AN496" s="60"/>
      <c r="AO496" s="60"/>
      <c r="AP496" s="60"/>
      <c r="AQ496" s="60"/>
      <c r="AR496" s="60"/>
      <c r="AS496" s="60"/>
      <c r="AT496" s="60"/>
      <c r="AU496" s="60"/>
      <c r="AV496" s="60"/>
      <c r="AW496" s="60"/>
      <c r="AX496" s="60"/>
      <c r="AY496" s="60"/>
      <c r="AZ496" s="60"/>
      <c r="BA496" s="60"/>
      <c r="BB496" s="60"/>
      <c r="BC496" s="60"/>
      <c r="BD496" s="60"/>
      <c r="BE496" s="60"/>
      <c r="BF496" s="14"/>
      <c r="BG496" s="14"/>
      <c r="BH496" s="14"/>
      <c r="BI496" s="14"/>
      <c r="BJ496" s="14"/>
      <c r="BK496" s="14"/>
      <c r="BL496" s="14"/>
      <c r="BM496" s="14"/>
      <c r="BN496" s="14"/>
      <c r="BO496" s="14"/>
      <c r="BP496" s="14"/>
      <c r="BQ496" s="14"/>
      <c r="BR496" s="14"/>
      <c r="BS496" s="14"/>
      <c r="BT496" s="14"/>
      <c r="BU496" s="14"/>
      <c r="BV496" s="14"/>
      <c r="BW496" s="14"/>
      <c r="BX496" s="14"/>
      <c r="BY496" s="14"/>
      <c r="BZ496" s="14"/>
      <c r="CA496" s="14"/>
      <c r="CB496" s="14"/>
      <c r="CC496" s="14"/>
      <c r="CD496" s="14"/>
      <c r="CE496" s="14"/>
      <c r="CF496" s="14"/>
      <c r="CG496" s="14"/>
      <c r="CH496" s="14"/>
      <c r="CI496" s="14"/>
      <c r="CJ496" s="14"/>
      <c r="CK496" s="14"/>
      <c r="CL496" s="14"/>
      <c r="CM496" s="14"/>
      <c r="CN496" s="14"/>
      <c r="CO496" s="14"/>
      <c r="CP496" s="14"/>
      <c r="CQ496" s="14"/>
      <c r="CR496" s="14"/>
      <c r="CS496" s="14"/>
      <c r="CT496" s="14"/>
      <c r="CU496" s="14"/>
      <c r="CV496" s="14"/>
      <c r="CW496" s="14"/>
      <c r="CX496" s="14"/>
      <c r="CY496" s="14"/>
      <c r="CZ496" s="14"/>
      <c r="DA496" s="14"/>
      <c r="DB496" s="14"/>
      <c r="DC496" s="14"/>
      <c r="DD496" s="14"/>
      <c r="DE496" s="14"/>
      <c r="DF496" s="14"/>
      <c r="DG496" s="14"/>
      <c r="DH496" s="14"/>
      <c r="DI496" s="14"/>
      <c r="DJ496" s="14"/>
      <c r="DK496" s="14"/>
      <c r="DL496" s="14"/>
      <c r="DM496" s="14"/>
      <c r="DN496" s="14"/>
      <c r="DO496" s="14"/>
      <c r="DP496" s="14"/>
      <c r="DQ496" s="14"/>
      <c r="DR496" s="14"/>
      <c r="DS496" s="14"/>
      <c r="DT496" s="14"/>
      <c r="DU496" s="14"/>
      <c r="DV496" s="14"/>
      <c r="DW496" s="14"/>
      <c r="DX496" s="14"/>
      <c r="DY496" s="14"/>
      <c r="DZ496" s="14"/>
      <c r="EA496" s="14"/>
      <c r="EB496" s="14"/>
      <c r="EC496" s="14"/>
      <c r="ED496" s="14"/>
      <c r="EE496" s="14"/>
      <c r="EF496" s="14"/>
      <c r="EG496" s="14"/>
      <c r="EH496" s="14"/>
      <c r="EI496" s="14"/>
      <c r="EJ496" s="14"/>
      <c r="EK496" s="14"/>
      <c r="EL496" s="14"/>
    </row>
    <row r="497" spans="1:241" ht="18" customHeight="1" x14ac:dyDescent="0.2">
      <c r="A497" s="8"/>
      <c r="B497" s="353" t="s">
        <v>1056</v>
      </c>
      <c r="C497" s="1849">
        <f>P192</f>
        <v>0</v>
      </c>
      <c r="D497" s="1850"/>
      <c r="E497" s="44" t="s">
        <v>1791</v>
      </c>
      <c r="F497" s="44">
        <v>4</v>
      </c>
      <c r="G497" s="44" t="s">
        <v>1793</v>
      </c>
      <c r="H497" s="2015">
        <f t="shared" si="74"/>
        <v>0</v>
      </c>
      <c r="I497" s="2015"/>
      <c r="J497" s="2015"/>
      <c r="K497" s="44" t="s">
        <v>1791</v>
      </c>
      <c r="L497" s="2017" t="e">
        <f>'Dol Per Deg'!$H$11</f>
        <v>#N/A</v>
      </c>
      <c r="M497" s="1850"/>
      <c r="N497" s="44" t="s">
        <v>1793</v>
      </c>
      <c r="O497" s="2016" t="str">
        <f>IF(C489&gt;=R1,"DOI&gt;2004",IF(C497=0,0,IF($R$491=1,"Converted",H497*L497)))</f>
        <v>DOI&gt;2004</v>
      </c>
      <c r="P497" s="2016"/>
      <c r="Q497" s="8"/>
      <c r="R497" s="452">
        <f t="shared" si="73"/>
        <v>0</v>
      </c>
      <c r="S497" s="60"/>
      <c r="T497" s="60"/>
      <c r="U497" s="60"/>
      <c r="V497" s="60"/>
      <c r="W497" s="60"/>
      <c r="X497" s="60"/>
      <c r="Y497" s="60"/>
      <c r="Z497" s="60"/>
      <c r="AA497" s="60"/>
      <c r="AB497" s="60"/>
      <c r="AC497" s="60"/>
      <c r="AD497" s="60"/>
      <c r="AE497" s="60"/>
      <c r="AF497" s="60"/>
      <c r="AG497" s="60"/>
      <c r="AH497" s="60"/>
      <c r="AI497" s="60"/>
      <c r="AJ497" s="60"/>
      <c r="AK497" s="60"/>
      <c r="AL497" s="60"/>
      <c r="AM497" s="60"/>
      <c r="AN497" s="60"/>
      <c r="AO497" s="60"/>
      <c r="AP497" s="60"/>
      <c r="AQ497" s="60"/>
      <c r="AR497" s="60"/>
      <c r="AS497" s="60"/>
      <c r="AT497" s="60"/>
      <c r="AU497" s="60"/>
      <c r="AV497" s="60"/>
      <c r="AW497" s="60"/>
      <c r="AX497" s="60"/>
      <c r="AY497" s="60"/>
      <c r="AZ497" s="60"/>
      <c r="BA497" s="60"/>
      <c r="BB497" s="60"/>
      <c r="BC497" s="60"/>
      <c r="BD497" s="60"/>
      <c r="BE497" s="60"/>
      <c r="BF497" s="14"/>
      <c r="BG497" s="14"/>
      <c r="BH497" s="14"/>
      <c r="BI497" s="14"/>
      <c r="BJ497" s="14"/>
      <c r="BK497" s="14"/>
      <c r="BL497" s="14"/>
      <c r="BM497" s="14"/>
      <c r="BN497" s="14"/>
      <c r="BO497" s="14"/>
      <c r="BP497" s="14"/>
      <c r="BQ497" s="14"/>
      <c r="BR497" s="14"/>
      <c r="BS497" s="14"/>
      <c r="BT497" s="14"/>
      <c r="BU497" s="14"/>
      <c r="BV497" s="14"/>
      <c r="BW497" s="14"/>
      <c r="BX497" s="14"/>
      <c r="BY497" s="14"/>
      <c r="BZ497" s="14"/>
      <c r="CA497" s="14"/>
      <c r="CB497" s="14"/>
      <c r="CC497" s="14"/>
      <c r="CD497" s="14"/>
      <c r="CE497" s="14"/>
      <c r="CF497" s="14"/>
      <c r="CG497" s="14"/>
      <c r="CH497" s="14"/>
      <c r="CI497" s="14"/>
      <c r="CJ497" s="14"/>
      <c r="CK497" s="14"/>
      <c r="CL497" s="14"/>
      <c r="CM497" s="14"/>
      <c r="CN497" s="14"/>
      <c r="CO497" s="14"/>
      <c r="CP497" s="14"/>
      <c r="CQ497" s="14"/>
      <c r="CR497" s="14"/>
      <c r="CS497" s="14"/>
      <c r="CT497" s="14"/>
      <c r="CU497" s="14"/>
      <c r="CV497" s="14"/>
      <c r="CW497" s="14"/>
      <c r="CX497" s="14"/>
      <c r="CY497" s="14"/>
      <c r="CZ497" s="14"/>
      <c r="DA497" s="14"/>
      <c r="DB497" s="14"/>
      <c r="DC497" s="14"/>
      <c r="DD497" s="14"/>
      <c r="DE497" s="14"/>
      <c r="DF497" s="14"/>
      <c r="DG497" s="14"/>
      <c r="DH497" s="14"/>
      <c r="DI497" s="14"/>
      <c r="DJ497" s="14"/>
      <c r="DK497" s="14"/>
      <c r="DL497" s="14"/>
      <c r="DM497" s="14"/>
      <c r="DN497" s="14"/>
      <c r="DO497" s="14"/>
      <c r="DP497" s="14"/>
      <c r="DQ497" s="14"/>
      <c r="DR497" s="14"/>
      <c r="DS497" s="14"/>
      <c r="DT497" s="14"/>
      <c r="DU497" s="14"/>
      <c r="DV497" s="14"/>
      <c r="DW497" s="14"/>
      <c r="DX497" s="14"/>
      <c r="DY497" s="14"/>
      <c r="DZ497" s="14"/>
      <c r="EA497" s="14"/>
      <c r="EB497" s="14"/>
      <c r="EC497" s="14"/>
      <c r="ED497" s="14"/>
      <c r="EE497" s="14"/>
      <c r="EF497" s="14"/>
      <c r="EG497" s="14"/>
      <c r="EH497" s="14"/>
      <c r="EI497" s="14"/>
      <c r="EJ497" s="14"/>
      <c r="EK497" s="14"/>
      <c r="EL497" s="14"/>
    </row>
    <row r="498" spans="1:241" ht="18" customHeight="1" x14ac:dyDescent="0.2">
      <c r="A498" s="8"/>
      <c r="B498" s="353" t="s">
        <v>1057</v>
      </c>
      <c r="C498" s="1849">
        <f>P341</f>
        <v>0</v>
      </c>
      <c r="D498" s="1850"/>
      <c r="E498" s="44" t="s">
        <v>1791</v>
      </c>
      <c r="F498" s="44">
        <v>135</v>
      </c>
      <c r="G498" s="44" t="s">
        <v>1793</v>
      </c>
      <c r="H498" s="2015">
        <f t="shared" si="74"/>
        <v>0</v>
      </c>
      <c r="I498" s="2015"/>
      <c r="J498" s="2015"/>
      <c r="K498" s="44" t="s">
        <v>1791</v>
      </c>
      <c r="L498" s="2017" t="e">
        <f>'Dol Per Deg'!$H$11</f>
        <v>#N/A</v>
      </c>
      <c r="M498" s="1850"/>
      <c r="N498" s="44" t="s">
        <v>1793</v>
      </c>
      <c r="O498" s="2016" t="str">
        <f>IF(C489&gt;=R1,"DOI&gt;2004",IF(C498=0,0,IF(AND(C498&gt;0,C499&gt;0),"Converted",H498*L498)))</f>
        <v>DOI&gt;2004</v>
      </c>
      <c r="P498" s="2016"/>
      <c r="Q498" s="8"/>
      <c r="R498" s="452">
        <f t="shared" si="73"/>
        <v>0</v>
      </c>
      <c r="S498" s="60"/>
      <c r="T498" s="60"/>
      <c r="U498" s="60"/>
      <c r="V498" s="60"/>
      <c r="W498" s="60"/>
      <c r="X498" s="60"/>
      <c r="Y498" s="60"/>
      <c r="Z498" s="60"/>
      <c r="AA498" s="60"/>
      <c r="AB498" s="60"/>
      <c r="AC498" s="60"/>
      <c r="AD498" s="60"/>
      <c r="AE498" s="60"/>
      <c r="AF498" s="60"/>
      <c r="AG498" s="60"/>
      <c r="AH498" s="60"/>
      <c r="AI498" s="60"/>
      <c r="AJ498" s="60"/>
      <c r="AK498" s="60"/>
      <c r="AL498" s="60"/>
      <c r="AM498" s="60"/>
      <c r="AN498" s="60"/>
      <c r="AO498" s="60"/>
      <c r="AP498" s="60"/>
      <c r="AQ498" s="60"/>
      <c r="AR498" s="60"/>
      <c r="AS498" s="60"/>
      <c r="AT498" s="60"/>
      <c r="AU498" s="60"/>
      <c r="AV498" s="60"/>
      <c r="AW498" s="60"/>
      <c r="AX498" s="60"/>
      <c r="AY498" s="60"/>
      <c r="AZ498" s="60"/>
      <c r="BA498" s="60"/>
      <c r="BB498" s="60"/>
      <c r="BC498" s="60"/>
      <c r="BD498" s="60"/>
      <c r="BE498" s="60"/>
      <c r="BF498" s="14"/>
      <c r="BG498" s="14"/>
      <c r="BH498" s="14"/>
      <c r="BI498" s="14"/>
      <c r="BJ498" s="14"/>
      <c r="BK498" s="14"/>
      <c r="BL498" s="14"/>
      <c r="BM498" s="14"/>
      <c r="BN498" s="14"/>
      <c r="BO498" s="14"/>
      <c r="BP498" s="14"/>
      <c r="BQ498" s="14"/>
      <c r="BR498" s="14"/>
      <c r="BS498" s="14"/>
      <c r="BT498" s="14"/>
      <c r="BU498" s="14"/>
      <c r="BV498" s="14"/>
      <c r="BW498" s="14"/>
      <c r="BX498" s="14"/>
      <c r="BY498" s="14"/>
      <c r="BZ498" s="14"/>
      <c r="CA498" s="14"/>
      <c r="CB498" s="14"/>
      <c r="CC498" s="14"/>
      <c r="CD498" s="14"/>
      <c r="CE498" s="14"/>
      <c r="CF498" s="14"/>
      <c r="CG498" s="14"/>
      <c r="CH498" s="14"/>
      <c r="CI498" s="14"/>
      <c r="CJ498" s="14"/>
      <c r="CK498" s="14"/>
      <c r="CL498" s="14"/>
      <c r="CM498" s="14"/>
      <c r="CN498" s="14"/>
      <c r="CO498" s="14"/>
      <c r="CP498" s="14"/>
      <c r="CQ498" s="14"/>
      <c r="CR498" s="14"/>
      <c r="CS498" s="14"/>
      <c r="CT498" s="14"/>
      <c r="CU498" s="14"/>
      <c r="CV498" s="14"/>
      <c r="CW498" s="14"/>
      <c r="CX498" s="14"/>
      <c r="CY498" s="14"/>
      <c r="CZ498" s="14"/>
      <c r="DA498" s="14"/>
      <c r="DB498" s="14"/>
      <c r="DC498" s="14"/>
      <c r="DD498" s="14"/>
      <c r="DE498" s="14"/>
      <c r="DF498" s="14"/>
      <c r="DG498" s="14"/>
      <c r="DH498" s="14"/>
      <c r="DI498" s="14"/>
      <c r="DJ498" s="14"/>
      <c r="DK498" s="14"/>
      <c r="DL498" s="14"/>
      <c r="DM498" s="14"/>
      <c r="DN498" s="14"/>
      <c r="DO498" s="14"/>
      <c r="DP498" s="14"/>
      <c r="DQ498" s="14"/>
      <c r="DR498" s="14"/>
      <c r="DS498" s="14"/>
      <c r="DT498" s="14"/>
      <c r="DU498" s="14"/>
      <c r="DV498" s="14"/>
      <c r="DW498" s="14"/>
      <c r="DX498" s="14"/>
      <c r="DY498" s="14"/>
      <c r="DZ498" s="14"/>
      <c r="EA498" s="14"/>
      <c r="EB498" s="14"/>
      <c r="EC498" s="14"/>
      <c r="ED498" s="14"/>
      <c r="EE498" s="14"/>
      <c r="EF498" s="14"/>
      <c r="EG498" s="14"/>
      <c r="EH498" s="14"/>
      <c r="EI498" s="14"/>
      <c r="EJ498" s="14"/>
      <c r="EK498" s="14"/>
      <c r="EL498" s="14"/>
    </row>
    <row r="499" spans="1:241" ht="18" customHeight="1" x14ac:dyDescent="0.2">
      <c r="A499" s="8"/>
      <c r="B499" s="353" t="s">
        <v>1058</v>
      </c>
      <c r="C499" s="1849">
        <f>P448</f>
        <v>0</v>
      </c>
      <c r="D499" s="1850"/>
      <c r="E499" s="44" t="s">
        <v>1791</v>
      </c>
      <c r="F499" s="44">
        <v>150</v>
      </c>
      <c r="G499" s="44" t="s">
        <v>1793</v>
      </c>
      <c r="H499" s="2015">
        <f t="shared" si="74"/>
        <v>0</v>
      </c>
      <c r="I499" s="2015"/>
      <c r="J499" s="2015"/>
      <c r="K499" s="44" t="s">
        <v>1791</v>
      </c>
      <c r="L499" s="2017" t="e">
        <f>'Dol Per Deg'!$H$11</f>
        <v>#N/A</v>
      </c>
      <c r="M499" s="1850"/>
      <c r="N499" s="44" t="s">
        <v>1793</v>
      </c>
      <c r="O499" s="2017" t="str">
        <f>IF(C489&gt;=R1,"DOI&gt;2004",IF(C499=0,0,H499*L499))</f>
        <v>DOI&gt;2004</v>
      </c>
      <c r="P499" s="1850"/>
      <c r="Q499" s="8"/>
      <c r="R499" s="452">
        <f>C499</f>
        <v>0</v>
      </c>
      <c r="S499" s="60"/>
      <c r="T499" s="60"/>
      <c r="U499" s="60"/>
      <c r="V499" s="60"/>
      <c r="W499" s="60"/>
      <c r="X499" s="60"/>
      <c r="Y499" s="60"/>
      <c r="Z499" s="60"/>
      <c r="AA499" s="60"/>
      <c r="AB499" s="60"/>
      <c r="AC499" s="60"/>
      <c r="AD499" s="60"/>
      <c r="AE499" s="60"/>
      <c r="AF499" s="60"/>
      <c r="AG499" s="60"/>
      <c r="AH499" s="60"/>
      <c r="AI499" s="60"/>
      <c r="AJ499" s="60"/>
      <c r="AK499" s="60"/>
      <c r="AL499" s="60"/>
      <c r="AM499" s="60"/>
      <c r="AN499" s="60"/>
      <c r="AO499" s="60"/>
      <c r="AP499" s="60"/>
      <c r="AQ499" s="60"/>
      <c r="AR499" s="60"/>
      <c r="AS499" s="60"/>
      <c r="AT499" s="60"/>
      <c r="AU499" s="60"/>
      <c r="AV499" s="60"/>
      <c r="AW499" s="60"/>
      <c r="AX499" s="60"/>
      <c r="AY499" s="60"/>
      <c r="AZ499" s="60"/>
      <c r="BA499" s="60"/>
      <c r="BB499" s="60"/>
      <c r="BC499" s="60"/>
      <c r="BD499" s="60"/>
      <c r="BE499" s="60"/>
      <c r="BF499" s="14"/>
      <c r="BG499" s="14"/>
      <c r="BH499" s="14"/>
      <c r="BI499" s="14"/>
      <c r="BJ499" s="14"/>
      <c r="BK499" s="14"/>
      <c r="BL499" s="14"/>
      <c r="BM499" s="14"/>
      <c r="BN499" s="14"/>
      <c r="BO499" s="14"/>
      <c r="BP499" s="14"/>
      <c r="BQ499" s="14"/>
      <c r="BR499" s="14"/>
      <c r="BS499" s="14"/>
      <c r="BT499" s="14"/>
      <c r="BU499" s="14"/>
      <c r="BV499" s="14"/>
      <c r="BW499" s="14"/>
      <c r="BX499" s="14"/>
      <c r="BY499" s="14"/>
      <c r="BZ499" s="14"/>
      <c r="CA499" s="14"/>
      <c r="CB499" s="14"/>
      <c r="CC499" s="14"/>
      <c r="CD499" s="14"/>
      <c r="CE499" s="14"/>
      <c r="CF499" s="14"/>
      <c r="CG499" s="14"/>
      <c r="CH499" s="14"/>
      <c r="CI499" s="14"/>
      <c r="CJ499" s="14"/>
      <c r="CK499" s="14"/>
      <c r="CL499" s="14"/>
      <c r="CM499" s="14"/>
      <c r="CN499" s="14"/>
      <c r="CO499" s="14"/>
      <c r="CP499" s="14"/>
      <c r="CQ499" s="14"/>
      <c r="CR499" s="14"/>
      <c r="CS499" s="14"/>
      <c r="CT499" s="14"/>
      <c r="CU499" s="14"/>
      <c r="CV499" s="14"/>
      <c r="CW499" s="14"/>
      <c r="CX499" s="14"/>
      <c r="CY499" s="14"/>
      <c r="CZ499" s="14"/>
      <c r="DA499" s="14"/>
      <c r="DB499" s="14"/>
      <c r="DC499" s="14"/>
      <c r="DD499" s="14"/>
      <c r="DE499" s="14"/>
      <c r="DF499" s="14"/>
      <c r="DG499" s="14"/>
      <c r="DH499" s="14"/>
      <c r="DI499" s="14"/>
      <c r="DJ499" s="14"/>
      <c r="DK499" s="14"/>
      <c r="DL499" s="14"/>
      <c r="DM499" s="14"/>
      <c r="DN499" s="14"/>
      <c r="DO499" s="14"/>
      <c r="DP499" s="14"/>
      <c r="DQ499" s="14"/>
      <c r="DR499" s="14"/>
      <c r="DS499" s="14"/>
      <c r="DT499" s="14"/>
      <c r="DU499" s="14"/>
      <c r="DV499" s="14"/>
      <c r="DW499" s="14"/>
      <c r="DX499" s="14"/>
      <c r="DY499" s="14"/>
      <c r="DZ499" s="14"/>
      <c r="EA499" s="14"/>
      <c r="EB499" s="14"/>
      <c r="EC499" s="14"/>
      <c r="ED499" s="14"/>
      <c r="EE499" s="14"/>
      <c r="EF499" s="14"/>
      <c r="EG499" s="14"/>
      <c r="EH499" s="14"/>
      <c r="EI499" s="14"/>
      <c r="EJ499" s="14"/>
      <c r="EK499" s="14"/>
      <c r="EL499" s="14"/>
    </row>
    <row r="500" spans="1:241" ht="31.5" customHeight="1" x14ac:dyDescent="0.25">
      <c r="B500" s="1682" t="s">
        <v>947</v>
      </c>
      <c r="C500" s="1682"/>
      <c r="D500" s="1682"/>
      <c r="E500" s="1682"/>
      <c r="F500" s="1682"/>
      <c r="G500" s="1682"/>
      <c r="H500" s="1682"/>
      <c r="I500" s="1682"/>
      <c r="J500" s="1682"/>
      <c r="K500" s="1682"/>
      <c r="L500" s="1682"/>
      <c r="M500" s="1682"/>
      <c r="N500" s="1682"/>
      <c r="O500" s="1682"/>
      <c r="P500" s="1682"/>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4"/>
      <c r="BR500" s="14"/>
      <c r="BS500" s="14"/>
      <c r="BT500" s="14"/>
      <c r="BU500" s="14"/>
      <c r="BV500" s="14"/>
      <c r="BW500" s="14"/>
      <c r="BX500" s="14"/>
      <c r="BY500" s="14"/>
      <c r="BZ500" s="14"/>
      <c r="CA500" s="14"/>
      <c r="CB500" s="14"/>
      <c r="CC500" s="14"/>
      <c r="CD500" s="14"/>
      <c r="CE500" s="14"/>
      <c r="CF500" s="14"/>
      <c r="CG500" s="14"/>
      <c r="CH500" s="14"/>
      <c r="CI500" s="14"/>
      <c r="CJ500" s="14"/>
      <c r="CK500" s="14"/>
      <c r="CL500" s="14"/>
      <c r="CM500" s="14"/>
      <c r="CN500" s="14"/>
      <c r="CO500" s="14"/>
      <c r="CP500" s="14"/>
      <c r="CQ500" s="14"/>
      <c r="CR500" s="14"/>
      <c r="CS500" s="14"/>
      <c r="CT500" s="14"/>
      <c r="CU500" s="14"/>
      <c r="CV500" s="14"/>
      <c r="CW500" s="14"/>
      <c r="CX500" s="14"/>
      <c r="CY500" s="14"/>
      <c r="CZ500" s="14"/>
      <c r="DA500" s="14"/>
      <c r="DB500" s="14"/>
      <c r="DC500" s="14"/>
      <c r="DD500" s="14"/>
      <c r="DE500" s="14"/>
      <c r="DF500" s="14"/>
      <c r="DG500" s="14"/>
      <c r="DH500" s="14"/>
      <c r="DI500" s="14"/>
      <c r="DJ500" s="14"/>
      <c r="DK500" s="14"/>
      <c r="DL500" s="14"/>
      <c r="DM500" s="14"/>
      <c r="DN500" s="14"/>
      <c r="DO500" s="14"/>
      <c r="DP500" s="14"/>
      <c r="DQ500" s="14"/>
      <c r="DR500" s="14"/>
      <c r="DS500" s="14"/>
      <c r="DT500" s="14"/>
      <c r="DU500" s="14"/>
      <c r="DV500" s="14"/>
      <c r="DW500" s="14"/>
      <c r="DX500" s="14"/>
      <c r="DY500" s="14"/>
      <c r="DZ500" s="14"/>
      <c r="EA500" s="14"/>
      <c r="EB500" s="14"/>
      <c r="EC500" s="14"/>
      <c r="ED500" s="14"/>
      <c r="EE500" s="14"/>
      <c r="EF500" s="14"/>
      <c r="EG500" s="14"/>
      <c r="EH500" s="14"/>
      <c r="EI500" s="14"/>
      <c r="EJ500" s="14"/>
      <c r="EK500" s="14"/>
      <c r="EL500" s="14"/>
      <c r="EM500" s="14"/>
      <c r="EN500" s="14"/>
      <c r="EO500" s="14"/>
      <c r="EP500" s="14"/>
      <c r="EQ500" s="14"/>
      <c r="ER500" s="14"/>
      <c r="ES500" s="14"/>
      <c r="ET500" s="14"/>
      <c r="EU500" s="14"/>
      <c r="EV500" s="14"/>
      <c r="EW500" s="14"/>
      <c r="EX500" s="14"/>
      <c r="EY500" s="14"/>
      <c r="EZ500" s="14"/>
      <c r="FA500" s="14"/>
      <c r="FB500" s="14"/>
      <c r="FC500" s="14"/>
      <c r="FD500" s="14"/>
      <c r="FE500" s="14"/>
      <c r="FF500" s="14"/>
      <c r="FG500" s="14"/>
      <c r="FH500" s="14"/>
      <c r="FI500" s="14"/>
      <c r="FJ500" s="14"/>
      <c r="FK500" s="14"/>
      <c r="FL500" s="14"/>
      <c r="FM500" s="14"/>
      <c r="FN500" s="14"/>
      <c r="FO500" s="14"/>
      <c r="FP500" s="14"/>
      <c r="FQ500" s="14"/>
      <c r="FR500" s="14"/>
      <c r="FS500" s="14"/>
      <c r="FT500" s="14"/>
      <c r="FU500" s="14"/>
      <c r="FV500" s="14"/>
      <c r="FW500" s="14"/>
      <c r="FX500" s="14"/>
      <c r="FY500" s="14"/>
      <c r="FZ500" s="14"/>
      <c r="GA500" s="14"/>
      <c r="GB500" s="14"/>
      <c r="GC500" s="14"/>
      <c r="GD500" s="14"/>
      <c r="GE500" s="14"/>
      <c r="GF500" s="14"/>
      <c r="GG500" s="14"/>
      <c r="GH500" s="14"/>
      <c r="GI500" s="14"/>
      <c r="GJ500" s="14"/>
      <c r="GK500" s="14"/>
      <c r="GL500" s="14"/>
      <c r="GM500" s="14"/>
      <c r="GN500" s="14"/>
      <c r="GO500" s="14"/>
      <c r="GP500" s="14"/>
      <c r="GQ500" s="14"/>
      <c r="GR500" s="14"/>
      <c r="GS500" s="14"/>
      <c r="GT500" s="14"/>
      <c r="GU500" s="14"/>
      <c r="GV500" s="14"/>
      <c r="GW500" s="14"/>
      <c r="GX500" s="14"/>
      <c r="GY500" s="14"/>
      <c r="GZ500" s="14"/>
      <c r="HA500" s="14"/>
      <c r="HB500" s="14"/>
      <c r="HC500" s="14"/>
      <c r="HD500" s="14"/>
      <c r="HE500" s="14"/>
      <c r="HF500" s="14"/>
      <c r="HG500" s="14"/>
      <c r="HH500" s="14"/>
      <c r="HI500" s="14"/>
      <c r="HJ500" s="14"/>
      <c r="HK500" s="14"/>
      <c r="HL500" s="14"/>
      <c r="HM500" s="14"/>
      <c r="HN500" s="14"/>
      <c r="HO500" s="14"/>
      <c r="HP500" s="14"/>
      <c r="HQ500" s="14"/>
      <c r="HR500" s="14"/>
      <c r="HS500" s="14"/>
      <c r="HT500" s="14"/>
    </row>
    <row r="501" spans="1:241" x14ac:dyDescent="0.2">
      <c r="A501" s="8"/>
      <c r="B501" s="301" t="s">
        <v>790</v>
      </c>
      <c r="C501" s="2028" t="str">
        <f>IF(S1&lt;&gt;"",S1,"")</f>
        <v>Go to PPD Worksheet</v>
      </c>
      <c r="D501" s="2028"/>
      <c r="E501" s="2028"/>
      <c r="F501" s="2028"/>
      <c r="G501" s="2028"/>
      <c r="H501" s="2028" t="str">
        <f>IF(S2&lt;&gt;"",S2,"")</f>
        <v/>
      </c>
      <c r="I501" s="2028"/>
      <c r="J501" s="2028"/>
      <c r="K501" s="2028"/>
      <c r="L501" s="2028"/>
      <c r="M501" s="2028"/>
      <c r="N501" s="213"/>
      <c r="O501" s="213"/>
      <c r="P501" s="220"/>
      <c r="Q501" s="8"/>
      <c r="R501" s="60"/>
      <c r="S501" s="60"/>
      <c r="T501" s="60"/>
      <c r="U501" s="60"/>
      <c r="V501" s="60"/>
      <c r="W501" s="60"/>
      <c r="X501" s="60"/>
      <c r="Y501" s="60"/>
      <c r="Z501" s="60"/>
      <c r="AA501" s="60"/>
      <c r="AB501" s="60"/>
      <c r="AC501" s="60"/>
      <c r="AD501" s="60"/>
      <c r="AE501" s="60"/>
      <c r="AF501" s="60"/>
      <c r="AG501" s="60"/>
      <c r="AH501" s="60"/>
      <c r="AI501" s="60"/>
      <c r="AJ501" s="60"/>
      <c r="AK501" s="60"/>
      <c r="AL501" s="60"/>
      <c r="AM501" s="60"/>
      <c r="AN501" s="60"/>
      <c r="AO501" s="60"/>
      <c r="AP501" s="60"/>
      <c r="AQ501" s="60"/>
      <c r="AR501" s="60"/>
      <c r="AS501" s="60"/>
      <c r="AT501" s="60"/>
      <c r="AU501" s="60"/>
      <c r="AV501" s="60"/>
      <c r="AW501" s="60"/>
      <c r="AX501" s="60"/>
      <c r="AY501" s="60"/>
      <c r="AZ501" s="60"/>
      <c r="BA501" s="60"/>
      <c r="BB501" s="60"/>
      <c r="BC501" s="60"/>
      <c r="BD501" s="60"/>
      <c r="BE501" s="60"/>
      <c r="BF501" s="14"/>
      <c r="BG501" s="14"/>
      <c r="BH501" s="14"/>
      <c r="BI501" s="14"/>
      <c r="BJ501" s="14"/>
      <c r="BK501" s="14"/>
      <c r="BL501" s="14"/>
      <c r="BM501" s="14"/>
      <c r="BN501" s="14"/>
      <c r="BO501" s="14"/>
      <c r="BP501" s="14"/>
      <c r="BQ501" s="14"/>
      <c r="BR501" s="14"/>
      <c r="BS501" s="14"/>
      <c r="BT501" s="14"/>
      <c r="BU501" s="14"/>
      <c r="BV501" s="14"/>
      <c r="BW501" s="14"/>
      <c r="BX501" s="14"/>
      <c r="BY501" s="14"/>
      <c r="BZ501" s="14"/>
      <c r="CA501" s="14"/>
      <c r="CB501" s="14"/>
      <c r="CC501" s="14"/>
      <c r="CD501" s="14"/>
      <c r="CE501" s="14"/>
      <c r="CF501" s="14"/>
      <c r="CG501" s="14"/>
      <c r="CH501" s="14"/>
      <c r="CI501" s="14"/>
      <c r="CJ501" s="14"/>
      <c r="CK501" s="14"/>
      <c r="CL501" s="14"/>
      <c r="CM501" s="14"/>
      <c r="CN501" s="14"/>
      <c r="CO501" s="14"/>
      <c r="CP501" s="14"/>
      <c r="CQ501" s="14"/>
      <c r="CR501" s="14"/>
      <c r="CS501" s="14"/>
      <c r="CT501" s="14"/>
      <c r="CU501" s="14"/>
      <c r="CV501" s="14"/>
      <c r="CW501" s="14"/>
      <c r="CX501" s="14"/>
      <c r="CY501" s="14"/>
      <c r="CZ501" s="14"/>
      <c r="DA501" s="14"/>
      <c r="DB501" s="14"/>
      <c r="DC501" s="14"/>
      <c r="DD501" s="14"/>
      <c r="DE501" s="14"/>
      <c r="DF501" s="14"/>
      <c r="DG501" s="14"/>
      <c r="DH501" s="14"/>
      <c r="DI501" s="14"/>
      <c r="DJ501" s="14"/>
      <c r="DK501" s="14"/>
      <c r="DL501" s="14"/>
      <c r="DM501" s="14"/>
      <c r="DN501" s="14"/>
      <c r="DO501" s="14"/>
      <c r="DP501" s="14"/>
      <c r="DQ501" s="14"/>
      <c r="DR501" s="14"/>
      <c r="DS501" s="14"/>
      <c r="DT501" s="14"/>
      <c r="DU501" s="14"/>
      <c r="DV501" s="14"/>
      <c r="DW501" s="14"/>
      <c r="DX501" s="14"/>
      <c r="DY501" s="14"/>
      <c r="DZ501" s="14"/>
      <c r="EA501" s="14"/>
      <c r="EB501" s="14"/>
      <c r="EC501" s="14"/>
      <c r="ED501" s="14"/>
      <c r="EE501" s="14"/>
      <c r="EF501" s="14"/>
      <c r="EG501" s="14"/>
      <c r="EH501" s="14"/>
      <c r="EI501" s="14"/>
      <c r="EJ501" s="14"/>
      <c r="EK501" s="14"/>
      <c r="EL501" s="14"/>
    </row>
    <row r="502" spans="1:241" hidden="1" x14ac:dyDescent="0.2">
      <c r="R502" s="14"/>
      <c r="S502" s="14"/>
      <c r="T502" s="14"/>
      <c r="U502" s="14"/>
      <c r="V502" s="14"/>
      <c r="W502" s="14"/>
      <c r="X502" s="14"/>
      <c r="Y502" s="14"/>
      <c r="Z502" s="14"/>
      <c r="AA502" s="14"/>
      <c r="AB502" s="14"/>
      <c r="AC502" s="14"/>
      <c r="AD502" s="14"/>
      <c r="AE502" s="14"/>
      <c r="AF502" s="14"/>
      <c r="AG502" s="14"/>
      <c r="AH502" s="14"/>
      <c r="AI502" s="14"/>
      <c r="AJ502" s="14"/>
      <c r="AK502" s="14"/>
      <c r="AL502" s="14"/>
      <c r="AM502" s="14"/>
      <c r="AN502" s="14"/>
      <c r="AO502" s="14"/>
      <c r="AP502" s="14"/>
      <c r="AQ502" s="14"/>
      <c r="AR502" s="14"/>
      <c r="AS502" s="14"/>
      <c r="AT502" s="14"/>
      <c r="AU502" s="14"/>
      <c r="AV502" s="14"/>
      <c r="AW502" s="14"/>
      <c r="AX502" s="14"/>
      <c r="AY502" s="14"/>
      <c r="AZ502" s="14"/>
      <c r="BA502" s="14"/>
      <c r="BB502" s="14"/>
      <c r="BC502" s="14"/>
      <c r="BD502" s="14"/>
      <c r="BE502" s="14"/>
      <c r="BF502" s="14"/>
      <c r="BG502" s="14"/>
      <c r="BH502" s="14"/>
      <c r="BI502" s="14"/>
      <c r="BJ502" s="14"/>
      <c r="BK502" s="14"/>
      <c r="BL502" s="14"/>
      <c r="BM502" s="14"/>
      <c r="BN502" s="14"/>
      <c r="BO502" s="14"/>
      <c r="BP502" s="14"/>
      <c r="BQ502" s="14"/>
      <c r="BR502" s="14"/>
      <c r="BS502" s="14"/>
      <c r="BT502" s="14"/>
      <c r="BU502" s="14"/>
      <c r="BV502" s="14"/>
      <c r="BW502" s="14"/>
      <c r="BX502" s="14"/>
      <c r="BY502" s="14"/>
      <c r="BZ502" s="14"/>
      <c r="CA502" s="14"/>
      <c r="CB502" s="14"/>
      <c r="CC502" s="14"/>
      <c r="CD502" s="14"/>
      <c r="CE502" s="14"/>
      <c r="CF502" s="14"/>
      <c r="CG502" s="14"/>
      <c r="CH502" s="14"/>
      <c r="CI502" s="14"/>
      <c r="CJ502" s="14"/>
      <c r="CK502" s="14"/>
      <c r="CL502" s="14"/>
      <c r="CM502" s="14"/>
      <c r="CN502" s="14"/>
      <c r="CO502" s="14"/>
      <c r="CP502" s="14"/>
      <c r="CQ502" s="14"/>
      <c r="CR502" s="14"/>
      <c r="CS502" s="14"/>
      <c r="CT502" s="14"/>
      <c r="CU502" s="14"/>
      <c r="CV502" s="14"/>
      <c r="CW502" s="14"/>
      <c r="CX502" s="14"/>
      <c r="CY502" s="14"/>
      <c r="CZ502" s="14"/>
      <c r="DA502" s="14"/>
      <c r="DB502" s="14"/>
      <c r="DC502" s="14"/>
      <c r="DD502" s="14"/>
      <c r="DE502" s="14"/>
      <c r="DF502" s="14"/>
      <c r="DG502" s="14"/>
      <c r="DH502" s="14"/>
      <c r="DI502" s="14"/>
      <c r="DJ502" s="14"/>
      <c r="DK502" s="14"/>
      <c r="DL502" s="14"/>
      <c r="DM502" s="14"/>
      <c r="DN502" s="14"/>
      <c r="DO502" s="14"/>
      <c r="DP502" s="14"/>
      <c r="DQ502" s="14"/>
      <c r="DR502" s="14"/>
      <c r="DS502" s="14"/>
      <c r="DT502" s="14"/>
      <c r="DU502" s="14"/>
      <c r="DV502" s="14"/>
      <c r="DW502" s="14"/>
      <c r="DX502" s="14"/>
      <c r="DY502" s="14"/>
      <c r="DZ502" s="14"/>
      <c r="EA502" s="14"/>
      <c r="EB502" s="14"/>
      <c r="EC502" s="14"/>
      <c r="ED502" s="14"/>
      <c r="EE502" s="14"/>
      <c r="EF502" s="14"/>
      <c r="EG502" s="14"/>
      <c r="EH502" s="14"/>
      <c r="EI502" s="14"/>
      <c r="EJ502" s="14"/>
      <c r="EK502" s="14"/>
      <c r="EL502" s="14"/>
      <c r="EM502" s="14"/>
      <c r="EN502" s="14"/>
      <c r="EO502" s="14"/>
      <c r="EP502" s="14"/>
      <c r="EQ502" s="14"/>
      <c r="ER502" s="14"/>
      <c r="ES502" s="14"/>
      <c r="ET502" s="14"/>
      <c r="EU502" s="14"/>
      <c r="EV502" s="14"/>
      <c r="EW502" s="14"/>
      <c r="EX502" s="14"/>
      <c r="EY502" s="14"/>
      <c r="EZ502" s="14"/>
      <c r="FA502" s="14"/>
      <c r="FB502" s="14"/>
      <c r="FC502" s="14"/>
      <c r="FD502" s="14"/>
      <c r="FE502" s="14"/>
      <c r="FF502" s="14"/>
      <c r="FG502" s="14"/>
      <c r="FH502" s="14"/>
      <c r="FI502" s="14"/>
      <c r="FJ502" s="14"/>
      <c r="FK502" s="14"/>
      <c r="FL502" s="14"/>
      <c r="FM502" s="14"/>
      <c r="FN502" s="14"/>
      <c r="FO502" s="14"/>
      <c r="FP502" s="14"/>
      <c r="FQ502" s="14"/>
      <c r="FR502" s="14"/>
      <c r="FS502" s="14"/>
      <c r="FT502" s="14"/>
      <c r="FU502" s="14"/>
      <c r="FV502" s="14"/>
      <c r="FW502" s="14"/>
      <c r="FX502" s="14"/>
      <c r="FY502" s="14"/>
      <c r="FZ502" s="14"/>
      <c r="GA502" s="14"/>
      <c r="GB502" s="14"/>
      <c r="GC502" s="14"/>
      <c r="GD502" s="14"/>
      <c r="GE502" s="14"/>
      <c r="GF502" s="14"/>
      <c r="GG502" s="14"/>
      <c r="GH502" s="14"/>
      <c r="GI502" s="14"/>
      <c r="GJ502" s="14"/>
      <c r="GK502" s="14"/>
      <c r="GL502" s="14"/>
      <c r="GM502" s="14"/>
      <c r="GN502" s="14"/>
      <c r="GO502" s="14"/>
      <c r="GP502" s="14"/>
      <c r="GQ502" s="14"/>
      <c r="GR502" s="14"/>
      <c r="GS502" s="14"/>
      <c r="GT502" s="14"/>
      <c r="GU502" s="14"/>
      <c r="GV502" s="14"/>
      <c r="GW502" s="14"/>
      <c r="GX502" s="14"/>
      <c r="GY502" s="14"/>
      <c r="GZ502" s="14"/>
      <c r="HA502" s="14"/>
      <c r="HB502" s="14"/>
      <c r="HC502" s="14"/>
      <c r="HD502" s="14"/>
      <c r="HE502" s="14"/>
      <c r="HF502" s="14"/>
      <c r="HG502" s="14"/>
      <c r="HH502" s="14"/>
      <c r="HI502" s="14"/>
      <c r="HJ502" s="14"/>
      <c r="HK502" s="14"/>
      <c r="HL502" s="14"/>
      <c r="HM502" s="14"/>
      <c r="HN502" s="14"/>
      <c r="HO502" s="14"/>
      <c r="HP502" s="14"/>
      <c r="HQ502" s="14"/>
      <c r="HR502" s="14"/>
      <c r="HS502" s="14"/>
      <c r="HT502" s="14"/>
    </row>
    <row r="503" spans="1:241" hidden="1" x14ac:dyDescent="0.2">
      <c r="R503" s="14"/>
      <c r="S503" s="14"/>
      <c r="T503" s="14"/>
      <c r="U503" s="14"/>
      <c r="V503" s="14"/>
      <c r="W503" s="14"/>
      <c r="X503" s="14"/>
      <c r="Y503" s="14"/>
      <c r="Z503" s="14"/>
      <c r="AA503" s="14"/>
      <c r="AB503" s="14"/>
      <c r="AC503" s="14"/>
      <c r="AD503" s="14"/>
      <c r="AE503" s="14"/>
      <c r="AF503" s="14"/>
      <c r="AG503" s="14"/>
      <c r="AH503" s="14"/>
      <c r="AI503" s="14"/>
      <c r="AJ503" s="14"/>
      <c r="AK503" s="14"/>
      <c r="AL503" s="14"/>
      <c r="AM503" s="14"/>
      <c r="AN503" s="14"/>
      <c r="AO503" s="14"/>
      <c r="AP503" s="14"/>
      <c r="AQ503" s="14"/>
      <c r="AR503" s="14"/>
      <c r="AS503" s="14"/>
      <c r="AT503" s="14"/>
      <c r="AU503" s="14"/>
      <c r="AV503" s="14"/>
      <c r="AW503" s="14"/>
      <c r="AX503" s="14"/>
      <c r="AY503" s="14"/>
      <c r="AZ503" s="14"/>
      <c r="BA503" s="14"/>
      <c r="BB503" s="14"/>
      <c r="BC503" s="14"/>
      <c r="BD503" s="14"/>
      <c r="BE503" s="14"/>
      <c r="BF503" s="14"/>
      <c r="BG503" s="14"/>
      <c r="BH503" s="14"/>
      <c r="BI503" s="14"/>
      <c r="BJ503" s="14"/>
      <c r="BK503" s="14"/>
      <c r="BL503" s="14"/>
      <c r="BM503" s="14"/>
      <c r="BN503" s="14"/>
      <c r="BO503" s="14"/>
      <c r="BP503" s="14"/>
      <c r="BQ503" s="14"/>
      <c r="BR503" s="14"/>
      <c r="BS503" s="14"/>
      <c r="BT503" s="14"/>
      <c r="BU503" s="14"/>
      <c r="BV503" s="14"/>
      <c r="BW503" s="14"/>
      <c r="BX503" s="14"/>
      <c r="BY503" s="14"/>
      <c r="BZ503" s="14"/>
      <c r="CA503" s="14"/>
      <c r="CB503" s="14"/>
      <c r="CC503" s="14"/>
      <c r="CD503" s="14"/>
      <c r="CE503" s="14"/>
      <c r="CF503" s="14"/>
      <c r="CG503" s="14"/>
      <c r="CH503" s="14"/>
      <c r="CI503" s="14"/>
      <c r="CJ503" s="14"/>
      <c r="CK503" s="14"/>
      <c r="CL503" s="14"/>
      <c r="CM503" s="14"/>
      <c r="CN503" s="14"/>
      <c r="CO503" s="14"/>
      <c r="CP503" s="14"/>
      <c r="CQ503" s="14"/>
      <c r="CR503" s="14"/>
      <c r="CS503" s="14"/>
      <c r="CT503" s="14"/>
      <c r="CU503" s="14"/>
      <c r="CV503" s="14"/>
      <c r="CW503" s="14"/>
      <c r="CX503" s="14"/>
      <c r="CY503" s="14"/>
      <c r="CZ503" s="14"/>
      <c r="DA503" s="14"/>
      <c r="DB503" s="14"/>
      <c r="DC503" s="14"/>
      <c r="DD503" s="14"/>
      <c r="DE503" s="14"/>
      <c r="DF503" s="14"/>
      <c r="DG503" s="14"/>
      <c r="DH503" s="14"/>
      <c r="DI503" s="14"/>
      <c r="DJ503" s="14"/>
      <c r="DK503" s="14"/>
      <c r="DL503" s="14"/>
      <c r="DM503" s="14"/>
      <c r="DN503" s="14"/>
      <c r="DO503" s="14"/>
      <c r="DP503" s="14"/>
      <c r="DQ503" s="14"/>
      <c r="DR503" s="14"/>
      <c r="DS503" s="14"/>
      <c r="DT503" s="14"/>
      <c r="DU503" s="14"/>
      <c r="DV503" s="14"/>
      <c r="DW503" s="14"/>
      <c r="DX503" s="14"/>
      <c r="DY503" s="14"/>
      <c r="DZ503" s="14"/>
      <c r="EA503" s="14"/>
      <c r="EB503" s="14"/>
      <c r="EC503" s="14"/>
      <c r="ED503" s="14"/>
      <c r="EE503" s="14"/>
      <c r="EF503" s="14"/>
      <c r="EG503" s="14"/>
      <c r="EH503" s="14"/>
      <c r="EI503" s="14"/>
      <c r="EJ503" s="14"/>
      <c r="EK503" s="14"/>
      <c r="EL503" s="14"/>
      <c r="EM503" s="14"/>
      <c r="EN503" s="14"/>
      <c r="EO503" s="14"/>
      <c r="EP503" s="14"/>
      <c r="EQ503" s="14"/>
      <c r="ER503" s="14"/>
      <c r="ES503" s="14"/>
      <c r="ET503" s="14"/>
      <c r="EU503" s="14"/>
      <c r="EV503" s="14"/>
      <c r="EW503" s="14"/>
      <c r="EX503" s="14"/>
      <c r="EY503" s="14"/>
      <c r="EZ503" s="14"/>
      <c r="FA503" s="14"/>
      <c r="FB503" s="14"/>
      <c r="FC503" s="14"/>
      <c r="FD503" s="14"/>
      <c r="FE503" s="14"/>
      <c r="FF503" s="14"/>
      <c r="FG503" s="14"/>
      <c r="FH503" s="14"/>
      <c r="FI503" s="14"/>
      <c r="FJ503" s="14"/>
      <c r="FK503" s="14"/>
      <c r="FL503" s="14"/>
      <c r="FM503" s="14"/>
      <c r="FN503" s="14"/>
      <c r="FO503" s="14"/>
      <c r="FP503" s="14"/>
      <c r="FQ503" s="14"/>
      <c r="FR503" s="14"/>
      <c r="FS503" s="14"/>
      <c r="FT503" s="14"/>
      <c r="FU503" s="14"/>
      <c r="FV503" s="14"/>
      <c r="FW503" s="14"/>
      <c r="FX503" s="14"/>
      <c r="FY503" s="14"/>
      <c r="FZ503" s="14"/>
      <c r="GA503" s="14"/>
      <c r="GB503" s="14"/>
      <c r="GC503" s="14"/>
      <c r="GD503" s="14"/>
      <c r="GE503" s="14"/>
      <c r="GF503" s="14"/>
      <c r="GG503" s="14"/>
      <c r="GH503" s="14"/>
      <c r="GI503" s="14"/>
      <c r="GJ503" s="14"/>
      <c r="GK503" s="14"/>
      <c r="GL503" s="14"/>
      <c r="GM503" s="14"/>
      <c r="GN503" s="14"/>
      <c r="GO503" s="14"/>
      <c r="GP503" s="14"/>
      <c r="GQ503" s="14"/>
      <c r="GR503" s="14"/>
      <c r="GS503" s="14"/>
      <c r="GT503" s="14"/>
      <c r="GU503" s="14"/>
      <c r="GV503" s="14"/>
      <c r="GW503" s="14"/>
      <c r="GX503" s="14"/>
      <c r="GY503" s="14"/>
      <c r="GZ503" s="14"/>
      <c r="HA503" s="14"/>
      <c r="HB503" s="14"/>
      <c r="HC503" s="14"/>
      <c r="HD503" s="14"/>
      <c r="HE503" s="14"/>
      <c r="HF503" s="14"/>
      <c r="HG503" s="14"/>
      <c r="HH503" s="14"/>
      <c r="HI503" s="14"/>
      <c r="HJ503" s="14"/>
      <c r="HK503" s="14"/>
      <c r="HL503" s="14"/>
      <c r="HM503" s="14"/>
      <c r="HN503" s="14"/>
      <c r="HO503" s="14"/>
      <c r="HP503" s="14"/>
      <c r="HQ503" s="14"/>
      <c r="HR503" s="14"/>
      <c r="HS503" s="14"/>
      <c r="HT503" s="14"/>
    </row>
    <row r="504" spans="1:241" hidden="1" x14ac:dyDescent="0.2">
      <c r="B504" s="1830" t="s">
        <v>2244</v>
      </c>
      <c r="C504" s="1830"/>
      <c r="D504" s="1830"/>
      <c r="R504" s="14"/>
      <c r="S504" s="14"/>
      <c r="T504" s="14"/>
      <c r="U504" s="14"/>
      <c r="V504" s="14"/>
      <c r="W504" s="14"/>
      <c r="X504" s="14"/>
      <c r="Y504" s="14"/>
      <c r="Z504" s="14"/>
      <c r="AA504" s="14"/>
      <c r="AB504" s="14"/>
      <c r="AC504" s="14"/>
      <c r="AD504" s="14"/>
      <c r="AE504" s="14"/>
      <c r="AF504" s="14"/>
      <c r="AG504" s="14"/>
      <c r="AH504" s="14"/>
      <c r="AI504" s="14"/>
      <c r="AJ504" s="14"/>
      <c r="AK504" s="14"/>
      <c r="AL504" s="14"/>
      <c r="AM504" s="14"/>
      <c r="AN504" s="14"/>
      <c r="AO504" s="14"/>
      <c r="AP504" s="14"/>
      <c r="AQ504" s="14"/>
      <c r="AR504" s="14"/>
      <c r="AS504" s="14"/>
      <c r="AT504" s="14"/>
      <c r="AU504" s="14"/>
      <c r="AV504" s="14"/>
      <c r="AW504" s="14"/>
      <c r="AX504" s="14"/>
      <c r="AY504" s="14"/>
      <c r="AZ504" s="14"/>
      <c r="BA504" s="14"/>
      <c r="BB504" s="14"/>
      <c r="BC504" s="14"/>
      <c r="BD504" s="14"/>
      <c r="BE504" s="14"/>
      <c r="BF504" s="14"/>
      <c r="BG504" s="14"/>
      <c r="BH504" s="14"/>
      <c r="BI504" s="14"/>
      <c r="BJ504" s="14"/>
      <c r="BK504" s="14"/>
      <c r="BL504" s="14"/>
      <c r="BM504" s="14"/>
      <c r="BN504" s="14"/>
      <c r="BO504" s="14"/>
      <c r="BP504" s="14"/>
      <c r="BQ504" s="14"/>
      <c r="BR504" s="14"/>
      <c r="BS504" s="14"/>
      <c r="BT504" s="14"/>
      <c r="BU504" s="14"/>
      <c r="BV504" s="14"/>
      <c r="BW504" s="14"/>
      <c r="BX504" s="14"/>
      <c r="BY504" s="14"/>
      <c r="BZ504" s="14"/>
      <c r="CA504" s="14"/>
      <c r="CB504" s="14"/>
      <c r="CC504" s="14"/>
      <c r="CD504" s="14"/>
      <c r="CE504" s="14"/>
      <c r="CF504" s="14"/>
      <c r="CG504" s="14"/>
      <c r="CH504" s="14"/>
      <c r="CI504" s="14"/>
      <c r="CJ504" s="14"/>
      <c r="CK504" s="14"/>
      <c r="CL504" s="14"/>
      <c r="CM504" s="14"/>
      <c r="CN504" s="14"/>
      <c r="CO504" s="14"/>
      <c r="CP504" s="14"/>
      <c r="CQ504" s="14"/>
      <c r="CR504" s="14"/>
      <c r="CS504" s="14"/>
      <c r="CT504" s="14"/>
      <c r="CU504" s="14"/>
      <c r="CV504" s="14"/>
      <c r="CW504" s="14"/>
      <c r="CX504" s="14"/>
      <c r="CY504" s="14"/>
      <c r="CZ504" s="14"/>
      <c r="DA504" s="14"/>
      <c r="DB504" s="14"/>
      <c r="DC504" s="14"/>
      <c r="DD504" s="14"/>
      <c r="DE504" s="14"/>
      <c r="DF504" s="14"/>
      <c r="DG504" s="14"/>
      <c r="DH504" s="14"/>
      <c r="DI504" s="14"/>
      <c r="DJ504" s="14"/>
      <c r="DK504" s="14"/>
      <c r="DL504" s="14"/>
      <c r="DM504" s="14"/>
      <c r="DN504" s="14"/>
      <c r="DO504" s="14"/>
      <c r="DP504" s="14"/>
      <c r="DQ504" s="14"/>
      <c r="DR504" s="14"/>
      <c r="DS504" s="14"/>
      <c r="DT504" s="14"/>
      <c r="DU504" s="14"/>
      <c r="DV504" s="14"/>
      <c r="DW504" s="14"/>
      <c r="DX504" s="14"/>
      <c r="DY504" s="14"/>
      <c r="DZ504" s="14"/>
      <c r="EA504" s="14"/>
      <c r="EB504" s="14"/>
      <c r="EC504" s="14"/>
      <c r="ED504" s="14"/>
      <c r="EE504" s="14"/>
      <c r="EF504" s="14"/>
      <c r="EG504" s="14"/>
      <c r="EH504" s="14"/>
      <c r="EI504" s="14"/>
      <c r="EJ504" s="14"/>
      <c r="EK504" s="14"/>
      <c r="EL504" s="14"/>
      <c r="EM504" s="14"/>
      <c r="EN504" s="14"/>
      <c r="EO504" s="14"/>
      <c r="EP504" s="14"/>
      <c r="EQ504" s="14"/>
      <c r="ER504" s="14"/>
      <c r="ES504" s="14"/>
      <c r="ET504" s="14"/>
      <c r="EU504" s="14"/>
      <c r="EV504" s="14"/>
      <c r="EW504" s="14"/>
      <c r="EX504" s="14"/>
      <c r="EY504" s="14"/>
      <c r="EZ504" s="14"/>
      <c r="FA504" s="14"/>
      <c r="FB504" s="14"/>
      <c r="FC504" s="14"/>
      <c r="FD504" s="14"/>
      <c r="FE504" s="14"/>
      <c r="FF504" s="14"/>
      <c r="FG504" s="14"/>
      <c r="FH504" s="14"/>
      <c r="FI504" s="14"/>
      <c r="FJ504" s="14"/>
      <c r="FK504" s="14"/>
      <c r="FL504" s="14"/>
      <c r="FM504" s="14"/>
      <c r="FN504" s="14"/>
      <c r="FO504" s="14"/>
      <c r="FP504" s="14"/>
      <c r="FQ504" s="14"/>
      <c r="FR504" s="14"/>
      <c r="FS504" s="14"/>
      <c r="FT504" s="14"/>
      <c r="FU504" s="14"/>
      <c r="FV504" s="14"/>
      <c r="FW504" s="14"/>
      <c r="FX504" s="14"/>
      <c r="FY504" s="14"/>
      <c r="FZ504" s="14"/>
      <c r="GA504" s="14"/>
      <c r="GB504" s="14"/>
      <c r="GC504" s="14"/>
      <c r="GD504" s="14"/>
      <c r="GE504" s="14"/>
      <c r="GF504" s="14"/>
      <c r="GG504" s="14"/>
      <c r="GH504" s="14"/>
      <c r="GI504" s="14"/>
      <c r="GJ504" s="14"/>
      <c r="GK504" s="14"/>
      <c r="GL504" s="14"/>
      <c r="GM504" s="14"/>
      <c r="GN504" s="14"/>
      <c r="GO504" s="14"/>
      <c r="GP504" s="14"/>
      <c r="GQ504" s="14"/>
      <c r="GR504" s="14"/>
      <c r="GS504" s="14"/>
      <c r="GT504" s="14"/>
      <c r="GU504" s="14"/>
      <c r="GV504" s="14"/>
      <c r="GW504" s="14"/>
      <c r="GX504" s="14"/>
      <c r="GY504" s="14"/>
      <c r="GZ504" s="14"/>
      <c r="HA504" s="14"/>
      <c r="HB504" s="14"/>
      <c r="HC504" s="14"/>
      <c r="HD504" s="14"/>
      <c r="HE504" s="14"/>
      <c r="HF504" s="14"/>
      <c r="HG504" s="14"/>
      <c r="HH504" s="14"/>
      <c r="HI504" s="14"/>
      <c r="HJ504" s="14"/>
      <c r="HK504" s="14"/>
      <c r="HL504" s="14"/>
      <c r="HM504" s="14"/>
      <c r="HN504" s="14"/>
      <c r="HO504" s="14"/>
      <c r="HP504" s="14"/>
      <c r="HQ504" s="14"/>
      <c r="HR504" s="14"/>
      <c r="HS504" s="14"/>
      <c r="HT504" s="14"/>
    </row>
    <row r="505" spans="1:241" hidden="1" x14ac:dyDescent="0.2">
      <c r="B505" s="1830"/>
      <c r="C505" s="1830"/>
      <c r="D505" s="1830"/>
      <c r="R505" s="14"/>
      <c r="S505" s="14"/>
      <c r="T505" s="14"/>
      <c r="U505" s="14"/>
      <c r="V505" s="14"/>
      <c r="W505" s="14"/>
      <c r="X505" s="14"/>
      <c r="Y505" s="14"/>
      <c r="Z505" s="14"/>
      <c r="AA505" s="14"/>
      <c r="AB505" s="14"/>
      <c r="AC505" s="14"/>
      <c r="AD505" s="14"/>
      <c r="AE505" s="14"/>
      <c r="AF505" s="14"/>
      <c r="AG505" s="14"/>
      <c r="AH505" s="14"/>
      <c r="AI505" s="14"/>
      <c r="AJ505" s="14"/>
      <c r="AK505" s="14"/>
      <c r="AL505" s="14"/>
      <c r="AM505" s="14"/>
      <c r="AN505" s="14"/>
      <c r="AO505" s="14"/>
      <c r="AP505" s="14"/>
      <c r="AQ505" s="14"/>
      <c r="AR505" s="14"/>
      <c r="AS505" s="14"/>
      <c r="AT505" s="14"/>
      <c r="AU505" s="14"/>
      <c r="AV505" s="14"/>
      <c r="AW505" s="14"/>
      <c r="AX505" s="14"/>
      <c r="AY505" s="14"/>
      <c r="AZ505" s="14"/>
      <c r="BA505" s="14"/>
      <c r="BB505" s="14"/>
      <c r="BC505" s="14"/>
      <c r="BD505" s="14"/>
      <c r="BE505" s="14"/>
      <c r="BF505" s="14"/>
      <c r="BG505" s="14"/>
      <c r="BH505" s="14"/>
      <c r="BI505" s="14"/>
      <c r="BJ505" s="14"/>
      <c r="BK505" s="14"/>
      <c r="BL505" s="14"/>
      <c r="BM505" s="14"/>
      <c r="BN505" s="14"/>
      <c r="BO505" s="14"/>
      <c r="BP505" s="14"/>
      <c r="BQ505" s="14"/>
      <c r="BR505" s="14"/>
      <c r="BS505" s="14"/>
      <c r="BT505" s="14"/>
      <c r="BU505" s="14"/>
      <c r="BV505" s="14"/>
      <c r="BW505" s="14"/>
      <c r="BX505" s="14"/>
      <c r="BY505" s="14"/>
      <c r="BZ505" s="14"/>
      <c r="CA505" s="14"/>
      <c r="CB505" s="14"/>
      <c r="CC505" s="14"/>
      <c r="CD505" s="14"/>
      <c r="CE505" s="14"/>
      <c r="CF505" s="14"/>
      <c r="CG505" s="14"/>
      <c r="CH505" s="14"/>
      <c r="CI505" s="14"/>
      <c r="CJ505" s="14"/>
      <c r="CK505" s="14"/>
      <c r="CL505" s="14"/>
      <c r="CM505" s="14"/>
      <c r="CN505" s="14"/>
      <c r="CO505" s="14"/>
      <c r="CP505" s="14"/>
      <c r="CQ505" s="14"/>
      <c r="CR505" s="14"/>
      <c r="CS505" s="14"/>
      <c r="CT505" s="14"/>
      <c r="CU505" s="14"/>
      <c r="CV505" s="14"/>
      <c r="CW505" s="14"/>
      <c r="CX505" s="14"/>
      <c r="CY505" s="14"/>
      <c r="CZ505" s="14"/>
      <c r="DA505" s="14"/>
      <c r="DB505" s="14"/>
      <c r="DC505" s="14"/>
      <c r="DD505" s="14"/>
      <c r="DE505" s="14"/>
      <c r="DF505" s="14"/>
      <c r="DG505" s="14"/>
      <c r="DH505" s="14"/>
      <c r="DI505" s="14"/>
      <c r="DJ505" s="14"/>
      <c r="DK505" s="14"/>
      <c r="DL505" s="14"/>
      <c r="DM505" s="14"/>
      <c r="DN505" s="14"/>
      <c r="DO505" s="14"/>
      <c r="DP505" s="14"/>
      <c r="DQ505" s="14"/>
      <c r="DR505" s="14"/>
      <c r="DS505" s="14"/>
      <c r="DT505" s="14"/>
      <c r="DU505" s="14"/>
      <c r="DV505" s="14"/>
      <c r="DW505" s="14"/>
      <c r="DX505" s="14"/>
      <c r="DY505" s="14"/>
      <c r="DZ505" s="14"/>
      <c r="EA505" s="14"/>
      <c r="EB505" s="14"/>
      <c r="EC505" s="14"/>
      <c r="ED505" s="14"/>
      <c r="EE505" s="14"/>
      <c r="EF505" s="14"/>
      <c r="EG505" s="14"/>
      <c r="EH505" s="14"/>
      <c r="EI505" s="14"/>
      <c r="EJ505" s="14"/>
      <c r="EK505" s="14"/>
      <c r="EL505" s="14"/>
      <c r="EM505" s="14"/>
      <c r="EN505" s="14"/>
      <c r="EO505" s="14"/>
      <c r="EP505" s="14"/>
      <c r="EQ505" s="14"/>
      <c r="ER505" s="14"/>
      <c r="ES505" s="14"/>
      <c r="ET505" s="14"/>
      <c r="EU505" s="14"/>
      <c r="EV505" s="14"/>
      <c r="EW505" s="14"/>
      <c r="EX505" s="14"/>
      <c r="EY505" s="14"/>
      <c r="EZ505" s="14"/>
      <c r="FA505" s="14"/>
      <c r="FB505" s="14"/>
      <c r="FC505" s="14"/>
      <c r="FD505" s="14"/>
      <c r="FE505" s="14"/>
      <c r="FF505" s="14"/>
      <c r="FG505" s="14"/>
      <c r="FH505" s="14"/>
      <c r="FI505" s="14"/>
      <c r="FJ505" s="14"/>
      <c r="FK505" s="14"/>
      <c r="FL505" s="14"/>
      <c r="FM505" s="14"/>
      <c r="FN505" s="14"/>
      <c r="FO505" s="14"/>
      <c r="FP505" s="14"/>
      <c r="FQ505" s="14"/>
      <c r="FR505" s="14"/>
      <c r="FS505" s="14"/>
      <c r="FT505" s="14"/>
      <c r="FU505" s="14"/>
      <c r="FV505" s="14"/>
      <c r="FW505" s="14"/>
      <c r="FX505" s="14"/>
      <c r="FY505" s="14"/>
      <c r="FZ505" s="14"/>
      <c r="GA505" s="14"/>
      <c r="GB505" s="14"/>
      <c r="GC505" s="14"/>
      <c r="GD505" s="14"/>
      <c r="GE505" s="14"/>
      <c r="GF505" s="14"/>
      <c r="GG505" s="14"/>
      <c r="GH505" s="14"/>
      <c r="GI505" s="14"/>
      <c r="GJ505" s="14"/>
      <c r="GK505" s="14"/>
      <c r="GL505" s="14"/>
      <c r="GM505" s="14"/>
      <c r="GN505" s="14"/>
      <c r="GO505" s="14"/>
      <c r="GP505" s="14"/>
      <c r="GQ505" s="14"/>
      <c r="GR505" s="14"/>
      <c r="GS505" s="14"/>
      <c r="GT505" s="14"/>
      <c r="GU505" s="14"/>
      <c r="GV505" s="14"/>
      <c r="GW505" s="14"/>
      <c r="GX505" s="14"/>
      <c r="GY505" s="14"/>
      <c r="GZ505" s="14"/>
      <c r="HA505" s="14"/>
      <c r="HB505" s="14"/>
      <c r="HC505" s="14"/>
      <c r="HD505" s="14"/>
      <c r="HE505" s="14"/>
      <c r="HF505" s="14"/>
      <c r="HG505" s="14"/>
      <c r="HH505" s="14"/>
      <c r="HI505" s="14"/>
      <c r="HJ505" s="14"/>
      <c r="HK505" s="14"/>
      <c r="HL505" s="14"/>
      <c r="HM505" s="14"/>
      <c r="HN505" s="14"/>
      <c r="HO505" s="14"/>
      <c r="HP505" s="14"/>
      <c r="HQ505" s="14"/>
      <c r="HR505" s="14"/>
      <c r="HS505" s="14"/>
      <c r="HT505" s="14"/>
    </row>
    <row r="506" spans="1:241" hidden="1" x14ac:dyDescent="0.2">
      <c r="B506" s="1830"/>
      <c r="C506" s="1830"/>
      <c r="D506" s="1830"/>
      <c r="R506" s="14"/>
      <c r="S506" s="14"/>
      <c r="T506" s="14"/>
      <c r="U506" s="14"/>
      <c r="V506" s="14"/>
      <c r="W506" s="14"/>
      <c r="X506" s="14"/>
      <c r="Y506" s="14"/>
      <c r="Z506" s="14"/>
      <c r="AA506" s="14"/>
      <c r="AB506" s="14"/>
      <c r="AC506" s="14"/>
      <c r="AD506" s="14"/>
      <c r="AE506" s="14"/>
      <c r="AF506" s="14"/>
      <c r="AG506" s="14"/>
      <c r="AH506" s="14"/>
      <c r="AI506" s="14"/>
      <c r="AJ506" s="14"/>
      <c r="AK506" s="14"/>
      <c r="AL506" s="14"/>
      <c r="AM506" s="14"/>
      <c r="AN506" s="14"/>
      <c r="AO506" s="14"/>
      <c r="AP506" s="14"/>
      <c r="AQ506" s="14"/>
      <c r="AR506" s="14"/>
      <c r="AS506" s="14"/>
      <c r="AT506" s="14"/>
      <c r="AU506" s="14"/>
      <c r="AV506" s="14"/>
      <c r="AW506" s="14"/>
      <c r="AX506" s="14"/>
      <c r="AY506" s="14"/>
      <c r="AZ506" s="14"/>
      <c r="BA506" s="14"/>
      <c r="BB506" s="14"/>
      <c r="BC506" s="14"/>
      <c r="BD506" s="14"/>
      <c r="BE506" s="14"/>
      <c r="BF506" s="14"/>
      <c r="BG506" s="14"/>
      <c r="BH506" s="14"/>
      <c r="BI506" s="14"/>
      <c r="BJ506" s="14"/>
      <c r="BK506" s="14"/>
      <c r="BL506" s="14"/>
      <c r="BM506" s="14"/>
      <c r="BN506" s="14"/>
      <c r="BO506" s="14"/>
      <c r="BP506" s="14"/>
      <c r="BQ506" s="14"/>
      <c r="BR506" s="14"/>
      <c r="BS506" s="14"/>
      <c r="BT506" s="14"/>
      <c r="BU506" s="14"/>
      <c r="BV506" s="14"/>
      <c r="BW506" s="14"/>
      <c r="BX506" s="14"/>
      <c r="BY506" s="14"/>
      <c r="BZ506" s="14"/>
      <c r="CA506" s="14"/>
      <c r="CB506" s="14"/>
      <c r="CC506" s="14"/>
      <c r="CD506" s="14"/>
      <c r="CE506" s="14"/>
      <c r="CF506" s="14"/>
      <c r="CG506" s="14"/>
      <c r="CH506" s="14"/>
      <c r="CI506" s="14"/>
      <c r="CJ506" s="14"/>
      <c r="CK506" s="14"/>
      <c r="CL506" s="14"/>
      <c r="CM506" s="14"/>
      <c r="CN506" s="14"/>
      <c r="CO506" s="14"/>
      <c r="CP506" s="14"/>
      <c r="CQ506" s="14"/>
      <c r="CR506" s="14"/>
      <c r="CS506" s="14"/>
      <c r="CT506" s="14"/>
      <c r="CU506" s="14"/>
      <c r="CV506" s="14"/>
      <c r="CW506" s="14"/>
      <c r="CX506" s="14"/>
      <c r="CY506" s="14"/>
      <c r="CZ506" s="14"/>
      <c r="DA506" s="14"/>
      <c r="DB506" s="14"/>
      <c r="DC506" s="14"/>
      <c r="DD506" s="14"/>
      <c r="DE506" s="14"/>
      <c r="DF506" s="14"/>
      <c r="DG506" s="14"/>
      <c r="DH506" s="14"/>
      <c r="DI506" s="14"/>
      <c r="DJ506" s="14"/>
      <c r="DK506" s="14"/>
      <c r="DL506" s="14"/>
      <c r="DM506" s="14"/>
      <c r="DN506" s="14"/>
      <c r="DO506" s="14"/>
      <c r="DP506" s="14"/>
      <c r="DQ506" s="14"/>
      <c r="DR506" s="14"/>
      <c r="DS506" s="14"/>
      <c r="DT506" s="14"/>
      <c r="DU506" s="14"/>
      <c r="DV506" s="14"/>
      <c r="DW506" s="14"/>
      <c r="DX506" s="14"/>
      <c r="DY506" s="14"/>
      <c r="DZ506" s="14"/>
      <c r="EA506" s="14"/>
      <c r="EB506" s="14"/>
      <c r="EC506" s="14"/>
      <c r="ED506" s="14"/>
      <c r="EE506" s="14"/>
      <c r="EF506" s="14"/>
      <c r="EG506" s="14"/>
      <c r="EH506" s="14"/>
      <c r="EI506" s="14"/>
      <c r="EJ506" s="14"/>
      <c r="EK506" s="14"/>
      <c r="EL506" s="14"/>
      <c r="EM506" s="14"/>
      <c r="EN506" s="14"/>
      <c r="EO506" s="14"/>
      <c r="EP506" s="14"/>
      <c r="EQ506" s="14"/>
      <c r="ER506" s="14"/>
      <c r="ES506" s="14"/>
      <c r="ET506" s="14"/>
      <c r="EU506" s="14"/>
      <c r="EV506" s="14"/>
      <c r="EW506" s="14"/>
      <c r="EX506" s="14"/>
      <c r="EY506" s="14"/>
      <c r="EZ506" s="14"/>
      <c r="FA506" s="14"/>
      <c r="FB506" s="14"/>
      <c r="FC506" s="14"/>
      <c r="FD506" s="14"/>
      <c r="FE506" s="14"/>
      <c r="FF506" s="14"/>
      <c r="FG506" s="14"/>
      <c r="FH506" s="14"/>
      <c r="FI506" s="14"/>
      <c r="FJ506" s="14"/>
      <c r="FK506" s="14"/>
      <c r="FL506" s="14"/>
      <c r="FM506" s="14"/>
      <c r="FN506" s="14"/>
      <c r="FO506" s="14"/>
      <c r="FP506" s="14"/>
      <c r="FQ506" s="14"/>
      <c r="FR506" s="14"/>
      <c r="FS506" s="14"/>
      <c r="FT506" s="14"/>
      <c r="FU506" s="14"/>
      <c r="FV506" s="14"/>
      <c r="FW506" s="14"/>
      <c r="FX506" s="14"/>
      <c r="FY506" s="14"/>
      <c r="FZ506" s="14"/>
      <c r="GA506" s="14"/>
      <c r="GB506" s="14"/>
      <c r="GC506" s="14"/>
      <c r="GD506" s="14"/>
      <c r="GE506" s="14"/>
      <c r="GF506" s="14"/>
      <c r="GG506" s="14"/>
      <c r="GH506" s="14"/>
      <c r="GI506" s="14"/>
      <c r="GJ506" s="14"/>
      <c r="GK506" s="14"/>
      <c r="GL506" s="14"/>
      <c r="GM506" s="14"/>
      <c r="GN506" s="14"/>
      <c r="GO506" s="14"/>
      <c r="GP506" s="14"/>
      <c r="GQ506" s="14"/>
      <c r="GR506" s="14"/>
      <c r="GS506" s="14"/>
      <c r="GT506" s="14"/>
      <c r="GU506" s="14"/>
      <c r="GV506" s="14"/>
      <c r="GW506" s="14"/>
      <c r="GX506" s="14"/>
      <c r="GY506" s="14"/>
      <c r="GZ506" s="14"/>
      <c r="HA506" s="14"/>
      <c r="HB506" s="14"/>
      <c r="HC506" s="14"/>
      <c r="HD506" s="14"/>
      <c r="HE506" s="14"/>
      <c r="HF506" s="14"/>
      <c r="HG506" s="14"/>
      <c r="HH506" s="14"/>
      <c r="HI506" s="14"/>
      <c r="HJ506" s="14"/>
      <c r="HK506" s="14"/>
      <c r="HL506" s="14"/>
      <c r="HM506" s="14"/>
      <c r="HN506" s="14"/>
      <c r="HO506" s="14"/>
      <c r="HP506" s="14"/>
      <c r="HQ506" s="14"/>
      <c r="HR506" s="14"/>
      <c r="HS506" s="14"/>
      <c r="HT506" s="14"/>
    </row>
    <row r="507" spans="1:241" hidden="1" x14ac:dyDescent="0.2">
      <c r="B507" s="976">
        <v>0.01</v>
      </c>
      <c r="C507" s="1644">
        <v>0.99</v>
      </c>
      <c r="D507" s="1644"/>
      <c r="R507" s="14"/>
      <c r="S507" s="14"/>
      <c r="T507" s="14"/>
      <c r="U507" s="14"/>
      <c r="V507" s="14"/>
      <c r="W507" s="14"/>
      <c r="X507" s="14"/>
      <c r="Y507" s="14"/>
      <c r="Z507" s="14"/>
      <c r="AA507" s="14"/>
      <c r="AB507" s="14"/>
      <c r="AC507" s="14"/>
      <c r="AD507" s="14"/>
      <c r="AE507" s="14"/>
      <c r="AF507" s="14"/>
      <c r="AG507" s="14"/>
      <c r="AH507" s="14"/>
      <c r="AI507" s="14"/>
      <c r="AJ507" s="14"/>
      <c r="AK507" s="14"/>
      <c r="AL507" s="14"/>
      <c r="AM507" s="14"/>
      <c r="AN507" s="14"/>
      <c r="AO507" s="14"/>
      <c r="AP507" s="14"/>
      <c r="AQ507" s="14"/>
      <c r="AR507" s="14"/>
      <c r="AS507" s="14"/>
      <c r="AT507" s="14"/>
      <c r="AU507" s="14"/>
      <c r="AV507" s="14"/>
      <c r="AW507" s="14"/>
      <c r="AX507" s="14"/>
      <c r="AY507" s="14"/>
      <c r="AZ507" s="14"/>
      <c r="BA507" s="14"/>
      <c r="BB507" s="14"/>
      <c r="BC507" s="14"/>
      <c r="BD507" s="14"/>
      <c r="BE507" s="14"/>
      <c r="BF507" s="14"/>
      <c r="BG507" s="14"/>
      <c r="BH507" s="14"/>
      <c r="BI507" s="14"/>
      <c r="BJ507" s="14"/>
      <c r="BK507" s="14"/>
      <c r="BL507" s="14"/>
      <c r="BM507" s="14"/>
      <c r="BN507" s="14"/>
      <c r="BO507" s="14"/>
      <c r="BP507" s="14"/>
      <c r="BQ507" s="14"/>
      <c r="BR507" s="14"/>
      <c r="BS507" s="14"/>
      <c r="BT507" s="14"/>
      <c r="BU507" s="14"/>
      <c r="BV507" s="14"/>
      <c r="BW507" s="14"/>
      <c r="BX507" s="14"/>
      <c r="BY507" s="14"/>
      <c r="BZ507" s="14"/>
      <c r="CA507" s="14"/>
      <c r="CB507" s="14"/>
      <c r="CC507" s="14"/>
      <c r="CD507" s="14"/>
      <c r="CE507" s="14"/>
      <c r="CF507" s="14"/>
      <c r="CG507" s="14"/>
      <c r="CH507" s="14"/>
      <c r="CI507" s="14"/>
      <c r="CJ507" s="14"/>
      <c r="CK507" s="14"/>
      <c r="CL507" s="14"/>
      <c r="CM507" s="14"/>
      <c r="CN507" s="14"/>
      <c r="CO507" s="14"/>
      <c r="CP507" s="14"/>
      <c r="CQ507" s="14"/>
      <c r="CR507" s="14"/>
      <c r="CS507" s="14"/>
      <c r="CT507" s="14"/>
      <c r="CU507" s="14"/>
      <c r="CV507" s="14"/>
      <c r="CW507" s="14"/>
      <c r="CX507" s="14"/>
      <c r="CY507" s="14"/>
      <c r="CZ507" s="14"/>
      <c r="DA507" s="14"/>
      <c r="DB507" s="14"/>
      <c r="DC507" s="14"/>
      <c r="DD507" s="14"/>
      <c r="DE507" s="14"/>
      <c r="DF507" s="14"/>
      <c r="DG507" s="14"/>
      <c r="DH507" s="14"/>
      <c r="DI507" s="14"/>
      <c r="DJ507" s="14"/>
      <c r="DK507" s="14"/>
      <c r="DL507" s="14"/>
      <c r="DM507" s="14"/>
      <c r="DN507" s="14"/>
      <c r="DO507" s="14"/>
      <c r="DP507" s="14"/>
      <c r="DQ507" s="14"/>
      <c r="DR507" s="14"/>
      <c r="DS507" s="14"/>
      <c r="DT507" s="14"/>
      <c r="DU507" s="14"/>
      <c r="DV507" s="14"/>
      <c r="DW507" s="14"/>
      <c r="DX507" s="14"/>
      <c r="DY507" s="14"/>
      <c r="DZ507" s="14"/>
      <c r="EA507" s="14"/>
      <c r="EB507" s="14"/>
      <c r="EC507" s="14"/>
      <c r="ED507" s="14"/>
      <c r="EE507" s="14"/>
      <c r="EF507" s="14"/>
      <c r="EG507" s="14"/>
      <c r="EH507" s="14"/>
      <c r="EI507" s="14"/>
      <c r="EJ507" s="14"/>
      <c r="EK507" s="14"/>
      <c r="EL507" s="14"/>
      <c r="EM507" s="14"/>
      <c r="EN507" s="14"/>
      <c r="EO507" s="14"/>
      <c r="EP507" s="14"/>
      <c r="EQ507" s="14"/>
      <c r="ER507" s="14"/>
      <c r="ES507" s="14"/>
      <c r="ET507" s="14"/>
      <c r="EU507" s="14"/>
      <c r="EV507" s="14"/>
      <c r="EW507" s="14"/>
      <c r="EX507" s="14"/>
      <c r="EY507" s="14"/>
      <c r="EZ507" s="14"/>
      <c r="FA507" s="14"/>
      <c r="FB507" s="14"/>
      <c r="FC507" s="14"/>
      <c r="FD507" s="14"/>
      <c r="FE507" s="14"/>
      <c r="FF507" s="14"/>
      <c r="FG507" s="14"/>
      <c r="FH507" s="14"/>
      <c r="FI507" s="14"/>
      <c r="FJ507" s="14"/>
      <c r="FK507" s="14"/>
      <c r="FL507" s="14"/>
      <c r="FM507" s="14"/>
      <c r="FN507" s="14"/>
      <c r="FO507" s="14"/>
      <c r="FP507" s="14"/>
      <c r="FQ507" s="14"/>
      <c r="FR507" s="14"/>
      <c r="FS507" s="14"/>
      <c r="FT507" s="14"/>
      <c r="FU507" s="14"/>
      <c r="FV507" s="14"/>
      <c r="FW507" s="14"/>
      <c r="FX507" s="14"/>
      <c r="FY507" s="14"/>
      <c r="FZ507" s="14"/>
      <c r="GA507" s="14"/>
      <c r="GB507" s="14"/>
      <c r="GC507" s="14"/>
      <c r="GD507" s="14"/>
      <c r="GE507" s="14"/>
      <c r="GF507" s="14"/>
      <c r="GG507" s="14"/>
      <c r="GH507" s="14"/>
      <c r="GI507" s="14"/>
      <c r="GJ507" s="14"/>
      <c r="GK507" s="14"/>
      <c r="GL507" s="14"/>
      <c r="GM507" s="14"/>
      <c r="GN507" s="14"/>
      <c r="GO507" s="14"/>
      <c r="GP507" s="14"/>
      <c r="GQ507" s="14"/>
      <c r="GR507" s="14"/>
      <c r="GS507" s="14"/>
      <c r="GT507" s="14"/>
      <c r="GU507" s="14"/>
      <c r="GV507" s="14"/>
      <c r="GW507" s="14"/>
      <c r="GX507" s="14"/>
      <c r="GY507" s="14"/>
      <c r="GZ507" s="14"/>
      <c r="HA507" s="14"/>
      <c r="HB507" s="14"/>
      <c r="HC507" s="14"/>
      <c r="HD507" s="14"/>
      <c r="HE507" s="14"/>
      <c r="HF507" s="14"/>
      <c r="HG507" s="14"/>
      <c r="HH507" s="14"/>
      <c r="HI507" s="14"/>
      <c r="HJ507" s="14"/>
      <c r="HK507" s="14"/>
      <c r="HL507" s="14"/>
      <c r="HM507" s="14"/>
      <c r="HN507" s="14"/>
      <c r="HO507" s="14"/>
      <c r="HP507" s="14"/>
      <c r="HQ507" s="14"/>
      <c r="HR507" s="14"/>
      <c r="HS507" s="14"/>
      <c r="HT507" s="14"/>
    </row>
    <row r="508" spans="1:241" s="219" customFormat="1" hidden="1" x14ac:dyDescent="0.2">
      <c r="C508" s="13"/>
      <c r="D508" s="461"/>
      <c r="F508" s="13"/>
      <c r="G508" s="461"/>
      <c r="I508" s="13"/>
      <c r="J508" s="461"/>
      <c r="L508" s="13"/>
      <c r="M508" s="461"/>
      <c r="O508" s="13"/>
      <c r="P508" s="461"/>
      <c r="R508" s="73"/>
      <c r="S508" s="74"/>
      <c r="T508" s="73"/>
      <c r="U508" s="73"/>
      <c r="V508" s="74"/>
      <c r="W508" s="73"/>
      <c r="X508" s="73"/>
      <c r="Y508" s="74"/>
      <c r="Z508" s="73"/>
      <c r="AA508" s="73"/>
      <c r="AB508" s="74"/>
      <c r="AC508" s="73"/>
      <c r="AD508" s="73"/>
      <c r="AE508" s="74"/>
      <c r="AF508" s="73"/>
      <c r="AG508" s="73"/>
      <c r="AH508" s="74"/>
      <c r="AI508" s="73"/>
      <c r="AJ508" s="73"/>
      <c r="AK508" s="74"/>
      <c r="AL508" s="73"/>
      <c r="AM508" s="73"/>
      <c r="AN508" s="74"/>
      <c r="AO508" s="73"/>
      <c r="AP508" s="73"/>
      <c r="AQ508" s="74"/>
      <c r="AR508" s="73"/>
      <c r="AS508" s="73"/>
      <c r="AT508" s="74"/>
      <c r="AU508" s="73"/>
      <c r="AV508" s="73"/>
      <c r="AW508" s="74"/>
      <c r="AX508" s="73"/>
      <c r="AY508" s="73"/>
      <c r="AZ508" s="74"/>
      <c r="BA508" s="100"/>
      <c r="BB508" s="100"/>
      <c r="BC508" s="101"/>
      <c r="BD508" s="100"/>
      <c r="BE508" s="100"/>
      <c r="BF508" s="101"/>
      <c r="BG508" s="100"/>
      <c r="BH508" s="100"/>
      <c r="BI508" s="101"/>
      <c r="BJ508" s="100"/>
      <c r="BK508" s="100"/>
      <c r="BL508" s="101"/>
      <c r="BM508" s="100"/>
      <c r="BN508" s="100"/>
      <c r="BO508" s="101"/>
      <c r="BP508" s="100"/>
      <c r="BQ508" s="100"/>
      <c r="BR508" s="101"/>
      <c r="BS508" s="100"/>
      <c r="BT508" s="100"/>
      <c r="BU508" s="101"/>
      <c r="BV508" s="100"/>
      <c r="BW508" s="100"/>
      <c r="BX508" s="101"/>
      <c r="BY508" s="100"/>
      <c r="BZ508" s="100"/>
      <c r="CA508" s="101"/>
      <c r="CB508" s="100"/>
      <c r="CC508" s="100"/>
      <c r="CD508" s="101"/>
      <c r="CE508" s="100"/>
      <c r="CF508" s="100"/>
      <c r="CG508" s="101"/>
      <c r="CH508" s="100"/>
      <c r="CI508" s="100"/>
      <c r="CJ508" s="101"/>
      <c r="CK508" s="100"/>
      <c r="CL508" s="100"/>
      <c r="CM508" s="101"/>
      <c r="CN508" s="100"/>
      <c r="CO508" s="100"/>
      <c r="CP508" s="101"/>
      <c r="CQ508" s="100"/>
      <c r="CR508" s="100"/>
      <c r="CS508" s="101"/>
      <c r="CT508" s="100"/>
      <c r="CU508" s="100"/>
      <c r="CV508" s="101"/>
      <c r="CW508" s="100"/>
      <c r="CX508" s="100"/>
      <c r="CY508" s="101"/>
      <c r="CZ508" s="100"/>
      <c r="DA508" s="100"/>
      <c r="DB508" s="101"/>
      <c r="DC508" s="100"/>
      <c r="DD508" s="100"/>
      <c r="DE508" s="101"/>
      <c r="DF508" s="100"/>
      <c r="DG508" s="100"/>
      <c r="DH508" s="101"/>
      <c r="DI508" s="100"/>
      <c r="DJ508" s="100"/>
      <c r="DK508" s="101"/>
      <c r="DL508" s="100"/>
      <c r="DM508" s="100"/>
      <c r="DN508" s="101"/>
      <c r="DO508" s="100"/>
      <c r="DP508" s="100"/>
      <c r="DQ508" s="101"/>
      <c r="DR508" s="100"/>
      <c r="DS508" s="100"/>
      <c r="DT508" s="101"/>
      <c r="DU508" s="100"/>
      <c r="DV508" s="100"/>
      <c r="DW508" s="101"/>
      <c r="DX508" s="100"/>
      <c r="DY508" s="100"/>
      <c r="DZ508" s="101"/>
      <c r="EA508" s="100"/>
      <c r="EB508" s="100"/>
      <c r="EC508" s="101"/>
      <c r="ED508" s="100"/>
      <c r="EE508" s="100"/>
      <c r="EF508" s="101"/>
      <c r="EG508" s="100"/>
      <c r="EH508" s="100"/>
      <c r="EI508" s="101"/>
      <c r="EJ508" s="100"/>
      <c r="EK508" s="100"/>
      <c r="EL508" s="101"/>
      <c r="EN508" s="13"/>
      <c r="EO508" s="461"/>
      <c r="EQ508" s="13"/>
      <c r="ER508" s="461"/>
      <c r="ET508" s="13"/>
      <c r="EU508" s="461"/>
      <c r="EW508" s="13"/>
      <c r="EX508" s="461"/>
      <c r="EZ508" s="13"/>
      <c r="FA508" s="461"/>
      <c r="FC508" s="13"/>
      <c r="FD508" s="461"/>
      <c r="FF508" s="13"/>
      <c r="FG508" s="461"/>
      <c r="FI508" s="13"/>
      <c r="FJ508" s="461"/>
      <c r="FL508" s="13"/>
      <c r="FM508" s="461"/>
      <c r="FO508" s="13"/>
      <c r="FP508" s="461"/>
      <c r="FR508" s="13"/>
      <c r="FS508" s="461"/>
      <c r="FU508" s="13"/>
      <c r="FV508" s="461"/>
      <c r="FX508" s="13"/>
      <c r="FY508" s="461"/>
      <c r="GA508" s="13"/>
      <c r="GB508" s="461"/>
      <c r="GD508" s="13"/>
      <c r="GE508" s="461"/>
      <c r="GG508" s="13"/>
      <c r="GH508" s="461"/>
      <c r="GJ508" s="13"/>
      <c r="GK508" s="461"/>
      <c r="GM508" s="13"/>
      <c r="GN508" s="461"/>
      <c r="GP508" s="13"/>
      <c r="GQ508" s="461"/>
      <c r="GS508" s="13"/>
      <c r="GT508" s="461"/>
      <c r="GV508" s="13"/>
      <c r="GW508" s="461"/>
      <c r="GY508" s="13"/>
      <c r="GZ508" s="461"/>
      <c r="HB508" s="13"/>
      <c r="HC508" s="461"/>
      <c r="HE508" s="13"/>
      <c r="HF508" s="461"/>
      <c r="HH508" s="13"/>
      <c r="HI508" s="461"/>
      <c r="HK508" s="13"/>
      <c r="HL508" s="461"/>
      <c r="HN508" s="13"/>
      <c r="HO508" s="461"/>
      <c r="HQ508" s="13"/>
      <c r="HR508" s="461"/>
      <c r="HT508" s="13"/>
      <c r="HU508" s="461"/>
      <c r="HW508" s="13"/>
      <c r="HX508" s="461"/>
      <c r="HZ508" s="13"/>
      <c r="IA508" s="461"/>
      <c r="IC508" s="13"/>
      <c r="ID508" s="461"/>
      <c r="IF508" s="13"/>
      <c r="IG508" s="461"/>
    </row>
    <row r="509" spans="1:241" hidden="1" x14ac:dyDescent="0.2">
      <c r="R509" s="14"/>
      <c r="S509" s="14"/>
      <c r="T509" s="14"/>
      <c r="U509" s="14"/>
      <c r="V509" s="14"/>
      <c r="W509" s="14"/>
      <c r="X509" s="14"/>
      <c r="Y509" s="14"/>
      <c r="Z509" s="14"/>
      <c r="AA509" s="14"/>
      <c r="AB509" s="14"/>
      <c r="AC509" s="14"/>
      <c r="AD509" s="14"/>
      <c r="AE509" s="14"/>
      <c r="AF509" s="14"/>
      <c r="AG509" s="14"/>
      <c r="AH509" s="14"/>
      <c r="AI509" s="14"/>
      <c r="AJ509" s="14"/>
      <c r="AK509" s="14"/>
      <c r="AL509" s="14"/>
      <c r="AM509" s="14"/>
      <c r="AN509" s="14"/>
      <c r="AO509" s="14"/>
      <c r="AP509" s="14"/>
      <c r="AQ509" s="14"/>
      <c r="AR509" s="14"/>
      <c r="AS509" s="14"/>
      <c r="AT509" s="14"/>
      <c r="AU509" s="14"/>
      <c r="AV509" s="14"/>
      <c r="AW509" s="14"/>
      <c r="AX509" s="14"/>
      <c r="AY509" s="14"/>
      <c r="AZ509" s="14"/>
      <c r="BA509" s="14"/>
      <c r="BB509" s="14"/>
      <c r="BC509" s="14"/>
      <c r="BD509" s="14"/>
      <c r="BE509" s="14"/>
      <c r="BF509" s="14"/>
      <c r="BG509" s="14"/>
      <c r="BH509" s="14"/>
      <c r="BI509" s="14"/>
      <c r="BJ509" s="14"/>
      <c r="BK509" s="14"/>
      <c r="BL509" s="14"/>
      <c r="BM509" s="14"/>
      <c r="BN509" s="14"/>
      <c r="BO509" s="14"/>
      <c r="BP509" s="14"/>
      <c r="BQ509" s="14"/>
      <c r="BR509" s="14"/>
      <c r="BS509" s="14"/>
      <c r="BT509" s="14"/>
      <c r="BU509" s="14"/>
      <c r="BV509" s="14"/>
      <c r="BW509" s="14"/>
      <c r="BX509" s="14"/>
      <c r="BY509" s="14"/>
      <c r="BZ509" s="14"/>
      <c r="CA509" s="14"/>
      <c r="CB509" s="14"/>
      <c r="CC509" s="14"/>
      <c r="CD509" s="14"/>
      <c r="CE509" s="14"/>
      <c r="CF509" s="14"/>
      <c r="CG509" s="14"/>
      <c r="CH509" s="14"/>
      <c r="CI509" s="14"/>
      <c r="CJ509" s="14"/>
      <c r="CK509" s="14"/>
      <c r="CL509" s="14"/>
      <c r="CM509" s="14"/>
      <c r="CN509" s="14"/>
      <c r="CO509" s="14"/>
      <c r="CP509" s="14"/>
      <c r="CQ509" s="14"/>
      <c r="CR509" s="14"/>
      <c r="CS509" s="14"/>
      <c r="CT509" s="14"/>
      <c r="CU509" s="14"/>
      <c r="CV509" s="14"/>
      <c r="CW509" s="14"/>
      <c r="CX509" s="14"/>
      <c r="CY509" s="14"/>
      <c r="CZ509" s="14"/>
      <c r="DA509" s="14"/>
      <c r="DB509" s="14"/>
      <c r="DC509" s="14"/>
      <c r="DD509" s="14"/>
      <c r="DE509" s="14"/>
      <c r="DF509" s="14"/>
      <c r="DG509" s="14"/>
      <c r="DH509" s="14"/>
      <c r="DI509" s="14"/>
      <c r="DJ509" s="14"/>
      <c r="DK509" s="14"/>
      <c r="DL509" s="14"/>
      <c r="DM509" s="14"/>
      <c r="DN509" s="14"/>
      <c r="DO509" s="14"/>
      <c r="DP509" s="14"/>
      <c r="DQ509" s="14"/>
      <c r="DR509" s="14"/>
      <c r="DS509" s="14"/>
      <c r="DT509" s="14"/>
      <c r="DU509" s="14"/>
      <c r="DV509" s="14"/>
      <c r="DW509" s="14"/>
      <c r="DX509" s="14"/>
      <c r="DY509" s="14"/>
      <c r="DZ509" s="14"/>
      <c r="EA509" s="14"/>
      <c r="EB509" s="14"/>
      <c r="EC509" s="14"/>
      <c r="ED509" s="14"/>
      <c r="EE509" s="14"/>
      <c r="EF509" s="14"/>
      <c r="EG509" s="14"/>
      <c r="EH509" s="14"/>
      <c r="EI509" s="14"/>
      <c r="EJ509" s="14"/>
      <c r="EK509" s="14"/>
      <c r="EL509" s="14"/>
      <c r="EM509" s="14"/>
      <c r="EN509" s="14"/>
      <c r="EO509" s="14"/>
      <c r="EP509" s="14"/>
      <c r="EQ509" s="14"/>
      <c r="ER509" s="14"/>
      <c r="ES509" s="14"/>
      <c r="ET509" s="14"/>
      <c r="EU509" s="14"/>
      <c r="EV509" s="14"/>
      <c r="EW509" s="14"/>
      <c r="EX509" s="14"/>
      <c r="EY509" s="14"/>
      <c r="EZ509" s="14"/>
      <c r="FA509" s="14"/>
      <c r="FB509" s="14"/>
      <c r="FC509" s="14"/>
      <c r="FD509" s="14"/>
      <c r="FE509" s="14"/>
      <c r="FF509" s="14"/>
      <c r="FG509" s="14"/>
      <c r="FH509" s="14"/>
      <c r="FI509" s="14"/>
      <c r="FJ509" s="14"/>
      <c r="FK509" s="14"/>
      <c r="FL509" s="14"/>
      <c r="FM509" s="14"/>
      <c r="FN509" s="14"/>
      <c r="FO509" s="14"/>
      <c r="FP509" s="14"/>
      <c r="FQ509" s="14"/>
      <c r="FR509" s="14"/>
      <c r="FS509" s="14"/>
      <c r="FT509" s="14"/>
      <c r="FU509" s="14"/>
      <c r="FV509" s="14"/>
      <c r="FW509" s="14"/>
      <c r="FX509" s="14"/>
      <c r="FY509" s="14"/>
      <c r="FZ509" s="14"/>
      <c r="GA509" s="14"/>
      <c r="GB509" s="14"/>
      <c r="GC509" s="14"/>
      <c r="GD509" s="14"/>
      <c r="GE509" s="14"/>
      <c r="GF509" s="14"/>
      <c r="GG509" s="14"/>
      <c r="GH509" s="14"/>
      <c r="GI509" s="14"/>
      <c r="GJ509" s="14"/>
      <c r="GK509" s="14"/>
      <c r="GL509" s="14"/>
      <c r="GM509" s="14"/>
      <c r="GN509" s="14"/>
      <c r="GO509" s="14"/>
      <c r="GP509" s="14"/>
      <c r="GQ509" s="14"/>
      <c r="GR509" s="14"/>
      <c r="GS509" s="14"/>
      <c r="GT509" s="14"/>
      <c r="GU509" s="14"/>
      <c r="GV509" s="14"/>
      <c r="GW509" s="14"/>
      <c r="GX509" s="14"/>
      <c r="GY509" s="14"/>
      <c r="GZ509" s="14"/>
      <c r="HA509" s="14"/>
      <c r="HB509" s="14"/>
      <c r="HC509" s="14"/>
      <c r="HD509" s="14"/>
      <c r="HE509" s="14"/>
      <c r="HF509" s="14"/>
      <c r="HG509" s="14"/>
      <c r="HH509" s="14"/>
      <c r="HI509" s="14"/>
      <c r="HJ509" s="14"/>
      <c r="HK509" s="14"/>
      <c r="HL509" s="14"/>
      <c r="HM509" s="14"/>
      <c r="HN509" s="14"/>
      <c r="HO509" s="14"/>
      <c r="HP509" s="14"/>
      <c r="HQ509" s="14"/>
      <c r="HR509" s="14"/>
      <c r="HS509" s="14"/>
      <c r="HT509" s="14"/>
    </row>
    <row r="510" spans="1:241" hidden="1" x14ac:dyDescent="0.2">
      <c r="R510" s="14"/>
      <c r="S510" s="14"/>
      <c r="T510" s="14"/>
      <c r="U510" s="14"/>
      <c r="V510" s="14"/>
      <c r="W510" s="14"/>
      <c r="X510" s="14"/>
      <c r="Y510" s="14"/>
      <c r="Z510" s="14"/>
      <c r="AA510" s="14"/>
      <c r="AB510" s="14"/>
      <c r="AC510" s="14"/>
      <c r="AD510" s="14"/>
      <c r="AE510" s="14"/>
      <c r="AF510" s="14"/>
      <c r="AG510" s="14"/>
      <c r="AH510" s="14"/>
      <c r="AI510" s="14"/>
      <c r="AJ510" s="14"/>
      <c r="AK510" s="14"/>
      <c r="AL510" s="14"/>
      <c r="AM510" s="14"/>
      <c r="AN510" s="14"/>
      <c r="AO510" s="14"/>
      <c r="AP510" s="14"/>
      <c r="AQ510" s="14"/>
      <c r="AR510" s="14"/>
      <c r="AS510" s="14"/>
      <c r="AT510" s="14"/>
      <c r="AU510" s="14"/>
      <c r="AV510" s="14"/>
      <c r="AW510" s="14"/>
      <c r="AX510" s="14"/>
      <c r="AY510" s="14"/>
      <c r="AZ510" s="14"/>
      <c r="BA510" s="14"/>
      <c r="BB510" s="14"/>
      <c r="BC510" s="14"/>
      <c r="BD510" s="14"/>
      <c r="BE510" s="14"/>
      <c r="BF510" s="14"/>
      <c r="BG510" s="14"/>
      <c r="BH510" s="14"/>
      <c r="BI510" s="14"/>
      <c r="BJ510" s="14"/>
      <c r="BK510" s="14"/>
      <c r="BL510" s="14"/>
      <c r="BM510" s="14"/>
      <c r="BN510" s="14"/>
      <c r="BO510" s="14"/>
      <c r="BP510" s="14"/>
      <c r="BQ510" s="14"/>
      <c r="BR510" s="14"/>
      <c r="BS510" s="14"/>
      <c r="BT510" s="14"/>
      <c r="BU510" s="14"/>
      <c r="BV510" s="14"/>
      <c r="BW510" s="14"/>
      <c r="BX510" s="14"/>
      <c r="BY510" s="14"/>
      <c r="BZ510" s="14"/>
      <c r="CA510" s="14"/>
      <c r="CB510" s="14"/>
      <c r="CC510" s="14"/>
      <c r="CD510" s="14"/>
      <c r="CE510" s="14"/>
      <c r="CF510" s="14"/>
      <c r="CG510" s="14"/>
      <c r="CH510" s="14"/>
      <c r="CI510" s="14"/>
      <c r="CJ510" s="14"/>
      <c r="CK510" s="14"/>
      <c r="CL510" s="14"/>
      <c r="CM510" s="14"/>
      <c r="CN510" s="14"/>
      <c r="CO510" s="14"/>
      <c r="CP510" s="14"/>
      <c r="CQ510" s="14"/>
      <c r="CR510" s="14"/>
      <c r="CS510" s="14"/>
      <c r="CT510" s="14"/>
      <c r="CU510" s="14"/>
      <c r="CV510" s="14"/>
      <c r="CW510" s="14"/>
      <c r="CX510" s="14"/>
      <c r="CY510" s="14"/>
      <c r="CZ510" s="14"/>
      <c r="DA510" s="14"/>
      <c r="DB510" s="14"/>
      <c r="DC510" s="14"/>
      <c r="DD510" s="14"/>
      <c r="DE510" s="14"/>
      <c r="DF510" s="14"/>
      <c r="DG510" s="14"/>
      <c r="DH510" s="14"/>
      <c r="DI510" s="14"/>
      <c r="DJ510" s="14"/>
      <c r="DK510" s="14"/>
      <c r="DL510" s="14"/>
      <c r="DM510" s="14"/>
      <c r="DN510" s="14"/>
      <c r="DO510" s="14"/>
      <c r="DP510" s="14"/>
      <c r="DQ510" s="14"/>
      <c r="DR510" s="14"/>
      <c r="DS510" s="14"/>
      <c r="DT510" s="14"/>
      <c r="DU510" s="14"/>
      <c r="DV510" s="14"/>
      <c r="DW510" s="14"/>
      <c r="DX510" s="14"/>
      <c r="DY510" s="14"/>
      <c r="DZ510" s="14"/>
      <c r="EA510" s="14"/>
      <c r="EB510" s="14"/>
      <c r="EC510" s="14"/>
      <c r="ED510" s="14"/>
      <c r="EE510" s="14"/>
      <c r="EF510" s="14"/>
      <c r="EG510" s="14"/>
      <c r="EH510" s="14"/>
      <c r="EI510" s="14"/>
      <c r="EJ510" s="14"/>
      <c r="EK510" s="14"/>
      <c r="EL510" s="14"/>
      <c r="EM510" s="14"/>
      <c r="EN510" s="14"/>
      <c r="EO510" s="14"/>
      <c r="EP510" s="14"/>
      <c r="EQ510" s="14"/>
      <c r="ER510" s="14"/>
      <c r="ES510" s="14"/>
      <c r="ET510" s="14"/>
      <c r="EU510" s="14"/>
      <c r="EV510" s="14"/>
      <c r="EW510" s="14"/>
      <c r="EX510" s="14"/>
      <c r="EY510" s="14"/>
      <c r="EZ510" s="14"/>
      <c r="FA510" s="14"/>
      <c r="FB510" s="14"/>
      <c r="FC510" s="14"/>
      <c r="FD510" s="14"/>
      <c r="FE510" s="14"/>
      <c r="FF510" s="14"/>
      <c r="FG510" s="14"/>
      <c r="FH510" s="14"/>
      <c r="FI510" s="14"/>
      <c r="FJ510" s="14"/>
      <c r="FK510" s="14"/>
      <c r="FL510" s="14"/>
      <c r="FM510" s="14"/>
      <c r="FN510" s="14"/>
      <c r="FO510" s="14"/>
      <c r="FP510" s="14"/>
      <c r="FQ510" s="14"/>
      <c r="FR510" s="14"/>
      <c r="FS510" s="14"/>
      <c r="FT510" s="14"/>
      <c r="FU510" s="14"/>
      <c r="FV510" s="14"/>
      <c r="FW510" s="14"/>
      <c r="FX510" s="14"/>
      <c r="FY510" s="14"/>
      <c r="FZ510" s="14"/>
      <c r="GA510" s="14"/>
      <c r="GB510" s="14"/>
      <c r="GC510" s="14"/>
      <c r="GD510" s="14"/>
      <c r="GE510" s="14"/>
      <c r="GF510" s="14"/>
      <c r="GG510" s="14"/>
      <c r="GH510" s="14"/>
      <c r="GI510" s="14"/>
      <c r="GJ510" s="14"/>
      <c r="GK510" s="14"/>
      <c r="GL510" s="14"/>
      <c r="GM510" s="14"/>
      <c r="GN510" s="14"/>
      <c r="GO510" s="14"/>
      <c r="GP510" s="14"/>
      <c r="GQ510" s="14"/>
      <c r="GR510" s="14"/>
      <c r="GS510" s="14"/>
      <c r="GT510" s="14"/>
      <c r="GU510" s="14"/>
      <c r="GV510" s="14"/>
      <c r="GW510" s="14"/>
      <c r="GX510" s="14"/>
      <c r="GY510" s="14"/>
      <c r="GZ510" s="14"/>
      <c r="HA510" s="14"/>
      <c r="HB510" s="14"/>
      <c r="HC510" s="14"/>
      <c r="HD510" s="14"/>
      <c r="HE510" s="14"/>
      <c r="HF510" s="14"/>
      <c r="HG510" s="14"/>
      <c r="HH510" s="14"/>
      <c r="HI510" s="14"/>
      <c r="HJ510" s="14"/>
      <c r="HK510" s="14"/>
      <c r="HL510" s="14"/>
      <c r="HM510" s="14"/>
      <c r="HN510" s="14"/>
      <c r="HO510" s="14"/>
      <c r="HP510" s="14"/>
      <c r="HQ510" s="14"/>
      <c r="HR510" s="14"/>
      <c r="HS510" s="14"/>
      <c r="HT510" s="14"/>
    </row>
    <row r="511" spans="1:241" hidden="1" x14ac:dyDescent="0.2">
      <c r="R511" s="14"/>
      <c r="S511" s="14"/>
      <c r="T511" s="14"/>
      <c r="U511" s="14"/>
      <c r="V511" s="14"/>
      <c r="W511" s="14"/>
      <c r="X511" s="14"/>
      <c r="Y511" s="14"/>
      <c r="Z511" s="14"/>
      <c r="AA511" s="14"/>
      <c r="AB511" s="14"/>
      <c r="AC511" s="14"/>
      <c r="AD511" s="14"/>
      <c r="AE511" s="14"/>
      <c r="AF511" s="14"/>
      <c r="AG511" s="14"/>
      <c r="AH511" s="14"/>
      <c r="AI511" s="14"/>
      <c r="AJ511" s="14"/>
      <c r="AK511" s="14"/>
      <c r="AL511" s="14"/>
      <c r="AM511" s="14"/>
      <c r="AN511" s="14"/>
      <c r="AO511" s="14"/>
      <c r="AP511" s="14"/>
      <c r="AQ511" s="14"/>
      <c r="AR511" s="14"/>
      <c r="AS511" s="14"/>
      <c r="AT511" s="14"/>
      <c r="AU511" s="14"/>
      <c r="AV511" s="14"/>
      <c r="AW511" s="14"/>
      <c r="AX511" s="14"/>
      <c r="AY511" s="14"/>
      <c r="AZ511" s="14"/>
      <c r="BA511" s="14"/>
      <c r="BB511" s="14"/>
      <c r="BC511" s="14"/>
      <c r="BD511" s="14"/>
      <c r="BE511" s="14"/>
      <c r="BF511" s="14"/>
      <c r="BG511" s="14"/>
      <c r="BH511" s="14"/>
      <c r="BI511" s="14"/>
      <c r="BJ511" s="14"/>
      <c r="BK511" s="14"/>
      <c r="BL511" s="14"/>
      <c r="BM511" s="14"/>
      <c r="BN511" s="14"/>
      <c r="BO511" s="14"/>
      <c r="BP511" s="14"/>
      <c r="BQ511" s="14"/>
      <c r="BR511" s="14"/>
      <c r="BS511" s="14"/>
      <c r="BT511" s="14"/>
      <c r="BU511" s="14"/>
      <c r="BV511" s="14"/>
      <c r="BW511" s="14"/>
      <c r="BX511" s="14"/>
      <c r="BY511" s="14"/>
      <c r="BZ511" s="14"/>
      <c r="CA511" s="14"/>
      <c r="CB511" s="14"/>
      <c r="CC511" s="14"/>
      <c r="CD511" s="14"/>
      <c r="CE511" s="14"/>
      <c r="CF511" s="14"/>
      <c r="CG511" s="14"/>
      <c r="CH511" s="14"/>
      <c r="CI511" s="14"/>
      <c r="CJ511" s="14"/>
      <c r="CK511" s="14"/>
      <c r="CL511" s="14"/>
      <c r="CM511" s="14"/>
      <c r="CN511" s="14"/>
      <c r="CO511" s="14"/>
      <c r="CP511" s="14"/>
      <c r="CQ511" s="14"/>
      <c r="CR511" s="14"/>
      <c r="CS511" s="14"/>
      <c r="CT511" s="14"/>
      <c r="CU511" s="14"/>
      <c r="CV511" s="14"/>
      <c r="CW511" s="14"/>
      <c r="CX511" s="14"/>
      <c r="CY511" s="14"/>
      <c r="CZ511" s="14"/>
      <c r="DA511" s="14"/>
      <c r="DB511" s="14"/>
      <c r="DC511" s="14"/>
      <c r="DD511" s="14"/>
      <c r="DE511" s="14"/>
      <c r="DF511" s="14"/>
      <c r="DG511" s="14"/>
      <c r="DH511" s="14"/>
      <c r="DI511" s="14"/>
      <c r="DJ511" s="14"/>
      <c r="DK511" s="14"/>
      <c r="DL511" s="14"/>
      <c r="DM511" s="14"/>
      <c r="DN511" s="14"/>
      <c r="DO511" s="14"/>
      <c r="DP511" s="14"/>
      <c r="DQ511" s="14"/>
      <c r="DR511" s="14"/>
      <c r="DS511" s="14"/>
      <c r="DT511" s="14"/>
      <c r="DU511" s="14"/>
      <c r="DV511" s="14"/>
      <c r="DW511" s="14"/>
      <c r="DX511" s="14"/>
      <c r="DY511" s="14"/>
      <c r="DZ511" s="14"/>
      <c r="EA511" s="14"/>
      <c r="EB511" s="14"/>
      <c r="EC511" s="14"/>
      <c r="ED511" s="14"/>
      <c r="EE511" s="14"/>
      <c r="EF511" s="14"/>
      <c r="EG511" s="14"/>
      <c r="EH511" s="14"/>
      <c r="EI511" s="14"/>
      <c r="EJ511" s="14"/>
      <c r="EK511" s="14"/>
      <c r="EL511" s="14"/>
      <c r="EM511" s="14"/>
      <c r="EN511" s="14"/>
      <c r="EO511" s="14"/>
      <c r="EP511" s="14"/>
      <c r="EQ511" s="14"/>
      <c r="ER511" s="14"/>
      <c r="ES511" s="14"/>
      <c r="ET511" s="14"/>
      <c r="EU511" s="14"/>
      <c r="EV511" s="14"/>
      <c r="EW511" s="14"/>
      <c r="EX511" s="14"/>
      <c r="EY511" s="14"/>
      <c r="EZ511" s="14"/>
      <c r="FA511" s="14"/>
      <c r="FB511" s="14"/>
      <c r="FC511" s="14"/>
      <c r="FD511" s="14"/>
      <c r="FE511" s="14"/>
      <c r="FF511" s="14"/>
      <c r="FG511" s="14"/>
      <c r="FH511" s="14"/>
      <c r="FI511" s="14"/>
      <c r="FJ511" s="14"/>
      <c r="FK511" s="14"/>
      <c r="FL511" s="14"/>
      <c r="FM511" s="14"/>
      <c r="FN511" s="14"/>
      <c r="FO511" s="14"/>
      <c r="FP511" s="14"/>
      <c r="FQ511" s="14"/>
      <c r="FR511" s="14"/>
      <c r="FS511" s="14"/>
      <c r="FT511" s="14"/>
      <c r="FU511" s="14"/>
      <c r="FV511" s="14"/>
      <c r="FW511" s="14"/>
      <c r="FX511" s="14"/>
      <c r="FY511" s="14"/>
      <c r="FZ511" s="14"/>
      <c r="GA511" s="14"/>
      <c r="GB511" s="14"/>
      <c r="GC511" s="14"/>
      <c r="GD511" s="14"/>
      <c r="GE511" s="14"/>
      <c r="GF511" s="14"/>
      <c r="GG511" s="14"/>
      <c r="GH511" s="14"/>
      <c r="GI511" s="14"/>
      <c r="GJ511" s="14"/>
      <c r="GK511" s="14"/>
      <c r="GL511" s="14"/>
      <c r="GM511" s="14"/>
      <c r="GN511" s="14"/>
      <c r="GO511" s="14"/>
      <c r="GP511" s="14"/>
      <c r="GQ511" s="14"/>
      <c r="GR511" s="14"/>
      <c r="GS511" s="14"/>
      <c r="GT511" s="14"/>
      <c r="GU511" s="14"/>
      <c r="GV511" s="14"/>
      <c r="GW511" s="14"/>
      <c r="GX511" s="14"/>
      <c r="GY511" s="14"/>
      <c r="GZ511" s="14"/>
      <c r="HA511" s="14"/>
      <c r="HB511" s="14"/>
      <c r="HC511" s="14"/>
      <c r="HD511" s="14"/>
      <c r="HE511" s="14"/>
      <c r="HF511" s="14"/>
      <c r="HG511" s="14"/>
      <c r="HH511" s="14"/>
      <c r="HI511" s="14"/>
      <c r="HJ511" s="14"/>
      <c r="HK511" s="14"/>
      <c r="HL511" s="14"/>
      <c r="HM511" s="14"/>
      <c r="HN511" s="14"/>
      <c r="HO511" s="14"/>
      <c r="HP511" s="14"/>
      <c r="HQ511" s="14"/>
      <c r="HR511" s="14"/>
      <c r="HS511" s="14"/>
      <c r="HT511" s="14"/>
    </row>
    <row r="512" spans="1:241" ht="38.25" hidden="1" x14ac:dyDescent="0.2">
      <c r="B512" s="893" t="s">
        <v>2235</v>
      </c>
      <c r="R512" s="14"/>
      <c r="S512" s="14"/>
      <c r="T512" s="14"/>
      <c r="U512" s="14"/>
      <c r="V512" s="14"/>
      <c r="W512" s="14"/>
      <c r="X512" s="14"/>
      <c r="Y512" s="14"/>
      <c r="Z512" s="14"/>
      <c r="AA512" s="14"/>
      <c r="AB512" s="14"/>
      <c r="AC512" s="14"/>
      <c r="AD512" s="14"/>
      <c r="AE512" s="14"/>
      <c r="AF512" s="14"/>
      <c r="AG512" s="14"/>
      <c r="AH512" s="14"/>
      <c r="AI512" s="14"/>
      <c r="AJ512" s="14"/>
      <c r="AK512" s="14"/>
      <c r="AL512" s="14"/>
      <c r="AM512" s="14"/>
      <c r="AN512" s="14"/>
      <c r="AO512" s="14"/>
      <c r="AP512" s="14"/>
      <c r="AQ512" s="14"/>
      <c r="AR512" s="14"/>
      <c r="AS512" s="14"/>
      <c r="AT512" s="14"/>
      <c r="AU512" s="14"/>
      <c r="AV512" s="14"/>
      <c r="AW512" s="14"/>
      <c r="AX512" s="14"/>
      <c r="AY512" s="14"/>
      <c r="AZ512" s="14"/>
      <c r="BA512" s="14"/>
      <c r="BB512" s="14"/>
      <c r="BC512" s="14"/>
      <c r="BD512" s="14"/>
      <c r="BE512" s="14"/>
      <c r="BF512" s="14"/>
      <c r="BG512" s="14"/>
      <c r="BH512" s="14"/>
      <c r="BI512" s="14"/>
      <c r="BJ512" s="14"/>
      <c r="BK512" s="14"/>
      <c r="BL512" s="14"/>
      <c r="BM512" s="14"/>
      <c r="BN512" s="14"/>
      <c r="BO512" s="14"/>
      <c r="BP512" s="14"/>
      <c r="BQ512" s="14"/>
      <c r="BR512" s="14"/>
      <c r="BS512" s="14"/>
      <c r="BT512" s="14"/>
      <c r="BU512" s="14"/>
      <c r="BV512" s="14"/>
      <c r="BW512" s="14"/>
      <c r="BX512" s="14"/>
      <c r="BY512" s="14"/>
      <c r="BZ512" s="14"/>
      <c r="CA512" s="14"/>
      <c r="CB512" s="14"/>
      <c r="CC512" s="14"/>
      <c r="CD512" s="14"/>
      <c r="CE512" s="14"/>
      <c r="CF512" s="14"/>
      <c r="CG512" s="14"/>
      <c r="CH512" s="14"/>
      <c r="CI512" s="14"/>
      <c r="CJ512" s="14"/>
      <c r="CK512" s="14"/>
      <c r="CL512" s="14"/>
      <c r="CM512" s="14"/>
      <c r="CN512" s="14"/>
      <c r="CO512" s="14"/>
      <c r="CP512" s="14"/>
      <c r="CQ512" s="14"/>
      <c r="CR512" s="14"/>
      <c r="CS512" s="14"/>
      <c r="CT512" s="14"/>
      <c r="CU512" s="14"/>
      <c r="CV512" s="14"/>
      <c r="CW512" s="14"/>
      <c r="CX512" s="14"/>
      <c r="CY512" s="14"/>
      <c r="CZ512" s="14"/>
      <c r="DA512" s="14"/>
      <c r="DB512" s="14"/>
      <c r="DC512" s="14"/>
      <c r="DD512" s="14"/>
      <c r="DE512" s="14"/>
      <c r="DF512" s="14"/>
      <c r="DG512" s="14"/>
      <c r="DH512" s="14"/>
      <c r="DI512" s="14"/>
      <c r="DJ512" s="14"/>
      <c r="DK512" s="14"/>
      <c r="DL512" s="14"/>
      <c r="DM512" s="14"/>
      <c r="DN512" s="14"/>
      <c r="DO512" s="14"/>
      <c r="DP512" s="14"/>
      <c r="DQ512" s="14"/>
      <c r="DR512" s="14"/>
      <c r="DS512" s="14"/>
      <c r="DT512" s="14"/>
      <c r="DU512" s="14"/>
      <c r="DV512" s="14"/>
      <c r="DW512" s="14"/>
      <c r="DX512" s="14"/>
      <c r="DY512" s="14"/>
      <c r="DZ512" s="14"/>
      <c r="EA512" s="14"/>
      <c r="EB512" s="14"/>
      <c r="EC512" s="14"/>
      <c r="ED512" s="14"/>
      <c r="EE512" s="14"/>
      <c r="EF512" s="14"/>
      <c r="EG512" s="14"/>
      <c r="EH512" s="14"/>
      <c r="EI512" s="14"/>
      <c r="EJ512" s="14"/>
      <c r="EK512" s="14"/>
      <c r="EL512" s="14"/>
      <c r="EM512" s="14"/>
      <c r="EN512" s="14"/>
      <c r="EO512" s="14"/>
      <c r="EP512" s="14"/>
      <c r="EQ512" s="14"/>
      <c r="ER512" s="14"/>
      <c r="ES512" s="14"/>
      <c r="ET512" s="14"/>
      <c r="EU512" s="14"/>
      <c r="EV512" s="14"/>
      <c r="EW512" s="14"/>
      <c r="EX512" s="14"/>
      <c r="EY512" s="14"/>
      <c r="EZ512" s="14"/>
      <c r="FA512" s="14"/>
      <c r="FB512" s="14"/>
      <c r="FC512" s="14"/>
      <c r="FD512" s="14"/>
      <c r="FE512" s="14"/>
      <c r="FF512" s="14"/>
      <c r="FG512" s="14"/>
      <c r="FH512" s="14"/>
      <c r="FI512" s="14"/>
      <c r="FJ512" s="14"/>
      <c r="FK512" s="14"/>
      <c r="FL512" s="14"/>
      <c r="FM512" s="14"/>
      <c r="FN512" s="14"/>
      <c r="FO512" s="14"/>
      <c r="FP512" s="14"/>
      <c r="FQ512" s="14"/>
      <c r="FR512" s="14"/>
      <c r="FS512" s="14"/>
      <c r="FT512" s="14"/>
      <c r="FU512" s="14"/>
      <c r="FV512" s="14"/>
      <c r="FW512" s="14"/>
      <c r="FX512" s="14"/>
      <c r="FY512" s="14"/>
      <c r="FZ512" s="14"/>
      <c r="GA512" s="14"/>
      <c r="GB512" s="14"/>
      <c r="GC512" s="14"/>
      <c r="GD512" s="14"/>
      <c r="GE512" s="14"/>
      <c r="GF512" s="14"/>
      <c r="GG512" s="14"/>
      <c r="GH512" s="14"/>
      <c r="GI512" s="14"/>
      <c r="GJ512" s="14"/>
      <c r="GK512" s="14"/>
      <c r="GL512" s="14"/>
      <c r="GM512" s="14"/>
      <c r="GN512" s="14"/>
      <c r="GO512" s="14"/>
      <c r="GP512" s="14"/>
      <c r="GQ512" s="14"/>
      <c r="GR512" s="14"/>
      <c r="GS512" s="14"/>
      <c r="GT512" s="14"/>
      <c r="GU512" s="14"/>
      <c r="GV512" s="14"/>
      <c r="GW512" s="14"/>
      <c r="GX512" s="14"/>
      <c r="GY512" s="14"/>
      <c r="GZ512" s="14"/>
      <c r="HA512" s="14"/>
      <c r="HB512" s="14"/>
      <c r="HC512" s="14"/>
      <c r="HD512" s="14"/>
      <c r="HE512" s="14"/>
      <c r="HF512" s="14"/>
      <c r="HG512" s="14"/>
      <c r="HH512" s="14"/>
      <c r="HI512" s="14"/>
      <c r="HJ512" s="14"/>
      <c r="HK512" s="14"/>
      <c r="HL512" s="14"/>
      <c r="HM512" s="14"/>
      <c r="HN512" s="14"/>
      <c r="HO512" s="14"/>
      <c r="HP512" s="14"/>
      <c r="HQ512" s="14"/>
      <c r="HR512" s="14"/>
      <c r="HS512" s="14"/>
      <c r="HT512" s="14"/>
    </row>
    <row r="513" spans="2:228" hidden="1" x14ac:dyDescent="0.2">
      <c r="B513" s="905" t="s">
        <v>1942</v>
      </c>
      <c r="R513" s="14"/>
      <c r="S513" s="14"/>
      <c r="T513" s="14"/>
      <c r="U513" s="14"/>
      <c r="V513" s="14"/>
      <c r="W513" s="14"/>
      <c r="X513" s="14"/>
      <c r="Y513" s="14"/>
      <c r="Z513" s="14"/>
      <c r="AA513" s="14"/>
      <c r="AB513" s="14"/>
      <c r="AC513" s="14"/>
      <c r="AD513" s="14"/>
      <c r="AE513" s="14"/>
      <c r="AF513" s="14"/>
      <c r="AG513" s="14"/>
      <c r="AH513" s="14"/>
      <c r="AI513" s="14"/>
      <c r="AJ513" s="14"/>
      <c r="AK513" s="14"/>
      <c r="AL513" s="14"/>
      <c r="AM513" s="14"/>
      <c r="AN513" s="14"/>
      <c r="AO513" s="14"/>
      <c r="AP513" s="14"/>
      <c r="AQ513" s="14"/>
      <c r="AR513" s="14"/>
      <c r="AS513" s="14"/>
      <c r="AT513" s="14"/>
      <c r="AU513" s="14"/>
      <c r="AV513" s="14"/>
      <c r="AW513" s="14"/>
      <c r="AX513" s="14"/>
      <c r="AY513" s="14"/>
      <c r="AZ513" s="14"/>
      <c r="BA513" s="14"/>
      <c r="BB513" s="14"/>
      <c r="BC513" s="14"/>
      <c r="BD513" s="14"/>
      <c r="BE513" s="14"/>
      <c r="BF513" s="14"/>
      <c r="BG513" s="14"/>
      <c r="BH513" s="14"/>
      <c r="BI513" s="14"/>
      <c r="BJ513" s="14"/>
      <c r="BK513" s="14"/>
      <c r="BL513" s="14"/>
      <c r="BM513" s="14"/>
      <c r="BN513" s="14"/>
      <c r="BO513" s="14"/>
      <c r="BP513" s="14"/>
      <c r="BQ513" s="14"/>
      <c r="BR513" s="14"/>
      <c r="BS513" s="14"/>
      <c r="BT513" s="14"/>
      <c r="BU513" s="14"/>
      <c r="BV513" s="14"/>
      <c r="BW513" s="14"/>
      <c r="BX513" s="14"/>
      <c r="BY513" s="14"/>
      <c r="BZ513" s="14"/>
      <c r="CA513" s="14"/>
      <c r="CB513" s="14"/>
      <c r="CC513" s="14"/>
      <c r="CD513" s="14"/>
      <c r="CE513" s="14"/>
      <c r="CF513" s="14"/>
      <c r="CG513" s="14"/>
      <c r="CH513" s="14"/>
      <c r="CI513" s="14"/>
      <c r="CJ513" s="14"/>
      <c r="CK513" s="14"/>
      <c r="CL513" s="14"/>
      <c r="CM513" s="14"/>
      <c r="CN513" s="14"/>
      <c r="CO513" s="14"/>
      <c r="CP513" s="14"/>
      <c r="CQ513" s="14"/>
      <c r="CR513" s="14"/>
      <c r="CS513" s="14"/>
      <c r="CT513" s="14"/>
      <c r="CU513" s="14"/>
      <c r="CV513" s="14"/>
      <c r="CW513" s="14"/>
      <c r="CX513" s="14"/>
      <c r="CY513" s="14"/>
      <c r="CZ513" s="14"/>
      <c r="DA513" s="14"/>
      <c r="DB513" s="14"/>
      <c r="DC513" s="14"/>
      <c r="DD513" s="14"/>
      <c r="DE513" s="14"/>
      <c r="DF513" s="14"/>
      <c r="DG513" s="14"/>
      <c r="DH513" s="14"/>
      <c r="DI513" s="14"/>
      <c r="DJ513" s="14"/>
      <c r="DK513" s="14"/>
      <c r="DL513" s="14"/>
      <c r="DM513" s="14"/>
      <c r="DN513" s="14"/>
      <c r="DO513" s="14"/>
      <c r="DP513" s="14"/>
      <c r="DQ513" s="14"/>
      <c r="DR513" s="14"/>
      <c r="DS513" s="14"/>
      <c r="DT513" s="14"/>
      <c r="DU513" s="14"/>
      <c r="DV513" s="14"/>
      <c r="DW513" s="14"/>
      <c r="DX513" s="14"/>
      <c r="DY513" s="14"/>
      <c r="DZ513" s="14"/>
      <c r="EA513" s="14"/>
      <c r="EB513" s="14"/>
      <c r="EC513" s="14"/>
      <c r="ED513" s="14"/>
      <c r="EE513" s="14"/>
      <c r="EF513" s="14"/>
      <c r="EG513" s="14"/>
      <c r="EH513" s="14"/>
      <c r="EI513" s="14"/>
      <c r="EJ513" s="14"/>
      <c r="EK513" s="14"/>
      <c r="EL513" s="14"/>
      <c r="EM513" s="14"/>
      <c r="EN513" s="14"/>
      <c r="EO513" s="14"/>
      <c r="EP513" s="14"/>
      <c r="EQ513" s="14"/>
      <c r="ER513" s="14"/>
      <c r="ES513" s="14"/>
      <c r="ET513" s="14"/>
      <c r="EU513" s="14"/>
      <c r="EV513" s="14"/>
      <c r="EW513" s="14"/>
      <c r="EX513" s="14"/>
      <c r="EY513" s="14"/>
      <c r="EZ513" s="14"/>
      <c r="FA513" s="14"/>
      <c r="FB513" s="14"/>
      <c r="FC513" s="14"/>
      <c r="FD513" s="14"/>
      <c r="FE513" s="14"/>
      <c r="FF513" s="14"/>
      <c r="FG513" s="14"/>
      <c r="FH513" s="14"/>
      <c r="FI513" s="14"/>
      <c r="FJ513" s="14"/>
      <c r="FK513" s="14"/>
      <c r="FL513" s="14"/>
      <c r="FM513" s="14"/>
      <c r="FN513" s="14"/>
      <c r="FO513" s="14"/>
      <c r="FP513" s="14"/>
      <c r="FQ513" s="14"/>
      <c r="FR513" s="14"/>
      <c r="FS513" s="14"/>
      <c r="FT513" s="14"/>
      <c r="FU513" s="14"/>
      <c r="FV513" s="14"/>
      <c r="FW513" s="14"/>
      <c r="FX513" s="14"/>
      <c r="FY513" s="14"/>
      <c r="FZ513" s="14"/>
      <c r="GA513" s="14"/>
      <c r="GB513" s="14"/>
      <c r="GC513" s="14"/>
      <c r="GD513" s="14"/>
      <c r="GE513" s="14"/>
      <c r="GF513" s="14"/>
      <c r="GG513" s="14"/>
      <c r="GH513" s="14"/>
      <c r="GI513" s="14"/>
      <c r="GJ513" s="14"/>
      <c r="GK513" s="14"/>
      <c r="GL513" s="14"/>
      <c r="GM513" s="14"/>
      <c r="GN513" s="14"/>
      <c r="GO513" s="14"/>
      <c r="GP513" s="14"/>
      <c r="GQ513" s="14"/>
      <c r="GR513" s="14"/>
      <c r="GS513" s="14"/>
      <c r="GT513" s="14"/>
      <c r="GU513" s="14"/>
      <c r="GV513" s="14"/>
      <c r="GW513" s="14"/>
      <c r="GX513" s="14"/>
      <c r="GY513" s="14"/>
      <c r="GZ513" s="14"/>
      <c r="HA513" s="14"/>
      <c r="HB513" s="14"/>
      <c r="HC513" s="14"/>
      <c r="HD513" s="14"/>
      <c r="HE513" s="14"/>
      <c r="HF513" s="14"/>
      <c r="HG513" s="14"/>
      <c r="HH513" s="14"/>
      <c r="HI513" s="14"/>
      <c r="HJ513" s="14"/>
      <c r="HK513" s="14"/>
      <c r="HL513" s="14"/>
      <c r="HM513" s="14"/>
      <c r="HN513" s="14"/>
      <c r="HO513" s="14"/>
      <c r="HP513" s="14"/>
      <c r="HQ513" s="14"/>
      <c r="HR513" s="14"/>
      <c r="HS513" s="14"/>
      <c r="HT513" s="14"/>
    </row>
    <row r="514" spans="2:228" hidden="1" x14ac:dyDescent="0.2">
      <c r="B514" s="905">
        <v>0</v>
      </c>
      <c r="R514" s="14"/>
      <c r="S514" s="14"/>
      <c r="T514" s="14"/>
      <c r="U514" s="14"/>
      <c r="V514" s="14"/>
      <c r="W514" s="14"/>
      <c r="X514" s="14"/>
      <c r="Y514" s="14"/>
      <c r="Z514" s="14"/>
      <c r="AA514" s="14"/>
      <c r="AB514" s="14"/>
      <c r="AC514" s="14"/>
      <c r="AD514" s="14"/>
      <c r="AE514" s="14"/>
      <c r="AF514" s="14"/>
      <c r="AG514" s="14"/>
      <c r="AH514" s="14"/>
      <c r="AI514" s="14"/>
      <c r="AJ514" s="14"/>
      <c r="AK514" s="14"/>
      <c r="AL514" s="14"/>
      <c r="AM514" s="14"/>
      <c r="AN514" s="14"/>
      <c r="AO514" s="14"/>
      <c r="AP514" s="14"/>
      <c r="AQ514" s="14"/>
      <c r="AR514" s="14"/>
      <c r="AS514" s="14"/>
      <c r="AT514" s="14"/>
      <c r="AU514" s="14"/>
      <c r="AV514" s="14"/>
      <c r="AW514" s="14"/>
      <c r="AX514" s="14"/>
      <c r="AY514" s="14"/>
      <c r="AZ514" s="14"/>
      <c r="BA514" s="14"/>
      <c r="BB514" s="14"/>
      <c r="BC514" s="14"/>
      <c r="BD514" s="14"/>
      <c r="BE514" s="14"/>
      <c r="BF514" s="14"/>
      <c r="BG514" s="14"/>
      <c r="BH514" s="14"/>
      <c r="BI514" s="14"/>
      <c r="BJ514" s="14"/>
      <c r="BK514" s="14"/>
      <c r="BL514" s="14"/>
      <c r="BM514" s="14"/>
      <c r="BN514" s="14"/>
      <c r="BO514" s="14"/>
      <c r="BP514" s="14"/>
      <c r="BQ514" s="14"/>
      <c r="BR514" s="14"/>
      <c r="BS514" s="14"/>
      <c r="BT514" s="14"/>
      <c r="BU514" s="14"/>
      <c r="BV514" s="14"/>
      <c r="BW514" s="14"/>
      <c r="BX514" s="14"/>
      <c r="BY514" s="14"/>
      <c r="BZ514" s="14"/>
      <c r="CA514" s="14"/>
      <c r="CB514" s="14"/>
      <c r="CC514" s="14"/>
      <c r="CD514" s="14"/>
      <c r="CE514" s="14"/>
      <c r="CF514" s="14"/>
      <c r="CG514" s="14"/>
      <c r="CH514" s="14"/>
      <c r="CI514" s="14"/>
      <c r="CJ514" s="14"/>
      <c r="CK514" s="14"/>
      <c r="CL514" s="14"/>
      <c r="CM514" s="14"/>
      <c r="CN514" s="14"/>
      <c r="CO514" s="14"/>
      <c r="CP514" s="14"/>
      <c r="CQ514" s="14"/>
      <c r="CR514" s="14"/>
      <c r="CS514" s="14"/>
      <c r="CT514" s="14"/>
      <c r="CU514" s="14"/>
      <c r="CV514" s="14"/>
      <c r="CW514" s="14"/>
      <c r="CX514" s="14"/>
      <c r="CY514" s="14"/>
      <c r="CZ514" s="14"/>
      <c r="DA514" s="14"/>
      <c r="DB514" s="14"/>
      <c r="DC514" s="14"/>
      <c r="DD514" s="14"/>
      <c r="DE514" s="14"/>
      <c r="DF514" s="14"/>
      <c r="DG514" s="14"/>
      <c r="DH514" s="14"/>
      <c r="DI514" s="14"/>
      <c r="DJ514" s="14"/>
      <c r="DK514" s="14"/>
      <c r="DL514" s="14"/>
      <c r="DM514" s="14"/>
      <c r="DN514" s="14"/>
      <c r="DO514" s="14"/>
      <c r="DP514" s="14"/>
      <c r="DQ514" s="14"/>
      <c r="DR514" s="14"/>
      <c r="DS514" s="14"/>
      <c r="DT514" s="14"/>
      <c r="DU514" s="14"/>
      <c r="DV514" s="14"/>
      <c r="DW514" s="14"/>
      <c r="DX514" s="14"/>
      <c r="DY514" s="14"/>
      <c r="DZ514" s="14"/>
      <c r="EA514" s="14"/>
      <c r="EB514" s="14"/>
      <c r="EC514" s="14"/>
      <c r="ED514" s="14"/>
      <c r="EE514" s="14"/>
      <c r="EF514" s="14"/>
      <c r="EG514" s="14"/>
      <c r="EH514" s="14"/>
      <c r="EI514" s="14"/>
      <c r="EJ514" s="14"/>
      <c r="EK514" s="14"/>
      <c r="EL514" s="14"/>
      <c r="EM514" s="14"/>
      <c r="EN514" s="14"/>
      <c r="EO514" s="14"/>
      <c r="EP514" s="14"/>
      <c r="EQ514" s="14"/>
      <c r="ER514" s="14"/>
      <c r="ES514" s="14"/>
      <c r="ET514" s="14"/>
      <c r="EU514" s="14"/>
      <c r="EV514" s="14"/>
      <c r="EW514" s="14"/>
      <c r="EX514" s="14"/>
      <c r="EY514" s="14"/>
      <c r="EZ514" s="14"/>
      <c r="FA514" s="14"/>
      <c r="FB514" s="14"/>
      <c r="FC514" s="14"/>
      <c r="FD514" s="14"/>
      <c r="FE514" s="14"/>
      <c r="FF514" s="14"/>
      <c r="FG514" s="14"/>
      <c r="FH514" s="14"/>
      <c r="FI514" s="14"/>
      <c r="FJ514" s="14"/>
      <c r="FK514" s="14"/>
      <c r="FL514" s="14"/>
      <c r="FM514" s="14"/>
      <c r="FN514" s="14"/>
      <c r="FO514" s="14"/>
      <c r="FP514" s="14"/>
      <c r="FQ514" s="14"/>
      <c r="FR514" s="14"/>
      <c r="FS514" s="14"/>
      <c r="FT514" s="14"/>
      <c r="FU514" s="14"/>
      <c r="FV514" s="14"/>
      <c r="FW514" s="14"/>
      <c r="FX514" s="14"/>
      <c r="FY514" s="14"/>
      <c r="FZ514" s="14"/>
      <c r="GA514" s="14"/>
      <c r="GB514" s="14"/>
      <c r="GC514" s="14"/>
      <c r="GD514" s="14"/>
      <c r="GE514" s="14"/>
      <c r="GF514" s="14"/>
      <c r="GG514" s="14"/>
      <c r="GH514" s="14"/>
      <c r="GI514" s="14"/>
      <c r="GJ514" s="14"/>
      <c r="GK514" s="14"/>
      <c r="GL514" s="14"/>
      <c r="GM514" s="14"/>
      <c r="GN514" s="14"/>
      <c r="GO514" s="14"/>
      <c r="GP514" s="14"/>
      <c r="GQ514" s="14"/>
      <c r="GR514" s="14"/>
      <c r="GS514" s="14"/>
      <c r="GT514" s="14"/>
      <c r="GU514" s="14"/>
      <c r="GV514" s="14"/>
      <c r="GW514" s="14"/>
      <c r="GX514" s="14"/>
      <c r="GY514" s="14"/>
      <c r="GZ514" s="14"/>
      <c r="HA514" s="14"/>
      <c r="HB514" s="14"/>
      <c r="HC514" s="14"/>
      <c r="HD514" s="14"/>
      <c r="HE514" s="14"/>
      <c r="HF514" s="14"/>
      <c r="HG514" s="14"/>
      <c r="HH514" s="14"/>
      <c r="HI514" s="14"/>
      <c r="HJ514" s="14"/>
      <c r="HK514" s="14"/>
      <c r="HL514" s="14"/>
      <c r="HM514" s="14"/>
      <c r="HN514" s="14"/>
      <c r="HO514" s="14"/>
      <c r="HP514" s="14"/>
      <c r="HQ514" s="14"/>
      <c r="HR514" s="14"/>
      <c r="HS514" s="14"/>
      <c r="HT514" s="14"/>
    </row>
    <row r="515" spans="2:228" hidden="1" x14ac:dyDescent="0.2">
      <c r="B515" s="905">
        <v>1</v>
      </c>
      <c r="R515" s="14"/>
      <c r="S515" s="14"/>
      <c r="T515" s="14"/>
      <c r="U515" s="14"/>
      <c r="V515" s="14"/>
      <c r="W515" s="14"/>
      <c r="X515" s="14"/>
      <c r="Y515" s="14"/>
      <c r="Z515" s="14"/>
      <c r="AA515" s="14"/>
      <c r="AB515" s="14"/>
      <c r="AC515" s="14"/>
      <c r="AD515" s="14"/>
      <c r="AE515" s="14"/>
      <c r="AF515" s="14"/>
      <c r="AG515" s="14"/>
      <c r="AH515" s="14"/>
      <c r="AI515" s="14"/>
      <c r="AJ515" s="14"/>
      <c r="AK515" s="14"/>
      <c r="AL515" s="14"/>
      <c r="AM515" s="14"/>
      <c r="AN515" s="14"/>
      <c r="AO515" s="14"/>
      <c r="AP515" s="14"/>
      <c r="AQ515" s="14"/>
      <c r="AR515" s="14"/>
      <c r="AS515" s="14"/>
      <c r="AT515" s="14"/>
      <c r="AU515" s="14"/>
      <c r="AV515" s="14"/>
      <c r="AW515" s="14"/>
      <c r="AX515" s="14"/>
      <c r="AY515" s="14"/>
      <c r="AZ515" s="14"/>
      <c r="BA515" s="14"/>
      <c r="BB515" s="14"/>
      <c r="BC515" s="14"/>
      <c r="BD515" s="14"/>
      <c r="BE515" s="14"/>
      <c r="BF515" s="14"/>
      <c r="BG515" s="14"/>
      <c r="BH515" s="14"/>
      <c r="BI515" s="14"/>
      <c r="BJ515" s="14"/>
      <c r="BK515" s="14"/>
      <c r="BL515" s="14"/>
      <c r="BM515" s="14"/>
      <c r="BN515" s="14"/>
      <c r="BO515" s="14"/>
      <c r="BP515" s="14"/>
      <c r="BQ515" s="14"/>
      <c r="BR515" s="14"/>
      <c r="BS515" s="14"/>
      <c r="BT515" s="14"/>
      <c r="BU515" s="14"/>
      <c r="BV515" s="14"/>
      <c r="BW515" s="14"/>
      <c r="BX515" s="14"/>
      <c r="BY515" s="14"/>
      <c r="BZ515" s="14"/>
      <c r="CA515" s="14"/>
      <c r="CB515" s="14"/>
      <c r="CC515" s="14"/>
      <c r="CD515" s="14"/>
      <c r="CE515" s="14"/>
      <c r="CF515" s="14"/>
      <c r="CG515" s="14"/>
      <c r="CH515" s="14"/>
      <c r="CI515" s="14"/>
      <c r="CJ515" s="14"/>
      <c r="CK515" s="14"/>
      <c r="CL515" s="14"/>
      <c r="CM515" s="14"/>
      <c r="CN515" s="14"/>
      <c r="CO515" s="14"/>
      <c r="CP515" s="14"/>
      <c r="CQ515" s="14"/>
      <c r="CR515" s="14"/>
      <c r="CS515" s="14"/>
      <c r="CT515" s="14"/>
      <c r="CU515" s="14"/>
      <c r="CV515" s="14"/>
      <c r="CW515" s="14"/>
      <c r="CX515" s="14"/>
      <c r="CY515" s="14"/>
      <c r="CZ515" s="14"/>
      <c r="DA515" s="14"/>
      <c r="DB515" s="14"/>
      <c r="DC515" s="14"/>
      <c r="DD515" s="14"/>
      <c r="DE515" s="14"/>
      <c r="DF515" s="14"/>
      <c r="DG515" s="14"/>
      <c r="DH515" s="14"/>
      <c r="DI515" s="14"/>
      <c r="DJ515" s="14"/>
      <c r="DK515" s="14"/>
      <c r="DL515" s="14"/>
      <c r="DM515" s="14"/>
      <c r="DN515" s="14"/>
      <c r="DO515" s="14"/>
      <c r="DP515" s="14"/>
      <c r="DQ515" s="14"/>
      <c r="DR515" s="14"/>
      <c r="DS515" s="14"/>
      <c r="DT515" s="14"/>
      <c r="DU515" s="14"/>
      <c r="DV515" s="14"/>
      <c r="DW515" s="14"/>
      <c r="DX515" s="14"/>
      <c r="DY515" s="14"/>
      <c r="DZ515" s="14"/>
      <c r="EA515" s="14"/>
      <c r="EB515" s="14"/>
      <c r="EC515" s="14"/>
      <c r="ED515" s="14"/>
      <c r="EE515" s="14"/>
      <c r="EF515" s="14"/>
      <c r="EG515" s="14"/>
      <c r="EH515" s="14"/>
      <c r="EI515" s="14"/>
      <c r="EJ515" s="14"/>
      <c r="EK515" s="14"/>
      <c r="EL515" s="14"/>
      <c r="EM515" s="14"/>
      <c r="EN515" s="14"/>
      <c r="EO515" s="14"/>
      <c r="EP515" s="14"/>
      <c r="EQ515" s="14"/>
      <c r="ER515" s="14"/>
      <c r="ES515" s="14"/>
      <c r="ET515" s="14"/>
      <c r="EU515" s="14"/>
      <c r="EV515" s="14"/>
      <c r="EW515" s="14"/>
      <c r="EX515" s="14"/>
      <c r="EY515" s="14"/>
      <c r="EZ515" s="14"/>
      <c r="FA515" s="14"/>
      <c r="FB515" s="14"/>
      <c r="FC515" s="14"/>
      <c r="FD515" s="14"/>
      <c r="FE515" s="14"/>
      <c r="FF515" s="14"/>
      <c r="FG515" s="14"/>
      <c r="FH515" s="14"/>
      <c r="FI515" s="14"/>
      <c r="FJ515" s="14"/>
      <c r="FK515" s="14"/>
      <c r="FL515" s="14"/>
      <c r="FM515" s="14"/>
      <c r="FN515" s="14"/>
      <c r="FO515" s="14"/>
      <c r="FP515" s="14"/>
      <c r="FQ515" s="14"/>
      <c r="FR515" s="14"/>
      <c r="FS515" s="14"/>
      <c r="FT515" s="14"/>
      <c r="FU515" s="14"/>
      <c r="FV515" s="14"/>
      <c r="FW515" s="14"/>
      <c r="FX515" s="14"/>
      <c r="FY515" s="14"/>
      <c r="FZ515" s="14"/>
      <c r="GA515" s="14"/>
      <c r="GB515" s="14"/>
      <c r="GC515" s="14"/>
      <c r="GD515" s="14"/>
      <c r="GE515" s="14"/>
      <c r="GF515" s="14"/>
      <c r="GG515" s="14"/>
      <c r="GH515" s="14"/>
      <c r="GI515" s="14"/>
      <c r="GJ515" s="14"/>
      <c r="GK515" s="14"/>
      <c r="GL515" s="14"/>
      <c r="GM515" s="14"/>
      <c r="GN515" s="14"/>
      <c r="GO515" s="14"/>
      <c r="GP515" s="14"/>
      <c r="GQ515" s="14"/>
      <c r="GR515" s="14"/>
      <c r="GS515" s="14"/>
      <c r="GT515" s="14"/>
      <c r="GU515" s="14"/>
      <c r="GV515" s="14"/>
      <c r="GW515" s="14"/>
      <c r="GX515" s="14"/>
      <c r="GY515" s="14"/>
      <c r="GZ515" s="14"/>
      <c r="HA515" s="14"/>
      <c r="HB515" s="14"/>
      <c r="HC515" s="14"/>
      <c r="HD515" s="14"/>
      <c r="HE515" s="14"/>
      <c r="HF515" s="14"/>
      <c r="HG515" s="14"/>
      <c r="HH515" s="14"/>
      <c r="HI515" s="14"/>
      <c r="HJ515" s="14"/>
      <c r="HK515" s="14"/>
      <c r="HL515" s="14"/>
      <c r="HM515" s="14"/>
      <c r="HN515" s="14"/>
      <c r="HO515" s="14"/>
      <c r="HP515" s="14"/>
      <c r="HQ515" s="14"/>
      <c r="HR515" s="14"/>
      <c r="HS515" s="14"/>
      <c r="HT515" s="14"/>
    </row>
    <row r="516" spans="2:228" hidden="1" x14ac:dyDescent="0.2">
      <c r="B516" s="905">
        <v>2</v>
      </c>
      <c r="R516" s="14"/>
      <c r="S516" s="14"/>
      <c r="T516" s="14"/>
      <c r="U516" s="14"/>
      <c r="V516" s="14"/>
      <c r="W516" s="14"/>
      <c r="X516" s="14"/>
      <c r="Y516" s="14"/>
      <c r="Z516" s="14"/>
      <c r="AA516" s="14"/>
      <c r="AB516" s="14"/>
      <c r="AC516" s="14"/>
      <c r="AD516" s="14"/>
      <c r="AE516" s="14"/>
      <c r="AF516" s="14"/>
      <c r="AG516" s="14"/>
      <c r="AH516" s="14"/>
      <c r="AI516" s="14"/>
      <c r="AJ516" s="14"/>
      <c r="AK516" s="14"/>
      <c r="AL516" s="14"/>
      <c r="AM516" s="14"/>
      <c r="AN516" s="14"/>
      <c r="AO516" s="14"/>
      <c r="AP516" s="14"/>
      <c r="AQ516" s="14"/>
      <c r="AR516" s="14"/>
      <c r="AS516" s="14"/>
      <c r="AT516" s="14"/>
      <c r="AU516" s="14"/>
      <c r="AV516" s="14"/>
      <c r="AW516" s="14"/>
      <c r="AX516" s="14"/>
      <c r="AY516" s="14"/>
      <c r="AZ516" s="14"/>
      <c r="BA516" s="14"/>
      <c r="BB516" s="14"/>
      <c r="BC516" s="14"/>
      <c r="BD516" s="14"/>
      <c r="BE516" s="14"/>
      <c r="BF516" s="14"/>
      <c r="BG516" s="14"/>
      <c r="BH516" s="14"/>
      <c r="BI516" s="14"/>
      <c r="BJ516" s="14"/>
      <c r="BK516" s="14"/>
      <c r="BL516" s="14"/>
      <c r="BM516" s="14"/>
      <c r="BN516" s="14"/>
      <c r="BO516" s="14"/>
      <c r="BP516" s="14"/>
      <c r="BQ516" s="14"/>
      <c r="BR516" s="14"/>
      <c r="BS516" s="14"/>
      <c r="BT516" s="14"/>
      <c r="BU516" s="14"/>
      <c r="BV516" s="14"/>
      <c r="BW516" s="14"/>
      <c r="BX516" s="14"/>
      <c r="BY516" s="14"/>
      <c r="BZ516" s="14"/>
      <c r="CA516" s="14"/>
      <c r="CB516" s="14"/>
      <c r="CC516" s="14"/>
      <c r="CD516" s="14"/>
      <c r="CE516" s="14"/>
      <c r="CF516" s="14"/>
      <c r="CG516" s="14"/>
      <c r="CH516" s="14"/>
      <c r="CI516" s="14"/>
      <c r="CJ516" s="14"/>
      <c r="CK516" s="14"/>
      <c r="CL516" s="14"/>
      <c r="CM516" s="14"/>
      <c r="CN516" s="14"/>
      <c r="CO516" s="14"/>
      <c r="CP516" s="14"/>
      <c r="CQ516" s="14"/>
      <c r="CR516" s="14"/>
      <c r="CS516" s="14"/>
      <c r="CT516" s="14"/>
      <c r="CU516" s="14"/>
      <c r="CV516" s="14"/>
      <c r="CW516" s="14"/>
      <c r="CX516" s="14"/>
      <c r="CY516" s="14"/>
      <c r="CZ516" s="14"/>
      <c r="DA516" s="14"/>
      <c r="DB516" s="14"/>
      <c r="DC516" s="14"/>
      <c r="DD516" s="14"/>
      <c r="DE516" s="14"/>
      <c r="DF516" s="14"/>
      <c r="DG516" s="14"/>
      <c r="DH516" s="14"/>
      <c r="DI516" s="14"/>
      <c r="DJ516" s="14"/>
      <c r="DK516" s="14"/>
      <c r="DL516" s="14"/>
      <c r="DM516" s="14"/>
      <c r="DN516" s="14"/>
      <c r="DO516" s="14"/>
      <c r="DP516" s="14"/>
      <c r="DQ516" s="14"/>
      <c r="DR516" s="14"/>
      <c r="DS516" s="14"/>
      <c r="DT516" s="14"/>
      <c r="DU516" s="14"/>
      <c r="DV516" s="14"/>
      <c r="DW516" s="14"/>
      <c r="DX516" s="14"/>
      <c r="DY516" s="14"/>
      <c r="DZ516" s="14"/>
      <c r="EA516" s="14"/>
      <c r="EB516" s="14"/>
      <c r="EC516" s="14"/>
      <c r="ED516" s="14"/>
      <c r="EE516" s="14"/>
      <c r="EF516" s="14"/>
      <c r="EG516" s="14"/>
      <c r="EH516" s="14"/>
      <c r="EI516" s="14"/>
      <c r="EJ516" s="14"/>
      <c r="EK516" s="14"/>
      <c r="EL516" s="14"/>
      <c r="EM516" s="14"/>
      <c r="EN516" s="14"/>
      <c r="EO516" s="14"/>
      <c r="EP516" s="14"/>
      <c r="EQ516" s="14"/>
      <c r="ER516" s="14"/>
      <c r="ES516" s="14"/>
      <c r="ET516" s="14"/>
      <c r="EU516" s="14"/>
      <c r="EV516" s="14"/>
      <c r="EW516" s="14"/>
      <c r="EX516" s="14"/>
      <c r="EY516" s="14"/>
      <c r="EZ516" s="14"/>
      <c r="FA516" s="14"/>
      <c r="FB516" s="14"/>
      <c r="FC516" s="14"/>
      <c r="FD516" s="14"/>
      <c r="FE516" s="14"/>
      <c r="FF516" s="14"/>
      <c r="FG516" s="14"/>
      <c r="FH516" s="14"/>
      <c r="FI516" s="14"/>
      <c r="FJ516" s="14"/>
      <c r="FK516" s="14"/>
      <c r="FL516" s="14"/>
      <c r="FM516" s="14"/>
      <c r="FN516" s="14"/>
      <c r="FO516" s="14"/>
      <c r="FP516" s="14"/>
      <c r="FQ516" s="14"/>
      <c r="FR516" s="14"/>
      <c r="FS516" s="14"/>
      <c r="FT516" s="14"/>
      <c r="FU516" s="14"/>
      <c r="FV516" s="14"/>
      <c r="FW516" s="14"/>
      <c r="FX516" s="14"/>
      <c r="FY516" s="14"/>
      <c r="FZ516" s="14"/>
      <c r="GA516" s="14"/>
      <c r="GB516" s="14"/>
      <c r="GC516" s="14"/>
      <c r="GD516" s="14"/>
      <c r="GE516" s="14"/>
      <c r="GF516" s="14"/>
      <c r="GG516" s="14"/>
      <c r="GH516" s="14"/>
      <c r="GI516" s="14"/>
      <c r="GJ516" s="14"/>
      <c r="GK516" s="14"/>
      <c r="GL516" s="14"/>
      <c r="GM516" s="14"/>
      <c r="GN516" s="14"/>
      <c r="GO516" s="14"/>
      <c r="GP516" s="14"/>
      <c r="GQ516" s="14"/>
      <c r="GR516" s="14"/>
      <c r="GS516" s="14"/>
      <c r="GT516" s="14"/>
      <c r="GU516" s="14"/>
      <c r="GV516" s="14"/>
      <c r="GW516" s="14"/>
      <c r="GX516" s="14"/>
      <c r="GY516" s="14"/>
      <c r="GZ516" s="14"/>
      <c r="HA516" s="14"/>
      <c r="HB516" s="14"/>
      <c r="HC516" s="14"/>
      <c r="HD516" s="14"/>
      <c r="HE516" s="14"/>
      <c r="HF516" s="14"/>
      <c r="HG516" s="14"/>
      <c r="HH516" s="14"/>
      <c r="HI516" s="14"/>
      <c r="HJ516" s="14"/>
      <c r="HK516" s="14"/>
      <c r="HL516" s="14"/>
      <c r="HM516" s="14"/>
      <c r="HN516" s="14"/>
      <c r="HO516" s="14"/>
      <c r="HP516" s="14"/>
      <c r="HQ516" s="14"/>
      <c r="HR516" s="14"/>
      <c r="HS516" s="14"/>
      <c r="HT516" s="14"/>
    </row>
    <row r="517" spans="2:228" hidden="1" x14ac:dyDescent="0.2">
      <c r="B517" s="905">
        <v>3</v>
      </c>
    </row>
    <row r="518" spans="2:228" hidden="1" x14ac:dyDescent="0.2">
      <c r="B518" s="905">
        <v>4</v>
      </c>
    </row>
    <row r="519" spans="2:228" hidden="1" x14ac:dyDescent="0.2">
      <c r="B519" s="905">
        <v>5</v>
      </c>
    </row>
    <row r="520" spans="2:228" hidden="1" x14ac:dyDescent="0.2">
      <c r="B520" s="905">
        <v>6</v>
      </c>
    </row>
    <row r="521" spans="2:228" hidden="1" x14ac:dyDescent="0.2">
      <c r="B521" s="905">
        <v>7</v>
      </c>
    </row>
    <row r="522" spans="2:228" hidden="1" x14ac:dyDescent="0.2">
      <c r="B522" s="905">
        <v>8</v>
      </c>
    </row>
    <row r="523" spans="2:228" hidden="1" x14ac:dyDescent="0.2">
      <c r="B523" s="905">
        <v>9</v>
      </c>
    </row>
    <row r="524" spans="2:228" hidden="1" x14ac:dyDescent="0.2">
      <c r="B524" s="905">
        <v>10</v>
      </c>
    </row>
    <row r="525" spans="2:228" hidden="1" x14ac:dyDescent="0.2">
      <c r="B525" s="905">
        <v>11</v>
      </c>
    </row>
    <row r="526" spans="2:228" hidden="1" x14ac:dyDescent="0.2">
      <c r="B526" s="905">
        <v>12</v>
      </c>
    </row>
    <row r="527" spans="2:228" hidden="1" x14ac:dyDescent="0.2">
      <c r="B527" s="905">
        <v>13</v>
      </c>
    </row>
    <row r="528" spans="2:228" hidden="1" x14ac:dyDescent="0.2">
      <c r="B528" s="905">
        <v>14</v>
      </c>
    </row>
    <row r="529" spans="2:2" hidden="1" x14ac:dyDescent="0.2">
      <c r="B529" s="905">
        <v>15</v>
      </c>
    </row>
    <row r="530" spans="2:2" hidden="1" x14ac:dyDescent="0.2">
      <c r="B530" s="905">
        <v>16</v>
      </c>
    </row>
    <row r="531" spans="2:2" hidden="1" x14ac:dyDescent="0.2">
      <c r="B531" s="905">
        <v>17</v>
      </c>
    </row>
    <row r="532" spans="2:2" hidden="1" x14ac:dyDescent="0.2">
      <c r="B532" s="905">
        <v>18</v>
      </c>
    </row>
    <row r="533" spans="2:2" hidden="1" x14ac:dyDescent="0.2">
      <c r="B533" s="905">
        <v>19</v>
      </c>
    </row>
    <row r="534" spans="2:2" hidden="1" x14ac:dyDescent="0.2">
      <c r="B534" s="905">
        <v>20</v>
      </c>
    </row>
    <row r="535" spans="2:2" hidden="1" x14ac:dyDescent="0.2">
      <c r="B535" s="905">
        <v>21</v>
      </c>
    </row>
    <row r="536" spans="2:2" hidden="1" x14ac:dyDescent="0.2">
      <c r="B536" s="905">
        <v>22</v>
      </c>
    </row>
    <row r="537" spans="2:2" hidden="1" x14ac:dyDescent="0.2">
      <c r="B537" s="905">
        <v>23</v>
      </c>
    </row>
    <row r="538" spans="2:2" hidden="1" x14ac:dyDescent="0.2">
      <c r="B538" s="905">
        <v>24</v>
      </c>
    </row>
    <row r="539" spans="2:2" hidden="1" x14ac:dyDescent="0.2">
      <c r="B539" s="905">
        <v>25</v>
      </c>
    </row>
    <row r="540" spans="2:2" hidden="1" x14ac:dyDescent="0.2">
      <c r="B540" s="905">
        <v>26</v>
      </c>
    </row>
    <row r="541" spans="2:2" hidden="1" x14ac:dyDescent="0.2">
      <c r="B541" s="905">
        <v>27</v>
      </c>
    </row>
    <row r="542" spans="2:2" hidden="1" x14ac:dyDescent="0.2">
      <c r="B542" s="905">
        <v>28</v>
      </c>
    </row>
    <row r="543" spans="2:2" hidden="1" x14ac:dyDescent="0.2">
      <c r="B543" s="905">
        <v>29</v>
      </c>
    </row>
    <row r="544" spans="2:2" hidden="1" x14ac:dyDescent="0.2">
      <c r="B544" s="905">
        <v>30</v>
      </c>
    </row>
    <row r="545" spans="2:2" hidden="1" x14ac:dyDescent="0.2">
      <c r="B545" s="905">
        <v>31</v>
      </c>
    </row>
    <row r="546" spans="2:2" hidden="1" x14ac:dyDescent="0.2">
      <c r="B546" s="905">
        <v>32</v>
      </c>
    </row>
    <row r="547" spans="2:2" hidden="1" x14ac:dyDescent="0.2">
      <c r="B547" s="905">
        <v>33</v>
      </c>
    </row>
    <row r="548" spans="2:2" hidden="1" x14ac:dyDescent="0.2">
      <c r="B548" s="905">
        <v>34</v>
      </c>
    </row>
    <row r="549" spans="2:2" hidden="1" x14ac:dyDescent="0.2">
      <c r="B549" s="905">
        <v>35</v>
      </c>
    </row>
    <row r="550" spans="2:2" hidden="1" x14ac:dyDescent="0.2">
      <c r="B550" s="905">
        <v>36</v>
      </c>
    </row>
    <row r="551" spans="2:2" hidden="1" x14ac:dyDescent="0.2">
      <c r="B551" s="905">
        <v>37</v>
      </c>
    </row>
    <row r="552" spans="2:2" hidden="1" x14ac:dyDescent="0.2">
      <c r="B552" s="905">
        <v>38</v>
      </c>
    </row>
    <row r="553" spans="2:2" hidden="1" x14ac:dyDescent="0.2">
      <c r="B553" s="905">
        <v>39</v>
      </c>
    </row>
    <row r="554" spans="2:2" hidden="1" x14ac:dyDescent="0.2">
      <c r="B554" s="905">
        <v>40</v>
      </c>
    </row>
    <row r="555" spans="2:2" hidden="1" x14ac:dyDescent="0.2">
      <c r="B555" s="905">
        <v>41</v>
      </c>
    </row>
    <row r="556" spans="2:2" hidden="1" x14ac:dyDescent="0.2">
      <c r="B556" s="905">
        <v>42</v>
      </c>
    </row>
    <row r="557" spans="2:2" hidden="1" x14ac:dyDescent="0.2">
      <c r="B557" s="905">
        <v>43</v>
      </c>
    </row>
    <row r="558" spans="2:2" hidden="1" x14ac:dyDescent="0.2">
      <c r="B558" s="905">
        <v>44</v>
      </c>
    </row>
    <row r="559" spans="2:2" hidden="1" x14ac:dyDescent="0.2">
      <c r="B559" s="905">
        <v>45</v>
      </c>
    </row>
    <row r="560" spans="2:2" hidden="1" x14ac:dyDescent="0.2">
      <c r="B560" s="905">
        <v>46</v>
      </c>
    </row>
    <row r="561" spans="2:2" hidden="1" x14ac:dyDescent="0.2">
      <c r="B561" s="905">
        <v>47</v>
      </c>
    </row>
    <row r="562" spans="2:2" hidden="1" x14ac:dyDescent="0.2">
      <c r="B562" s="905">
        <v>48</v>
      </c>
    </row>
    <row r="563" spans="2:2" hidden="1" x14ac:dyDescent="0.2">
      <c r="B563" s="905">
        <v>49</v>
      </c>
    </row>
    <row r="564" spans="2:2" hidden="1" x14ac:dyDescent="0.2">
      <c r="B564" s="905">
        <v>50</v>
      </c>
    </row>
    <row r="565" spans="2:2" hidden="1" x14ac:dyDescent="0.2">
      <c r="B565" s="905">
        <v>51</v>
      </c>
    </row>
    <row r="566" spans="2:2" hidden="1" x14ac:dyDescent="0.2">
      <c r="B566" s="905">
        <v>52</v>
      </c>
    </row>
    <row r="567" spans="2:2" hidden="1" x14ac:dyDescent="0.2">
      <c r="B567" s="905">
        <v>53</v>
      </c>
    </row>
    <row r="568" spans="2:2" hidden="1" x14ac:dyDescent="0.2">
      <c r="B568" s="905">
        <v>54</v>
      </c>
    </row>
    <row r="569" spans="2:2" hidden="1" x14ac:dyDescent="0.2">
      <c r="B569" s="905">
        <v>55</v>
      </c>
    </row>
    <row r="570" spans="2:2" hidden="1" x14ac:dyDescent="0.2">
      <c r="B570" s="905">
        <v>56</v>
      </c>
    </row>
    <row r="571" spans="2:2" hidden="1" x14ac:dyDescent="0.2">
      <c r="B571" s="905">
        <v>57</v>
      </c>
    </row>
    <row r="572" spans="2:2" hidden="1" x14ac:dyDescent="0.2">
      <c r="B572" s="905">
        <v>58</v>
      </c>
    </row>
    <row r="573" spans="2:2" hidden="1" x14ac:dyDescent="0.2">
      <c r="B573" s="905">
        <v>59</v>
      </c>
    </row>
    <row r="574" spans="2:2" hidden="1" x14ac:dyDescent="0.2">
      <c r="B574" s="905">
        <v>60</v>
      </c>
    </row>
    <row r="575" spans="2:2" hidden="1" x14ac:dyDescent="0.2">
      <c r="B575" s="905">
        <v>61</v>
      </c>
    </row>
    <row r="576" spans="2:2" hidden="1" x14ac:dyDescent="0.2">
      <c r="B576" s="905">
        <v>62</v>
      </c>
    </row>
    <row r="577" spans="2:2" hidden="1" x14ac:dyDescent="0.2">
      <c r="B577" s="905">
        <v>63</v>
      </c>
    </row>
    <row r="578" spans="2:2" hidden="1" x14ac:dyDescent="0.2">
      <c r="B578" s="905">
        <v>64</v>
      </c>
    </row>
    <row r="579" spans="2:2" hidden="1" x14ac:dyDescent="0.2">
      <c r="B579" s="905">
        <v>65</v>
      </c>
    </row>
    <row r="580" spans="2:2" hidden="1" x14ac:dyDescent="0.2">
      <c r="B580" s="905">
        <v>66</v>
      </c>
    </row>
    <row r="581" spans="2:2" hidden="1" x14ac:dyDescent="0.2">
      <c r="B581" s="905">
        <v>67</v>
      </c>
    </row>
    <row r="582" spans="2:2" hidden="1" x14ac:dyDescent="0.2">
      <c r="B582" s="905">
        <v>68</v>
      </c>
    </row>
    <row r="583" spans="2:2" hidden="1" x14ac:dyDescent="0.2">
      <c r="B583" s="905">
        <v>69</v>
      </c>
    </row>
    <row r="584" spans="2:2" hidden="1" x14ac:dyDescent="0.2">
      <c r="B584" s="905">
        <v>70</v>
      </c>
    </row>
    <row r="585" spans="2:2" hidden="1" x14ac:dyDescent="0.2">
      <c r="B585" s="905">
        <v>71</v>
      </c>
    </row>
    <row r="586" spans="2:2" hidden="1" x14ac:dyDescent="0.2">
      <c r="B586" s="905">
        <v>72</v>
      </c>
    </row>
    <row r="587" spans="2:2" hidden="1" x14ac:dyDescent="0.2">
      <c r="B587" s="905">
        <v>73</v>
      </c>
    </row>
    <row r="588" spans="2:2" hidden="1" x14ac:dyDescent="0.2">
      <c r="B588" s="905">
        <v>74</v>
      </c>
    </row>
    <row r="589" spans="2:2" hidden="1" x14ac:dyDescent="0.2">
      <c r="B589" s="905">
        <v>75</v>
      </c>
    </row>
    <row r="590" spans="2:2" hidden="1" x14ac:dyDescent="0.2">
      <c r="B590" s="905">
        <v>76</v>
      </c>
    </row>
    <row r="591" spans="2:2" hidden="1" x14ac:dyDescent="0.2">
      <c r="B591" s="905">
        <v>77</v>
      </c>
    </row>
    <row r="592" spans="2:2" hidden="1" x14ac:dyDescent="0.2">
      <c r="B592" s="905">
        <v>78</v>
      </c>
    </row>
    <row r="593" spans="2:2" hidden="1" x14ac:dyDescent="0.2">
      <c r="B593" s="905">
        <v>79</v>
      </c>
    </row>
    <row r="594" spans="2:2" hidden="1" x14ac:dyDescent="0.2">
      <c r="B594" s="905">
        <v>80</v>
      </c>
    </row>
    <row r="595" spans="2:2" hidden="1" x14ac:dyDescent="0.2">
      <c r="B595" s="905">
        <v>81</v>
      </c>
    </row>
    <row r="596" spans="2:2" hidden="1" x14ac:dyDescent="0.2">
      <c r="B596" s="905">
        <v>82</v>
      </c>
    </row>
    <row r="597" spans="2:2" hidden="1" x14ac:dyDescent="0.2">
      <c r="B597" s="905">
        <v>83</v>
      </c>
    </row>
    <row r="598" spans="2:2" hidden="1" x14ac:dyDescent="0.2">
      <c r="B598" s="905">
        <v>84</v>
      </c>
    </row>
    <row r="599" spans="2:2" hidden="1" x14ac:dyDescent="0.2">
      <c r="B599" s="905">
        <v>85</v>
      </c>
    </row>
    <row r="600" spans="2:2" hidden="1" x14ac:dyDescent="0.2">
      <c r="B600" s="905">
        <v>86</v>
      </c>
    </row>
    <row r="601" spans="2:2" hidden="1" x14ac:dyDescent="0.2">
      <c r="B601" s="905">
        <v>87</v>
      </c>
    </row>
    <row r="602" spans="2:2" hidden="1" x14ac:dyDescent="0.2">
      <c r="B602" s="905">
        <v>88</v>
      </c>
    </row>
    <row r="603" spans="2:2" hidden="1" x14ac:dyDescent="0.2">
      <c r="B603" s="905">
        <v>89</v>
      </c>
    </row>
    <row r="604" spans="2:2" hidden="1" x14ac:dyDescent="0.2">
      <c r="B604" s="905">
        <v>90</v>
      </c>
    </row>
    <row r="605" spans="2:2" hidden="1" x14ac:dyDescent="0.2">
      <c r="B605" s="905">
        <v>91</v>
      </c>
    </row>
    <row r="606" spans="2:2" hidden="1" x14ac:dyDescent="0.2">
      <c r="B606" s="905">
        <v>92</v>
      </c>
    </row>
    <row r="607" spans="2:2" hidden="1" x14ac:dyDescent="0.2">
      <c r="B607" s="905">
        <v>93</v>
      </c>
    </row>
    <row r="608" spans="2:2" hidden="1" x14ac:dyDescent="0.2">
      <c r="B608" s="905">
        <v>94</v>
      </c>
    </row>
    <row r="609" spans="2:2" hidden="1" x14ac:dyDescent="0.2">
      <c r="B609" s="905">
        <v>95</v>
      </c>
    </row>
    <row r="610" spans="2:2" hidden="1" x14ac:dyDescent="0.2">
      <c r="B610" s="905">
        <v>96</v>
      </c>
    </row>
    <row r="611" spans="2:2" hidden="1" x14ac:dyDescent="0.2">
      <c r="B611" s="905">
        <v>97</v>
      </c>
    </row>
    <row r="612" spans="2:2" hidden="1" x14ac:dyDescent="0.2">
      <c r="B612" s="905">
        <v>98</v>
      </c>
    </row>
    <row r="613" spans="2:2" hidden="1" x14ac:dyDescent="0.2">
      <c r="B613" s="905">
        <v>99</v>
      </c>
    </row>
    <row r="614" spans="2:2" hidden="1" x14ac:dyDescent="0.2">
      <c r="B614" s="905">
        <v>100</v>
      </c>
    </row>
    <row r="615" spans="2:2" hidden="1" x14ac:dyDescent="0.2">
      <c r="B615" s="905">
        <v>101</v>
      </c>
    </row>
    <row r="616" spans="2:2" hidden="1" x14ac:dyDescent="0.2">
      <c r="B616" s="905">
        <v>102</v>
      </c>
    </row>
    <row r="617" spans="2:2" hidden="1" x14ac:dyDescent="0.2">
      <c r="B617" s="905">
        <v>103</v>
      </c>
    </row>
    <row r="618" spans="2:2" hidden="1" x14ac:dyDescent="0.2">
      <c r="B618" s="905">
        <v>104</v>
      </c>
    </row>
    <row r="619" spans="2:2" hidden="1" x14ac:dyDescent="0.2">
      <c r="B619" s="905">
        <v>105</v>
      </c>
    </row>
    <row r="620" spans="2:2" hidden="1" x14ac:dyDescent="0.2">
      <c r="B620" s="905">
        <v>106</v>
      </c>
    </row>
    <row r="621" spans="2:2" hidden="1" x14ac:dyDescent="0.2">
      <c r="B621" s="905">
        <v>107</v>
      </c>
    </row>
    <row r="622" spans="2:2" hidden="1" x14ac:dyDescent="0.2">
      <c r="B622" s="905">
        <v>108</v>
      </c>
    </row>
    <row r="623" spans="2:2" hidden="1" x14ac:dyDescent="0.2">
      <c r="B623" s="905">
        <v>109</v>
      </c>
    </row>
    <row r="624" spans="2:2" hidden="1" x14ac:dyDescent="0.2">
      <c r="B624" s="905">
        <v>110</v>
      </c>
    </row>
    <row r="625" spans="2:2" hidden="1" x14ac:dyDescent="0.2">
      <c r="B625" s="905">
        <v>111</v>
      </c>
    </row>
    <row r="626" spans="2:2" hidden="1" x14ac:dyDescent="0.2">
      <c r="B626" s="905">
        <v>112</v>
      </c>
    </row>
    <row r="627" spans="2:2" hidden="1" x14ac:dyDescent="0.2">
      <c r="B627" s="905">
        <v>113</v>
      </c>
    </row>
    <row r="628" spans="2:2" hidden="1" x14ac:dyDescent="0.2">
      <c r="B628" s="905">
        <v>114</v>
      </c>
    </row>
    <row r="629" spans="2:2" hidden="1" x14ac:dyDescent="0.2">
      <c r="B629" s="905">
        <v>115</v>
      </c>
    </row>
    <row r="630" spans="2:2" hidden="1" x14ac:dyDescent="0.2">
      <c r="B630" s="905">
        <v>116</v>
      </c>
    </row>
    <row r="631" spans="2:2" hidden="1" x14ac:dyDescent="0.2">
      <c r="B631" s="905">
        <v>117</v>
      </c>
    </row>
    <row r="632" spans="2:2" hidden="1" x14ac:dyDescent="0.2">
      <c r="B632" s="905">
        <v>118</v>
      </c>
    </row>
    <row r="633" spans="2:2" hidden="1" x14ac:dyDescent="0.2">
      <c r="B633" s="905">
        <v>119</v>
      </c>
    </row>
    <row r="634" spans="2:2" hidden="1" x14ac:dyDescent="0.2">
      <c r="B634" s="905">
        <v>120</v>
      </c>
    </row>
    <row r="635" spans="2:2" hidden="1" x14ac:dyDescent="0.2">
      <c r="B635" s="905">
        <v>121</v>
      </c>
    </row>
    <row r="636" spans="2:2" hidden="1" x14ac:dyDescent="0.2">
      <c r="B636" s="905">
        <v>122</v>
      </c>
    </row>
    <row r="637" spans="2:2" hidden="1" x14ac:dyDescent="0.2">
      <c r="B637" s="905">
        <v>123</v>
      </c>
    </row>
    <row r="638" spans="2:2" hidden="1" x14ac:dyDescent="0.2">
      <c r="B638" s="905">
        <v>124</v>
      </c>
    </row>
    <row r="639" spans="2:2" hidden="1" x14ac:dyDescent="0.2">
      <c r="B639" s="905">
        <v>125</v>
      </c>
    </row>
    <row r="640" spans="2:2" hidden="1" x14ac:dyDescent="0.2">
      <c r="B640" s="905">
        <v>126</v>
      </c>
    </row>
    <row r="641" spans="2:2" hidden="1" x14ac:dyDescent="0.2">
      <c r="B641" s="905">
        <v>127</v>
      </c>
    </row>
    <row r="642" spans="2:2" hidden="1" x14ac:dyDescent="0.2">
      <c r="B642" s="905">
        <v>128</v>
      </c>
    </row>
    <row r="643" spans="2:2" hidden="1" x14ac:dyDescent="0.2">
      <c r="B643" s="905">
        <v>129</v>
      </c>
    </row>
    <row r="644" spans="2:2" hidden="1" x14ac:dyDescent="0.2">
      <c r="B644" s="905">
        <v>130</v>
      </c>
    </row>
    <row r="645" spans="2:2" hidden="1" x14ac:dyDescent="0.2">
      <c r="B645" s="905">
        <v>131</v>
      </c>
    </row>
    <row r="646" spans="2:2" hidden="1" x14ac:dyDescent="0.2">
      <c r="B646" s="905">
        <v>132</v>
      </c>
    </row>
    <row r="647" spans="2:2" hidden="1" x14ac:dyDescent="0.2">
      <c r="B647" s="905">
        <v>133</v>
      </c>
    </row>
    <row r="648" spans="2:2" hidden="1" x14ac:dyDescent="0.2">
      <c r="B648" s="905">
        <v>134</v>
      </c>
    </row>
    <row r="649" spans="2:2" hidden="1" x14ac:dyDescent="0.2">
      <c r="B649" s="905">
        <v>135</v>
      </c>
    </row>
    <row r="650" spans="2:2" hidden="1" x14ac:dyDescent="0.2">
      <c r="B650" s="905">
        <v>136</v>
      </c>
    </row>
    <row r="651" spans="2:2" hidden="1" x14ac:dyDescent="0.2">
      <c r="B651" s="905">
        <v>137</v>
      </c>
    </row>
    <row r="652" spans="2:2" hidden="1" x14ac:dyDescent="0.2">
      <c r="B652" s="905">
        <v>138</v>
      </c>
    </row>
    <row r="653" spans="2:2" hidden="1" x14ac:dyDescent="0.2">
      <c r="B653" s="905">
        <v>139</v>
      </c>
    </row>
    <row r="654" spans="2:2" hidden="1" x14ac:dyDescent="0.2">
      <c r="B654" s="905">
        <v>140</v>
      </c>
    </row>
    <row r="655" spans="2:2" hidden="1" x14ac:dyDescent="0.2">
      <c r="B655" s="905">
        <v>141</v>
      </c>
    </row>
    <row r="656" spans="2:2" hidden="1" x14ac:dyDescent="0.2">
      <c r="B656" s="905">
        <v>142</v>
      </c>
    </row>
    <row r="657" spans="2:2" hidden="1" x14ac:dyDescent="0.2">
      <c r="B657" s="905">
        <v>143</v>
      </c>
    </row>
    <row r="658" spans="2:2" hidden="1" x14ac:dyDescent="0.2">
      <c r="B658" s="905">
        <v>144</v>
      </c>
    </row>
    <row r="659" spans="2:2" hidden="1" x14ac:dyDescent="0.2">
      <c r="B659" s="905">
        <v>145</v>
      </c>
    </row>
    <row r="660" spans="2:2" hidden="1" x14ac:dyDescent="0.2">
      <c r="B660" s="905">
        <v>146</v>
      </c>
    </row>
    <row r="661" spans="2:2" hidden="1" x14ac:dyDescent="0.2">
      <c r="B661" s="905">
        <v>147</v>
      </c>
    </row>
    <row r="662" spans="2:2" hidden="1" x14ac:dyDescent="0.2">
      <c r="B662" s="905">
        <v>148</v>
      </c>
    </row>
    <row r="663" spans="2:2" hidden="1" x14ac:dyDescent="0.2">
      <c r="B663" s="905">
        <v>149</v>
      </c>
    </row>
    <row r="664" spans="2:2" hidden="1" x14ac:dyDescent="0.2">
      <c r="B664" s="905">
        <v>150</v>
      </c>
    </row>
    <row r="665" spans="2:2" hidden="1" x14ac:dyDescent="0.2"/>
    <row r="666" spans="2:2" hidden="1" x14ac:dyDescent="0.2"/>
    <row r="667" spans="2:2" hidden="1" x14ac:dyDescent="0.2"/>
    <row r="668" spans="2:2" hidden="1" x14ac:dyDescent="0.2"/>
    <row r="669" spans="2:2" hidden="1" x14ac:dyDescent="0.2"/>
    <row r="670" spans="2:2" hidden="1" x14ac:dyDescent="0.2"/>
  </sheetData>
  <sheetProtection sheet="1" objects="1" scenarios="1"/>
  <mergeCells count="1221">
    <mergeCell ref="G382:I382"/>
    <mergeCell ref="J382:K382"/>
    <mergeCell ref="J384:K384"/>
    <mergeCell ref="L383:O383"/>
    <mergeCell ref="L384:O384"/>
    <mergeCell ref="E232:K233"/>
    <mergeCell ref="B232:B233"/>
    <mergeCell ref="B373:O373"/>
    <mergeCell ref="J346:K346"/>
    <mergeCell ref="J343:K343"/>
    <mergeCell ref="G350:I350"/>
    <mergeCell ref="B335:O335"/>
    <mergeCell ref="G349:I349"/>
    <mergeCell ref="B349:D349"/>
    <mergeCell ref="E348:F348"/>
    <mergeCell ref="E351:F351"/>
    <mergeCell ref="R406:R407"/>
    <mergeCell ref="L362:O367"/>
    <mergeCell ref="B368:O368"/>
    <mergeCell ref="J351:K351"/>
    <mergeCell ref="J349:K349"/>
    <mergeCell ref="B352:D352"/>
    <mergeCell ref="B350:D350"/>
    <mergeCell ref="G356:I356"/>
    <mergeCell ref="B357:D357"/>
    <mergeCell ref="G347:I347"/>
    <mergeCell ref="J348:K348"/>
    <mergeCell ref="G358:I358"/>
    <mergeCell ref="G357:I357"/>
    <mergeCell ref="B348:D348"/>
    <mergeCell ref="G257:O257"/>
    <mergeCell ref="F250:G250"/>
    <mergeCell ref="Y11:AB11"/>
    <mergeCell ref="K20:N20"/>
    <mergeCell ref="K21:O21"/>
    <mergeCell ref="E20:J21"/>
    <mergeCell ref="C21:D21"/>
    <mergeCell ref="K178:N178"/>
    <mergeCell ref="K179:O179"/>
    <mergeCell ref="K138:N138"/>
    <mergeCell ref="K139:O139"/>
    <mergeCell ref="K58:N58"/>
    <mergeCell ref="K59:O59"/>
    <mergeCell ref="Y52:AA52"/>
    <mergeCell ref="E58:J59"/>
    <mergeCell ref="C59:D59"/>
    <mergeCell ref="Y92:AA92"/>
    <mergeCell ref="E98:J99"/>
    <mergeCell ref="C99:D99"/>
    <mergeCell ref="E138:J139"/>
    <mergeCell ref="C139:D139"/>
    <mergeCell ref="Y132:AA132"/>
    <mergeCell ref="Y172:AA172"/>
    <mergeCell ref="E178:J179"/>
    <mergeCell ref="C179:D179"/>
    <mergeCell ref="L37:O40"/>
    <mergeCell ref="B41:O41"/>
    <mergeCell ref="L77:O80"/>
    <mergeCell ref="B81:O81"/>
    <mergeCell ref="L56:O56"/>
    <mergeCell ref="J56:K56"/>
    <mergeCell ref="G55:O55"/>
    <mergeCell ref="T52:U52"/>
    <mergeCell ref="AA88:AD88"/>
    <mergeCell ref="T165:T166"/>
    <mergeCell ref="AD229:AG229"/>
    <mergeCell ref="S270:T270"/>
    <mergeCell ref="W377:X377"/>
    <mergeCell ref="S271:T271"/>
    <mergeCell ref="R280:S280"/>
    <mergeCell ref="V376:Y376"/>
    <mergeCell ref="L90:N90"/>
    <mergeCell ref="B91:O91"/>
    <mergeCell ref="R238:R239"/>
    <mergeCell ref="R242:R243"/>
    <mergeCell ref="R129:R130"/>
    <mergeCell ref="V133:W133"/>
    <mergeCell ref="R146:S146"/>
    <mergeCell ref="R169:R170"/>
    <mergeCell ref="T132:U132"/>
    <mergeCell ref="T92:U92"/>
    <mergeCell ref="V173:W173"/>
    <mergeCell ref="R186:S186"/>
    <mergeCell ref="Z252:AB252"/>
    <mergeCell ref="E154:F154"/>
    <mergeCell ref="J158:K158"/>
    <mergeCell ref="B155:D155"/>
    <mergeCell ref="E155:F155"/>
    <mergeCell ref="B162:O162"/>
    <mergeCell ref="J160:K160"/>
    <mergeCell ref="G152:K152"/>
    <mergeCell ref="C188:D188"/>
    <mergeCell ref="B191:O191"/>
    <mergeCell ref="G223:O223"/>
    <mergeCell ref="C227:F227"/>
    <mergeCell ref="AA295:AB295"/>
    <mergeCell ref="AA296:AB296"/>
    <mergeCell ref="AA297:AB297"/>
    <mergeCell ref="Z105:AB105"/>
    <mergeCell ref="R89:R90"/>
    <mergeCell ref="V93:W93"/>
    <mergeCell ref="Z253:AB253"/>
    <mergeCell ref="R106:S106"/>
    <mergeCell ref="Z215:AB215"/>
    <mergeCell ref="C53:D53"/>
    <mergeCell ref="C49:K49"/>
    <mergeCell ref="C50:K50"/>
    <mergeCell ref="G93:I93"/>
    <mergeCell ref="E94:F94"/>
    <mergeCell ref="G94:I94"/>
    <mergeCell ref="J94:K94"/>
    <mergeCell ref="E54:F54"/>
    <mergeCell ref="C93:D93"/>
    <mergeCell ref="G74:I74"/>
    <mergeCell ref="G75:I75"/>
    <mergeCell ref="J76:K76"/>
    <mergeCell ref="J77:K77"/>
    <mergeCell ref="E73:F73"/>
    <mergeCell ref="C70:D70"/>
    <mergeCell ref="J78:K78"/>
    <mergeCell ref="B75:D75"/>
    <mergeCell ref="B72:F72"/>
    <mergeCell ref="E76:F76"/>
    <mergeCell ref="E75:F75"/>
    <mergeCell ref="G78:I78"/>
    <mergeCell ref="B168:O168"/>
    <mergeCell ref="Y62:Y63"/>
    <mergeCell ref="G157:I157"/>
    <mergeCell ref="M1:P1"/>
    <mergeCell ref="D1:K1"/>
    <mergeCell ref="B1:C1"/>
    <mergeCell ref="E117:F117"/>
    <mergeCell ref="E118:F118"/>
    <mergeCell ref="B122:P122"/>
    <mergeCell ref="E120:F120"/>
    <mergeCell ref="J80:K80"/>
    <mergeCell ref="B78:D78"/>
    <mergeCell ref="E78:F78"/>
    <mergeCell ref="B43:P43"/>
    <mergeCell ref="B45:P45"/>
    <mergeCell ref="B44:P44"/>
    <mergeCell ref="B40:D40"/>
    <mergeCell ref="E40:F40"/>
    <mergeCell ref="L53:O53"/>
    <mergeCell ref="J54:K54"/>
    <mergeCell ref="N28:O28"/>
    <mergeCell ref="J93:K93"/>
    <mergeCell ref="L93:O93"/>
    <mergeCell ref="B88:O88"/>
    <mergeCell ref="G52:K52"/>
    <mergeCell ref="B51:O51"/>
    <mergeCell ref="E53:F53"/>
    <mergeCell ref="B48:O48"/>
    <mergeCell ref="P48:P58"/>
    <mergeCell ref="E55:F55"/>
    <mergeCell ref="G53:I53"/>
    <mergeCell ref="L52:O52"/>
    <mergeCell ref="C52:F52"/>
    <mergeCell ref="J38:K38"/>
    <mergeCell ref="C69:D69"/>
    <mergeCell ref="B464:D464"/>
    <mergeCell ref="E97:F97"/>
    <mergeCell ref="C383:D383"/>
    <mergeCell ref="G97:O97"/>
    <mergeCell ref="E95:F95"/>
    <mergeCell ref="E113:F113"/>
    <mergeCell ref="L112:O112"/>
    <mergeCell ref="L113:O114"/>
    <mergeCell ref="C108:D108"/>
    <mergeCell ref="E108:O108"/>
    <mergeCell ref="G95:O95"/>
    <mergeCell ref="L450:O450"/>
    <mergeCell ref="L466:O471"/>
    <mergeCell ref="C385:D385"/>
    <mergeCell ref="C379:D379"/>
    <mergeCell ref="B393:O393"/>
    <mergeCell ref="B394:O394"/>
    <mergeCell ref="J385:K385"/>
    <mergeCell ref="C382:D382"/>
    <mergeCell ref="E380:F380"/>
    <mergeCell ref="C384:D384"/>
    <mergeCell ref="N146:O146"/>
    <mergeCell ref="E378:F378"/>
    <mergeCell ref="J386:K386"/>
    <mergeCell ref="L382:O382"/>
    <mergeCell ref="G387:I387"/>
    <mergeCell ref="G383:I383"/>
    <mergeCell ref="J383:K383"/>
    <mergeCell ref="L227:O227"/>
    <mergeCell ref="E365:F365"/>
    <mergeCell ref="G227:K227"/>
    <mergeCell ref="B439:M439"/>
    <mergeCell ref="Z146:AB146"/>
    <mergeCell ref="B117:D117"/>
    <mergeCell ref="B463:D463"/>
    <mergeCell ref="T45:T46"/>
    <mergeCell ref="T85:T86"/>
    <mergeCell ref="T125:T126"/>
    <mergeCell ref="R66:S66"/>
    <mergeCell ref="R49:R50"/>
    <mergeCell ref="E377:F377"/>
    <mergeCell ref="B388:O388"/>
    <mergeCell ref="C396:O396"/>
    <mergeCell ref="B391:O391"/>
    <mergeCell ref="C386:D386"/>
    <mergeCell ref="E386:F386"/>
    <mergeCell ref="L385:O385"/>
    <mergeCell ref="G384:I384"/>
    <mergeCell ref="E384:F384"/>
    <mergeCell ref="G379:I379"/>
    <mergeCell ref="E379:F379"/>
    <mergeCell ref="N106:O106"/>
    <mergeCell ref="C90:K90"/>
    <mergeCell ref="G92:K92"/>
    <mergeCell ref="C92:F92"/>
    <mergeCell ref="L94:O94"/>
    <mergeCell ref="C110:D110"/>
    <mergeCell ref="B113:D113"/>
    <mergeCell ref="E93:F93"/>
    <mergeCell ref="E456:F456"/>
    <mergeCell ref="J462:K462"/>
    <mergeCell ref="E462:F462"/>
    <mergeCell ref="E434:F434"/>
    <mergeCell ref="C378:D378"/>
    <mergeCell ref="C501:G501"/>
    <mergeCell ref="H501:M501"/>
    <mergeCell ref="J471:K471"/>
    <mergeCell ref="E470:F470"/>
    <mergeCell ref="J470:K470"/>
    <mergeCell ref="J468:K468"/>
    <mergeCell ref="G470:I470"/>
    <mergeCell ref="B460:D460"/>
    <mergeCell ref="G458:I458"/>
    <mergeCell ref="B458:D458"/>
    <mergeCell ref="B466:D466"/>
    <mergeCell ref="E466:F466"/>
    <mergeCell ref="G465:I465"/>
    <mergeCell ref="G466:I466"/>
    <mergeCell ref="E460:F460"/>
    <mergeCell ref="E461:F461"/>
    <mergeCell ref="G460:I460"/>
    <mergeCell ref="C484:D484"/>
    <mergeCell ref="C480:D480"/>
    <mergeCell ref="F480:G480"/>
    <mergeCell ref="B469:D469"/>
    <mergeCell ref="B472:O472"/>
    <mergeCell ref="E467:F467"/>
    <mergeCell ref="H480:I480"/>
    <mergeCell ref="J480:M480"/>
    <mergeCell ref="N480:P480"/>
    <mergeCell ref="C479:D479"/>
    <mergeCell ref="F479:G479"/>
    <mergeCell ref="H479:I479"/>
    <mergeCell ref="J479:M479"/>
    <mergeCell ref="C478:D478"/>
    <mergeCell ref="F478:G478"/>
    <mergeCell ref="S2:T2"/>
    <mergeCell ref="S1:T1"/>
    <mergeCell ref="E157:F157"/>
    <mergeCell ref="J157:K157"/>
    <mergeCell ref="Z185:AB185"/>
    <mergeCell ref="G133:I133"/>
    <mergeCell ref="V12:W12"/>
    <mergeCell ref="S23:U23"/>
    <mergeCell ref="Z186:AB186"/>
    <mergeCell ref="B38:D38"/>
    <mergeCell ref="B116:D116"/>
    <mergeCell ref="J117:K117"/>
    <mergeCell ref="Z28:AB28"/>
    <mergeCell ref="Z27:AB27"/>
    <mergeCell ref="Z65:AB65"/>
    <mergeCell ref="B66:M66"/>
    <mergeCell ref="N66:O66"/>
    <mergeCell ref="Z66:AB66"/>
    <mergeCell ref="J35:K35"/>
    <mergeCell ref="C31:D31"/>
    <mergeCell ref="C54:D54"/>
    <mergeCell ref="Z106:AB106"/>
    <mergeCell ref="Z145:AB145"/>
    <mergeCell ref="B146:M146"/>
    <mergeCell ref="J153:K153"/>
    <mergeCell ref="J116:K116"/>
    <mergeCell ref="C175:D175"/>
    <mergeCell ref="L176:O176"/>
    <mergeCell ref="B185:O185"/>
    <mergeCell ref="P168:P178"/>
    <mergeCell ref="G120:I120"/>
    <mergeCell ref="C170:K170"/>
    <mergeCell ref="G436:O436"/>
    <mergeCell ref="L446:M446"/>
    <mergeCell ref="B440:P440"/>
    <mergeCell ref="B457:D457"/>
    <mergeCell ref="B470:D470"/>
    <mergeCell ref="E455:F455"/>
    <mergeCell ref="J455:K455"/>
    <mergeCell ref="B459:D459"/>
    <mergeCell ref="E471:F471"/>
    <mergeCell ref="B467:D467"/>
    <mergeCell ref="B468:D468"/>
    <mergeCell ref="F295:L295"/>
    <mergeCell ref="F318:O318"/>
    <mergeCell ref="G261:O261"/>
    <mergeCell ref="G262:O262"/>
    <mergeCell ref="N306:P306"/>
    <mergeCell ref="B277:P277"/>
    <mergeCell ref="N273:O273"/>
    <mergeCell ref="B266:O266"/>
    <mergeCell ref="F336:L336"/>
    <mergeCell ref="B337:O337"/>
    <mergeCell ref="F333:L333"/>
    <mergeCell ref="B328:O328"/>
    <mergeCell ref="F326:L326"/>
    <mergeCell ref="E262:F262"/>
    <mergeCell ref="F316:L316"/>
    <mergeCell ref="F325:L325"/>
    <mergeCell ref="L274:M274"/>
    <mergeCell ref="J377:K377"/>
    <mergeCell ref="C377:D377"/>
    <mergeCell ref="F314:L314"/>
    <mergeCell ref="B375:O375"/>
    <mergeCell ref="E231:F231"/>
    <mergeCell ref="G231:O231"/>
    <mergeCell ref="E257:F257"/>
    <mergeCell ref="G260:O260"/>
    <mergeCell ref="G243:O243"/>
    <mergeCell ref="C177:D177"/>
    <mergeCell ref="J195:K195"/>
    <mergeCell ref="B206:O206"/>
    <mergeCell ref="F208:G208"/>
    <mergeCell ref="F209:G209"/>
    <mergeCell ref="C233:D233"/>
    <mergeCell ref="B220:O220"/>
    <mergeCell ref="F273:K273"/>
    <mergeCell ref="F270:K270"/>
    <mergeCell ref="E263:F263"/>
    <mergeCell ref="C271:E271"/>
    <mergeCell ref="B255:O255"/>
    <mergeCell ref="B252:O252"/>
    <mergeCell ref="B254:M254"/>
    <mergeCell ref="B269:O269"/>
    <mergeCell ref="B267:M267"/>
    <mergeCell ref="N270:O270"/>
    <mergeCell ref="N272:O272"/>
    <mergeCell ref="F271:K271"/>
    <mergeCell ref="L271:M271"/>
    <mergeCell ref="H216:O216"/>
    <mergeCell ref="L230:O230"/>
    <mergeCell ref="N271:O271"/>
    <mergeCell ref="E260:F260"/>
    <mergeCell ref="B253:M253"/>
    <mergeCell ref="B196:D196"/>
    <mergeCell ref="G259:O259"/>
    <mergeCell ref="P221:P233"/>
    <mergeCell ref="G172:K172"/>
    <mergeCell ref="E160:F160"/>
    <mergeCell ref="B304:P304"/>
    <mergeCell ref="B256:O256"/>
    <mergeCell ref="G222:I222"/>
    <mergeCell ref="C224:D224"/>
    <mergeCell ref="J224:K224"/>
    <mergeCell ref="G173:I173"/>
    <mergeCell ref="J173:K173"/>
    <mergeCell ref="C190:D190"/>
    <mergeCell ref="E199:F199"/>
    <mergeCell ref="L157:O160"/>
    <mergeCell ref="B161:O161"/>
    <mergeCell ref="E261:F261"/>
    <mergeCell ref="B250:E250"/>
    <mergeCell ref="B243:F243"/>
    <mergeCell ref="B244:O244"/>
    <mergeCell ref="E258:F258"/>
    <mergeCell ref="E259:F259"/>
    <mergeCell ref="F284:L284"/>
    <mergeCell ref="B265:O265"/>
    <mergeCell ref="F212:G212"/>
    <mergeCell ref="C238:N238"/>
    <mergeCell ref="B236:O236"/>
    <mergeCell ref="C247:O247"/>
    <mergeCell ref="H215:O215"/>
    <mergeCell ref="L170:N170"/>
    <mergeCell ref="N186:O186"/>
    <mergeCell ref="J228:K228"/>
    <mergeCell ref="B268:O268"/>
    <mergeCell ref="L270:M270"/>
    <mergeCell ref="B124:P124"/>
    <mergeCell ref="B251:O251"/>
    <mergeCell ref="G248:O248"/>
    <mergeCell ref="B245:O245"/>
    <mergeCell ref="B362:D362"/>
    <mergeCell ref="E367:F367"/>
    <mergeCell ref="B369:P369"/>
    <mergeCell ref="B370:P370"/>
    <mergeCell ref="E362:F362"/>
    <mergeCell ref="J361:K361"/>
    <mergeCell ref="G360:I360"/>
    <mergeCell ref="B332:D334"/>
    <mergeCell ref="F334:L334"/>
    <mergeCell ref="L353:O358"/>
    <mergeCell ref="C142:N142"/>
    <mergeCell ref="J154:K154"/>
    <mergeCell ref="B126:O126"/>
    <mergeCell ref="C129:K129"/>
    <mergeCell ref="B331:D331"/>
    <mergeCell ref="F331:L331"/>
    <mergeCell ref="J350:K350"/>
    <mergeCell ref="G352:I352"/>
    <mergeCell ref="J352:K352"/>
    <mergeCell ref="B127:P127"/>
    <mergeCell ref="B235:O235"/>
    <mergeCell ref="B246:O246"/>
    <mergeCell ref="G258:O258"/>
    <mergeCell ref="B257:D263"/>
    <mergeCell ref="P270:P275"/>
    <mergeCell ref="F274:K274"/>
    <mergeCell ref="N253:O253"/>
    <mergeCell ref="J353:K353"/>
    <mergeCell ref="P341:P368"/>
    <mergeCell ref="B366:D366"/>
    <mergeCell ref="G342:I342"/>
    <mergeCell ref="C380:D380"/>
    <mergeCell ref="B361:D361"/>
    <mergeCell ref="G364:I364"/>
    <mergeCell ref="E355:F355"/>
    <mergeCell ref="E345:F345"/>
    <mergeCell ref="E346:F346"/>
    <mergeCell ref="B336:D336"/>
    <mergeCell ref="G348:I348"/>
    <mergeCell ref="E342:F342"/>
    <mergeCell ref="E347:F347"/>
    <mergeCell ref="G343:I343"/>
    <mergeCell ref="G345:I345"/>
    <mergeCell ref="J345:K345"/>
    <mergeCell ref="E344:F344"/>
    <mergeCell ref="E343:F343"/>
    <mergeCell ref="G344:I344"/>
    <mergeCell ref="J342:K342"/>
    <mergeCell ref="B342:D342"/>
    <mergeCell ref="G341:K341"/>
    <mergeCell ref="B351:D351"/>
    <mergeCell ref="J344:K344"/>
    <mergeCell ref="B340:P340"/>
    <mergeCell ref="E363:F363"/>
    <mergeCell ref="E364:F364"/>
    <mergeCell ref="B367:D367"/>
    <mergeCell ref="B371:O371"/>
    <mergeCell ref="C376:F376"/>
    <mergeCell ref="B356:D356"/>
    <mergeCell ref="E350:F350"/>
    <mergeCell ref="E354:F354"/>
    <mergeCell ref="B354:D354"/>
    <mergeCell ref="J355:K355"/>
    <mergeCell ref="E359:F359"/>
    <mergeCell ref="B358:D358"/>
    <mergeCell ref="B353:D353"/>
    <mergeCell ref="E357:F357"/>
    <mergeCell ref="G351:I351"/>
    <mergeCell ref="J347:K347"/>
    <mergeCell ref="G346:I346"/>
    <mergeCell ref="B341:F341"/>
    <mergeCell ref="B338:O338"/>
    <mergeCell ref="G353:I353"/>
    <mergeCell ref="B359:D359"/>
    <mergeCell ref="J362:K362"/>
    <mergeCell ref="J357:K357"/>
    <mergeCell ref="J358:K358"/>
    <mergeCell ref="F283:L283"/>
    <mergeCell ref="B307:M307"/>
    <mergeCell ref="F309:L309"/>
    <mergeCell ref="F330:L330"/>
    <mergeCell ref="F319:L319"/>
    <mergeCell ref="B321:D322"/>
    <mergeCell ref="B329:D329"/>
    <mergeCell ref="L273:M273"/>
    <mergeCell ref="F324:L324"/>
    <mergeCell ref="F313:L313"/>
    <mergeCell ref="F288:L288"/>
    <mergeCell ref="F310:L310"/>
    <mergeCell ref="B330:D330"/>
    <mergeCell ref="B305:P305"/>
    <mergeCell ref="F285:L285"/>
    <mergeCell ref="B286:L286"/>
    <mergeCell ref="B281:D285"/>
    <mergeCell ref="F312:L312"/>
    <mergeCell ref="B293:D302"/>
    <mergeCell ref="F301:L301"/>
    <mergeCell ref="C273:E273"/>
    <mergeCell ref="F281:L281"/>
    <mergeCell ref="F317:L317"/>
    <mergeCell ref="F327:L327"/>
    <mergeCell ref="F311:L311"/>
    <mergeCell ref="F300:L300"/>
    <mergeCell ref="B280:L280"/>
    <mergeCell ref="B278:P278"/>
    <mergeCell ref="F291:L291"/>
    <mergeCell ref="C274:E274"/>
    <mergeCell ref="N274:O274"/>
    <mergeCell ref="B279:L279"/>
    <mergeCell ref="B125:P125"/>
    <mergeCell ref="B141:O141"/>
    <mergeCell ref="C97:D97"/>
    <mergeCell ref="C130:K130"/>
    <mergeCell ref="C63:N63"/>
    <mergeCell ref="B64:O64"/>
    <mergeCell ref="B77:D77"/>
    <mergeCell ref="E77:F77"/>
    <mergeCell ref="L92:O92"/>
    <mergeCell ref="C89:K89"/>
    <mergeCell ref="P88:P98"/>
    <mergeCell ref="B121:O121"/>
    <mergeCell ref="E150:O150"/>
    <mergeCell ref="G137:O137"/>
    <mergeCell ref="L133:O133"/>
    <mergeCell ref="C135:D135"/>
    <mergeCell ref="E134:F134"/>
    <mergeCell ref="C132:F132"/>
    <mergeCell ref="E137:F137"/>
    <mergeCell ref="B87:P87"/>
    <mergeCell ref="B85:P85"/>
    <mergeCell ref="G80:I80"/>
    <mergeCell ref="B123:P123"/>
    <mergeCell ref="G117:I117"/>
    <mergeCell ref="G119:I119"/>
    <mergeCell ref="J119:K119"/>
    <mergeCell ref="J120:K120"/>
    <mergeCell ref="B83:P83"/>
    <mergeCell ref="G115:I115"/>
    <mergeCell ref="J115:K115"/>
    <mergeCell ref="L129:N129"/>
    <mergeCell ref="L130:N130"/>
    <mergeCell ref="C56:D56"/>
    <mergeCell ref="E56:F56"/>
    <mergeCell ref="B86:O86"/>
    <mergeCell ref="C96:D96"/>
    <mergeCell ref="J96:K96"/>
    <mergeCell ref="G77:I77"/>
    <mergeCell ref="G79:I79"/>
    <mergeCell ref="C134:D134"/>
    <mergeCell ref="B171:O171"/>
    <mergeCell ref="C133:D133"/>
    <mergeCell ref="J16:K16"/>
    <mergeCell ref="T11:U11"/>
    <mergeCell ref="G35:I35"/>
    <mergeCell ref="G34:I34"/>
    <mergeCell ref="B60:O60"/>
    <mergeCell ref="B61:O61"/>
    <mergeCell ref="E68:O68"/>
    <mergeCell ref="E69:O69"/>
    <mergeCell ref="B23:O23"/>
    <mergeCell ref="L117:O120"/>
    <mergeCell ref="B105:O105"/>
    <mergeCell ref="B101:O101"/>
    <mergeCell ref="C102:N102"/>
    <mergeCell ref="C103:N103"/>
    <mergeCell ref="E110:O110"/>
    <mergeCell ref="B104:O104"/>
    <mergeCell ref="C109:D109"/>
    <mergeCell ref="C95:D95"/>
    <mergeCell ref="E116:F116"/>
    <mergeCell ref="B65:O65"/>
    <mergeCell ref="B166:O166"/>
    <mergeCell ref="B160:D160"/>
    <mergeCell ref="B37:D37"/>
    <mergeCell ref="B47:P47"/>
    <mergeCell ref="B79:D79"/>
    <mergeCell ref="P72:P81"/>
    <mergeCell ref="G72:K72"/>
    <mergeCell ref="G73:I73"/>
    <mergeCell ref="J73:K73"/>
    <mergeCell ref="L197:O200"/>
    <mergeCell ref="B201:O201"/>
    <mergeCell ref="P128:P138"/>
    <mergeCell ref="G135:O135"/>
    <mergeCell ref="C94:D94"/>
    <mergeCell ref="L89:N89"/>
    <mergeCell ref="G37:I37"/>
    <mergeCell ref="J37:K37"/>
    <mergeCell ref="E38:F38"/>
    <mergeCell ref="G38:I38"/>
    <mergeCell ref="C57:D57"/>
    <mergeCell ref="C68:D68"/>
    <mergeCell ref="L49:N49"/>
    <mergeCell ref="L50:N50"/>
    <mergeCell ref="B71:O71"/>
    <mergeCell ref="B73:D73"/>
    <mergeCell ref="E70:O70"/>
    <mergeCell ref="B152:F152"/>
    <mergeCell ref="E119:F119"/>
    <mergeCell ref="C62:N62"/>
    <mergeCell ref="G56:I56"/>
    <mergeCell ref="C55:D55"/>
    <mergeCell ref="L134:O134"/>
    <mergeCell ref="G134:I134"/>
    <mergeCell ref="L152:O152"/>
    <mergeCell ref="T7:T8"/>
    <mergeCell ref="B8:O8"/>
    <mergeCell ref="B9:P9"/>
    <mergeCell ref="B10:O10"/>
    <mergeCell ref="G11:K11"/>
    <mergeCell ref="L11:O11"/>
    <mergeCell ref="B7:P7"/>
    <mergeCell ref="P10:P20"/>
    <mergeCell ref="G39:I39"/>
    <mergeCell ref="E37:F37"/>
    <mergeCell ref="G16:I16"/>
    <mergeCell ref="L16:O16"/>
    <mergeCell ref="C19:D19"/>
    <mergeCell ref="G19:O19"/>
    <mergeCell ref="E16:F16"/>
    <mergeCell ref="L35:O36"/>
    <mergeCell ref="B22:O22"/>
    <mergeCell ref="C18:D18"/>
    <mergeCell ref="P33:P41"/>
    <mergeCell ref="G33:K33"/>
    <mergeCell ref="E14:F14"/>
    <mergeCell ref="E13:F13"/>
    <mergeCell ref="G12:I12"/>
    <mergeCell ref="C17:D17"/>
    <mergeCell ref="C14:D14"/>
    <mergeCell ref="E19:F19"/>
    <mergeCell ref="G18:I18"/>
    <mergeCell ref="E17:F17"/>
    <mergeCell ref="R28:S28"/>
    <mergeCell ref="L12:O12"/>
    <mergeCell ref="E12:F12"/>
    <mergeCell ref="J13:K13"/>
    <mergeCell ref="AJ208:AN208"/>
    <mergeCell ref="E224:F224"/>
    <mergeCell ref="E225:F225"/>
    <mergeCell ref="L222:O222"/>
    <mergeCell ref="G221:K221"/>
    <mergeCell ref="L221:O221"/>
    <mergeCell ref="B214:O214"/>
    <mergeCell ref="C223:D223"/>
    <mergeCell ref="AD223:AG223"/>
    <mergeCell ref="C222:D222"/>
    <mergeCell ref="G159:I159"/>
    <mergeCell ref="B157:D157"/>
    <mergeCell ref="G225:O225"/>
    <mergeCell ref="L224:O224"/>
    <mergeCell ref="E80:F80"/>
    <mergeCell ref="J74:K74"/>
    <mergeCell ref="G76:I76"/>
    <mergeCell ref="J75:K75"/>
    <mergeCell ref="B82:P82"/>
    <mergeCell ref="B76:D76"/>
    <mergeCell ref="E74:F74"/>
    <mergeCell ref="J79:K79"/>
    <mergeCell ref="G96:I96"/>
    <mergeCell ref="B119:D119"/>
    <mergeCell ref="B74:D74"/>
    <mergeCell ref="E173:F173"/>
    <mergeCell ref="E175:F175"/>
    <mergeCell ref="G174:I174"/>
    <mergeCell ref="G175:O175"/>
    <mergeCell ref="E176:F176"/>
    <mergeCell ref="E174:F174"/>
    <mergeCell ref="E148:O148"/>
    <mergeCell ref="Y24:Y25"/>
    <mergeCell ref="C25:N25"/>
    <mergeCell ref="B26:O26"/>
    <mergeCell ref="L33:O34"/>
    <mergeCell ref="G36:I36"/>
    <mergeCell ref="J36:K36"/>
    <mergeCell ref="B27:O27"/>
    <mergeCell ref="C24:N24"/>
    <mergeCell ref="B46:O46"/>
    <mergeCell ref="V53:W53"/>
    <mergeCell ref="E109:O109"/>
    <mergeCell ref="B100:O100"/>
    <mergeCell ref="E96:F96"/>
    <mergeCell ref="J53:K53"/>
    <mergeCell ref="E57:F57"/>
    <mergeCell ref="G57:O57"/>
    <mergeCell ref="L54:O54"/>
    <mergeCell ref="G54:I54"/>
    <mergeCell ref="B36:D36"/>
    <mergeCell ref="B42:P42"/>
    <mergeCell ref="E36:F36"/>
    <mergeCell ref="J39:K39"/>
    <mergeCell ref="E31:O31"/>
    <mergeCell ref="B39:D39"/>
    <mergeCell ref="E39:F39"/>
    <mergeCell ref="B32:O32"/>
    <mergeCell ref="G40:I40"/>
    <mergeCell ref="J40:K40"/>
    <mergeCell ref="L72:O72"/>
    <mergeCell ref="L73:O74"/>
    <mergeCell ref="E79:F79"/>
    <mergeCell ref="B80:D80"/>
    <mergeCell ref="Z208:AB208"/>
    <mergeCell ref="B164:P164"/>
    <mergeCell ref="G155:I155"/>
    <mergeCell ref="Y182:Y183"/>
    <mergeCell ref="V221:W221"/>
    <mergeCell ref="T220:U220"/>
    <mergeCell ref="C221:F221"/>
    <mergeCell ref="B213:O213"/>
    <mergeCell ref="F215:G215"/>
    <mergeCell ref="E197:F197"/>
    <mergeCell ref="G193:I193"/>
    <mergeCell ref="G195:I195"/>
    <mergeCell ref="B193:D193"/>
    <mergeCell ref="B209:E212"/>
    <mergeCell ref="J193:K193"/>
    <mergeCell ref="E188:O188"/>
    <mergeCell ref="H208:O208"/>
    <mergeCell ref="H212:O212"/>
    <mergeCell ref="H219:O219"/>
    <mergeCell ref="L174:O174"/>
    <mergeCell ref="P152:P161"/>
    <mergeCell ref="B156:D156"/>
    <mergeCell ref="B165:P165"/>
    <mergeCell ref="E159:F159"/>
    <mergeCell ref="L169:N169"/>
    <mergeCell ref="G154:I154"/>
    <mergeCell ref="B167:P167"/>
    <mergeCell ref="H211:O211"/>
    <mergeCell ref="H210:O210"/>
    <mergeCell ref="B192:F192"/>
    <mergeCell ref="G194:I194"/>
    <mergeCell ref="B205:O205"/>
    <mergeCell ref="B208:E208"/>
    <mergeCell ref="B264:O264"/>
    <mergeCell ref="C270:E270"/>
    <mergeCell ref="L379:O379"/>
    <mergeCell ref="C275:O275"/>
    <mergeCell ref="C272:E272"/>
    <mergeCell ref="L233:N233"/>
    <mergeCell ref="L234:O234"/>
    <mergeCell ref="F299:O299"/>
    <mergeCell ref="F302:L302"/>
    <mergeCell ref="F308:L308"/>
    <mergeCell ref="F294:L294"/>
    <mergeCell ref="N279:P279"/>
    <mergeCell ref="F282:L282"/>
    <mergeCell ref="M279:M280"/>
    <mergeCell ref="F293:L293"/>
    <mergeCell ref="N292:O292"/>
    <mergeCell ref="B276:O276"/>
    <mergeCell ref="C231:D231"/>
    <mergeCell ref="L272:M272"/>
    <mergeCell ref="E223:F223"/>
    <mergeCell ref="G228:I228"/>
    <mergeCell ref="E230:F230"/>
    <mergeCell ref="C230:D230"/>
    <mergeCell ref="G229:O229"/>
    <mergeCell ref="B237:O237"/>
    <mergeCell ref="B249:O249"/>
    <mergeCell ref="G242:O242"/>
    <mergeCell ref="B241:O241"/>
    <mergeCell ref="G263:O263"/>
    <mergeCell ref="H250:O250"/>
    <mergeCell ref="F323:L323"/>
    <mergeCell ref="B5:P5"/>
    <mergeCell ref="B6:P6"/>
    <mergeCell ref="L13:O13"/>
    <mergeCell ref="J12:K12"/>
    <mergeCell ref="C11:F11"/>
    <mergeCell ref="B34:D34"/>
    <mergeCell ref="E34:F34"/>
    <mergeCell ref="B35:D35"/>
    <mergeCell ref="J34:K34"/>
    <mergeCell ref="G13:I13"/>
    <mergeCell ref="J222:K222"/>
    <mergeCell ref="N267:O267"/>
    <mergeCell ref="F272:K272"/>
    <mergeCell ref="F329:L329"/>
    <mergeCell ref="P394:P395"/>
    <mergeCell ref="B395:O395"/>
    <mergeCell ref="P390:P391"/>
    <mergeCell ref="G385:I385"/>
    <mergeCell ref="C392:O392"/>
    <mergeCell ref="C387:D387"/>
    <mergeCell ref="L386:O386"/>
    <mergeCell ref="L387:O387"/>
    <mergeCell ref="B389:O389"/>
    <mergeCell ref="P382:P387"/>
    <mergeCell ref="L192:O192"/>
    <mergeCell ref="L193:O194"/>
    <mergeCell ref="E193:F193"/>
    <mergeCell ref="J194:K194"/>
    <mergeCell ref="J196:K196"/>
    <mergeCell ref="E196:F196"/>
    <mergeCell ref="G197:I197"/>
    <mergeCell ref="G196:I196"/>
    <mergeCell ref="E135:F135"/>
    <mergeCell ref="B159:D159"/>
    <mergeCell ref="J133:K133"/>
    <mergeCell ref="C143:N143"/>
    <mergeCell ref="L172:O172"/>
    <mergeCell ref="C183:N183"/>
    <mergeCell ref="B200:D200"/>
    <mergeCell ref="C189:D189"/>
    <mergeCell ref="B180:O180"/>
    <mergeCell ref="J197:K197"/>
    <mergeCell ref="B2:P2"/>
    <mergeCell ref="L18:O18"/>
    <mergeCell ref="G17:O17"/>
    <mergeCell ref="C15:K15"/>
    <mergeCell ref="L15:N15"/>
    <mergeCell ref="C12:D12"/>
    <mergeCell ref="G14:O14"/>
    <mergeCell ref="B3:P3"/>
    <mergeCell ref="C16:D16"/>
    <mergeCell ref="L4:M4"/>
    <mergeCell ref="C4:D4"/>
    <mergeCell ref="C30:D30"/>
    <mergeCell ref="E30:O30"/>
    <mergeCell ref="J18:K18"/>
    <mergeCell ref="E18:F18"/>
    <mergeCell ref="E35:F35"/>
    <mergeCell ref="B33:F33"/>
    <mergeCell ref="B28:M28"/>
    <mergeCell ref="E4:F4"/>
    <mergeCell ref="G4:I4"/>
    <mergeCell ref="J4:K4"/>
    <mergeCell ref="C13:D13"/>
    <mergeCell ref="C173:D173"/>
    <mergeCell ref="B198:D198"/>
    <mergeCell ref="E190:O190"/>
    <mergeCell ref="B204:P204"/>
    <mergeCell ref="B194:D194"/>
    <mergeCell ref="E194:F194"/>
    <mergeCell ref="E200:F200"/>
    <mergeCell ref="B203:O203"/>
    <mergeCell ref="G160:I160"/>
    <mergeCell ref="E177:F177"/>
    <mergeCell ref="G177:O177"/>
    <mergeCell ref="G200:I200"/>
    <mergeCell ref="J200:K200"/>
    <mergeCell ref="L173:O173"/>
    <mergeCell ref="J174:K174"/>
    <mergeCell ref="G176:I176"/>
    <mergeCell ref="B202:O202"/>
    <mergeCell ref="B199:D199"/>
    <mergeCell ref="J199:K199"/>
    <mergeCell ref="G199:I199"/>
    <mergeCell ref="G156:I156"/>
    <mergeCell ref="J156:K156"/>
    <mergeCell ref="G153:I153"/>
    <mergeCell ref="J155:K155"/>
    <mergeCell ref="E153:F153"/>
    <mergeCell ref="B151:O151"/>
    <mergeCell ref="E189:O189"/>
    <mergeCell ref="E158:F158"/>
    <mergeCell ref="B158:D158"/>
    <mergeCell ref="B184:O184"/>
    <mergeCell ref="C182:N182"/>
    <mergeCell ref="B181:O181"/>
    <mergeCell ref="B242:F242"/>
    <mergeCell ref="B240:O240"/>
    <mergeCell ref="B197:D197"/>
    <mergeCell ref="E195:F195"/>
    <mergeCell ref="E229:F229"/>
    <mergeCell ref="L228:O228"/>
    <mergeCell ref="E228:F228"/>
    <mergeCell ref="F219:G219"/>
    <mergeCell ref="G230:I230"/>
    <mergeCell ref="J230:K230"/>
    <mergeCell ref="C239:N239"/>
    <mergeCell ref="J176:K176"/>
    <mergeCell ref="B226:N226"/>
    <mergeCell ref="C176:D176"/>
    <mergeCell ref="B195:D195"/>
    <mergeCell ref="B186:M186"/>
    <mergeCell ref="G158:I158"/>
    <mergeCell ref="C172:F172"/>
    <mergeCell ref="C174:D174"/>
    <mergeCell ref="C169:K169"/>
    <mergeCell ref="B323:D327"/>
    <mergeCell ref="F290:L290"/>
    <mergeCell ref="J366:K366"/>
    <mergeCell ref="J365:K365"/>
    <mergeCell ref="J363:K363"/>
    <mergeCell ref="G354:I354"/>
    <mergeCell ref="J354:K354"/>
    <mergeCell ref="J367:K367"/>
    <mergeCell ref="G376:K376"/>
    <mergeCell ref="J379:K379"/>
    <mergeCell ref="G378:O378"/>
    <mergeCell ref="G377:I377"/>
    <mergeCell ref="F296:L296"/>
    <mergeCell ref="N420:O420"/>
    <mergeCell ref="N421:O421"/>
    <mergeCell ref="P430:P436"/>
    <mergeCell ref="F297:L297"/>
    <mergeCell ref="G359:I359"/>
    <mergeCell ref="E360:F360"/>
    <mergeCell ref="G361:I361"/>
    <mergeCell ref="B363:D363"/>
    <mergeCell ref="B364:D364"/>
    <mergeCell ref="G355:I355"/>
    <mergeCell ref="E358:F358"/>
    <mergeCell ref="E349:F349"/>
    <mergeCell ref="E361:F361"/>
    <mergeCell ref="E356:F356"/>
    <mergeCell ref="F332:L332"/>
    <mergeCell ref="B339:P339"/>
    <mergeCell ref="E352:F352"/>
    <mergeCell ref="E353:F353"/>
    <mergeCell ref="B355:D355"/>
    <mergeCell ref="F289:L289"/>
    <mergeCell ref="F287:L287"/>
    <mergeCell ref="J452:K452"/>
    <mergeCell ref="J456:K456"/>
    <mergeCell ref="E458:F458"/>
    <mergeCell ref="J465:K465"/>
    <mergeCell ref="G459:I459"/>
    <mergeCell ref="G461:I461"/>
    <mergeCell ref="G463:I463"/>
    <mergeCell ref="J463:K463"/>
    <mergeCell ref="G464:I464"/>
    <mergeCell ref="G468:I468"/>
    <mergeCell ref="G471:I471"/>
    <mergeCell ref="J461:K461"/>
    <mergeCell ref="E457:F457"/>
    <mergeCell ref="J460:K460"/>
    <mergeCell ref="J467:K467"/>
    <mergeCell ref="G456:I456"/>
    <mergeCell ref="J458:K458"/>
    <mergeCell ref="E459:F459"/>
    <mergeCell ref="G462:I462"/>
    <mergeCell ref="E464:F464"/>
    <mergeCell ref="G467:I467"/>
    <mergeCell ref="G453:I453"/>
    <mergeCell ref="D417:O417"/>
    <mergeCell ref="B423:O423"/>
    <mergeCell ref="G451:I451"/>
    <mergeCell ref="B441:O441"/>
    <mergeCell ref="J451:K451"/>
    <mergeCell ref="B455:D455"/>
    <mergeCell ref="E463:F463"/>
    <mergeCell ref="G452:I452"/>
    <mergeCell ref="B473:P473"/>
    <mergeCell ref="B474:P474"/>
    <mergeCell ref="B477:P477"/>
    <mergeCell ref="B471:D471"/>
    <mergeCell ref="E468:F468"/>
    <mergeCell ref="E469:F469"/>
    <mergeCell ref="N478:P478"/>
    <mergeCell ref="B476:P476"/>
    <mergeCell ref="G455:I455"/>
    <mergeCell ref="G469:I469"/>
    <mergeCell ref="J469:K469"/>
    <mergeCell ref="N485:P485"/>
    <mergeCell ref="C483:D483"/>
    <mergeCell ref="F483:G483"/>
    <mergeCell ref="H483:I483"/>
    <mergeCell ref="J483:M483"/>
    <mergeCell ref="N481:P481"/>
    <mergeCell ref="C482:D482"/>
    <mergeCell ref="F482:G482"/>
    <mergeCell ref="H482:I482"/>
    <mergeCell ref="J482:M482"/>
    <mergeCell ref="N482:P482"/>
    <mergeCell ref="C481:D481"/>
    <mergeCell ref="F481:G481"/>
    <mergeCell ref="H481:I481"/>
    <mergeCell ref="J481:M481"/>
    <mergeCell ref="J484:M484"/>
    <mergeCell ref="N479:P479"/>
    <mergeCell ref="E465:F465"/>
    <mergeCell ref="J466:K466"/>
    <mergeCell ref="J464:K464"/>
    <mergeCell ref="B465:D465"/>
    <mergeCell ref="B500:P500"/>
    <mergeCell ref="C499:D499"/>
    <mergeCell ref="H499:J499"/>
    <mergeCell ref="L499:M499"/>
    <mergeCell ref="O499:P499"/>
    <mergeCell ref="L496:M496"/>
    <mergeCell ref="O496:P496"/>
    <mergeCell ref="O494:P494"/>
    <mergeCell ref="C496:D496"/>
    <mergeCell ref="H497:J497"/>
    <mergeCell ref="C492:D492"/>
    <mergeCell ref="H496:J496"/>
    <mergeCell ref="C498:D498"/>
    <mergeCell ref="H498:J498"/>
    <mergeCell ref="C495:D495"/>
    <mergeCell ref="C493:D493"/>
    <mergeCell ref="H493:J493"/>
    <mergeCell ref="L498:M498"/>
    <mergeCell ref="O498:P498"/>
    <mergeCell ref="O492:P492"/>
    <mergeCell ref="F492:G492"/>
    <mergeCell ref="H492:J492"/>
    <mergeCell ref="L492:M492"/>
    <mergeCell ref="L497:M497"/>
    <mergeCell ref="O497:P497"/>
    <mergeCell ref="O495:P495"/>
    <mergeCell ref="H495:J495"/>
    <mergeCell ref="L495:M495"/>
    <mergeCell ref="C497:D497"/>
    <mergeCell ref="L493:M493"/>
    <mergeCell ref="C494:D494"/>
    <mergeCell ref="H494:J494"/>
    <mergeCell ref="L494:M494"/>
    <mergeCell ref="O493:P493"/>
    <mergeCell ref="C485:D485"/>
    <mergeCell ref="F485:G485"/>
    <mergeCell ref="H485:I485"/>
    <mergeCell ref="B488:P488"/>
    <mergeCell ref="C489:E489"/>
    <mergeCell ref="F489:P489"/>
    <mergeCell ref="B487:P487"/>
    <mergeCell ref="B490:P490"/>
    <mergeCell ref="B491:P491"/>
    <mergeCell ref="J485:M485"/>
    <mergeCell ref="B486:P486"/>
    <mergeCell ref="N483:P483"/>
    <mergeCell ref="L153:O154"/>
    <mergeCell ref="B153:D153"/>
    <mergeCell ref="E156:F156"/>
    <mergeCell ref="B163:P163"/>
    <mergeCell ref="B154:D154"/>
    <mergeCell ref="J159:K159"/>
    <mergeCell ref="J459:K459"/>
    <mergeCell ref="P397:P400"/>
    <mergeCell ref="B437:O437"/>
    <mergeCell ref="C446:E446"/>
    <mergeCell ref="F446:K446"/>
    <mergeCell ref="B456:D456"/>
    <mergeCell ref="H478:I478"/>
    <mergeCell ref="J478:M478"/>
    <mergeCell ref="B475:P475"/>
    <mergeCell ref="F484:G484"/>
    <mergeCell ref="H484:I484"/>
    <mergeCell ref="N484:P484"/>
    <mergeCell ref="P112:P121"/>
    <mergeCell ref="E114:F114"/>
    <mergeCell ref="B115:D115"/>
    <mergeCell ref="B112:F112"/>
    <mergeCell ref="G112:K112"/>
    <mergeCell ref="B84:P84"/>
    <mergeCell ref="G118:I118"/>
    <mergeCell ref="J118:K118"/>
    <mergeCell ref="E136:F136"/>
    <mergeCell ref="C148:D148"/>
    <mergeCell ref="L136:O136"/>
    <mergeCell ref="B145:O145"/>
    <mergeCell ref="B140:O140"/>
    <mergeCell ref="B144:O144"/>
    <mergeCell ref="J113:K113"/>
    <mergeCell ref="B106:M106"/>
    <mergeCell ref="E115:F115"/>
    <mergeCell ref="B120:D120"/>
    <mergeCell ref="G116:I116"/>
    <mergeCell ref="B118:D118"/>
    <mergeCell ref="G113:I113"/>
    <mergeCell ref="G132:K132"/>
    <mergeCell ref="C136:D136"/>
    <mergeCell ref="B128:O128"/>
    <mergeCell ref="B131:O131"/>
    <mergeCell ref="C137:D137"/>
    <mergeCell ref="G114:I114"/>
    <mergeCell ref="B111:O111"/>
    <mergeCell ref="J114:K114"/>
    <mergeCell ref="B114:D114"/>
    <mergeCell ref="L132:O132"/>
    <mergeCell ref="L96:O96"/>
    <mergeCell ref="J134:K134"/>
    <mergeCell ref="E133:F133"/>
    <mergeCell ref="J136:K136"/>
    <mergeCell ref="G198:I198"/>
    <mergeCell ref="J198:K198"/>
    <mergeCell ref="N254:O254"/>
    <mergeCell ref="P257:P263"/>
    <mergeCell ref="P236:P237"/>
    <mergeCell ref="C229:D229"/>
    <mergeCell ref="C225:D225"/>
    <mergeCell ref="G224:I224"/>
    <mergeCell ref="C228:D228"/>
    <mergeCell ref="F210:G210"/>
    <mergeCell ref="F211:G211"/>
    <mergeCell ref="E222:F222"/>
    <mergeCell ref="H209:O209"/>
    <mergeCell ref="H218:O218"/>
    <mergeCell ref="F217:G217"/>
    <mergeCell ref="F218:G218"/>
    <mergeCell ref="H217:O217"/>
    <mergeCell ref="B215:E219"/>
    <mergeCell ref="P192:P201"/>
    <mergeCell ref="G192:K192"/>
    <mergeCell ref="E198:F198"/>
    <mergeCell ref="B234:K234"/>
    <mergeCell ref="B207:O207"/>
    <mergeCell ref="F216:G216"/>
    <mergeCell ref="G136:I136"/>
    <mergeCell ref="C149:D149"/>
    <mergeCell ref="C150:D150"/>
    <mergeCell ref="E149:O149"/>
    <mergeCell ref="B248:F248"/>
    <mergeCell ref="B504:D506"/>
    <mergeCell ref="C507:D507"/>
    <mergeCell ref="AJ411:AN411"/>
    <mergeCell ref="C412:O412"/>
    <mergeCell ref="B452:D452"/>
    <mergeCell ref="G457:I457"/>
    <mergeCell ref="J457:K457"/>
    <mergeCell ref="E435:F435"/>
    <mergeCell ref="B442:O442"/>
    <mergeCell ref="B448:F448"/>
    <mergeCell ref="B454:D454"/>
    <mergeCell ref="B450:D450"/>
    <mergeCell ref="G449:I449"/>
    <mergeCell ref="E451:F451"/>
    <mergeCell ref="E452:F452"/>
    <mergeCell ref="E454:F454"/>
    <mergeCell ref="J454:K454"/>
    <mergeCell ref="J453:K453"/>
    <mergeCell ref="G454:I454"/>
    <mergeCell ref="R420:R421"/>
    <mergeCell ref="B443:M443"/>
    <mergeCell ref="B420:M420"/>
    <mergeCell ref="G434:O434"/>
    <mergeCell ref="C427:O427"/>
    <mergeCell ref="E432:F432"/>
    <mergeCell ref="B429:O429"/>
    <mergeCell ref="C426:O426"/>
    <mergeCell ref="D418:O418"/>
    <mergeCell ref="P424:P426"/>
    <mergeCell ref="E436:F436"/>
    <mergeCell ref="G430:O430"/>
    <mergeCell ref="G431:O431"/>
    <mergeCell ref="W458:W460"/>
    <mergeCell ref="L448:O448"/>
    <mergeCell ref="L453:O458"/>
    <mergeCell ref="L459:O462"/>
    <mergeCell ref="E433:F433"/>
    <mergeCell ref="R410:R411"/>
    <mergeCell ref="B451:D451"/>
    <mergeCell ref="G448:K448"/>
    <mergeCell ref="J449:K449"/>
    <mergeCell ref="C413:O416"/>
    <mergeCell ref="B447:O447"/>
    <mergeCell ref="B413:B418"/>
    <mergeCell ref="B428:O428"/>
    <mergeCell ref="N439:O439"/>
    <mergeCell ref="G435:O435"/>
    <mergeCell ref="G432:O432"/>
    <mergeCell ref="B438:O438"/>
    <mergeCell ref="P448:P472"/>
    <mergeCell ref="B453:D453"/>
    <mergeCell ref="B461:D461"/>
    <mergeCell ref="B462:D462"/>
    <mergeCell ref="E431:F431"/>
    <mergeCell ref="C424:O424"/>
    <mergeCell ref="B421:M421"/>
    <mergeCell ref="B422:O422"/>
    <mergeCell ref="B419:O419"/>
    <mergeCell ref="C425:O425"/>
    <mergeCell ref="G433:O433"/>
    <mergeCell ref="E430:F430"/>
    <mergeCell ref="B430:D436"/>
    <mergeCell ref="B410:O410"/>
    <mergeCell ref="C411:O411"/>
    <mergeCell ref="Y446:Z446"/>
    <mergeCell ref="G365:I365"/>
    <mergeCell ref="L341:O341"/>
    <mergeCell ref="L342:O346"/>
    <mergeCell ref="L347:O352"/>
    <mergeCell ref="J364:K364"/>
    <mergeCell ref="G363:I363"/>
    <mergeCell ref="E366:F366"/>
    <mergeCell ref="L376:O376"/>
    <mergeCell ref="B365:D365"/>
    <mergeCell ref="C399:N399"/>
    <mergeCell ref="B411:B412"/>
    <mergeCell ref="C407:O407"/>
    <mergeCell ref="G450:I450"/>
    <mergeCell ref="J450:K450"/>
    <mergeCell ref="E450:F450"/>
    <mergeCell ref="G367:I367"/>
    <mergeCell ref="G366:I366"/>
    <mergeCell ref="P375:P380"/>
    <mergeCell ref="J359:K359"/>
    <mergeCell ref="J356:K356"/>
    <mergeCell ref="B374:O374"/>
    <mergeCell ref="L377:O377"/>
    <mergeCell ref="B372:O372"/>
    <mergeCell ref="G380:O380"/>
    <mergeCell ref="G362:I362"/>
    <mergeCell ref="E449:F449"/>
    <mergeCell ref="B449:D449"/>
    <mergeCell ref="P441:P442"/>
    <mergeCell ref="B445:O445"/>
    <mergeCell ref="J387:K387"/>
    <mergeCell ref="B406:O406"/>
    <mergeCell ref="E453:F453"/>
    <mergeCell ref="B405:O405"/>
    <mergeCell ref="C398:N398"/>
    <mergeCell ref="F322:L322"/>
    <mergeCell ref="F298:L298"/>
    <mergeCell ref="B292:L292"/>
    <mergeCell ref="B303:O303"/>
    <mergeCell ref="B306:M306"/>
    <mergeCell ref="B320:O320"/>
    <mergeCell ref="F321:L321"/>
    <mergeCell ref="F315:L315"/>
    <mergeCell ref="J360:K360"/>
    <mergeCell ref="B381:G381"/>
    <mergeCell ref="E382:F382"/>
    <mergeCell ref="B408:P408"/>
    <mergeCell ref="B409:P409"/>
    <mergeCell ref="E383:F383"/>
    <mergeCell ref="H381:O381"/>
    <mergeCell ref="B390:O390"/>
    <mergeCell ref="E387:F387"/>
    <mergeCell ref="G386:I386"/>
    <mergeCell ref="E385:F385"/>
    <mergeCell ref="C400:N400"/>
    <mergeCell ref="N443:O443"/>
    <mergeCell ref="B444:O444"/>
    <mergeCell ref="N446:O446"/>
    <mergeCell ref="C397:N397"/>
    <mergeCell ref="J401:O401"/>
    <mergeCell ref="C404:O404"/>
    <mergeCell ref="B403:O403"/>
    <mergeCell ref="B402:O402"/>
    <mergeCell ref="B401:I401"/>
  </mergeCells>
  <phoneticPr fontId="0" type="noConversion"/>
  <conditionalFormatting sqref="J450:K450">
    <cfRule type="cellIs" dxfId="17" priority="5" stopIfTrue="1" operator="lessThan">
      <formula>$Y$449</formula>
    </cfRule>
  </conditionalFormatting>
  <conditionalFormatting sqref="G450:I450">
    <cfRule type="cellIs" dxfId="16" priority="4" operator="lessThan">
      <formula>$Y$449</formula>
    </cfRule>
  </conditionalFormatting>
  <conditionalFormatting sqref="G451:I451">
    <cfRule type="cellIs" dxfId="15" priority="3" operator="lessThan">
      <formula>$Y$449</formula>
    </cfRule>
  </conditionalFormatting>
  <conditionalFormatting sqref="G453:I453">
    <cfRule type="cellIs" dxfId="14" priority="2" operator="lessThan">
      <formula>$Y$449</formula>
    </cfRule>
  </conditionalFormatting>
  <conditionalFormatting sqref="G464:I470">
    <cfRule type="cellIs" dxfId="13" priority="1" operator="lessThan">
      <formula>$Y$449</formula>
    </cfRule>
  </conditionalFormatting>
  <dataValidations xWindow="555" yWindow="450" count="109">
    <dataValidation type="list" allowBlank="1" showInputMessage="1" showErrorMessage="1" promptTitle="Great toe amputation" prompt="Select extent of loss." sqref="B8:O8" xr:uid="{B2C92CB5-0359-4936-97B8-4E72864D7369}">
      <formula1>$U$7:$AO$7</formula1>
    </dataValidation>
    <dataValidation type="list" allowBlank="1" showInputMessage="1" showErrorMessage="1" promptTitle="Sensation loss" prompt="Select partial or total. Partial is part of the toe. Total means the entire toe." sqref="C24:N24" xr:uid="{1CBAA290-016B-4210-8176-1AB0FB134C70}">
      <formula1>$S$24:$U$24</formula1>
    </dataValidation>
    <dataValidation type="list" allowBlank="1" showInputMessage="1" showErrorMessage="1" promptTitle="Hypersensitivity" prompt="Select partial or total. Partial is part of the toe. Total means the entire toe." sqref="C25:N25" xr:uid="{CD4E636F-F6D5-4052-B57F-00D7D8D71327}">
      <formula1>$S$25:$U$25</formula1>
    </dataValidation>
    <dataValidation type="list" allowBlank="1" showInputMessage="1" showErrorMessage="1" promptTitle="Second toe amputation" prompt="Select extent of loss." sqref="B46:O46" xr:uid="{77BE6071-5197-4A07-A873-48A7E13348D8}">
      <formula1>$U$45:$AO$45</formula1>
    </dataValidation>
    <dataValidation type="list" allowBlank="1" showInputMessage="1" showErrorMessage="1" promptTitle="DIP joint" prompt="No rating is given for loss of motion in the distal interphalangeal joint, except in the case of ankylosis. " sqref="C169:G169" xr:uid="{BE2FD669-DD32-47B6-93FC-3FCF1259D163}">
      <formula1>$S$169:$V$169</formula1>
    </dataValidation>
    <dataValidation type="list" allowBlank="1" showInputMessage="1" showErrorMessage="1" promptTitle="PIP joint" prompt="No rating is given for loss of motion in the proximal interphalangeal joint, except in the case of ankylosis. " sqref="C170:G170" xr:uid="{463C7ED3-E594-41AA-9CBF-661CC00F5553}">
      <formula1>$S$170:$V$170</formula1>
    </dataValidation>
    <dataValidation type="list" allowBlank="1" showInputMessage="1" showErrorMessage="1" promptTitle="Third toe amputation" prompt="Select extent of loss." sqref="B86:O86" xr:uid="{E1D43615-C5C1-4412-9AE9-4ECABEF0E63D}">
      <formula1>$U$85:$AO$85</formula1>
    </dataValidation>
    <dataValidation type="list" allowBlank="1" showInputMessage="1" showErrorMessage="1" promptTitle="Fourth toe amputation" prompt="Select extent of loss." sqref="B126:O126" xr:uid="{6C962D35-FA2A-4042-AE0B-B41BB0306D55}">
      <formula1>$U$125:$AO$125</formula1>
    </dataValidation>
    <dataValidation type="list" allowBlank="1" showInputMessage="1" showErrorMessage="1" promptTitle="Fifth toe amputation" prompt="Select extent of loss." sqref="B166:O166" xr:uid="{7CEB4C4B-F2D6-4270-8271-296CB712569D}">
      <formula1>$U$165:$AO$165</formula1>
    </dataValidation>
    <dataValidation type="list" allowBlank="1" showInputMessage="1" showErrorMessage="1" promptTitle="DIP joint" prompt="No rating is given for loss of motion in the distal interphalangeal joint, except in the case of ankylosis. " sqref="C49" xr:uid="{8B9A4BB1-3DAB-472E-9E14-07E967358A82}">
      <formula1>$S$49:$V$49</formula1>
    </dataValidation>
    <dataValidation type="list" allowBlank="1" showInputMessage="1" showErrorMessage="1" promptTitle="PIP joint" prompt="No rating is given for loss of motion in the proximal interphalangeal joint, except in the case of ankylosis. " sqref="C50" xr:uid="{A2B78135-17DD-44F6-9CE1-15D282D451D7}">
      <formula1>$S$50:$V$50</formula1>
    </dataValidation>
    <dataValidation type="list" allowBlank="1" showInputMessage="1" showErrorMessage="1" promptTitle="Sensation loss" prompt="Select partial or total. Partial is part of the toe. Total means the entire toe." sqref="C62:N62" xr:uid="{2FA02AF7-8043-4A01-A43C-6FA4A06B1477}">
      <formula1>$S$62:$U$62</formula1>
    </dataValidation>
    <dataValidation type="list" allowBlank="1" showInputMessage="1" showErrorMessage="1" promptTitle="Hypersensitivity" prompt="Select partial or total. Partial is part of the toe. Total means the entire toe." sqref="C63:N63" xr:uid="{3074A464-C140-4226-9889-3014FB86B939}">
      <formula1>$S$63:$U$63</formula1>
    </dataValidation>
    <dataValidation type="list" allowBlank="1" showInputMessage="1" showErrorMessage="1" promptTitle="DIP joint" prompt="No rating is given for loss of motion in the distal interphalangeal joint, except in the case of ankylosis. " sqref="C89:G89" xr:uid="{F1D382C0-42C8-417D-9F96-3A753DF0224C}">
      <formula1>$S$89:$V$89</formula1>
    </dataValidation>
    <dataValidation type="list" allowBlank="1" showInputMessage="1" showErrorMessage="1" promptTitle="PIP joint" prompt="No rating is given for loss of motion in the proximal interphalangeal joint, except in the case of ankylosis. " sqref="C90:G90" xr:uid="{0D673CBD-559C-4226-A0D4-A51DA1F8A439}">
      <formula1>$S$90:$V$90</formula1>
    </dataValidation>
    <dataValidation type="list" allowBlank="1" showInputMessage="1" showErrorMessage="1" promptTitle="Sensation loss" prompt="Select partial or total. Partial is part of the toe. Total means the entire toe." sqref="C102:N102" xr:uid="{B67D64C2-F1D4-46AE-88FF-971A94D4D640}">
      <formula1>$S$102:$U$102</formula1>
    </dataValidation>
    <dataValidation type="list" allowBlank="1" showInputMessage="1" showErrorMessage="1" promptTitle="Hypersensitivity" prompt="Select partial or total. Partial is part of the toe. Total means the entire toe." sqref="C103:N103" xr:uid="{CB8A167D-F39D-4360-A9DF-BA7EE4D68D56}">
      <formula1>$S$103:$U$103</formula1>
    </dataValidation>
    <dataValidation type="list" allowBlank="1" showInputMessage="1" showErrorMessage="1" promptTitle="DIP joint" prompt="No rating is given for loss of motion in the distal interphalangeal joint, except in the case of ankylosis. " sqref="C129:G129" xr:uid="{6ABB4481-693E-45E9-ACCA-67D992357627}">
      <formula1>$S$129:$V$129</formula1>
    </dataValidation>
    <dataValidation type="list" allowBlank="1" showInputMessage="1" showErrorMessage="1" promptTitle="PIP joint" prompt="No rating is given for loss of motion in the proximal interphalangeal joint, except in the case of ankylosis. " sqref="C130:G130" xr:uid="{120B5DC1-2DEE-4592-B5A6-3DB8AD571DB0}">
      <formula1>$S$130:$V$130</formula1>
    </dataValidation>
    <dataValidation type="list" allowBlank="1" showInputMessage="1" showErrorMessage="1" promptTitle="Sensation loss" prompt="Select partial or total. Partial is part of the toe. Total means the entire toe." sqref="C142:N142" xr:uid="{54752454-571C-4DBB-A3FE-E670CD3B9AE9}">
      <formula1>$S$142:$U$142</formula1>
    </dataValidation>
    <dataValidation type="list" allowBlank="1" showInputMessage="1" showErrorMessage="1" promptTitle="Hypersensitivity" prompt="Select partial or total. Partial is part of the toe. Total means the entire toe." sqref="C143:N143" xr:uid="{9441DFED-85AB-44BF-AA8B-DA54DF008FD2}">
      <formula1>$S$143:$U$143</formula1>
    </dataValidation>
    <dataValidation type="list" allowBlank="1" showInputMessage="1" showErrorMessage="1" promptTitle="Sensation loss" prompt="Select partial or total. Partial is part of the toe. Total means the entire toe." sqref="C182:N182" xr:uid="{B8F8C985-6A56-46AA-BC6F-5F413D0D4AD7}">
      <formula1>$S$182:$U$182</formula1>
    </dataValidation>
    <dataValidation type="list" allowBlank="1" showInputMessage="1" showErrorMessage="1" promptTitle="Hypersensitivity" prompt="Select partial or total. Partial is part of the toe. Total means the entire toe." sqref="C183:N183" xr:uid="{1D3859CB-0B2A-478E-92DF-BA226ABC860F}">
      <formula1>$S$183:$U$183</formula1>
    </dataValidation>
    <dataValidation type="list" allowBlank="1" showInputMessage="1" showErrorMessage="1" promptTitle="Sensation loss" prompt="Select partial or total. Partial is part of the foot. Total means the entire foot." sqref="C238:N238" xr:uid="{15508740-DF85-430C-9707-AAED750BB98C}">
      <formula1>$S$238:$U$238</formula1>
    </dataValidation>
    <dataValidation type="list" allowBlank="1" showInputMessage="1" showErrorMessage="1" promptTitle="Hypersensitivity" prompt="Select partial or total. Partial is part of the foot. Total means the entire foot." sqref="C239:N239" xr:uid="{288A6D27-9758-49B3-8A86-AF8334B4B292}">
      <formula1>$S$239:$U$239</formula1>
    </dataValidation>
    <dataValidation type="list" allowBlank="1" showInputMessage="1" showErrorMessage="1" promptTitle="Ankle instability" prompt="Select severity of damage to the lateral collateral ligaments. Examples of ligaments that may contribute to joint instability: anterior talofibular, calcaneofibular, talocalcaneal, posterior talocalcaneal, and the posterior talofibular." sqref="G242:O242" xr:uid="{AC2BB479-4F9B-4B5F-8654-72AD9A9B3F44}">
      <formula1>$S$242:$V$242</formula1>
    </dataValidation>
    <dataValidation type="list" allowBlank="1" showInputMessage="1" showErrorMessage="1" promptTitle="Knee joint instability" prompt="Select severity of the joint opening." sqref="C397:N400" xr:uid="{8393984C-B5F0-4970-B853-892D105451BE}">
      <formula1>$S$395:$V$395</formula1>
    </dataValidation>
    <dataValidation type="list" allowBlank="1" showInputMessage="1" showErrorMessage="1" promptTitle="Tibial shaft fracture" prompt="Select severity of malalignment (rotational deformity) resulting from the tibial shaft fracture." sqref="C407:O407" xr:uid="{9446211A-2729-4BD9-9272-C0FBC204D169}">
      <formula1>$S$406:$AM$406</formula1>
    </dataValidation>
    <dataValidation type="decimal" operator="equal" allowBlank="1" showInputMessage="1" showErrorMessage="1" promptTitle="Surgery" prompt="Check (click) the box or boxes if surgery has occurred to the IP or MP joints." sqref="A30" xr:uid="{FE0FD743-3AB1-42AF-9992-EFE3648C2C85}">
      <formula1>W30</formula1>
    </dataValidation>
    <dataValidation type="decimal" operator="equal" allowBlank="1" showInputMessage="1" showErrorMessage="1" promptTitle="Amputation - metatarsals" prompt="Check (click) the box next to amputated metatarsals, if any." sqref="A208" xr:uid="{4B306E2D-CA82-4F2E-A472-7058B4B8E964}">
      <formula1>W208</formula1>
    </dataValidation>
    <dataValidation type="decimal" operator="equal" allowBlank="1" showInputMessage="1" showErrorMessage="1" promptTitle="Ankylosis - metatarsals" prompt="Check (click) the box next to ankylosed  metatarsals, if any." sqref="A215" xr:uid="{67223F49-A3CB-4EAB-9DE7-C53950E9F3E7}">
      <formula1>W215</formula1>
    </dataValidation>
    <dataValidation type="decimal" operator="equal" allowBlank="1" showInputMessage="1" showErrorMessage="1" promptTitle="Ankle angulation" prompt="Check (click) varus or valgus, if applicable." sqref="A247" xr:uid="{5C0D28DD-53F0-4248-BC3B-F01B75C0F409}">
      <formula1>W247</formula1>
    </dataValidation>
    <dataValidation type="decimal" operator="equal" allowBlank="1" showInputMessage="1" showErrorMessage="1" promptTitle="Rocker bottom deformity" prompt="Check (click) the box if the worker has rocker bottom deformity of the foot." sqref="A248" xr:uid="{E7BF5782-A110-41EE-975A-53A7AF5DA173}">
      <formula1>W248</formula1>
    </dataValidation>
    <dataValidation type="decimal" operator="equal" allowBlank="1" showInputMessage="1" showErrorMessage="1" promptTitle="Additional foot loss" prompt="Check (click) the boxes that describe the worker's condition, if any." sqref="A257" xr:uid="{9C1AFC83-B070-48DE-9F8D-B0944ECAFE5F}">
      <formula1>W257</formula1>
    </dataValidation>
    <dataValidation type="decimal" operator="equal" allowBlank="1" showInputMessage="1" showErrorMessage="1" promptTitle="Chronic condition" prompt="Select &quot;Yes&quot; if the worker has a chronic condition as described in OAR 436-035-0019." sqref="A443 A267" xr:uid="{2B4ED7AE-925A-4FA3-B0DF-E1AB07D74D59}">
      <formula1>W267</formula1>
    </dataValidation>
    <dataValidation type="decimal" operator="equal" allowBlank="1" showInputMessage="1" showErrorMessage="1" promptTitle="Strength loss" prompt="Check the boxes and options that describe the worker's strength loss and show the extent of loss using the 0 to 5 international grading system. See OAR 436-035-0011." sqref="A281" xr:uid="{5F863BCA-4AF1-4E3A-AD10-140D5A41E7D7}">
      <formula1>AK283</formula1>
    </dataValidation>
    <dataValidation type="decimal" operator="equal" allowBlank="1" showInputMessage="1" showErrorMessage="1" promptTitle="Amputation - Leg" prompt="Select the level of loss, if any." sqref="A373" xr:uid="{B07F41EB-FF26-45C7-844A-2ACF4097AEC4}">
      <formula1>W373</formula1>
    </dataValidation>
    <dataValidation type="decimal" operator="equal" allowBlank="1" showInputMessage="1" showErrorMessage="1" promptTitle="Knee angulation or malalignment" prompt="Select varus or valgus deformity, if applicable." sqref="A404" xr:uid="{A89A7B40-FBE1-40D2-AA85-07BEC4B3FDF4}">
      <formula1>W404</formula1>
    </dataValidation>
    <dataValidation type="decimal" operator="equal" allowBlank="1" showInputMessage="1" showErrorMessage="1" promptTitle="Motor loss" prompt="Show severity of motor loss, if any, due to brain or spinal cord damage." sqref="A424" xr:uid="{DF1CCA4C-D265-441C-8A94-2D2F81B7AB52}">
      <formula1>W424</formula1>
    </dataValidation>
    <dataValidation type="decimal" operator="equal" allowBlank="1" showInputMessage="1" showErrorMessage="1" promptTitle="Additional leg impairment" prompt="Select the conditions, if any, affecting the leg." sqref="A431" xr:uid="{EFC957AF-6EB9-4B62-87CA-E047A34F13B9}">
      <formula1>W431</formula1>
    </dataValidation>
    <dataValidation type="decimal" operator="equal" allowBlank="1" showInputMessage="1" showErrorMessage="1" promptTitle="Standing or walking limitation" prompt="Select &quot;Yes&quot; if the worker has the limitation described." sqref="A439" xr:uid="{C83254EB-0FC9-443A-8E39-C6CCB9068431}">
      <formula1>W439</formula1>
    </dataValidation>
    <dataValidation type="decimal" operator="equal" allowBlank="1" showInputMessage="1" showErrorMessage="1" promptTitle="Surgery" prompt="Check (click) the box or boxes if surgery has occurred to the DIP, PIP, or MP joints." sqref="A188 A68 A108 A148" xr:uid="{F6E91216-84BF-40DD-BC45-FCBAE79345C6}">
      <formula1>W68</formula1>
    </dataValidation>
    <dataValidation type="decimal" operator="equal" allowBlank="1" showInputMessage="1" showErrorMessage="1" promptTitle="Amputation - Foot" prompt="Select the level of loss, if any." sqref="A207" xr:uid="{3FBD43BC-3939-4750-A83B-EDB2776A0A63}">
      <formula1>W207</formula1>
    </dataValidation>
    <dataValidation type="textLength" operator="equal" allowBlank="1" showInputMessage="1" showErrorMessage="1" sqref="A407:A408" xr:uid="{3AE10B18-BD4F-4865-AC8F-F1140125E12D}">
      <formula1>W404</formula1>
    </dataValidation>
    <dataValidation type="decimal" operator="equal" allowBlank="1" showInputMessage="1" showErrorMessage="1" promptTitle="Leg surgery" prompt="Select the type and extent of surgery, if any." sqref="A411:A412" xr:uid="{C76BCE2D-F04D-4DCC-A86D-7466858991AF}">
      <formula1>W413</formula1>
    </dataValidation>
    <dataValidation type="decimal" operator="equal" allowBlank="1" showInputMessage="1" showErrorMessage="1" promptTitle="Ankle joint instability" prompt="Show extent of disability." sqref="A241" xr:uid="{D2011AE2-81C9-42BF-BBE8-0C95D821C220}">
      <formula1>W241</formula1>
    </dataValidation>
    <dataValidation type="decimal" operator="equal" allowBlank="1" showInputMessage="1" showErrorMessage="1" promptTitle="Ankle replacement" prompt="Check the box if the worker has had a prosthetic ankle replacement." sqref="A250" xr:uid="{F587780F-CDB4-4E79-B5B7-AA4E7886A1DE}">
      <formula1>W250</formula1>
    </dataValidation>
    <dataValidation type="list" allowBlank="1" showInputMessage="1" showErrorMessage="1" promptTitle="Ankle instability" prompt="Select severity of damage to the medial collateral ligaments._x000a_Examples of ligaments that may contribute to joint instability: tibionavicular, calcaneotibial, anterior talotibial, and the posterior talotibial." sqref="G243:O243" xr:uid="{9966CFE4-F63C-4AE0-88EF-D2F89F9EB7FA}">
      <formula1>$S$242:$V$242</formula1>
    </dataValidation>
    <dataValidation allowBlank="1" showInputMessage="1" showErrorMessage="1" promptTitle="Date of injury" prompt="The dollar value of each degree of disability depends on the date of injury, and the program cannot calculate the disability award without the date." sqref="C489:E489" xr:uid="{BB4101D0-03A2-44E9-8A80-7B8E84F23CC6}"/>
    <dataValidation allowBlank="1" showInputMessage="1" showErrorMessage="1" promptTitle="End of worksheet" prompt="Press TAB to return to top of sheet." sqref="P501" xr:uid="{1D535835-7019-47DF-9E92-59A25EEF36DE}"/>
    <dataValidation type="decimal" allowBlank="1" showInputMessage="1" showErrorMessage="1" promptTitle="Apportionment (if any)" prompt="Enter percentage of impairment caused by the injury or illness. See OAR 436-035-0013." sqref="H195:I195 G155:G157 G450 H115:I115 G115:G117 H354:I354 H36:I36 H356:I358 G354:G358 G36:G38 H75:I75 G75:G77 G453:I453 G362:I366 G195:G197 G464:I470 H155:I155 G451:I451 C233:D233" xr:uid="{267A7108-719D-482F-824C-9FC2CBA8B7F3}">
      <formula1>$B$507</formula1>
      <formula2>$C$507</formula2>
    </dataValidation>
    <dataValidation type="list" allowBlank="1" showInputMessage="1" showErrorMessage="1" promptTitle="Surgery" prompt="Menisci: Select extent of loss. No additional value is allowed for multiple partial resections of a single meniscus. A meniscectomy is rated as a complete loss unless the record indicates that more than the rim of the meniscus remains." sqref="C411:O411" xr:uid="{BA45A77F-F84E-4741-AB6A-B49BF3495D32}">
      <formula1>$R$410:$W$410</formula1>
    </dataValidation>
    <dataValidation type="list" allowBlank="1" showInputMessage="1" showErrorMessage="1" promptTitle="Dermatological condition" prompt="Affecting toe -- select from classes 1-5. See OAR 436-035-0230." sqref="O28 O66 O106 O146 O186" xr:uid="{311BDE64-4AFC-4A3C-8F16-80E20676EC7D}">
      <formula1>U27:Y27</formula1>
    </dataValidation>
    <dataValidation type="list" showInputMessage="1" showErrorMessage="1" promptTitle="Great toe ankylosis" prompt="Enter degrees of plantarflexion ankylosis, interphalangeal joint. If joint was not affected by the injury, select &quot;NA&quot; or leave blank." sqref="C14:D14" xr:uid="{D8FBE69A-BA26-4067-9882-CBDE6E820AEB}">
      <formula1>$B$513:$B$544</formula1>
    </dataValidation>
    <dataValidation type="list" showInputMessage="1" showErrorMessage="1" promptTitle="Great toe ROM" prompt="Enter retained degrees of motion, interphalangeal joint, plantar flexion. If joint was not affected by the injury, select &quot;NA&quot; or leave blank." sqref="C13:D13" xr:uid="{1879F8BE-2B7C-4B87-B795-EC973B05FCDE}">
      <formula1>$B$513:$B$544</formula1>
    </dataValidation>
    <dataValidation type="list" showInputMessage="1" showErrorMessage="1" promptTitle="Contralateral comparison" prompt="Enter retained degrees of motion or &quot;NA&quot; if contralateral joint has a history of injury or disease." sqref="G13:I13 G18:I18 G56:I56 G96:I96 G136:I136 G176:I176 G222:I222 G383:I383" xr:uid="{A979AA6C-674D-4A2D-8CAE-AC01093114BD}">
      <formula1>$B$513:$B$544</formula1>
    </dataValidation>
    <dataValidation type="list" showInputMessage="1" showErrorMessage="1" promptTitle="Great toe ankylosis" prompt="Enter degrees of plantarflexion ankylosis, metatarsophalangeal joint. If joint was not affected by the injury, select &quot;NA&quot; or leave blank." sqref="C19:D19" xr:uid="{B304567B-7C00-46A0-9DA6-EBB401E4287A}">
      <formula1>$B$513:$B$544</formula1>
    </dataValidation>
    <dataValidation type="list" showInputMessage="1" showErrorMessage="1" promptTitle="Great toe ROM" prompt="Enter retained degrees of motion,metatarsophalangeal joint, plantar flexion. If joint was not affected by the injury, select &quot;NA&quot; or leave blank." sqref="C18:D18" xr:uid="{CC091746-CF97-4BC8-A698-8313BA0CC3C8}">
      <formula1>$B$513:$B$544</formula1>
    </dataValidation>
    <dataValidation type="list" showInputMessage="1" showErrorMessage="1" promptTitle="Great toe ankylosis" prompt="Enter degrees of dorsiflexion ankylosis, metatarsophalangeal joint. If joint was not affected by the injury, select &quot;NA&quot; or leave blank." sqref="C17:D17" xr:uid="{FE5911E3-6E9D-4EE6-A6C9-8AC32A450F18}">
      <formula1>$B$513:$B$564</formula1>
    </dataValidation>
    <dataValidation type="list" showInputMessage="1" showErrorMessage="1" promptTitle="Great toe ROM" prompt="Enter retained degrees of motion, metatarsophalangeal joint, dorsiflexion (extension). If joint was not affected by the injury, select &quot;NA&quot; or leave blank." sqref="C16:D16" xr:uid="{A84CDC6C-DCB7-4766-8343-9F42202C2941}">
      <formula1>$B$513:$B$564</formula1>
    </dataValidation>
    <dataValidation type="list" showInputMessage="1" showErrorMessage="1" promptTitle="Contralateral comparison" prompt="Enter retained degrees of motion or &quot;NA&quot; if contralateral joint has a history of injury or disease." sqref="G16:I16 G387:I387" xr:uid="{ADE5FF73-7A00-458D-B5D3-D1F0CCD4D6C4}">
      <formula1>$B$513:$B$564</formula1>
    </dataValidation>
    <dataValidation type="list" showInputMessage="1" showErrorMessage="1" promptTitle="Second toe ankylosis" prompt="Enter degrees of plantarflexion ankylosis, metatarsophalangeal joint. If joint was not affected by the injury, select &quot;NA&quot; or leave blank." sqref="C57:D57" xr:uid="{1DD0E136-8C88-4A92-AADB-11EB567DF673}">
      <formula1>$B$513:$B$544</formula1>
    </dataValidation>
    <dataValidation type="list" showInputMessage="1" showErrorMessage="1" promptTitle="Second toe ROM" prompt="Enter retained degrees of motion,metatarsophalangeal joint, plantar flexion. If joint was not affected by the injury, select &quot;NA&quot; or leave blank." sqref="C56:D56" xr:uid="{D3AC209D-8536-4908-A9B5-3C7302294D46}">
      <formula1>$B$513:$B$544</formula1>
    </dataValidation>
    <dataValidation type="list" showInputMessage="1" showErrorMessage="1" promptTitle="Second toe ankylosis" prompt="Enter degrees of dorsiflexion ankylosis,metatarsophalangeal joint. If joint was not affected by the injury, select &quot;NA&quot; or leave blank." sqref="C55:D55" xr:uid="{EC758E1C-0867-4CC3-BDF2-17E02A9778D7}">
      <formula1>$B$513:$B$554</formula1>
    </dataValidation>
    <dataValidation type="list" showInputMessage="1" showErrorMessage="1" promptTitle="Second toe ROM" prompt="Enter retained degrees of motion, metatarsophalangeal joint, dorsiflexion (extension). If joint was not affected by the injury, select &quot;NA&quot; or leave blank." sqref="C54:D54" xr:uid="{CD36C687-6BAC-4996-9B2C-A82EE4A4B5F4}">
      <formula1>$B$513:$B$554</formula1>
    </dataValidation>
    <dataValidation type="list" showInputMessage="1" showErrorMessage="1" promptTitle="Contralateral comparison" prompt="Enter retained degrees of motion or &quot;NA&quot; if contralateral joint has a history of injury or disease." sqref="G54:I54 G94:I94 G134:I134 G174:I174 G230:I230 G384:I384 G386:I386" xr:uid="{2645A720-64BA-4EDC-A24D-66D8AB35F24B}">
      <formula1>$B$513:$B$554</formula1>
    </dataValidation>
    <dataValidation type="list" showInputMessage="1" showErrorMessage="1" promptTitle="Third toe ankylosis" prompt="Enter degrees of plantarflexion ankylosis, metatarsophalangeal joint. If joint was not affected by the injury, select &quot;NA&quot; or leave blank." sqref="C97:D97" xr:uid="{7FBFD8A9-DE67-40ED-8034-98E7C471F703}">
      <formula1>$B$513:$B$544</formula1>
    </dataValidation>
    <dataValidation type="list" showInputMessage="1" showErrorMessage="1" promptTitle="Third toe ROM" prompt="Enter retained degrees of motion,metatarsophalangeal joint, plantar flexion. If joint was not affected by the injury, select &quot;NA&quot; or leave blank." sqref="C96:D96" xr:uid="{B1BACE4A-11ED-4D11-A1F8-38DF42967714}">
      <formula1>$B$513:$B$544</formula1>
    </dataValidation>
    <dataValidation type="list" showInputMessage="1" showErrorMessage="1" promptTitle="Third toe ankylosis" prompt="Enter degrees of dorsiflexion ankylosis,metatarsophalangeal joint. If joint was not affected by the injury, select &quot;NA&quot; or leave blank." sqref="C95:D95" xr:uid="{C20B7659-32A4-4CD9-AEAB-A4C8BB157887}">
      <formula1>$B$513:$B$554</formula1>
    </dataValidation>
    <dataValidation type="list" showInputMessage="1" showErrorMessage="1" promptTitle="Third toe ROM" prompt="Enter retained degrees of motion, metatarsophalangeal joint, dorsiflexion (extension). If joint was not affected by the injury, select &quot;NA&quot; or leave blank." sqref="C94:D94" xr:uid="{4AC74C21-BD6E-46D0-8E1E-9E1D40F1B63E}">
      <formula1>$B$513:$B$554</formula1>
    </dataValidation>
    <dataValidation type="list" showInputMessage="1" showErrorMessage="1" promptTitle="Fourth toe ankylosis" prompt="Enter degrees of plantarflexion ankylosis, metatarsophalangeal joint. If joint was not affected by the injury, select &quot;NA&quot; or leave blank." sqref="C137:D137" xr:uid="{F4293A74-0F6A-4F37-B206-E3FA67EBE737}">
      <formula1>$B$513:$B$544</formula1>
    </dataValidation>
    <dataValidation type="list" showInputMessage="1" showErrorMessage="1" promptTitle="Fourth toe ROM" prompt="Enter retained degrees of motion,metatarsophalangeal joint, plantar flexion. If joint was not affected by the injury, select &quot;NA&quot; or leave blank." sqref="C136:D136" xr:uid="{55A9B9BB-4B51-4D28-879A-C951A88C19AF}">
      <formula1>$B$513:$B$544</formula1>
    </dataValidation>
    <dataValidation type="list" showInputMessage="1" showErrorMessage="1" promptTitle="Fourth toe ankylosis" prompt="Enter degrees of dorsiflexion ankylosis,metatarsophalangeal joint. If joint was not affected by the injury, select &quot;NA&quot; or leave blank." sqref="C135:D135" xr:uid="{C011D860-0A0B-431A-A9D7-1F45CDE8417F}">
      <formula1>$B$513:$B$554</formula1>
    </dataValidation>
    <dataValidation type="list" showInputMessage="1" showErrorMessage="1" promptTitle="Fourth toe ROM" prompt="Enter retained degrees of motion, metatarsophalangeal joint, dorsiflexion (extension). If joint was not affected by the injury, select &quot;NA&quot; or leave blank." sqref="C134:D134" xr:uid="{5ED941A7-FAFE-4822-AFF4-D1B8832B5E69}">
      <formula1>$B$513:$B$554</formula1>
    </dataValidation>
    <dataValidation type="list" showInputMessage="1" showErrorMessage="1" promptTitle="Fifth toe ankylosis" prompt="Enter degrees of plantarflexion ankylosis, metatarsophalangeal joint. If joint was not affected by the injury, select &quot;NA&quot; or leave blank." sqref="C177:D177" xr:uid="{0CAF75E9-8FD7-4F88-BAF5-E48A66B5C49E}">
      <formula1>$B$513:$B$544</formula1>
    </dataValidation>
    <dataValidation type="list" showInputMessage="1" showErrorMessage="1" promptTitle="Fifth toe ROM" prompt="Enter retained degrees of motion,metatarsophalangeal joint, plantar flexion. If joint was not affected by the injury, select &quot;NA&quot; or leave blank." sqref="C176:D176" xr:uid="{E6FB2124-30CC-4AD5-8E31-686296D0DBC9}">
      <formula1>$B$513:$B$544</formula1>
    </dataValidation>
    <dataValidation type="list" showInputMessage="1" showErrorMessage="1" promptTitle="Fifth toe ankylosis" prompt="Enter degrees of dorsiflexion ankylosis,metatarsophalangeal joint. If joint was not affected by the injury, select &quot;NA&quot; or leave blank." sqref="C175:D175" xr:uid="{EBECFAA7-7D61-4AFE-B752-E3686C19D2F2}">
      <formula1>$B$513:$B$554</formula1>
    </dataValidation>
    <dataValidation type="list" showInputMessage="1" showErrorMessage="1" promptTitle="Fifth toe ROM" prompt="Enter retained degrees of motion, metatarsophalangeal joint, dorsiflexion (extension). If joint was not affected by the injury, select &quot;NA&quot; or leave blank." sqref="C174:D174" xr:uid="{71DABC32-CAE4-4556-935E-5FD5599ABC3D}">
      <formula1>$B$513:$B$554</formula1>
    </dataValidation>
    <dataValidation type="list" showInputMessage="1" showErrorMessage="1" promptTitle="Ankylosis (valgus)" prompt="Enter degrees subtalar eversion ankylosis of the foot.  If joint was not affected by the injury, select &quot;NA&quot; or leave blank." sqref="C225:D225" xr:uid="{CC9846D9-4328-42DF-A979-BB3D2A348ECE}">
      <formula1>$B$513:$B$534</formula1>
    </dataValidation>
    <dataValidation type="list" showInputMessage="1" showErrorMessage="1" promptTitle="ROM, Foot" prompt="Enter retained degrees of motion, subtalar eversion. If joint was not affected by the injury, select &quot;NA&quot; or leave blank." sqref="C224:D224" xr:uid="{EA0368CD-C525-493C-9BA2-1D375132AF9A}">
      <formula1>$B$513:$B$534</formula1>
    </dataValidation>
    <dataValidation type="list" showInputMessage="1" showErrorMessage="1" promptTitle="Ankylosis (varus)" prompt="Enter degrees subtalar inversion ankylosis of the foot.  If joint was not affected by the injury, select &quot;NA&quot; or leave blank." sqref="C223:D223" xr:uid="{1792C0CA-0D55-4731-8E21-9E9655C7CBEF}">
      <formula1>$B$513:$B$544</formula1>
    </dataValidation>
    <dataValidation type="list" showInputMessage="1" showErrorMessage="1" promptTitle="ROM, Foot" prompt="Enter retained degrees of motion, subtalar inversion. If joint was not affected by the injury, select &quot;NA&quot; or leave blank." sqref="C222:D222" xr:uid="{E1FC964D-A148-411B-A198-AD3E40C4BAEF}">
      <formula1>$B$513:$B$544</formula1>
    </dataValidation>
    <dataValidation type="list" showInputMessage="1" showErrorMessage="1" promptTitle="Contralateral comparison" prompt="Enter retained degrees of motion or &quot;NA&quot; if contralateral joint has a history of injury or disease." sqref="G224:I224 G228:I228 G385:I385" xr:uid="{83C7861B-D867-4262-9264-4F24AD9056F1}">
      <formula1>$B$513:$B$534</formula1>
    </dataValidation>
    <dataValidation type="list" showInputMessage="1" showErrorMessage="1" promptTitle="Ankylosis" prompt="Enter degrees plantarflexion ankylosis of the ankle.  If joint was not affected by the injury, select &quot;NA&quot; or leave blank." sqref="C231:D231" xr:uid="{7584523B-A07D-4F91-ADBA-35C079F7417C}">
      <formula1>$B$513:$B$554</formula1>
    </dataValidation>
    <dataValidation type="list" showInputMessage="1" showErrorMessage="1" promptTitle="ROM, Ankle" prompt="Enter retained degrees of motion, plantar flexion. If joint was not affected by the injury, select &quot;NA&quot; or leave blank." sqref="C230:D230" xr:uid="{4AE9C651-650D-498B-8183-B15DD484CD24}">
      <formula1>$B$513:$B$554</formula1>
    </dataValidation>
    <dataValidation type="list" showInputMessage="1" showErrorMessage="1" promptTitle="Ankylosis" prompt="Enter degrees dorsiflexion (extension) ankylosis of the ankle.  If joint was not affected by the injury, select &quot;NA&quot; or leave blank." sqref="C229:D229" xr:uid="{EAAE0C2B-1B17-497D-910C-A7FA56ED9490}">
      <formula1>$B$513:$B$534</formula1>
    </dataValidation>
    <dataValidation type="list" showInputMessage="1" showErrorMessage="1" promptTitle="ROM, Ankle" prompt="Enter retained degrees of motion, dorsiflexion (extension). If joint was not affected by the injury, select &quot;NA&quot; or leave blank." sqref="C228:D228" xr:uid="{A805B2D8-00E4-4471-96CF-5E782256DF87}">
      <formula1>$B$513:$B$534</formula1>
    </dataValidation>
    <dataValidation type="list" showInputMessage="1" showErrorMessage="1" promptTitle="Knee" prompt="Enter degrees of extension ankylosis. If joint was not affected by the injury, select &quot;NA&quot; or leave blank. " sqref="C380:D380" xr:uid="{107C1E99-7489-48E1-A1BE-62EFDA8B65D6}">
      <formula1>$B$513:$B$664</formula1>
    </dataValidation>
    <dataValidation type="list" showInputMessage="1" showErrorMessage="1" promptTitle="Knee extension" prompt="Enter retained degrees of motion, extension. If joint was not affected by the injury, select &quot;NA&quot; or leave blank." sqref="C379:D379" xr:uid="{E7526856-710A-4AE1-8817-1D67CFD4DF8E}">
      <formula1>$B$513:$B$664</formula1>
    </dataValidation>
    <dataValidation type="list" showInputMessage="1" showErrorMessage="1" promptTitle="Knee" prompt="Enter degrees of flexion ankylosis. If joint was not affected by the injury, select &quot;NA&quot; or leave blank." sqref="C378:D378" xr:uid="{0EAE1418-695C-42F9-9E95-765E077AFB2C}">
      <formula1>$B$513:$B$664</formula1>
    </dataValidation>
    <dataValidation type="list" showInputMessage="1" showErrorMessage="1" promptTitle="Knee flexion" prompt="Enter retained degrees of motion, flexion. If joint was not affected by the injury, select &quot;NA&quot; or leave blank." sqref="C377:D377" xr:uid="{FB4111FA-0D9B-4030-80F8-2587EE7EA3D4}">
      <formula1>$B$513:$B$664</formula1>
    </dataValidation>
    <dataValidation type="list" showInputMessage="1" showErrorMessage="1" promptTitle="Contralateral comparison" prompt="Enter retained degrees of motion or &quot;NA&quot; if contralateral joint has a history of injury or disease." sqref="G377:I377 G379:I379" xr:uid="{BCCCEB1F-8F35-4D0E-8A2F-82E674831FBB}">
      <formula1>$B$513:$B$664</formula1>
    </dataValidation>
    <dataValidation type="list" showInputMessage="1" showErrorMessage="1" promptTitle="Hip, external rotation" prompt="Enter retained degrees of motion, external rotation. If joint was not affected by the injury, select &quot;NA&quot; or leave blank." sqref="C387:D387" xr:uid="{2B099E49-3C58-45CA-9076-4DA8A03FF244}">
      <formula1>$B$513:$B$564</formula1>
    </dataValidation>
    <dataValidation type="list" showInputMessage="1" showErrorMessage="1" promptTitle="Hip, internal rotation" prompt="Enter retained degrees of motion, internal rotation. If joint was not affected by the injury, select &quot;NA&quot; or leave blank." sqref="C386:D386" xr:uid="{E9427B08-226F-4F84-A8DB-1434A31D3899}">
      <formula1>$B$513:$B$554</formula1>
    </dataValidation>
    <dataValidation type="list" showInputMessage="1" showErrorMessage="1" promptTitle="Hip adduction" prompt="Enter retained degrees of motion, adduction. If joint was not affected by the injury, select &quot;NA&quot; or leave blank." sqref="C385:D385" xr:uid="{5F008CC6-941B-424C-AD99-F394C16EECFA}">
      <formula1>$B$513:$B$534</formula1>
    </dataValidation>
    <dataValidation type="list" showInputMessage="1" showErrorMessage="1" promptTitle="Hip abduction" prompt="Enter retained degrees of motion, abduction. If joint was not affected by the injury, select &quot;NA&quot; or leave blank." sqref="C384:D384" xr:uid="{46AE67D9-12FA-4002-9E75-7A60260E8664}">
      <formula1>$B$513:$B$554</formula1>
    </dataValidation>
    <dataValidation type="list" showInputMessage="1" showErrorMessage="1" promptTitle="Hip backward extension" prompt="Enter retained degrees of motion, backward extension. If joint was not affected by the injury, select &quot;NA&quot; or leave blank." sqref="C383:D383" xr:uid="{DB22F03B-D1AA-49BE-A328-B0839C59C820}">
      <formula1>$B$513:$B$544</formula1>
    </dataValidation>
    <dataValidation type="list" showInputMessage="1" showErrorMessage="1" promptTitle="Hip forward flexion" prompt="Enter retained degrees of motion, forward flexion. If joint was not affected by the injury, select &quot;NA&quot; or leave blank." sqref="C382:D382" xr:uid="{B8390EBA-5DDC-480A-8310-8EC95888CB32}">
      <formula1>$B$513:$B$614</formula1>
    </dataValidation>
    <dataValidation type="list" showInputMessage="1" showErrorMessage="1" promptTitle="Contralateral comparison" prompt="Enter retained degrees of motion or &quot;NA&quot; if contralateral joint has a history of injury or disease." sqref="G382:I382" xr:uid="{BD113382-A88D-4000-886E-67A1D57AE9AE}">
      <formula1>$B$513:$B$614</formula1>
    </dataValidation>
    <dataValidation type="list" allowBlank="1" showInputMessage="1" showErrorMessage="1" promptTitle="Dermatological condition" prompt="Affecting toe -- select from classes 1-5. See OAR 436-035-0230." sqref="N28 N66 N106 N146 N186" xr:uid="{0B0C5C92-E81B-426B-B640-DDD1DFD2A98D}">
      <formula1>T28:X28</formula1>
    </dataValidation>
    <dataValidation type="list" allowBlank="1" showInputMessage="1" showErrorMessage="1" promptTitle="Amputation" prompt="Select extent of amputation below the knee." sqref="B207:O207" xr:uid="{CE32C55F-82D8-412F-8446-DABCE94C2E37}">
      <formula1>$S$207:$U$207</formula1>
    </dataValidation>
    <dataValidation type="decimal" operator="equal" allowBlank="1" showInputMessage="1" showErrorMessage="1" promptTitle="Skin loss - heel" prompt="Check (click) &quot;Yes&quot; if the worker suffered full thickness skin loss of the heel." sqref="A254" xr:uid="{F8C62D08-751D-4A81-BE6B-17FDE5BEA7A6}">
      <formula1>W255</formula1>
    </dataValidation>
    <dataValidation type="list" allowBlank="1" showInputMessage="1" showErrorMessage="1" promptTitle="Dermatological condition" prompt="Affecting foot -- select from classes 1-5. See OAR 436-035-0230." sqref="N253" xr:uid="{B26511F9-3AEE-4D7D-9B52-C5F289BBD56C}">
      <formula1>$T$253:$X$253</formula1>
    </dataValidation>
    <dataValidation type="list" allowBlank="1" showInputMessage="1" showErrorMessage="1" promptTitle="Strength grade" prompt="Record strength using the 0 to 5  grading system as described in OAR 436-035-0011." sqref="N281:N285 N287:N291 N293:N298 N300:N302 N308:N317 N319 N321:N327 N329:N334 N336" xr:uid="{9C8ADE5A-E334-4DCB-A675-CFCE83754CD9}">
      <formula1>$T$278:$AH$278</formula1>
    </dataValidation>
    <dataValidation type="list" allowBlank="1" showInputMessage="1" showErrorMessage="1" promptTitle="Strength grade; contralateral" prompt="Record strength using the 0 to 5  grading system as described in OAR 436-035-0011, or enter &quot;NA&quot; if the part has a history of injury or disease." sqref="O281:O285 O287:O291 O293:O298 O300:O302 O308:O317 O319 O321:O327 O329:O334 O336" xr:uid="{3C01A507-2C02-40A4-BE67-4B3EE69276FC}">
      <formula1>$S$278:$AH$278</formula1>
    </dataValidation>
    <dataValidation type="list" allowBlank="1" showInputMessage="1" showErrorMessage="1" promptTitle="Leg length discrepancy" prompt="Select extent of length change." sqref="C392" xr:uid="{4A3815E1-FB02-4B49-B668-9B94A5126379}">
      <formula1>$S$392:$W$392</formula1>
    </dataValidation>
    <dataValidation type="list" allowBlank="1" showInputMessage="1" showErrorMessage="1" promptTitle="Dermatological condition" prompt="Affecting leg -- select from classes 1-5. See OAR 436-035-0230." sqref="N420:O420" xr:uid="{0FA4DCA5-F6B7-4D35-AF65-2169AADA89AD}">
      <formula1>$S$420:$W$420</formula1>
    </dataValidation>
    <dataValidation type="list" allowBlank="1" showInputMessage="1" showErrorMessage="1" promptTitle="Vascular dysfunction" prompt="Affecting leg -- select from classes 1-5. See OAR 436-035-0230." sqref="N421:O421" xr:uid="{576D304E-9050-41F7-8C77-8F3FF08056F1}">
      <formula1>$Y$420:$AC$420</formula1>
    </dataValidation>
    <dataValidation type="decimal" allowBlank="1" showInputMessage="1" showErrorMessage="1" promptTitle="Apportionment, if any" prompt="Enter percentage of impairment caused by the injury or illness. See OAR 436-035-0013." sqref="C21:D21 C59:D59 C99:D99 C139:D139 C179:D179" xr:uid="{3C7EE7CE-A824-4C73-80B7-C06E478F2D2E}">
      <formula1>$B$507</formula1>
      <formula2>$C$507</formula2>
    </dataValidation>
  </dataValidations>
  <hyperlinks>
    <hyperlink ref="N279:P279" location="Rules!A3" display="Strength grade &amp; loss " xr:uid="{00000000-0004-0000-0700-000000000000}"/>
    <hyperlink ref="C4:D4" location="'Lower Extremity-Left'!B6" display="'Lower Extremity-Left'!B6" xr:uid="{00000000-0004-0000-0700-000001000000}"/>
    <hyperlink ref="E4:F4" location="'Lower Extremity-Left'!B44" display="'Lower Extremity-Left'!B44" xr:uid="{00000000-0004-0000-0700-000002000000}"/>
    <hyperlink ref="G4:I4" location="'Lower Extremity-Left'!B84" display="'Lower Extremity-Left'!B84" xr:uid="{00000000-0004-0000-0700-000003000000}"/>
    <hyperlink ref="J4:K4" location="'Lower Extremity-Left'!B124" display="'Lower Extremity-Left'!B124" xr:uid="{00000000-0004-0000-0700-000004000000}"/>
    <hyperlink ref="L4:M4" location="'Lower Extremity-Left'!B164" display="'Lower Extremity-Left'!B164" xr:uid="{00000000-0004-0000-0700-000005000000}"/>
    <hyperlink ref="N4" location="'Lower Extremity-Left'!B204" display="Foot/ankle" xr:uid="{00000000-0004-0000-0700-000006000000}"/>
    <hyperlink ref="O4" location="'Lower Extremity-Left'!B367" display="Leg" xr:uid="{00000000-0004-0000-0700-000007000000}"/>
    <hyperlink ref="P4" location="'Lower Extremity-Left'!B273" display="Strength" xr:uid="{00000000-0004-0000-0700-000008000000}"/>
    <hyperlink ref="P371" location="'Lower Extremity-Left'!A260" display="Leg strength" xr:uid="{00000000-0004-0000-0700-000009000000}"/>
    <hyperlink ref="B501" location="'Lower Extremity-Left'!A1" display="Return to top of sheet" xr:uid="{00000000-0004-0000-0700-00000A000000}"/>
    <hyperlink ref="H501:M501" location="'PPD DOI on or after 2005'!A1" display="'PPD DOI on or after 2005'!A1" xr:uid="{00000000-0004-0000-0700-00000B000000}"/>
    <hyperlink ref="C501:G501" location="'PPD DOI before 2005'!A1" display="'PPD DOI before 2005'!A1" xr:uid="{00000000-0004-0000-0700-00000C000000}"/>
  </hyperlinks>
  <pageMargins left="0.69" right="0.72" top="0.52" bottom="0.92" header="0.38" footer="0.5"/>
  <pageSetup orientation="portrait" horizontalDpi="200" verticalDpi="200" r:id="rId1"/>
  <headerFooter alignWithMargins="0">
    <oddFooter>&amp;LLower Extremity, Left&amp;CPage &amp;P</oddFooter>
  </headerFooter>
  <rowBreaks count="10" manualBreakCount="10">
    <brk id="162" max="16383" man="1"/>
    <brk id="201" max="16383" man="1"/>
    <brk id="239" max="16383" man="1"/>
    <brk id="275" max="16383" man="1"/>
    <brk id="304" max="16383" man="1"/>
    <brk id="339" max="16383" man="1"/>
    <brk id="369" max="16383" man="1"/>
    <brk id="408" max="16383" man="1"/>
    <brk id="443" max="16383" man="1"/>
    <brk id="47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062" r:id="rId4" name="Check Box 6">
              <controlPr locked="0" defaultSize="0" autoFill="0" autoLine="0" autoPict="0">
                <anchor moveWithCells="1">
                  <from>
                    <xdr:col>4</xdr:col>
                    <xdr:colOff>9525</xdr:colOff>
                    <xdr:row>280</xdr:row>
                    <xdr:rowOff>9525</xdr:rowOff>
                  </from>
                  <to>
                    <xdr:col>5</xdr:col>
                    <xdr:colOff>85725</xdr:colOff>
                    <xdr:row>281</xdr:row>
                    <xdr:rowOff>38100</xdr:rowOff>
                  </to>
                </anchor>
              </controlPr>
            </control>
          </mc:Choice>
        </mc:AlternateContent>
        <mc:AlternateContent xmlns:mc="http://schemas.openxmlformats.org/markup-compatibility/2006">
          <mc:Choice Requires="x14">
            <control shapeId="45063" r:id="rId5" name="Check Box 7">
              <controlPr locked="0" defaultSize="0" autoFill="0" autoLine="0" autoPict="0">
                <anchor moveWithCells="1">
                  <from>
                    <xdr:col>4</xdr:col>
                    <xdr:colOff>9525</xdr:colOff>
                    <xdr:row>281</xdr:row>
                    <xdr:rowOff>0</xdr:rowOff>
                  </from>
                  <to>
                    <xdr:col>5</xdr:col>
                    <xdr:colOff>85725</xdr:colOff>
                    <xdr:row>282</xdr:row>
                    <xdr:rowOff>28575</xdr:rowOff>
                  </to>
                </anchor>
              </controlPr>
            </control>
          </mc:Choice>
        </mc:AlternateContent>
        <mc:AlternateContent xmlns:mc="http://schemas.openxmlformats.org/markup-compatibility/2006">
          <mc:Choice Requires="x14">
            <control shapeId="45064" r:id="rId6" name="Check Box 8">
              <controlPr locked="0" defaultSize="0" autoFill="0" autoLine="0" autoPict="0">
                <anchor moveWithCells="1">
                  <from>
                    <xdr:col>4</xdr:col>
                    <xdr:colOff>9525</xdr:colOff>
                    <xdr:row>281</xdr:row>
                    <xdr:rowOff>180975</xdr:rowOff>
                  </from>
                  <to>
                    <xdr:col>5</xdr:col>
                    <xdr:colOff>85725</xdr:colOff>
                    <xdr:row>283</xdr:row>
                    <xdr:rowOff>19050</xdr:rowOff>
                  </to>
                </anchor>
              </controlPr>
            </control>
          </mc:Choice>
        </mc:AlternateContent>
        <mc:AlternateContent xmlns:mc="http://schemas.openxmlformats.org/markup-compatibility/2006">
          <mc:Choice Requires="x14">
            <control shapeId="45065" r:id="rId7" name="Check Box 9">
              <controlPr locked="0" defaultSize="0" autoFill="0" autoLine="0" autoPict="0">
                <anchor moveWithCells="1">
                  <from>
                    <xdr:col>4</xdr:col>
                    <xdr:colOff>9525</xdr:colOff>
                    <xdr:row>282</xdr:row>
                    <xdr:rowOff>171450</xdr:rowOff>
                  </from>
                  <to>
                    <xdr:col>5</xdr:col>
                    <xdr:colOff>85725</xdr:colOff>
                    <xdr:row>284</xdr:row>
                    <xdr:rowOff>9525</xdr:rowOff>
                  </to>
                </anchor>
              </controlPr>
            </control>
          </mc:Choice>
        </mc:AlternateContent>
        <mc:AlternateContent xmlns:mc="http://schemas.openxmlformats.org/markup-compatibility/2006">
          <mc:Choice Requires="x14">
            <control shapeId="45066" r:id="rId8" name="Check Box 10">
              <controlPr locked="0" defaultSize="0" autoFill="0" autoLine="0" autoPict="0">
                <anchor moveWithCells="1">
                  <from>
                    <xdr:col>4</xdr:col>
                    <xdr:colOff>9525</xdr:colOff>
                    <xdr:row>283</xdr:row>
                    <xdr:rowOff>180975</xdr:rowOff>
                  </from>
                  <to>
                    <xdr:col>5</xdr:col>
                    <xdr:colOff>85725</xdr:colOff>
                    <xdr:row>285</xdr:row>
                    <xdr:rowOff>19050</xdr:rowOff>
                  </to>
                </anchor>
              </controlPr>
            </control>
          </mc:Choice>
        </mc:AlternateContent>
        <mc:AlternateContent xmlns:mc="http://schemas.openxmlformats.org/markup-compatibility/2006">
          <mc:Choice Requires="x14">
            <control shapeId="45067" r:id="rId9" name="Check Box 11">
              <controlPr locked="0" defaultSize="0" autoFill="0" autoLine="0" autoPict="0">
                <anchor moveWithCells="1">
                  <from>
                    <xdr:col>4</xdr:col>
                    <xdr:colOff>9525</xdr:colOff>
                    <xdr:row>286</xdr:row>
                    <xdr:rowOff>9525</xdr:rowOff>
                  </from>
                  <to>
                    <xdr:col>5</xdr:col>
                    <xdr:colOff>85725</xdr:colOff>
                    <xdr:row>286</xdr:row>
                    <xdr:rowOff>228600</xdr:rowOff>
                  </to>
                </anchor>
              </controlPr>
            </control>
          </mc:Choice>
        </mc:AlternateContent>
        <mc:AlternateContent xmlns:mc="http://schemas.openxmlformats.org/markup-compatibility/2006">
          <mc:Choice Requires="x14">
            <control shapeId="45068" r:id="rId10" name="Check Box 12">
              <controlPr locked="0" defaultSize="0" autoFill="0" autoLine="0" autoPict="0">
                <anchor moveWithCells="1">
                  <from>
                    <xdr:col>4</xdr:col>
                    <xdr:colOff>9525</xdr:colOff>
                    <xdr:row>287</xdr:row>
                    <xdr:rowOff>0</xdr:rowOff>
                  </from>
                  <to>
                    <xdr:col>5</xdr:col>
                    <xdr:colOff>85725</xdr:colOff>
                    <xdr:row>288</xdr:row>
                    <xdr:rowOff>28575</xdr:rowOff>
                  </to>
                </anchor>
              </controlPr>
            </control>
          </mc:Choice>
        </mc:AlternateContent>
        <mc:AlternateContent xmlns:mc="http://schemas.openxmlformats.org/markup-compatibility/2006">
          <mc:Choice Requires="x14">
            <control shapeId="45069" r:id="rId11" name="Check Box 13">
              <controlPr locked="0" defaultSize="0" autoFill="0" autoLine="0" autoPict="0">
                <anchor moveWithCells="1">
                  <from>
                    <xdr:col>4</xdr:col>
                    <xdr:colOff>9525</xdr:colOff>
                    <xdr:row>287</xdr:row>
                    <xdr:rowOff>180975</xdr:rowOff>
                  </from>
                  <to>
                    <xdr:col>5</xdr:col>
                    <xdr:colOff>85725</xdr:colOff>
                    <xdr:row>289</xdr:row>
                    <xdr:rowOff>19050</xdr:rowOff>
                  </to>
                </anchor>
              </controlPr>
            </control>
          </mc:Choice>
        </mc:AlternateContent>
        <mc:AlternateContent xmlns:mc="http://schemas.openxmlformats.org/markup-compatibility/2006">
          <mc:Choice Requires="x14">
            <control shapeId="45070" r:id="rId12" name="Check Box 14">
              <controlPr locked="0" defaultSize="0" autoFill="0" autoLine="0" autoPict="0">
                <anchor moveWithCells="1">
                  <from>
                    <xdr:col>4</xdr:col>
                    <xdr:colOff>9525</xdr:colOff>
                    <xdr:row>288</xdr:row>
                    <xdr:rowOff>171450</xdr:rowOff>
                  </from>
                  <to>
                    <xdr:col>5</xdr:col>
                    <xdr:colOff>85725</xdr:colOff>
                    <xdr:row>290</xdr:row>
                    <xdr:rowOff>9525</xdr:rowOff>
                  </to>
                </anchor>
              </controlPr>
            </control>
          </mc:Choice>
        </mc:AlternateContent>
        <mc:AlternateContent xmlns:mc="http://schemas.openxmlformats.org/markup-compatibility/2006">
          <mc:Choice Requires="x14">
            <control shapeId="45071" r:id="rId13" name="Check Box 15">
              <controlPr locked="0" defaultSize="0" autoFill="0" autoLine="0" autoPict="0">
                <anchor moveWithCells="1">
                  <from>
                    <xdr:col>4</xdr:col>
                    <xdr:colOff>9525</xdr:colOff>
                    <xdr:row>289</xdr:row>
                    <xdr:rowOff>180975</xdr:rowOff>
                  </from>
                  <to>
                    <xdr:col>5</xdr:col>
                    <xdr:colOff>85725</xdr:colOff>
                    <xdr:row>291</xdr:row>
                    <xdr:rowOff>19050</xdr:rowOff>
                  </to>
                </anchor>
              </controlPr>
            </control>
          </mc:Choice>
        </mc:AlternateContent>
        <mc:AlternateContent xmlns:mc="http://schemas.openxmlformats.org/markup-compatibility/2006">
          <mc:Choice Requires="x14">
            <control shapeId="45072" r:id="rId14" name="Check Box 16">
              <controlPr locked="0" defaultSize="0" autoFill="0" autoLine="0" autoPict="0">
                <anchor moveWithCells="1">
                  <from>
                    <xdr:col>4</xdr:col>
                    <xdr:colOff>9525</xdr:colOff>
                    <xdr:row>292</xdr:row>
                    <xdr:rowOff>19050</xdr:rowOff>
                  </from>
                  <to>
                    <xdr:col>5</xdr:col>
                    <xdr:colOff>85725</xdr:colOff>
                    <xdr:row>293</xdr:row>
                    <xdr:rowOff>9525</xdr:rowOff>
                  </to>
                </anchor>
              </controlPr>
            </control>
          </mc:Choice>
        </mc:AlternateContent>
        <mc:AlternateContent xmlns:mc="http://schemas.openxmlformats.org/markup-compatibility/2006">
          <mc:Choice Requires="x14">
            <control shapeId="45073" r:id="rId15" name="Check Box 17">
              <controlPr locked="0" defaultSize="0" autoFill="0" autoLine="0" autoPict="0">
                <anchor moveWithCells="1">
                  <from>
                    <xdr:col>4</xdr:col>
                    <xdr:colOff>9525</xdr:colOff>
                    <xdr:row>293</xdr:row>
                    <xdr:rowOff>0</xdr:rowOff>
                  </from>
                  <to>
                    <xdr:col>5</xdr:col>
                    <xdr:colOff>85725</xdr:colOff>
                    <xdr:row>294</xdr:row>
                    <xdr:rowOff>28575</xdr:rowOff>
                  </to>
                </anchor>
              </controlPr>
            </control>
          </mc:Choice>
        </mc:AlternateContent>
        <mc:AlternateContent xmlns:mc="http://schemas.openxmlformats.org/markup-compatibility/2006">
          <mc:Choice Requires="x14">
            <control shapeId="45074" r:id="rId16" name="Check Box 18">
              <controlPr locked="0" defaultSize="0" autoFill="0" autoLine="0" autoPict="0">
                <anchor moveWithCells="1">
                  <from>
                    <xdr:col>4</xdr:col>
                    <xdr:colOff>9525</xdr:colOff>
                    <xdr:row>293</xdr:row>
                    <xdr:rowOff>180975</xdr:rowOff>
                  </from>
                  <to>
                    <xdr:col>5</xdr:col>
                    <xdr:colOff>85725</xdr:colOff>
                    <xdr:row>295</xdr:row>
                    <xdr:rowOff>19050</xdr:rowOff>
                  </to>
                </anchor>
              </controlPr>
            </control>
          </mc:Choice>
        </mc:AlternateContent>
        <mc:AlternateContent xmlns:mc="http://schemas.openxmlformats.org/markup-compatibility/2006">
          <mc:Choice Requires="x14">
            <control shapeId="45075" r:id="rId17" name="Check Box 19">
              <controlPr locked="0" defaultSize="0" autoFill="0" autoLine="0" autoPict="0">
                <anchor moveWithCells="1">
                  <from>
                    <xdr:col>4</xdr:col>
                    <xdr:colOff>9525</xdr:colOff>
                    <xdr:row>294</xdr:row>
                    <xdr:rowOff>171450</xdr:rowOff>
                  </from>
                  <to>
                    <xdr:col>5</xdr:col>
                    <xdr:colOff>85725</xdr:colOff>
                    <xdr:row>296</xdr:row>
                    <xdr:rowOff>9525</xdr:rowOff>
                  </to>
                </anchor>
              </controlPr>
            </control>
          </mc:Choice>
        </mc:AlternateContent>
        <mc:AlternateContent xmlns:mc="http://schemas.openxmlformats.org/markup-compatibility/2006">
          <mc:Choice Requires="x14">
            <control shapeId="45076" r:id="rId18" name="Check Box 20">
              <controlPr locked="0" defaultSize="0" autoFill="0" autoLine="0" autoPict="0">
                <anchor moveWithCells="1">
                  <from>
                    <xdr:col>4</xdr:col>
                    <xdr:colOff>9525</xdr:colOff>
                    <xdr:row>295</xdr:row>
                    <xdr:rowOff>180975</xdr:rowOff>
                  </from>
                  <to>
                    <xdr:col>5</xdr:col>
                    <xdr:colOff>85725</xdr:colOff>
                    <xdr:row>297</xdr:row>
                    <xdr:rowOff>19050</xdr:rowOff>
                  </to>
                </anchor>
              </controlPr>
            </control>
          </mc:Choice>
        </mc:AlternateContent>
        <mc:AlternateContent xmlns:mc="http://schemas.openxmlformats.org/markup-compatibility/2006">
          <mc:Choice Requires="x14">
            <control shapeId="45077" r:id="rId19" name="Check Box 21">
              <controlPr locked="0" defaultSize="0" autoFill="0" autoLine="0" autoPict="0">
                <anchor moveWithCells="1">
                  <from>
                    <xdr:col>4</xdr:col>
                    <xdr:colOff>9525</xdr:colOff>
                    <xdr:row>299</xdr:row>
                    <xdr:rowOff>314325</xdr:rowOff>
                  </from>
                  <to>
                    <xdr:col>5</xdr:col>
                    <xdr:colOff>85725</xdr:colOff>
                    <xdr:row>301</xdr:row>
                    <xdr:rowOff>19050</xdr:rowOff>
                  </to>
                </anchor>
              </controlPr>
            </control>
          </mc:Choice>
        </mc:AlternateContent>
        <mc:AlternateContent xmlns:mc="http://schemas.openxmlformats.org/markup-compatibility/2006">
          <mc:Choice Requires="x14">
            <control shapeId="45078" r:id="rId20" name="Check Box 22">
              <controlPr locked="0" defaultSize="0" autoFill="0" autoLine="0" autoPict="0">
                <anchor moveWithCells="1">
                  <from>
                    <xdr:col>4</xdr:col>
                    <xdr:colOff>9525</xdr:colOff>
                    <xdr:row>300</xdr:row>
                    <xdr:rowOff>180975</xdr:rowOff>
                  </from>
                  <to>
                    <xdr:col>5</xdr:col>
                    <xdr:colOff>85725</xdr:colOff>
                    <xdr:row>302</xdr:row>
                    <xdr:rowOff>19050</xdr:rowOff>
                  </to>
                </anchor>
              </controlPr>
            </control>
          </mc:Choice>
        </mc:AlternateContent>
        <mc:AlternateContent xmlns:mc="http://schemas.openxmlformats.org/markup-compatibility/2006">
          <mc:Choice Requires="x14">
            <control shapeId="45079" r:id="rId21" name="Check Box 23">
              <controlPr locked="0" defaultSize="0" autoFill="0" autoLine="0" autoPict="0">
                <anchor moveWithCells="1">
                  <from>
                    <xdr:col>4</xdr:col>
                    <xdr:colOff>9525</xdr:colOff>
                    <xdr:row>308</xdr:row>
                    <xdr:rowOff>0</xdr:rowOff>
                  </from>
                  <to>
                    <xdr:col>5</xdr:col>
                    <xdr:colOff>85725</xdr:colOff>
                    <xdr:row>309</xdr:row>
                    <xdr:rowOff>28575</xdr:rowOff>
                  </to>
                </anchor>
              </controlPr>
            </control>
          </mc:Choice>
        </mc:AlternateContent>
        <mc:AlternateContent xmlns:mc="http://schemas.openxmlformats.org/markup-compatibility/2006">
          <mc:Choice Requires="x14">
            <control shapeId="45080" r:id="rId22" name="Check Box 24">
              <controlPr locked="0" defaultSize="0" autoFill="0" autoLine="0" autoPict="0">
                <anchor moveWithCells="1">
                  <from>
                    <xdr:col>4</xdr:col>
                    <xdr:colOff>9525</xdr:colOff>
                    <xdr:row>309</xdr:row>
                    <xdr:rowOff>0</xdr:rowOff>
                  </from>
                  <to>
                    <xdr:col>5</xdr:col>
                    <xdr:colOff>85725</xdr:colOff>
                    <xdr:row>310</xdr:row>
                    <xdr:rowOff>28575</xdr:rowOff>
                  </to>
                </anchor>
              </controlPr>
            </control>
          </mc:Choice>
        </mc:AlternateContent>
        <mc:AlternateContent xmlns:mc="http://schemas.openxmlformats.org/markup-compatibility/2006">
          <mc:Choice Requires="x14">
            <control shapeId="45081" r:id="rId23" name="Check Box 25">
              <controlPr locked="0" defaultSize="0" autoFill="0" autoLine="0" autoPict="0">
                <anchor moveWithCells="1">
                  <from>
                    <xdr:col>4</xdr:col>
                    <xdr:colOff>9525</xdr:colOff>
                    <xdr:row>309</xdr:row>
                    <xdr:rowOff>180975</xdr:rowOff>
                  </from>
                  <to>
                    <xdr:col>5</xdr:col>
                    <xdr:colOff>85725</xdr:colOff>
                    <xdr:row>311</xdr:row>
                    <xdr:rowOff>19050</xdr:rowOff>
                  </to>
                </anchor>
              </controlPr>
            </control>
          </mc:Choice>
        </mc:AlternateContent>
        <mc:AlternateContent xmlns:mc="http://schemas.openxmlformats.org/markup-compatibility/2006">
          <mc:Choice Requires="x14">
            <control shapeId="45082" r:id="rId24" name="Check Box 26">
              <controlPr locked="0" defaultSize="0" autoFill="0" autoLine="0" autoPict="0">
                <anchor moveWithCells="1">
                  <from>
                    <xdr:col>4</xdr:col>
                    <xdr:colOff>9525</xdr:colOff>
                    <xdr:row>310</xdr:row>
                    <xdr:rowOff>171450</xdr:rowOff>
                  </from>
                  <to>
                    <xdr:col>5</xdr:col>
                    <xdr:colOff>85725</xdr:colOff>
                    <xdr:row>312</xdr:row>
                    <xdr:rowOff>9525</xdr:rowOff>
                  </to>
                </anchor>
              </controlPr>
            </control>
          </mc:Choice>
        </mc:AlternateContent>
        <mc:AlternateContent xmlns:mc="http://schemas.openxmlformats.org/markup-compatibility/2006">
          <mc:Choice Requires="x14">
            <control shapeId="45083" r:id="rId25" name="Check Box 27">
              <controlPr locked="0" defaultSize="0" autoFill="0" autoLine="0" autoPict="0">
                <anchor moveWithCells="1">
                  <from>
                    <xdr:col>4</xdr:col>
                    <xdr:colOff>9525</xdr:colOff>
                    <xdr:row>311</xdr:row>
                    <xdr:rowOff>180975</xdr:rowOff>
                  </from>
                  <to>
                    <xdr:col>5</xdr:col>
                    <xdr:colOff>85725</xdr:colOff>
                    <xdr:row>313</xdr:row>
                    <xdr:rowOff>19050</xdr:rowOff>
                  </to>
                </anchor>
              </controlPr>
            </control>
          </mc:Choice>
        </mc:AlternateContent>
        <mc:AlternateContent xmlns:mc="http://schemas.openxmlformats.org/markup-compatibility/2006">
          <mc:Choice Requires="x14">
            <control shapeId="45084" r:id="rId26" name="Check Box 28">
              <controlPr locked="0" defaultSize="0" autoFill="0" autoLine="0" autoPict="0">
                <anchor moveWithCells="1">
                  <from>
                    <xdr:col>4</xdr:col>
                    <xdr:colOff>9525</xdr:colOff>
                    <xdr:row>313</xdr:row>
                    <xdr:rowOff>0</xdr:rowOff>
                  </from>
                  <to>
                    <xdr:col>5</xdr:col>
                    <xdr:colOff>85725</xdr:colOff>
                    <xdr:row>314</xdr:row>
                    <xdr:rowOff>28575</xdr:rowOff>
                  </to>
                </anchor>
              </controlPr>
            </control>
          </mc:Choice>
        </mc:AlternateContent>
        <mc:AlternateContent xmlns:mc="http://schemas.openxmlformats.org/markup-compatibility/2006">
          <mc:Choice Requires="x14">
            <control shapeId="45085" r:id="rId27" name="Check Box 29">
              <controlPr locked="0" defaultSize="0" autoFill="0" autoLine="0" autoPict="0">
                <anchor moveWithCells="1">
                  <from>
                    <xdr:col>4</xdr:col>
                    <xdr:colOff>9525</xdr:colOff>
                    <xdr:row>314</xdr:row>
                    <xdr:rowOff>0</xdr:rowOff>
                  </from>
                  <to>
                    <xdr:col>5</xdr:col>
                    <xdr:colOff>85725</xdr:colOff>
                    <xdr:row>315</xdr:row>
                    <xdr:rowOff>28575</xdr:rowOff>
                  </to>
                </anchor>
              </controlPr>
            </control>
          </mc:Choice>
        </mc:AlternateContent>
        <mc:AlternateContent xmlns:mc="http://schemas.openxmlformats.org/markup-compatibility/2006">
          <mc:Choice Requires="x14">
            <control shapeId="45086" r:id="rId28" name="Check Box 30">
              <controlPr locked="0" defaultSize="0" autoFill="0" autoLine="0" autoPict="0">
                <anchor moveWithCells="1">
                  <from>
                    <xdr:col>4</xdr:col>
                    <xdr:colOff>9525</xdr:colOff>
                    <xdr:row>314</xdr:row>
                    <xdr:rowOff>180975</xdr:rowOff>
                  </from>
                  <to>
                    <xdr:col>5</xdr:col>
                    <xdr:colOff>85725</xdr:colOff>
                    <xdr:row>316</xdr:row>
                    <xdr:rowOff>19050</xdr:rowOff>
                  </to>
                </anchor>
              </controlPr>
            </control>
          </mc:Choice>
        </mc:AlternateContent>
        <mc:AlternateContent xmlns:mc="http://schemas.openxmlformats.org/markup-compatibility/2006">
          <mc:Choice Requires="x14">
            <control shapeId="45087" r:id="rId29" name="Check Box 31">
              <controlPr locked="0" defaultSize="0" autoFill="0" autoLine="0" autoPict="0">
                <anchor moveWithCells="1">
                  <from>
                    <xdr:col>4</xdr:col>
                    <xdr:colOff>9525</xdr:colOff>
                    <xdr:row>315</xdr:row>
                    <xdr:rowOff>180975</xdr:rowOff>
                  </from>
                  <to>
                    <xdr:col>5</xdr:col>
                    <xdr:colOff>85725</xdr:colOff>
                    <xdr:row>317</xdr:row>
                    <xdr:rowOff>19050</xdr:rowOff>
                  </to>
                </anchor>
              </controlPr>
            </control>
          </mc:Choice>
        </mc:AlternateContent>
        <mc:AlternateContent xmlns:mc="http://schemas.openxmlformats.org/markup-compatibility/2006">
          <mc:Choice Requires="x14">
            <control shapeId="45088" r:id="rId30" name="Check Box 32">
              <controlPr locked="0" defaultSize="0" autoFill="0" autoLine="0" autoPict="0">
                <anchor moveWithCells="1">
                  <from>
                    <xdr:col>4</xdr:col>
                    <xdr:colOff>9525</xdr:colOff>
                    <xdr:row>317</xdr:row>
                    <xdr:rowOff>180975</xdr:rowOff>
                  </from>
                  <to>
                    <xdr:col>5</xdr:col>
                    <xdr:colOff>85725</xdr:colOff>
                    <xdr:row>319</xdr:row>
                    <xdr:rowOff>19050</xdr:rowOff>
                  </to>
                </anchor>
              </controlPr>
            </control>
          </mc:Choice>
        </mc:AlternateContent>
        <mc:AlternateContent xmlns:mc="http://schemas.openxmlformats.org/markup-compatibility/2006">
          <mc:Choice Requires="x14">
            <control shapeId="45089" r:id="rId31" name="Check Box 33">
              <controlPr locked="0" defaultSize="0" autoFill="0" autoLine="0" autoPict="0">
                <anchor moveWithCells="1">
                  <from>
                    <xdr:col>4</xdr:col>
                    <xdr:colOff>9525</xdr:colOff>
                    <xdr:row>319</xdr:row>
                    <xdr:rowOff>219075</xdr:rowOff>
                  </from>
                  <to>
                    <xdr:col>5</xdr:col>
                    <xdr:colOff>85725</xdr:colOff>
                    <xdr:row>321</xdr:row>
                    <xdr:rowOff>19050</xdr:rowOff>
                  </to>
                </anchor>
              </controlPr>
            </control>
          </mc:Choice>
        </mc:AlternateContent>
        <mc:AlternateContent xmlns:mc="http://schemas.openxmlformats.org/markup-compatibility/2006">
          <mc:Choice Requires="x14">
            <control shapeId="45090" r:id="rId32" name="Check Box 34">
              <controlPr locked="0" defaultSize="0" autoFill="0" autoLine="0" autoPict="0">
                <anchor moveWithCells="1">
                  <from>
                    <xdr:col>4</xdr:col>
                    <xdr:colOff>9525</xdr:colOff>
                    <xdr:row>320</xdr:row>
                    <xdr:rowOff>180975</xdr:rowOff>
                  </from>
                  <to>
                    <xdr:col>5</xdr:col>
                    <xdr:colOff>85725</xdr:colOff>
                    <xdr:row>322</xdr:row>
                    <xdr:rowOff>19050</xdr:rowOff>
                  </to>
                </anchor>
              </controlPr>
            </control>
          </mc:Choice>
        </mc:AlternateContent>
        <mc:AlternateContent xmlns:mc="http://schemas.openxmlformats.org/markup-compatibility/2006">
          <mc:Choice Requires="x14">
            <control shapeId="45091" r:id="rId33" name="Check Box 35">
              <controlPr locked="0" defaultSize="0" autoFill="0" autoLine="0" autoPict="0">
                <anchor moveWithCells="1">
                  <from>
                    <xdr:col>4</xdr:col>
                    <xdr:colOff>9525</xdr:colOff>
                    <xdr:row>321</xdr:row>
                    <xdr:rowOff>180975</xdr:rowOff>
                  </from>
                  <to>
                    <xdr:col>5</xdr:col>
                    <xdr:colOff>85725</xdr:colOff>
                    <xdr:row>323</xdr:row>
                    <xdr:rowOff>19050</xdr:rowOff>
                  </to>
                </anchor>
              </controlPr>
            </control>
          </mc:Choice>
        </mc:AlternateContent>
        <mc:AlternateContent xmlns:mc="http://schemas.openxmlformats.org/markup-compatibility/2006">
          <mc:Choice Requires="x14">
            <control shapeId="45092" r:id="rId34" name="Check Box 36">
              <controlPr locked="0" defaultSize="0" autoFill="0" autoLine="0" autoPict="0">
                <anchor moveWithCells="1">
                  <from>
                    <xdr:col>4</xdr:col>
                    <xdr:colOff>9525</xdr:colOff>
                    <xdr:row>322</xdr:row>
                    <xdr:rowOff>180975</xdr:rowOff>
                  </from>
                  <to>
                    <xdr:col>5</xdr:col>
                    <xdr:colOff>85725</xdr:colOff>
                    <xdr:row>324</xdr:row>
                    <xdr:rowOff>19050</xdr:rowOff>
                  </to>
                </anchor>
              </controlPr>
            </control>
          </mc:Choice>
        </mc:AlternateContent>
        <mc:AlternateContent xmlns:mc="http://schemas.openxmlformats.org/markup-compatibility/2006">
          <mc:Choice Requires="x14">
            <control shapeId="45093" r:id="rId35" name="Check Box 37">
              <controlPr locked="0" defaultSize="0" autoFill="0" autoLine="0" autoPict="0">
                <anchor moveWithCells="1">
                  <from>
                    <xdr:col>4</xdr:col>
                    <xdr:colOff>9525</xdr:colOff>
                    <xdr:row>323</xdr:row>
                    <xdr:rowOff>171450</xdr:rowOff>
                  </from>
                  <to>
                    <xdr:col>5</xdr:col>
                    <xdr:colOff>85725</xdr:colOff>
                    <xdr:row>325</xdr:row>
                    <xdr:rowOff>9525</xdr:rowOff>
                  </to>
                </anchor>
              </controlPr>
            </control>
          </mc:Choice>
        </mc:AlternateContent>
        <mc:AlternateContent xmlns:mc="http://schemas.openxmlformats.org/markup-compatibility/2006">
          <mc:Choice Requires="x14">
            <control shapeId="45094" r:id="rId36" name="Check Box 38">
              <controlPr locked="0" defaultSize="0" autoFill="0" autoLine="0" autoPict="0">
                <anchor moveWithCells="1">
                  <from>
                    <xdr:col>4</xdr:col>
                    <xdr:colOff>9525</xdr:colOff>
                    <xdr:row>325</xdr:row>
                    <xdr:rowOff>0</xdr:rowOff>
                  </from>
                  <to>
                    <xdr:col>5</xdr:col>
                    <xdr:colOff>85725</xdr:colOff>
                    <xdr:row>326</xdr:row>
                    <xdr:rowOff>28575</xdr:rowOff>
                  </to>
                </anchor>
              </controlPr>
            </control>
          </mc:Choice>
        </mc:AlternateContent>
        <mc:AlternateContent xmlns:mc="http://schemas.openxmlformats.org/markup-compatibility/2006">
          <mc:Choice Requires="x14">
            <control shapeId="45095" r:id="rId37" name="Check Box 39">
              <controlPr locked="0" defaultSize="0" autoFill="0" autoLine="0" autoPict="0">
                <anchor moveWithCells="1">
                  <from>
                    <xdr:col>4</xdr:col>
                    <xdr:colOff>9525</xdr:colOff>
                    <xdr:row>326</xdr:row>
                    <xdr:rowOff>0</xdr:rowOff>
                  </from>
                  <to>
                    <xdr:col>5</xdr:col>
                    <xdr:colOff>85725</xdr:colOff>
                    <xdr:row>327</xdr:row>
                    <xdr:rowOff>28575</xdr:rowOff>
                  </to>
                </anchor>
              </controlPr>
            </control>
          </mc:Choice>
        </mc:AlternateContent>
        <mc:AlternateContent xmlns:mc="http://schemas.openxmlformats.org/markup-compatibility/2006">
          <mc:Choice Requires="x14">
            <control shapeId="45096" r:id="rId38" name="Check Box 40">
              <controlPr locked="0" defaultSize="0" autoFill="0" autoLine="0" autoPict="0">
                <anchor moveWithCells="1">
                  <from>
                    <xdr:col>4</xdr:col>
                    <xdr:colOff>9525</xdr:colOff>
                    <xdr:row>328</xdr:row>
                    <xdr:rowOff>333375</xdr:rowOff>
                  </from>
                  <to>
                    <xdr:col>5</xdr:col>
                    <xdr:colOff>85725</xdr:colOff>
                    <xdr:row>329</xdr:row>
                    <xdr:rowOff>209550</xdr:rowOff>
                  </to>
                </anchor>
              </controlPr>
            </control>
          </mc:Choice>
        </mc:AlternateContent>
        <mc:AlternateContent xmlns:mc="http://schemas.openxmlformats.org/markup-compatibility/2006">
          <mc:Choice Requires="x14">
            <control shapeId="45097" r:id="rId39" name="Check Box 41">
              <controlPr locked="0" defaultSize="0" autoFill="0" autoLine="0" autoPict="0">
                <anchor moveWithCells="1">
                  <from>
                    <xdr:col>4</xdr:col>
                    <xdr:colOff>9525</xdr:colOff>
                    <xdr:row>330</xdr:row>
                    <xdr:rowOff>0</xdr:rowOff>
                  </from>
                  <to>
                    <xdr:col>5</xdr:col>
                    <xdr:colOff>85725</xdr:colOff>
                    <xdr:row>331</xdr:row>
                    <xdr:rowOff>28575</xdr:rowOff>
                  </to>
                </anchor>
              </controlPr>
            </control>
          </mc:Choice>
        </mc:AlternateContent>
        <mc:AlternateContent xmlns:mc="http://schemas.openxmlformats.org/markup-compatibility/2006">
          <mc:Choice Requires="x14">
            <control shapeId="45098" r:id="rId40" name="Check Box 42">
              <controlPr locked="0" defaultSize="0" autoFill="0" autoLine="0" autoPict="0">
                <anchor moveWithCells="1">
                  <from>
                    <xdr:col>4</xdr:col>
                    <xdr:colOff>9525</xdr:colOff>
                    <xdr:row>330</xdr:row>
                    <xdr:rowOff>180975</xdr:rowOff>
                  </from>
                  <to>
                    <xdr:col>5</xdr:col>
                    <xdr:colOff>85725</xdr:colOff>
                    <xdr:row>332</xdr:row>
                    <xdr:rowOff>19050</xdr:rowOff>
                  </to>
                </anchor>
              </controlPr>
            </control>
          </mc:Choice>
        </mc:AlternateContent>
        <mc:AlternateContent xmlns:mc="http://schemas.openxmlformats.org/markup-compatibility/2006">
          <mc:Choice Requires="x14">
            <control shapeId="45099" r:id="rId41" name="Check Box 43">
              <controlPr locked="0" defaultSize="0" autoFill="0" autoLine="0" autoPict="0">
                <anchor moveWithCells="1">
                  <from>
                    <xdr:col>4</xdr:col>
                    <xdr:colOff>9525</xdr:colOff>
                    <xdr:row>332</xdr:row>
                    <xdr:rowOff>0</xdr:rowOff>
                  </from>
                  <to>
                    <xdr:col>5</xdr:col>
                    <xdr:colOff>85725</xdr:colOff>
                    <xdr:row>333</xdr:row>
                    <xdr:rowOff>28575</xdr:rowOff>
                  </to>
                </anchor>
              </controlPr>
            </control>
          </mc:Choice>
        </mc:AlternateContent>
        <mc:AlternateContent xmlns:mc="http://schemas.openxmlformats.org/markup-compatibility/2006">
          <mc:Choice Requires="x14">
            <control shapeId="45100" r:id="rId42" name="Check Box 44">
              <controlPr locked="0" defaultSize="0" autoFill="0" autoLine="0" autoPict="0">
                <anchor moveWithCells="1">
                  <from>
                    <xdr:col>4</xdr:col>
                    <xdr:colOff>9525</xdr:colOff>
                    <xdr:row>332</xdr:row>
                    <xdr:rowOff>171450</xdr:rowOff>
                  </from>
                  <to>
                    <xdr:col>5</xdr:col>
                    <xdr:colOff>85725</xdr:colOff>
                    <xdr:row>334</xdr:row>
                    <xdr:rowOff>9525</xdr:rowOff>
                  </to>
                </anchor>
              </controlPr>
            </control>
          </mc:Choice>
        </mc:AlternateContent>
        <mc:AlternateContent xmlns:mc="http://schemas.openxmlformats.org/markup-compatibility/2006">
          <mc:Choice Requires="x14">
            <control shapeId="45101" r:id="rId43" name="Check Box 45">
              <controlPr locked="0" defaultSize="0" autoFill="0" autoLine="0" autoPict="0">
                <anchor moveWithCells="1">
                  <from>
                    <xdr:col>4</xdr:col>
                    <xdr:colOff>9525</xdr:colOff>
                    <xdr:row>335</xdr:row>
                    <xdr:rowOff>0</xdr:rowOff>
                  </from>
                  <to>
                    <xdr:col>5</xdr:col>
                    <xdr:colOff>85725</xdr:colOff>
                    <xdr:row>336</xdr:row>
                    <xdr:rowOff>28575</xdr:rowOff>
                  </to>
                </anchor>
              </controlPr>
            </control>
          </mc:Choice>
        </mc:AlternateContent>
        <mc:AlternateContent xmlns:mc="http://schemas.openxmlformats.org/markup-compatibility/2006">
          <mc:Choice Requires="x14">
            <control shapeId="45102" r:id="rId44" name="Check Box 46">
              <controlPr locked="0" defaultSize="0" autoFill="0" autoLine="0" autoPict="0">
                <anchor moveWithCells="1">
                  <from>
                    <xdr:col>4</xdr:col>
                    <xdr:colOff>9525</xdr:colOff>
                    <xdr:row>296</xdr:row>
                    <xdr:rowOff>180975</xdr:rowOff>
                  </from>
                  <to>
                    <xdr:col>5</xdr:col>
                    <xdr:colOff>85725</xdr:colOff>
                    <xdr:row>298</xdr:row>
                    <xdr:rowOff>19050</xdr:rowOff>
                  </to>
                </anchor>
              </controlPr>
            </control>
          </mc:Choice>
        </mc:AlternateContent>
        <mc:AlternateContent xmlns:mc="http://schemas.openxmlformats.org/markup-compatibility/2006">
          <mc:Choice Requires="x14">
            <control shapeId="45103" r:id="rId45" name="Check Box 47">
              <controlPr locked="0" defaultSize="0" autoFill="0" autoLine="0" autoPict="0">
                <anchor moveWithCells="1">
                  <from>
                    <xdr:col>4</xdr:col>
                    <xdr:colOff>9525</xdr:colOff>
                    <xdr:row>306</xdr:row>
                    <xdr:rowOff>180975</xdr:rowOff>
                  </from>
                  <to>
                    <xdr:col>5</xdr:col>
                    <xdr:colOff>85725</xdr:colOff>
                    <xdr:row>307</xdr:row>
                    <xdr:rowOff>276225</xdr:rowOff>
                  </to>
                </anchor>
              </controlPr>
            </control>
          </mc:Choice>
        </mc:AlternateContent>
        <mc:AlternateContent xmlns:mc="http://schemas.openxmlformats.org/markup-compatibility/2006">
          <mc:Choice Requires="x14">
            <control shapeId="45104" r:id="rId46" name="Check Box 48">
              <controlPr locked="0" defaultSize="0" autoFill="0" autoLine="0" autoPict="0">
                <anchor moveWithCells="1">
                  <from>
                    <xdr:col>4</xdr:col>
                    <xdr:colOff>9525</xdr:colOff>
                    <xdr:row>299</xdr:row>
                    <xdr:rowOff>0</xdr:rowOff>
                  </from>
                  <to>
                    <xdr:col>5</xdr:col>
                    <xdr:colOff>85725</xdr:colOff>
                    <xdr:row>300</xdr:row>
                    <xdr:rowOff>9525</xdr:rowOff>
                  </to>
                </anchor>
              </controlPr>
            </control>
          </mc:Choice>
        </mc:AlternateContent>
        <mc:AlternateContent xmlns:mc="http://schemas.openxmlformats.org/markup-compatibility/2006">
          <mc:Choice Requires="x14">
            <control shapeId="45105" r:id="rId47" name="Check Box 49">
              <controlPr locked="0" defaultSize="0" autoFill="0" autoLine="0" autoPict="0">
                <anchor moveWithCells="1">
                  <from>
                    <xdr:col>4</xdr:col>
                    <xdr:colOff>9525</xdr:colOff>
                    <xdr:row>328</xdr:row>
                    <xdr:rowOff>9525</xdr:rowOff>
                  </from>
                  <to>
                    <xdr:col>5</xdr:col>
                    <xdr:colOff>85725</xdr:colOff>
                    <xdr:row>328</xdr:row>
                    <xdr:rowOff>228600</xdr:rowOff>
                  </to>
                </anchor>
              </controlPr>
            </control>
          </mc:Choice>
        </mc:AlternateContent>
        <mc:AlternateContent xmlns:mc="http://schemas.openxmlformats.org/markup-compatibility/2006">
          <mc:Choice Requires="x14">
            <control shapeId="45128" r:id="rId48" name="Check Box 72">
              <controlPr defaultSize="0" autoFill="0" autoLine="0" autoPict="0">
                <anchor moveWithCells="1">
                  <from>
                    <xdr:col>2</xdr:col>
                    <xdr:colOff>190500</xdr:colOff>
                    <xdr:row>67</xdr:row>
                    <xdr:rowOff>9525</xdr:rowOff>
                  </from>
                  <to>
                    <xdr:col>3</xdr:col>
                    <xdr:colOff>276225</xdr:colOff>
                    <xdr:row>68</xdr:row>
                    <xdr:rowOff>0</xdr:rowOff>
                  </to>
                </anchor>
              </controlPr>
            </control>
          </mc:Choice>
        </mc:AlternateContent>
        <mc:AlternateContent xmlns:mc="http://schemas.openxmlformats.org/markup-compatibility/2006">
          <mc:Choice Requires="x14">
            <control shapeId="45129" r:id="rId49" name="Check Box 73">
              <controlPr defaultSize="0" autoFill="0" autoLine="0" autoPict="0">
                <anchor moveWithCells="1">
                  <from>
                    <xdr:col>2</xdr:col>
                    <xdr:colOff>190500</xdr:colOff>
                    <xdr:row>68</xdr:row>
                    <xdr:rowOff>28575</xdr:rowOff>
                  </from>
                  <to>
                    <xdr:col>3</xdr:col>
                    <xdr:colOff>276225</xdr:colOff>
                    <xdr:row>69</xdr:row>
                    <xdr:rowOff>19050</xdr:rowOff>
                  </to>
                </anchor>
              </controlPr>
            </control>
          </mc:Choice>
        </mc:AlternateContent>
        <mc:AlternateContent xmlns:mc="http://schemas.openxmlformats.org/markup-compatibility/2006">
          <mc:Choice Requires="x14">
            <control shapeId="45130" r:id="rId50" name="Check Box 74">
              <controlPr locked="0" defaultSize="0" autoFill="0" autoLine="0" autoPict="0">
                <anchor moveWithCells="1">
                  <from>
                    <xdr:col>2</xdr:col>
                    <xdr:colOff>190500</xdr:colOff>
                    <xdr:row>69</xdr:row>
                    <xdr:rowOff>19050</xdr:rowOff>
                  </from>
                  <to>
                    <xdr:col>3</xdr:col>
                    <xdr:colOff>276225</xdr:colOff>
                    <xdr:row>70</xdr:row>
                    <xdr:rowOff>9525</xdr:rowOff>
                  </to>
                </anchor>
              </controlPr>
            </control>
          </mc:Choice>
        </mc:AlternateContent>
        <mc:AlternateContent xmlns:mc="http://schemas.openxmlformats.org/markup-compatibility/2006">
          <mc:Choice Requires="x14">
            <control shapeId="45131" r:id="rId51" name="Check Box 75">
              <controlPr defaultSize="0" autoFill="0" autoLine="0" autoPict="0">
                <anchor moveWithCells="1">
                  <from>
                    <xdr:col>2</xdr:col>
                    <xdr:colOff>190500</xdr:colOff>
                    <xdr:row>107</xdr:row>
                    <xdr:rowOff>19050</xdr:rowOff>
                  </from>
                  <to>
                    <xdr:col>3</xdr:col>
                    <xdr:colOff>276225</xdr:colOff>
                    <xdr:row>108</xdr:row>
                    <xdr:rowOff>9525</xdr:rowOff>
                  </to>
                </anchor>
              </controlPr>
            </control>
          </mc:Choice>
        </mc:AlternateContent>
        <mc:AlternateContent xmlns:mc="http://schemas.openxmlformats.org/markup-compatibility/2006">
          <mc:Choice Requires="x14">
            <control shapeId="45132" r:id="rId52" name="Check Box 76">
              <controlPr defaultSize="0" autoFill="0" autoLine="0" autoPict="0">
                <anchor moveWithCells="1">
                  <from>
                    <xdr:col>2</xdr:col>
                    <xdr:colOff>190500</xdr:colOff>
                    <xdr:row>108</xdr:row>
                    <xdr:rowOff>28575</xdr:rowOff>
                  </from>
                  <to>
                    <xdr:col>3</xdr:col>
                    <xdr:colOff>276225</xdr:colOff>
                    <xdr:row>109</xdr:row>
                    <xdr:rowOff>19050</xdr:rowOff>
                  </to>
                </anchor>
              </controlPr>
            </control>
          </mc:Choice>
        </mc:AlternateContent>
        <mc:AlternateContent xmlns:mc="http://schemas.openxmlformats.org/markup-compatibility/2006">
          <mc:Choice Requires="x14">
            <control shapeId="45133" r:id="rId53" name="Check Box 77">
              <controlPr locked="0" defaultSize="0" autoFill="0" autoLine="0" autoPict="0">
                <anchor moveWithCells="1">
                  <from>
                    <xdr:col>2</xdr:col>
                    <xdr:colOff>190500</xdr:colOff>
                    <xdr:row>109</xdr:row>
                    <xdr:rowOff>19050</xdr:rowOff>
                  </from>
                  <to>
                    <xdr:col>3</xdr:col>
                    <xdr:colOff>276225</xdr:colOff>
                    <xdr:row>110</xdr:row>
                    <xdr:rowOff>9525</xdr:rowOff>
                  </to>
                </anchor>
              </controlPr>
            </control>
          </mc:Choice>
        </mc:AlternateContent>
        <mc:AlternateContent xmlns:mc="http://schemas.openxmlformats.org/markup-compatibility/2006">
          <mc:Choice Requires="x14">
            <control shapeId="45134" r:id="rId54" name="Check Box 78">
              <controlPr defaultSize="0" autoFill="0" autoLine="0" autoPict="0">
                <anchor moveWithCells="1">
                  <from>
                    <xdr:col>2</xdr:col>
                    <xdr:colOff>190500</xdr:colOff>
                    <xdr:row>147</xdr:row>
                    <xdr:rowOff>19050</xdr:rowOff>
                  </from>
                  <to>
                    <xdr:col>3</xdr:col>
                    <xdr:colOff>276225</xdr:colOff>
                    <xdr:row>148</xdr:row>
                    <xdr:rowOff>9525</xdr:rowOff>
                  </to>
                </anchor>
              </controlPr>
            </control>
          </mc:Choice>
        </mc:AlternateContent>
        <mc:AlternateContent xmlns:mc="http://schemas.openxmlformats.org/markup-compatibility/2006">
          <mc:Choice Requires="x14">
            <control shapeId="45135" r:id="rId55" name="Check Box 79">
              <controlPr defaultSize="0" autoFill="0" autoLine="0" autoPict="0">
                <anchor moveWithCells="1">
                  <from>
                    <xdr:col>2</xdr:col>
                    <xdr:colOff>190500</xdr:colOff>
                    <xdr:row>148</xdr:row>
                    <xdr:rowOff>28575</xdr:rowOff>
                  </from>
                  <to>
                    <xdr:col>3</xdr:col>
                    <xdr:colOff>276225</xdr:colOff>
                    <xdr:row>149</xdr:row>
                    <xdr:rowOff>19050</xdr:rowOff>
                  </to>
                </anchor>
              </controlPr>
            </control>
          </mc:Choice>
        </mc:AlternateContent>
        <mc:AlternateContent xmlns:mc="http://schemas.openxmlformats.org/markup-compatibility/2006">
          <mc:Choice Requires="x14">
            <control shapeId="45136" r:id="rId56" name="Check Box 80">
              <controlPr locked="0" defaultSize="0" autoFill="0" autoLine="0" autoPict="0">
                <anchor moveWithCells="1">
                  <from>
                    <xdr:col>2</xdr:col>
                    <xdr:colOff>190500</xdr:colOff>
                    <xdr:row>149</xdr:row>
                    <xdr:rowOff>19050</xdr:rowOff>
                  </from>
                  <to>
                    <xdr:col>3</xdr:col>
                    <xdr:colOff>276225</xdr:colOff>
                    <xdr:row>150</xdr:row>
                    <xdr:rowOff>9525</xdr:rowOff>
                  </to>
                </anchor>
              </controlPr>
            </control>
          </mc:Choice>
        </mc:AlternateContent>
        <mc:AlternateContent xmlns:mc="http://schemas.openxmlformats.org/markup-compatibility/2006">
          <mc:Choice Requires="x14">
            <control shapeId="45137" r:id="rId57" name="Check Box 81">
              <controlPr defaultSize="0" autoFill="0" autoLine="0" autoPict="0">
                <anchor moveWithCells="1">
                  <from>
                    <xdr:col>2</xdr:col>
                    <xdr:colOff>190500</xdr:colOff>
                    <xdr:row>187</xdr:row>
                    <xdr:rowOff>28575</xdr:rowOff>
                  </from>
                  <to>
                    <xdr:col>3</xdr:col>
                    <xdr:colOff>276225</xdr:colOff>
                    <xdr:row>188</xdr:row>
                    <xdr:rowOff>19050</xdr:rowOff>
                  </to>
                </anchor>
              </controlPr>
            </control>
          </mc:Choice>
        </mc:AlternateContent>
        <mc:AlternateContent xmlns:mc="http://schemas.openxmlformats.org/markup-compatibility/2006">
          <mc:Choice Requires="x14">
            <control shapeId="45138" r:id="rId58" name="Check Box 82">
              <controlPr defaultSize="0" autoFill="0" autoLine="0" autoPict="0">
                <anchor moveWithCells="1">
                  <from>
                    <xdr:col>2</xdr:col>
                    <xdr:colOff>190500</xdr:colOff>
                    <xdr:row>188</xdr:row>
                    <xdr:rowOff>38100</xdr:rowOff>
                  </from>
                  <to>
                    <xdr:col>3</xdr:col>
                    <xdr:colOff>276225</xdr:colOff>
                    <xdr:row>189</xdr:row>
                    <xdr:rowOff>28575</xdr:rowOff>
                  </to>
                </anchor>
              </controlPr>
            </control>
          </mc:Choice>
        </mc:AlternateContent>
        <mc:AlternateContent xmlns:mc="http://schemas.openxmlformats.org/markup-compatibility/2006">
          <mc:Choice Requires="x14">
            <control shapeId="45139" r:id="rId59" name="Check Box 83">
              <controlPr locked="0" defaultSize="0" autoFill="0" autoLine="0" autoPict="0">
                <anchor moveWithCells="1">
                  <from>
                    <xdr:col>2</xdr:col>
                    <xdr:colOff>190500</xdr:colOff>
                    <xdr:row>189</xdr:row>
                    <xdr:rowOff>28575</xdr:rowOff>
                  </from>
                  <to>
                    <xdr:col>3</xdr:col>
                    <xdr:colOff>276225</xdr:colOff>
                    <xdr:row>190</xdr:row>
                    <xdr:rowOff>19050</xdr:rowOff>
                  </to>
                </anchor>
              </controlPr>
            </control>
          </mc:Choice>
        </mc:AlternateContent>
        <mc:AlternateContent xmlns:mc="http://schemas.openxmlformats.org/markup-compatibility/2006">
          <mc:Choice Requires="x14">
            <control shapeId="45140" r:id="rId60" name="Check Box 84">
              <controlPr defaultSize="0" autoFill="0" autoLine="0" autoPict="0">
                <anchor moveWithCells="1">
                  <from>
                    <xdr:col>2</xdr:col>
                    <xdr:colOff>190500</xdr:colOff>
                    <xdr:row>29</xdr:row>
                    <xdr:rowOff>9525</xdr:rowOff>
                  </from>
                  <to>
                    <xdr:col>3</xdr:col>
                    <xdr:colOff>276225</xdr:colOff>
                    <xdr:row>30</xdr:row>
                    <xdr:rowOff>0</xdr:rowOff>
                  </to>
                </anchor>
              </controlPr>
            </control>
          </mc:Choice>
        </mc:AlternateContent>
        <mc:AlternateContent xmlns:mc="http://schemas.openxmlformats.org/markup-compatibility/2006">
          <mc:Choice Requires="x14">
            <control shapeId="45141" r:id="rId61" name="Check Box 85">
              <controlPr locked="0" defaultSize="0" autoFill="0" autoLine="0" autoPict="0">
                <anchor moveWithCells="1">
                  <from>
                    <xdr:col>2</xdr:col>
                    <xdr:colOff>190500</xdr:colOff>
                    <xdr:row>30</xdr:row>
                    <xdr:rowOff>0</xdr:rowOff>
                  </from>
                  <to>
                    <xdr:col>3</xdr:col>
                    <xdr:colOff>276225</xdr:colOff>
                    <xdr:row>30</xdr:row>
                    <xdr:rowOff>219075</xdr:rowOff>
                  </to>
                </anchor>
              </controlPr>
            </control>
          </mc:Choice>
        </mc:AlternateContent>
        <mc:AlternateContent xmlns:mc="http://schemas.openxmlformats.org/markup-compatibility/2006">
          <mc:Choice Requires="x14">
            <control shapeId="45142" r:id="rId62" name="Check Box 86">
              <controlPr defaultSize="0" autoFill="0" autoLine="0" autoPict="0">
                <anchor moveWithCells="1">
                  <from>
                    <xdr:col>2</xdr:col>
                    <xdr:colOff>190500</xdr:colOff>
                    <xdr:row>29</xdr:row>
                    <xdr:rowOff>9525</xdr:rowOff>
                  </from>
                  <to>
                    <xdr:col>3</xdr:col>
                    <xdr:colOff>276225</xdr:colOff>
                    <xdr:row>30</xdr:row>
                    <xdr:rowOff>0</xdr:rowOff>
                  </to>
                </anchor>
              </controlPr>
            </control>
          </mc:Choice>
        </mc:AlternateContent>
        <mc:AlternateContent xmlns:mc="http://schemas.openxmlformats.org/markup-compatibility/2006">
          <mc:Choice Requires="x14">
            <control shapeId="45143" r:id="rId63" name="Check Box 87">
              <controlPr locked="0" defaultSize="0" autoFill="0" autoLine="0" autoPict="0">
                <anchor moveWithCells="1">
                  <from>
                    <xdr:col>2</xdr:col>
                    <xdr:colOff>190500</xdr:colOff>
                    <xdr:row>30</xdr:row>
                    <xdr:rowOff>0</xdr:rowOff>
                  </from>
                  <to>
                    <xdr:col>3</xdr:col>
                    <xdr:colOff>276225</xdr:colOff>
                    <xdr:row>30</xdr:row>
                    <xdr:rowOff>219075</xdr:rowOff>
                  </to>
                </anchor>
              </controlPr>
            </control>
          </mc:Choice>
        </mc:AlternateContent>
        <mc:AlternateContent xmlns:mc="http://schemas.openxmlformats.org/markup-compatibility/2006">
          <mc:Choice Requires="x14">
            <control shapeId="45144" r:id="rId64" name="Check Box 88">
              <controlPr defaultSize="0" autoFill="0" autoLine="0" autoPict="0">
                <anchor moveWithCells="1">
                  <from>
                    <xdr:col>5</xdr:col>
                    <xdr:colOff>238125</xdr:colOff>
                    <xdr:row>207</xdr:row>
                    <xdr:rowOff>0</xdr:rowOff>
                  </from>
                  <to>
                    <xdr:col>8</xdr:col>
                    <xdr:colOff>114300</xdr:colOff>
                    <xdr:row>207</xdr:row>
                    <xdr:rowOff>219075</xdr:rowOff>
                  </to>
                </anchor>
              </controlPr>
            </control>
          </mc:Choice>
        </mc:AlternateContent>
        <mc:AlternateContent xmlns:mc="http://schemas.openxmlformats.org/markup-compatibility/2006">
          <mc:Choice Requires="x14">
            <control shapeId="45145" r:id="rId65" name="Check Box 89">
              <controlPr defaultSize="0" autoFill="0" autoLine="0" autoPict="0">
                <anchor moveWithCells="1">
                  <from>
                    <xdr:col>5</xdr:col>
                    <xdr:colOff>238125</xdr:colOff>
                    <xdr:row>208</xdr:row>
                    <xdr:rowOff>0</xdr:rowOff>
                  </from>
                  <to>
                    <xdr:col>8</xdr:col>
                    <xdr:colOff>114300</xdr:colOff>
                    <xdr:row>209</xdr:row>
                    <xdr:rowOff>0</xdr:rowOff>
                  </to>
                </anchor>
              </controlPr>
            </control>
          </mc:Choice>
        </mc:AlternateContent>
        <mc:AlternateContent xmlns:mc="http://schemas.openxmlformats.org/markup-compatibility/2006">
          <mc:Choice Requires="x14">
            <control shapeId="45146" r:id="rId66" name="Check Box 90">
              <controlPr defaultSize="0" autoFill="0" autoLine="0" autoPict="0">
                <anchor moveWithCells="1">
                  <from>
                    <xdr:col>5</xdr:col>
                    <xdr:colOff>238125</xdr:colOff>
                    <xdr:row>209</xdr:row>
                    <xdr:rowOff>9525</xdr:rowOff>
                  </from>
                  <to>
                    <xdr:col>8</xdr:col>
                    <xdr:colOff>114300</xdr:colOff>
                    <xdr:row>210</xdr:row>
                    <xdr:rowOff>0</xdr:rowOff>
                  </to>
                </anchor>
              </controlPr>
            </control>
          </mc:Choice>
        </mc:AlternateContent>
        <mc:AlternateContent xmlns:mc="http://schemas.openxmlformats.org/markup-compatibility/2006">
          <mc:Choice Requires="x14">
            <control shapeId="45147" r:id="rId67" name="Check Box 91">
              <controlPr defaultSize="0" autoFill="0" autoLine="0" autoPict="0">
                <anchor moveWithCells="1">
                  <from>
                    <xdr:col>5</xdr:col>
                    <xdr:colOff>238125</xdr:colOff>
                    <xdr:row>210</xdr:row>
                    <xdr:rowOff>9525</xdr:rowOff>
                  </from>
                  <to>
                    <xdr:col>8</xdr:col>
                    <xdr:colOff>114300</xdr:colOff>
                    <xdr:row>211</xdr:row>
                    <xdr:rowOff>0</xdr:rowOff>
                  </to>
                </anchor>
              </controlPr>
            </control>
          </mc:Choice>
        </mc:AlternateContent>
        <mc:AlternateContent xmlns:mc="http://schemas.openxmlformats.org/markup-compatibility/2006">
          <mc:Choice Requires="x14">
            <control shapeId="45148" r:id="rId68" name="Check Box 92">
              <controlPr defaultSize="0" autoFill="0" autoLine="0" autoPict="0">
                <anchor moveWithCells="1">
                  <from>
                    <xdr:col>5</xdr:col>
                    <xdr:colOff>238125</xdr:colOff>
                    <xdr:row>211</xdr:row>
                    <xdr:rowOff>9525</xdr:rowOff>
                  </from>
                  <to>
                    <xdr:col>8</xdr:col>
                    <xdr:colOff>114300</xdr:colOff>
                    <xdr:row>212</xdr:row>
                    <xdr:rowOff>0</xdr:rowOff>
                  </to>
                </anchor>
              </controlPr>
            </control>
          </mc:Choice>
        </mc:AlternateContent>
        <mc:AlternateContent xmlns:mc="http://schemas.openxmlformats.org/markup-compatibility/2006">
          <mc:Choice Requires="x14">
            <control shapeId="45149" r:id="rId69" name="Check Box 93">
              <controlPr defaultSize="0" autoFill="0" autoLine="0" autoPict="0">
                <anchor moveWithCells="1">
                  <from>
                    <xdr:col>5</xdr:col>
                    <xdr:colOff>238125</xdr:colOff>
                    <xdr:row>214</xdr:row>
                    <xdr:rowOff>19050</xdr:rowOff>
                  </from>
                  <to>
                    <xdr:col>7</xdr:col>
                    <xdr:colOff>19050</xdr:colOff>
                    <xdr:row>215</xdr:row>
                    <xdr:rowOff>9525</xdr:rowOff>
                  </to>
                </anchor>
              </controlPr>
            </control>
          </mc:Choice>
        </mc:AlternateContent>
        <mc:AlternateContent xmlns:mc="http://schemas.openxmlformats.org/markup-compatibility/2006">
          <mc:Choice Requires="x14">
            <control shapeId="45150" r:id="rId70" name="Check Box 94">
              <controlPr defaultSize="0" autoFill="0" autoLine="0" autoPict="0">
                <anchor moveWithCells="1">
                  <from>
                    <xdr:col>5</xdr:col>
                    <xdr:colOff>238125</xdr:colOff>
                    <xdr:row>215</xdr:row>
                    <xdr:rowOff>19050</xdr:rowOff>
                  </from>
                  <to>
                    <xdr:col>7</xdr:col>
                    <xdr:colOff>19050</xdr:colOff>
                    <xdr:row>216</xdr:row>
                    <xdr:rowOff>19050</xdr:rowOff>
                  </to>
                </anchor>
              </controlPr>
            </control>
          </mc:Choice>
        </mc:AlternateContent>
        <mc:AlternateContent xmlns:mc="http://schemas.openxmlformats.org/markup-compatibility/2006">
          <mc:Choice Requires="x14">
            <control shapeId="45151" r:id="rId71" name="Check Box 95">
              <controlPr defaultSize="0" autoFill="0" autoLine="0" autoPict="0">
                <anchor moveWithCells="1">
                  <from>
                    <xdr:col>5</xdr:col>
                    <xdr:colOff>238125</xdr:colOff>
                    <xdr:row>216</xdr:row>
                    <xdr:rowOff>28575</xdr:rowOff>
                  </from>
                  <to>
                    <xdr:col>7</xdr:col>
                    <xdr:colOff>19050</xdr:colOff>
                    <xdr:row>217</xdr:row>
                    <xdr:rowOff>19050</xdr:rowOff>
                  </to>
                </anchor>
              </controlPr>
            </control>
          </mc:Choice>
        </mc:AlternateContent>
        <mc:AlternateContent xmlns:mc="http://schemas.openxmlformats.org/markup-compatibility/2006">
          <mc:Choice Requires="x14">
            <control shapeId="45152" r:id="rId72" name="Check Box 96">
              <controlPr defaultSize="0" autoFill="0" autoLine="0" autoPict="0">
                <anchor moveWithCells="1">
                  <from>
                    <xdr:col>5</xdr:col>
                    <xdr:colOff>238125</xdr:colOff>
                    <xdr:row>217</xdr:row>
                    <xdr:rowOff>19050</xdr:rowOff>
                  </from>
                  <to>
                    <xdr:col>7</xdr:col>
                    <xdr:colOff>19050</xdr:colOff>
                    <xdr:row>218</xdr:row>
                    <xdr:rowOff>9525</xdr:rowOff>
                  </to>
                </anchor>
              </controlPr>
            </control>
          </mc:Choice>
        </mc:AlternateContent>
        <mc:AlternateContent xmlns:mc="http://schemas.openxmlformats.org/markup-compatibility/2006">
          <mc:Choice Requires="x14">
            <control shapeId="45153" r:id="rId73" name="Check Box 97">
              <controlPr defaultSize="0" autoFill="0" autoLine="0" autoPict="0">
                <anchor moveWithCells="1">
                  <from>
                    <xdr:col>5</xdr:col>
                    <xdr:colOff>238125</xdr:colOff>
                    <xdr:row>218</xdr:row>
                    <xdr:rowOff>9525</xdr:rowOff>
                  </from>
                  <to>
                    <xdr:col>7</xdr:col>
                    <xdr:colOff>19050</xdr:colOff>
                    <xdr:row>219</xdr:row>
                    <xdr:rowOff>0</xdr:rowOff>
                  </to>
                </anchor>
              </controlPr>
            </control>
          </mc:Choice>
        </mc:AlternateContent>
        <mc:AlternateContent xmlns:mc="http://schemas.openxmlformats.org/markup-compatibility/2006">
          <mc:Choice Requires="x14">
            <control shapeId="45159" r:id="rId74" name="Check Box 103">
              <controlPr defaultSize="0" autoFill="0" autoLine="0" autoPict="0">
                <anchor moveWithCells="1">
                  <from>
                    <xdr:col>1</xdr:col>
                    <xdr:colOff>85725</xdr:colOff>
                    <xdr:row>247</xdr:row>
                    <xdr:rowOff>19050</xdr:rowOff>
                  </from>
                  <to>
                    <xdr:col>1</xdr:col>
                    <xdr:colOff>390525</xdr:colOff>
                    <xdr:row>248</xdr:row>
                    <xdr:rowOff>9525</xdr:rowOff>
                  </to>
                </anchor>
              </controlPr>
            </control>
          </mc:Choice>
        </mc:AlternateContent>
        <mc:AlternateContent xmlns:mc="http://schemas.openxmlformats.org/markup-compatibility/2006">
          <mc:Choice Requires="x14">
            <control shapeId="45160" r:id="rId75" name="Check Box 104">
              <controlPr defaultSize="0" autoFill="0" autoLine="0" autoPict="0">
                <anchor moveWithCells="1">
                  <from>
                    <xdr:col>5</xdr:col>
                    <xdr:colOff>142875</xdr:colOff>
                    <xdr:row>249</xdr:row>
                    <xdr:rowOff>9525</xdr:rowOff>
                  </from>
                  <to>
                    <xdr:col>6</xdr:col>
                    <xdr:colOff>190500</xdr:colOff>
                    <xdr:row>250</xdr:row>
                    <xdr:rowOff>0</xdr:rowOff>
                  </to>
                </anchor>
              </controlPr>
            </control>
          </mc:Choice>
        </mc:AlternateContent>
        <mc:AlternateContent xmlns:mc="http://schemas.openxmlformats.org/markup-compatibility/2006">
          <mc:Choice Requires="x14">
            <control shapeId="45165" r:id="rId76" name="Check Box 109">
              <controlPr defaultSize="0" autoFill="0" autoLine="0" autoPict="0">
                <anchor moveWithCells="1">
                  <from>
                    <xdr:col>4</xdr:col>
                    <xdr:colOff>142875</xdr:colOff>
                    <xdr:row>256</xdr:row>
                    <xdr:rowOff>28575</xdr:rowOff>
                  </from>
                  <to>
                    <xdr:col>5</xdr:col>
                    <xdr:colOff>219075</xdr:colOff>
                    <xdr:row>257</xdr:row>
                    <xdr:rowOff>19050</xdr:rowOff>
                  </to>
                </anchor>
              </controlPr>
            </control>
          </mc:Choice>
        </mc:AlternateContent>
        <mc:AlternateContent xmlns:mc="http://schemas.openxmlformats.org/markup-compatibility/2006">
          <mc:Choice Requires="x14">
            <control shapeId="45166" r:id="rId77" name="Check Box 110">
              <controlPr defaultSize="0" autoFill="0" autoLine="0" autoPict="0">
                <anchor moveWithCells="1">
                  <from>
                    <xdr:col>4</xdr:col>
                    <xdr:colOff>142875</xdr:colOff>
                    <xdr:row>257</xdr:row>
                    <xdr:rowOff>38100</xdr:rowOff>
                  </from>
                  <to>
                    <xdr:col>5</xdr:col>
                    <xdr:colOff>219075</xdr:colOff>
                    <xdr:row>258</xdr:row>
                    <xdr:rowOff>28575</xdr:rowOff>
                  </to>
                </anchor>
              </controlPr>
            </control>
          </mc:Choice>
        </mc:AlternateContent>
        <mc:AlternateContent xmlns:mc="http://schemas.openxmlformats.org/markup-compatibility/2006">
          <mc:Choice Requires="x14">
            <control shapeId="45167" r:id="rId78" name="Check Box 111">
              <controlPr defaultSize="0" autoFill="0" autoLine="0" autoPict="0">
                <anchor moveWithCells="1">
                  <from>
                    <xdr:col>4</xdr:col>
                    <xdr:colOff>142875</xdr:colOff>
                    <xdr:row>258</xdr:row>
                    <xdr:rowOff>38100</xdr:rowOff>
                  </from>
                  <to>
                    <xdr:col>5</xdr:col>
                    <xdr:colOff>219075</xdr:colOff>
                    <xdr:row>259</xdr:row>
                    <xdr:rowOff>28575</xdr:rowOff>
                  </to>
                </anchor>
              </controlPr>
            </control>
          </mc:Choice>
        </mc:AlternateContent>
        <mc:AlternateContent xmlns:mc="http://schemas.openxmlformats.org/markup-compatibility/2006">
          <mc:Choice Requires="x14">
            <control shapeId="45168" r:id="rId79" name="Check Box 112">
              <controlPr defaultSize="0" autoFill="0" autoLine="0" autoPict="0">
                <anchor moveWithCells="1">
                  <from>
                    <xdr:col>4</xdr:col>
                    <xdr:colOff>142875</xdr:colOff>
                    <xdr:row>259</xdr:row>
                    <xdr:rowOff>38100</xdr:rowOff>
                  </from>
                  <to>
                    <xdr:col>5</xdr:col>
                    <xdr:colOff>219075</xdr:colOff>
                    <xdr:row>260</xdr:row>
                    <xdr:rowOff>38100</xdr:rowOff>
                  </to>
                </anchor>
              </controlPr>
            </control>
          </mc:Choice>
        </mc:AlternateContent>
        <mc:AlternateContent xmlns:mc="http://schemas.openxmlformats.org/markup-compatibility/2006">
          <mc:Choice Requires="x14">
            <control shapeId="45169" r:id="rId80" name="Check Box 113">
              <controlPr defaultSize="0" autoFill="0" autoLine="0" autoPict="0">
                <anchor moveWithCells="1">
                  <from>
                    <xdr:col>4</xdr:col>
                    <xdr:colOff>142875</xdr:colOff>
                    <xdr:row>260</xdr:row>
                    <xdr:rowOff>47625</xdr:rowOff>
                  </from>
                  <to>
                    <xdr:col>5</xdr:col>
                    <xdr:colOff>219075</xdr:colOff>
                    <xdr:row>261</xdr:row>
                    <xdr:rowOff>38100</xdr:rowOff>
                  </to>
                </anchor>
              </controlPr>
            </control>
          </mc:Choice>
        </mc:AlternateContent>
        <mc:AlternateContent xmlns:mc="http://schemas.openxmlformats.org/markup-compatibility/2006">
          <mc:Choice Requires="x14">
            <control shapeId="45170" r:id="rId81" name="Check Box 114">
              <controlPr defaultSize="0" autoFill="0" autoLine="0" autoPict="0">
                <anchor moveWithCells="1">
                  <from>
                    <xdr:col>4</xdr:col>
                    <xdr:colOff>142875</xdr:colOff>
                    <xdr:row>261</xdr:row>
                    <xdr:rowOff>47625</xdr:rowOff>
                  </from>
                  <to>
                    <xdr:col>5</xdr:col>
                    <xdr:colOff>219075</xdr:colOff>
                    <xdr:row>262</xdr:row>
                    <xdr:rowOff>38100</xdr:rowOff>
                  </to>
                </anchor>
              </controlPr>
            </control>
          </mc:Choice>
        </mc:AlternateContent>
        <mc:AlternateContent xmlns:mc="http://schemas.openxmlformats.org/markup-compatibility/2006">
          <mc:Choice Requires="x14">
            <control shapeId="45171" r:id="rId82" name="Check Box 115">
              <controlPr defaultSize="0" autoFill="0" autoLine="0" autoPict="0">
                <anchor moveWithCells="1">
                  <from>
                    <xdr:col>4</xdr:col>
                    <xdr:colOff>142875</xdr:colOff>
                    <xdr:row>262</xdr:row>
                    <xdr:rowOff>28575</xdr:rowOff>
                  </from>
                  <to>
                    <xdr:col>5</xdr:col>
                    <xdr:colOff>219075</xdr:colOff>
                    <xdr:row>263</xdr:row>
                    <xdr:rowOff>19050</xdr:rowOff>
                  </to>
                </anchor>
              </controlPr>
            </control>
          </mc:Choice>
        </mc:AlternateContent>
        <mc:AlternateContent xmlns:mc="http://schemas.openxmlformats.org/markup-compatibility/2006">
          <mc:Choice Requires="x14">
            <control shapeId="45192" r:id="rId83" name="Check Box 136">
              <controlPr defaultSize="0" autoFill="0" autoLine="0" autoPict="0">
                <anchor moveWithCells="1">
                  <from>
                    <xdr:col>2</xdr:col>
                    <xdr:colOff>0</xdr:colOff>
                    <xdr:row>416</xdr:row>
                    <xdr:rowOff>38100</xdr:rowOff>
                  </from>
                  <to>
                    <xdr:col>3</xdr:col>
                    <xdr:colOff>85725</xdr:colOff>
                    <xdr:row>417</xdr:row>
                    <xdr:rowOff>28575</xdr:rowOff>
                  </to>
                </anchor>
              </controlPr>
            </control>
          </mc:Choice>
        </mc:AlternateContent>
        <mc:AlternateContent xmlns:mc="http://schemas.openxmlformats.org/markup-compatibility/2006">
          <mc:Choice Requires="x14">
            <control shapeId="45193" r:id="rId84" name="Check Box 137">
              <controlPr defaultSize="0" autoFill="0" autoLine="0" autoPict="0">
                <anchor moveWithCells="1">
                  <from>
                    <xdr:col>2</xdr:col>
                    <xdr:colOff>0</xdr:colOff>
                    <xdr:row>417</xdr:row>
                    <xdr:rowOff>38100</xdr:rowOff>
                  </from>
                  <to>
                    <xdr:col>3</xdr:col>
                    <xdr:colOff>85725</xdr:colOff>
                    <xdr:row>418</xdr:row>
                    <xdr:rowOff>28575</xdr:rowOff>
                  </to>
                </anchor>
              </controlPr>
            </control>
          </mc:Choice>
        </mc:AlternateContent>
        <mc:AlternateContent xmlns:mc="http://schemas.openxmlformats.org/markup-compatibility/2006">
          <mc:Choice Requires="x14">
            <control shapeId="45201" r:id="rId85" name="Check Box 145">
              <controlPr defaultSize="0" autoFill="0" autoLine="0" autoPict="0">
                <anchor moveWithCells="1">
                  <from>
                    <xdr:col>4</xdr:col>
                    <xdr:colOff>142875</xdr:colOff>
                    <xdr:row>429</xdr:row>
                    <xdr:rowOff>28575</xdr:rowOff>
                  </from>
                  <to>
                    <xdr:col>5</xdr:col>
                    <xdr:colOff>219075</xdr:colOff>
                    <xdr:row>430</xdr:row>
                    <xdr:rowOff>19050</xdr:rowOff>
                  </to>
                </anchor>
              </controlPr>
            </control>
          </mc:Choice>
        </mc:AlternateContent>
        <mc:AlternateContent xmlns:mc="http://schemas.openxmlformats.org/markup-compatibility/2006">
          <mc:Choice Requires="x14">
            <control shapeId="45202" r:id="rId86" name="Check Box 146">
              <controlPr defaultSize="0" autoFill="0" autoLine="0" autoPict="0">
                <anchor moveWithCells="1">
                  <from>
                    <xdr:col>4</xdr:col>
                    <xdr:colOff>142875</xdr:colOff>
                    <xdr:row>430</xdr:row>
                    <xdr:rowOff>38100</xdr:rowOff>
                  </from>
                  <to>
                    <xdr:col>5</xdr:col>
                    <xdr:colOff>219075</xdr:colOff>
                    <xdr:row>431</xdr:row>
                    <xdr:rowOff>28575</xdr:rowOff>
                  </to>
                </anchor>
              </controlPr>
            </control>
          </mc:Choice>
        </mc:AlternateContent>
        <mc:AlternateContent xmlns:mc="http://schemas.openxmlformats.org/markup-compatibility/2006">
          <mc:Choice Requires="x14">
            <control shapeId="45203" r:id="rId87" name="Check Box 147">
              <controlPr defaultSize="0" autoFill="0" autoLine="0" autoPict="0">
                <anchor moveWithCells="1">
                  <from>
                    <xdr:col>4</xdr:col>
                    <xdr:colOff>142875</xdr:colOff>
                    <xdr:row>431</xdr:row>
                    <xdr:rowOff>19050</xdr:rowOff>
                  </from>
                  <to>
                    <xdr:col>5</xdr:col>
                    <xdr:colOff>219075</xdr:colOff>
                    <xdr:row>432</xdr:row>
                    <xdr:rowOff>9525</xdr:rowOff>
                  </to>
                </anchor>
              </controlPr>
            </control>
          </mc:Choice>
        </mc:AlternateContent>
        <mc:AlternateContent xmlns:mc="http://schemas.openxmlformats.org/markup-compatibility/2006">
          <mc:Choice Requires="x14">
            <control shapeId="45204" r:id="rId88" name="Check Box 148">
              <controlPr defaultSize="0" autoFill="0" autoLine="0" autoPict="0">
                <anchor moveWithCells="1">
                  <from>
                    <xdr:col>4</xdr:col>
                    <xdr:colOff>142875</xdr:colOff>
                    <xdr:row>432</xdr:row>
                    <xdr:rowOff>28575</xdr:rowOff>
                  </from>
                  <to>
                    <xdr:col>5</xdr:col>
                    <xdr:colOff>219075</xdr:colOff>
                    <xdr:row>433</xdr:row>
                    <xdr:rowOff>28575</xdr:rowOff>
                  </to>
                </anchor>
              </controlPr>
            </control>
          </mc:Choice>
        </mc:AlternateContent>
        <mc:AlternateContent xmlns:mc="http://schemas.openxmlformats.org/markup-compatibility/2006">
          <mc:Choice Requires="x14">
            <control shapeId="45205" r:id="rId89" name="Check Box 149">
              <controlPr defaultSize="0" autoFill="0" autoLine="0" autoPict="0">
                <anchor moveWithCells="1">
                  <from>
                    <xdr:col>4</xdr:col>
                    <xdr:colOff>142875</xdr:colOff>
                    <xdr:row>433</xdr:row>
                    <xdr:rowOff>38100</xdr:rowOff>
                  </from>
                  <to>
                    <xdr:col>5</xdr:col>
                    <xdr:colOff>219075</xdr:colOff>
                    <xdr:row>434</xdr:row>
                    <xdr:rowOff>28575</xdr:rowOff>
                  </to>
                </anchor>
              </controlPr>
            </control>
          </mc:Choice>
        </mc:AlternateContent>
        <mc:AlternateContent xmlns:mc="http://schemas.openxmlformats.org/markup-compatibility/2006">
          <mc:Choice Requires="x14">
            <control shapeId="45206" r:id="rId90" name="Check Box 150">
              <controlPr defaultSize="0" autoFill="0" autoLine="0" autoPict="0">
                <anchor moveWithCells="1">
                  <from>
                    <xdr:col>4</xdr:col>
                    <xdr:colOff>142875</xdr:colOff>
                    <xdr:row>434</xdr:row>
                    <xdr:rowOff>38100</xdr:rowOff>
                  </from>
                  <to>
                    <xdr:col>5</xdr:col>
                    <xdr:colOff>219075</xdr:colOff>
                    <xdr:row>435</xdr:row>
                    <xdr:rowOff>28575</xdr:rowOff>
                  </to>
                </anchor>
              </controlPr>
            </control>
          </mc:Choice>
        </mc:AlternateContent>
        <mc:AlternateContent xmlns:mc="http://schemas.openxmlformats.org/markup-compatibility/2006">
          <mc:Choice Requires="x14">
            <control shapeId="45207" r:id="rId91" name="Check Box 151">
              <controlPr defaultSize="0" autoFill="0" autoLine="0" autoPict="0">
                <anchor moveWithCells="1">
                  <from>
                    <xdr:col>4</xdr:col>
                    <xdr:colOff>142875</xdr:colOff>
                    <xdr:row>435</xdr:row>
                    <xdr:rowOff>28575</xdr:rowOff>
                  </from>
                  <to>
                    <xdr:col>5</xdr:col>
                    <xdr:colOff>219075</xdr:colOff>
                    <xdr:row>436</xdr:row>
                    <xdr:rowOff>19050</xdr:rowOff>
                  </to>
                </anchor>
              </controlPr>
            </control>
          </mc:Choice>
        </mc:AlternateContent>
        <mc:AlternateContent xmlns:mc="http://schemas.openxmlformats.org/markup-compatibility/2006">
          <mc:Choice Requires="x14">
            <control shapeId="45220" r:id="rId92" name="Check Box 164">
              <controlPr defaultSize="0" autoFill="0" autoLine="0" autoPict="0">
                <anchor moveWithCells="1">
                  <from>
                    <xdr:col>1</xdr:col>
                    <xdr:colOff>85725</xdr:colOff>
                    <xdr:row>243</xdr:row>
                    <xdr:rowOff>47625</xdr:rowOff>
                  </from>
                  <to>
                    <xdr:col>1</xdr:col>
                    <xdr:colOff>390525</xdr:colOff>
                    <xdr:row>244</xdr:row>
                    <xdr:rowOff>19050</xdr:rowOff>
                  </to>
                </anchor>
              </controlPr>
            </control>
          </mc:Choice>
        </mc:AlternateContent>
        <mc:AlternateContent xmlns:mc="http://schemas.openxmlformats.org/markup-compatibility/2006">
          <mc:Choice Requires="x14">
            <control shapeId="45118" r:id="rId93" name="Group Box 62">
              <controlPr defaultSize="0" autoFill="0" autoPict="0">
                <anchor moveWithCells="1" sizeWithCells="1">
                  <from>
                    <xdr:col>1</xdr:col>
                    <xdr:colOff>9525</xdr:colOff>
                    <xdr:row>292</xdr:row>
                    <xdr:rowOff>342900</xdr:rowOff>
                  </from>
                  <to>
                    <xdr:col>3</xdr:col>
                    <xdr:colOff>276225</xdr:colOff>
                    <xdr:row>301</xdr:row>
                    <xdr:rowOff>190500</xdr:rowOff>
                  </to>
                </anchor>
              </controlPr>
            </control>
          </mc:Choice>
        </mc:AlternateContent>
        <mc:AlternateContent xmlns:mc="http://schemas.openxmlformats.org/markup-compatibility/2006">
          <mc:Choice Requires="x14">
            <control shapeId="45119" r:id="rId94" name="Option Button 63">
              <controlPr defaultSize="0" autoFill="0" autoLine="0" autoPict="0">
                <anchor moveWithCells="1" sizeWithCells="1">
                  <from>
                    <xdr:col>1</xdr:col>
                    <xdr:colOff>19050</xdr:colOff>
                    <xdr:row>293</xdr:row>
                    <xdr:rowOff>85725</xdr:rowOff>
                  </from>
                  <to>
                    <xdr:col>3</xdr:col>
                    <xdr:colOff>247650</xdr:colOff>
                    <xdr:row>294</xdr:row>
                    <xdr:rowOff>152400</xdr:rowOff>
                  </to>
                </anchor>
              </controlPr>
            </control>
          </mc:Choice>
        </mc:AlternateContent>
        <mc:AlternateContent xmlns:mc="http://schemas.openxmlformats.org/markup-compatibility/2006">
          <mc:Choice Requires="x14">
            <control shapeId="45120" r:id="rId95" name="Option Button 64">
              <controlPr defaultSize="0" autoFill="0" autoLine="0" autoPict="0">
                <anchor moveWithCells="1" sizeWithCells="1">
                  <from>
                    <xdr:col>1</xdr:col>
                    <xdr:colOff>19050</xdr:colOff>
                    <xdr:row>294</xdr:row>
                    <xdr:rowOff>152400</xdr:rowOff>
                  </from>
                  <to>
                    <xdr:col>3</xdr:col>
                    <xdr:colOff>247650</xdr:colOff>
                    <xdr:row>296</xdr:row>
                    <xdr:rowOff>38100</xdr:rowOff>
                  </to>
                </anchor>
              </controlPr>
            </control>
          </mc:Choice>
        </mc:AlternateContent>
        <mc:AlternateContent xmlns:mc="http://schemas.openxmlformats.org/markup-compatibility/2006">
          <mc:Choice Requires="x14">
            <control shapeId="45121" r:id="rId96" name="Option Button 65">
              <controlPr defaultSize="0" autoFill="0" autoLine="0" autoPict="0">
                <anchor moveWithCells="1" sizeWithCells="1">
                  <from>
                    <xdr:col>1</xdr:col>
                    <xdr:colOff>419100</xdr:colOff>
                    <xdr:row>296</xdr:row>
                    <xdr:rowOff>38100</xdr:rowOff>
                  </from>
                  <to>
                    <xdr:col>3</xdr:col>
                    <xdr:colOff>247650</xdr:colOff>
                    <xdr:row>297</xdr:row>
                    <xdr:rowOff>104775</xdr:rowOff>
                  </to>
                </anchor>
              </controlPr>
            </control>
          </mc:Choice>
        </mc:AlternateContent>
        <mc:AlternateContent xmlns:mc="http://schemas.openxmlformats.org/markup-compatibility/2006">
          <mc:Choice Requires="x14">
            <control shapeId="45122" r:id="rId97" name="Option Button 66">
              <controlPr defaultSize="0" autoFill="0" autoLine="0" autoPict="0">
                <anchor moveWithCells="1" sizeWithCells="1">
                  <from>
                    <xdr:col>1</xdr:col>
                    <xdr:colOff>419100</xdr:colOff>
                    <xdr:row>297</xdr:row>
                    <xdr:rowOff>104775</xdr:rowOff>
                  </from>
                  <to>
                    <xdr:col>3</xdr:col>
                    <xdr:colOff>247650</xdr:colOff>
                    <xdr:row>298</xdr:row>
                    <xdr:rowOff>161925</xdr:rowOff>
                  </to>
                </anchor>
              </controlPr>
            </control>
          </mc:Choice>
        </mc:AlternateContent>
        <mc:AlternateContent xmlns:mc="http://schemas.openxmlformats.org/markup-compatibility/2006">
          <mc:Choice Requires="x14">
            <control shapeId="45123" r:id="rId98" name="Option Button 67">
              <controlPr defaultSize="0" autoFill="0" autoLine="0" autoPict="0">
                <anchor moveWithCells="1" sizeWithCells="1">
                  <from>
                    <xdr:col>1</xdr:col>
                    <xdr:colOff>419100</xdr:colOff>
                    <xdr:row>298</xdr:row>
                    <xdr:rowOff>161925</xdr:rowOff>
                  </from>
                  <to>
                    <xdr:col>3</xdr:col>
                    <xdr:colOff>247650</xdr:colOff>
                    <xdr:row>299</xdr:row>
                    <xdr:rowOff>228600</xdr:rowOff>
                  </to>
                </anchor>
              </controlPr>
            </control>
          </mc:Choice>
        </mc:AlternateContent>
        <mc:AlternateContent xmlns:mc="http://schemas.openxmlformats.org/markup-compatibility/2006">
          <mc:Choice Requires="x14">
            <control shapeId="45124" r:id="rId99" name="Option Button 68">
              <controlPr defaultSize="0" autoFill="0" autoLine="0" autoPict="0">
                <anchor moveWithCells="1" sizeWithCells="1">
                  <from>
                    <xdr:col>1</xdr:col>
                    <xdr:colOff>419100</xdr:colOff>
                    <xdr:row>299</xdr:row>
                    <xdr:rowOff>228600</xdr:rowOff>
                  </from>
                  <to>
                    <xdr:col>3</xdr:col>
                    <xdr:colOff>247650</xdr:colOff>
                    <xdr:row>300</xdr:row>
                    <xdr:rowOff>171450</xdr:rowOff>
                  </to>
                </anchor>
              </controlPr>
            </control>
          </mc:Choice>
        </mc:AlternateContent>
        <mc:AlternateContent xmlns:mc="http://schemas.openxmlformats.org/markup-compatibility/2006">
          <mc:Choice Requires="x14">
            <control shapeId="45127" r:id="rId100" name="Option Button 71">
              <controlPr defaultSize="0" autoFill="0" autoLine="0" autoPict="0">
                <anchor moveWithCells="1" sizeWithCells="1">
                  <from>
                    <xdr:col>1</xdr:col>
                    <xdr:colOff>28575</xdr:colOff>
                    <xdr:row>300</xdr:row>
                    <xdr:rowOff>171450</xdr:rowOff>
                  </from>
                  <to>
                    <xdr:col>3</xdr:col>
                    <xdr:colOff>257175</xdr:colOff>
                    <xdr:row>302</xdr:row>
                    <xdr:rowOff>47625</xdr:rowOff>
                  </to>
                </anchor>
              </controlPr>
            </control>
          </mc:Choice>
        </mc:AlternateContent>
        <mc:AlternateContent xmlns:mc="http://schemas.openxmlformats.org/markup-compatibility/2006">
          <mc:Choice Requires="x14">
            <control shapeId="45058" r:id="rId101" name="Group Box 2">
              <controlPr defaultSize="0" autoFill="0" autoPict="0">
                <anchor moveWithCells="1" sizeWithCells="1">
                  <from>
                    <xdr:col>1</xdr:col>
                    <xdr:colOff>0</xdr:colOff>
                    <xdr:row>287</xdr:row>
                    <xdr:rowOff>0</xdr:rowOff>
                  </from>
                  <to>
                    <xdr:col>3</xdr:col>
                    <xdr:colOff>276225</xdr:colOff>
                    <xdr:row>291</xdr:row>
                    <xdr:rowOff>0</xdr:rowOff>
                  </to>
                </anchor>
              </controlPr>
            </control>
          </mc:Choice>
        </mc:AlternateContent>
        <mc:AlternateContent xmlns:mc="http://schemas.openxmlformats.org/markup-compatibility/2006">
          <mc:Choice Requires="x14">
            <control shapeId="45059" r:id="rId102" name="Option Button 3">
              <controlPr defaultSize="0" autoFill="0" autoLine="0" autoPict="0">
                <anchor moveWithCells="1" sizeWithCells="1">
                  <from>
                    <xdr:col>1</xdr:col>
                    <xdr:colOff>19050</xdr:colOff>
                    <xdr:row>287</xdr:row>
                    <xdr:rowOff>19050</xdr:rowOff>
                  </from>
                  <to>
                    <xdr:col>3</xdr:col>
                    <xdr:colOff>257175</xdr:colOff>
                    <xdr:row>288</xdr:row>
                    <xdr:rowOff>66675</xdr:rowOff>
                  </to>
                </anchor>
              </controlPr>
            </control>
          </mc:Choice>
        </mc:AlternateContent>
        <mc:AlternateContent xmlns:mc="http://schemas.openxmlformats.org/markup-compatibility/2006">
          <mc:Choice Requires="x14">
            <control shapeId="45060" r:id="rId103" name="Option Button 4">
              <controlPr defaultSize="0" autoFill="0" autoLine="0" autoPict="0">
                <anchor moveWithCells="1" sizeWithCells="1">
                  <from>
                    <xdr:col>1</xdr:col>
                    <xdr:colOff>9525</xdr:colOff>
                    <xdr:row>288</xdr:row>
                    <xdr:rowOff>66675</xdr:rowOff>
                  </from>
                  <to>
                    <xdr:col>3</xdr:col>
                    <xdr:colOff>247650</xdr:colOff>
                    <xdr:row>289</xdr:row>
                    <xdr:rowOff>123825</xdr:rowOff>
                  </to>
                </anchor>
              </controlPr>
            </control>
          </mc:Choice>
        </mc:AlternateContent>
        <mc:AlternateContent xmlns:mc="http://schemas.openxmlformats.org/markup-compatibility/2006">
          <mc:Choice Requires="x14">
            <control shapeId="45061" r:id="rId104" name="Option Button 5">
              <controlPr defaultSize="0" autoFill="0" autoLine="0" autoPict="0">
                <anchor moveWithCells="1" sizeWithCells="1">
                  <from>
                    <xdr:col>1</xdr:col>
                    <xdr:colOff>9525</xdr:colOff>
                    <xdr:row>289</xdr:row>
                    <xdr:rowOff>114300</xdr:rowOff>
                  </from>
                  <to>
                    <xdr:col>3</xdr:col>
                    <xdr:colOff>247650</xdr:colOff>
                    <xdr:row>290</xdr:row>
                    <xdr:rowOff>161925</xdr:rowOff>
                  </to>
                </anchor>
              </controlPr>
            </control>
          </mc:Choice>
        </mc:AlternateContent>
        <mc:AlternateContent xmlns:mc="http://schemas.openxmlformats.org/markup-compatibility/2006">
          <mc:Choice Requires="x14">
            <control shapeId="45108" r:id="rId105" name="Group Box 52">
              <controlPr defaultSize="0" autoFill="0" autoPict="0">
                <anchor moveWithCells="1" sizeWithCells="1">
                  <from>
                    <xdr:col>1</xdr:col>
                    <xdr:colOff>0</xdr:colOff>
                    <xdr:row>308</xdr:row>
                    <xdr:rowOff>0</xdr:rowOff>
                  </from>
                  <to>
                    <xdr:col>3</xdr:col>
                    <xdr:colOff>276225</xdr:colOff>
                    <xdr:row>318</xdr:row>
                    <xdr:rowOff>180975</xdr:rowOff>
                  </to>
                </anchor>
              </controlPr>
            </control>
          </mc:Choice>
        </mc:AlternateContent>
        <mc:AlternateContent xmlns:mc="http://schemas.openxmlformats.org/markup-compatibility/2006">
          <mc:Choice Requires="x14">
            <control shapeId="45109" r:id="rId106" name="Option Button 53">
              <controlPr defaultSize="0" autoFill="0" autoLine="0" autoPict="0">
                <anchor moveWithCells="1" sizeWithCells="1">
                  <from>
                    <xdr:col>1</xdr:col>
                    <xdr:colOff>19050</xdr:colOff>
                    <xdr:row>308</xdr:row>
                    <xdr:rowOff>9525</xdr:rowOff>
                  </from>
                  <to>
                    <xdr:col>3</xdr:col>
                    <xdr:colOff>257175</xdr:colOff>
                    <xdr:row>309</xdr:row>
                    <xdr:rowOff>114300</xdr:rowOff>
                  </to>
                </anchor>
              </controlPr>
            </control>
          </mc:Choice>
        </mc:AlternateContent>
        <mc:AlternateContent xmlns:mc="http://schemas.openxmlformats.org/markup-compatibility/2006">
          <mc:Choice Requires="x14">
            <control shapeId="45110" r:id="rId107" name="Option Button 54">
              <controlPr defaultSize="0" autoFill="0" autoLine="0" autoPict="0">
                <anchor moveWithCells="1" sizeWithCells="1">
                  <from>
                    <xdr:col>1</xdr:col>
                    <xdr:colOff>19050</xdr:colOff>
                    <xdr:row>309</xdr:row>
                    <xdr:rowOff>104775</xdr:rowOff>
                  </from>
                  <to>
                    <xdr:col>3</xdr:col>
                    <xdr:colOff>257175</xdr:colOff>
                    <xdr:row>311</xdr:row>
                    <xdr:rowOff>19050</xdr:rowOff>
                  </to>
                </anchor>
              </controlPr>
            </control>
          </mc:Choice>
        </mc:AlternateContent>
        <mc:AlternateContent xmlns:mc="http://schemas.openxmlformats.org/markup-compatibility/2006">
          <mc:Choice Requires="x14">
            <control shapeId="45111" r:id="rId108" name="Option Button 55">
              <controlPr defaultSize="0" autoFill="0" autoLine="0" autoPict="0">
                <anchor moveWithCells="1" sizeWithCells="1">
                  <from>
                    <xdr:col>1</xdr:col>
                    <xdr:colOff>19050</xdr:colOff>
                    <xdr:row>311</xdr:row>
                    <xdr:rowOff>19050</xdr:rowOff>
                  </from>
                  <to>
                    <xdr:col>3</xdr:col>
                    <xdr:colOff>257175</xdr:colOff>
                    <xdr:row>312</xdr:row>
                    <xdr:rowOff>123825</xdr:rowOff>
                  </to>
                </anchor>
              </controlPr>
            </control>
          </mc:Choice>
        </mc:AlternateContent>
        <mc:AlternateContent xmlns:mc="http://schemas.openxmlformats.org/markup-compatibility/2006">
          <mc:Choice Requires="x14">
            <control shapeId="45112" r:id="rId109" name="Option Button 56">
              <controlPr defaultSize="0" autoFill="0" autoLine="0" autoPict="0">
                <anchor moveWithCells="1" sizeWithCells="1">
                  <from>
                    <xdr:col>1</xdr:col>
                    <xdr:colOff>19050</xdr:colOff>
                    <xdr:row>312</xdr:row>
                    <xdr:rowOff>123825</xdr:rowOff>
                  </from>
                  <to>
                    <xdr:col>3</xdr:col>
                    <xdr:colOff>257175</xdr:colOff>
                    <xdr:row>314</xdr:row>
                    <xdr:rowOff>38100</xdr:rowOff>
                  </to>
                </anchor>
              </controlPr>
            </control>
          </mc:Choice>
        </mc:AlternateContent>
        <mc:AlternateContent xmlns:mc="http://schemas.openxmlformats.org/markup-compatibility/2006">
          <mc:Choice Requires="x14">
            <control shapeId="45113" r:id="rId110" name="Option Button 57">
              <controlPr defaultSize="0" autoFill="0" autoLine="0" autoPict="0">
                <anchor moveWithCells="1" sizeWithCells="1">
                  <from>
                    <xdr:col>1</xdr:col>
                    <xdr:colOff>19050</xdr:colOff>
                    <xdr:row>314</xdr:row>
                    <xdr:rowOff>19050</xdr:rowOff>
                  </from>
                  <to>
                    <xdr:col>3</xdr:col>
                    <xdr:colOff>257175</xdr:colOff>
                    <xdr:row>315</xdr:row>
                    <xdr:rowOff>123825</xdr:rowOff>
                  </to>
                </anchor>
              </controlPr>
            </control>
          </mc:Choice>
        </mc:AlternateContent>
        <mc:AlternateContent xmlns:mc="http://schemas.openxmlformats.org/markup-compatibility/2006">
          <mc:Choice Requires="x14">
            <control shapeId="45114" r:id="rId111" name="Option Button 58">
              <controlPr defaultSize="0" autoFill="0" autoLine="0" autoPict="0">
                <anchor moveWithCells="1" sizeWithCells="1">
                  <from>
                    <xdr:col>1</xdr:col>
                    <xdr:colOff>19050</xdr:colOff>
                    <xdr:row>315</xdr:row>
                    <xdr:rowOff>123825</xdr:rowOff>
                  </from>
                  <to>
                    <xdr:col>3</xdr:col>
                    <xdr:colOff>257175</xdr:colOff>
                    <xdr:row>317</xdr:row>
                    <xdr:rowOff>38100</xdr:rowOff>
                  </to>
                </anchor>
              </controlPr>
            </control>
          </mc:Choice>
        </mc:AlternateContent>
        <mc:AlternateContent xmlns:mc="http://schemas.openxmlformats.org/markup-compatibility/2006">
          <mc:Choice Requires="x14">
            <control shapeId="45115" r:id="rId112" name="Option Button 59">
              <controlPr defaultSize="0" autoFill="0" autoLine="0" autoPict="0">
                <anchor moveWithCells="1" sizeWithCells="1">
                  <from>
                    <xdr:col>1</xdr:col>
                    <xdr:colOff>19050</xdr:colOff>
                    <xdr:row>317</xdr:row>
                    <xdr:rowOff>38100</xdr:rowOff>
                  </from>
                  <to>
                    <xdr:col>3</xdr:col>
                    <xdr:colOff>257175</xdr:colOff>
                    <xdr:row>318</xdr:row>
                    <xdr:rowOff>142875</xdr:rowOff>
                  </to>
                </anchor>
              </controlPr>
            </control>
          </mc:Choice>
        </mc:AlternateContent>
        <mc:AlternateContent xmlns:mc="http://schemas.openxmlformats.org/markup-compatibility/2006">
          <mc:Choice Requires="x14">
            <control shapeId="45155" r:id="rId113" name="Group Box 99">
              <controlPr defaultSize="0" autoFill="0" autoPict="0">
                <anchor moveWithCells="1" sizeWithCells="1">
                  <from>
                    <xdr:col>1</xdr:col>
                    <xdr:colOff>1076325</xdr:colOff>
                    <xdr:row>246</xdr:row>
                    <xdr:rowOff>0</xdr:rowOff>
                  </from>
                  <to>
                    <xdr:col>15</xdr:col>
                    <xdr:colOff>0</xdr:colOff>
                    <xdr:row>247</xdr:row>
                    <xdr:rowOff>0</xdr:rowOff>
                  </to>
                </anchor>
              </controlPr>
            </control>
          </mc:Choice>
        </mc:AlternateContent>
        <mc:AlternateContent xmlns:mc="http://schemas.openxmlformats.org/markup-compatibility/2006">
          <mc:Choice Requires="x14">
            <control shapeId="45156" r:id="rId114" name="Option Button 100">
              <controlPr defaultSize="0" autoFill="0" autoLine="0" autoPict="0">
                <anchor moveWithCells="1" sizeWithCells="1">
                  <from>
                    <xdr:col>1</xdr:col>
                    <xdr:colOff>1085850</xdr:colOff>
                    <xdr:row>246</xdr:row>
                    <xdr:rowOff>9525</xdr:rowOff>
                  </from>
                  <to>
                    <xdr:col>2</xdr:col>
                    <xdr:colOff>28575</xdr:colOff>
                    <xdr:row>246</xdr:row>
                    <xdr:rowOff>228600</xdr:rowOff>
                  </to>
                </anchor>
              </controlPr>
            </control>
          </mc:Choice>
        </mc:AlternateContent>
        <mc:AlternateContent xmlns:mc="http://schemas.openxmlformats.org/markup-compatibility/2006">
          <mc:Choice Requires="x14">
            <control shapeId="45157" r:id="rId115" name="Option Button 101">
              <controlPr defaultSize="0" autoFill="0" autoLine="0" autoPict="0">
                <anchor moveWithCells="1" sizeWithCells="1">
                  <from>
                    <xdr:col>2</xdr:col>
                    <xdr:colOff>161925</xdr:colOff>
                    <xdr:row>246</xdr:row>
                    <xdr:rowOff>19050</xdr:rowOff>
                  </from>
                  <to>
                    <xdr:col>10</xdr:col>
                    <xdr:colOff>190500</xdr:colOff>
                    <xdr:row>246</xdr:row>
                    <xdr:rowOff>238125</xdr:rowOff>
                  </to>
                </anchor>
              </controlPr>
            </control>
          </mc:Choice>
        </mc:AlternateContent>
        <mc:AlternateContent xmlns:mc="http://schemas.openxmlformats.org/markup-compatibility/2006">
          <mc:Choice Requires="x14">
            <control shapeId="45158" r:id="rId116" name="Option Button 102">
              <controlPr defaultSize="0" autoFill="0" autoLine="0" autoPict="0">
                <anchor moveWithCells="1" sizeWithCells="1">
                  <from>
                    <xdr:col>11</xdr:col>
                    <xdr:colOff>28575</xdr:colOff>
                    <xdr:row>246</xdr:row>
                    <xdr:rowOff>19050</xdr:rowOff>
                  </from>
                  <to>
                    <xdr:col>14</xdr:col>
                    <xdr:colOff>495300</xdr:colOff>
                    <xdr:row>246</xdr:row>
                    <xdr:rowOff>238125</xdr:rowOff>
                  </to>
                </anchor>
              </controlPr>
            </control>
          </mc:Choice>
        </mc:AlternateContent>
        <mc:AlternateContent xmlns:mc="http://schemas.openxmlformats.org/markup-compatibility/2006">
          <mc:Choice Requires="x14">
            <control shapeId="45162" r:id="rId117" name="Group Box 106">
              <controlPr defaultSize="0" autoFill="0" autoPict="0">
                <anchor moveWithCells="1" sizeWithCells="1">
                  <from>
                    <xdr:col>13</xdr:col>
                    <xdr:colOff>0</xdr:colOff>
                    <xdr:row>253</xdr:row>
                    <xdr:rowOff>0</xdr:rowOff>
                  </from>
                  <to>
                    <xdr:col>15</xdr:col>
                    <xdr:colOff>0</xdr:colOff>
                    <xdr:row>254</xdr:row>
                    <xdr:rowOff>0</xdr:rowOff>
                  </to>
                </anchor>
              </controlPr>
            </control>
          </mc:Choice>
        </mc:AlternateContent>
        <mc:AlternateContent xmlns:mc="http://schemas.openxmlformats.org/markup-compatibility/2006">
          <mc:Choice Requires="x14">
            <control shapeId="45163" r:id="rId118" name="Option Button 107">
              <controlPr defaultSize="0" autoFill="0" autoLine="0" autoPict="0">
                <anchor moveWithCells="1" sizeWithCells="1">
                  <from>
                    <xdr:col>13</xdr:col>
                    <xdr:colOff>76200</xdr:colOff>
                    <xdr:row>253</xdr:row>
                    <xdr:rowOff>19050</xdr:rowOff>
                  </from>
                  <to>
                    <xdr:col>14</xdr:col>
                    <xdr:colOff>0</xdr:colOff>
                    <xdr:row>253</xdr:row>
                    <xdr:rowOff>257175</xdr:rowOff>
                  </to>
                </anchor>
              </controlPr>
            </control>
          </mc:Choice>
        </mc:AlternateContent>
        <mc:AlternateContent xmlns:mc="http://schemas.openxmlformats.org/markup-compatibility/2006">
          <mc:Choice Requires="x14">
            <control shapeId="45164" r:id="rId119" name="Option Button 108">
              <controlPr defaultSize="0" autoFill="0" autoLine="0" autoPict="0">
                <anchor moveWithCells="1" sizeWithCells="1">
                  <from>
                    <xdr:col>14</xdr:col>
                    <xdr:colOff>28575</xdr:colOff>
                    <xdr:row>253</xdr:row>
                    <xdr:rowOff>19050</xdr:rowOff>
                  </from>
                  <to>
                    <xdr:col>14</xdr:col>
                    <xdr:colOff>428625</xdr:colOff>
                    <xdr:row>253</xdr:row>
                    <xdr:rowOff>257175</xdr:rowOff>
                  </to>
                </anchor>
              </controlPr>
            </control>
          </mc:Choice>
        </mc:AlternateContent>
        <mc:AlternateContent xmlns:mc="http://schemas.openxmlformats.org/markup-compatibility/2006">
          <mc:Choice Requires="x14">
            <control shapeId="45177" r:id="rId120" name="Group Box 121">
              <controlPr defaultSize="0" autoFill="0" autoPict="0">
                <anchor moveWithCells="1" sizeWithCells="1">
                  <from>
                    <xdr:col>13</xdr:col>
                    <xdr:colOff>9525</xdr:colOff>
                    <xdr:row>266</xdr:row>
                    <xdr:rowOff>0</xdr:rowOff>
                  </from>
                  <to>
                    <xdr:col>15</xdr:col>
                    <xdr:colOff>0</xdr:colOff>
                    <xdr:row>267</xdr:row>
                    <xdr:rowOff>0</xdr:rowOff>
                  </to>
                </anchor>
              </controlPr>
            </control>
          </mc:Choice>
        </mc:AlternateContent>
        <mc:AlternateContent xmlns:mc="http://schemas.openxmlformats.org/markup-compatibility/2006">
          <mc:Choice Requires="x14">
            <control shapeId="45178" r:id="rId121" name="Option Button 122">
              <controlPr defaultSize="0" autoFill="0" autoLine="0" autoPict="0">
                <anchor moveWithCells="1" sizeWithCells="1">
                  <from>
                    <xdr:col>13</xdr:col>
                    <xdr:colOff>66675</xdr:colOff>
                    <xdr:row>266</xdr:row>
                    <xdr:rowOff>28575</xdr:rowOff>
                  </from>
                  <to>
                    <xdr:col>14</xdr:col>
                    <xdr:colOff>47625</xdr:colOff>
                    <xdr:row>266</xdr:row>
                    <xdr:rowOff>190500</xdr:rowOff>
                  </to>
                </anchor>
              </controlPr>
            </control>
          </mc:Choice>
        </mc:AlternateContent>
        <mc:AlternateContent xmlns:mc="http://schemas.openxmlformats.org/markup-compatibility/2006">
          <mc:Choice Requires="x14">
            <control shapeId="45179" r:id="rId122" name="Option Button 123">
              <controlPr defaultSize="0" autoFill="0" autoLine="0" autoPict="0">
                <anchor moveWithCells="1" sizeWithCells="1">
                  <from>
                    <xdr:col>14</xdr:col>
                    <xdr:colOff>19050</xdr:colOff>
                    <xdr:row>266</xdr:row>
                    <xdr:rowOff>28575</xdr:rowOff>
                  </from>
                  <to>
                    <xdr:col>14</xdr:col>
                    <xdr:colOff>571500</xdr:colOff>
                    <xdr:row>266</xdr:row>
                    <xdr:rowOff>190500</xdr:rowOff>
                  </to>
                </anchor>
              </controlPr>
            </control>
          </mc:Choice>
        </mc:AlternateContent>
        <mc:AlternateContent xmlns:mc="http://schemas.openxmlformats.org/markup-compatibility/2006">
          <mc:Choice Requires="x14">
            <control shapeId="45181" r:id="rId123" name="Group Box 125">
              <controlPr defaultSize="0" autoFill="0" autoPict="0">
                <anchor moveWithCells="1" sizeWithCells="1">
                  <from>
                    <xdr:col>1</xdr:col>
                    <xdr:colOff>962025</xdr:colOff>
                    <xdr:row>403</xdr:row>
                    <xdr:rowOff>0</xdr:rowOff>
                  </from>
                  <to>
                    <xdr:col>15</xdr:col>
                    <xdr:colOff>0</xdr:colOff>
                    <xdr:row>404</xdr:row>
                    <xdr:rowOff>0</xdr:rowOff>
                  </to>
                </anchor>
              </controlPr>
            </control>
          </mc:Choice>
        </mc:AlternateContent>
        <mc:AlternateContent xmlns:mc="http://schemas.openxmlformats.org/markup-compatibility/2006">
          <mc:Choice Requires="x14">
            <control shapeId="45182" r:id="rId124" name="Option Button 126">
              <controlPr defaultSize="0" autoFill="0" autoLine="0" autoPict="0">
                <anchor moveWithCells="1" sizeWithCells="1">
                  <from>
                    <xdr:col>1</xdr:col>
                    <xdr:colOff>990600</xdr:colOff>
                    <xdr:row>403</xdr:row>
                    <xdr:rowOff>19050</xdr:rowOff>
                  </from>
                  <to>
                    <xdr:col>3</xdr:col>
                    <xdr:colOff>38100</xdr:colOff>
                    <xdr:row>403</xdr:row>
                    <xdr:rowOff>219075</xdr:rowOff>
                  </to>
                </anchor>
              </controlPr>
            </control>
          </mc:Choice>
        </mc:AlternateContent>
        <mc:AlternateContent xmlns:mc="http://schemas.openxmlformats.org/markup-compatibility/2006">
          <mc:Choice Requires="x14">
            <control shapeId="45183" r:id="rId125" name="Option Button 127">
              <controlPr defaultSize="0" autoFill="0" autoLine="0" autoPict="0">
                <anchor moveWithCells="1" sizeWithCells="1">
                  <from>
                    <xdr:col>3</xdr:col>
                    <xdr:colOff>19050</xdr:colOff>
                    <xdr:row>403</xdr:row>
                    <xdr:rowOff>19050</xdr:rowOff>
                  </from>
                  <to>
                    <xdr:col>11</xdr:col>
                    <xdr:colOff>85725</xdr:colOff>
                    <xdr:row>403</xdr:row>
                    <xdr:rowOff>219075</xdr:rowOff>
                  </to>
                </anchor>
              </controlPr>
            </control>
          </mc:Choice>
        </mc:AlternateContent>
        <mc:AlternateContent xmlns:mc="http://schemas.openxmlformats.org/markup-compatibility/2006">
          <mc:Choice Requires="x14">
            <control shapeId="45184" r:id="rId126" name="Option Button 128">
              <controlPr defaultSize="0" autoFill="0" autoLine="0" autoPict="0">
                <anchor moveWithCells="1" sizeWithCells="1">
                  <from>
                    <xdr:col>11</xdr:col>
                    <xdr:colOff>66675</xdr:colOff>
                    <xdr:row>403</xdr:row>
                    <xdr:rowOff>19050</xdr:rowOff>
                  </from>
                  <to>
                    <xdr:col>14</xdr:col>
                    <xdr:colOff>571500</xdr:colOff>
                    <xdr:row>403</xdr:row>
                    <xdr:rowOff>219075</xdr:rowOff>
                  </to>
                </anchor>
              </controlPr>
            </control>
          </mc:Choice>
        </mc:AlternateContent>
        <mc:AlternateContent xmlns:mc="http://schemas.openxmlformats.org/markup-compatibility/2006">
          <mc:Choice Requires="x14">
            <control shapeId="45186" r:id="rId127" name="Option Button 130">
              <controlPr defaultSize="0" autoFill="0" autoLine="0" autoPict="0">
                <anchor moveWithCells="1" sizeWithCells="1">
                  <from>
                    <xdr:col>2</xdr:col>
                    <xdr:colOff>142875</xdr:colOff>
                    <xdr:row>413</xdr:row>
                    <xdr:rowOff>95250</xdr:rowOff>
                  </from>
                  <to>
                    <xdr:col>4</xdr:col>
                    <xdr:colOff>66675</xdr:colOff>
                    <xdr:row>414</xdr:row>
                    <xdr:rowOff>85725</xdr:rowOff>
                  </to>
                </anchor>
              </controlPr>
            </control>
          </mc:Choice>
        </mc:AlternateContent>
        <mc:AlternateContent xmlns:mc="http://schemas.openxmlformats.org/markup-compatibility/2006">
          <mc:Choice Requires="x14">
            <control shapeId="45187" r:id="rId128" name="Option Button 131">
              <controlPr defaultSize="0" autoFill="0" autoLine="0" autoPict="0">
                <anchor moveWithCells="1" sizeWithCells="1">
                  <from>
                    <xdr:col>5</xdr:col>
                    <xdr:colOff>19050</xdr:colOff>
                    <xdr:row>412</xdr:row>
                    <xdr:rowOff>9525</xdr:rowOff>
                  </from>
                  <to>
                    <xdr:col>11</xdr:col>
                    <xdr:colOff>209550</xdr:colOff>
                    <xdr:row>413</xdr:row>
                    <xdr:rowOff>0</xdr:rowOff>
                  </to>
                </anchor>
              </controlPr>
            </control>
          </mc:Choice>
        </mc:AlternateContent>
        <mc:AlternateContent xmlns:mc="http://schemas.openxmlformats.org/markup-compatibility/2006">
          <mc:Choice Requires="x14">
            <control shapeId="45188" r:id="rId129" name="Option Button 132">
              <controlPr defaultSize="0" autoFill="0" autoLine="0" autoPict="0">
                <anchor moveWithCells="1" sizeWithCells="1">
                  <from>
                    <xdr:col>5</xdr:col>
                    <xdr:colOff>28575</xdr:colOff>
                    <xdr:row>412</xdr:row>
                    <xdr:rowOff>219075</xdr:rowOff>
                  </from>
                  <to>
                    <xdr:col>12</xdr:col>
                    <xdr:colOff>390525</xdr:colOff>
                    <xdr:row>413</xdr:row>
                    <xdr:rowOff>209550</xdr:rowOff>
                  </to>
                </anchor>
              </controlPr>
            </control>
          </mc:Choice>
        </mc:AlternateContent>
        <mc:AlternateContent xmlns:mc="http://schemas.openxmlformats.org/markup-compatibility/2006">
          <mc:Choice Requires="x14">
            <control shapeId="45189" r:id="rId130" name="Option Button 133">
              <controlPr defaultSize="0" autoFill="0" autoLine="0" autoPict="0">
                <anchor moveWithCells="1" sizeWithCells="1">
                  <from>
                    <xdr:col>5</xdr:col>
                    <xdr:colOff>38100</xdr:colOff>
                    <xdr:row>413</xdr:row>
                    <xdr:rowOff>200025</xdr:rowOff>
                  </from>
                  <to>
                    <xdr:col>12</xdr:col>
                    <xdr:colOff>400050</xdr:colOff>
                    <xdr:row>414</xdr:row>
                    <xdr:rowOff>190500</xdr:rowOff>
                  </to>
                </anchor>
              </controlPr>
            </control>
          </mc:Choice>
        </mc:AlternateContent>
        <mc:AlternateContent xmlns:mc="http://schemas.openxmlformats.org/markup-compatibility/2006">
          <mc:Choice Requires="x14">
            <control shapeId="45190" r:id="rId131" name="Option Button 134">
              <controlPr defaultSize="0" autoFill="0" autoLine="0" autoPict="0">
                <anchor moveWithCells="1" sizeWithCells="1">
                  <from>
                    <xdr:col>5</xdr:col>
                    <xdr:colOff>38100</xdr:colOff>
                    <xdr:row>414</xdr:row>
                    <xdr:rowOff>180975</xdr:rowOff>
                  </from>
                  <to>
                    <xdr:col>12</xdr:col>
                    <xdr:colOff>400050</xdr:colOff>
                    <xdr:row>415</xdr:row>
                    <xdr:rowOff>171450</xdr:rowOff>
                  </to>
                </anchor>
              </controlPr>
            </control>
          </mc:Choice>
        </mc:AlternateContent>
        <mc:AlternateContent xmlns:mc="http://schemas.openxmlformats.org/markup-compatibility/2006">
          <mc:Choice Requires="x14">
            <control shapeId="45191" r:id="rId132" name="Group Box 135">
              <controlPr defaultSize="0" autoFill="0" autoPict="0">
                <anchor moveWithCells="1" sizeWithCells="1">
                  <from>
                    <xdr:col>2</xdr:col>
                    <xdr:colOff>0</xdr:colOff>
                    <xdr:row>412</xdr:row>
                    <xdr:rowOff>0</xdr:rowOff>
                  </from>
                  <to>
                    <xdr:col>15</xdr:col>
                    <xdr:colOff>0</xdr:colOff>
                    <xdr:row>416</xdr:row>
                    <xdr:rowOff>0</xdr:rowOff>
                  </to>
                </anchor>
              </controlPr>
            </control>
          </mc:Choice>
        </mc:AlternateContent>
        <mc:AlternateContent xmlns:mc="http://schemas.openxmlformats.org/markup-compatibility/2006">
          <mc:Choice Requires="x14">
            <control shapeId="45195" r:id="rId133" name="Group Box 139">
              <controlPr defaultSize="0" autoFill="0" autoPict="0">
                <anchor moveWithCells="1" sizeWithCells="1">
                  <from>
                    <xdr:col>1</xdr:col>
                    <xdr:colOff>0</xdr:colOff>
                    <xdr:row>423</xdr:row>
                    <xdr:rowOff>19050</xdr:rowOff>
                  </from>
                  <to>
                    <xdr:col>1</xdr:col>
                    <xdr:colOff>1419225</xdr:colOff>
                    <xdr:row>427</xdr:row>
                    <xdr:rowOff>0</xdr:rowOff>
                  </to>
                </anchor>
              </controlPr>
            </control>
          </mc:Choice>
        </mc:AlternateContent>
        <mc:AlternateContent xmlns:mc="http://schemas.openxmlformats.org/markup-compatibility/2006">
          <mc:Choice Requires="x14">
            <control shapeId="45196" r:id="rId134" name="Option Button 140">
              <controlPr defaultSize="0" autoFill="0" autoLine="0" autoPict="0">
                <anchor moveWithCells="1" sizeWithCells="1">
                  <from>
                    <xdr:col>1</xdr:col>
                    <xdr:colOff>1076325</xdr:colOff>
                    <xdr:row>423</xdr:row>
                    <xdr:rowOff>57150</xdr:rowOff>
                  </from>
                  <to>
                    <xdr:col>1</xdr:col>
                    <xdr:colOff>1381125</xdr:colOff>
                    <xdr:row>423</xdr:row>
                    <xdr:rowOff>295275</xdr:rowOff>
                  </to>
                </anchor>
              </controlPr>
            </control>
          </mc:Choice>
        </mc:AlternateContent>
        <mc:AlternateContent xmlns:mc="http://schemas.openxmlformats.org/markup-compatibility/2006">
          <mc:Choice Requires="x14">
            <control shapeId="45197" r:id="rId135" name="Option Button 141">
              <controlPr defaultSize="0" autoFill="0" autoLine="0" autoPict="0">
                <anchor moveWithCells="1" sizeWithCells="1">
                  <from>
                    <xdr:col>1</xdr:col>
                    <xdr:colOff>1076325</xdr:colOff>
                    <xdr:row>424</xdr:row>
                    <xdr:rowOff>76200</xdr:rowOff>
                  </from>
                  <to>
                    <xdr:col>1</xdr:col>
                    <xdr:colOff>1381125</xdr:colOff>
                    <xdr:row>424</xdr:row>
                    <xdr:rowOff>314325</xdr:rowOff>
                  </to>
                </anchor>
              </controlPr>
            </control>
          </mc:Choice>
        </mc:AlternateContent>
        <mc:AlternateContent xmlns:mc="http://schemas.openxmlformats.org/markup-compatibility/2006">
          <mc:Choice Requires="x14">
            <control shapeId="45198" r:id="rId136" name="Option Button 142">
              <controlPr defaultSize="0" autoFill="0" autoLine="0" autoPict="0">
                <anchor moveWithCells="1" sizeWithCells="1">
                  <from>
                    <xdr:col>1</xdr:col>
                    <xdr:colOff>1085850</xdr:colOff>
                    <xdr:row>424</xdr:row>
                    <xdr:rowOff>419100</xdr:rowOff>
                  </from>
                  <to>
                    <xdr:col>1</xdr:col>
                    <xdr:colOff>1390650</xdr:colOff>
                    <xdr:row>425</xdr:row>
                    <xdr:rowOff>180975</xdr:rowOff>
                  </to>
                </anchor>
              </controlPr>
            </control>
          </mc:Choice>
        </mc:AlternateContent>
        <mc:AlternateContent xmlns:mc="http://schemas.openxmlformats.org/markup-compatibility/2006">
          <mc:Choice Requires="x14">
            <control shapeId="45199" r:id="rId137" name="Option Button 143">
              <controlPr defaultSize="0" autoFill="0" autoLine="0" autoPict="0">
                <anchor moveWithCells="1" sizeWithCells="1">
                  <from>
                    <xdr:col>1</xdr:col>
                    <xdr:colOff>1085850</xdr:colOff>
                    <xdr:row>425</xdr:row>
                    <xdr:rowOff>323850</xdr:rowOff>
                  </from>
                  <to>
                    <xdr:col>1</xdr:col>
                    <xdr:colOff>1390650</xdr:colOff>
                    <xdr:row>426</xdr:row>
                    <xdr:rowOff>219075</xdr:rowOff>
                  </to>
                </anchor>
              </controlPr>
            </control>
          </mc:Choice>
        </mc:AlternateContent>
        <mc:AlternateContent xmlns:mc="http://schemas.openxmlformats.org/markup-compatibility/2006">
          <mc:Choice Requires="x14">
            <control shapeId="45200" r:id="rId138" name="Option Button 144">
              <controlPr defaultSize="0" autoFill="0" autoLine="0" autoPict="0">
                <anchor moveWithCells="1" sizeWithCells="1">
                  <from>
                    <xdr:col>1</xdr:col>
                    <xdr:colOff>333375</xdr:colOff>
                    <xdr:row>424</xdr:row>
                    <xdr:rowOff>228600</xdr:rowOff>
                  </from>
                  <to>
                    <xdr:col>1</xdr:col>
                    <xdr:colOff>742950</xdr:colOff>
                    <xdr:row>425</xdr:row>
                    <xdr:rowOff>76200</xdr:rowOff>
                  </to>
                </anchor>
              </controlPr>
            </control>
          </mc:Choice>
        </mc:AlternateContent>
        <mc:AlternateContent xmlns:mc="http://schemas.openxmlformats.org/markup-compatibility/2006">
          <mc:Choice Requires="x14">
            <control shapeId="45209" r:id="rId139" name="Group Box 153">
              <controlPr defaultSize="0" autoFill="0" autoPict="0">
                <anchor moveWithCells="1" sizeWithCells="1">
                  <from>
                    <xdr:col>13</xdr:col>
                    <xdr:colOff>0</xdr:colOff>
                    <xdr:row>438</xdr:row>
                    <xdr:rowOff>0</xdr:rowOff>
                  </from>
                  <to>
                    <xdr:col>15</xdr:col>
                    <xdr:colOff>0</xdr:colOff>
                    <xdr:row>439</xdr:row>
                    <xdr:rowOff>0</xdr:rowOff>
                  </to>
                </anchor>
              </controlPr>
            </control>
          </mc:Choice>
        </mc:AlternateContent>
        <mc:AlternateContent xmlns:mc="http://schemas.openxmlformats.org/markup-compatibility/2006">
          <mc:Choice Requires="x14">
            <control shapeId="45210" r:id="rId140" name="Option Button 154">
              <controlPr defaultSize="0" autoFill="0" autoLine="0" autoPict="0">
                <anchor moveWithCells="1" sizeWithCells="1">
                  <from>
                    <xdr:col>13</xdr:col>
                    <xdr:colOff>57150</xdr:colOff>
                    <xdr:row>438</xdr:row>
                    <xdr:rowOff>85725</xdr:rowOff>
                  </from>
                  <to>
                    <xdr:col>14</xdr:col>
                    <xdr:colOff>38100</xdr:colOff>
                    <xdr:row>438</xdr:row>
                    <xdr:rowOff>428625</xdr:rowOff>
                  </to>
                </anchor>
              </controlPr>
            </control>
          </mc:Choice>
        </mc:AlternateContent>
        <mc:AlternateContent xmlns:mc="http://schemas.openxmlformats.org/markup-compatibility/2006">
          <mc:Choice Requires="x14">
            <control shapeId="45211" r:id="rId141" name="Option Button 155">
              <controlPr defaultSize="0" autoFill="0" autoLine="0" autoPict="0">
                <anchor moveWithCells="1" sizeWithCells="1">
                  <from>
                    <xdr:col>14</xdr:col>
                    <xdr:colOff>9525</xdr:colOff>
                    <xdr:row>438</xdr:row>
                    <xdr:rowOff>85725</xdr:rowOff>
                  </from>
                  <to>
                    <xdr:col>14</xdr:col>
                    <xdr:colOff>571500</xdr:colOff>
                    <xdr:row>438</xdr:row>
                    <xdr:rowOff>428625</xdr:rowOff>
                  </to>
                </anchor>
              </controlPr>
            </control>
          </mc:Choice>
        </mc:AlternateContent>
        <mc:AlternateContent xmlns:mc="http://schemas.openxmlformats.org/markup-compatibility/2006">
          <mc:Choice Requires="x14">
            <control shapeId="45213" r:id="rId142" name="Group Box 157">
              <controlPr defaultSize="0" autoFill="0" autoPict="0">
                <anchor moveWithCells="1" sizeWithCells="1">
                  <from>
                    <xdr:col>13</xdr:col>
                    <xdr:colOff>0</xdr:colOff>
                    <xdr:row>442</xdr:row>
                    <xdr:rowOff>0</xdr:rowOff>
                  </from>
                  <to>
                    <xdr:col>15</xdr:col>
                    <xdr:colOff>0</xdr:colOff>
                    <xdr:row>443</xdr:row>
                    <xdr:rowOff>0</xdr:rowOff>
                  </to>
                </anchor>
              </controlPr>
            </control>
          </mc:Choice>
        </mc:AlternateContent>
        <mc:AlternateContent xmlns:mc="http://schemas.openxmlformats.org/markup-compatibility/2006">
          <mc:Choice Requires="x14">
            <control shapeId="45214" r:id="rId143" name="Option Button 158">
              <controlPr defaultSize="0" autoFill="0" autoLine="0" autoPict="0">
                <anchor moveWithCells="1" sizeWithCells="1">
                  <from>
                    <xdr:col>13</xdr:col>
                    <xdr:colOff>57150</xdr:colOff>
                    <xdr:row>442</xdr:row>
                    <xdr:rowOff>28575</xdr:rowOff>
                  </from>
                  <to>
                    <xdr:col>14</xdr:col>
                    <xdr:colOff>38100</xdr:colOff>
                    <xdr:row>442</xdr:row>
                    <xdr:rowOff>190500</xdr:rowOff>
                  </to>
                </anchor>
              </controlPr>
            </control>
          </mc:Choice>
        </mc:AlternateContent>
        <mc:AlternateContent xmlns:mc="http://schemas.openxmlformats.org/markup-compatibility/2006">
          <mc:Choice Requires="x14">
            <control shapeId="45215" r:id="rId144" name="Option Button 159">
              <controlPr defaultSize="0" autoFill="0" autoLine="0" autoPict="0">
                <anchor moveWithCells="1" sizeWithCells="1">
                  <from>
                    <xdr:col>14</xdr:col>
                    <xdr:colOff>9525</xdr:colOff>
                    <xdr:row>442</xdr:row>
                    <xdr:rowOff>28575</xdr:rowOff>
                  </from>
                  <to>
                    <xdr:col>14</xdr:col>
                    <xdr:colOff>571500</xdr:colOff>
                    <xdr:row>442</xdr:row>
                    <xdr:rowOff>190500</xdr:rowOff>
                  </to>
                </anchor>
              </controlPr>
            </control>
          </mc:Choice>
        </mc:AlternateContent>
        <mc:AlternateContent xmlns:mc="http://schemas.openxmlformats.org/markup-compatibility/2006">
          <mc:Choice Requires="x14">
            <control shapeId="45217" r:id="rId145" name="Group Box 161">
              <controlPr defaultSize="0" autoFill="0" autoPict="0">
                <anchor moveWithCells="1" sizeWithCells="1">
                  <from>
                    <xdr:col>1</xdr:col>
                    <xdr:colOff>0</xdr:colOff>
                    <xdr:row>372</xdr:row>
                    <xdr:rowOff>0</xdr:rowOff>
                  </from>
                  <to>
                    <xdr:col>15</xdr:col>
                    <xdr:colOff>0</xdr:colOff>
                    <xdr:row>373</xdr:row>
                    <xdr:rowOff>0</xdr:rowOff>
                  </to>
                </anchor>
              </controlPr>
            </control>
          </mc:Choice>
        </mc:AlternateContent>
        <mc:AlternateContent xmlns:mc="http://schemas.openxmlformats.org/markup-compatibility/2006">
          <mc:Choice Requires="x14">
            <control shapeId="45218" r:id="rId146" name="Option Button 162">
              <controlPr defaultSize="0" autoFill="0" autoLine="0" autoPict="0">
                <anchor moveWithCells="1" sizeWithCells="1">
                  <from>
                    <xdr:col>1</xdr:col>
                    <xdr:colOff>742950</xdr:colOff>
                    <xdr:row>372</xdr:row>
                    <xdr:rowOff>19050</xdr:rowOff>
                  </from>
                  <to>
                    <xdr:col>2</xdr:col>
                    <xdr:colOff>38100</xdr:colOff>
                    <xdr:row>372</xdr:row>
                    <xdr:rowOff>257175</xdr:rowOff>
                  </to>
                </anchor>
              </controlPr>
            </control>
          </mc:Choice>
        </mc:AlternateContent>
        <mc:AlternateContent xmlns:mc="http://schemas.openxmlformats.org/markup-compatibility/2006">
          <mc:Choice Requires="x14">
            <control shapeId="45219" r:id="rId147" name="Option Button 163">
              <controlPr defaultSize="0" autoFill="0" autoLine="0" autoPict="0">
                <anchor moveWithCells="1" sizeWithCells="1">
                  <from>
                    <xdr:col>1</xdr:col>
                    <xdr:colOff>1400175</xdr:colOff>
                    <xdr:row>372</xdr:row>
                    <xdr:rowOff>19050</xdr:rowOff>
                  </from>
                  <to>
                    <xdr:col>14</xdr:col>
                    <xdr:colOff>561975</xdr:colOff>
                    <xdr:row>372</xdr:row>
                    <xdr:rowOff>257175</xdr:rowOff>
                  </to>
                </anchor>
              </controlPr>
            </control>
          </mc:Choice>
        </mc:AlternateContent>
        <mc:AlternateContent xmlns:mc="http://schemas.openxmlformats.org/markup-compatibility/2006">
          <mc:Choice Requires="x14">
            <control shapeId="45743" r:id="rId148" name="Check Box 687">
              <controlPr defaultSize="0" autoFill="0" autoLine="0" autoPict="0">
                <anchor moveWithCells="1">
                  <from>
                    <xdr:col>5</xdr:col>
                    <xdr:colOff>238125</xdr:colOff>
                    <xdr:row>218</xdr:row>
                    <xdr:rowOff>19050</xdr:rowOff>
                  </from>
                  <to>
                    <xdr:col>7</xdr:col>
                    <xdr:colOff>19050</xdr:colOff>
                    <xdr:row>219</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FN147"/>
  <sheetViews>
    <sheetView showGridLines="0" zoomScale="120" zoomScaleNormal="120" workbookViewId="0"/>
  </sheetViews>
  <sheetFormatPr defaultColWidth="2.28515625" defaultRowHeight="12.75" x14ac:dyDescent="0.2"/>
  <cols>
    <col min="1" max="1" width="1.5703125" style="35" customWidth="1"/>
    <col min="2" max="2" width="22.7109375" style="35" customWidth="1"/>
    <col min="3" max="4" width="3.28515625" style="35" customWidth="1"/>
    <col min="5" max="7" width="3.7109375" style="35" customWidth="1"/>
    <col min="8" max="8" width="3.42578125" style="35" customWidth="1"/>
    <col min="9" max="9" width="3.28515625" style="35" customWidth="1"/>
    <col min="10" max="10" width="3.42578125" style="35" customWidth="1"/>
    <col min="11" max="11" width="4.140625" style="35" customWidth="1"/>
    <col min="12" max="12" width="2.7109375" style="35" customWidth="1"/>
    <col min="13" max="13" width="4" style="35" customWidth="1"/>
    <col min="14" max="14" width="5.42578125" style="35" customWidth="1"/>
    <col min="15" max="15" width="9.140625" style="35" customWidth="1"/>
    <col min="16" max="16" width="12.140625" style="35" customWidth="1"/>
    <col min="17" max="17" width="1.140625" style="35" customWidth="1"/>
    <col min="18" max="18" width="9.140625" style="35" hidden="1" customWidth="1"/>
    <col min="19" max="19" width="10.5703125" style="35" hidden="1" customWidth="1"/>
    <col min="20" max="20" width="10.140625" style="35" hidden="1" customWidth="1"/>
    <col min="21" max="130" width="9.140625" style="35" hidden="1" customWidth="1"/>
    <col min="131" max="255" width="9.140625" style="35" customWidth="1"/>
    <col min="256" max="16384" width="2.28515625" style="35"/>
  </cols>
  <sheetData>
    <row r="1" spans="2:170" ht="15" customHeight="1" x14ac:dyDescent="0.2">
      <c r="B1" s="14" t="s">
        <v>1733</v>
      </c>
      <c r="C1" s="1347" t="str">
        <f>IF('Start here'!A6="","",'Start here'!A6)</f>
        <v/>
      </c>
      <c r="D1" s="1351"/>
      <c r="E1" s="1351"/>
      <c r="F1" s="1351"/>
      <c r="G1" s="1351"/>
      <c r="H1" s="1351"/>
      <c r="I1" s="1351"/>
      <c r="J1" s="1352"/>
      <c r="K1" s="2"/>
      <c r="L1" s="1347" t="str">
        <f>IF('Start here'!A7="","",'Start here'!A7)</f>
        <v/>
      </c>
      <c r="M1" s="1351"/>
      <c r="N1" s="1351"/>
      <c r="O1" s="1351"/>
      <c r="P1" s="1352"/>
      <c r="R1" s="63"/>
      <c r="S1" s="63"/>
      <c r="T1" s="63"/>
      <c r="U1" s="63"/>
      <c r="V1" s="63"/>
      <c r="W1" s="63"/>
      <c r="X1" s="63"/>
      <c r="Y1" s="63"/>
      <c r="Z1" s="63"/>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row>
    <row r="2" spans="2:170" ht="9" customHeight="1" x14ac:dyDescent="0.2">
      <c r="B2" s="1395"/>
      <c r="C2" s="1395"/>
      <c r="D2" s="1395"/>
      <c r="E2" s="1395"/>
      <c r="F2" s="1395"/>
      <c r="G2" s="1395"/>
      <c r="H2" s="1395"/>
      <c r="I2" s="1395"/>
      <c r="J2" s="1395"/>
      <c r="K2" s="1395"/>
      <c r="L2" s="1395"/>
      <c r="M2" s="1395"/>
      <c r="N2" s="1395"/>
      <c r="O2" s="1395"/>
      <c r="P2" s="1395"/>
    </row>
    <row r="3" spans="2:170" ht="21" customHeight="1" x14ac:dyDescent="0.2">
      <c r="B3" s="2084" t="s">
        <v>139</v>
      </c>
      <c r="C3" s="2085"/>
      <c r="D3" s="2085"/>
      <c r="E3" s="2085"/>
      <c r="F3" s="2085"/>
      <c r="G3" s="2085"/>
      <c r="H3" s="2085"/>
      <c r="I3" s="2085"/>
      <c r="J3" s="2085"/>
      <c r="K3" s="2085"/>
      <c r="L3" s="2085"/>
      <c r="M3" s="2085"/>
      <c r="N3" s="2085"/>
      <c r="O3" s="2085"/>
      <c r="P3" s="2086"/>
      <c r="R3" s="14"/>
      <c r="S3" s="196">
        <v>38353</v>
      </c>
      <c r="T3" s="196">
        <f>'Start here'!A8</f>
        <v>0</v>
      </c>
      <c r="W3" s="14"/>
      <c r="X3" s="14"/>
      <c r="Y3" s="14"/>
      <c r="Z3" s="14"/>
      <c r="AA3" s="14"/>
      <c r="AB3" s="14"/>
      <c r="AC3" s="14"/>
      <c r="AD3" s="14"/>
      <c r="AE3" s="14"/>
      <c r="AF3" s="14"/>
      <c r="AG3" s="14"/>
    </row>
    <row r="4" spans="2:170" ht="65.25" customHeight="1" x14ac:dyDescent="0.2">
      <c r="B4" s="1374" t="s">
        <v>735</v>
      </c>
      <c r="C4" s="1375"/>
      <c r="D4" s="1375"/>
      <c r="E4" s="1375"/>
      <c r="F4" s="1375"/>
      <c r="G4" s="1375"/>
      <c r="H4" s="1375"/>
      <c r="I4" s="1375"/>
      <c r="J4" s="1375"/>
      <c r="K4" s="1375"/>
      <c r="L4" s="1375"/>
      <c r="M4" s="1375"/>
      <c r="N4" s="1375"/>
      <c r="O4" s="1375"/>
      <c r="P4" s="1376"/>
      <c r="R4" s="14"/>
      <c r="S4" s="985" t="str">
        <f>IF(T3&gt;=S3,"Go to PPD Worksheet","")</f>
        <v/>
      </c>
      <c r="T4" s="989" t="str">
        <f>IF(T3&lt;S3,"Go to PPD Worksheet","")</f>
        <v>Go to PPD Worksheet</v>
      </c>
      <c r="U4" s="14"/>
      <c r="V4" s="14"/>
      <c r="W4" s="14"/>
      <c r="X4" s="14"/>
      <c r="Y4" s="14"/>
      <c r="Z4" s="14"/>
      <c r="AA4" s="14"/>
      <c r="AB4" s="14"/>
      <c r="AC4" s="14"/>
      <c r="AD4" s="14"/>
      <c r="AE4" s="14"/>
      <c r="AF4" s="14"/>
      <c r="AG4" s="14"/>
    </row>
    <row r="5" spans="2:170" ht="51.75" customHeight="1" x14ac:dyDescent="0.2">
      <c r="B5" s="668" t="s">
        <v>140</v>
      </c>
      <c r="C5" s="1374" t="s">
        <v>1372</v>
      </c>
      <c r="D5" s="1375"/>
      <c r="E5" s="1376"/>
      <c r="F5" s="2125" t="str">
        <f>IF('Start here'!A9="","",'Start here'!A9)</f>
        <v/>
      </c>
      <c r="G5" s="2126"/>
      <c r="H5" s="2126"/>
      <c r="I5" s="2124" t="str">
        <f>IF('Start here'!A8="","Enter date of injury on 'Start here' worksheet.","Date of injury:")</f>
        <v>Enter date of injury on 'Start here' worksheet.</v>
      </c>
      <c r="J5" s="2124"/>
      <c r="K5" s="2124"/>
      <c r="L5" s="2125" t="str">
        <f>IF('Start here'!A8="","",'Start here'!A8)</f>
        <v/>
      </c>
      <c r="M5" s="2126"/>
      <c r="N5" s="2126"/>
      <c r="O5" s="2127" t="s">
        <v>2211</v>
      </c>
      <c r="P5" s="2127"/>
      <c r="R5" s="990" t="s">
        <v>2245</v>
      </c>
      <c r="S5" s="995">
        <v>0</v>
      </c>
      <c r="T5" s="119"/>
      <c r="U5" s="14"/>
      <c r="V5" s="14"/>
      <c r="W5" s="14"/>
      <c r="X5" s="14"/>
      <c r="Y5" s="14"/>
      <c r="Z5" s="14"/>
      <c r="AA5" s="14"/>
      <c r="AB5" s="14"/>
      <c r="AC5" s="14"/>
      <c r="AD5" s="14"/>
      <c r="AE5" s="14"/>
      <c r="AF5" s="14"/>
      <c r="AG5" s="14"/>
    </row>
    <row r="6" spans="2:170" ht="18" customHeight="1" x14ac:dyDescent="0.2">
      <c r="B6" s="2134" t="s">
        <v>2144</v>
      </c>
      <c r="C6" s="669"/>
      <c r="D6" s="1375" t="s">
        <v>2146</v>
      </c>
      <c r="E6" s="1375"/>
      <c r="F6" s="1375"/>
      <c r="G6" s="1375"/>
      <c r="H6" s="1376"/>
      <c r="I6" s="2139" t="str">
        <f>IF(AND(S8=TRUE,T8=TRUE),"ERROR: Check box for occupational disease or occupational injury, not both.",IF(AND(S8=FALSE,T8=FALSE),S7,IF(AND(D8="NA",U8=TRUE),"ERROR: Uncheck box next to NA or check box for occupational injury.","")))</f>
        <v>Check box for either occupational disease or occupational injury.</v>
      </c>
      <c r="J6" s="2140"/>
      <c r="K6" s="2140"/>
      <c r="L6" s="2140"/>
      <c r="M6" s="2140"/>
      <c r="N6" s="2140"/>
      <c r="O6" s="2140"/>
      <c r="P6" s="2141"/>
      <c r="R6" s="14"/>
      <c r="S6" s="123"/>
      <c r="T6" s="119"/>
      <c r="U6" s="14"/>
      <c r="V6" s="14"/>
      <c r="W6" s="14"/>
      <c r="X6" s="14"/>
      <c r="Y6" s="14"/>
      <c r="Z6" s="14"/>
      <c r="AA6" s="14"/>
      <c r="AB6" s="14"/>
      <c r="AC6" s="14"/>
      <c r="AD6" s="14"/>
      <c r="AE6" s="14"/>
      <c r="AF6" s="14"/>
      <c r="AG6" s="14"/>
    </row>
    <row r="7" spans="2:170" ht="18" customHeight="1" x14ac:dyDescent="0.2">
      <c r="B7" s="2135"/>
      <c r="C7" s="669"/>
      <c r="D7" s="1375" t="s">
        <v>2145</v>
      </c>
      <c r="E7" s="1375"/>
      <c r="F7" s="1375"/>
      <c r="G7" s="1375"/>
      <c r="H7" s="1376"/>
      <c r="I7" s="2142"/>
      <c r="J7" s="2143"/>
      <c r="K7" s="2143"/>
      <c r="L7" s="2143"/>
      <c r="M7" s="2143"/>
      <c r="N7" s="2143"/>
      <c r="O7" s="2143"/>
      <c r="P7" s="2144"/>
      <c r="R7" s="14"/>
      <c r="S7" s="2077" t="s">
        <v>2148</v>
      </c>
      <c r="T7" s="2077"/>
      <c r="U7" s="2077"/>
      <c r="V7" s="2077"/>
      <c r="W7" s="2077"/>
      <c r="X7" s="14"/>
      <c r="Y7" s="14"/>
      <c r="Z7" s="14"/>
      <c r="AA7" s="14"/>
      <c r="AB7" s="14"/>
      <c r="AC7" s="14"/>
      <c r="AD7" s="14"/>
      <c r="AE7" s="14"/>
      <c r="AF7" s="14"/>
      <c r="AG7" s="14"/>
    </row>
    <row r="8" spans="2:170" ht="18" customHeight="1" x14ac:dyDescent="0.2">
      <c r="B8" s="2136"/>
      <c r="C8" s="669"/>
      <c r="D8" s="2137" t="str">
        <f>IF(T8=TRUE,"Check box if presbycusis, if any, was caused by a qualifying preexisting condition.","NA")</f>
        <v>NA</v>
      </c>
      <c r="E8" s="2137"/>
      <c r="F8" s="2137"/>
      <c r="G8" s="2137"/>
      <c r="H8" s="2137"/>
      <c r="I8" s="2137"/>
      <c r="J8" s="2137"/>
      <c r="K8" s="2137"/>
      <c r="L8" s="2137"/>
      <c r="M8" s="2137"/>
      <c r="N8" s="2137"/>
      <c r="O8" s="2137"/>
      <c r="P8" s="2138"/>
      <c r="R8" s="14"/>
      <c r="S8" s="996" t="b">
        <v>0</v>
      </c>
      <c r="T8" s="997" t="b">
        <v>0</v>
      </c>
      <c r="U8" s="686" t="b">
        <v>0</v>
      </c>
      <c r="V8" s="991"/>
      <c r="W8" s="14"/>
      <c r="X8" s="14"/>
      <c r="Y8" s="14"/>
      <c r="Z8" s="14"/>
      <c r="AA8" s="14"/>
      <c r="AB8" s="14"/>
      <c r="AC8" s="14"/>
      <c r="AD8" s="14"/>
      <c r="AE8" s="14"/>
      <c r="AF8" s="14"/>
      <c r="AG8" s="14"/>
    </row>
    <row r="9" spans="2:170" ht="36.75" customHeight="1" x14ac:dyDescent="0.2">
      <c r="B9" s="487" t="str">
        <f>IF(AND(F5="",F11="",T17+V17&gt;2),"Enter date of birth on 'Start here' worksheet or age on this worksheet.",IF(AND(L12&lt;L5,L12&lt;&gt;""),"Current audiogram cannot precede date of injury.",IF(AND(F12&gt;=L5,F12&lt;&gt;""),"Baseline exam date must precede date of injury.",IF(AND(F5&lt;&gt;"",F12&lt;=F5,F12&lt;&gt;""),"Baseline exam date cannot precede date of birth.",""))))</f>
        <v/>
      </c>
      <c r="C9" s="1557" t="s">
        <v>26</v>
      </c>
      <c r="D9" s="1557"/>
      <c r="E9" s="1557"/>
      <c r="F9" s="1557"/>
      <c r="G9" s="1557"/>
      <c r="H9" s="1557"/>
      <c r="I9" s="1557" t="s">
        <v>508</v>
      </c>
      <c r="J9" s="1557"/>
      <c r="K9" s="1557"/>
      <c r="L9" s="1557"/>
      <c r="M9" s="1557"/>
      <c r="N9" s="1557"/>
      <c r="O9" s="2122" t="str">
        <f>IF(AND(V16=2,L5=""),"Enter date of injury on 'Start here' worksheet.",IF(AND(F5="",L11="",X17+Z17&gt;2),"Enter date of birth on 'Start here' worksheet or age on this worksheet.",""))</f>
        <v/>
      </c>
      <c r="P9" s="2122"/>
      <c r="R9" s="18"/>
      <c r="S9" s="172"/>
      <c r="T9" s="18"/>
      <c r="U9" s="18"/>
      <c r="V9" s="18"/>
      <c r="W9" s="18"/>
      <c r="X9" s="18"/>
      <c r="Y9" s="18"/>
      <c r="Z9" s="18"/>
      <c r="AA9" s="18"/>
      <c r="AB9" s="14"/>
      <c r="AC9" s="14"/>
      <c r="AD9" s="14"/>
      <c r="AE9" s="14"/>
      <c r="AF9" s="14"/>
      <c r="AG9" s="14"/>
    </row>
    <row r="10" spans="2:170" ht="30" customHeight="1" x14ac:dyDescent="0.2">
      <c r="B10" s="228" t="str">
        <f>IF(AND(F11&lt;&gt;"",L11&lt;&gt;"",F11&gt;L11),"ERROR: Current exam age cannot precede baseline exam age.","")</f>
        <v/>
      </c>
      <c r="C10" s="1374" t="str">
        <f>IF(F5&lt;&gt;"","Enter exam date, if performed:","DOB is not entered - enter exam age (if performed):")</f>
        <v>DOB is not entered - enter exam age (if performed):</v>
      </c>
      <c r="D10" s="1375"/>
      <c r="E10" s="1375"/>
      <c r="F10" s="1375"/>
      <c r="G10" s="1375"/>
      <c r="H10" s="1376"/>
      <c r="I10" s="1374" t="str">
        <f>IF(F5&lt;&gt;"","Enter exam date:","DOB is not entered - enter exam age:")</f>
        <v>DOB is not entered - enter exam age:</v>
      </c>
      <c r="J10" s="2096"/>
      <c r="K10" s="2096"/>
      <c r="L10" s="2096"/>
      <c r="M10" s="2096"/>
      <c r="N10" s="2097"/>
      <c r="O10" s="2081" t="str">
        <f>IF(AND(F5&lt;&gt;"",L11&lt;&gt;""),"Enter date of birth or current exam age, not both.","")</f>
        <v/>
      </c>
      <c r="P10" s="2082"/>
      <c r="R10" s="18"/>
      <c r="T10" s="987"/>
      <c r="V10" s="18"/>
      <c r="W10" s="18"/>
      <c r="X10" s="18"/>
      <c r="Y10" s="18"/>
      <c r="Z10" s="18"/>
      <c r="AA10" s="18"/>
      <c r="AB10" s="14"/>
      <c r="AC10" s="14"/>
      <c r="AD10" s="14"/>
      <c r="AE10" s="14"/>
      <c r="AF10" s="14"/>
      <c r="AG10" s="14"/>
    </row>
    <row r="11" spans="2:170" ht="18" customHeight="1" x14ac:dyDescent="0.2">
      <c r="B11" s="488" t="str">
        <f>IF(AND(F5&lt;&gt;"",F12="",S17+U17&gt;0),"Enter baseline exam date.","")</f>
        <v/>
      </c>
      <c r="C11" s="1536" t="str">
        <f>IF(F5&lt;&gt;"","","Exam age:")</f>
        <v>Exam age:</v>
      </c>
      <c r="D11" s="1536"/>
      <c r="E11" s="1536"/>
      <c r="F11" s="2123"/>
      <c r="G11" s="2123"/>
      <c r="H11" s="2123"/>
      <c r="I11" s="1536" t="str">
        <f>IF(F5&lt;&gt;"","","Exam age:")</f>
        <v>Exam age:</v>
      </c>
      <c r="J11" s="1536"/>
      <c r="K11" s="1536"/>
      <c r="L11" s="2123"/>
      <c r="M11" s="2123"/>
      <c r="N11" s="2123"/>
      <c r="O11" s="2081" t="str">
        <f>IF(AND(F5&lt;&gt;"",L12=""),"Enter current exam date.","")</f>
        <v/>
      </c>
      <c r="P11" s="2082"/>
      <c r="R11" s="18"/>
      <c r="S11" s="1555" t="s">
        <v>2248</v>
      </c>
      <c r="T11" s="1555"/>
      <c r="U11" s="1555"/>
      <c r="V11" s="1555"/>
      <c r="W11" s="998"/>
      <c r="X11" s="18"/>
      <c r="Y11" s="18"/>
      <c r="Z11" s="18"/>
      <c r="AA11" s="18"/>
      <c r="AB11" s="14"/>
      <c r="AC11" s="14"/>
      <c r="AD11" s="14"/>
      <c r="AE11" s="14"/>
      <c r="AF11" s="14"/>
      <c r="AG11" s="14"/>
    </row>
    <row r="12" spans="2:170" ht="18" customHeight="1" x14ac:dyDescent="0.2">
      <c r="B12" s="2145" t="str">
        <f>IF(AND(F5&lt;&gt;"",F11&lt;&gt;""),"Enter date of birth or baseline exam age, not both.","")</f>
        <v/>
      </c>
      <c r="C12" s="1532" t="str">
        <f>IF(F5="","","Exam date:")</f>
        <v/>
      </c>
      <c r="D12" s="1536"/>
      <c r="E12" s="1536"/>
      <c r="F12" s="2130"/>
      <c r="G12" s="2130"/>
      <c r="H12" s="2130"/>
      <c r="I12" s="1536" t="str">
        <f>IF(F5="","","Exam date:")</f>
        <v/>
      </c>
      <c r="J12" s="1536"/>
      <c r="K12" s="1536"/>
      <c r="L12" s="2130"/>
      <c r="M12" s="2130"/>
      <c r="N12" s="2131"/>
      <c r="O12" s="2081" t="str">
        <f>IF(AND(L12&lt;=F12,L12&lt;&gt;""),"Baseline exam date must precede current exam date.","")</f>
        <v/>
      </c>
      <c r="P12" s="2082"/>
      <c r="R12" s="18"/>
      <c r="S12" s="989">
        <f>COUNTIF(C15:C20,0)</f>
        <v>0</v>
      </c>
      <c r="T12" s="989">
        <f>COUNTIF(C15:C20,"")</f>
        <v>6</v>
      </c>
      <c r="U12" s="989">
        <f>COUNTIF(I15:I20,0)</f>
        <v>0</v>
      </c>
      <c r="V12" s="989">
        <f>COUNTIF(I15:I20,"")</f>
        <v>6</v>
      </c>
      <c r="W12" s="18"/>
      <c r="X12" s="18"/>
      <c r="Y12" s="18"/>
      <c r="Z12" s="18"/>
      <c r="AA12" s="18"/>
      <c r="AB12" s="14"/>
      <c r="AC12" s="14"/>
      <c r="AD12" s="14"/>
      <c r="AE12" s="14"/>
      <c r="AF12" s="14"/>
      <c r="AG12" s="14"/>
    </row>
    <row r="13" spans="2:170" ht="18" customHeight="1" x14ac:dyDescent="0.2">
      <c r="B13" s="2145"/>
      <c r="C13" s="1532" t="str">
        <f>IF(AND(F5&lt;&gt;"",F12&lt;&gt;""),"Exam age:","")</f>
        <v/>
      </c>
      <c r="D13" s="1536"/>
      <c r="E13" s="1536"/>
      <c r="F13" s="2128">
        <f>IF(AND(SUM(S17,U17)&gt;0,F5="",F11=""),"Age?",'Hearing-Table'!G6)</f>
        <v>0</v>
      </c>
      <c r="G13" s="2128"/>
      <c r="H13" s="2128"/>
      <c r="I13" s="1536" t="str">
        <f>IF(AND(F5&lt;&gt;"",L12&lt;&gt;""),"Exam age:","")</f>
        <v/>
      </c>
      <c r="J13" s="1536"/>
      <c r="K13" s="1536"/>
      <c r="L13" s="2128">
        <f>IF(AND(SUM(W17,Y17)&gt;0,F5="",L11=""),"Age?",'Hearing-Table'!H6)</f>
        <v>0</v>
      </c>
      <c r="M13" s="2128"/>
      <c r="N13" s="2129"/>
      <c r="O13" s="2081"/>
      <c r="P13" s="2082"/>
      <c r="R13" s="18"/>
      <c r="S13" s="696">
        <f>COUNTIF(F15:F20,0)</f>
        <v>0</v>
      </c>
      <c r="T13" s="989">
        <f>COUNTIF(F15:F20,"")</f>
        <v>6</v>
      </c>
      <c r="U13" s="696">
        <f>COUNTIF(L15:L20,0)</f>
        <v>0</v>
      </c>
      <c r="V13" s="989">
        <f>COUNTIF(L15:L20,"")</f>
        <v>6</v>
      </c>
      <c r="W13" s="18"/>
      <c r="X13" s="18"/>
      <c r="Y13" s="18"/>
      <c r="Z13" s="18"/>
      <c r="AA13" s="18"/>
      <c r="AB13" s="14"/>
      <c r="AC13" s="14"/>
      <c r="AD13" s="14"/>
      <c r="AE13" s="14"/>
      <c r="AF13" s="14"/>
      <c r="AG13" s="14"/>
    </row>
    <row r="14" spans="2:170" ht="18" customHeight="1" x14ac:dyDescent="0.2">
      <c r="B14" s="230"/>
      <c r="C14" s="1687" t="s">
        <v>29</v>
      </c>
      <c r="D14" s="1687"/>
      <c r="E14" s="1687"/>
      <c r="F14" s="1687" t="s">
        <v>30</v>
      </c>
      <c r="G14" s="1687"/>
      <c r="H14" s="1687"/>
      <c r="I14" s="1687" t="s">
        <v>29</v>
      </c>
      <c r="J14" s="1687"/>
      <c r="K14" s="1687"/>
      <c r="L14" s="1687" t="s">
        <v>30</v>
      </c>
      <c r="M14" s="1687"/>
      <c r="N14" s="1687"/>
      <c r="O14" s="1428" t="str">
        <f>IF(U18="ERROR",V18,IF(U19="ERROR",V19,IF(U20="ERROR",V20,IF(U21="ERROR",V21,IF(AND(T18=0,T20=6),T24,IF(AND(T19=0,T21=6),T24,""))))))</f>
        <v/>
      </c>
      <c r="P14" s="1430"/>
      <c r="R14" s="18"/>
      <c r="S14" s="18"/>
      <c r="T14" s="696">
        <f>SUM(S12,S13,T12,T13)</f>
        <v>12</v>
      </c>
      <c r="U14" s="18"/>
      <c r="V14" s="696">
        <f>SUM(U12,U13,V12,V13)</f>
        <v>12</v>
      </c>
      <c r="W14" s="18"/>
      <c r="X14" s="18"/>
      <c r="Y14" s="18"/>
      <c r="Z14" s="18"/>
      <c r="AA14" s="18"/>
      <c r="AB14" s="14"/>
      <c r="AC14" s="14"/>
      <c r="AD14" s="14"/>
      <c r="AE14" s="14"/>
      <c r="AF14" s="14"/>
      <c r="AG14" s="14"/>
    </row>
    <row r="15" spans="2:170" ht="18" customHeight="1" x14ac:dyDescent="0.2">
      <c r="B15" s="397" t="s">
        <v>31</v>
      </c>
      <c r="C15" s="1944"/>
      <c r="D15" s="1953"/>
      <c r="E15" s="1945"/>
      <c r="F15" s="1944"/>
      <c r="G15" s="1953"/>
      <c r="H15" s="1945"/>
      <c r="I15" s="1944"/>
      <c r="J15" s="1953"/>
      <c r="K15" s="1945"/>
      <c r="L15" s="1944"/>
      <c r="M15" s="1953"/>
      <c r="N15" s="1945"/>
      <c r="O15" s="1431"/>
      <c r="P15" s="1433"/>
      <c r="R15" s="18"/>
      <c r="S15" s="18"/>
      <c r="T15" s="18"/>
      <c r="U15" s="18"/>
      <c r="V15" s="18"/>
      <c r="W15" s="18"/>
      <c r="X15" s="18"/>
      <c r="Y15" s="18"/>
      <c r="Z15" s="18"/>
      <c r="AA15" s="18"/>
      <c r="AB15" s="14"/>
      <c r="AC15" s="14"/>
      <c r="AD15" s="14"/>
      <c r="AE15" s="14"/>
      <c r="AF15" s="14"/>
      <c r="AG15" s="14"/>
    </row>
    <row r="16" spans="2:170" ht="18" customHeight="1" x14ac:dyDescent="0.2">
      <c r="B16" s="489">
        <v>1000</v>
      </c>
      <c r="C16" s="1944"/>
      <c r="D16" s="1953"/>
      <c r="E16" s="1945"/>
      <c r="F16" s="1944"/>
      <c r="G16" s="1953"/>
      <c r="H16" s="1945"/>
      <c r="I16" s="1944"/>
      <c r="J16" s="1953"/>
      <c r="K16" s="1945"/>
      <c r="L16" s="1944"/>
      <c r="M16" s="1953"/>
      <c r="N16" s="1945"/>
      <c r="O16" s="1431"/>
      <c r="P16" s="1433"/>
      <c r="R16" s="18"/>
      <c r="S16" s="737">
        <f>IF(OR(F5="",F12=""),1,2)</f>
        <v>1</v>
      </c>
      <c r="T16" s="988">
        <f>IF(OR(F5="",L12=""),1,2)</f>
        <v>1</v>
      </c>
      <c r="U16" s="988">
        <f>SUM(C15:L20)</f>
        <v>0</v>
      </c>
      <c r="V16" s="737">
        <f>IF(U16=0,1,2)</f>
        <v>1</v>
      </c>
      <c r="W16" s="18"/>
      <c r="X16" s="18"/>
      <c r="Y16" s="18"/>
      <c r="Z16" s="18"/>
      <c r="AA16" s="18"/>
      <c r="AB16" s="14"/>
      <c r="AC16" s="14"/>
      <c r="AD16" s="14"/>
      <c r="AE16" s="14"/>
      <c r="AF16" s="14"/>
      <c r="AG16" s="14"/>
    </row>
    <row r="17" spans="2:33" ht="18" customHeight="1" x14ac:dyDescent="0.2">
      <c r="B17" s="489">
        <v>2000</v>
      </c>
      <c r="C17" s="1944"/>
      <c r="D17" s="1953"/>
      <c r="E17" s="1945"/>
      <c r="F17" s="1944"/>
      <c r="G17" s="1953"/>
      <c r="H17" s="1945"/>
      <c r="I17" s="1944"/>
      <c r="J17" s="1953"/>
      <c r="K17" s="1945"/>
      <c r="L17" s="1944"/>
      <c r="M17" s="1953"/>
      <c r="N17" s="1945"/>
      <c r="O17" s="1431"/>
      <c r="P17" s="1433"/>
      <c r="R17" s="18"/>
      <c r="S17" s="989">
        <f>SUM(C15:C20)</f>
        <v>0</v>
      </c>
      <c r="T17" s="989">
        <f>IF(S17=0,1,2)</f>
        <v>1</v>
      </c>
      <c r="U17" s="989">
        <f>SUM(F15:F20)</f>
        <v>0</v>
      </c>
      <c r="V17" s="1303">
        <f>IF(U17=0,1,2)</f>
        <v>1</v>
      </c>
      <c r="W17" s="1303">
        <f>SUM(I15:I20)</f>
        <v>0</v>
      </c>
      <c r="X17" s="1303">
        <f>IF(W17=0,1,2)</f>
        <v>1</v>
      </c>
      <c r="Y17" s="1303">
        <f>SUM(L15:L20)</f>
        <v>0</v>
      </c>
      <c r="Z17" s="1303">
        <f>IF(Y17=0,1,2)</f>
        <v>1</v>
      </c>
      <c r="AA17" s="18"/>
      <c r="AB17" s="14"/>
      <c r="AC17" s="14"/>
      <c r="AD17" s="14"/>
      <c r="AE17" s="14"/>
      <c r="AF17" s="14"/>
      <c r="AG17" s="14"/>
    </row>
    <row r="18" spans="2:33" ht="18" customHeight="1" x14ac:dyDescent="0.2">
      <c r="B18" s="489">
        <v>3000</v>
      </c>
      <c r="C18" s="1944"/>
      <c r="D18" s="1953"/>
      <c r="E18" s="1945"/>
      <c r="F18" s="1944"/>
      <c r="G18" s="1953"/>
      <c r="H18" s="1945"/>
      <c r="I18" s="1944"/>
      <c r="J18" s="1953"/>
      <c r="K18" s="1945"/>
      <c r="L18" s="1944"/>
      <c r="M18" s="1953"/>
      <c r="N18" s="1945"/>
      <c r="O18" s="1431"/>
      <c r="P18" s="1433"/>
      <c r="R18" s="18"/>
      <c r="S18" s="1306" t="s">
        <v>2335</v>
      </c>
      <c r="T18" s="1304">
        <f>COUNTIF(C15:C20,"")</f>
        <v>6</v>
      </c>
      <c r="U18" s="1307" t="str">
        <f>IF(AND(T18&gt;0,T18&lt;6),"ERROR","OK")</f>
        <v>OK</v>
      </c>
      <c r="V18" s="1410" t="s">
        <v>1321</v>
      </c>
      <c r="W18" s="1410"/>
      <c r="X18" s="1410"/>
      <c r="Y18" s="1410"/>
      <c r="Z18" s="1410"/>
      <c r="AA18" s="1410"/>
      <c r="AB18" s="14"/>
      <c r="AC18" s="14"/>
      <c r="AD18" s="14"/>
      <c r="AE18" s="14"/>
      <c r="AF18" s="14"/>
      <c r="AG18" s="14"/>
    </row>
    <row r="19" spans="2:33" ht="18" customHeight="1" x14ac:dyDescent="0.2">
      <c r="B19" s="489">
        <v>4000</v>
      </c>
      <c r="C19" s="1944"/>
      <c r="D19" s="1953"/>
      <c r="E19" s="1945"/>
      <c r="F19" s="1944"/>
      <c r="G19" s="1953"/>
      <c r="H19" s="1945"/>
      <c r="I19" s="1944"/>
      <c r="J19" s="1953"/>
      <c r="K19" s="1945"/>
      <c r="L19" s="1944"/>
      <c r="M19" s="1953"/>
      <c r="N19" s="1945"/>
      <c r="O19" s="1431"/>
      <c r="P19" s="1433"/>
      <c r="R19" s="14"/>
      <c r="S19" s="1306" t="s">
        <v>2336</v>
      </c>
      <c r="T19" s="1305">
        <f>COUNTIF(F15:F20,"")</f>
        <v>6</v>
      </c>
      <c r="U19" s="1305" t="str">
        <f>IF(AND(T19&gt;0,T19&lt;6),"ERROR","OK")</f>
        <v>OK</v>
      </c>
      <c r="V19" s="1410" t="s">
        <v>1533</v>
      </c>
      <c r="W19" s="1410"/>
      <c r="X19" s="1410"/>
      <c r="Y19" s="1410"/>
      <c r="Z19" s="1410"/>
      <c r="AA19" s="1410"/>
      <c r="AB19" s="14"/>
      <c r="AC19" s="14"/>
      <c r="AD19" s="14"/>
      <c r="AE19" s="14"/>
      <c r="AF19" s="14"/>
      <c r="AG19" s="14"/>
    </row>
    <row r="20" spans="2:33" ht="18" customHeight="1" x14ac:dyDescent="0.2">
      <c r="B20" s="489">
        <v>6000</v>
      </c>
      <c r="C20" s="1944"/>
      <c r="D20" s="1953"/>
      <c r="E20" s="1945"/>
      <c r="F20" s="1944"/>
      <c r="G20" s="1953"/>
      <c r="H20" s="1945"/>
      <c r="I20" s="1944"/>
      <c r="J20" s="1953"/>
      <c r="K20" s="1945"/>
      <c r="L20" s="1944"/>
      <c r="M20" s="1953"/>
      <c r="N20" s="1945"/>
      <c r="O20" s="1434"/>
      <c r="P20" s="1436"/>
      <c r="R20" s="14"/>
      <c r="S20" s="1306" t="s">
        <v>2337</v>
      </c>
      <c r="T20" s="1305">
        <f>COUNTIF(I15:I20,"")</f>
        <v>6</v>
      </c>
      <c r="U20" s="1305" t="str">
        <f>IF(AND(T20&gt;0,T20&lt;6),"ERROR","OK")</f>
        <v>OK</v>
      </c>
      <c r="V20" s="1410" t="s">
        <v>1769</v>
      </c>
      <c r="W20" s="1410"/>
      <c r="X20" s="1410"/>
      <c r="Y20" s="1410"/>
      <c r="Z20" s="1410"/>
      <c r="AA20" s="1410"/>
      <c r="AB20" s="14"/>
      <c r="AC20" s="14"/>
      <c r="AD20" s="14"/>
      <c r="AE20" s="14"/>
      <c r="AF20" s="14"/>
      <c r="AG20" s="14"/>
    </row>
    <row r="21" spans="2:33" ht="18" customHeight="1" x14ac:dyDescent="0.2">
      <c r="B21" s="489" t="s">
        <v>33</v>
      </c>
      <c r="C21" s="2083">
        <f>IF(S17=0,0,IF(OR(B9&lt;&gt;"",B10&lt;&gt;"",B11&lt;&gt;"",S23=1),"ERROR",SUM(C15:C20)))</f>
        <v>0</v>
      </c>
      <c r="D21" s="2083"/>
      <c r="E21" s="2083"/>
      <c r="F21" s="2083">
        <f>IF(U17=0,0,IF(OR(B9&lt;&gt;"",B10&lt;&gt;"",B11&lt;&gt;"",S23=1),"ERROR",SUM(F15:F20)))</f>
        <v>0</v>
      </c>
      <c r="G21" s="2083"/>
      <c r="H21" s="2083"/>
      <c r="I21" s="2083">
        <f>IF(W17=0,0,IF(OR(B9&lt;&gt;"",B10&lt;&gt;"",O11&lt;&gt;"",I6&lt;&gt;"",S23=1),"ERROR",SUM(I15:I20)))</f>
        <v>0</v>
      </c>
      <c r="J21" s="2083"/>
      <c r="K21" s="2083"/>
      <c r="L21" s="2083">
        <f>IF(Y17=0,0,IF(OR(B9&lt;&gt;"",B10&lt;&gt;"",O11&lt;&gt;"",I6&lt;&gt;"",S23=1),"ERROR",SUM(L15:L20)))</f>
        <v>0</v>
      </c>
      <c r="M21" s="2083"/>
      <c r="N21" s="2083"/>
      <c r="O21" s="2115" t="str">
        <f>IF(AND(V14&lt;12,F5="",L11=""),"Presbycusis cannot be determined without date of birth or age.",IF(AND(T8=TRUE,U8=FALSE,S22=1),T23,IF(T8=TRUE,T22,"")))</f>
        <v/>
      </c>
      <c r="P21" s="2116"/>
      <c r="R21" s="14"/>
      <c r="S21" s="1306" t="s">
        <v>2338</v>
      </c>
      <c r="T21" s="1305">
        <f>COUNTIF(L15:L20,"")</f>
        <v>6</v>
      </c>
      <c r="U21" s="1305" t="str">
        <f>IF(AND(T21&gt;0,T21&lt;6),"ERROR","OK")</f>
        <v>OK</v>
      </c>
      <c r="V21" s="1410" t="s">
        <v>62</v>
      </c>
      <c r="W21" s="1410"/>
      <c r="X21" s="1410"/>
      <c r="Y21" s="1410"/>
      <c r="Z21" s="1410"/>
      <c r="AA21" s="1410"/>
      <c r="AB21" s="14"/>
      <c r="AC21" s="14"/>
      <c r="AD21" s="14"/>
      <c r="AE21" s="14"/>
      <c r="AF21" s="14"/>
      <c r="AG21" s="14"/>
    </row>
    <row r="22" spans="2:33" ht="27" customHeight="1" x14ac:dyDescent="0.2">
      <c r="B22" s="489" t="s">
        <v>2151</v>
      </c>
      <c r="C22" s="2083">
        <f>IF(C21=0,0,IF(AND(S5&lt;&gt;1,S5&lt;&gt;2),"Gender?",'Hearing-Table'!G10))</f>
        <v>0</v>
      </c>
      <c r="D22" s="2083"/>
      <c r="E22" s="2083"/>
      <c r="F22" s="2083">
        <f>IF(F21=0,0,IF(AND(S5&lt;&gt;1,S5&lt;&gt;2),"Gender?",'Hearing-Table'!G10))</f>
        <v>0</v>
      </c>
      <c r="G22" s="2083"/>
      <c r="H22" s="2083"/>
      <c r="I22" s="2083">
        <f>IF(I21=0,0,IF(AND($T$8=TRUE,$U$8=FALSE),0,IF(AND($S$5&lt;&gt;1,$S$5&lt;&gt;2),"Gender?",'Hearing-Table'!$H$10)))</f>
        <v>0</v>
      </c>
      <c r="J22" s="2083"/>
      <c r="K22" s="2083"/>
      <c r="L22" s="2083">
        <f>IF(L21=0,0,IF(AND($T$8=TRUE,$U$8=FALSE),0,IF(AND($S$5&lt;&gt;1,$S$5&lt;&gt;2),"Gender?",'Hearing-Table'!$H$10)))</f>
        <v>0</v>
      </c>
      <c r="M22" s="2083"/>
      <c r="N22" s="2083"/>
      <c r="O22" s="2117"/>
      <c r="P22" s="2118"/>
      <c r="R22" s="14"/>
      <c r="S22" s="989">
        <f>IF(OR(S17&gt;0,U17&gt;0),1,0)</f>
        <v>0</v>
      </c>
      <c r="T22" s="1374" t="s">
        <v>2147</v>
      </c>
      <c r="U22" s="1375"/>
      <c r="V22" s="1375"/>
      <c r="W22" s="1375"/>
      <c r="X22" s="1375"/>
      <c r="Y22" s="1375"/>
      <c r="Z22" s="1375"/>
      <c r="AA22" s="1375"/>
      <c r="AB22" s="1376"/>
      <c r="AC22" s="14"/>
      <c r="AD22" s="14"/>
      <c r="AE22" s="14"/>
      <c r="AF22" s="14"/>
      <c r="AG22" s="14"/>
    </row>
    <row r="23" spans="2:33" ht="27" customHeight="1" x14ac:dyDescent="0.2">
      <c r="B23" s="489" t="s">
        <v>1553</v>
      </c>
      <c r="C23" s="2102">
        <f>IF(C22-150&lt;0,0,C22-150)</f>
        <v>0</v>
      </c>
      <c r="D23" s="2103"/>
      <c r="E23" s="2104"/>
      <c r="F23" s="2102">
        <f>IF(F22-150&lt;0,0,F22-150)</f>
        <v>0</v>
      </c>
      <c r="G23" s="2103"/>
      <c r="H23" s="2104"/>
      <c r="I23" s="2102">
        <f>IF(I22-150&lt;0,0,I22-150)</f>
        <v>0</v>
      </c>
      <c r="J23" s="2103"/>
      <c r="K23" s="2104"/>
      <c r="L23" s="2102">
        <f>IF(L22-150&lt;0,0,L22-150)</f>
        <v>0</v>
      </c>
      <c r="M23" s="2103"/>
      <c r="N23" s="2104"/>
      <c r="O23" s="2117"/>
      <c r="P23" s="2118"/>
      <c r="R23" s="14"/>
      <c r="S23" s="989">
        <f>IF(O21=T23,1,0)</f>
        <v>0</v>
      </c>
      <c r="T23" s="1379" t="s">
        <v>2150</v>
      </c>
      <c r="U23" s="1379"/>
      <c r="V23" s="1379"/>
      <c r="W23" s="1379"/>
      <c r="X23" s="1379"/>
      <c r="Y23" s="1379"/>
      <c r="Z23" s="1379"/>
      <c r="AA23" s="1379"/>
      <c r="AB23" s="1379"/>
      <c r="AC23" s="14"/>
      <c r="AD23" s="14"/>
      <c r="AE23" s="14"/>
      <c r="AF23" s="14"/>
      <c r="AG23" s="14"/>
    </row>
    <row r="24" spans="2:33" ht="18" customHeight="1" x14ac:dyDescent="0.2">
      <c r="B24" s="397" t="s">
        <v>63</v>
      </c>
      <c r="C24" s="2083">
        <f>IF(OR(C22="Gender?",C21="ERROR",C22="ERROR"),0,IF(C21-C23&lt;0,0,C21-C23))</f>
        <v>0</v>
      </c>
      <c r="D24" s="2083"/>
      <c r="E24" s="2083"/>
      <c r="F24" s="2083">
        <f>IF(OR(F22="Gender?",F21="ERROR",F22="ERROR"),0,IF(F21-F23&lt;0,0,F21-F23))</f>
        <v>0</v>
      </c>
      <c r="G24" s="2083"/>
      <c r="H24" s="2083"/>
      <c r="I24" s="2083">
        <f>IF(OR(I22="Gender?",I21="ERROR",I22="ERROR"),0,IF(I21-I23&lt;0,0,I21-I23))</f>
        <v>0</v>
      </c>
      <c r="J24" s="2083"/>
      <c r="K24" s="2083"/>
      <c r="L24" s="2083">
        <f>IF(OR(L22="Gender?",L21="ERROR",L22="ERROR"),0,IF(L21-L23&lt;0,0,L21-L23))</f>
        <v>0</v>
      </c>
      <c r="M24" s="2083"/>
      <c r="N24" s="2083"/>
      <c r="O24" s="2117"/>
      <c r="P24" s="2118"/>
      <c r="R24" s="14"/>
      <c r="S24" s="991"/>
      <c r="T24" s="1362" t="s">
        <v>2339</v>
      </c>
      <c r="U24" s="1363"/>
      <c r="V24" s="1363"/>
      <c r="W24" s="1363"/>
      <c r="X24" s="1363"/>
      <c r="Y24" s="1363"/>
      <c r="Z24" s="1363"/>
      <c r="AA24" s="1363"/>
      <c r="AB24" s="1364"/>
      <c r="AC24" s="991"/>
      <c r="AD24" s="991"/>
      <c r="AE24" s="991"/>
      <c r="AF24" s="14"/>
      <c r="AG24" s="14"/>
    </row>
    <row r="25" spans="2:33" ht="18" customHeight="1" x14ac:dyDescent="0.2">
      <c r="B25" s="397" t="s">
        <v>1165</v>
      </c>
      <c r="C25" s="2105">
        <f>IF(O14&lt;&gt;"",0,'Hearing-Table'!B3)</f>
        <v>0</v>
      </c>
      <c r="D25" s="2105"/>
      <c r="E25" s="2105"/>
      <c r="F25" s="2105">
        <f>IF(O14&lt;&gt;"",0,'Hearing-Table'!C3)</f>
        <v>0</v>
      </c>
      <c r="G25" s="2105"/>
      <c r="H25" s="2105"/>
      <c r="I25" s="2105">
        <f>IF(O14&lt;&gt;"",0,'Hearing-Table'!B6)</f>
        <v>0</v>
      </c>
      <c r="J25" s="2105"/>
      <c r="K25" s="2105"/>
      <c r="L25" s="2105">
        <f>IF(O14&lt;&gt;"",0,'Hearing-Table'!C6)</f>
        <v>0</v>
      </c>
      <c r="M25" s="2105"/>
      <c r="N25" s="2105"/>
      <c r="O25" s="2119"/>
      <c r="P25" s="2120"/>
      <c r="R25" s="14"/>
      <c r="S25" s="991"/>
      <c r="T25" s="992"/>
      <c r="U25" s="992"/>
      <c r="V25" s="992"/>
      <c r="W25" s="992"/>
      <c r="X25" s="992"/>
      <c r="Y25" s="992"/>
      <c r="Z25" s="992"/>
      <c r="AA25" s="991"/>
      <c r="AB25" s="991"/>
      <c r="AC25" s="991"/>
      <c r="AD25" s="991"/>
      <c r="AE25" s="991"/>
      <c r="AF25" s="14"/>
      <c r="AG25" s="14"/>
    </row>
    <row r="26" spans="2:33" ht="12" customHeight="1" x14ac:dyDescent="0.2">
      <c r="B26" s="1638"/>
      <c r="C26" s="1638"/>
      <c r="D26" s="1638"/>
      <c r="E26" s="1638"/>
      <c r="F26" s="1638"/>
      <c r="G26" s="1638"/>
      <c r="H26" s="1638"/>
      <c r="I26" s="1638"/>
      <c r="J26" s="1638"/>
      <c r="K26" s="1638"/>
      <c r="L26" s="1638"/>
      <c r="M26" s="1638"/>
      <c r="N26" s="1638"/>
      <c r="O26" s="1638"/>
      <c r="P26" s="1638"/>
      <c r="R26" s="14"/>
      <c r="S26" s="991"/>
      <c r="T26" s="992"/>
      <c r="U26" s="992"/>
      <c r="V26" s="992"/>
      <c r="W26" s="992"/>
      <c r="X26" s="992"/>
      <c r="Y26" s="992"/>
      <c r="Z26" s="992"/>
      <c r="AA26" s="991"/>
      <c r="AB26" s="991"/>
      <c r="AC26" s="991"/>
      <c r="AD26" s="991"/>
      <c r="AE26" s="991"/>
      <c r="AF26" s="14"/>
      <c r="AG26" s="14"/>
    </row>
    <row r="27" spans="2:33" ht="12" customHeight="1" x14ac:dyDescent="0.2">
      <c r="B27" s="315"/>
      <c r="C27" s="315"/>
      <c r="D27" s="315"/>
      <c r="E27" s="315"/>
      <c r="F27" s="315"/>
      <c r="G27" s="315"/>
      <c r="H27" s="315"/>
      <c r="I27" s="315"/>
      <c r="J27" s="315"/>
      <c r="K27" s="315"/>
      <c r="L27" s="315"/>
      <c r="M27" s="315"/>
      <c r="N27" s="315"/>
      <c r="O27" s="315"/>
      <c r="P27" s="315"/>
      <c r="R27" s="14"/>
      <c r="S27" s="992"/>
      <c r="T27" s="992"/>
      <c r="U27" s="992"/>
      <c r="V27" s="992"/>
      <c r="W27" s="992"/>
      <c r="X27" s="992"/>
      <c r="Y27" s="992"/>
      <c r="Z27" s="992"/>
      <c r="AA27" s="992"/>
      <c r="AB27" s="992"/>
      <c r="AC27" s="992"/>
      <c r="AD27" s="992"/>
      <c r="AE27" s="992"/>
      <c r="AF27" s="14"/>
      <c r="AG27" s="14"/>
    </row>
    <row r="28" spans="2:33" ht="27.75" customHeight="1" x14ac:dyDescent="0.2">
      <c r="B28" s="1557" t="s">
        <v>1939</v>
      </c>
      <c r="C28" s="1557"/>
      <c r="D28" s="1557"/>
      <c r="E28" s="1557"/>
      <c r="F28" s="2132"/>
      <c r="G28" s="2132"/>
      <c r="H28" s="2132"/>
      <c r="I28" s="2132"/>
      <c r="J28" s="2132"/>
      <c r="K28" s="2132"/>
      <c r="L28" s="2132"/>
      <c r="M28" s="2132"/>
      <c r="N28" s="2132"/>
      <c r="O28" s="2132"/>
      <c r="P28" s="2132"/>
      <c r="R28" s="14"/>
      <c r="S28" s="14"/>
      <c r="T28" s="14"/>
      <c r="U28" s="14"/>
      <c r="V28" s="14"/>
      <c r="W28" s="14"/>
      <c r="X28" s="14"/>
      <c r="Y28" s="14"/>
      <c r="Z28" s="14"/>
      <c r="AA28" s="14"/>
      <c r="AB28" s="14"/>
      <c r="AC28" s="14"/>
      <c r="AD28" s="14"/>
      <c r="AE28" s="14"/>
      <c r="AF28" s="14"/>
      <c r="AG28" s="14"/>
    </row>
    <row r="29" spans="2:33" ht="44.25" customHeight="1" x14ac:dyDescent="0.2">
      <c r="B29" s="490" t="s">
        <v>1406</v>
      </c>
      <c r="C29" s="398"/>
      <c r="D29" s="398"/>
      <c r="E29" s="398"/>
      <c r="F29" s="1557" t="s">
        <v>1813</v>
      </c>
      <c r="G29" s="1557"/>
      <c r="H29" s="1557"/>
      <c r="I29" s="1557"/>
      <c r="J29" s="1555"/>
      <c r="K29" s="1555"/>
      <c r="L29" s="1555"/>
      <c r="M29" s="1555"/>
      <c r="N29" s="1555"/>
      <c r="O29" s="1555"/>
      <c r="P29" s="1555"/>
      <c r="R29" s="1555" t="s">
        <v>2246</v>
      </c>
      <c r="S29" s="1555"/>
      <c r="T29" s="14"/>
      <c r="U29" s="989" t="s">
        <v>1305</v>
      </c>
      <c r="V29" s="985" t="s">
        <v>2247</v>
      </c>
      <c r="W29" s="989" t="s">
        <v>1306</v>
      </c>
      <c r="X29" s="989" t="s">
        <v>1307</v>
      </c>
      <c r="Y29" s="14"/>
      <c r="Z29" s="14"/>
      <c r="AA29" s="14"/>
      <c r="AB29" s="14"/>
      <c r="AC29" s="14"/>
      <c r="AD29" s="14"/>
      <c r="AE29" s="14"/>
      <c r="AF29" s="14"/>
      <c r="AG29" s="14"/>
    </row>
    <row r="30" spans="2:33" ht="18" customHeight="1" x14ac:dyDescent="0.2">
      <c r="B30" s="334" t="s">
        <v>29</v>
      </c>
      <c r="C30" s="2087">
        <f>IF(L5&lt;S3,"DOI&lt;05",S30)</f>
        <v>0</v>
      </c>
      <c r="D30" s="2087"/>
      <c r="E30" s="2087"/>
      <c r="F30" s="23" t="s">
        <v>1791</v>
      </c>
      <c r="G30" s="1847">
        <v>0.19</v>
      </c>
      <c r="H30" s="1847"/>
      <c r="I30" s="215" t="s">
        <v>1793</v>
      </c>
      <c r="J30" s="2091">
        <f>IF(L5&lt;S3,"DOI&lt;05",IF(AND(C30*G30&gt;0,C30*G30&lt;0.01),0.01,ROUND(C30*G30,2)))</f>
        <v>0</v>
      </c>
      <c r="K30" s="2091"/>
      <c r="L30" s="25"/>
      <c r="M30" s="2106" t="s">
        <v>599</v>
      </c>
      <c r="N30" s="2107"/>
      <c r="O30" s="2114"/>
      <c r="P30" s="1523" t="s">
        <v>602</v>
      </c>
      <c r="R30" s="989" t="s">
        <v>289</v>
      </c>
      <c r="S30" s="747">
        <f>IF(I25-C25&lt;0,0,I25-C25)</f>
        <v>0</v>
      </c>
      <c r="T30" s="14"/>
      <c r="U30" s="684">
        <f>MAX(J30,J31)</f>
        <v>0</v>
      </c>
      <c r="V30" s="684">
        <f>IF(AND(U30&gt;0,U30&lt;0.01),0.01,U30)</f>
        <v>0</v>
      </c>
      <c r="W30" s="707">
        <f>V30+V31*(1-V30)</f>
        <v>0</v>
      </c>
      <c r="X30" s="707">
        <f>ROUND(W30,2)</f>
        <v>0</v>
      </c>
      <c r="Y30" s="14"/>
      <c r="Z30" s="14"/>
      <c r="AA30" s="14"/>
      <c r="AB30" s="14"/>
      <c r="AC30" s="14"/>
      <c r="AD30" s="14"/>
      <c r="AE30" s="14"/>
      <c r="AF30" s="14"/>
      <c r="AG30" s="14"/>
    </row>
    <row r="31" spans="2:33" ht="18" customHeight="1" x14ac:dyDescent="0.2">
      <c r="B31" s="337" t="s">
        <v>30</v>
      </c>
      <c r="C31" s="2088">
        <f>IF(L5&lt;S3,"DOI&lt;05",S31)</f>
        <v>0</v>
      </c>
      <c r="D31" s="2089"/>
      <c r="E31" s="2090"/>
      <c r="F31" s="23" t="s">
        <v>1791</v>
      </c>
      <c r="G31" s="1847">
        <v>0.19</v>
      </c>
      <c r="H31" s="1847"/>
      <c r="I31" s="271" t="s">
        <v>1793</v>
      </c>
      <c r="J31" s="2092">
        <f>IF(L5&lt;S3,"DOI&lt;05",IF(AND(C31*G31&gt;0,C31*G31&lt;0.01),0.01,ROUND(C31*G31,2)))</f>
        <v>0</v>
      </c>
      <c r="K31" s="2093"/>
      <c r="L31" s="23"/>
      <c r="M31" s="2108"/>
      <c r="N31" s="2109"/>
      <c r="O31" s="1687"/>
      <c r="P31" s="1557"/>
      <c r="R31" s="989" t="s">
        <v>293</v>
      </c>
      <c r="S31" s="747">
        <f>IF(L25-F25&lt;0,0,L25-F25)</f>
        <v>0</v>
      </c>
      <c r="T31" s="14"/>
      <c r="U31" s="684">
        <f>MIN(J30,J31)</f>
        <v>0</v>
      </c>
      <c r="V31" s="684">
        <f>IF(AND(U31&gt;0,U31&lt;0.01),0.01,U31)</f>
        <v>0</v>
      </c>
      <c r="X31" s="14"/>
      <c r="Y31" s="14"/>
      <c r="Z31" s="14"/>
      <c r="AA31" s="14"/>
      <c r="AB31" s="14"/>
      <c r="AC31" s="14"/>
      <c r="AD31" s="14"/>
      <c r="AE31" s="14"/>
      <c r="AF31" s="14"/>
      <c r="AG31" s="14"/>
    </row>
    <row r="32" spans="2:33" ht="18" customHeight="1" x14ac:dyDescent="0.2">
      <c r="B32" s="2111" t="str">
        <f>IF(AND(C30&gt;0,C31&gt;0),"Monaural total (combined):","Monaural total:")</f>
        <v>Monaural total:</v>
      </c>
      <c r="C32" s="2112"/>
      <c r="D32" s="2112"/>
      <c r="E32" s="2112"/>
      <c r="F32" s="2112"/>
      <c r="G32" s="2112"/>
      <c r="H32" s="2113"/>
      <c r="I32" s="271" t="s">
        <v>1793</v>
      </c>
      <c r="J32" s="2073">
        <f>IF(L5&lt;S3,"DOI&lt;05",IF(OR(J30=0,J31=0),J30+J31,X30))</f>
        <v>0</v>
      </c>
      <c r="K32" s="2073"/>
      <c r="L32" s="23" t="s">
        <v>1791</v>
      </c>
      <c r="M32" s="1418">
        <f>SAWW!D6</f>
        <v>0</v>
      </c>
      <c r="N32" s="2110"/>
      <c r="O32" s="215" t="s">
        <v>603</v>
      </c>
      <c r="P32" s="339">
        <f>IF(L5&lt;S3,"DOI&lt;05",ROUND(J32*M32*100,2))</f>
        <v>0</v>
      </c>
      <c r="R32" s="14"/>
      <c r="S32" s="14"/>
      <c r="T32" s="14"/>
      <c r="U32" s="14"/>
      <c r="V32" s="14"/>
      <c r="W32" s="14"/>
      <c r="X32" s="14"/>
      <c r="Y32" s="14"/>
      <c r="Z32" s="14"/>
      <c r="AA32" s="14"/>
      <c r="AB32" s="14"/>
      <c r="AC32" s="14"/>
      <c r="AD32" s="14"/>
      <c r="AE32" s="14"/>
      <c r="AF32" s="14"/>
      <c r="AG32" s="14"/>
    </row>
    <row r="33" spans="1:33" ht="14.25" customHeight="1" x14ac:dyDescent="0.2">
      <c r="B33" s="491"/>
      <c r="C33" s="492"/>
      <c r="D33" s="492"/>
      <c r="E33" s="492"/>
      <c r="F33" s="492"/>
      <c r="G33" s="492"/>
      <c r="H33" s="492"/>
      <c r="I33" s="492"/>
      <c r="J33" s="492"/>
      <c r="K33" s="492"/>
      <c r="L33" s="492"/>
      <c r="M33" s="492"/>
      <c r="N33" s="492"/>
      <c r="O33" s="492"/>
      <c r="P33" s="493"/>
      <c r="R33" s="14"/>
      <c r="S33" s="114"/>
      <c r="T33" s="14"/>
      <c r="U33" s="14"/>
      <c r="V33" s="14"/>
      <c r="W33" s="14"/>
      <c r="X33" s="14"/>
      <c r="Y33" s="14"/>
      <c r="Z33" s="14"/>
      <c r="AA33" s="14"/>
      <c r="AB33" s="14"/>
      <c r="AC33" s="14"/>
      <c r="AD33" s="14"/>
      <c r="AE33" s="14"/>
      <c r="AF33" s="14"/>
      <c r="AG33" s="14"/>
    </row>
    <row r="34" spans="1:33" ht="21" customHeight="1" x14ac:dyDescent="0.2">
      <c r="A34" s="3"/>
      <c r="B34" s="1561" t="s">
        <v>483</v>
      </c>
      <c r="C34" s="1561"/>
      <c r="D34" s="1561"/>
      <c r="E34" s="1561"/>
      <c r="F34" s="1561"/>
      <c r="G34" s="1561"/>
      <c r="H34" s="1561"/>
      <c r="I34" s="1561"/>
      <c r="J34" s="1561"/>
      <c r="K34" s="1561"/>
      <c r="L34" s="1561"/>
      <c r="M34" s="1561"/>
      <c r="N34" s="1561"/>
      <c r="O34" s="1561"/>
      <c r="P34" s="1561"/>
      <c r="Q34" s="3"/>
      <c r="R34" s="14"/>
      <c r="S34" s="264">
        <f>MAX(I39,J32)</f>
        <v>0</v>
      </c>
      <c r="T34" s="14"/>
      <c r="U34" s="14"/>
      <c r="V34" s="14"/>
      <c r="W34" s="14"/>
      <c r="X34" s="14"/>
      <c r="Y34" s="14"/>
      <c r="Z34" s="14"/>
      <c r="AA34" s="14"/>
      <c r="AB34" s="14"/>
      <c r="AC34" s="14"/>
      <c r="AD34" s="14"/>
      <c r="AE34" s="14"/>
      <c r="AF34" s="14"/>
      <c r="AG34" s="14"/>
    </row>
    <row r="35" spans="1:33" ht="18" customHeight="1" x14ac:dyDescent="0.2">
      <c r="B35" s="2098" t="s">
        <v>477</v>
      </c>
      <c r="C35" s="2098"/>
      <c r="D35" s="2098"/>
      <c r="E35" s="2098"/>
      <c r="F35" s="2098"/>
      <c r="G35" s="2098"/>
      <c r="H35" s="2098"/>
      <c r="I35" s="2087">
        <f>IF(L5&lt;S3,"DOI&lt;05",MIN(S30,S31))</f>
        <v>0</v>
      </c>
      <c r="J35" s="2087"/>
      <c r="K35" s="2087"/>
      <c r="L35" s="215" t="s">
        <v>1791</v>
      </c>
      <c r="M35" s="2083">
        <v>7</v>
      </c>
      <c r="N35" s="2083"/>
      <c r="O35" s="215" t="s">
        <v>1793</v>
      </c>
      <c r="P35" s="240">
        <f>IF(L5&lt;S3,"DOI&lt;05",IF(I35=0,0,I35*M35))</f>
        <v>0</v>
      </c>
      <c r="R35" s="989">
        <f>IF(AND(S35=1,C30&gt;0),"Right",IF(AND(S35=1,C31&gt;0),"Left",0))</f>
        <v>0</v>
      </c>
      <c r="S35" s="988">
        <f>IF(AND(C30=0,C31=0),0,IF(OR(C30=0,C31=0),1,IF(AND(C30&gt;0,C31&gt;0,J32&gt;I39),2,3)))</f>
        <v>0</v>
      </c>
      <c r="T35" s="214"/>
      <c r="U35" s="14"/>
      <c r="V35" s="14"/>
      <c r="W35" s="14"/>
      <c r="X35" s="14"/>
      <c r="Y35" s="14"/>
      <c r="Z35" s="14"/>
      <c r="AA35" s="14"/>
      <c r="AB35" s="14"/>
      <c r="AC35" s="14"/>
      <c r="AD35" s="14"/>
      <c r="AE35" s="14"/>
      <c r="AF35" s="14"/>
      <c r="AG35" s="14"/>
    </row>
    <row r="36" spans="1:33" ht="18" customHeight="1" x14ac:dyDescent="0.2">
      <c r="B36" s="1591" t="s">
        <v>478</v>
      </c>
      <c r="C36" s="1591"/>
      <c r="D36" s="1591"/>
      <c r="E36" s="1591"/>
      <c r="F36" s="1591"/>
      <c r="G36" s="1591"/>
      <c r="H36" s="1591"/>
      <c r="I36" s="2087">
        <f>IF(L5&lt;S3,"DOI&lt;05",IF(I35=0,0,MAX(S30,S31)))</f>
        <v>0</v>
      </c>
      <c r="J36" s="2087"/>
      <c r="K36" s="2087"/>
      <c r="L36" s="1534"/>
      <c r="M36" s="1534"/>
      <c r="N36" s="1534"/>
      <c r="O36" s="215" t="s">
        <v>1793</v>
      </c>
      <c r="P36" s="240">
        <f>IF(L5&lt;S3,"DOI&lt;05",P35+I36)</f>
        <v>0</v>
      </c>
      <c r="R36" s="14"/>
      <c r="S36" s="1410" t="s">
        <v>600</v>
      </c>
      <c r="T36" s="1410"/>
      <c r="U36" s="1410"/>
      <c r="V36" s="1410"/>
      <c r="W36" s="1410"/>
      <c r="X36" s="14"/>
      <c r="Y36" s="14"/>
      <c r="Z36" s="14"/>
      <c r="AA36" s="14"/>
      <c r="AB36" s="14"/>
      <c r="AC36" s="14"/>
      <c r="AD36" s="14"/>
      <c r="AE36" s="14"/>
      <c r="AF36" s="14"/>
      <c r="AG36" s="14"/>
    </row>
    <row r="37" spans="1:33" ht="18" customHeight="1" x14ac:dyDescent="0.2">
      <c r="B37" s="1591" t="s">
        <v>479</v>
      </c>
      <c r="C37" s="1591"/>
      <c r="D37" s="1591"/>
      <c r="E37" s="1591"/>
      <c r="F37" s="1591"/>
      <c r="G37" s="1591"/>
      <c r="H37" s="1591"/>
      <c r="I37" s="2087">
        <f>P36</f>
        <v>0</v>
      </c>
      <c r="J37" s="2087"/>
      <c r="K37" s="2087"/>
      <c r="L37" s="215" t="s">
        <v>481</v>
      </c>
      <c r="M37" s="2083">
        <v>8</v>
      </c>
      <c r="N37" s="2083"/>
      <c r="O37" s="215" t="s">
        <v>1793</v>
      </c>
      <c r="P37" s="240">
        <f>IF(L5&lt;S3,"DOI&lt;05",IF(I35=0,0,P36/M37))</f>
        <v>0</v>
      </c>
      <c r="R37" s="14"/>
      <c r="S37" s="1410" t="s">
        <v>601</v>
      </c>
      <c r="T37" s="1410"/>
      <c r="U37" s="1410"/>
      <c r="V37" s="1410"/>
      <c r="W37" s="1410"/>
      <c r="X37" s="14"/>
      <c r="Y37" s="14"/>
      <c r="Z37" s="14"/>
      <c r="AA37" s="14"/>
      <c r="AB37" s="14"/>
      <c r="AC37" s="14"/>
      <c r="AD37" s="14"/>
      <c r="AE37" s="14"/>
      <c r="AF37" s="14"/>
      <c r="AG37" s="14"/>
    </row>
    <row r="38" spans="1:33" ht="28.5" customHeight="1" x14ac:dyDescent="0.2">
      <c r="B38" s="1591" t="s">
        <v>480</v>
      </c>
      <c r="C38" s="1591"/>
      <c r="D38" s="1591"/>
      <c r="E38" s="1591"/>
      <c r="F38" s="1591"/>
      <c r="G38" s="1591"/>
      <c r="H38" s="1591"/>
      <c r="I38" s="2087">
        <f>P37</f>
        <v>0</v>
      </c>
      <c r="J38" s="2087"/>
      <c r="K38" s="2087"/>
      <c r="L38" s="215" t="s">
        <v>1791</v>
      </c>
      <c r="M38" s="1847">
        <v>0.6</v>
      </c>
      <c r="N38" s="1847"/>
      <c r="O38" s="215" t="s">
        <v>1793</v>
      </c>
      <c r="P38" s="327">
        <f>IF(L5&lt;S3,"DOI&lt;05",IF(I35=0,0,IF(AND(I38*M38&gt;0,I38*M38&lt;0.01),0.01,ROUND(I38*M38,2))))</f>
        <v>0</v>
      </c>
      <c r="R38" s="14"/>
      <c r="S38" s="986">
        <f>IF(P32="DOI&lt;05",0,IF(P32=0,0,IF(P32&gt;P39,1,2)))</f>
        <v>0</v>
      </c>
      <c r="U38" s="14"/>
      <c r="V38" s="14"/>
      <c r="W38" s="14"/>
      <c r="X38" s="14"/>
      <c r="Y38" s="14"/>
      <c r="Z38" s="14"/>
      <c r="AA38" s="14"/>
      <c r="AB38" s="14"/>
      <c r="AC38" s="14"/>
      <c r="AD38" s="14"/>
      <c r="AE38" s="14"/>
      <c r="AF38" s="14"/>
      <c r="AG38" s="14"/>
    </row>
    <row r="39" spans="1:33" ht="27" customHeight="1" x14ac:dyDescent="0.2">
      <c r="B39" s="1379" t="s">
        <v>1090</v>
      </c>
      <c r="C39" s="1379"/>
      <c r="D39" s="1379"/>
      <c r="E39" s="1379"/>
      <c r="F39" s="1379"/>
      <c r="G39" s="1379"/>
      <c r="H39" s="1379"/>
      <c r="I39" s="1688">
        <f>P38</f>
        <v>0</v>
      </c>
      <c r="J39" s="1688"/>
      <c r="K39" s="1688"/>
      <c r="L39" s="215" t="s">
        <v>1791</v>
      </c>
      <c r="M39" s="1417">
        <f>SAWW!D6</f>
        <v>0</v>
      </c>
      <c r="N39" s="1417"/>
      <c r="O39" s="215" t="s">
        <v>482</v>
      </c>
      <c r="P39" s="339">
        <f>IF(L5&lt;S3,"DOI&lt;05",ROUND(I39*M39*100,2))</f>
        <v>0</v>
      </c>
      <c r="R39" s="14"/>
      <c r="S39" s="14"/>
      <c r="U39" s="14"/>
      <c r="V39" s="14"/>
      <c r="W39" s="14"/>
      <c r="X39" s="14"/>
      <c r="Y39" s="14"/>
      <c r="Z39" s="14"/>
      <c r="AA39" s="14"/>
      <c r="AB39" s="14"/>
      <c r="AC39" s="14"/>
      <c r="AD39" s="14"/>
      <c r="AE39" s="14"/>
      <c r="AF39" s="14"/>
      <c r="AG39" s="14"/>
    </row>
    <row r="40" spans="1:33" ht="21.75" customHeight="1" x14ac:dyDescent="0.2">
      <c r="B40" s="2121" t="str">
        <f>IF(OR(L5&lt;S3,I35=0),"",IF(S38=1,S36,IF(S38=2,S37,"")))</f>
        <v/>
      </c>
      <c r="C40" s="2121"/>
      <c r="D40" s="2121"/>
      <c r="E40" s="2121"/>
      <c r="F40" s="2121"/>
      <c r="G40" s="2121"/>
      <c r="H40" s="2121"/>
      <c r="I40" s="2121"/>
      <c r="J40" s="2121"/>
      <c r="K40" s="2121"/>
      <c r="L40" s="2121"/>
      <c r="M40" s="2121"/>
      <c r="N40" s="2121"/>
      <c r="O40" s="2121"/>
      <c r="P40" s="339">
        <f>IF(L5&lt;S3,"DOI&lt;05",IF(I35=0,0,MAX(P32,P39)))</f>
        <v>0</v>
      </c>
      <c r="R40" s="14"/>
      <c r="S40" s="14"/>
      <c r="U40" s="14"/>
      <c r="V40" s="14"/>
      <c r="W40" s="14"/>
      <c r="X40" s="14"/>
      <c r="Y40" s="14"/>
      <c r="Z40" s="14"/>
      <c r="AA40" s="14"/>
      <c r="AB40" s="14"/>
      <c r="AC40" s="14"/>
      <c r="AD40" s="14"/>
      <c r="AE40" s="14"/>
      <c r="AF40" s="14"/>
      <c r="AG40" s="14"/>
    </row>
    <row r="41" spans="1:33" x14ac:dyDescent="0.2">
      <c r="B41" s="182"/>
      <c r="C41" s="179"/>
      <c r="D41" s="179"/>
      <c r="E41" s="179"/>
      <c r="F41" s="179"/>
      <c r="G41" s="179"/>
      <c r="H41" s="182"/>
      <c r="I41" s="182"/>
      <c r="J41" s="182"/>
      <c r="K41" s="182"/>
      <c r="L41" s="182"/>
      <c r="M41" s="182"/>
      <c r="N41" s="182"/>
      <c r="O41" s="182"/>
      <c r="P41" s="182"/>
      <c r="R41" s="14"/>
      <c r="S41" s="14"/>
      <c r="T41" s="14"/>
      <c r="U41" s="14"/>
      <c r="V41" s="14"/>
      <c r="W41" s="14"/>
      <c r="X41" s="14"/>
      <c r="Y41" s="14"/>
      <c r="Z41" s="14"/>
      <c r="AA41" s="14"/>
      <c r="AB41" s="14"/>
      <c r="AC41" s="14"/>
      <c r="AD41" s="14"/>
      <c r="AE41" s="14"/>
      <c r="AF41" s="14"/>
      <c r="AG41" s="14"/>
    </row>
    <row r="42" spans="1:33" ht="30" customHeight="1" x14ac:dyDescent="0.2">
      <c r="B42" s="1557" t="s">
        <v>2149</v>
      </c>
      <c r="C42" s="1557"/>
      <c r="D42" s="1557"/>
      <c r="E42" s="1557"/>
      <c r="F42" s="1557"/>
      <c r="G42" s="1557"/>
      <c r="H42" s="1557"/>
      <c r="I42" s="1557"/>
      <c r="J42" s="1557"/>
      <c r="K42" s="1557"/>
      <c r="L42" s="1557"/>
      <c r="M42" s="1557"/>
      <c r="N42" s="1557"/>
      <c r="O42" s="1557"/>
      <c r="P42" s="1557"/>
      <c r="R42" s="14"/>
      <c r="S42" s="14"/>
      <c r="T42" s="14"/>
      <c r="U42" s="14"/>
      <c r="V42" s="14"/>
      <c r="W42" s="14"/>
      <c r="X42" s="14"/>
      <c r="Y42" s="14"/>
      <c r="Z42" s="14"/>
      <c r="AA42" s="14"/>
      <c r="AB42" s="14"/>
      <c r="AC42" s="14"/>
      <c r="AD42" s="14"/>
      <c r="AE42" s="14"/>
      <c r="AF42" s="14"/>
      <c r="AG42" s="14"/>
    </row>
    <row r="43" spans="1:33" ht="26.25" customHeight="1" x14ac:dyDescent="0.2">
      <c r="B43" s="1561" t="s">
        <v>1406</v>
      </c>
      <c r="C43" s="1561"/>
      <c r="D43" s="1561"/>
      <c r="E43" s="1561"/>
      <c r="F43" s="1561"/>
      <c r="G43" s="1557" t="s">
        <v>104</v>
      </c>
      <c r="H43" s="1557"/>
      <c r="I43" s="374"/>
      <c r="J43" s="1487" t="s">
        <v>365</v>
      </c>
      <c r="K43" s="1487"/>
      <c r="L43" s="494"/>
      <c r="M43" s="1792" t="s">
        <v>1890</v>
      </c>
      <c r="N43" s="1792"/>
      <c r="O43" s="393"/>
      <c r="P43" s="393" t="s">
        <v>1192</v>
      </c>
      <c r="R43" s="14"/>
      <c r="S43" s="14"/>
      <c r="T43" s="14"/>
      <c r="U43" s="14"/>
      <c r="V43" s="14"/>
      <c r="W43" s="14"/>
      <c r="X43" s="14"/>
      <c r="Y43" s="14"/>
      <c r="Z43" s="14"/>
      <c r="AA43" s="14"/>
      <c r="AB43" s="14"/>
      <c r="AC43" s="14"/>
      <c r="AD43" s="14"/>
      <c r="AE43" s="14"/>
      <c r="AF43" s="14"/>
      <c r="AG43" s="14"/>
    </row>
    <row r="44" spans="1:33" ht="18" customHeight="1" x14ac:dyDescent="0.2">
      <c r="B44" s="334" t="s">
        <v>29</v>
      </c>
      <c r="C44" s="2101">
        <f>IF(L5="",0,IF(L5&gt;=S3,"DOI&gt;04",IF(AND(S30&gt;0,S30&lt;0.01),0.01,ROUND(S30,2))))</f>
        <v>0</v>
      </c>
      <c r="D44" s="2101"/>
      <c r="E44" s="2101"/>
      <c r="F44" s="23" t="s">
        <v>1791</v>
      </c>
      <c r="G44" s="1346">
        <v>60</v>
      </c>
      <c r="H44" s="1346"/>
      <c r="I44" s="215" t="s">
        <v>1793</v>
      </c>
      <c r="J44" s="1468">
        <f>IF(L5="",0,IF(L5&gt;=S3,"DOI&gt;04",ROUND(C44*G44,2)))</f>
        <v>0</v>
      </c>
      <c r="K44" s="1468"/>
      <c r="L44" s="23" t="s">
        <v>1791</v>
      </c>
      <c r="M44" s="2099" t="e">
        <f>'Dol Per Deg'!$H$11</f>
        <v>#N/A</v>
      </c>
      <c r="N44" s="2099"/>
      <c r="O44" s="215" t="s">
        <v>1793</v>
      </c>
      <c r="P44" s="351">
        <f>IF(L5="",0,IF(L5&gt;=S3,"DOI&gt;04",ROUND(J44*M44,2)))</f>
        <v>0</v>
      </c>
      <c r="R44" s="14"/>
      <c r="S44" s="14"/>
      <c r="T44" s="14"/>
      <c r="U44" s="183"/>
      <c r="V44" s="183"/>
      <c r="W44" s="184"/>
      <c r="X44" s="14"/>
      <c r="Y44" s="14"/>
      <c r="Z44" s="14"/>
      <c r="AA44" s="14"/>
      <c r="AB44" s="14"/>
      <c r="AC44" s="14"/>
      <c r="AD44" s="14"/>
      <c r="AE44" s="14"/>
      <c r="AF44" s="14"/>
      <c r="AG44" s="14"/>
    </row>
    <row r="45" spans="1:33" ht="18" customHeight="1" x14ac:dyDescent="0.2">
      <c r="B45" s="334" t="s">
        <v>30</v>
      </c>
      <c r="C45" s="2101">
        <f>IF(L5="",0,IF(L5&gt;=S3,"DOI&gt;04",IF(AND(S31&gt;0,S31&lt;0.01),0.01,ROUND(S31,2))))</f>
        <v>0</v>
      </c>
      <c r="D45" s="2101"/>
      <c r="E45" s="2101"/>
      <c r="F45" s="23" t="s">
        <v>1791</v>
      </c>
      <c r="G45" s="1346">
        <v>60</v>
      </c>
      <c r="H45" s="1346"/>
      <c r="I45" s="215" t="s">
        <v>1793</v>
      </c>
      <c r="J45" s="1468">
        <f>IF(L5="",0,IF(L5&gt;=S3,"DOI&gt;04",ROUND(C45*G45,2)))</f>
        <v>0</v>
      </c>
      <c r="K45" s="1468"/>
      <c r="L45" s="23" t="s">
        <v>1791</v>
      </c>
      <c r="M45" s="2099" t="e">
        <f>'Dol Per Deg'!$H$11</f>
        <v>#N/A</v>
      </c>
      <c r="N45" s="2099"/>
      <c r="O45" s="215" t="s">
        <v>1793</v>
      </c>
      <c r="P45" s="197">
        <f>IF(L5="",0,IF(L5&gt;=S3,"DOI&gt;04",ROUND(J45*M45,2)))</f>
        <v>0</v>
      </c>
      <c r="R45" s="14"/>
      <c r="S45" s="14"/>
      <c r="T45" s="14"/>
      <c r="U45" s="183"/>
      <c r="V45" s="183"/>
      <c r="W45" s="184"/>
      <c r="X45" s="14"/>
      <c r="Y45" s="14"/>
      <c r="Z45" s="14"/>
      <c r="AA45" s="14"/>
      <c r="AB45" s="14"/>
      <c r="AC45" s="14"/>
      <c r="AD45" s="14"/>
      <c r="AE45" s="14"/>
      <c r="AF45" s="14"/>
      <c r="AG45" s="14"/>
    </row>
    <row r="46" spans="1:33" ht="18" customHeight="1" x14ac:dyDescent="0.2">
      <c r="B46" s="2094" t="s">
        <v>1407</v>
      </c>
      <c r="C46" s="2094"/>
      <c r="D46" s="2094"/>
      <c r="E46" s="2094"/>
      <c r="F46" s="2094"/>
      <c r="G46" s="2094"/>
      <c r="H46" s="2094"/>
      <c r="I46" s="2094"/>
      <c r="J46" s="2094"/>
      <c r="K46" s="2094"/>
      <c r="L46" s="2094"/>
      <c r="M46" s="2094"/>
      <c r="N46" s="2094"/>
      <c r="O46" s="2094"/>
      <c r="P46" s="339">
        <f>IF(L5="",0,IF(L5&gt;=S3,"DOI&gt;04",P44+P45))</f>
        <v>0</v>
      </c>
      <c r="R46" s="14"/>
      <c r="S46" s="14"/>
      <c r="T46" s="14"/>
      <c r="U46" s="14"/>
      <c r="V46" s="14"/>
      <c r="W46" s="14"/>
      <c r="X46" s="14"/>
      <c r="Y46" s="14"/>
      <c r="Z46" s="14"/>
      <c r="AA46" s="14"/>
      <c r="AB46" s="14"/>
      <c r="AC46" s="14"/>
      <c r="AD46" s="14"/>
      <c r="AE46" s="14"/>
      <c r="AF46" s="14"/>
      <c r="AG46" s="14"/>
    </row>
    <row r="47" spans="1:33" ht="21" customHeight="1" x14ac:dyDescent="0.2">
      <c r="A47" s="3"/>
      <c r="B47" s="2095" t="s">
        <v>483</v>
      </c>
      <c r="C47" s="2096"/>
      <c r="D47" s="2096"/>
      <c r="E47" s="2096"/>
      <c r="F47" s="2096"/>
      <c r="G47" s="2096"/>
      <c r="H47" s="2096"/>
      <c r="I47" s="2096"/>
      <c r="J47" s="2096"/>
      <c r="K47" s="2096"/>
      <c r="L47" s="2096"/>
      <c r="M47" s="2096"/>
      <c r="N47" s="2096"/>
      <c r="O47" s="2096"/>
      <c r="P47" s="2097"/>
      <c r="Q47" s="3"/>
      <c r="R47" s="14"/>
      <c r="S47" s="183"/>
      <c r="T47" s="14"/>
      <c r="U47" s="14"/>
      <c r="V47" s="14"/>
      <c r="W47" s="14"/>
      <c r="X47" s="14"/>
      <c r="Y47" s="14"/>
      <c r="Z47" s="14"/>
      <c r="AA47" s="14"/>
      <c r="AB47" s="14"/>
      <c r="AC47" s="14"/>
      <c r="AD47" s="14"/>
      <c r="AE47" s="14"/>
      <c r="AF47" s="14"/>
      <c r="AG47" s="14"/>
    </row>
    <row r="48" spans="1:33" ht="18" customHeight="1" x14ac:dyDescent="0.2">
      <c r="B48" s="2098" t="s">
        <v>477</v>
      </c>
      <c r="C48" s="2098"/>
      <c r="D48" s="2098"/>
      <c r="E48" s="2098"/>
      <c r="F48" s="2098"/>
      <c r="G48" s="2098"/>
      <c r="H48" s="2098"/>
      <c r="I48" s="2087">
        <f>IF(L5="",0,IF(L5&gt;=S3,"DOI&gt;04",MIN(S30,S31)))</f>
        <v>0</v>
      </c>
      <c r="J48" s="2087"/>
      <c r="K48" s="2087"/>
      <c r="L48" s="215" t="s">
        <v>1791</v>
      </c>
      <c r="M48" s="2083">
        <v>7</v>
      </c>
      <c r="N48" s="2083"/>
      <c r="O48" s="215" t="s">
        <v>1793</v>
      </c>
      <c r="P48" s="240">
        <f>IF(L5="",0,IF(L5&gt;=S3,"DOI&gt;04",I48*M48))</f>
        <v>0</v>
      </c>
      <c r="R48" s="14"/>
      <c r="S48" s="14"/>
      <c r="T48" s="14"/>
      <c r="U48" s="14"/>
      <c r="V48" s="14"/>
      <c r="W48" s="14"/>
      <c r="X48" s="14"/>
      <c r="Y48" s="14"/>
      <c r="Z48" s="14"/>
      <c r="AA48" s="14"/>
      <c r="AB48" s="14"/>
      <c r="AC48" s="14"/>
      <c r="AD48" s="14"/>
      <c r="AE48" s="14"/>
      <c r="AF48" s="14"/>
      <c r="AG48" s="14"/>
    </row>
    <row r="49" spans="2:102" ht="18" customHeight="1" x14ac:dyDescent="0.2">
      <c r="B49" s="1591" t="s">
        <v>478</v>
      </c>
      <c r="C49" s="1591"/>
      <c r="D49" s="1591"/>
      <c r="E49" s="1591"/>
      <c r="F49" s="1591"/>
      <c r="G49" s="1591"/>
      <c r="H49" s="1591"/>
      <c r="I49" s="2087">
        <f>IF(L5="",0,IF(L5&gt;=S3,"DOI&gt;04",IF(I48=0,0,MAX(S30,S31))))</f>
        <v>0</v>
      </c>
      <c r="J49" s="2087"/>
      <c r="K49" s="2087"/>
      <c r="L49" s="1534"/>
      <c r="M49" s="1534"/>
      <c r="N49" s="1534"/>
      <c r="O49" s="215" t="s">
        <v>1793</v>
      </c>
      <c r="P49" s="240">
        <f>IF(L5="",0,IF(L5&gt;=S3,"DOI&gt;04",P48+I49))</f>
        <v>0</v>
      </c>
      <c r="R49" s="14"/>
      <c r="S49" s="14"/>
      <c r="T49" s="14"/>
      <c r="U49" s="14"/>
      <c r="V49" s="14"/>
      <c r="W49" s="14"/>
      <c r="X49" s="14"/>
      <c r="Y49" s="14"/>
      <c r="Z49" s="14"/>
      <c r="AA49" s="14"/>
      <c r="AB49" s="14"/>
      <c r="AC49" s="14"/>
      <c r="AD49" s="14"/>
      <c r="AE49" s="14"/>
      <c r="AF49" s="14"/>
      <c r="AG49" s="14"/>
    </row>
    <row r="50" spans="2:102" ht="18" customHeight="1" x14ac:dyDescent="0.2">
      <c r="B50" s="1591" t="s">
        <v>479</v>
      </c>
      <c r="C50" s="1591"/>
      <c r="D50" s="1591"/>
      <c r="E50" s="1591"/>
      <c r="F50" s="1591"/>
      <c r="G50" s="1591"/>
      <c r="H50" s="1591"/>
      <c r="I50" s="2087">
        <f>P49</f>
        <v>0</v>
      </c>
      <c r="J50" s="2087"/>
      <c r="K50" s="2087"/>
      <c r="L50" s="215" t="s">
        <v>481</v>
      </c>
      <c r="M50" s="2083">
        <v>8</v>
      </c>
      <c r="N50" s="2083"/>
      <c r="O50" s="215" t="s">
        <v>1793</v>
      </c>
      <c r="P50" s="327">
        <f>IF(L5="",0,IF(L5&gt;=S3,"DOI&gt;04",IF(AND(P49/M50&gt;0,P49/M50&lt;0.01),0.01,ROUND(P49/M50,2))))</f>
        <v>0</v>
      </c>
      <c r="R50" s="14"/>
      <c r="S50" s="58">
        <f>IF(OR(C44="DOI&gt;04",C45="DOI&gt;04"),0,IF(B53=S37,4,IF(B53=S36,3,IF(C44&gt;0,2,IF(C45&gt;0,1,0)))))</f>
        <v>0</v>
      </c>
      <c r="U50" s="14"/>
      <c r="V50" s="14"/>
      <c r="W50" s="14"/>
      <c r="X50" s="14"/>
      <c r="Y50" s="14"/>
      <c r="Z50" s="14"/>
      <c r="AA50" s="14"/>
      <c r="AB50" s="14"/>
      <c r="AC50" s="14"/>
      <c r="AD50" s="14"/>
      <c r="AE50" s="14"/>
      <c r="AF50" s="14"/>
      <c r="AG50" s="14"/>
    </row>
    <row r="51" spans="2:102" ht="24.75" customHeight="1" x14ac:dyDescent="0.2">
      <c r="B51" s="1626"/>
      <c r="C51" s="1764"/>
      <c r="D51" s="1764"/>
      <c r="E51" s="1764"/>
      <c r="F51" s="1798"/>
      <c r="G51" s="1557" t="s">
        <v>104</v>
      </c>
      <c r="H51" s="1557"/>
      <c r="I51" s="272"/>
      <c r="J51" s="1487" t="s">
        <v>365</v>
      </c>
      <c r="K51" s="1487"/>
      <c r="L51" s="215"/>
      <c r="M51" s="1792" t="s">
        <v>1890</v>
      </c>
      <c r="N51" s="1792"/>
      <c r="O51" s="215"/>
      <c r="P51" s="241"/>
      <c r="R51" s="14"/>
      <c r="S51" s="14"/>
      <c r="T51" s="14"/>
      <c r="U51" s="14"/>
      <c r="V51" s="14"/>
      <c r="W51" s="14"/>
      <c r="X51" s="14"/>
      <c r="Y51" s="14"/>
      <c r="Z51" s="14"/>
      <c r="AA51" s="14"/>
      <c r="AB51" s="14"/>
      <c r="AC51" s="14"/>
      <c r="AD51" s="14"/>
      <c r="AE51" s="14"/>
      <c r="AF51" s="14"/>
      <c r="AG51" s="14"/>
    </row>
    <row r="52" spans="2:102" ht="18" customHeight="1" x14ac:dyDescent="0.2">
      <c r="B52" s="350" t="s">
        <v>484</v>
      </c>
      <c r="C52" s="2101">
        <f>P50</f>
        <v>0</v>
      </c>
      <c r="D52" s="2101"/>
      <c r="E52" s="2101"/>
      <c r="F52" s="42" t="s">
        <v>1791</v>
      </c>
      <c r="G52" s="1346">
        <v>192</v>
      </c>
      <c r="H52" s="1346"/>
      <c r="I52" s="42" t="s">
        <v>1793</v>
      </c>
      <c r="J52" s="1468">
        <f>IF(L5="",0,IF(L5&gt;=S3,"DOI&gt;04",ROUND(C52*G52,2)))</f>
        <v>0</v>
      </c>
      <c r="K52" s="1468"/>
      <c r="L52" s="42" t="s">
        <v>1791</v>
      </c>
      <c r="M52" s="2099" t="e">
        <f>'Dol Per Deg'!$H$11</f>
        <v>#N/A</v>
      </c>
      <c r="N52" s="2099"/>
      <c r="O52" s="215" t="s">
        <v>1793</v>
      </c>
      <c r="P52" s="339">
        <f>IF(L5="",0,IF(L5&gt;=S3,"DOI&gt;04",ROUND(J52*M52,2)))</f>
        <v>0</v>
      </c>
      <c r="R52" s="14"/>
      <c r="S52" s="14"/>
      <c r="T52" s="14"/>
      <c r="U52" s="183"/>
      <c r="V52" s="183"/>
      <c r="W52" s="184"/>
      <c r="X52" s="14"/>
      <c r="Y52" s="14"/>
      <c r="Z52" s="14"/>
      <c r="AA52" s="14"/>
      <c r="AB52" s="14"/>
      <c r="AC52" s="14"/>
      <c r="AD52" s="14"/>
      <c r="AE52" s="14"/>
      <c r="AF52" s="14"/>
      <c r="AG52" s="14"/>
    </row>
    <row r="53" spans="2:102" ht="18.75" customHeight="1" x14ac:dyDescent="0.2">
      <c r="B53" s="2100" t="str">
        <f>IF(OR(P53="DOI&gt;04",P53=0,C44=0,C45=0),"",IF(P46&gt;P52,S36,IF(P52&gt;=P46,S37,"")))</f>
        <v/>
      </c>
      <c r="C53" s="2100"/>
      <c r="D53" s="2100"/>
      <c r="E53" s="2100"/>
      <c r="F53" s="2100"/>
      <c r="G53" s="2100"/>
      <c r="H53" s="2100"/>
      <c r="I53" s="2100"/>
      <c r="J53" s="2100"/>
      <c r="K53" s="2100"/>
      <c r="L53" s="2100"/>
      <c r="M53" s="2100"/>
      <c r="N53" s="2100"/>
      <c r="O53" s="2100"/>
      <c r="P53" s="352">
        <f>IF(L5="",0,IF(L5&gt;=S3,"DOI&gt;04",MAX(P46,P52)))</f>
        <v>0</v>
      </c>
      <c r="R53" s="14"/>
      <c r="S53" s="14"/>
      <c r="T53" s="14"/>
      <c r="U53" s="14"/>
      <c r="V53" s="14"/>
      <c r="W53" s="14"/>
      <c r="X53" s="14"/>
      <c r="Y53" s="14"/>
      <c r="Z53" s="14"/>
      <c r="AA53" s="14"/>
      <c r="AB53" s="14"/>
      <c r="AC53" s="14"/>
      <c r="AD53" s="14"/>
      <c r="AE53" s="14"/>
      <c r="AF53" s="14"/>
      <c r="AG53" s="14"/>
    </row>
    <row r="54" spans="2:102" ht="27.75" customHeight="1" x14ac:dyDescent="0.2">
      <c r="B54" s="2078" t="s">
        <v>947</v>
      </c>
      <c r="C54" s="2079"/>
      <c r="D54" s="2079"/>
      <c r="E54" s="2079"/>
      <c r="F54" s="2079"/>
      <c r="G54" s="2079"/>
      <c r="H54" s="2079"/>
      <c r="I54" s="2079"/>
      <c r="J54" s="2079"/>
      <c r="K54" s="2079"/>
      <c r="L54" s="2079"/>
      <c r="M54" s="2079"/>
      <c r="N54" s="2079"/>
      <c r="O54" s="2079"/>
      <c r="P54" s="2080"/>
      <c r="R54" s="14"/>
      <c r="S54" s="14"/>
      <c r="T54" s="14"/>
      <c r="U54" s="14"/>
      <c r="V54" s="14"/>
      <c r="W54" s="14"/>
      <c r="X54" s="14"/>
      <c r="Y54" s="14"/>
      <c r="Z54" s="14"/>
      <c r="AA54" s="14"/>
      <c r="AB54" s="14"/>
      <c r="AC54" s="14"/>
      <c r="AD54" s="14"/>
      <c r="AE54" s="14"/>
      <c r="AF54" s="14"/>
      <c r="AG54" s="14"/>
    </row>
    <row r="55" spans="2:102" x14ac:dyDescent="0.2">
      <c r="B55" s="301" t="s">
        <v>790</v>
      </c>
      <c r="C55" s="1776" t="str">
        <f>IF(T4&lt;&gt;"",T4,"")</f>
        <v>Go to PPD Worksheet</v>
      </c>
      <c r="D55" s="1776"/>
      <c r="E55" s="1776"/>
      <c r="F55" s="1776"/>
      <c r="G55" s="1776"/>
      <c r="H55" s="1776"/>
      <c r="I55" s="1776" t="str">
        <f>IF(S4&lt;&gt;"",S4,"")</f>
        <v/>
      </c>
      <c r="J55" s="1776"/>
      <c r="K55" s="1776"/>
      <c r="L55" s="1776"/>
      <c r="M55" s="1776"/>
      <c r="N55" s="1776"/>
      <c r="O55" s="182"/>
      <c r="P55" s="189"/>
      <c r="R55" s="14"/>
      <c r="S55" s="14"/>
      <c r="T55" s="14"/>
      <c r="U55" s="14"/>
      <c r="V55" s="14"/>
      <c r="W55" s="14"/>
      <c r="X55" s="14"/>
      <c r="Y55" s="14"/>
      <c r="Z55" s="14"/>
      <c r="AA55" s="14"/>
      <c r="AB55" s="14"/>
      <c r="AC55" s="14"/>
      <c r="AD55" s="14"/>
      <c r="AE55" s="14"/>
      <c r="AF55" s="14"/>
      <c r="AG55" s="14"/>
    </row>
    <row r="56" spans="2:102" hidden="1" x14ac:dyDescent="0.2">
      <c r="B56" s="182"/>
      <c r="C56" s="179"/>
      <c r="D56" s="179"/>
      <c r="E56" s="179"/>
      <c r="F56" s="179"/>
      <c r="G56" s="179"/>
      <c r="H56" s="182"/>
      <c r="I56" s="182"/>
      <c r="J56" s="182"/>
      <c r="K56" s="182"/>
      <c r="L56" s="182"/>
      <c r="M56" s="182"/>
      <c r="N56" s="182"/>
      <c r="O56" s="182"/>
      <c r="P56" s="182"/>
      <c r="R56" s="14"/>
      <c r="S56" s="14"/>
      <c r="T56" s="14"/>
      <c r="U56" s="14"/>
      <c r="V56" s="14"/>
      <c r="W56" s="14"/>
      <c r="X56" s="14"/>
      <c r="Y56" s="14"/>
      <c r="Z56" s="14"/>
      <c r="AA56" s="14"/>
      <c r="AB56" s="14"/>
      <c r="AC56" s="14"/>
      <c r="AD56" s="14"/>
      <c r="AE56" s="14"/>
      <c r="AF56" s="14"/>
      <c r="AG56" s="14"/>
    </row>
    <row r="57" spans="2:102" hidden="1" x14ac:dyDescent="0.2">
      <c r="B57" s="182"/>
      <c r="C57" s="179"/>
      <c r="D57" s="179"/>
      <c r="E57" s="179"/>
      <c r="F57" s="179"/>
      <c r="G57" s="179"/>
      <c r="H57" s="182"/>
      <c r="I57" s="182"/>
      <c r="J57" s="182"/>
      <c r="K57" s="182"/>
      <c r="L57" s="182"/>
      <c r="M57" s="182"/>
      <c r="N57" s="182"/>
      <c r="O57" s="182"/>
      <c r="P57" s="182"/>
      <c r="R57" s="14"/>
      <c r="S57" s="14"/>
      <c r="T57" s="14"/>
      <c r="U57" s="14"/>
      <c r="V57" s="14"/>
      <c r="W57" s="14"/>
      <c r="X57" s="14"/>
      <c r="Y57" s="14"/>
      <c r="Z57" s="14"/>
      <c r="AA57" s="14"/>
      <c r="AB57" s="14"/>
      <c r="AC57" s="14"/>
      <c r="AD57" s="14"/>
      <c r="AE57" s="14"/>
      <c r="AF57" s="14"/>
      <c r="AG57" s="14"/>
    </row>
    <row r="58" spans="2:102" hidden="1" x14ac:dyDescent="0.2">
      <c r="B58" s="182"/>
      <c r="C58" s="179"/>
      <c r="D58" s="179"/>
      <c r="E58" s="179"/>
      <c r="F58" s="179"/>
      <c r="G58" s="179"/>
      <c r="H58" s="182"/>
      <c r="I58" s="182"/>
      <c r="J58" s="182"/>
      <c r="K58" s="182"/>
      <c r="L58" s="182"/>
      <c r="M58" s="182"/>
      <c r="N58" s="182"/>
      <c r="O58" s="182"/>
      <c r="P58" s="182"/>
      <c r="R58" s="14"/>
      <c r="S58" s="14"/>
      <c r="T58" s="14"/>
      <c r="U58" s="14"/>
      <c r="V58" s="14"/>
      <c r="W58" s="14"/>
      <c r="X58" s="14"/>
      <c r="Y58" s="14"/>
      <c r="Z58" s="14"/>
      <c r="AA58" s="14"/>
      <c r="AB58" s="14"/>
      <c r="AC58" s="14"/>
      <c r="AD58" s="14"/>
      <c r="AE58" s="14"/>
      <c r="AF58" s="14"/>
      <c r="AG58" s="14"/>
    </row>
    <row r="59" spans="2:102" hidden="1" x14ac:dyDescent="0.2">
      <c r="B59" s="182"/>
      <c r="C59" s="179"/>
      <c r="D59" s="179"/>
      <c r="E59" s="179"/>
      <c r="F59" s="179"/>
      <c r="G59" s="179"/>
      <c r="H59" s="182"/>
      <c r="I59" s="182"/>
      <c r="J59" s="182"/>
      <c r="K59" s="182"/>
      <c r="L59" s="182"/>
      <c r="M59" s="182"/>
      <c r="N59" s="182"/>
      <c r="O59" s="182"/>
      <c r="P59" s="182"/>
      <c r="R59" s="14"/>
      <c r="S59" s="14"/>
      <c r="T59" s="14"/>
      <c r="U59" s="14"/>
      <c r="V59" s="14"/>
      <c r="W59" s="14"/>
      <c r="X59" s="14"/>
      <c r="Y59" s="14"/>
      <c r="Z59" s="14"/>
      <c r="AA59" s="14"/>
      <c r="AB59" s="14"/>
      <c r="AC59" s="14"/>
      <c r="AD59" s="14"/>
      <c r="AE59" s="14"/>
      <c r="AF59" s="14"/>
      <c r="AG59" s="14"/>
    </row>
    <row r="60" spans="2:102" hidden="1" x14ac:dyDescent="0.2">
      <c r="B60" s="182"/>
      <c r="C60" s="179"/>
      <c r="D60" s="179"/>
      <c r="E60" s="179"/>
      <c r="F60" s="179"/>
      <c r="G60" s="179"/>
      <c r="H60" s="182"/>
      <c r="I60" s="182"/>
      <c r="J60" s="182"/>
      <c r="K60" s="182"/>
      <c r="L60" s="182"/>
      <c r="M60" s="182"/>
      <c r="N60" s="182"/>
      <c r="O60" s="182"/>
      <c r="P60" s="182"/>
      <c r="R60" s="14"/>
      <c r="S60" s="14"/>
      <c r="T60" s="14"/>
      <c r="U60" s="14"/>
      <c r="V60" s="14"/>
      <c r="W60" s="14"/>
      <c r="X60" s="14"/>
      <c r="Y60" s="14"/>
      <c r="Z60" s="14"/>
      <c r="AA60" s="14"/>
      <c r="AB60" s="14"/>
      <c r="AC60" s="14"/>
      <c r="AD60" s="14"/>
      <c r="AE60" s="14"/>
      <c r="AF60" s="14"/>
      <c r="AG60" s="14"/>
    </row>
    <row r="61" spans="2:102" ht="15.75" hidden="1" x14ac:dyDescent="0.25">
      <c r="B61" s="2133" t="s">
        <v>2317</v>
      </c>
      <c r="C61" s="2133"/>
      <c r="D61" s="2133"/>
      <c r="E61" s="2133"/>
      <c r="F61" s="2133"/>
      <c r="G61" s="2133"/>
      <c r="H61" s="2133"/>
      <c r="I61" s="2133"/>
      <c r="J61" s="2133"/>
      <c r="K61" s="2133"/>
      <c r="L61" s="2133"/>
      <c r="M61" s="2133"/>
      <c r="N61" s="2133"/>
      <c r="O61" s="2133"/>
      <c r="P61" s="2133"/>
      <c r="Q61" s="2133"/>
      <c r="R61" s="2133"/>
      <c r="S61" s="14"/>
      <c r="T61" s="14"/>
      <c r="U61" s="14"/>
      <c r="V61" s="14"/>
      <c r="W61" s="14"/>
      <c r="X61" s="14"/>
      <c r="Y61" s="14"/>
      <c r="Z61" s="14"/>
      <c r="AA61" s="14"/>
      <c r="AB61" s="14"/>
      <c r="AC61" s="14"/>
      <c r="AD61" s="14"/>
      <c r="AE61" s="14"/>
      <c r="AF61" s="14"/>
      <c r="AG61" s="14"/>
    </row>
    <row r="62" spans="2:102" hidden="1" x14ac:dyDescent="0.2">
      <c r="B62" s="691">
        <v>0</v>
      </c>
      <c r="C62" s="691">
        <v>1</v>
      </c>
      <c r="D62" s="1291">
        <v>2</v>
      </c>
      <c r="E62" s="1291">
        <v>3</v>
      </c>
      <c r="F62" s="691">
        <v>4</v>
      </c>
      <c r="G62" s="1291">
        <v>5</v>
      </c>
      <c r="H62" s="1291">
        <v>6</v>
      </c>
      <c r="I62" s="691">
        <v>7</v>
      </c>
      <c r="J62" s="1291">
        <v>8</v>
      </c>
      <c r="K62" s="1291">
        <v>9</v>
      </c>
      <c r="L62" s="691">
        <v>10</v>
      </c>
      <c r="M62" s="1291">
        <v>11</v>
      </c>
      <c r="N62" s="1291">
        <v>12</v>
      </c>
      <c r="O62" s="691">
        <v>13</v>
      </c>
      <c r="P62" s="1291">
        <v>14</v>
      </c>
      <c r="Q62" s="995">
        <v>15</v>
      </c>
      <c r="R62" s="1265">
        <v>16</v>
      </c>
      <c r="S62" s="1276">
        <v>17</v>
      </c>
      <c r="T62" s="1276">
        <v>18</v>
      </c>
      <c r="U62" s="1265">
        <v>19</v>
      </c>
      <c r="V62" s="1276">
        <v>20</v>
      </c>
      <c r="W62" s="1276">
        <v>21</v>
      </c>
      <c r="X62" s="1265">
        <v>22</v>
      </c>
      <c r="Y62" s="1276">
        <v>23</v>
      </c>
      <c r="Z62" s="1276">
        <v>24</v>
      </c>
      <c r="AA62" s="1265">
        <v>25</v>
      </c>
      <c r="AB62" s="1276">
        <v>26</v>
      </c>
      <c r="AC62" s="1276">
        <v>27</v>
      </c>
      <c r="AD62" s="1265">
        <v>28</v>
      </c>
      <c r="AE62" s="1276">
        <v>29</v>
      </c>
      <c r="AF62" s="1276">
        <v>30</v>
      </c>
      <c r="AG62" s="1265">
        <v>31</v>
      </c>
      <c r="AH62" s="995">
        <v>32</v>
      </c>
      <c r="AI62" s="995">
        <v>33</v>
      </c>
      <c r="AJ62" s="1272">
        <v>34</v>
      </c>
      <c r="AK62" s="995">
        <v>35</v>
      </c>
      <c r="AL62" s="995">
        <v>36</v>
      </c>
      <c r="AM62" s="1272">
        <v>37</v>
      </c>
      <c r="AN62" s="995">
        <v>38</v>
      </c>
      <c r="AO62" s="995">
        <v>39</v>
      </c>
      <c r="AP62" s="1272">
        <v>40</v>
      </c>
      <c r="AQ62" s="995">
        <v>41</v>
      </c>
      <c r="AR62" s="995">
        <v>42</v>
      </c>
      <c r="AS62" s="1272">
        <v>43</v>
      </c>
      <c r="AT62" s="995">
        <v>44</v>
      </c>
      <c r="AU62" s="995">
        <v>45</v>
      </c>
      <c r="AV62" s="1272">
        <v>46</v>
      </c>
      <c r="AW62" s="995">
        <v>47</v>
      </c>
      <c r="AX62" s="995">
        <v>48</v>
      </c>
      <c r="AY62" s="1272">
        <v>49</v>
      </c>
      <c r="AZ62" s="995">
        <v>50</v>
      </c>
      <c r="BA62" s="995">
        <v>51</v>
      </c>
      <c r="BB62" s="1272">
        <v>52</v>
      </c>
      <c r="BC62" s="995">
        <v>53</v>
      </c>
      <c r="BD62" s="995">
        <v>54</v>
      </c>
      <c r="BE62" s="1272">
        <v>55</v>
      </c>
      <c r="BF62" s="995">
        <v>56</v>
      </c>
      <c r="BG62" s="995">
        <v>57</v>
      </c>
      <c r="BH62" s="1272">
        <v>58</v>
      </c>
      <c r="BI62" s="995">
        <v>59</v>
      </c>
      <c r="BJ62" s="995">
        <v>60</v>
      </c>
      <c r="BK62" s="1272">
        <v>61</v>
      </c>
      <c r="BL62" s="995">
        <v>62</v>
      </c>
      <c r="BM62" s="995">
        <v>63</v>
      </c>
      <c r="BN62" s="1272">
        <v>64</v>
      </c>
      <c r="BO62" s="995">
        <v>65</v>
      </c>
      <c r="BP62" s="995">
        <v>66</v>
      </c>
      <c r="BQ62" s="1272">
        <v>67</v>
      </c>
      <c r="BR62" s="995">
        <v>68</v>
      </c>
      <c r="BS62" s="995">
        <v>69</v>
      </c>
      <c r="BT62" s="1272">
        <v>70</v>
      </c>
      <c r="BU62" s="995">
        <v>71</v>
      </c>
      <c r="BV62" s="995">
        <v>72</v>
      </c>
      <c r="BW62" s="1272">
        <v>73</v>
      </c>
      <c r="BX62" s="995">
        <v>74</v>
      </c>
      <c r="BY62" s="995">
        <v>75</v>
      </c>
      <c r="BZ62" s="1272">
        <v>76</v>
      </c>
      <c r="CA62" s="995">
        <v>77</v>
      </c>
      <c r="CB62" s="995">
        <v>78</v>
      </c>
      <c r="CC62" s="1272">
        <v>79</v>
      </c>
      <c r="CD62" s="995">
        <v>80</v>
      </c>
      <c r="CE62" s="995">
        <v>81</v>
      </c>
      <c r="CF62" s="1272">
        <v>82</v>
      </c>
      <c r="CG62" s="995">
        <v>83</v>
      </c>
      <c r="CH62" s="995">
        <v>84</v>
      </c>
      <c r="CI62" s="1272">
        <v>85</v>
      </c>
      <c r="CJ62" s="995">
        <v>86</v>
      </c>
      <c r="CK62" s="995">
        <v>87</v>
      </c>
      <c r="CL62" s="1272">
        <v>88</v>
      </c>
      <c r="CM62" s="995">
        <v>89</v>
      </c>
      <c r="CN62" s="995">
        <v>90</v>
      </c>
      <c r="CO62" s="1272">
        <v>91</v>
      </c>
      <c r="CP62" s="995">
        <v>92</v>
      </c>
      <c r="CQ62" s="995">
        <v>93</v>
      </c>
      <c r="CR62" s="1272">
        <v>94</v>
      </c>
      <c r="CS62" s="995">
        <v>95</v>
      </c>
      <c r="CT62" s="995">
        <v>96</v>
      </c>
      <c r="CU62" s="1272">
        <v>97</v>
      </c>
      <c r="CV62" s="995">
        <v>98</v>
      </c>
      <c r="CW62" s="995">
        <v>99</v>
      </c>
      <c r="CX62" s="1272">
        <v>100</v>
      </c>
    </row>
    <row r="63" spans="2:102" ht="15" hidden="1" x14ac:dyDescent="0.25">
      <c r="B63" s="181"/>
      <c r="C63" s="107"/>
      <c r="D63" s="107"/>
      <c r="E63" s="107"/>
      <c r="F63" s="107"/>
      <c r="G63" s="107"/>
      <c r="H63" s="182"/>
      <c r="I63" s="182"/>
      <c r="J63" s="182"/>
      <c r="K63" s="182"/>
      <c r="L63" s="182"/>
      <c r="M63" s="182"/>
      <c r="N63" s="182"/>
      <c r="O63" s="182"/>
      <c r="P63" s="182"/>
      <c r="R63" s="14"/>
      <c r="S63" s="14"/>
      <c r="T63" s="14"/>
      <c r="U63" s="14"/>
      <c r="V63" s="14"/>
      <c r="W63" s="14"/>
      <c r="X63" s="14"/>
      <c r="Y63" s="14"/>
      <c r="Z63" s="14"/>
      <c r="AA63" s="14"/>
      <c r="AB63" s="14"/>
      <c r="AC63" s="14"/>
      <c r="AD63" s="14"/>
      <c r="AE63" s="14"/>
      <c r="AF63" s="14"/>
      <c r="AG63" s="14"/>
    </row>
    <row r="64" spans="2:102" hidden="1" x14ac:dyDescent="0.2">
      <c r="B64" s="182"/>
      <c r="C64" s="107"/>
      <c r="D64" s="107"/>
      <c r="E64" s="107"/>
      <c r="F64" s="107"/>
      <c r="G64" s="107"/>
      <c r="H64" s="182"/>
      <c r="I64" s="182"/>
      <c r="J64" s="182"/>
      <c r="K64" s="182"/>
      <c r="L64" s="182"/>
      <c r="M64" s="182"/>
      <c r="N64" s="182"/>
      <c r="O64" s="182"/>
      <c r="P64" s="182"/>
      <c r="R64" s="14"/>
      <c r="S64" s="14"/>
      <c r="T64" s="14"/>
      <c r="U64" s="14"/>
      <c r="V64" s="14"/>
      <c r="W64" s="14"/>
      <c r="X64" s="14"/>
      <c r="Y64" s="14"/>
      <c r="Z64" s="14"/>
      <c r="AA64" s="14"/>
      <c r="AB64" s="14"/>
      <c r="AC64" s="14"/>
      <c r="AD64" s="14"/>
      <c r="AE64" s="14"/>
      <c r="AF64" s="14"/>
      <c r="AG64" s="14"/>
    </row>
    <row r="65" spans="2:33" hidden="1" x14ac:dyDescent="0.2">
      <c r="B65" s="182"/>
      <c r="C65" s="182"/>
      <c r="D65" s="182"/>
      <c r="E65" s="182"/>
      <c r="F65" s="182"/>
      <c r="G65" s="182"/>
      <c r="H65" s="182"/>
      <c r="I65" s="182"/>
      <c r="J65" s="182"/>
      <c r="K65" s="182"/>
      <c r="L65" s="182"/>
      <c r="M65" s="182"/>
      <c r="N65" s="182"/>
      <c r="O65" s="182"/>
      <c r="P65" s="182"/>
      <c r="R65" s="14"/>
      <c r="S65" s="14"/>
      <c r="T65" s="14"/>
      <c r="U65" s="14"/>
      <c r="V65" s="14"/>
      <c r="W65" s="14"/>
      <c r="X65" s="14"/>
      <c r="Y65" s="14"/>
      <c r="Z65" s="14"/>
      <c r="AA65" s="14"/>
      <c r="AB65" s="14"/>
      <c r="AC65" s="14"/>
      <c r="AD65" s="14"/>
      <c r="AE65" s="14"/>
      <c r="AF65" s="14"/>
      <c r="AG65" s="14"/>
    </row>
    <row r="66" spans="2:33" hidden="1" x14ac:dyDescent="0.2">
      <c r="B66" s="182"/>
      <c r="C66" s="182"/>
      <c r="D66" s="182"/>
      <c r="E66" s="182"/>
      <c r="F66" s="182"/>
      <c r="G66" s="182"/>
      <c r="H66" s="182"/>
      <c r="I66" s="182"/>
      <c r="J66" s="182"/>
      <c r="K66" s="182"/>
      <c r="L66" s="182"/>
      <c r="M66" s="182"/>
      <c r="N66" s="182"/>
      <c r="O66" s="182"/>
      <c r="R66" s="14"/>
      <c r="S66" s="14"/>
      <c r="T66" s="14"/>
      <c r="U66" s="14"/>
      <c r="V66" s="14"/>
      <c r="W66" s="14"/>
      <c r="X66" s="14"/>
      <c r="Y66" s="14"/>
      <c r="Z66" s="14"/>
      <c r="AA66" s="14"/>
      <c r="AB66" s="14"/>
      <c r="AC66" s="14"/>
      <c r="AD66" s="14"/>
      <c r="AE66" s="14"/>
      <c r="AF66" s="14"/>
      <c r="AG66" s="14"/>
    </row>
    <row r="67" spans="2:33" hidden="1" x14ac:dyDescent="0.2">
      <c r="B67" s="182"/>
      <c r="C67" s="182"/>
      <c r="D67" s="182"/>
      <c r="E67" s="182"/>
      <c r="F67" s="182"/>
      <c r="G67" s="182"/>
      <c r="H67" s="182"/>
      <c r="I67" s="182"/>
      <c r="J67" s="182"/>
      <c r="K67" s="182"/>
      <c r="L67" s="182"/>
      <c r="M67" s="182"/>
      <c r="N67" s="182"/>
      <c r="O67" s="182"/>
      <c r="P67" s="182"/>
      <c r="R67" s="14"/>
      <c r="S67" s="14"/>
      <c r="T67" s="14"/>
      <c r="U67" s="14"/>
      <c r="V67" s="14"/>
      <c r="W67" s="14"/>
      <c r="X67" s="14"/>
      <c r="Y67" s="14"/>
      <c r="Z67" s="14"/>
      <c r="AA67" s="14"/>
      <c r="AB67" s="14"/>
      <c r="AC67" s="14"/>
      <c r="AD67" s="14"/>
      <c r="AE67" s="14"/>
      <c r="AF67" s="14"/>
      <c r="AG67" s="14"/>
    </row>
    <row r="68" spans="2:33" hidden="1" x14ac:dyDescent="0.2">
      <c r="B68" s="182"/>
      <c r="C68" s="182"/>
      <c r="D68" s="182"/>
      <c r="E68" s="182"/>
      <c r="F68" s="182"/>
      <c r="G68" s="182"/>
      <c r="H68" s="182"/>
      <c r="I68" s="182"/>
      <c r="J68" s="182"/>
      <c r="K68" s="182"/>
      <c r="L68" s="182"/>
      <c r="M68" s="182"/>
      <c r="N68" s="182"/>
      <c r="O68" s="182"/>
      <c r="P68" s="182"/>
      <c r="R68" s="14"/>
      <c r="S68" s="14"/>
      <c r="T68" s="14"/>
      <c r="U68" s="14"/>
      <c r="V68" s="14"/>
      <c r="W68" s="14"/>
      <c r="X68" s="14"/>
      <c r="Y68" s="14"/>
      <c r="Z68" s="14"/>
      <c r="AA68" s="14"/>
      <c r="AB68" s="14"/>
      <c r="AC68" s="14"/>
      <c r="AD68" s="14"/>
      <c r="AE68" s="14"/>
      <c r="AF68" s="14"/>
      <c r="AG68" s="14"/>
    </row>
    <row r="69" spans="2:33" hidden="1" x14ac:dyDescent="0.2">
      <c r="B69" s="182"/>
      <c r="C69" s="182"/>
      <c r="D69" s="182"/>
      <c r="E69" s="182"/>
      <c r="F69" s="182"/>
      <c r="G69" s="182"/>
      <c r="H69" s="182"/>
      <c r="I69" s="182"/>
      <c r="J69" s="182"/>
      <c r="K69" s="182"/>
      <c r="L69" s="182"/>
      <c r="M69" s="182"/>
      <c r="N69" s="182"/>
      <c r="O69" s="182"/>
      <c r="P69" s="182"/>
      <c r="R69" s="14"/>
      <c r="S69" s="14"/>
      <c r="T69" s="14"/>
      <c r="U69" s="14"/>
      <c r="V69" s="14"/>
      <c r="W69" s="14"/>
      <c r="X69" s="14"/>
      <c r="Y69" s="14"/>
      <c r="Z69" s="14"/>
      <c r="AA69" s="14"/>
      <c r="AB69" s="14"/>
      <c r="AC69" s="14"/>
      <c r="AD69" s="14"/>
      <c r="AE69" s="14"/>
      <c r="AF69" s="14"/>
      <c r="AG69" s="14"/>
    </row>
    <row r="70" spans="2:33" x14ac:dyDescent="0.2">
      <c r="R70" s="14"/>
      <c r="S70" s="14"/>
      <c r="T70" s="14"/>
      <c r="U70" s="14"/>
      <c r="V70" s="14"/>
      <c r="W70" s="14"/>
      <c r="X70" s="14"/>
      <c r="Y70" s="14"/>
      <c r="Z70" s="14"/>
      <c r="AA70" s="14"/>
      <c r="AB70" s="14"/>
      <c r="AC70" s="14"/>
      <c r="AD70" s="14"/>
      <c r="AE70" s="14"/>
      <c r="AF70" s="14"/>
      <c r="AG70" s="14"/>
    </row>
    <row r="71" spans="2:33" x14ac:dyDescent="0.2">
      <c r="R71" s="14"/>
      <c r="S71" s="14"/>
      <c r="T71" s="14"/>
      <c r="U71" s="14"/>
      <c r="V71" s="14"/>
      <c r="W71" s="14"/>
      <c r="X71" s="14"/>
      <c r="Y71" s="14"/>
      <c r="Z71" s="14"/>
      <c r="AA71" s="14"/>
      <c r="AB71" s="14"/>
      <c r="AC71" s="14"/>
      <c r="AD71" s="14"/>
      <c r="AE71" s="14"/>
      <c r="AF71" s="14"/>
      <c r="AG71" s="14"/>
    </row>
    <row r="72" spans="2:33" x14ac:dyDescent="0.2">
      <c r="R72" s="14"/>
      <c r="S72" s="14"/>
      <c r="T72" s="14"/>
      <c r="U72" s="14"/>
      <c r="V72" s="14"/>
      <c r="W72" s="14"/>
      <c r="X72" s="14"/>
      <c r="Y72" s="14"/>
      <c r="Z72" s="14"/>
      <c r="AA72" s="14"/>
      <c r="AB72" s="14"/>
      <c r="AC72" s="14"/>
      <c r="AD72" s="14"/>
      <c r="AE72" s="14"/>
      <c r="AF72" s="14"/>
      <c r="AG72" s="14"/>
    </row>
    <row r="73" spans="2:33" x14ac:dyDescent="0.2">
      <c r="R73" s="14"/>
      <c r="S73" s="14"/>
      <c r="T73" s="14"/>
      <c r="U73" s="14"/>
      <c r="V73" s="14"/>
      <c r="W73" s="14"/>
      <c r="X73" s="14"/>
      <c r="Y73" s="14"/>
      <c r="Z73" s="14"/>
      <c r="AA73" s="14"/>
      <c r="AB73" s="14"/>
      <c r="AC73" s="14"/>
      <c r="AD73" s="14"/>
      <c r="AE73" s="14"/>
      <c r="AF73" s="14"/>
      <c r="AG73" s="14"/>
    </row>
    <row r="74" spans="2:33" x14ac:dyDescent="0.2">
      <c r="R74" s="14"/>
      <c r="S74" s="14"/>
      <c r="T74" s="14"/>
      <c r="U74" s="14"/>
      <c r="V74" s="14"/>
      <c r="W74" s="14"/>
      <c r="X74" s="14"/>
      <c r="Y74" s="14"/>
      <c r="Z74" s="14"/>
      <c r="AA74" s="14"/>
      <c r="AB74" s="14"/>
      <c r="AC74" s="14"/>
      <c r="AD74" s="14"/>
      <c r="AE74" s="14"/>
      <c r="AF74" s="14"/>
      <c r="AG74" s="14"/>
    </row>
    <row r="75" spans="2:33" x14ac:dyDescent="0.2">
      <c r="R75" s="14"/>
      <c r="S75" s="14"/>
      <c r="T75" s="14"/>
      <c r="U75" s="14"/>
      <c r="V75" s="14"/>
      <c r="W75" s="14"/>
      <c r="X75" s="14"/>
      <c r="Y75" s="14"/>
      <c r="Z75" s="14"/>
      <c r="AA75" s="14"/>
      <c r="AB75" s="14"/>
      <c r="AC75" s="14"/>
      <c r="AD75" s="14"/>
      <c r="AE75" s="14"/>
      <c r="AF75" s="14"/>
      <c r="AG75" s="14"/>
    </row>
    <row r="76" spans="2:33" x14ac:dyDescent="0.2">
      <c r="R76" s="14"/>
      <c r="S76" s="14"/>
      <c r="T76" s="14"/>
      <c r="U76" s="14"/>
      <c r="V76" s="14"/>
      <c r="W76" s="14"/>
      <c r="X76" s="14"/>
      <c r="Y76" s="14"/>
      <c r="Z76" s="14"/>
      <c r="AA76" s="14"/>
      <c r="AB76" s="14"/>
      <c r="AC76" s="14"/>
      <c r="AD76" s="14"/>
      <c r="AE76" s="14"/>
      <c r="AF76" s="14"/>
      <c r="AG76" s="14"/>
    </row>
    <row r="77" spans="2:33" x14ac:dyDescent="0.2">
      <c r="R77" s="14"/>
      <c r="S77" s="14"/>
      <c r="T77" s="14"/>
      <c r="U77" s="14"/>
      <c r="V77" s="14"/>
      <c r="W77" s="14"/>
      <c r="X77" s="14"/>
      <c r="Y77" s="14"/>
      <c r="Z77" s="14"/>
      <c r="AA77" s="14"/>
      <c r="AB77" s="14"/>
      <c r="AC77" s="14"/>
      <c r="AD77" s="14"/>
      <c r="AE77" s="14"/>
      <c r="AF77" s="14"/>
      <c r="AG77" s="14"/>
    </row>
    <row r="78" spans="2:33" x14ac:dyDescent="0.2">
      <c r="R78" s="14"/>
      <c r="S78" s="14"/>
      <c r="T78" s="191"/>
      <c r="U78" s="14"/>
      <c r="V78" s="14"/>
      <c r="W78" s="14"/>
      <c r="X78" s="14"/>
      <c r="Y78" s="14"/>
      <c r="Z78" s="14"/>
      <c r="AA78" s="14"/>
      <c r="AB78" s="14"/>
      <c r="AC78" s="14"/>
      <c r="AD78" s="14"/>
      <c r="AE78" s="14"/>
      <c r="AF78" s="14"/>
      <c r="AG78" s="14"/>
    </row>
    <row r="79" spans="2:33" x14ac:dyDescent="0.2">
      <c r="R79" s="14"/>
      <c r="S79" s="14"/>
      <c r="T79" s="14"/>
      <c r="U79" s="14"/>
      <c r="V79" s="14"/>
      <c r="W79" s="14"/>
      <c r="X79" s="14"/>
      <c r="Y79" s="14"/>
      <c r="Z79" s="14"/>
      <c r="AA79" s="14"/>
      <c r="AB79" s="14"/>
      <c r="AC79" s="14"/>
      <c r="AD79" s="14"/>
      <c r="AE79" s="14"/>
      <c r="AF79" s="14"/>
      <c r="AG79" s="14"/>
    </row>
    <row r="80" spans="2:33" x14ac:dyDescent="0.2">
      <c r="R80" s="14"/>
      <c r="S80" s="14"/>
      <c r="T80" s="14"/>
      <c r="U80" s="14"/>
      <c r="V80" s="14"/>
      <c r="W80" s="14"/>
      <c r="X80" s="14"/>
      <c r="Y80" s="14"/>
      <c r="Z80" s="14"/>
      <c r="AA80" s="14"/>
      <c r="AB80" s="14"/>
      <c r="AC80" s="14"/>
      <c r="AD80" s="14"/>
      <c r="AE80" s="14"/>
      <c r="AF80" s="14"/>
      <c r="AG80" s="14"/>
    </row>
    <row r="81" spans="18:33" x14ac:dyDescent="0.2">
      <c r="R81" s="14"/>
      <c r="S81" s="14"/>
      <c r="T81" s="14"/>
      <c r="U81" s="14"/>
      <c r="V81" s="14"/>
      <c r="W81" s="14"/>
      <c r="X81" s="14"/>
      <c r="Y81" s="14"/>
      <c r="Z81" s="14"/>
      <c r="AA81" s="14"/>
      <c r="AB81" s="14"/>
      <c r="AC81" s="14"/>
      <c r="AD81" s="14"/>
      <c r="AE81" s="14"/>
      <c r="AF81" s="14"/>
      <c r="AG81" s="14"/>
    </row>
    <row r="82" spans="18:33" x14ac:dyDescent="0.2">
      <c r="R82" s="14"/>
      <c r="S82" s="14"/>
      <c r="T82" s="14"/>
      <c r="U82" s="14"/>
      <c r="V82" s="14"/>
      <c r="W82" s="14"/>
      <c r="X82" s="14"/>
      <c r="Y82" s="14"/>
      <c r="Z82" s="14"/>
      <c r="AA82" s="14"/>
      <c r="AB82" s="14"/>
      <c r="AC82" s="14"/>
      <c r="AD82" s="14"/>
      <c r="AE82" s="14"/>
      <c r="AF82" s="14"/>
      <c r="AG82" s="14"/>
    </row>
    <row r="83" spans="18:33" x14ac:dyDescent="0.2">
      <c r="R83" s="14"/>
      <c r="S83" s="14"/>
      <c r="T83" s="14"/>
      <c r="U83" s="14"/>
      <c r="V83" s="14"/>
      <c r="W83" s="14"/>
      <c r="X83" s="14"/>
      <c r="Y83" s="14"/>
      <c r="Z83" s="14"/>
      <c r="AA83" s="14"/>
      <c r="AB83" s="14"/>
      <c r="AC83" s="14"/>
      <c r="AD83" s="14"/>
      <c r="AE83" s="14"/>
      <c r="AF83" s="14"/>
      <c r="AG83" s="14"/>
    </row>
    <row r="84" spans="18:33" x14ac:dyDescent="0.2">
      <c r="R84" s="14"/>
      <c r="S84" s="14"/>
      <c r="T84" s="14"/>
      <c r="U84" s="14"/>
      <c r="V84" s="14"/>
      <c r="W84" s="14"/>
      <c r="X84" s="14"/>
      <c r="Y84" s="14"/>
      <c r="Z84" s="14"/>
      <c r="AA84" s="14"/>
      <c r="AB84" s="14"/>
      <c r="AC84" s="14"/>
      <c r="AD84" s="14"/>
      <c r="AE84" s="14"/>
      <c r="AF84" s="14"/>
      <c r="AG84" s="14"/>
    </row>
    <row r="85" spans="18:33" x14ac:dyDescent="0.2">
      <c r="R85" s="14"/>
      <c r="S85" s="14"/>
      <c r="T85" s="14"/>
      <c r="U85" s="14"/>
      <c r="V85" s="14"/>
      <c r="W85" s="14"/>
      <c r="X85" s="14"/>
      <c r="Y85" s="14"/>
      <c r="Z85" s="14"/>
      <c r="AA85" s="14"/>
      <c r="AB85" s="14"/>
      <c r="AC85" s="14"/>
      <c r="AD85" s="14"/>
      <c r="AE85" s="14"/>
      <c r="AF85" s="14"/>
      <c r="AG85" s="14"/>
    </row>
    <row r="86" spans="18:33" x14ac:dyDescent="0.2">
      <c r="R86" s="14"/>
      <c r="S86" s="14"/>
      <c r="T86" s="14"/>
      <c r="U86" s="14"/>
      <c r="V86" s="14"/>
      <c r="W86" s="14"/>
      <c r="X86" s="14"/>
      <c r="Y86" s="14"/>
      <c r="Z86" s="14"/>
      <c r="AA86" s="14"/>
      <c r="AB86" s="14"/>
      <c r="AC86" s="14"/>
      <c r="AD86" s="14"/>
      <c r="AE86" s="14"/>
      <c r="AF86" s="14"/>
      <c r="AG86" s="14"/>
    </row>
    <row r="87" spans="18:33" x14ac:dyDescent="0.2">
      <c r="R87" s="14"/>
      <c r="S87" s="14"/>
      <c r="T87" s="14"/>
      <c r="U87" s="14"/>
      <c r="V87" s="14"/>
      <c r="W87" s="14"/>
      <c r="X87" s="14"/>
      <c r="Y87" s="14"/>
      <c r="Z87" s="14"/>
      <c r="AA87" s="14"/>
      <c r="AB87" s="14"/>
      <c r="AC87" s="14"/>
      <c r="AD87" s="14"/>
      <c r="AE87" s="14"/>
      <c r="AF87" s="14"/>
      <c r="AG87" s="14"/>
    </row>
    <row r="88" spans="18:33" x14ac:dyDescent="0.2">
      <c r="R88" s="14"/>
      <c r="S88" s="14"/>
      <c r="T88" s="14"/>
      <c r="U88" s="14"/>
      <c r="V88" s="14"/>
      <c r="W88" s="14"/>
      <c r="X88" s="14"/>
      <c r="Y88" s="14"/>
      <c r="Z88" s="14"/>
      <c r="AA88" s="14"/>
      <c r="AB88" s="14"/>
      <c r="AC88" s="14"/>
      <c r="AD88" s="14"/>
      <c r="AE88" s="14"/>
      <c r="AF88" s="14"/>
      <c r="AG88" s="14"/>
    </row>
    <row r="89" spans="18:33" x14ac:dyDescent="0.2">
      <c r="R89" s="14"/>
      <c r="S89" s="14"/>
      <c r="T89" s="14"/>
      <c r="U89" s="14"/>
      <c r="V89" s="14"/>
      <c r="W89" s="14"/>
      <c r="X89" s="14"/>
      <c r="Y89" s="14"/>
      <c r="Z89" s="14"/>
      <c r="AA89" s="14"/>
      <c r="AB89" s="14"/>
      <c r="AC89" s="14"/>
      <c r="AD89" s="14"/>
      <c r="AE89" s="14"/>
      <c r="AF89" s="14"/>
      <c r="AG89" s="14"/>
    </row>
    <row r="90" spans="18:33" x14ac:dyDescent="0.2">
      <c r="R90" s="14"/>
      <c r="S90" s="14"/>
      <c r="T90" s="14"/>
      <c r="U90" s="14"/>
      <c r="V90" s="14"/>
      <c r="W90" s="14"/>
      <c r="X90" s="14"/>
      <c r="Y90" s="14"/>
      <c r="Z90" s="14"/>
      <c r="AA90" s="14"/>
      <c r="AB90" s="14"/>
      <c r="AC90" s="14"/>
      <c r="AD90" s="14"/>
      <c r="AE90" s="14"/>
      <c r="AF90" s="14"/>
      <c r="AG90" s="14"/>
    </row>
    <row r="91" spans="18:33" x14ac:dyDescent="0.2">
      <c r="R91" s="14"/>
      <c r="S91" s="14"/>
      <c r="T91" s="14"/>
      <c r="U91" s="14"/>
      <c r="V91" s="14"/>
      <c r="W91" s="14"/>
      <c r="X91" s="14"/>
      <c r="Y91" s="14"/>
      <c r="Z91" s="14"/>
      <c r="AA91" s="14"/>
      <c r="AB91" s="14"/>
      <c r="AC91" s="14"/>
      <c r="AD91" s="14"/>
      <c r="AE91" s="14"/>
      <c r="AF91" s="14"/>
      <c r="AG91" s="14"/>
    </row>
    <row r="92" spans="18:33" x14ac:dyDescent="0.2">
      <c r="R92" s="14"/>
      <c r="S92" s="14"/>
      <c r="T92" s="14"/>
      <c r="U92" s="14"/>
      <c r="V92" s="14"/>
      <c r="W92" s="14"/>
      <c r="X92" s="14"/>
      <c r="Y92" s="14"/>
      <c r="Z92" s="14"/>
      <c r="AA92" s="14"/>
      <c r="AB92" s="14"/>
      <c r="AC92" s="14"/>
      <c r="AD92" s="14"/>
      <c r="AE92" s="14"/>
      <c r="AF92" s="14"/>
      <c r="AG92" s="14"/>
    </row>
    <row r="93" spans="18:33" x14ac:dyDescent="0.2">
      <c r="R93" s="14"/>
      <c r="S93" s="14"/>
      <c r="T93" s="14"/>
      <c r="U93" s="14"/>
      <c r="V93" s="14"/>
      <c r="W93" s="14"/>
      <c r="X93" s="14"/>
      <c r="Y93" s="14"/>
      <c r="Z93" s="14"/>
      <c r="AA93" s="14"/>
      <c r="AB93" s="14"/>
      <c r="AC93" s="14"/>
      <c r="AD93" s="14"/>
      <c r="AE93" s="14"/>
      <c r="AF93" s="14"/>
      <c r="AG93" s="14"/>
    </row>
    <row r="94" spans="18:33" x14ac:dyDescent="0.2">
      <c r="R94" s="14"/>
      <c r="S94" s="14"/>
      <c r="T94" s="14"/>
      <c r="U94" s="14"/>
      <c r="V94" s="14"/>
      <c r="W94" s="14"/>
      <c r="X94" s="14"/>
      <c r="Y94" s="14"/>
      <c r="Z94" s="14"/>
      <c r="AA94" s="14"/>
      <c r="AB94" s="14"/>
      <c r="AC94" s="14"/>
      <c r="AD94" s="14"/>
      <c r="AE94" s="14"/>
      <c r="AF94" s="14"/>
      <c r="AG94" s="14"/>
    </row>
    <row r="95" spans="18:33" x14ac:dyDescent="0.2">
      <c r="R95" s="14"/>
      <c r="S95" s="14"/>
      <c r="T95" s="14"/>
      <c r="U95" s="14"/>
      <c r="V95" s="14"/>
      <c r="W95" s="14"/>
      <c r="X95" s="14"/>
      <c r="Y95" s="14"/>
      <c r="Z95" s="14"/>
      <c r="AA95" s="14"/>
      <c r="AB95" s="14"/>
      <c r="AC95" s="14"/>
      <c r="AD95" s="14"/>
      <c r="AE95" s="14"/>
      <c r="AF95" s="14"/>
      <c r="AG95" s="14"/>
    </row>
    <row r="96" spans="18:33" x14ac:dyDescent="0.2">
      <c r="R96" s="14"/>
      <c r="S96" s="14"/>
      <c r="T96" s="14"/>
      <c r="U96" s="14"/>
      <c r="V96" s="14"/>
      <c r="W96" s="14"/>
      <c r="X96" s="14"/>
      <c r="Y96" s="14"/>
      <c r="Z96" s="14"/>
      <c r="AA96" s="14"/>
      <c r="AB96" s="14"/>
      <c r="AC96" s="14"/>
      <c r="AD96" s="14"/>
      <c r="AE96" s="14"/>
      <c r="AF96" s="14"/>
      <c r="AG96" s="14"/>
    </row>
    <row r="97" spans="18:33" x14ac:dyDescent="0.2">
      <c r="R97" s="14"/>
      <c r="S97" s="14"/>
      <c r="T97" s="14"/>
      <c r="U97" s="14"/>
      <c r="V97" s="14"/>
      <c r="W97" s="14"/>
      <c r="X97" s="14"/>
      <c r="Y97" s="14"/>
      <c r="Z97" s="14"/>
      <c r="AA97" s="14"/>
      <c r="AB97" s="14"/>
      <c r="AC97" s="14"/>
      <c r="AD97" s="14"/>
      <c r="AE97" s="14"/>
      <c r="AF97" s="14"/>
      <c r="AG97" s="14"/>
    </row>
    <row r="98" spans="18:33" x14ac:dyDescent="0.2">
      <c r="R98" s="14"/>
      <c r="S98" s="14"/>
      <c r="T98" s="14"/>
      <c r="U98" s="14"/>
      <c r="V98" s="14"/>
      <c r="W98" s="14"/>
      <c r="X98" s="14"/>
      <c r="Y98" s="14"/>
      <c r="Z98" s="14"/>
      <c r="AA98" s="14"/>
      <c r="AB98" s="14"/>
      <c r="AC98" s="14"/>
      <c r="AD98" s="14"/>
      <c r="AE98" s="14"/>
      <c r="AF98" s="14"/>
      <c r="AG98" s="14"/>
    </row>
    <row r="99" spans="18:33" x14ac:dyDescent="0.2">
      <c r="R99" s="14"/>
      <c r="S99" s="14"/>
      <c r="T99" s="14"/>
      <c r="U99" s="14"/>
      <c r="V99" s="14"/>
      <c r="W99" s="14"/>
      <c r="X99" s="14"/>
      <c r="Y99" s="14"/>
      <c r="Z99" s="14"/>
      <c r="AA99" s="14"/>
      <c r="AB99" s="14"/>
      <c r="AC99" s="14"/>
      <c r="AD99" s="14"/>
      <c r="AE99" s="14"/>
      <c r="AF99" s="14"/>
      <c r="AG99" s="14"/>
    </row>
    <row r="100" spans="18:33" x14ac:dyDescent="0.2">
      <c r="R100" s="14"/>
      <c r="S100" s="14"/>
      <c r="T100" s="14"/>
      <c r="U100" s="14"/>
      <c r="V100" s="14"/>
      <c r="W100" s="14"/>
      <c r="X100" s="14"/>
      <c r="Y100" s="14"/>
      <c r="Z100" s="14"/>
      <c r="AA100" s="14"/>
      <c r="AB100" s="14"/>
      <c r="AC100" s="14"/>
      <c r="AD100" s="14"/>
      <c r="AE100" s="14"/>
      <c r="AF100" s="14"/>
      <c r="AG100" s="14"/>
    </row>
    <row r="101" spans="18:33" x14ac:dyDescent="0.2">
      <c r="R101" s="14"/>
      <c r="S101" s="14"/>
      <c r="T101" s="14"/>
      <c r="U101" s="14"/>
      <c r="V101" s="14"/>
      <c r="W101" s="14"/>
      <c r="X101" s="14"/>
      <c r="Y101" s="14"/>
      <c r="Z101" s="14"/>
      <c r="AA101" s="14"/>
      <c r="AB101" s="14"/>
      <c r="AC101" s="14"/>
      <c r="AD101" s="14"/>
      <c r="AE101" s="14"/>
      <c r="AF101" s="14"/>
      <c r="AG101" s="14"/>
    </row>
    <row r="102" spans="18:33" x14ac:dyDescent="0.2">
      <c r="R102" s="14"/>
      <c r="S102" s="14"/>
      <c r="T102" s="14"/>
      <c r="U102" s="14"/>
      <c r="V102" s="14"/>
      <c r="W102" s="14"/>
      <c r="X102" s="14"/>
      <c r="Y102" s="14"/>
      <c r="Z102" s="14"/>
      <c r="AA102" s="14"/>
      <c r="AB102" s="14"/>
      <c r="AC102" s="14"/>
      <c r="AD102" s="14"/>
      <c r="AE102" s="14"/>
      <c r="AF102" s="14"/>
      <c r="AG102" s="14"/>
    </row>
    <row r="103" spans="18:33" x14ac:dyDescent="0.2">
      <c r="R103" s="14"/>
      <c r="S103" s="14"/>
      <c r="T103" s="14"/>
      <c r="U103" s="14"/>
      <c r="V103" s="14"/>
      <c r="W103" s="14"/>
      <c r="X103" s="14"/>
      <c r="Y103" s="14"/>
      <c r="Z103" s="14"/>
      <c r="AA103" s="14"/>
      <c r="AB103" s="14"/>
      <c r="AC103" s="14"/>
      <c r="AD103" s="14"/>
      <c r="AE103" s="14"/>
      <c r="AF103" s="14"/>
      <c r="AG103" s="14"/>
    </row>
    <row r="104" spans="18:33" x14ac:dyDescent="0.2">
      <c r="R104" s="14"/>
      <c r="S104" s="14"/>
      <c r="T104" s="14"/>
      <c r="U104" s="14"/>
      <c r="V104" s="14"/>
      <c r="W104" s="14"/>
      <c r="X104" s="14"/>
      <c r="Y104" s="14"/>
      <c r="Z104" s="14"/>
      <c r="AA104" s="14"/>
      <c r="AB104" s="14"/>
      <c r="AC104" s="14"/>
      <c r="AD104" s="14"/>
      <c r="AE104" s="14"/>
      <c r="AF104" s="14"/>
      <c r="AG104" s="14"/>
    </row>
    <row r="105" spans="18:33" x14ac:dyDescent="0.2">
      <c r="R105" s="14"/>
      <c r="S105" s="14"/>
      <c r="T105" s="14"/>
      <c r="U105" s="14"/>
      <c r="V105" s="14"/>
      <c r="W105" s="14"/>
      <c r="X105" s="14"/>
      <c r="Y105" s="14"/>
      <c r="Z105" s="14"/>
      <c r="AA105" s="14"/>
      <c r="AB105" s="14"/>
      <c r="AC105" s="14"/>
      <c r="AD105" s="14"/>
      <c r="AE105" s="14"/>
      <c r="AF105" s="14"/>
      <c r="AG105" s="14"/>
    </row>
    <row r="106" spans="18:33" x14ac:dyDescent="0.2">
      <c r="R106" s="14"/>
      <c r="S106" s="14"/>
      <c r="T106" s="14"/>
      <c r="U106" s="14"/>
      <c r="V106" s="14"/>
      <c r="W106" s="14"/>
      <c r="X106" s="14"/>
      <c r="Y106" s="14"/>
      <c r="Z106" s="14"/>
      <c r="AA106" s="14"/>
      <c r="AB106" s="14"/>
      <c r="AC106" s="14"/>
      <c r="AD106" s="14"/>
      <c r="AE106" s="14"/>
      <c r="AF106" s="14"/>
      <c r="AG106" s="14"/>
    </row>
    <row r="107" spans="18:33" x14ac:dyDescent="0.2">
      <c r="R107" s="14"/>
      <c r="S107" s="14"/>
      <c r="T107" s="14"/>
      <c r="U107" s="14"/>
      <c r="V107" s="14"/>
      <c r="W107" s="14"/>
      <c r="X107" s="14"/>
      <c r="Y107" s="14"/>
      <c r="Z107" s="14"/>
      <c r="AA107" s="14"/>
      <c r="AB107" s="14"/>
      <c r="AC107" s="14"/>
      <c r="AD107" s="14"/>
      <c r="AE107" s="14"/>
      <c r="AF107" s="14"/>
      <c r="AG107" s="14"/>
    </row>
    <row r="108" spans="18:33" x14ac:dyDescent="0.2">
      <c r="R108" s="14"/>
      <c r="S108" s="14"/>
      <c r="T108" s="14"/>
      <c r="U108" s="14"/>
      <c r="V108" s="14"/>
      <c r="W108" s="14"/>
      <c r="X108" s="14"/>
      <c r="Y108" s="14"/>
      <c r="Z108" s="14"/>
      <c r="AA108" s="14"/>
      <c r="AB108" s="14"/>
      <c r="AC108" s="14"/>
      <c r="AD108" s="14"/>
      <c r="AE108" s="14"/>
      <c r="AF108" s="14"/>
      <c r="AG108" s="14"/>
    </row>
    <row r="109" spans="18:33" x14ac:dyDescent="0.2">
      <c r="R109" s="14"/>
      <c r="S109" s="14"/>
      <c r="T109" s="14"/>
      <c r="U109" s="14"/>
      <c r="V109" s="14"/>
      <c r="W109" s="14"/>
      <c r="X109" s="14"/>
      <c r="Y109" s="14"/>
      <c r="Z109" s="14"/>
      <c r="AA109" s="14"/>
      <c r="AB109" s="14"/>
      <c r="AC109" s="14"/>
      <c r="AD109" s="14"/>
      <c r="AE109" s="14"/>
      <c r="AF109" s="14"/>
      <c r="AG109" s="14"/>
    </row>
    <row r="110" spans="18:33" x14ac:dyDescent="0.2">
      <c r="R110" s="14"/>
      <c r="S110" s="14"/>
      <c r="T110" s="14"/>
      <c r="U110" s="14"/>
      <c r="V110" s="14"/>
      <c r="W110" s="14"/>
      <c r="X110" s="14"/>
      <c r="Y110" s="14"/>
      <c r="Z110" s="14"/>
      <c r="AA110" s="14"/>
      <c r="AB110" s="14"/>
      <c r="AC110" s="14"/>
      <c r="AD110" s="14"/>
      <c r="AE110" s="14"/>
      <c r="AF110" s="14"/>
      <c r="AG110" s="14"/>
    </row>
    <row r="111" spans="18:33" x14ac:dyDescent="0.2">
      <c r="R111" s="14"/>
      <c r="S111" s="14"/>
      <c r="T111" s="14"/>
      <c r="U111" s="14"/>
      <c r="V111" s="14"/>
      <c r="W111" s="14"/>
      <c r="X111" s="14"/>
      <c r="Y111" s="14"/>
      <c r="Z111" s="14"/>
      <c r="AA111" s="14"/>
      <c r="AB111" s="14"/>
      <c r="AC111" s="14"/>
      <c r="AD111" s="14"/>
      <c r="AE111" s="14"/>
      <c r="AF111" s="14"/>
      <c r="AG111" s="14"/>
    </row>
    <row r="112" spans="18:33" x14ac:dyDescent="0.2">
      <c r="R112" s="14"/>
      <c r="S112" s="14"/>
      <c r="T112" s="14"/>
      <c r="U112" s="14"/>
      <c r="V112" s="14"/>
      <c r="W112" s="14"/>
      <c r="X112" s="14"/>
      <c r="Y112" s="14"/>
      <c r="Z112" s="14"/>
      <c r="AA112" s="14"/>
      <c r="AB112" s="14"/>
      <c r="AC112" s="14"/>
      <c r="AD112" s="14"/>
      <c r="AE112" s="14"/>
      <c r="AF112" s="14"/>
      <c r="AG112" s="14"/>
    </row>
    <row r="113" spans="18:33" x14ac:dyDescent="0.2">
      <c r="R113" s="14"/>
      <c r="S113" s="14"/>
      <c r="T113" s="14"/>
      <c r="U113" s="14"/>
      <c r="V113" s="14"/>
      <c r="W113" s="14"/>
      <c r="X113" s="14"/>
      <c r="Y113" s="14"/>
      <c r="Z113" s="14"/>
      <c r="AA113" s="14"/>
      <c r="AB113" s="14"/>
      <c r="AC113" s="14"/>
      <c r="AD113" s="14"/>
      <c r="AE113" s="14"/>
      <c r="AF113" s="14"/>
      <c r="AG113" s="14"/>
    </row>
    <row r="114" spans="18:33" x14ac:dyDescent="0.2">
      <c r="R114" s="14"/>
      <c r="S114" s="14"/>
      <c r="T114" s="14"/>
      <c r="U114" s="14"/>
      <c r="V114" s="14"/>
      <c r="W114" s="14"/>
      <c r="X114" s="14"/>
      <c r="Y114" s="14"/>
      <c r="Z114" s="14"/>
      <c r="AA114" s="14"/>
      <c r="AB114" s="14"/>
      <c r="AC114" s="14"/>
      <c r="AD114" s="14"/>
      <c r="AE114" s="14"/>
      <c r="AF114" s="14"/>
      <c r="AG114" s="14"/>
    </row>
    <row r="115" spans="18:33" x14ac:dyDescent="0.2">
      <c r="R115" s="14"/>
      <c r="S115" s="14"/>
      <c r="T115" s="14"/>
      <c r="U115" s="14"/>
      <c r="V115" s="14"/>
      <c r="W115" s="14"/>
      <c r="X115" s="14"/>
      <c r="Y115" s="14"/>
      <c r="Z115" s="14"/>
      <c r="AA115" s="14"/>
      <c r="AB115" s="14"/>
      <c r="AC115" s="14"/>
      <c r="AD115" s="14"/>
      <c r="AE115" s="14"/>
      <c r="AF115" s="14"/>
      <c r="AG115" s="14"/>
    </row>
    <row r="116" spans="18:33" x14ac:dyDescent="0.2">
      <c r="R116" s="14"/>
      <c r="S116" s="14"/>
      <c r="T116" s="14"/>
      <c r="U116" s="14"/>
      <c r="V116" s="14"/>
      <c r="W116" s="14"/>
      <c r="X116" s="14"/>
      <c r="Y116" s="14"/>
      <c r="Z116" s="14"/>
      <c r="AA116" s="14"/>
      <c r="AB116" s="14"/>
      <c r="AC116" s="14"/>
      <c r="AD116" s="14"/>
      <c r="AE116" s="14"/>
      <c r="AF116" s="14"/>
      <c r="AG116" s="14"/>
    </row>
    <row r="117" spans="18:33" x14ac:dyDescent="0.2">
      <c r="R117" s="14"/>
      <c r="S117" s="14"/>
      <c r="T117" s="14"/>
      <c r="U117" s="14"/>
      <c r="V117" s="14"/>
      <c r="W117" s="14"/>
      <c r="X117" s="14"/>
      <c r="Y117" s="14"/>
      <c r="Z117" s="14"/>
      <c r="AA117" s="14"/>
      <c r="AB117" s="14"/>
      <c r="AC117" s="14"/>
      <c r="AD117" s="14"/>
      <c r="AE117" s="14"/>
      <c r="AF117" s="14"/>
      <c r="AG117" s="14"/>
    </row>
    <row r="118" spans="18:33" x14ac:dyDescent="0.2">
      <c r="R118" s="14"/>
      <c r="S118" s="14"/>
      <c r="T118" s="14"/>
      <c r="U118" s="14"/>
      <c r="V118" s="14"/>
      <c r="W118" s="14"/>
      <c r="X118" s="14"/>
      <c r="Y118" s="14"/>
      <c r="Z118" s="14"/>
      <c r="AA118" s="14"/>
      <c r="AB118" s="14"/>
      <c r="AC118" s="14"/>
      <c r="AD118" s="14"/>
      <c r="AE118" s="14"/>
      <c r="AF118" s="14"/>
      <c r="AG118" s="14"/>
    </row>
    <row r="119" spans="18:33" x14ac:dyDescent="0.2">
      <c r="R119" s="14"/>
      <c r="S119" s="14"/>
      <c r="T119" s="14"/>
      <c r="U119" s="14"/>
      <c r="V119" s="14"/>
      <c r="W119" s="14"/>
      <c r="X119" s="14"/>
      <c r="Y119" s="14"/>
      <c r="Z119" s="14"/>
      <c r="AA119" s="14"/>
      <c r="AB119" s="14"/>
      <c r="AC119" s="14"/>
      <c r="AD119" s="14"/>
      <c r="AE119" s="14"/>
      <c r="AF119" s="14"/>
      <c r="AG119" s="14"/>
    </row>
    <row r="120" spans="18:33" x14ac:dyDescent="0.2">
      <c r="R120" s="14"/>
      <c r="S120" s="14"/>
      <c r="T120" s="14"/>
      <c r="U120" s="14"/>
      <c r="V120" s="14"/>
      <c r="W120" s="14"/>
      <c r="X120" s="14"/>
      <c r="Y120" s="14"/>
      <c r="Z120" s="14"/>
      <c r="AA120" s="14"/>
      <c r="AB120" s="14"/>
      <c r="AC120" s="14"/>
      <c r="AD120" s="14"/>
      <c r="AE120" s="14"/>
      <c r="AF120" s="14"/>
      <c r="AG120" s="14"/>
    </row>
    <row r="121" spans="18:33" x14ac:dyDescent="0.2">
      <c r="R121" s="14"/>
      <c r="S121" s="14"/>
      <c r="T121" s="14"/>
      <c r="U121" s="14"/>
      <c r="V121" s="14"/>
      <c r="W121" s="14"/>
      <c r="X121" s="14"/>
      <c r="Y121" s="14"/>
      <c r="Z121" s="14"/>
      <c r="AA121" s="14"/>
      <c r="AB121" s="14"/>
      <c r="AC121" s="14"/>
      <c r="AD121" s="14"/>
      <c r="AE121" s="14"/>
      <c r="AF121" s="14"/>
      <c r="AG121" s="14"/>
    </row>
    <row r="122" spans="18:33" x14ac:dyDescent="0.2">
      <c r="R122" s="14"/>
      <c r="S122" s="14"/>
      <c r="T122" s="14"/>
      <c r="U122" s="14"/>
      <c r="V122" s="14"/>
      <c r="W122" s="14"/>
      <c r="X122" s="14"/>
      <c r="Y122" s="14"/>
      <c r="Z122" s="14"/>
      <c r="AA122" s="14"/>
      <c r="AB122" s="14"/>
      <c r="AC122" s="14"/>
      <c r="AD122" s="14"/>
      <c r="AE122" s="14"/>
      <c r="AF122" s="14"/>
      <c r="AG122" s="14"/>
    </row>
    <row r="123" spans="18:33" x14ac:dyDescent="0.2">
      <c r="R123" s="14"/>
      <c r="S123" s="14"/>
      <c r="T123" s="14"/>
      <c r="U123" s="14"/>
      <c r="V123" s="14"/>
      <c r="W123" s="14"/>
      <c r="X123" s="14"/>
      <c r="Y123" s="14"/>
      <c r="Z123" s="14"/>
      <c r="AA123" s="14"/>
      <c r="AB123" s="14"/>
      <c r="AC123" s="14"/>
      <c r="AD123" s="14"/>
      <c r="AE123" s="14"/>
      <c r="AF123" s="14"/>
      <c r="AG123" s="14"/>
    </row>
    <row r="124" spans="18:33" x14ac:dyDescent="0.2">
      <c r="R124" s="14"/>
      <c r="S124" s="14"/>
      <c r="T124" s="14"/>
      <c r="U124" s="14"/>
      <c r="V124" s="14"/>
      <c r="W124" s="14"/>
      <c r="X124" s="14"/>
      <c r="Y124" s="14"/>
      <c r="Z124" s="14"/>
      <c r="AA124" s="14"/>
      <c r="AB124" s="14"/>
      <c r="AC124" s="14"/>
      <c r="AD124" s="14"/>
      <c r="AE124" s="14"/>
      <c r="AF124" s="14"/>
      <c r="AG124" s="14"/>
    </row>
    <row r="125" spans="18:33" x14ac:dyDescent="0.2">
      <c r="R125" s="14"/>
      <c r="S125" s="14"/>
      <c r="T125" s="14"/>
      <c r="U125" s="14"/>
      <c r="V125" s="14"/>
      <c r="W125" s="14"/>
      <c r="X125" s="14"/>
      <c r="Y125" s="14"/>
      <c r="Z125" s="14"/>
      <c r="AA125" s="14"/>
      <c r="AB125" s="14"/>
      <c r="AC125" s="14"/>
      <c r="AD125" s="14"/>
      <c r="AE125" s="14"/>
      <c r="AF125" s="14"/>
      <c r="AG125" s="14"/>
    </row>
    <row r="126" spans="18:33" x14ac:dyDescent="0.2">
      <c r="R126" s="14"/>
      <c r="S126" s="14"/>
      <c r="T126" s="14"/>
      <c r="U126" s="14"/>
      <c r="V126" s="14"/>
      <c r="W126" s="14"/>
      <c r="X126" s="14"/>
      <c r="Y126" s="14"/>
      <c r="Z126" s="14"/>
      <c r="AA126" s="14"/>
      <c r="AB126" s="14"/>
      <c r="AC126" s="14"/>
      <c r="AD126" s="14"/>
      <c r="AE126" s="14"/>
      <c r="AF126" s="14"/>
      <c r="AG126" s="14"/>
    </row>
    <row r="127" spans="18:33" x14ac:dyDescent="0.2">
      <c r="R127" s="14"/>
      <c r="S127" s="14"/>
      <c r="T127" s="14"/>
      <c r="U127" s="14"/>
      <c r="V127" s="14"/>
      <c r="W127" s="14"/>
      <c r="X127" s="14"/>
      <c r="Y127" s="14"/>
      <c r="Z127" s="14"/>
      <c r="AA127" s="14"/>
      <c r="AB127" s="14"/>
      <c r="AC127" s="14"/>
      <c r="AD127" s="14"/>
      <c r="AE127" s="14"/>
      <c r="AF127" s="14"/>
      <c r="AG127" s="14"/>
    </row>
    <row r="128" spans="18:33" x14ac:dyDescent="0.2">
      <c r="R128" s="14"/>
      <c r="S128" s="14"/>
      <c r="T128" s="14"/>
      <c r="U128" s="14"/>
      <c r="V128" s="14"/>
      <c r="W128" s="14"/>
      <c r="X128" s="14"/>
      <c r="Y128" s="14"/>
      <c r="Z128" s="14"/>
      <c r="AA128" s="14"/>
      <c r="AB128" s="14"/>
      <c r="AC128" s="14"/>
      <c r="AD128" s="14"/>
      <c r="AE128" s="14"/>
      <c r="AF128" s="14"/>
      <c r="AG128" s="14"/>
    </row>
    <row r="129" spans="18:33" x14ac:dyDescent="0.2">
      <c r="R129" s="14"/>
      <c r="S129" s="14"/>
      <c r="T129" s="14"/>
      <c r="U129" s="14"/>
      <c r="V129" s="14"/>
      <c r="W129" s="14"/>
      <c r="X129" s="14"/>
      <c r="Y129" s="14"/>
      <c r="Z129" s="14"/>
      <c r="AA129" s="14"/>
      <c r="AB129" s="14"/>
      <c r="AC129" s="14"/>
      <c r="AD129" s="14"/>
      <c r="AE129" s="14"/>
      <c r="AF129" s="14"/>
      <c r="AG129" s="14"/>
    </row>
    <row r="130" spans="18:33" x14ac:dyDescent="0.2">
      <c r="R130" s="14"/>
      <c r="S130" s="14"/>
      <c r="T130" s="14"/>
      <c r="U130" s="14"/>
      <c r="V130" s="14"/>
      <c r="W130" s="14"/>
      <c r="X130" s="14"/>
      <c r="Y130" s="14"/>
      <c r="Z130" s="14"/>
      <c r="AA130" s="14"/>
      <c r="AB130" s="14"/>
      <c r="AC130" s="14"/>
      <c r="AD130" s="14"/>
      <c r="AE130" s="14"/>
      <c r="AF130" s="14"/>
      <c r="AG130" s="14"/>
    </row>
    <row r="131" spans="18:33" x14ac:dyDescent="0.2">
      <c r="R131" s="14"/>
      <c r="S131" s="14"/>
      <c r="T131" s="14"/>
      <c r="U131" s="14"/>
      <c r="V131" s="14"/>
      <c r="W131" s="14"/>
      <c r="X131" s="14"/>
      <c r="Y131" s="14"/>
      <c r="Z131" s="14"/>
      <c r="AA131" s="14"/>
      <c r="AB131" s="14"/>
      <c r="AC131" s="14"/>
      <c r="AD131" s="14"/>
      <c r="AE131" s="14"/>
      <c r="AF131" s="14"/>
      <c r="AG131" s="14"/>
    </row>
    <row r="132" spans="18:33" x14ac:dyDescent="0.2">
      <c r="R132" s="14"/>
      <c r="S132" s="14"/>
      <c r="T132" s="14"/>
      <c r="U132" s="14"/>
      <c r="V132" s="14"/>
      <c r="W132" s="14"/>
      <c r="X132" s="14"/>
      <c r="Y132" s="14"/>
      <c r="Z132" s="14"/>
      <c r="AA132" s="14"/>
      <c r="AB132" s="14"/>
      <c r="AC132" s="14"/>
      <c r="AD132" s="14"/>
      <c r="AE132" s="14"/>
      <c r="AF132" s="14"/>
      <c r="AG132" s="14"/>
    </row>
    <row r="133" spans="18:33" x14ac:dyDescent="0.2">
      <c r="R133" s="14"/>
      <c r="S133" s="14"/>
      <c r="T133" s="14"/>
      <c r="U133" s="14"/>
      <c r="V133" s="14"/>
      <c r="W133" s="14"/>
      <c r="X133" s="14"/>
      <c r="Y133" s="14"/>
      <c r="Z133" s="14"/>
      <c r="AA133" s="14"/>
      <c r="AB133" s="14"/>
      <c r="AC133" s="14"/>
      <c r="AD133" s="14"/>
      <c r="AE133" s="14"/>
      <c r="AF133" s="14"/>
      <c r="AG133" s="14"/>
    </row>
    <row r="134" spans="18:33" x14ac:dyDescent="0.2">
      <c r="R134" s="14"/>
      <c r="S134" s="14"/>
      <c r="T134" s="14"/>
      <c r="U134" s="14"/>
      <c r="V134" s="14"/>
      <c r="W134" s="14"/>
      <c r="X134" s="14"/>
      <c r="Y134" s="14"/>
      <c r="Z134" s="14"/>
      <c r="AA134" s="14"/>
      <c r="AB134" s="14"/>
      <c r="AC134" s="14"/>
      <c r="AD134" s="14"/>
      <c r="AE134" s="14"/>
      <c r="AF134" s="14"/>
      <c r="AG134" s="14"/>
    </row>
    <row r="135" spans="18:33" x14ac:dyDescent="0.2">
      <c r="R135" s="14"/>
      <c r="S135" s="14"/>
      <c r="T135" s="14"/>
      <c r="U135" s="14"/>
      <c r="V135" s="14"/>
      <c r="W135" s="14"/>
      <c r="X135" s="14"/>
      <c r="Y135" s="14"/>
      <c r="Z135" s="14"/>
      <c r="AA135" s="14"/>
      <c r="AB135" s="14"/>
      <c r="AC135" s="14"/>
      <c r="AD135" s="14"/>
      <c r="AE135" s="14"/>
      <c r="AF135" s="14"/>
      <c r="AG135" s="14"/>
    </row>
    <row r="136" spans="18:33" x14ac:dyDescent="0.2">
      <c r="R136" s="14"/>
      <c r="S136" s="14"/>
      <c r="T136" s="14"/>
      <c r="U136" s="14"/>
      <c r="V136" s="14"/>
      <c r="W136" s="14"/>
      <c r="X136" s="14"/>
      <c r="Y136" s="14"/>
      <c r="Z136" s="14"/>
      <c r="AA136" s="14"/>
      <c r="AB136" s="14"/>
      <c r="AC136" s="14"/>
      <c r="AD136" s="14"/>
      <c r="AE136" s="14"/>
      <c r="AF136" s="14"/>
      <c r="AG136" s="14"/>
    </row>
    <row r="137" spans="18:33" x14ac:dyDescent="0.2">
      <c r="R137" s="14"/>
      <c r="S137" s="14"/>
      <c r="T137" s="14"/>
      <c r="U137" s="14"/>
      <c r="V137" s="14"/>
      <c r="W137" s="14"/>
      <c r="X137" s="14"/>
      <c r="Y137" s="14"/>
      <c r="Z137" s="14"/>
      <c r="AA137" s="14"/>
      <c r="AB137" s="14"/>
      <c r="AC137" s="14"/>
      <c r="AD137" s="14"/>
      <c r="AE137" s="14"/>
      <c r="AF137" s="14"/>
      <c r="AG137" s="14"/>
    </row>
    <row r="138" spans="18:33" x14ac:dyDescent="0.2">
      <c r="R138" s="14"/>
      <c r="S138" s="14"/>
      <c r="T138" s="14"/>
      <c r="U138" s="14"/>
      <c r="V138" s="14"/>
      <c r="W138" s="14"/>
      <c r="X138" s="14"/>
      <c r="Y138" s="14"/>
      <c r="Z138" s="14"/>
      <c r="AA138" s="14"/>
      <c r="AB138" s="14"/>
      <c r="AC138" s="14"/>
      <c r="AD138" s="14"/>
      <c r="AE138" s="14"/>
      <c r="AF138" s="14"/>
      <c r="AG138" s="14"/>
    </row>
    <row r="139" spans="18:33" x14ac:dyDescent="0.2">
      <c r="R139" s="14"/>
      <c r="S139" s="14"/>
      <c r="T139" s="14"/>
      <c r="U139" s="14"/>
      <c r="V139" s="14"/>
      <c r="W139" s="14"/>
      <c r="X139" s="14"/>
      <c r="Y139" s="14"/>
      <c r="Z139" s="14"/>
      <c r="AA139" s="14"/>
      <c r="AB139" s="14"/>
      <c r="AC139" s="14"/>
      <c r="AD139" s="14"/>
      <c r="AE139" s="14"/>
      <c r="AF139" s="14"/>
      <c r="AG139" s="14"/>
    </row>
    <row r="140" spans="18:33" x14ac:dyDescent="0.2">
      <c r="R140" s="14"/>
      <c r="S140" s="14"/>
      <c r="T140" s="14"/>
      <c r="U140" s="14"/>
      <c r="V140" s="14"/>
      <c r="W140" s="14"/>
      <c r="X140" s="14"/>
      <c r="Y140" s="14"/>
      <c r="Z140" s="14"/>
      <c r="AA140" s="14"/>
      <c r="AB140" s="14"/>
      <c r="AC140" s="14"/>
      <c r="AD140" s="14"/>
      <c r="AE140" s="14"/>
      <c r="AF140" s="14"/>
      <c r="AG140" s="14"/>
    </row>
    <row r="141" spans="18:33" x14ac:dyDescent="0.2">
      <c r="R141" s="14"/>
      <c r="S141" s="14"/>
      <c r="T141" s="14"/>
      <c r="U141" s="14"/>
      <c r="V141" s="14"/>
      <c r="W141" s="14"/>
      <c r="X141" s="14"/>
      <c r="Y141" s="14"/>
      <c r="Z141" s="14"/>
      <c r="AA141" s="14"/>
      <c r="AB141" s="14"/>
      <c r="AC141" s="14"/>
      <c r="AD141" s="14"/>
      <c r="AE141" s="14"/>
      <c r="AF141" s="14"/>
      <c r="AG141" s="14"/>
    </row>
    <row r="142" spans="18:33" x14ac:dyDescent="0.2">
      <c r="R142" s="14"/>
      <c r="S142" s="14"/>
      <c r="T142" s="14"/>
      <c r="U142" s="14"/>
      <c r="V142" s="14"/>
      <c r="W142" s="14"/>
      <c r="X142" s="14"/>
      <c r="Y142" s="14"/>
      <c r="Z142" s="14"/>
      <c r="AA142" s="14"/>
      <c r="AB142" s="14"/>
      <c r="AC142" s="14"/>
      <c r="AD142" s="14"/>
      <c r="AE142" s="14"/>
      <c r="AF142" s="14"/>
      <c r="AG142" s="14"/>
    </row>
    <row r="143" spans="18:33" x14ac:dyDescent="0.2">
      <c r="R143" s="14"/>
      <c r="S143" s="14"/>
      <c r="T143" s="14"/>
      <c r="U143" s="14"/>
      <c r="V143" s="14"/>
      <c r="W143" s="14"/>
      <c r="X143" s="14"/>
      <c r="Y143" s="14"/>
      <c r="Z143" s="14"/>
      <c r="AA143" s="14"/>
      <c r="AB143" s="14"/>
      <c r="AC143" s="14"/>
      <c r="AD143" s="14"/>
      <c r="AE143" s="14"/>
      <c r="AF143" s="14"/>
      <c r="AG143" s="14"/>
    </row>
    <row r="144" spans="18:33" x14ac:dyDescent="0.2">
      <c r="R144" s="14"/>
      <c r="S144" s="14"/>
      <c r="T144" s="14"/>
      <c r="U144" s="14"/>
      <c r="V144" s="14"/>
      <c r="W144" s="14"/>
      <c r="X144" s="14"/>
      <c r="Y144" s="14"/>
      <c r="Z144" s="14"/>
      <c r="AA144" s="14"/>
      <c r="AB144" s="14"/>
      <c r="AC144" s="14"/>
      <c r="AD144" s="14"/>
      <c r="AE144" s="14"/>
      <c r="AF144" s="14"/>
      <c r="AG144" s="14"/>
    </row>
    <row r="145" spans="18:33" x14ac:dyDescent="0.2">
      <c r="R145" s="14"/>
      <c r="S145" s="14"/>
      <c r="T145" s="14"/>
      <c r="U145" s="14"/>
      <c r="V145" s="14"/>
      <c r="W145" s="14"/>
      <c r="X145" s="14"/>
      <c r="Y145" s="14"/>
      <c r="Z145" s="14"/>
      <c r="AA145" s="14"/>
      <c r="AB145" s="14"/>
      <c r="AC145" s="14"/>
      <c r="AD145" s="14"/>
      <c r="AE145" s="14"/>
      <c r="AF145" s="14"/>
      <c r="AG145" s="14"/>
    </row>
    <row r="146" spans="18:33" x14ac:dyDescent="0.2">
      <c r="R146" s="14"/>
      <c r="S146" s="14"/>
      <c r="T146" s="14"/>
      <c r="U146" s="14"/>
      <c r="V146" s="14"/>
      <c r="W146" s="14"/>
      <c r="X146" s="14"/>
      <c r="Y146" s="14"/>
      <c r="Z146" s="14"/>
      <c r="AA146" s="14"/>
      <c r="AB146" s="14"/>
      <c r="AC146" s="14"/>
      <c r="AD146" s="14"/>
      <c r="AE146" s="14"/>
      <c r="AF146" s="14"/>
      <c r="AG146" s="14"/>
    </row>
    <row r="147" spans="18:33" x14ac:dyDescent="0.2">
      <c r="R147" s="14"/>
      <c r="S147" s="14"/>
      <c r="T147" s="14"/>
      <c r="U147" s="14"/>
      <c r="V147" s="14"/>
      <c r="W147" s="14"/>
      <c r="X147" s="14"/>
      <c r="Y147" s="14"/>
      <c r="Z147" s="14"/>
      <c r="AA147" s="14"/>
      <c r="AB147" s="14"/>
      <c r="AC147" s="14"/>
      <c r="AD147" s="14"/>
      <c r="AE147" s="14"/>
      <c r="AF147" s="14"/>
      <c r="AG147" s="14"/>
    </row>
  </sheetData>
  <sheetProtection sheet="1" objects="1" scenarios="1"/>
  <mergeCells count="168">
    <mergeCell ref="B61:R61"/>
    <mergeCell ref="O12:P13"/>
    <mergeCell ref="I15:K15"/>
    <mergeCell ref="I12:K12"/>
    <mergeCell ref="C20:E20"/>
    <mergeCell ref="F19:H19"/>
    <mergeCell ref="F20:H20"/>
    <mergeCell ref="D6:H6"/>
    <mergeCell ref="D7:H7"/>
    <mergeCell ref="B6:B8"/>
    <mergeCell ref="D8:P8"/>
    <mergeCell ref="I6:P7"/>
    <mergeCell ref="I16:K16"/>
    <mergeCell ref="I19:K19"/>
    <mergeCell ref="B12:B13"/>
    <mergeCell ref="F17:H17"/>
    <mergeCell ref="C17:E17"/>
    <mergeCell ref="F18:H18"/>
    <mergeCell ref="C18:E18"/>
    <mergeCell ref="F12:H12"/>
    <mergeCell ref="C14:E14"/>
    <mergeCell ref="F15:H15"/>
    <mergeCell ref="F16:H16"/>
    <mergeCell ref="C13:E13"/>
    <mergeCell ref="F14:H14"/>
    <mergeCell ref="F21:H21"/>
    <mergeCell ref="I20:K20"/>
    <mergeCell ref="I21:K21"/>
    <mergeCell ref="I17:K17"/>
    <mergeCell ref="I18:K18"/>
    <mergeCell ref="B26:P26"/>
    <mergeCell ref="B28:P28"/>
    <mergeCell ref="F25:H25"/>
    <mergeCell ref="C22:E22"/>
    <mergeCell ref="L22:N22"/>
    <mergeCell ref="I22:K22"/>
    <mergeCell ref="L18:N18"/>
    <mergeCell ref="O14:P20"/>
    <mergeCell ref="L20:N20"/>
    <mergeCell ref="L14:N14"/>
    <mergeCell ref="L15:N15"/>
    <mergeCell ref="L19:N19"/>
    <mergeCell ref="L17:N17"/>
    <mergeCell ref="L16:N16"/>
    <mergeCell ref="I24:K24"/>
    <mergeCell ref="I23:K23"/>
    <mergeCell ref="C9:H9"/>
    <mergeCell ref="O9:P9"/>
    <mergeCell ref="C25:E25"/>
    <mergeCell ref="C11:E11"/>
    <mergeCell ref="F11:H11"/>
    <mergeCell ref="O11:P11"/>
    <mergeCell ref="I10:N10"/>
    <mergeCell ref="B37:H37"/>
    <mergeCell ref="I5:K5"/>
    <mergeCell ref="L5:N5"/>
    <mergeCell ref="O5:P5"/>
    <mergeCell ref="C5:E5"/>
    <mergeCell ref="F5:H5"/>
    <mergeCell ref="F13:H13"/>
    <mergeCell ref="C12:E12"/>
    <mergeCell ref="C10:H10"/>
    <mergeCell ref="C19:E19"/>
    <mergeCell ref="I9:N9"/>
    <mergeCell ref="L13:N13"/>
    <mergeCell ref="L12:N12"/>
    <mergeCell ref="I14:K14"/>
    <mergeCell ref="I11:K11"/>
    <mergeCell ref="L11:N11"/>
    <mergeCell ref="I13:K13"/>
    <mergeCell ref="I36:K36"/>
    <mergeCell ref="B42:P42"/>
    <mergeCell ref="B43:F43"/>
    <mergeCell ref="J43:K43"/>
    <mergeCell ref="M38:N38"/>
    <mergeCell ref="B38:H38"/>
    <mergeCell ref="M37:N37"/>
    <mergeCell ref="I37:K37"/>
    <mergeCell ref="L36:N36"/>
    <mergeCell ref="I38:K38"/>
    <mergeCell ref="B36:H36"/>
    <mergeCell ref="B40:O40"/>
    <mergeCell ref="I35:K35"/>
    <mergeCell ref="L24:N24"/>
    <mergeCell ref="L23:N23"/>
    <mergeCell ref="I25:K25"/>
    <mergeCell ref="C23:E23"/>
    <mergeCell ref="F23:H23"/>
    <mergeCell ref="M30:N31"/>
    <mergeCell ref="B34:P34"/>
    <mergeCell ref="B35:H35"/>
    <mergeCell ref="M32:N32"/>
    <mergeCell ref="L25:N25"/>
    <mergeCell ref="C24:E24"/>
    <mergeCell ref="F29:I29"/>
    <mergeCell ref="F24:H24"/>
    <mergeCell ref="J29:P29"/>
    <mergeCell ref="J32:K32"/>
    <mergeCell ref="B32:H32"/>
    <mergeCell ref="O30:O31"/>
    <mergeCell ref="M35:N35"/>
    <mergeCell ref="G30:H30"/>
    <mergeCell ref="G31:H31"/>
    <mergeCell ref="P30:P31"/>
    <mergeCell ref="O21:P25"/>
    <mergeCell ref="F22:H22"/>
    <mergeCell ref="C45:E45"/>
    <mergeCell ref="C44:E44"/>
    <mergeCell ref="M43:N43"/>
    <mergeCell ref="M44:N44"/>
    <mergeCell ref="M45:N45"/>
    <mergeCell ref="G43:H43"/>
    <mergeCell ref="G44:H44"/>
    <mergeCell ref="G45:H45"/>
    <mergeCell ref="J45:K45"/>
    <mergeCell ref="J44:K44"/>
    <mergeCell ref="M48:N48"/>
    <mergeCell ref="B49:H49"/>
    <mergeCell ref="I49:K49"/>
    <mergeCell ref="L49:N49"/>
    <mergeCell ref="B50:H50"/>
    <mergeCell ref="I50:K50"/>
    <mergeCell ref="M50:N50"/>
    <mergeCell ref="M52:N52"/>
    <mergeCell ref="B53:O53"/>
    <mergeCell ref="G51:H51"/>
    <mergeCell ref="M51:N51"/>
    <mergeCell ref="G52:H52"/>
    <mergeCell ref="C52:E52"/>
    <mergeCell ref="J52:K52"/>
    <mergeCell ref="J51:K51"/>
    <mergeCell ref="B51:F51"/>
    <mergeCell ref="C55:H55"/>
    <mergeCell ref="I55:N55"/>
    <mergeCell ref="B54:P54"/>
    <mergeCell ref="C1:J1"/>
    <mergeCell ref="L1:P1"/>
    <mergeCell ref="O10:P10"/>
    <mergeCell ref="L21:N21"/>
    <mergeCell ref="C15:E15"/>
    <mergeCell ref="C16:E16"/>
    <mergeCell ref="C21:E21"/>
    <mergeCell ref="B2:P2"/>
    <mergeCell ref="B3:P3"/>
    <mergeCell ref="B4:P4"/>
    <mergeCell ref="I39:K39"/>
    <mergeCell ref="B39:H39"/>
    <mergeCell ref="M39:N39"/>
    <mergeCell ref="C30:E30"/>
    <mergeCell ref="C31:E31"/>
    <mergeCell ref="J30:K30"/>
    <mergeCell ref="J31:K31"/>
    <mergeCell ref="B46:O46"/>
    <mergeCell ref="B47:P47"/>
    <mergeCell ref="B48:H48"/>
    <mergeCell ref="I48:K48"/>
    <mergeCell ref="S37:W37"/>
    <mergeCell ref="T23:AB23"/>
    <mergeCell ref="R29:S29"/>
    <mergeCell ref="S11:V11"/>
    <mergeCell ref="S36:W36"/>
    <mergeCell ref="S7:W7"/>
    <mergeCell ref="T22:AB22"/>
    <mergeCell ref="V18:AA18"/>
    <mergeCell ref="V19:AA19"/>
    <mergeCell ref="V20:AA20"/>
    <mergeCell ref="V21:AA21"/>
    <mergeCell ref="T24:AB24"/>
  </mergeCells>
  <phoneticPr fontId="0" type="noConversion"/>
  <conditionalFormatting sqref="I6:P7">
    <cfRule type="cellIs" dxfId="12" priority="6" stopIfTrue="1" operator="equal">
      <formula>$S$7</formula>
    </cfRule>
  </conditionalFormatting>
  <conditionalFormatting sqref="F11:H11">
    <cfRule type="cellIs" dxfId="11" priority="4" stopIfTrue="1" operator="equal">
      <formula>$C$11</formula>
    </cfRule>
  </conditionalFormatting>
  <conditionalFormatting sqref="L11:N11">
    <cfRule type="cellIs" dxfId="10" priority="3" stopIfTrue="1" operator="equal">
      <formula>$I$11</formula>
    </cfRule>
  </conditionalFormatting>
  <conditionalFormatting sqref="F12:H12">
    <cfRule type="cellIs" dxfId="9" priority="2" stopIfTrue="1" operator="equal">
      <formula>$C$12</formula>
    </cfRule>
  </conditionalFormatting>
  <conditionalFormatting sqref="L12:N12">
    <cfRule type="cellIs" dxfId="8" priority="1" stopIfTrue="1" operator="equal">
      <formula>$I$12</formula>
    </cfRule>
  </conditionalFormatting>
  <conditionalFormatting sqref="O11:P11">
    <cfRule type="cellIs" dxfId="7" priority="144" stopIfTrue="1" operator="equal">
      <formula>$V$11</formula>
    </cfRule>
  </conditionalFormatting>
  <conditionalFormatting sqref="O21:P25">
    <cfRule type="cellIs" dxfId="6" priority="145" stopIfTrue="1" operator="equal">
      <formula>$T$22</formula>
    </cfRule>
  </conditionalFormatting>
  <dataValidations xWindow="815" yWindow="276" count="6">
    <dataValidation allowBlank="1" showInputMessage="1" showErrorMessage="1" promptTitle="Net monaural loss" prompt="Subtract baseline audiogram impairment, if any, from current impairment." sqref="C44:C45 C52 C30:C31" xr:uid="{00000000-0002-0000-0800-000000000000}"/>
    <dataValidation operator="lessThan" allowBlank="1" showInputMessage="1" showErrorMessage="1" sqref="F5:H5 L5:N5" xr:uid="{00000000-0002-0000-0800-000001000000}"/>
    <dataValidation type="date" operator="lessThan" allowBlank="1" showInputMessage="1" showErrorMessage="1" sqref="F12:H12" xr:uid="{00000000-0002-0000-0800-000002000000}">
      <formula1>T5</formula1>
    </dataValidation>
    <dataValidation type="date" operator="lessThan" allowBlank="1" showInputMessage="1" showErrorMessage="1" sqref="L12:N12" xr:uid="{00000000-0002-0000-0800-000003000000}">
      <formula1>T5</formula1>
    </dataValidation>
    <dataValidation allowBlank="1" showInputMessage="1" showErrorMessage="1" promptTitle="End of worksheet" prompt="Tab to return to top of sheet." sqref="P55" xr:uid="{00000000-0002-0000-0800-000004000000}"/>
    <dataValidation type="list" allowBlank="1" showInputMessage="1" showErrorMessage="1" promptTitle="Current measurements" prompt="Enter 0 to 100. If the loss is greater than 100 dB, enter 100 per OAR 436-035-0250(4)(a)." sqref="C15:N20" xr:uid="{00000000-0002-0000-0800-000005000000}">
      <formula1>$A$62:$CX$62</formula1>
    </dataValidation>
  </dataValidations>
  <hyperlinks>
    <hyperlink ref="B55" location="Hearing!A1" display="Return to top of sheet" xr:uid="{00000000-0004-0000-0800-000000000000}"/>
    <hyperlink ref="I55:N55" location="'PPD DOI on or after 2005'!A1" display="'PPD DOI on or after 2005'!A1" xr:uid="{00000000-0004-0000-0800-000001000000}"/>
    <hyperlink ref="C55:H55" location="'PPD DOI before 2005'!A1" display="'PPD DOI before 2005'!A1" xr:uid="{00000000-0004-0000-0800-000002000000}"/>
    <hyperlink ref="I5:K5" location="'Start here'!A8" display="'Start here'!A8" xr:uid="{00000000-0004-0000-0800-000003000000}"/>
  </hyperlinks>
  <pageMargins left="0.75" right="0.75" top="0.67" bottom="0.74" header="0.5" footer="0.62"/>
  <pageSetup orientation="portrait" horizontalDpi="300" verticalDpi="300" r:id="rId1"/>
  <headerFooter alignWithMargins="0">
    <oddFooter>&amp;LHearing&amp;CPage &amp;P</oddFooter>
  </headerFooter>
  <rowBreaks count="1" manualBreakCount="1">
    <brk id="26" max="16383" man="1"/>
  </rowBreaks>
  <ignoredErrors>
    <ignoredError sqref="U17 W17 Y17"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44259" r:id="rId4" name="Check Box 227">
              <controlPr defaultSize="0" autoFill="0" autoLine="0" autoPict="0">
                <anchor moveWithCells="1">
                  <from>
                    <xdr:col>2</xdr:col>
                    <xdr:colOff>28575</xdr:colOff>
                    <xdr:row>7</xdr:row>
                    <xdr:rowOff>9525</xdr:rowOff>
                  </from>
                  <to>
                    <xdr:col>3</xdr:col>
                    <xdr:colOff>28575</xdr:colOff>
                    <xdr:row>8</xdr:row>
                    <xdr:rowOff>0</xdr:rowOff>
                  </to>
                </anchor>
              </controlPr>
            </control>
          </mc:Choice>
        </mc:AlternateContent>
        <mc:AlternateContent xmlns:mc="http://schemas.openxmlformats.org/markup-compatibility/2006">
          <mc:Choice Requires="x14">
            <control shapeId="44247" r:id="rId5" name="Check Box 215">
              <controlPr defaultSize="0" autoFill="0" autoLine="0" autoPict="0">
                <anchor moveWithCells="1">
                  <from>
                    <xdr:col>2</xdr:col>
                    <xdr:colOff>28575</xdr:colOff>
                    <xdr:row>5</xdr:row>
                    <xdr:rowOff>9525</xdr:rowOff>
                  </from>
                  <to>
                    <xdr:col>3</xdr:col>
                    <xdr:colOff>28575</xdr:colOff>
                    <xdr:row>5</xdr:row>
                    <xdr:rowOff>228600</xdr:rowOff>
                  </to>
                </anchor>
              </controlPr>
            </control>
          </mc:Choice>
        </mc:AlternateContent>
        <mc:AlternateContent xmlns:mc="http://schemas.openxmlformats.org/markup-compatibility/2006">
          <mc:Choice Requires="x14">
            <control shapeId="44248" r:id="rId6" name="Check Box 216">
              <controlPr defaultSize="0" autoFill="0" autoLine="0" autoPict="0">
                <anchor moveWithCells="1">
                  <from>
                    <xdr:col>2</xdr:col>
                    <xdr:colOff>28575</xdr:colOff>
                    <xdr:row>6</xdr:row>
                    <xdr:rowOff>9525</xdr:rowOff>
                  </from>
                  <to>
                    <xdr:col>3</xdr:col>
                    <xdr:colOff>28575</xdr:colOff>
                    <xdr:row>6</xdr:row>
                    <xdr:rowOff>228600</xdr:rowOff>
                  </to>
                </anchor>
              </controlPr>
            </control>
          </mc:Choice>
        </mc:AlternateContent>
        <mc:AlternateContent xmlns:mc="http://schemas.openxmlformats.org/markup-compatibility/2006">
          <mc:Choice Requires="x14">
            <control shapeId="44034" r:id="rId7" name="Group Box 2">
              <controlPr defaultSize="0" autoFill="0" autoPict="0">
                <anchor moveWithCells="1" sizeWithCells="1">
                  <from>
                    <xdr:col>14</xdr:col>
                    <xdr:colOff>0</xdr:colOff>
                    <xdr:row>4</xdr:row>
                    <xdr:rowOff>0</xdr:rowOff>
                  </from>
                  <to>
                    <xdr:col>15</xdr:col>
                    <xdr:colOff>800100</xdr:colOff>
                    <xdr:row>5</xdr:row>
                    <xdr:rowOff>0</xdr:rowOff>
                  </to>
                </anchor>
              </controlPr>
            </control>
          </mc:Choice>
        </mc:AlternateContent>
        <mc:AlternateContent xmlns:mc="http://schemas.openxmlformats.org/markup-compatibility/2006">
          <mc:Choice Requires="x14">
            <control shapeId="44035" r:id="rId8" name="Option Button 3">
              <controlPr defaultSize="0" autoFill="0" autoLine="0" autoPict="0">
                <anchor moveWithCells="1" sizeWithCells="1">
                  <from>
                    <xdr:col>14</xdr:col>
                    <xdr:colOff>257175</xdr:colOff>
                    <xdr:row>4</xdr:row>
                    <xdr:rowOff>180975</xdr:rowOff>
                  </from>
                  <to>
                    <xdr:col>14</xdr:col>
                    <xdr:colOff>561975</xdr:colOff>
                    <xdr:row>4</xdr:row>
                    <xdr:rowOff>552450</xdr:rowOff>
                  </to>
                </anchor>
              </controlPr>
            </control>
          </mc:Choice>
        </mc:AlternateContent>
        <mc:AlternateContent xmlns:mc="http://schemas.openxmlformats.org/markup-compatibility/2006">
          <mc:Choice Requires="x14">
            <control shapeId="44036" r:id="rId9" name="Option Button 4">
              <controlPr defaultSize="0" autoFill="0" autoLine="0" autoPict="0">
                <anchor moveWithCells="1" sizeWithCells="1">
                  <from>
                    <xdr:col>15</xdr:col>
                    <xdr:colOff>304800</xdr:colOff>
                    <xdr:row>4</xdr:row>
                    <xdr:rowOff>180975</xdr:rowOff>
                  </from>
                  <to>
                    <xdr:col>15</xdr:col>
                    <xdr:colOff>609600</xdr:colOff>
                    <xdr:row>4</xdr:row>
                    <xdr:rowOff>552450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155DDEB3551B64C8ABBB0E04F497D9C" ma:contentTypeVersion="8" ma:contentTypeDescription="Create a new document." ma:contentTypeScope="" ma:versionID="6d3052445e04cd7070913ad285f1cb37">
  <xsd:schema xmlns:xsd="http://www.w3.org/2001/XMLSchema" xmlns:xs="http://www.w3.org/2001/XMLSchema" xmlns:p="http://schemas.microsoft.com/office/2006/metadata/properties" xmlns:ns1="http://schemas.microsoft.com/sharepoint/v3" xmlns:ns2="55499968-6880-4d8c-adb5-ca0fe4a50954" targetNamespace="http://schemas.microsoft.com/office/2006/metadata/properties" ma:root="true" ma:fieldsID="f31a77aa982784b515da0453785b1b06" ns1:_="" ns2:_="">
    <xsd:import namespace="http://schemas.microsoft.com/sharepoint/v3"/>
    <xsd:import namespace="55499968-6880-4d8c-adb5-ca0fe4a50954"/>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5499968-6880-4d8c-adb5-ca0fe4a5095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6"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B4F5C32E-3F8B-4435-8255-4E0911500880}"/>
</file>

<file path=customXml/itemProps2.xml><?xml version="1.0" encoding="utf-8"?>
<ds:datastoreItem xmlns:ds="http://schemas.openxmlformats.org/officeDocument/2006/customXml" ds:itemID="{7610CE11-73C2-41F0-83AC-403AD9026E0B}">
  <ds:schemaRefs>
    <ds:schemaRef ds:uri="http://schemas.microsoft.com/sharepoint/v3/contenttype/forms"/>
  </ds:schemaRefs>
</ds:datastoreItem>
</file>

<file path=customXml/itemProps3.xml><?xml version="1.0" encoding="utf-8"?>
<ds:datastoreItem xmlns:ds="http://schemas.openxmlformats.org/officeDocument/2006/customXml" ds:itemID="{00CDD50D-C9E7-4032-AA56-AB8FF0D62EBA}">
  <ds:schemaRefs>
    <ds:schemaRef ds:uri="http://schemas.openxmlformats.org/package/2006/metadata/core-properties"/>
    <ds:schemaRef ds:uri="http://purl.org/dc/dcmitype/"/>
    <ds:schemaRef ds:uri="http://purl.org/dc/terms/"/>
    <ds:schemaRef ds:uri="http://schemas.microsoft.com/office/2006/documentManagement/types"/>
    <ds:schemaRef ds:uri="http://schemas.microsoft.com/office/2006/metadata/properties"/>
    <ds:schemaRef ds:uri="http://purl.org/dc/elements/1.1/"/>
    <ds:schemaRef ds:uri="http://schemas.microsoft.com/office/infopath/2007/PartnerControls"/>
    <ds:schemaRef ds:uri="http://schemas.microsoft.com/sharepoint/v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vt:i4>
      </vt:variant>
    </vt:vector>
  </HeadingPairs>
  <TitlesOfParts>
    <vt:vector size="40" baseType="lpstr">
      <vt:lpstr>Start here</vt:lpstr>
      <vt:lpstr>PPD DOI on or after 2005</vt:lpstr>
      <vt:lpstr>PPD DOI before 2005</vt:lpstr>
      <vt:lpstr>SAWW</vt:lpstr>
      <vt:lpstr>Upper Extremity-Right</vt:lpstr>
      <vt:lpstr>Upper Extremity-Left</vt:lpstr>
      <vt:lpstr>Lower Extremity-Right</vt:lpstr>
      <vt:lpstr>Lower Extremity-Left</vt:lpstr>
      <vt:lpstr>Hearing</vt:lpstr>
      <vt:lpstr>Vision</vt:lpstr>
      <vt:lpstr>Shoulder-Right</vt:lpstr>
      <vt:lpstr>Shoulder-Left</vt:lpstr>
      <vt:lpstr>Hip-Right</vt:lpstr>
      <vt:lpstr>Hip-Left</vt:lpstr>
      <vt:lpstr>Spine</vt:lpstr>
      <vt:lpstr>Pelvis</vt:lpstr>
      <vt:lpstr>Abdomen</vt:lpstr>
      <vt:lpstr>Chest</vt:lpstr>
      <vt:lpstr>Cardiovascular</vt:lpstr>
      <vt:lpstr>Respiratory</vt:lpstr>
      <vt:lpstr>Cranial Nerves-Brain</vt:lpstr>
      <vt:lpstr>Spinal cord</vt:lpstr>
      <vt:lpstr>Mental illness</vt:lpstr>
      <vt:lpstr>Hematopoietic</vt:lpstr>
      <vt:lpstr>GI &amp; GU</vt:lpstr>
      <vt:lpstr>Endocrine</vt:lpstr>
      <vt:lpstr>Integument &amp; Lacrimal</vt:lpstr>
      <vt:lpstr>Immune system</vt:lpstr>
      <vt:lpstr>UETable</vt:lpstr>
      <vt:lpstr>LETable</vt:lpstr>
      <vt:lpstr>Hearing-Table</vt:lpstr>
      <vt:lpstr>Eye-Table</vt:lpstr>
      <vt:lpstr>Sh-Table</vt:lpstr>
      <vt:lpstr>H-Table</vt:lpstr>
      <vt:lpstr>Sp-Table</vt:lpstr>
      <vt:lpstr>Dol Per Deg</vt:lpstr>
      <vt:lpstr>Rules</vt:lpstr>
      <vt:lpstr>Combiner</vt:lpstr>
      <vt:lpstr>Sheet1</vt:lpstr>
      <vt:lpstr>'Dol Per Deg'!DOI_Rate</vt:lpstr>
    </vt:vector>
  </TitlesOfParts>
  <Manager>Jim Van Ness</Manager>
  <Company>Oregon Workers' Compensation Division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PPD Calculator - Closure on or after 1/1/2005</dc:title>
  <dc:subject>Permanent partial disability</dc:subject>
  <dc:creator>Fred Bruyns</dc:creator>
  <cp:keywords>disability PPD calculator rate impairment</cp:keywords>
  <dc:description>Questions or comments? Contact Fred Bruyns, (503) 947-7717, E-mail fred.h.bruyns@state.or.us</dc:description>
  <cp:lastModifiedBy>Bruyns Fred H</cp:lastModifiedBy>
  <cp:lastPrinted>2022-10-17T17:53:23Z</cp:lastPrinted>
  <dcterms:created xsi:type="dcterms:W3CDTF">2003-02-18T05:29:48Z</dcterms:created>
  <dcterms:modified xsi:type="dcterms:W3CDTF">2023-06-12T21:11:20Z</dcterms:modified>
  <cp:category>Calculator</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0x0101000155DDEB3551B64C8ABBB0E04F497D9C</vt:lpwstr>
  </property>
</Properties>
</file>